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theme/themeOverride1.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F DRIVE\ALL\ALEXY\financial projections template\"/>
    </mc:Choice>
  </mc:AlternateContent>
  <bookViews>
    <workbookView xWindow="0" yWindow="0" windowWidth="20490" windowHeight="7755" activeTab="5"/>
  </bookViews>
  <sheets>
    <sheet name="Model Updates" sheetId="1" r:id="rId1"/>
    <sheet name="Dashboard" sheetId="2" r:id="rId2"/>
    <sheet name="Metrics" sheetId="3" r:id="rId3"/>
    <sheet name="Reports" sheetId="4" r:id="rId4"/>
    <sheet name="Chartbuilding" sheetId="5" r:id="rId5"/>
    <sheet name="Revenue Model, Base-Case" sheetId="6" r:id="rId6"/>
    <sheet name="Revenue Model, Worst-Case" sheetId="7" r:id="rId7"/>
    <sheet name="Marketing Funnel, Base-Case" sheetId="8" r:id="rId8"/>
    <sheet name="Hiring Plan, Base-Case" sheetId="9" r:id="rId9"/>
    <sheet name="Hiring Plan, Worst-Case" sheetId="10" r:id="rId10"/>
    <sheet name="Operating Model, Base-Case" sheetId="11" r:id="rId11"/>
    <sheet name="Operating Model, Worst-Case" sheetId="12" r:id="rId12"/>
    <sheet name="Loans, Both Scenarios" sheetId="13" r:id="rId13"/>
    <sheet name="Operating Model, 2020 Target" sheetId="14" r:id="rId14"/>
    <sheet name="Deferred Revenue" sheetId="15" r:id="rId15"/>
    <sheet name="Profit and Loss Export" sheetId="16" r:id="rId16"/>
    <sheet name="Balance Sheet Export" sheetId="17" r:id="rId17"/>
    <sheet name="Cash Flow Statement Export" sheetId="18" r:id="rId18"/>
    <sheet name="Baremetrics Export" sheetId="19" r:id="rId19"/>
    <sheet name="Renewals Export" sheetId="20" r:id="rId20"/>
  </sheets>
  <definedNames>
    <definedName name="BS_Accounts">'Balance Sheet Export'!$A:$A</definedName>
    <definedName name="BS_Apr_2018">'Balance Sheet Export'!$E:$E</definedName>
    <definedName name="BS_Apr_2019">'Balance Sheet Export'!$Q:$Q</definedName>
    <definedName name="BS_Apr_2020">'Balance Sheet Export'!$AC:$AC</definedName>
    <definedName name="BS_Aug_2018">'Balance Sheet Export'!$I:$I</definedName>
    <definedName name="BS_Aug_2019">'Balance Sheet Export'!$U:$U</definedName>
    <definedName name="BS_Dec_2018">'Balance Sheet Export'!$M:$M</definedName>
    <definedName name="BS_Dec_2019">'Balance Sheet Export'!$Y:$Y</definedName>
    <definedName name="BS_Feb_2018">'Balance Sheet Export'!$C:$C</definedName>
    <definedName name="BS_Feb_2019">'Balance Sheet Export'!$O:$O</definedName>
    <definedName name="BS_Feb_2020">'Balance Sheet Export'!$AA:$AA</definedName>
    <definedName name="BS_Jan_2018">'Balance Sheet Export'!$B:$B</definedName>
    <definedName name="BS_Jan_2019">'Balance Sheet Export'!$N:$N</definedName>
    <definedName name="BS_Jan_2020">'Balance Sheet Export'!$Z:$Z</definedName>
    <definedName name="BS_Jul_2018">'Balance Sheet Export'!$H:$H</definedName>
    <definedName name="BS_Jul_2019">'Balance Sheet Export'!$T:$T</definedName>
    <definedName name="BS_Jun_2018">'Balance Sheet Export'!$G:$G</definedName>
    <definedName name="BS_Jun_2019">'Balance Sheet Export'!$S:$S</definedName>
    <definedName name="BS_Mar_2018">'Balance Sheet Export'!$D:$D</definedName>
    <definedName name="BS_Mar_2019">'Balance Sheet Export'!$P:$P</definedName>
    <definedName name="BS_Mar_2020">'Balance Sheet Export'!$AB:$AB</definedName>
    <definedName name="BS_May_2018">'Balance Sheet Export'!$F:$F</definedName>
    <definedName name="BS_May_2019">'Balance Sheet Export'!$R:$R</definedName>
    <definedName name="BS_Nov_2018">'Balance Sheet Export'!$L:$L</definedName>
    <definedName name="BS_Nov_2019">'Balance Sheet Export'!$X:$X</definedName>
    <definedName name="BS_Oct_2018">'Balance Sheet Export'!$K:$K</definedName>
    <definedName name="BS_Oct_2019">'Balance Sheet Export'!$W:$W</definedName>
    <definedName name="BS_Sep_2018">'Balance Sheet Export'!$J:$J</definedName>
    <definedName name="BS_Sep_2019">'Balance Sheet Export'!$V:$V</definedName>
    <definedName name="CFS_Accounts">'Cash Flow Statement Export'!$A:$A</definedName>
    <definedName name="CFS_Apr_2018">'Cash Flow Statement Export'!$E:$E</definedName>
    <definedName name="CFS_Apr_2019">'Cash Flow Statement Export'!$Q:$Q</definedName>
    <definedName name="CFS_Apr_2020">'Cash Flow Statement Export'!$AC:$AC</definedName>
    <definedName name="CFS_Aug_2018">'Cash Flow Statement Export'!$I:$I</definedName>
    <definedName name="CFS_Aug_2019">'Cash Flow Statement Export'!$U:$U</definedName>
    <definedName name="CFS_Dec_2018">'Cash Flow Statement Export'!$M:$M</definedName>
    <definedName name="CFS_Dec_2019">'Cash Flow Statement Export'!$Y:$Y</definedName>
    <definedName name="CFS_Feb_2018">'Cash Flow Statement Export'!$C:$C</definedName>
    <definedName name="CFS_Feb_2019">'Cash Flow Statement Export'!$O:$O</definedName>
    <definedName name="CFS_Feb_2020">'Cash Flow Statement Export'!$AA:$AA</definedName>
    <definedName name="CFS_Jan_2018">'Cash Flow Statement Export'!$B:$B</definedName>
    <definedName name="CFS_Jan_2019">'Cash Flow Statement Export'!$N:$N</definedName>
    <definedName name="CFS_Jan_2020">'Cash Flow Statement Export'!$Z:$Z</definedName>
    <definedName name="CFS_Jul_2018">'Cash Flow Statement Export'!$H:$H</definedName>
    <definedName name="CFS_Jul_2019">'Cash Flow Statement Export'!$T:$T</definedName>
    <definedName name="CFS_Jun_2018">'Cash Flow Statement Export'!$G:$G</definedName>
    <definedName name="CFS_Jun_2019">'Cash Flow Statement Export'!$S:$S</definedName>
    <definedName name="CFS_Mar_2018">'Cash Flow Statement Export'!$D:$D</definedName>
    <definedName name="CFS_Mar_2019">'Cash Flow Statement Export'!$P:$P</definedName>
    <definedName name="CFS_Mar_2020">'Cash Flow Statement Export'!$AB:$AB</definedName>
    <definedName name="CFS_May_2018">'Cash Flow Statement Export'!$F:$F</definedName>
    <definedName name="CFS_May_2019">'Cash Flow Statement Export'!$R:$R</definedName>
    <definedName name="CFS_Nov_2018">'Cash Flow Statement Export'!$L:$L</definedName>
    <definedName name="CFS_Nov_2019">'Cash Flow Statement Export'!$X:$X</definedName>
    <definedName name="CFS_Oct_2018">'Cash Flow Statement Export'!$K:$K</definedName>
    <definedName name="CFS_Oct_2019">'Cash Flow Statement Export'!$W:$W</definedName>
    <definedName name="CFS_Sep_2018">'Cash Flow Statement Export'!$J:$J</definedName>
    <definedName name="CFS_Sep_2019">'Cash Flow Statement Export'!$V:$V</definedName>
    <definedName name="Current_Month">Dashboard!$N$4</definedName>
    <definedName name="Deferred_Revenue_Balance">'Deferred Revenue'!$21:$21</definedName>
    <definedName name="Deferred_Revenue_Months">'Deferred Revenue'!$1:$1</definedName>
    <definedName name="Hiring_Plan_Benefits_Engineering">'Hiring Plan, Base-Case'!$85:$85</definedName>
    <definedName name="Hiring_Plan_Benefits_Engineering_Worst_Case">'Hiring Plan, Worst-Case'!$85:$85</definedName>
    <definedName name="Hiring_Plan_Benefits_General">'Hiring Plan, Base-Case'!$84:$84</definedName>
    <definedName name="Hiring_Plan_Benefits_General_Worst_Case">'Hiring Plan, Worst-Case'!$84:$84</definedName>
    <definedName name="Hiring_Plan_Benefits_Marketing">'Hiring Plan, Base-Case'!$86:$86</definedName>
    <definedName name="Hiring_Plan_Benefits_Marketing_Worst_Case">'Hiring Plan, Worst-Case'!$86:$86</definedName>
    <definedName name="Hiring_Plan_Benefits_Sales">'Hiring Plan, Base-Case'!$87:$87</definedName>
    <definedName name="Hiring_Plan_Benefits_Sales_Worst_Case">'Hiring Plan, Worst-Case'!$87:$87</definedName>
    <definedName name="Hiring_Plan_Benefits_Support">'Hiring Plan, Base-Case'!$88:$88</definedName>
    <definedName name="Hiring_Plan_Benefits_Support_Worst_Case">'Hiring Plan, Worst-Case'!$88:$88</definedName>
    <definedName name="Hiring_Plan_Contractors_Engineering">'Hiring Plan, Base-Case'!$93:$93</definedName>
    <definedName name="Hiring_Plan_Contractors_Engineering_Worst_Case">'Hiring Plan, Worst-Case'!$93:$93</definedName>
    <definedName name="Hiring_Plan_Contractors_General">'Hiring Plan, Base-Case'!$92:$92</definedName>
    <definedName name="Hiring_Plan_Contractors_General_Worst_Case">'Hiring Plan, Worst-Case'!$92:$92</definedName>
    <definedName name="Hiring_Plan_Contractors_Marketing">'Hiring Plan, Base-Case'!$94:$94</definedName>
    <definedName name="Hiring_Plan_Contractors_Marketing_Worst_Case">'Hiring Plan, Worst-Case'!$94:$94</definedName>
    <definedName name="Hiring_Plan_Contractors_Sales">'Hiring Plan, Base-Case'!$95:$95</definedName>
    <definedName name="Hiring_Plan_Contractors_Sales_Worst_Case">'Hiring Plan, Worst-Case'!$95:$95</definedName>
    <definedName name="Hiring_Plan_Contractors_Support">'Hiring Plan, Base-Case'!$96:$96</definedName>
    <definedName name="Hiring_Plan_Contractors_Support_Worst_Case">'Hiring Plan, Worst-Case'!$96:$96</definedName>
    <definedName name="Hiring_Plan_Months">'Hiring Plan, Base-Case'!$1:$1</definedName>
    <definedName name="Hiring_Plan_Months_Worst_Case">'Hiring Plan, Worst-Case'!$1:$1</definedName>
    <definedName name="Hiring_Plan_Payroll_Taxes_Engineering">'Hiring Plan, Base-Case'!$77:$77</definedName>
    <definedName name="Hiring_Plan_Payroll_Taxes_Engineering_Worst_Case">'Hiring Plan, Worst-Case'!$77:$77</definedName>
    <definedName name="Hiring_Plan_Payroll_Taxes_General">'Hiring Plan, Base-Case'!$76:$76</definedName>
    <definedName name="Hiring_Plan_Payroll_Taxes_General_Worst_Case">'Hiring Plan, Worst-Case'!$76:$76</definedName>
    <definedName name="Hiring_Plan_Payroll_Taxes_Marketing">'Hiring Plan, Base-Case'!$78:$78</definedName>
    <definedName name="Hiring_Plan_Payroll_Taxes_Marketing_Worst_Case">'Hiring Plan, Worst-Case'!$78:$78</definedName>
    <definedName name="Hiring_Plan_Payroll_Taxes_Sales">'Hiring Plan, Base-Case'!$79:$79</definedName>
    <definedName name="Hiring_Plan_Payroll_Taxes_Sales_Worst_Case">'Hiring Plan, Worst-Case'!$79:$79</definedName>
    <definedName name="Hiring_Plan_Payroll_Taxes_Support">'Hiring Plan, Base-Case'!$80:$80</definedName>
    <definedName name="Hiring_Plan_Payroll_Taxes_Support_Worst_Case">'Hiring Plan, Worst-Case'!$80:$80</definedName>
    <definedName name="Hiring_Plan_Salaries_Engineering">'Hiring Plan, Base-Case'!$69:$69</definedName>
    <definedName name="Hiring_Plan_Salaries_Engineering_Worst_Case">'Hiring Plan, Worst-Case'!$69:$69</definedName>
    <definedName name="Hiring_Plan_Salaries_General">'Hiring Plan, Base-Case'!$68:$68</definedName>
    <definedName name="Hiring_Plan_Salaries_General_Worst_Case">'Hiring Plan, Worst-Case'!$68:$68</definedName>
    <definedName name="Hiring_Plan_Salaries_Marketing">'Hiring Plan, Base-Case'!$70:$70</definedName>
    <definedName name="Hiring_Plan_Salaries_Marketing_Worst_Case">'Hiring Plan, Worst-Case'!$70:$70</definedName>
    <definedName name="Hiring_Plan_Salaries_Sales">'Hiring Plan, Base-Case'!$71:$71</definedName>
    <definedName name="Hiring_Plan_Salaries_Sales_Worst_Case">'Hiring Plan, Worst-Case'!$71:$71</definedName>
    <definedName name="Hiring_Plan_Salaries_Support">'Hiring Plan, Base-Case'!$72:$72</definedName>
    <definedName name="Hiring_Plan_Salaries_Support_Worst_Case">'Hiring Plan, Worst-Case'!$72:$72</definedName>
    <definedName name="Loans_Forgivable_Loan_Forgivable_Income">'Loans, Both Scenarios'!$11:$11</definedName>
    <definedName name="Loans_Forgivable_Loan_Interest_Owed">'Loans, Both Scenarios'!$7:$7</definedName>
    <definedName name="Loans_Forgivable_Loan_Nonforgivable_Balance">'Loans, Both Scenarios'!$9:$9</definedName>
    <definedName name="Loans_Months">'Loans, Both Scenarios'!$2:$2</definedName>
    <definedName name="Loans_Standard_Loan_Balance">'Loans, Both Scenarios'!$29:$29</definedName>
    <definedName name="Loans_Standard_Loan_Interest_Owed">'Loans, Both Scenarios'!$27:$27</definedName>
    <definedName name="Marketing_Funnel_Months">'Marketing Funnel, Base-Case'!$1:$1</definedName>
    <definedName name="Marketing_Funnel_New_Customers_AdWords">'Marketing Funnel, Base-Case'!$35:$35</definedName>
    <definedName name="Marketing_Funnel_Total_New_Customers">'Marketing Funnel, Base-Case'!$36:$36</definedName>
    <definedName name="MRR_Export_Churn_Count">'Baremetrics Export'!$I:$I</definedName>
    <definedName name="MRR_Export_Churned_MRR">'Baremetrics Export'!$C:$C</definedName>
    <definedName name="MRR_Export_Contraction_Count">'Baremetrics Export'!$M:$M</definedName>
    <definedName name="MRR_Export_Contraction_MRR">'Baremetrics Export'!$D:$D</definedName>
    <definedName name="MRR_Export_Expansion_Count">'Baremetrics Export'!$L:$L</definedName>
    <definedName name="MRR_Export_Expansion_MRR">'Baremetrics Export'!$E:$E</definedName>
    <definedName name="MRR_Export_Months">'Baremetrics Export'!$A:$A</definedName>
    <definedName name="MRR_Export_MRR">'Baremetrics Export'!$G:$G</definedName>
    <definedName name="MRR_Export_New_Count">'Baremetrics Export'!$H:$H</definedName>
    <definedName name="MRR_Export_New_MRR">'Baremetrics Export'!$B:$B</definedName>
    <definedName name="MRR_Export_Reactivation_Count">'Baremetrics Export'!$J:$J</definedName>
    <definedName name="MRR_Export_Reactivation_MRR">'Baremetrics Export'!$F:$F</definedName>
    <definedName name="MRR_Export_Total_Customer_Count">'Baremetrics Export'!$K:$K</definedName>
    <definedName name="Oper_Model_Adjustments_to_Net_Income">'Operating Model, Base-Case'!$163:$163</definedName>
    <definedName name="Oper_Model_Advertising">'Operating Model, Base-Case'!$66:$66</definedName>
    <definedName name="Oper_Model_Bank_Accounts">'Operating Model, Base-Case'!$105:$105</definedName>
    <definedName name="Oper_Model_Bank_Accounts_2020_Target">'Operating Model, 2020 Target'!$102:$102</definedName>
    <definedName name="Oper_Model_Bank_Accounts_Worst_Case">'Operating Model, Worst-Case'!$105:$105</definedName>
    <definedName name="Oper_Model_Cost_of_Revenue">'Operating Model, Base-Case'!$19:$19</definedName>
    <definedName name="Oper_Model_Deferred_Revenue_CFS">'Operating Model, Base-Case'!$161:$161</definedName>
    <definedName name="Oper_Model_Engineering">'Operating Model, Base-Case'!$30:$30</definedName>
    <definedName name="Oper_Model_Engineering_2020_Target">'Operating Model, 2020 Target'!$30:$30</definedName>
    <definedName name="Oper_Model_Engineering_Worst_Case">'Operating Model, Worst-Case'!$30:$30</definedName>
    <definedName name="Oper_Model_Financing_Activities">'Operating Model, Base-Case'!$179:$179</definedName>
    <definedName name="Oper_Model_Financing_Activities_2020_Target">'Operating Model, 2020 Target'!$172:$172</definedName>
    <definedName name="Oper_Model_General">'Operating Model, Base-Case'!$62:$62</definedName>
    <definedName name="Oper_Model_General_2020_Target">'Operating Model, 2020 Target'!$61:$61</definedName>
    <definedName name="Oper_Model_General_Worst_Case">'Operating Model, Worst-Case'!$62:$62</definedName>
    <definedName name="Oper_Model_Gross_Profit">'Operating Model, Base-Case'!$20:$20</definedName>
    <definedName name="Oper_Model_Investing_Activities">'Operating Model, Base-Case'!$170:$170</definedName>
    <definedName name="Oper_Model_Investing_Activities_2020_Target">'Operating Model, 2020 Target'!$165:$165</definedName>
    <definedName name="Oper_Model_Marketing">'Operating Model, Base-Case'!$74:$74</definedName>
    <definedName name="Oper_Model_Months">'Operating Model, Base-Case'!$1:$1</definedName>
    <definedName name="Oper_Model_Months_2020_Target">'Operating Model, 2020 Target'!$1:$1</definedName>
    <definedName name="Oper_Model_Months_Worst_Case">'Operating Model, Worst-Case'!$1:$1</definedName>
    <definedName name="Oper_Model_Net_Cash_Increase">'Operating Model, Base-Case'!$181:$181</definedName>
    <definedName name="Oper_Model_Net_Cash_Increase_2020_Target">'Operating Model, 2020 Target'!$174:$174</definedName>
    <definedName name="Oper_Model_Net_Income">'Operating Model, Base-Case'!$97:$97</definedName>
    <definedName name="Oper_Model_Operating_Activities">'Operating Model, Base-Case'!$164:$164</definedName>
    <definedName name="Oper_Model_Operating_Activities_2020_Target">'Operating Model, 2020 Target'!$159:$159</definedName>
    <definedName name="Oper_Model_Revenue">'Operating Model, Base-Case'!$5:$5</definedName>
    <definedName name="Oper_Model_Revenue_2020_Target">'Operating Model, 2020 Target'!$5:$5</definedName>
    <definedName name="Oper_Model_Revenue_Worst_Case">'Operating Model, Worst-Case'!$5:$5</definedName>
    <definedName name="Oper_Model_Sales">'Operating Model, Base-Case'!$83:$83</definedName>
    <definedName name="Oper_Model_Sales_and_Marketing">'Operating Model, Base-Case'!$84:$84</definedName>
    <definedName name="Oper_Model_Sales_and_Marketing_2020_Target">'Operating Model, 2020 Target'!$81:$81</definedName>
    <definedName name="Oper_Model_Sales_and_Marketing_Worst_Case">'Operating Model, Worst-Case'!$84:$84</definedName>
    <definedName name="Oper_Model_Service_Delivery">'Operating Model, Base-Case'!$18:$18</definedName>
    <definedName name="Oper_Model_Service_Delivery_2020_Target">'Operating Model, 2020 Target'!$18:$18</definedName>
    <definedName name="Oper_Model_Service_Delivery_Worst_Case">'Operating Model, Worst-Case'!$18:$18</definedName>
    <definedName name="Oper_Model_Support">'Operating Model, Base-Case'!$15:$15</definedName>
    <definedName name="Oper_Model_Support_2020_Target">'Operating Model, 2020 Target'!$15:$15</definedName>
    <definedName name="Oper_Model_Support_Worst_Case">'Operating Model, Worst-Case'!$15:$15</definedName>
    <definedName name="Oper_Model_Total_Expenses">'Operating Model, Base-Case'!$86:$86</definedName>
    <definedName name="PnL_Accounts">'Profit and Loss Export'!$A:$A</definedName>
    <definedName name="PnL_Apr_2018">'Profit and Loss Export'!$E:$E</definedName>
    <definedName name="PnL_Apr_2019">'Profit and Loss Export'!$Q:$Q</definedName>
    <definedName name="PnL_Apr_2020">'Profit and Loss Export'!$AC:$AC</definedName>
    <definedName name="PnL_Aug_2018">'Profit and Loss Export'!$I:$I</definedName>
    <definedName name="PnL_Aug_2019">'Profit and Loss Export'!$U:$U</definedName>
    <definedName name="PnL_Dec_2018">'Profit and Loss Export'!$M:$M</definedName>
    <definedName name="PnL_Dec_2019">'Profit and Loss Export'!$Y:$Y</definedName>
    <definedName name="PnL_Feb_2018">'Profit and Loss Export'!$C:$C</definedName>
    <definedName name="PnL_Feb_2019">'Profit and Loss Export'!$O:$O</definedName>
    <definedName name="PnL_Feb_2020">'Profit and Loss Export'!$AA:$AA</definedName>
    <definedName name="PnL_Jan_2018">'Profit and Loss Export'!$B:$B</definedName>
    <definedName name="PnL_Jan_2019">'Profit and Loss Export'!$N:$N</definedName>
    <definedName name="PnL_Jan_2020">'Profit and Loss Export'!$Z:$Z</definedName>
    <definedName name="PnL_Jul_2018">'Profit and Loss Export'!$H:$H</definedName>
    <definedName name="PnL_Jul_2019">'Profit and Loss Export'!$T:$T</definedName>
    <definedName name="PnL_Jun_2018">'Profit and Loss Export'!$G:$G</definedName>
    <definedName name="PnL_Jun_2019">'Profit and Loss Export'!$S:$S</definedName>
    <definedName name="PnL_Mar_2018">'Profit and Loss Export'!$D:$D</definedName>
    <definedName name="PnL_Mar_2019">'Profit and Loss Export'!$P:$P</definedName>
    <definedName name="PnL_Mar_2020">'Profit and Loss Export'!$AB:$AB</definedName>
    <definedName name="PnL_May_2018">'Profit and Loss Export'!$F:$F</definedName>
    <definedName name="PnL_May_2019">'Profit and Loss Export'!$R:$R</definedName>
    <definedName name="PnL_Nov_2018">'Profit and Loss Export'!$L:$L</definedName>
    <definedName name="PnL_Nov_2019">'Profit and Loss Export'!$X:$X</definedName>
    <definedName name="PnL_Oct_2018">'Profit and Loss Export'!$K:$K</definedName>
    <definedName name="PnL_Oct_2019">'Profit and Loss Export'!$W:$W</definedName>
    <definedName name="PnL_Sep_2018">'Profit and Loss Export'!$J:$J</definedName>
    <definedName name="PnL_Sep_2019">'Profit and Loss Export'!$V:$V</definedName>
    <definedName name="Renewals_Amount">'Renewals Export'!$C:$C</definedName>
    <definedName name="Renewals_Date">'Renewals Export'!$B:$B</definedName>
    <definedName name="Renewals_Interval">'Renewals Export'!$D:$D</definedName>
    <definedName name="Revenue_Model_Churn_Count_12m">'Revenue Model, Base-Case'!$45:$45</definedName>
    <definedName name="Revenue_Model_Churn_Count_1m">'Revenue Model, Base-Case'!$37:$37</definedName>
    <definedName name="Revenue_Model_Churn_MRR_12m">'Revenue Model, Base-Case'!$48:$48</definedName>
    <definedName name="Revenue_Model_Churn_MRR_1m">'Revenue Model, Base-Case'!$40:$40</definedName>
    <definedName name="Revenue_Model_Contraction_Count_12m">'Revenue Model, Base-Case'!$58:$58</definedName>
    <definedName name="Revenue_Model_Contraction_Count_1m">'Revenue Model, Base-Case'!$52:$52</definedName>
    <definedName name="Revenue_Model_Contraction_MRR_12m">'Revenue Model, Base-Case'!$61:$61</definedName>
    <definedName name="Revenue_Model_Contraction_MRR_1m">'Revenue Model, Base-Case'!$55:$55</definedName>
    <definedName name="Revenue_Model_Expansion_Count_12m">'Revenue Model, Base-Case'!$24:$24</definedName>
    <definedName name="Revenue_Model_Expansion_Count_1m">'Revenue Model, Base-Case'!$18:$18</definedName>
    <definedName name="Revenue_Model_Expansion_MRR_12m">'Revenue Model, Base-Case'!$27:$27</definedName>
    <definedName name="Revenue_Model_Expansion_MRR_1m">'Revenue Model, Base-Case'!$21:$21</definedName>
    <definedName name="Revenue_Model_Months">'Revenue Model, Base-Case'!$1:$1</definedName>
    <definedName name="Revenue_Model_Months_Worst_Case">'Revenue Model, Worst-Case'!$1:$1</definedName>
    <definedName name="Revenue_Model_MRR">'Revenue Model, Base-Case'!$68:$68</definedName>
    <definedName name="Revenue_Model_MRR_Worst_Case">'Revenue Model, Worst-Case'!$68:$68</definedName>
    <definedName name="Revenue_Model_Net_New_MRR">'Revenue Model, Base-Case'!$67:$67</definedName>
    <definedName name="Revenue_Model_New_Count_12m">'Revenue Model, Base-Case'!$12:$12</definedName>
    <definedName name="Revenue_Model_New_Count_1m">'Revenue Model, Base-Case'!$7:$7</definedName>
    <definedName name="Revenue_Model_New_MRR_12m">'Revenue Model, Base-Case'!$14:$14</definedName>
    <definedName name="Revenue_Model_New_MRR_1m">'Revenue Model, Base-Case'!$9:$9</definedName>
    <definedName name="Revenue_Model_Reactivation_Count_1m">'Revenue Model, Base-Case'!$31:$31</definedName>
    <definedName name="Revenue_Model_Reactivation_MRR_1m">'Revenue Model, Base-Case'!$33:$33</definedName>
    <definedName name="Revenue_Model_Total_Customers">'Revenue Model, Base-Case'!$65:$65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80" i="10" l="1" a="1"/>
  <c r="BI80" i="10" s="1"/>
  <c r="BH80" i="10" a="1"/>
  <c r="BH80" i="10" s="1"/>
  <c r="BG80" i="10" a="1"/>
  <c r="BG80" i="10" s="1"/>
  <c r="BF80" i="10" a="1"/>
  <c r="BF80" i="10" s="1"/>
  <c r="BE80" i="10" a="1"/>
  <c r="BE80" i="10" s="1"/>
  <c r="BD80" i="10" a="1"/>
  <c r="BD80" i="10" s="1"/>
  <c r="BC80" i="10" a="1"/>
  <c r="BC80" i="10" s="1"/>
  <c r="BB80" i="10" a="1"/>
  <c r="BB80" i="10" s="1"/>
  <c r="BA80" i="10" a="1"/>
  <c r="BA80" i="10" s="1"/>
  <c r="AZ80" i="10" a="1"/>
  <c r="AZ80" i="10" s="1"/>
  <c r="AY80" i="10" a="1"/>
  <c r="AY80" i="10" s="1"/>
  <c r="AX80" i="10" a="1"/>
  <c r="AX80" i="10" s="1"/>
  <c r="AW80" i="10" a="1"/>
  <c r="AW80" i="10" s="1"/>
  <c r="AV80" i="10" a="1"/>
  <c r="AV80" i="10" s="1"/>
  <c r="AU80" i="10" a="1"/>
  <c r="AU80" i="10" s="1"/>
  <c r="AT80" i="10" a="1"/>
  <c r="AT80" i="10" s="1"/>
  <c r="AS80" i="10" a="1"/>
  <c r="AS80" i="10" s="1"/>
  <c r="AR80" i="10" a="1"/>
  <c r="AR80" i="10" s="1"/>
  <c r="AQ80" i="10" a="1"/>
  <c r="AQ80" i="10" s="1"/>
  <c r="AP80" i="10" a="1"/>
  <c r="AP80" i="10" s="1"/>
  <c r="AO80" i="10" a="1"/>
  <c r="AO80" i="10" s="1"/>
  <c r="AN80" i="10" a="1"/>
  <c r="AN80" i="10" s="1"/>
  <c r="AM80" i="10" a="1"/>
  <c r="AM80" i="10" s="1"/>
  <c r="AL80" i="10" a="1"/>
  <c r="AL80" i="10" s="1"/>
  <c r="AK80" i="10" a="1"/>
  <c r="AK80" i="10" s="1"/>
  <c r="AJ80" i="10" a="1"/>
  <c r="AJ80" i="10" s="1"/>
  <c r="AI80" i="10" a="1"/>
  <c r="AI80" i="10" s="1"/>
  <c r="AH80" i="10" a="1"/>
  <c r="AH80" i="10" s="1"/>
  <c r="AG80" i="10" a="1"/>
  <c r="AG80" i="10" s="1"/>
  <c r="AF80" i="10" a="1"/>
  <c r="AF80" i="10" s="1"/>
  <c r="AE80" i="10" a="1"/>
  <c r="AE80" i="10" s="1"/>
  <c r="AD80" i="10" a="1"/>
  <c r="AD80" i="10" s="1"/>
  <c r="AC80" i="10" a="1"/>
  <c r="AC80" i="10" s="1"/>
  <c r="AB80" i="10" a="1"/>
  <c r="AB80" i="10" s="1"/>
  <c r="AA80" i="10" a="1"/>
  <c r="AA80" i="10" s="1"/>
  <c r="Z80" i="10" a="1"/>
  <c r="Z80" i="10" s="1"/>
  <c r="Y80" i="10" a="1"/>
  <c r="Y80" i="10" s="1"/>
  <c r="X80" i="10" a="1"/>
  <c r="X80" i="10" s="1"/>
  <c r="W80" i="10" a="1"/>
  <c r="W80" i="10" s="1"/>
  <c r="V80" i="10" a="1"/>
  <c r="V80" i="10" s="1"/>
  <c r="U80" i="10" a="1"/>
  <c r="U80" i="10" s="1"/>
  <c r="T80" i="10" a="1"/>
  <c r="T80" i="10" s="1"/>
  <c r="S80" i="10" a="1"/>
  <c r="S80" i="10" s="1"/>
  <c r="R80" i="10" a="1"/>
  <c r="R80" i="10" s="1"/>
  <c r="Q80" i="10" a="1"/>
  <c r="Q80" i="10" s="1"/>
  <c r="P80" i="10" a="1"/>
  <c r="P80" i="10" s="1"/>
  <c r="O80" i="10" a="1"/>
  <c r="O80" i="10" s="1"/>
  <c r="BI79" i="10" a="1"/>
  <c r="BI79" i="10" s="1"/>
  <c r="BH79" i="10" a="1"/>
  <c r="BH79" i="10" s="1"/>
  <c r="BG79" i="10" a="1"/>
  <c r="BG79" i="10" s="1"/>
  <c r="BF79" i="10" a="1"/>
  <c r="BF79" i="10" s="1"/>
  <c r="BE79" i="10" a="1"/>
  <c r="BE79" i="10" s="1"/>
  <c r="BD79" i="10" a="1"/>
  <c r="BD79" i="10" s="1"/>
  <c r="BC79" i="10" a="1"/>
  <c r="BC79" i="10" s="1"/>
  <c r="BB79" i="10" a="1"/>
  <c r="BB79" i="10" s="1"/>
  <c r="BA79" i="10" a="1"/>
  <c r="BA79" i="10" s="1"/>
  <c r="AZ79" i="10" a="1"/>
  <c r="AZ79" i="10" s="1"/>
  <c r="AY79" i="10" a="1"/>
  <c r="AY79" i="10" s="1"/>
  <c r="AX79" i="10" a="1"/>
  <c r="AX79" i="10" s="1"/>
  <c r="AW79" i="10" a="1"/>
  <c r="AW79" i="10" s="1"/>
  <c r="AV79" i="10" a="1"/>
  <c r="AV79" i="10" s="1"/>
  <c r="AU79" i="10" a="1"/>
  <c r="AU79" i="10" s="1"/>
  <c r="AT79" i="10" a="1"/>
  <c r="AT79" i="10" s="1"/>
  <c r="AS79" i="10" a="1"/>
  <c r="AS79" i="10" s="1"/>
  <c r="AR79" i="10" a="1"/>
  <c r="AR79" i="10" s="1"/>
  <c r="AQ79" i="10" a="1"/>
  <c r="AQ79" i="10" s="1"/>
  <c r="AP79" i="10" a="1"/>
  <c r="AP79" i="10" s="1"/>
  <c r="AO79" i="10" a="1"/>
  <c r="AO79" i="10" s="1"/>
  <c r="AN79" i="10" a="1"/>
  <c r="AN79" i="10" s="1"/>
  <c r="AM79" i="10" a="1"/>
  <c r="AM79" i="10" s="1"/>
  <c r="AL79" i="10" a="1"/>
  <c r="AL79" i="10" s="1"/>
  <c r="AK79" i="10" a="1"/>
  <c r="AK79" i="10" s="1"/>
  <c r="AJ79" i="10" a="1"/>
  <c r="AJ79" i="10" s="1"/>
  <c r="AI79" i="10" a="1"/>
  <c r="AI79" i="10" s="1"/>
  <c r="AH79" i="10" a="1"/>
  <c r="AH79" i="10" s="1"/>
  <c r="AG79" i="10" a="1"/>
  <c r="AG79" i="10" s="1"/>
  <c r="AF79" i="10" a="1"/>
  <c r="AF79" i="10" s="1"/>
  <c r="AE79" i="10" a="1"/>
  <c r="AE79" i="10" s="1"/>
  <c r="AD79" i="10" a="1"/>
  <c r="AD79" i="10" s="1"/>
  <c r="AC79" i="10" a="1"/>
  <c r="AC79" i="10" s="1"/>
  <c r="AB79" i="10" a="1"/>
  <c r="AB79" i="10" s="1"/>
  <c r="AA79" i="10" a="1"/>
  <c r="AA79" i="10" s="1"/>
  <c r="Z79" i="10" a="1"/>
  <c r="Z79" i="10" s="1"/>
  <c r="Y79" i="10" a="1"/>
  <c r="Y79" i="10" s="1"/>
  <c r="X79" i="10" a="1"/>
  <c r="X79" i="10" s="1"/>
  <c r="W79" i="10" a="1"/>
  <c r="W79" i="10" s="1"/>
  <c r="V79" i="10" a="1"/>
  <c r="V79" i="10" s="1"/>
  <c r="U79" i="10" a="1"/>
  <c r="U79" i="10" s="1"/>
  <c r="T79" i="10" a="1"/>
  <c r="T79" i="10" s="1"/>
  <c r="S79" i="10" a="1"/>
  <c r="S79" i="10" s="1"/>
  <c r="R79" i="10" a="1"/>
  <c r="R79" i="10" s="1"/>
  <c r="Q79" i="10" a="1"/>
  <c r="Q79" i="10" s="1"/>
  <c r="P79" i="10" a="1"/>
  <c r="P79" i="10" s="1"/>
  <c r="O79" i="10" a="1"/>
  <c r="O79" i="10" s="1"/>
  <c r="BI78" i="10" a="1"/>
  <c r="BI78" i="10" s="1"/>
  <c r="BH78" i="10" a="1"/>
  <c r="BH78" i="10" s="1"/>
  <c r="BG78" i="10" a="1"/>
  <c r="BG78" i="10" s="1"/>
  <c r="BF78" i="10" a="1"/>
  <c r="BF78" i="10" s="1"/>
  <c r="BE78" i="10" a="1"/>
  <c r="BE78" i="10" s="1"/>
  <c r="BD78" i="10" a="1"/>
  <c r="BD78" i="10" s="1"/>
  <c r="BC78" i="10" a="1"/>
  <c r="BC78" i="10" s="1"/>
  <c r="BB78" i="10" a="1"/>
  <c r="BB78" i="10" s="1"/>
  <c r="BA78" i="10" a="1"/>
  <c r="BA78" i="10" s="1"/>
  <c r="AZ78" i="10" a="1"/>
  <c r="AZ78" i="10" s="1"/>
  <c r="AY78" i="10" a="1"/>
  <c r="AY78" i="10" s="1"/>
  <c r="AX78" i="10" a="1"/>
  <c r="AX78" i="10" s="1"/>
  <c r="AW78" i="10" a="1"/>
  <c r="AW78" i="10" s="1"/>
  <c r="AV78" i="10" a="1"/>
  <c r="AV78" i="10" s="1"/>
  <c r="AU78" i="10" a="1"/>
  <c r="AU78" i="10" s="1"/>
  <c r="AT78" i="10" a="1"/>
  <c r="AT78" i="10" s="1"/>
  <c r="AS78" i="10" a="1"/>
  <c r="AS78" i="10" s="1"/>
  <c r="AR78" i="10" a="1"/>
  <c r="AR78" i="10" s="1"/>
  <c r="AQ78" i="10" a="1"/>
  <c r="AQ78" i="10" s="1"/>
  <c r="AP78" i="10" a="1"/>
  <c r="AP78" i="10" s="1"/>
  <c r="AO78" i="10" a="1"/>
  <c r="AO78" i="10" s="1"/>
  <c r="AN78" i="10" a="1"/>
  <c r="AN78" i="10" s="1"/>
  <c r="AM78" i="10" a="1"/>
  <c r="AM78" i="10" s="1"/>
  <c r="AL78" i="10" a="1"/>
  <c r="AL78" i="10" s="1"/>
  <c r="AK78" i="10" a="1"/>
  <c r="AK78" i="10" s="1"/>
  <c r="AJ78" i="10" a="1"/>
  <c r="AJ78" i="10" s="1"/>
  <c r="AI78" i="10" a="1"/>
  <c r="AI78" i="10" s="1"/>
  <c r="AH78" i="10" a="1"/>
  <c r="AH78" i="10" s="1"/>
  <c r="AG78" i="10" a="1"/>
  <c r="AG78" i="10" s="1"/>
  <c r="AF78" i="10" a="1"/>
  <c r="AF78" i="10" s="1"/>
  <c r="AE78" i="10" a="1"/>
  <c r="AE78" i="10" s="1"/>
  <c r="AD78" i="10" a="1"/>
  <c r="AD78" i="10" s="1"/>
  <c r="AC78" i="10" a="1"/>
  <c r="AC78" i="10" s="1"/>
  <c r="AB78" i="10" a="1"/>
  <c r="AB78" i="10" s="1"/>
  <c r="AA78" i="10" a="1"/>
  <c r="AA78" i="10" s="1"/>
  <c r="Z78" i="10" a="1"/>
  <c r="Z78" i="10" s="1"/>
  <c r="Y78" i="10" a="1"/>
  <c r="Y78" i="10" s="1"/>
  <c r="X78" i="10" a="1"/>
  <c r="X78" i="10" s="1"/>
  <c r="W78" i="10" a="1"/>
  <c r="W78" i="10" s="1"/>
  <c r="V78" i="10" a="1"/>
  <c r="V78" i="10" s="1"/>
  <c r="U78" i="10" a="1"/>
  <c r="U78" i="10" s="1"/>
  <c r="T78" i="10" a="1"/>
  <c r="T78" i="10" s="1"/>
  <c r="S78" i="10" a="1"/>
  <c r="S78" i="10" s="1"/>
  <c r="R78" i="10" a="1"/>
  <c r="R78" i="10" s="1"/>
  <c r="Q78" i="10" a="1"/>
  <c r="Q78" i="10" s="1"/>
  <c r="P78" i="10" a="1"/>
  <c r="P78" i="10" s="1"/>
  <c r="O78" i="10" a="1"/>
  <c r="O78" i="10" s="1"/>
  <c r="BI77" i="10" a="1"/>
  <c r="BI77" i="10" s="1"/>
  <c r="BH77" i="10" a="1"/>
  <c r="BH77" i="10" s="1"/>
  <c r="BG77" i="10" a="1"/>
  <c r="BG77" i="10" s="1"/>
  <c r="BF77" i="10" a="1"/>
  <c r="BF77" i="10" s="1"/>
  <c r="BE77" i="10" a="1"/>
  <c r="BE77" i="10" s="1"/>
  <c r="BD77" i="10" a="1"/>
  <c r="BD77" i="10" s="1"/>
  <c r="BC77" i="10" a="1"/>
  <c r="BC77" i="10" s="1"/>
  <c r="BB77" i="10" a="1"/>
  <c r="BB77" i="10" s="1"/>
  <c r="BA77" i="10" a="1"/>
  <c r="BA77" i="10" s="1"/>
  <c r="AZ77" i="10" a="1"/>
  <c r="AZ77" i="10" s="1"/>
  <c r="AY77" i="10" a="1"/>
  <c r="AY77" i="10" s="1"/>
  <c r="AX77" i="10" a="1"/>
  <c r="AX77" i="10" s="1"/>
  <c r="AW77" i="10" a="1"/>
  <c r="AW77" i="10" s="1"/>
  <c r="AV77" i="10" a="1"/>
  <c r="AV77" i="10" s="1"/>
  <c r="AU77" i="10" a="1"/>
  <c r="AU77" i="10" s="1"/>
  <c r="AT77" i="10" a="1"/>
  <c r="AT77" i="10" s="1"/>
  <c r="AS77" i="10" a="1"/>
  <c r="AS77" i="10" s="1"/>
  <c r="AR77" i="10" a="1"/>
  <c r="AR77" i="10" s="1"/>
  <c r="AQ77" i="10" a="1"/>
  <c r="AQ77" i="10" s="1"/>
  <c r="AP77" i="10" a="1"/>
  <c r="AP77" i="10" s="1"/>
  <c r="AO77" i="10" a="1"/>
  <c r="AO77" i="10" s="1"/>
  <c r="AN77" i="10" a="1"/>
  <c r="AN77" i="10" s="1"/>
  <c r="AM77" i="10" a="1"/>
  <c r="AM77" i="10" s="1"/>
  <c r="AL77" i="10" a="1"/>
  <c r="AL77" i="10" s="1"/>
  <c r="AK77" i="10" a="1"/>
  <c r="AK77" i="10" s="1"/>
  <c r="AJ77" i="10" a="1"/>
  <c r="AJ77" i="10" s="1"/>
  <c r="AI77" i="10" a="1"/>
  <c r="AI77" i="10" s="1"/>
  <c r="AH77" i="10" a="1"/>
  <c r="AH77" i="10" s="1"/>
  <c r="AG77" i="10" a="1"/>
  <c r="AG77" i="10" s="1"/>
  <c r="AF77" i="10" a="1"/>
  <c r="AF77" i="10" s="1"/>
  <c r="AE77" i="10" a="1"/>
  <c r="AE77" i="10" s="1"/>
  <c r="AD77" i="10" a="1"/>
  <c r="AD77" i="10" s="1"/>
  <c r="AC77" i="10" a="1"/>
  <c r="AC77" i="10" s="1"/>
  <c r="AB77" i="10" a="1"/>
  <c r="AB77" i="10" s="1"/>
  <c r="AA77" i="10" a="1"/>
  <c r="AA77" i="10" s="1"/>
  <c r="Z77" i="10" a="1"/>
  <c r="Z77" i="10" s="1"/>
  <c r="Y77" i="10" a="1"/>
  <c r="Y77" i="10" s="1"/>
  <c r="X77" i="10" a="1"/>
  <c r="X77" i="10" s="1"/>
  <c r="W77" i="10" a="1"/>
  <c r="W77" i="10" s="1"/>
  <c r="V77" i="10" a="1"/>
  <c r="V77" i="10" s="1"/>
  <c r="U77" i="10" a="1"/>
  <c r="U77" i="10" s="1"/>
  <c r="T77" i="10" a="1"/>
  <c r="T77" i="10" s="1"/>
  <c r="S77" i="10" a="1"/>
  <c r="S77" i="10" s="1"/>
  <c r="R77" i="10" a="1"/>
  <c r="R77" i="10" s="1"/>
  <c r="Q77" i="10" a="1"/>
  <c r="Q77" i="10" s="1"/>
  <c r="P77" i="10" a="1"/>
  <c r="P77" i="10" s="1"/>
  <c r="O77" i="10" a="1"/>
  <c r="O77" i="10" s="1"/>
  <c r="BI76" i="10" a="1"/>
  <c r="BI76" i="10" s="1"/>
  <c r="BH76" i="10" a="1"/>
  <c r="BH76" i="10" s="1"/>
  <c r="BG76" i="10" a="1"/>
  <c r="BG76" i="10" s="1"/>
  <c r="BF76" i="10" a="1"/>
  <c r="BF76" i="10" s="1"/>
  <c r="BE76" i="10" a="1"/>
  <c r="BE76" i="10" s="1"/>
  <c r="BD76" i="10" a="1"/>
  <c r="BD76" i="10" s="1"/>
  <c r="BC76" i="10" a="1"/>
  <c r="BC76" i="10" s="1"/>
  <c r="BB76" i="10" a="1"/>
  <c r="BB76" i="10" s="1"/>
  <c r="BA76" i="10" a="1"/>
  <c r="BA76" i="10" s="1"/>
  <c r="AZ76" i="10" a="1"/>
  <c r="AZ76" i="10" s="1"/>
  <c r="AY76" i="10" a="1"/>
  <c r="AY76" i="10" s="1"/>
  <c r="AX76" i="10" a="1"/>
  <c r="AX76" i="10" s="1"/>
  <c r="AW76" i="10" a="1"/>
  <c r="AW76" i="10" s="1"/>
  <c r="AV76" i="10" a="1"/>
  <c r="AV76" i="10" s="1"/>
  <c r="AU76" i="10" a="1"/>
  <c r="AU76" i="10" s="1"/>
  <c r="AT76" i="10" a="1"/>
  <c r="AT76" i="10" s="1"/>
  <c r="AS76" i="10" a="1"/>
  <c r="AS76" i="10" s="1"/>
  <c r="AR76" i="10" a="1"/>
  <c r="AR76" i="10" s="1"/>
  <c r="AQ76" i="10" a="1"/>
  <c r="AQ76" i="10" s="1"/>
  <c r="AP76" i="10" a="1"/>
  <c r="AP76" i="10" s="1"/>
  <c r="AO76" i="10" a="1"/>
  <c r="AO76" i="10" s="1"/>
  <c r="AN76" i="10" a="1"/>
  <c r="AN76" i="10" s="1"/>
  <c r="AM76" i="10" a="1"/>
  <c r="AM76" i="10" s="1"/>
  <c r="AL76" i="10" a="1"/>
  <c r="AL76" i="10" s="1"/>
  <c r="AK76" i="10" a="1"/>
  <c r="AK76" i="10" s="1"/>
  <c r="AJ76" i="10" a="1"/>
  <c r="AJ76" i="10" s="1"/>
  <c r="AI76" i="10" a="1"/>
  <c r="AI76" i="10" s="1"/>
  <c r="AH76" i="10" a="1"/>
  <c r="AH76" i="10" s="1"/>
  <c r="AG76" i="10" a="1"/>
  <c r="AG76" i="10" s="1"/>
  <c r="AF76" i="10" a="1"/>
  <c r="AF76" i="10" s="1"/>
  <c r="AE76" i="10" a="1"/>
  <c r="AE76" i="10" s="1"/>
  <c r="AD76" i="10" a="1"/>
  <c r="AD76" i="10" s="1"/>
  <c r="AC76" i="10" a="1"/>
  <c r="AC76" i="10" s="1"/>
  <c r="AB76" i="10" a="1"/>
  <c r="AB76" i="10" s="1"/>
  <c r="AA76" i="10" a="1"/>
  <c r="AA76" i="10" s="1"/>
  <c r="Z76" i="10" a="1"/>
  <c r="Z76" i="10" s="1"/>
  <c r="Y76" i="10" a="1"/>
  <c r="Y76" i="10" s="1"/>
  <c r="X76" i="10" a="1"/>
  <c r="X76" i="10" s="1"/>
  <c r="W76" i="10" a="1"/>
  <c r="W76" i="10" s="1"/>
  <c r="V76" i="10" a="1"/>
  <c r="V76" i="10" s="1"/>
  <c r="U76" i="10" a="1"/>
  <c r="U76" i="10" s="1"/>
  <c r="T76" i="10" a="1"/>
  <c r="T76" i="10" s="1"/>
  <c r="S76" i="10" a="1"/>
  <c r="S76" i="10" s="1"/>
  <c r="R76" i="10" a="1"/>
  <c r="R76" i="10" s="1"/>
  <c r="Q76" i="10" a="1"/>
  <c r="Q76" i="10" s="1"/>
  <c r="P76" i="10" a="1"/>
  <c r="P76" i="10" s="1"/>
  <c r="O76" i="10" a="1"/>
  <c r="O76" i="10" s="1"/>
  <c r="N80" i="10" a="1"/>
  <c r="N80" i="10" s="1"/>
  <c r="N79" i="10" a="1"/>
  <c r="N79" i="10" s="1"/>
  <c r="N78" i="10" a="1"/>
  <c r="N78" i="10" s="1"/>
  <c r="N77" i="10" a="1"/>
  <c r="N77" i="10" s="1"/>
  <c r="N76" i="10" a="1"/>
  <c r="N76" i="10" s="1"/>
  <c r="BI80" i="9" a="1"/>
  <c r="BI80" i="9" s="1"/>
  <c r="BH80" i="9" a="1"/>
  <c r="BH80" i="9" s="1"/>
  <c r="BG80" i="9" a="1"/>
  <c r="BG80" i="9" s="1"/>
  <c r="BF80" i="9" a="1"/>
  <c r="BF80" i="9" s="1"/>
  <c r="BE80" i="9" a="1"/>
  <c r="BE80" i="9" s="1"/>
  <c r="BD80" i="9" a="1"/>
  <c r="BD80" i="9" s="1"/>
  <c r="BC80" i="9" a="1"/>
  <c r="BC80" i="9" s="1"/>
  <c r="BB80" i="9" a="1"/>
  <c r="BB80" i="9" s="1"/>
  <c r="BA80" i="9" a="1"/>
  <c r="BA80" i="9" s="1"/>
  <c r="AZ80" i="9" a="1"/>
  <c r="AZ80" i="9" s="1"/>
  <c r="AY80" i="9" a="1"/>
  <c r="AY80" i="9" s="1"/>
  <c r="AX80" i="9" a="1"/>
  <c r="AX80" i="9" s="1"/>
  <c r="AW80" i="9" a="1"/>
  <c r="AW80" i="9" s="1"/>
  <c r="AV80" i="9" a="1"/>
  <c r="AV80" i="9" s="1"/>
  <c r="AU80" i="9" a="1"/>
  <c r="AU80" i="9" s="1"/>
  <c r="AT80" i="9" a="1"/>
  <c r="AT80" i="9" s="1"/>
  <c r="AS80" i="9" a="1"/>
  <c r="AS80" i="9" s="1"/>
  <c r="AR80" i="9" a="1"/>
  <c r="AR80" i="9" s="1"/>
  <c r="AQ80" i="9" a="1"/>
  <c r="AQ80" i="9" s="1"/>
  <c r="AP80" i="9" a="1"/>
  <c r="AP80" i="9" s="1"/>
  <c r="AO80" i="9" a="1"/>
  <c r="AO80" i="9" s="1"/>
  <c r="AN80" i="9" a="1"/>
  <c r="AN80" i="9" s="1"/>
  <c r="AM80" i="9" a="1"/>
  <c r="AM80" i="9" s="1"/>
  <c r="AL80" i="9" a="1"/>
  <c r="AL80" i="9" s="1"/>
  <c r="AK80" i="9" a="1"/>
  <c r="AK80" i="9" s="1"/>
  <c r="AJ80" i="9" a="1"/>
  <c r="AJ80" i="9" s="1"/>
  <c r="AI80" i="9" a="1"/>
  <c r="AI80" i="9" s="1"/>
  <c r="AH80" i="9" a="1"/>
  <c r="AH80" i="9" s="1"/>
  <c r="AG80" i="9" a="1"/>
  <c r="AG80" i="9" s="1"/>
  <c r="AF80" i="9" a="1"/>
  <c r="AF80" i="9" s="1"/>
  <c r="AE80" i="9" a="1"/>
  <c r="AE80" i="9" s="1"/>
  <c r="AD80" i="9" a="1"/>
  <c r="AD80" i="9" s="1"/>
  <c r="AC80" i="9" a="1"/>
  <c r="AC80" i="9" s="1"/>
  <c r="AB80" i="9" a="1"/>
  <c r="AB80" i="9" s="1"/>
  <c r="AA80" i="9" a="1"/>
  <c r="AA80" i="9" s="1"/>
  <c r="Z80" i="9" a="1"/>
  <c r="Z80" i="9" s="1"/>
  <c r="Y80" i="9" a="1"/>
  <c r="Y80" i="9" s="1"/>
  <c r="X80" i="9" a="1"/>
  <c r="X80" i="9" s="1"/>
  <c r="W80" i="9" a="1"/>
  <c r="W80" i="9" s="1"/>
  <c r="V80" i="9" a="1"/>
  <c r="V80" i="9" s="1"/>
  <c r="U80" i="9" a="1"/>
  <c r="U80" i="9" s="1"/>
  <c r="T80" i="9" a="1"/>
  <c r="T80" i="9" s="1"/>
  <c r="S80" i="9" a="1"/>
  <c r="S80" i="9" s="1"/>
  <c r="R80" i="9" a="1"/>
  <c r="R80" i="9" s="1"/>
  <c r="Q80" i="9" a="1"/>
  <c r="Q80" i="9" s="1"/>
  <c r="P80" i="9" a="1"/>
  <c r="P80" i="9" s="1"/>
  <c r="O80" i="9" a="1"/>
  <c r="O80" i="9" s="1"/>
  <c r="BI79" i="9" a="1"/>
  <c r="BI79" i="9" s="1"/>
  <c r="BH79" i="9" a="1"/>
  <c r="BH79" i="9" s="1"/>
  <c r="BG79" i="9" a="1"/>
  <c r="BG79" i="9" s="1"/>
  <c r="BF79" i="9" a="1"/>
  <c r="BF79" i="9" s="1"/>
  <c r="BE79" i="9" a="1"/>
  <c r="BE79" i="9" s="1"/>
  <c r="BD79" i="9" a="1"/>
  <c r="BD79" i="9" s="1"/>
  <c r="BC79" i="9" a="1"/>
  <c r="BC79" i="9" s="1"/>
  <c r="BB79" i="9" a="1"/>
  <c r="BB79" i="9" s="1"/>
  <c r="BA79" i="9" a="1"/>
  <c r="BA79" i="9" s="1"/>
  <c r="AZ79" i="9" a="1"/>
  <c r="AZ79" i="9" s="1"/>
  <c r="AY79" i="9" a="1"/>
  <c r="AY79" i="9" s="1"/>
  <c r="AX79" i="9" a="1"/>
  <c r="AX79" i="9" s="1"/>
  <c r="AW79" i="9" a="1"/>
  <c r="AW79" i="9" s="1"/>
  <c r="AV79" i="9" a="1"/>
  <c r="AV79" i="9" s="1"/>
  <c r="AU79" i="9" a="1"/>
  <c r="AU79" i="9" s="1"/>
  <c r="AT79" i="9" a="1"/>
  <c r="AT79" i="9" s="1"/>
  <c r="AS79" i="9" a="1"/>
  <c r="AS79" i="9" s="1"/>
  <c r="AR79" i="9" a="1"/>
  <c r="AR79" i="9" s="1"/>
  <c r="AQ79" i="9" a="1"/>
  <c r="AQ79" i="9" s="1"/>
  <c r="AP79" i="9" a="1"/>
  <c r="AP79" i="9" s="1"/>
  <c r="AO79" i="9" a="1"/>
  <c r="AO79" i="9" s="1"/>
  <c r="AN79" i="9" a="1"/>
  <c r="AN79" i="9" s="1"/>
  <c r="AM79" i="9" a="1"/>
  <c r="AM79" i="9" s="1"/>
  <c r="AL79" i="9" a="1"/>
  <c r="AL79" i="9" s="1"/>
  <c r="AK79" i="9" a="1"/>
  <c r="AK79" i="9" s="1"/>
  <c r="AJ79" i="9" a="1"/>
  <c r="AJ79" i="9" s="1"/>
  <c r="AI79" i="9" a="1"/>
  <c r="AI79" i="9" s="1"/>
  <c r="AH79" i="9" a="1"/>
  <c r="AH79" i="9" s="1"/>
  <c r="AG79" i="9" a="1"/>
  <c r="AG79" i="9" s="1"/>
  <c r="AF79" i="9" a="1"/>
  <c r="AF79" i="9" s="1"/>
  <c r="AE79" i="9" a="1"/>
  <c r="AE79" i="9" s="1"/>
  <c r="AD79" i="9" a="1"/>
  <c r="AD79" i="9" s="1"/>
  <c r="AC79" i="9" a="1"/>
  <c r="AC79" i="9" s="1"/>
  <c r="AB79" i="9" a="1"/>
  <c r="AB79" i="9" s="1"/>
  <c r="AA79" i="9" a="1"/>
  <c r="AA79" i="9" s="1"/>
  <c r="Z79" i="9" a="1"/>
  <c r="Z79" i="9" s="1"/>
  <c r="Y79" i="9" a="1"/>
  <c r="Y79" i="9" s="1"/>
  <c r="X79" i="9" a="1"/>
  <c r="X79" i="9" s="1"/>
  <c r="W79" i="9" a="1"/>
  <c r="W79" i="9" s="1"/>
  <c r="V79" i="9" a="1"/>
  <c r="V79" i="9" s="1"/>
  <c r="U79" i="9" a="1"/>
  <c r="U79" i="9" s="1"/>
  <c r="T79" i="9" a="1"/>
  <c r="T79" i="9" s="1"/>
  <c r="S79" i="9" a="1"/>
  <c r="S79" i="9" s="1"/>
  <c r="R79" i="9" a="1"/>
  <c r="R79" i="9" s="1"/>
  <c r="Q79" i="9" a="1"/>
  <c r="Q79" i="9" s="1"/>
  <c r="P79" i="9" a="1"/>
  <c r="P79" i="9" s="1"/>
  <c r="O79" i="9" a="1"/>
  <c r="O79" i="9" s="1"/>
  <c r="BI78" i="9" a="1"/>
  <c r="BI78" i="9" s="1"/>
  <c r="BH78" i="9" a="1"/>
  <c r="BH78" i="9" s="1"/>
  <c r="BG78" i="9" a="1"/>
  <c r="BG78" i="9" s="1"/>
  <c r="BF78" i="9" a="1"/>
  <c r="BF78" i="9" s="1"/>
  <c r="BE78" i="9" a="1"/>
  <c r="BE78" i="9" s="1"/>
  <c r="BD78" i="9" a="1"/>
  <c r="BD78" i="9" s="1"/>
  <c r="BC78" i="9" a="1"/>
  <c r="BC78" i="9" s="1"/>
  <c r="BB78" i="9" a="1"/>
  <c r="BB78" i="9" s="1"/>
  <c r="BA78" i="9" a="1"/>
  <c r="BA78" i="9" s="1"/>
  <c r="AZ78" i="9" a="1"/>
  <c r="AZ78" i="9" s="1"/>
  <c r="AY78" i="9" a="1"/>
  <c r="AY78" i="9" s="1"/>
  <c r="AX78" i="9" a="1"/>
  <c r="AX78" i="9" s="1"/>
  <c r="AW78" i="9" a="1"/>
  <c r="AW78" i="9" s="1"/>
  <c r="AV78" i="9" a="1"/>
  <c r="AV78" i="9" s="1"/>
  <c r="AU78" i="9" a="1"/>
  <c r="AU78" i="9" s="1"/>
  <c r="AT78" i="9" a="1"/>
  <c r="AT78" i="9" s="1"/>
  <c r="AS78" i="9" a="1"/>
  <c r="AS78" i="9" s="1"/>
  <c r="AR78" i="9" a="1"/>
  <c r="AR78" i="9" s="1"/>
  <c r="AQ78" i="9" a="1"/>
  <c r="AQ78" i="9" s="1"/>
  <c r="AP78" i="9" a="1"/>
  <c r="AP78" i="9" s="1"/>
  <c r="AO78" i="9" a="1"/>
  <c r="AO78" i="9" s="1"/>
  <c r="AN78" i="9" a="1"/>
  <c r="AN78" i="9" s="1"/>
  <c r="AM78" i="9" a="1"/>
  <c r="AM78" i="9" s="1"/>
  <c r="AL78" i="9" a="1"/>
  <c r="AL78" i="9" s="1"/>
  <c r="AK78" i="9" a="1"/>
  <c r="AK78" i="9" s="1"/>
  <c r="AJ78" i="9" a="1"/>
  <c r="AJ78" i="9" s="1"/>
  <c r="AI78" i="9" a="1"/>
  <c r="AI78" i="9" s="1"/>
  <c r="AH78" i="9" a="1"/>
  <c r="AH78" i="9" s="1"/>
  <c r="AG78" i="9" a="1"/>
  <c r="AG78" i="9" s="1"/>
  <c r="AF78" i="9" a="1"/>
  <c r="AF78" i="9" s="1"/>
  <c r="AE78" i="9" a="1"/>
  <c r="AE78" i="9" s="1"/>
  <c r="AD78" i="9" a="1"/>
  <c r="AD78" i="9" s="1"/>
  <c r="AC78" i="9" a="1"/>
  <c r="AC78" i="9" s="1"/>
  <c r="AB78" i="9" a="1"/>
  <c r="AB78" i="9" s="1"/>
  <c r="AA78" i="9" a="1"/>
  <c r="AA78" i="9" s="1"/>
  <c r="Z78" i="9" a="1"/>
  <c r="Z78" i="9" s="1"/>
  <c r="Y78" i="9" a="1"/>
  <c r="Y78" i="9" s="1"/>
  <c r="X78" i="9" a="1"/>
  <c r="X78" i="9" s="1"/>
  <c r="W78" i="9" a="1"/>
  <c r="W78" i="9" s="1"/>
  <c r="V78" i="9" a="1"/>
  <c r="V78" i="9" s="1"/>
  <c r="U78" i="9" a="1"/>
  <c r="U78" i="9" s="1"/>
  <c r="T78" i="9" a="1"/>
  <c r="T78" i="9" s="1"/>
  <c r="S78" i="9" a="1"/>
  <c r="S78" i="9" s="1"/>
  <c r="R78" i="9" a="1"/>
  <c r="R78" i="9" s="1"/>
  <c r="Q78" i="9" a="1"/>
  <c r="Q78" i="9" s="1"/>
  <c r="P78" i="9" a="1"/>
  <c r="P78" i="9" s="1"/>
  <c r="O78" i="9" a="1"/>
  <c r="O78" i="9" s="1"/>
  <c r="BI77" i="9" a="1"/>
  <c r="BI77" i="9" s="1"/>
  <c r="BH77" i="9" a="1"/>
  <c r="BH77" i="9" s="1"/>
  <c r="BG77" i="9" a="1"/>
  <c r="BG77" i="9" s="1"/>
  <c r="BF77" i="9" a="1"/>
  <c r="BF77" i="9" s="1"/>
  <c r="BE77" i="9" a="1"/>
  <c r="BE77" i="9" s="1"/>
  <c r="BD77" i="9" a="1"/>
  <c r="BD77" i="9" s="1"/>
  <c r="BC77" i="9" a="1"/>
  <c r="BC77" i="9" s="1"/>
  <c r="BB77" i="9" a="1"/>
  <c r="BB77" i="9" s="1"/>
  <c r="BA77" i="9" a="1"/>
  <c r="BA77" i="9" s="1"/>
  <c r="AZ77" i="9" a="1"/>
  <c r="AZ77" i="9" s="1"/>
  <c r="AY77" i="9" a="1"/>
  <c r="AY77" i="9" s="1"/>
  <c r="AX77" i="9" a="1"/>
  <c r="AX77" i="9" s="1"/>
  <c r="AW77" i="9" a="1"/>
  <c r="AW77" i="9" s="1"/>
  <c r="AV77" i="9" a="1"/>
  <c r="AV77" i="9" s="1"/>
  <c r="AU77" i="9" a="1"/>
  <c r="AU77" i="9" s="1"/>
  <c r="AT77" i="9" a="1"/>
  <c r="AT77" i="9" s="1"/>
  <c r="AS77" i="9" a="1"/>
  <c r="AS77" i="9" s="1"/>
  <c r="AR77" i="9" a="1"/>
  <c r="AR77" i="9" s="1"/>
  <c r="AQ77" i="9" a="1"/>
  <c r="AQ77" i="9" s="1"/>
  <c r="AP77" i="9" a="1"/>
  <c r="AP77" i="9" s="1"/>
  <c r="AO77" i="9" a="1"/>
  <c r="AO77" i="9" s="1"/>
  <c r="AN77" i="9" a="1"/>
  <c r="AN77" i="9" s="1"/>
  <c r="AM77" i="9" a="1"/>
  <c r="AM77" i="9" s="1"/>
  <c r="AL77" i="9" a="1"/>
  <c r="AL77" i="9" s="1"/>
  <c r="AK77" i="9" a="1"/>
  <c r="AK77" i="9" s="1"/>
  <c r="AJ77" i="9" a="1"/>
  <c r="AJ77" i="9" s="1"/>
  <c r="AI77" i="9" a="1"/>
  <c r="AI77" i="9" s="1"/>
  <c r="AH77" i="9" a="1"/>
  <c r="AH77" i="9" s="1"/>
  <c r="AG77" i="9" a="1"/>
  <c r="AG77" i="9" s="1"/>
  <c r="AF77" i="9" a="1"/>
  <c r="AF77" i="9" s="1"/>
  <c r="AE77" i="9" a="1"/>
  <c r="AE77" i="9" s="1"/>
  <c r="AD77" i="9" a="1"/>
  <c r="AD77" i="9" s="1"/>
  <c r="AC77" i="9" a="1"/>
  <c r="AC77" i="9" s="1"/>
  <c r="AB77" i="9" a="1"/>
  <c r="AB77" i="9" s="1"/>
  <c r="AA77" i="9" a="1"/>
  <c r="AA77" i="9" s="1"/>
  <c r="Z77" i="9" a="1"/>
  <c r="Z77" i="9" s="1"/>
  <c r="Y77" i="9" a="1"/>
  <c r="Y77" i="9" s="1"/>
  <c r="X77" i="9" a="1"/>
  <c r="X77" i="9" s="1"/>
  <c r="W77" i="9" a="1"/>
  <c r="W77" i="9" s="1"/>
  <c r="V77" i="9" a="1"/>
  <c r="V77" i="9" s="1"/>
  <c r="U77" i="9" a="1"/>
  <c r="U77" i="9" s="1"/>
  <c r="T77" i="9" a="1"/>
  <c r="T77" i="9" s="1"/>
  <c r="S77" i="9" a="1"/>
  <c r="S77" i="9" s="1"/>
  <c r="R77" i="9" a="1"/>
  <c r="R77" i="9" s="1"/>
  <c r="Q77" i="9" a="1"/>
  <c r="Q77" i="9" s="1"/>
  <c r="P77" i="9" a="1"/>
  <c r="P77" i="9" s="1"/>
  <c r="O77" i="9" a="1"/>
  <c r="O77" i="9" s="1"/>
  <c r="BI76" i="9" a="1"/>
  <c r="BI76" i="9" s="1"/>
  <c r="BH76" i="9" a="1"/>
  <c r="BH76" i="9" s="1"/>
  <c r="BG76" i="9" a="1"/>
  <c r="BG76" i="9" s="1"/>
  <c r="BF76" i="9" a="1"/>
  <c r="BF76" i="9" s="1"/>
  <c r="BE76" i="9" a="1"/>
  <c r="BE76" i="9" s="1"/>
  <c r="BD76" i="9" a="1"/>
  <c r="BD76" i="9" s="1"/>
  <c r="BC76" i="9" a="1"/>
  <c r="BC76" i="9" s="1"/>
  <c r="BB76" i="9" a="1"/>
  <c r="BB76" i="9" s="1"/>
  <c r="BA76" i="9" a="1"/>
  <c r="BA76" i="9" s="1"/>
  <c r="AZ76" i="9" a="1"/>
  <c r="AZ76" i="9" s="1"/>
  <c r="AY76" i="9" a="1"/>
  <c r="AY76" i="9" s="1"/>
  <c r="AX76" i="9" a="1"/>
  <c r="AX76" i="9" s="1"/>
  <c r="AW76" i="9" a="1"/>
  <c r="AW76" i="9" s="1"/>
  <c r="AV76" i="9" a="1"/>
  <c r="AV76" i="9" s="1"/>
  <c r="AU76" i="9" a="1"/>
  <c r="AU76" i="9" s="1"/>
  <c r="AT76" i="9" a="1"/>
  <c r="AT76" i="9" s="1"/>
  <c r="AS76" i="9" a="1"/>
  <c r="AS76" i="9" s="1"/>
  <c r="AR76" i="9" a="1"/>
  <c r="AR76" i="9" s="1"/>
  <c r="AQ76" i="9" a="1"/>
  <c r="AQ76" i="9" s="1"/>
  <c r="AP76" i="9" a="1"/>
  <c r="AP76" i="9" s="1"/>
  <c r="AO76" i="9" a="1"/>
  <c r="AO76" i="9" s="1"/>
  <c r="AN76" i="9" a="1"/>
  <c r="AN76" i="9" s="1"/>
  <c r="AM76" i="9" a="1"/>
  <c r="AM76" i="9" s="1"/>
  <c r="AL76" i="9" a="1"/>
  <c r="AL76" i="9" s="1"/>
  <c r="AK76" i="9" a="1"/>
  <c r="AK76" i="9" s="1"/>
  <c r="AJ76" i="9" a="1"/>
  <c r="AJ76" i="9" s="1"/>
  <c r="AI76" i="9" a="1"/>
  <c r="AI76" i="9" s="1"/>
  <c r="AH76" i="9" a="1"/>
  <c r="AH76" i="9" s="1"/>
  <c r="AG76" i="9" a="1"/>
  <c r="AG76" i="9" s="1"/>
  <c r="AF76" i="9" a="1"/>
  <c r="AF76" i="9" s="1"/>
  <c r="AE76" i="9" a="1"/>
  <c r="AE76" i="9" s="1"/>
  <c r="AD76" i="9" a="1"/>
  <c r="AD76" i="9" s="1"/>
  <c r="AC76" i="9" a="1"/>
  <c r="AC76" i="9" s="1"/>
  <c r="AB76" i="9" a="1"/>
  <c r="AB76" i="9" s="1"/>
  <c r="AA76" i="9" a="1"/>
  <c r="AA76" i="9" s="1"/>
  <c r="Z76" i="9" a="1"/>
  <c r="Z76" i="9" s="1"/>
  <c r="Y76" i="9" a="1"/>
  <c r="Y76" i="9" s="1"/>
  <c r="X76" i="9" a="1"/>
  <c r="X76" i="9" s="1"/>
  <c r="W76" i="9" a="1"/>
  <c r="W76" i="9" s="1"/>
  <c r="V76" i="9" a="1"/>
  <c r="V76" i="9" s="1"/>
  <c r="U76" i="9" a="1"/>
  <c r="U76" i="9" s="1"/>
  <c r="T76" i="9" a="1"/>
  <c r="T76" i="9" s="1"/>
  <c r="S76" i="9" a="1"/>
  <c r="S76" i="9" s="1"/>
  <c r="R76" i="9" a="1"/>
  <c r="R76" i="9" s="1"/>
  <c r="Q76" i="9" a="1"/>
  <c r="Q76" i="9" s="1"/>
  <c r="P76" i="9" a="1"/>
  <c r="P76" i="9" s="1"/>
  <c r="O76" i="9" a="1"/>
  <c r="O76" i="9" s="1"/>
  <c r="N80" i="9" a="1"/>
  <c r="N80" i="9" s="1"/>
  <c r="N79" i="9" a="1"/>
  <c r="N79" i="9" s="1"/>
  <c r="N78" i="9" a="1"/>
  <c r="N78" i="9" s="1"/>
  <c r="N77" i="9" a="1"/>
  <c r="N77" i="9" s="1"/>
  <c r="N76" i="9" a="1"/>
  <c r="N76" i="9" s="1"/>
  <c r="I47" i="9" l="1"/>
  <c r="I27" i="9"/>
  <c r="BW138" i="11"/>
  <c r="BV138" i="11"/>
  <c r="BU138" i="11"/>
  <c r="BT138" i="11"/>
  <c r="BS138" i="11"/>
  <c r="BR138" i="11"/>
  <c r="BQ138" i="11"/>
  <c r="BP138" i="11"/>
  <c r="BO138" i="11"/>
  <c r="BN138" i="11"/>
  <c r="BM138" i="11"/>
  <c r="BL138" i="11"/>
  <c r="BK138" i="11"/>
  <c r="BJ138" i="11"/>
  <c r="BI138" i="11"/>
  <c r="BH138" i="11"/>
  <c r="BG138" i="11"/>
  <c r="BF138" i="11"/>
  <c r="BE138" i="11"/>
  <c r="BD138" i="11"/>
  <c r="BC138" i="11"/>
  <c r="BB138" i="11"/>
  <c r="BA138" i="11"/>
  <c r="AZ138" i="11"/>
  <c r="AY138" i="11"/>
  <c r="AX138" i="11"/>
  <c r="AW138" i="11"/>
  <c r="AV138" i="11"/>
  <c r="AU138" i="11"/>
  <c r="AT138" i="11"/>
  <c r="AS138" i="11"/>
  <c r="AR138" i="11"/>
  <c r="AQ138" i="11"/>
  <c r="AP138" i="11"/>
  <c r="AO138" i="11"/>
  <c r="AN138" i="11"/>
  <c r="AM138" i="11"/>
  <c r="AL138" i="11"/>
  <c r="AK138" i="11"/>
  <c r="AJ138" i="11"/>
  <c r="AI138" i="11"/>
  <c r="AH138" i="11"/>
  <c r="AG138" i="11"/>
  <c r="BW137" i="11"/>
  <c r="BV137" i="11"/>
  <c r="BU137" i="11"/>
  <c r="BT137" i="11"/>
  <c r="BS137" i="11"/>
  <c r="BR137" i="11"/>
  <c r="BQ137" i="11"/>
  <c r="BP137" i="11"/>
  <c r="BO137" i="11"/>
  <c r="BN137" i="11"/>
  <c r="BM137" i="11"/>
  <c r="BL137" i="11"/>
  <c r="BK137" i="11"/>
  <c r="BJ137" i="11"/>
  <c r="BI137" i="11"/>
  <c r="BH137" i="11"/>
  <c r="BG137" i="11"/>
  <c r="BF137" i="11"/>
  <c r="BE137" i="11"/>
  <c r="BD137" i="11"/>
  <c r="BC137" i="11"/>
  <c r="BB137" i="11"/>
  <c r="BA137" i="11"/>
  <c r="AZ137" i="11"/>
  <c r="AY137" i="11"/>
  <c r="AX137" i="11"/>
  <c r="AW137" i="11"/>
  <c r="AV137" i="11"/>
  <c r="AU137" i="11"/>
  <c r="AT137" i="11"/>
  <c r="AS137" i="11"/>
  <c r="AR137" i="11"/>
  <c r="AQ137" i="11"/>
  <c r="AP137" i="11"/>
  <c r="AO137" i="11"/>
  <c r="AN137" i="11"/>
  <c r="AM137" i="11"/>
  <c r="AL137" i="11"/>
  <c r="AK137" i="11"/>
  <c r="AJ137" i="11"/>
  <c r="AI137" i="11"/>
  <c r="AH137" i="11"/>
  <c r="AG137" i="11"/>
  <c r="AF138" i="11"/>
  <c r="AF137"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5" i="11"/>
  <c r="AF94" i="11"/>
  <c r="AF90" i="11"/>
  <c r="BW138" i="12"/>
  <c r="BV138" i="12"/>
  <c r="BU138" i="12"/>
  <c r="BT138" i="12"/>
  <c r="BS138" i="12"/>
  <c r="BR138" i="12"/>
  <c r="BQ138" i="12"/>
  <c r="BP138" i="12"/>
  <c r="BO138" i="12"/>
  <c r="BN138" i="12"/>
  <c r="BM138" i="12"/>
  <c r="BL138" i="12"/>
  <c r="BK138" i="12"/>
  <c r="BJ138" i="12"/>
  <c r="BI138" i="12"/>
  <c r="BH138" i="12"/>
  <c r="BG138" i="12"/>
  <c r="BF138" i="12"/>
  <c r="BE138" i="12"/>
  <c r="BD138" i="12"/>
  <c r="BC138" i="12"/>
  <c r="BB138" i="12"/>
  <c r="BA138" i="12"/>
  <c r="AZ138" i="12"/>
  <c r="AY138" i="12"/>
  <c r="AX138" i="12"/>
  <c r="AW138" i="12"/>
  <c r="AV138" i="12"/>
  <c r="AU138" i="12"/>
  <c r="AT138" i="12"/>
  <c r="AS138" i="12"/>
  <c r="AR138" i="12"/>
  <c r="AQ138" i="12"/>
  <c r="AP138" i="12"/>
  <c r="AO138" i="12"/>
  <c r="AN138" i="12"/>
  <c r="AM138" i="12"/>
  <c r="AL138" i="12"/>
  <c r="AK138" i="12"/>
  <c r="AJ138" i="12"/>
  <c r="AI138" i="12"/>
  <c r="AH138" i="12"/>
  <c r="AG138" i="12"/>
  <c r="BW137" i="12"/>
  <c r="BV137" i="12"/>
  <c r="BU137" i="12"/>
  <c r="BT137" i="12"/>
  <c r="BS137" i="12"/>
  <c r="BR137" i="12"/>
  <c r="BQ137" i="12"/>
  <c r="BP137" i="12"/>
  <c r="BO137" i="12"/>
  <c r="BN137" i="12"/>
  <c r="BM137" i="12"/>
  <c r="BL137" i="12"/>
  <c r="BK137" i="12"/>
  <c r="BJ137" i="12"/>
  <c r="BI137" i="12"/>
  <c r="BH137" i="12"/>
  <c r="BG137" i="12"/>
  <c r="BF137" i="12"/>
  <c r="BE137" i="12"/>
  <c r="BD137" i="12"/>
  <c r="BC137" i="12"/>
  <c r="BB137" i="12"/>
  <c r="BA137" i="12"/>
  <c r="AZ137" i="12"/>
  <c r="AY137" i="12"/>
  <c r="AX137" i="12"/>
  <c r="AW137" i="12"/>
  <c r="AV137" i="12"/>
  <c r="AU137" i="12"/>
  <c r="AT137" i="12"/>
  <c r="AS137" i="12"/>
  <c r="AR137" i="12"/>
  <c r="AQ137" i="12"/>
  <c r="AP137" i="12"/>
  <c r="AO137" i="12"/>
  <c r="AN137" i="12"/>
  <c r="AM137" i="12"/>
  <c r="AL137" i="12"/>
  <c r="AK137" i="12"/>
  <c r="AJ137" i="12"/>
  <c r="AI137" i="12"/>
  <c r="AH137" i="12"/>
  <c r="AG137" i="12"/>
  <c r="AF138" i="12"/>
  <c r="AF137"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5" i="12"/>
  <c r="AF94"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K31" i="19"/>
  <c r="K30" i="19"/>
  <c r="G25" i="19"/>
  <c r="G26" i="19" s="1"/>
  <c r="G27" i="19" s="1"/>
  <c r="G28" i="19" s="1"/>
  <c r="G29" i="19" s="1"/>
  <c r="G30" i="19" s="1"/>
  <c r="G31" i="19" s="1"/>
  <c r="A25" i="19"/>
  <c r="A26" i="19" s="1"/>
  <c r="A27" i="19" s="1"/>
  <c r="A28" i="19" s="1"/>
  <c r="A29" i="19" s="1"/>
  <c r="AC1" i="18"/>
  <c r="AB1" i="18"/>
  <c r="AA1" i="18"/>
  <c r="Z1" i="18"/>
  <c r="Y1" i="18"/>
  <c r="X1" i="18"/>
  <c r="W1" i="18"/>
  <c r="V1" i="18"/>
  <c r="U1" i="18"/>
  <c r="T1" i="18"/>
  <c r="S1" i="18"/>
  <c r="R1" i="18"/>
  <c r="Q1" i="18"/>
  <c r="P1" i="18"/>
  <c r="O1" i="18"/>
  <c r="N1" i="18"/>
  <c r="M1" i="18"/>
  <c r="L1" i="18"/>
  <c r="K1" i="18"/>
  <c r="J1" i="18"/>
  <c r="I1" i="18"/>
  <c r="H1" i="18"/>
  <c r="G1" i="18"/>
  <c r="F1" i="18"/>
  <c r="E1" i="18"/>
  <c r="D1" i="18"/>
  <c r="C1" i="18"/>
  <c r="B1" i="18"/>
  <c r="AC1" i="17"/>
  <c r="AB1" i="17"/>
  <c r="AA1" i="17"/>
  <c r="Z1" i="17"/>
  <c r="Y1" i="17"/>
  <c r="X1" i="17"/>
  <c r="W1" i="17"/>
  <c r="V1" i="17"/>
  <c r="U1" i="17"/>
  <c r="T1" i="17"/>
  <c r="S1" i="17"/>
  <c r="R1" i="17"/>
  <c r="Q1" i="17"/>
  <c r="P1" i="17"/>
  <c r="O1" i="17"/>
  <c r="N1" i="17"/>
  <c r="M1" i="17"/>
  <c r="L1" i="17"/>
  <c r="K1" i="17"/>
  <c r="J1" i="17"/>
  <c r="I1" i="17"/>
  <c r="H1" i="17"/>
  <c r="G1" i="17"/>
  <c r="F1" i="17"/>
  <c r="E1" i="17"/>
  <c r="D1" i="17"/>
  <c r="C1" i="17"/>
  <c r="B1" i="17"/>
  <c r="AC1" i="16"/>
  <c r="AB1" i="16"/>
  <c r="AA1" i="16"/>
  <c r="Z1" i="16"/>
  <c r="Y1" i="16"/>
  <c r="X1" i="16"/>
  <c r="W1" i="16"/>
  <c r="V1" i="16"/>
  <c r="U1" i="16"/>
  <c r="T1" i="16"/>
  <c r="S1" i="16"/>
  <c r="R1" i="16"/>
  <c r="Q1" i="16"/>
  <c r="P1" i="16"/>
  <c r="O1" i="16"/>
  <c r="N1" i="16"/>
  <c r="M1" i="16"/>
  <c r="L1" i="16"/>
  <c r="K1" i="16"/>
  <c r="J1" i="16"/>
  <c r="I1" i="16"/>
  <c r="H1" i="16"/>
  <c r="G1" i="16"/>
  <c r="F1" i="16"/>
  <c r="E1" i="16"/>
  <c r="D1" i="16"/>
  <c r="C1" i="16"/>
  <c r="B1" i="16"/>
  <c r="AZ128" i="15"/>
  <c r="BA128" i="15" s="1"/>
  <c r="BB128" i="15" s="1"/>
  <c r="BC128" i="15" s="1"/>
  <c r="BD128" i="15" s="1"/>
  <c r="BE128" i="15" s="1"/>
  <c r="BF128" i="15" s="1"/>
  <c r="BG128" i="15" s="1"/>
  <c r="BH128" i="15" s="1"/>
  <c r="BI128" i="15" s="1"/>
  <c r="BJ128" i="15" s="1"/>
  <c r="AY128" i="15"/>
  <c r="AX127" i="15"/>
  <c r="AY127" i="15" s="1"/>
  <c r="AZ127" i="15" s="1"/>
  <c r="BA127" i="15" s="1"/>
  <c r="BB127" i="15" s="1"/>
  <c r="BC127" i="15" s="1"/>
  <c r="BD127" i="15" s="1"/>
  <c r="BE127" i="15" s="1"/>
  <c r="BF127" i="15" s="1"/>
  <c r="BG127" i="15" s="1"/>
  <c r="BH127" i="15" s="1"/>
  <c r="BI127" i="15" s="1"/>
  <c r="F81" i="15"/>
  <c r="E81" i="15"/>
  <c r="D81" i="15"/>
  <c r="D80" i="15"/>
  <c r="C80" i="15"/>
  <c r="B80" i="15"/>
  <c r="BB76" i="15"/>
  <c r="BC76" i="15" s="1"/>
  <c r="BD76" i="15" s="1"/>
  <c r="BE76" i="15" s="1"/>
  <c r="BF76" i="15" s="1"/>
  <c r="BG76" i="15" s="1"/>
  <c r="BH76" i="15" s="1"/>
  <c r="BI76" i="15" s="1"/>
  <c r="BJ76" i="15" s="1"/>
  <c r="AZ76" i="15"/>
  <c r="BA76" i="15" s="1"/>
  <c r="AY76" i="15"/>
  <c r="AX75" i="15"/>
  <c r="AY75" i="15" s="1"/>
  <c r="AZ75" i="15" s="1"/>
  <c r="BA75" i="15" s="1"/>
  <c r="BB75" i="15" s="1"/>
  <c r="BC75" i="15" s="1"/>
  <c r="BD75" i="15" s="1"/>
  <c r="BE75" i="15" s="1"/>
  <c r="BF75" i="15" s="1"/>
  <c r="BG75" i="15" s="1"/>
  <c r="BH75" i="15" s="1"/>
  <c r="BI75" i="15" s="1"/>
  <c r="A30" i="15"/>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E29" i="15"/>
  <c r="F29" i="15" s="1"/>
  <c r="D29" i="15"/>
  <c r="A29" i="15"/>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D28" i="15"/>
  <c r="D22" i="15"/>
  <c r="D21" i="15"/>
  <c r="E16" i="15"/>
  <c r="E8" i="15"/>
  <c r="E3" i="15"/>
  <c r="E5" i="15" s="1"/>
  <c r="F3" i="15" s="1"/>
  <c r="F5" i="15" s="1"/>
  <c r="G3" i="15" s="1"/>
  <c r="G5" i="15" s="1"/>
  <c r="H3" i="15" s="1"/>
  <c r="H5" i="15" s="1"/>
  <c r="I3" i="15" s="1"/>
  <c r="I5" i="15" s="1"/>
  <c r="J3" i="15" s="1"/>
  <c r="J5" i="15" s="1"/>
  <c r="K3" i="15" s="1"/>
  <c r="K5" i="15" s="1"/>
  <c r="L3" i="15" s="1"/>
  <c r="L5" i="15" s="1"/>
  <c r="M3" i="15" s="1"/>
  <c r="M5" i="15" s="1"/>
  <c r="N3" i="15" s="1"/>
  <c r="N5" i="15" s="1"/>
  <c r="O3" i="15" s="1"/>
  <c r="O5" i="15" s="1"/>
  <c r="P3" i="15" s="1"/>
  <c r="P5" i="15" s="1"/>
  <c r="Q3" i="15" s="1"/>
  <c r="Q5" i="15" s="1"/>
  <c r="R3" i="15" s="1"/>
  <c r="R5" i="15" s="1"/>
  <c r="S3" i="15" s="1"/>
  <c r="S5" i="15" s="1"/>
  <c r="T3" i="15" s="1"/>
  <c r="T5" i="15" s="1"/>
  <c r="U3" i="15" s="1"/>
  <c r="U5" i="15" s="1"/>
  <c r="V3" i="15" s="1"/>
  <c r="V5" i="15" s="1"/>
  <c r="W3" i="15" s="1"/>
  <c r="W5" i="15" s="1"/>
  <c r="X3" i="15" s="1"/>
  <c r="X5" i="15" s="1"/>
  <c r="Y3" i="15" s="1"/>
  <c r="Y5" i="15" s="1"/>
  <c r="Z3" i="15" s="1"/>
  <c r="Z5" i="15" s="1"/>
  <c r="AA3" i="15" s="1"/>
  <c r="AA5" i="15" s="1"/>
  <c r="AB3" i="15" s="1"/>
  <c r="AB5" i="15" s="1"/>
  <c r="AC3" i="15" s="1"/>
  <c r="AC5" i="15" s="1"/>
  <c r="AD3" i="15" s="1"/>
  <c r="AD5" i="15" s="1"/>
  <c r="AE3" i="15" s="1"/>
  <c r="AE5" i="15" s="1"/>
  <c r="AF3" i="15" s="1"/>
  <c r="AF5" i="15" s="1"/>
  <c r="AG3" i="15" s="1"/>
  <c r="AG5" i="15" s="1"/>
  <c r="AH3" i="15" s="1"/>
  <c r="AH5" i="15" s="1"/>
  <c r="AI3" i="15" s="1"/>
  <c r="AI5" i="15" s="1"/>
  <c r="AJ3" i="15" s="1"/>
  <c r="AJ5" i="15" s="1"/>
  <c r="AK3" i="15" s="1"/>
  <c r="AK5" i="15" s="1"/>
  <c r="AL3" i="15" s="1"/>
  <c r="AL5" i="15" s="1"/>
  <c r="AM3" i="15" s="1"/>
  <c r="AM5" i="15" s="1"/>
  <c r="AN3" i="15" s="1"/>
  <c r="AN5" i="15" s="1"/>
  <c r="AO3" i="15" s="1"/>
  <c r="AO5" i="15" s="1"/>
  <c r="AP3" i="15" s="1"/>
  <c r="AP5" i="15" s="1"/>
  <c r="AQ3" i="15" s="1"/>
  <c r="AQ5" i="15" s="1"/>
  <c r="AR3" i="15" s="1"/>
  <c r="AR5" i="15" s="1"/>
  <c r="AS3" i="15" s="1"/>
  <c r="AS5" i="15" s="1"/>
  <c r="AT3" i="15" s="1"/>
  <c r="AT5" i="15" s="1"/>
  <c r="AU3" i="15" s="1"/>
  <c r="AU5" i="15" s="1"/>
  <c r="AV3" i="15" s="1"/>
  <c r="AV5" i="15" s="1"/>
  <c r="AW3" i="15" s="1"/>
  <c r="AW5" i="15" s="1"/>
  <c r="E1" i="15"/>
  <c r="B34" i="13"/>
  <c r="C27" i="13"/>
  <c r="C28" i="13" s="1"/>
  <c r="C26" i="13"/>
  <c r="B18" i="13"/>
  <c r="B17" i="13"/>
  <c r="C11" i="13"/>
  <c r="C9" i="13"/>
  <c r="E7" i="13"/>
  <c r="E8" i="13" s="1"/>
  <c r="C7" i="13"/>
  <c r="C8" i="13" s="1"/>
  <c r="E6" i="13"/>
  <c r="D6" i="13"/>
  <c r="C6" i="13"/>
  <c r="D5" i="13"/>
  <c r="C5" i="13"/>
  <c r="D4" i="13"/>
  <c r="D2" i="13"/>
  <c r="D25" i="13" s="1"/>
  <c r="C2" i="13"/>
  <c r="C25" i="13" s="1"/>
  <c r="C29" i="13" s="1"/>
  <c r="D24" i="13" s="1"/>
  <c r="E1" i="13"/>
  <c r="D1" i="13"/>
  <c r="D26" i="13" s="1"/>
  <c r="AE177" i="12"/>
  <c r="AD177" i="12"/>
  <c r="AC177" i="12"/>
  <c r="AB177" i="12"/>
  <c r="AA177" i="12"/>
  <c r="Z177" i="12"/>
  <c r="Y177" i="12"/>
  <c r="X177" i="12"/>
  <c r="W177" i="12"/>
  <c r="V177" i="12"/>
  <c r="U177" i="12"/>
  <c r="T177" i="12"/>
  <c r="S177" i="12"/>
  <c r="R177" i="12"/>
  <c r="Q177" i="12"/>
  <c r="P177" i="12"/>
  <c r="O177" i="12"/>
  <c r="N177" i="12"/>
  <c r="M177" i="12"/>
  <c r="L177" i="12"/>
  <c r="K177" i="12"/>
  <c r="J177" i="12"/>
  <c r="I177" i="12"/>
  <c r="H177" i="12"/>
  <c r="G177" i="12"/>
  <c r="F177" i="12"/>
  <c r="E177" i="12"/>
  <c r="D177" i="12"/>
  <c r="AE176" i="12"/>
  <c r="AD176" i="12"/>
  <c r="AC176" i="12"/>
  <c r="AB176" i="12"/>
  <c r="AA176" i="12"/>
  <c r="Z176" i="12"/>
  <c r="Y176" i="12"/>
  <c r="X176" i="12"/>
  <c r="W176" i="12"/>
  <c r="V176" i="12"/>
  <c r="U176" i="12"/>
  <c r="T176" i="12"/>
  <c r="S176" i="12"/>
  <c r="R176" i="12"/>
  <c r="Q176" i="12"/>
  <c r="P176" i="12"/>
  <c r="O176" i="12"/>
  <c r="N176" i="12"/>
  <c r="M176" i="12"/>
  <c r="L176" i="12"/>
  <c r="K176" i="12"/>
  <c r="J176" i="12"/>
  <c r="I176" i="12"/>
  <c r="H176" i="12"/>
  <c r="G176" i="12"/>
  <c r="F176" i="12"/>
  <c r="E176" i="12"/>
  <c r="D17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D96"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D92" i="12"/>
  <c r="AK66" i="12"/>
  <c r="F1" i="12"/>
  <c r="E1" i="12"/>
  <c r="AE177" i="11"/>
  <c r="AD177" i="11"/>
  <c r="AC177" i="11"/>
  <c r="AB177" i="11"/>
  <c r="AA177" i="11"/>
  <c r="Z177" i="11"/>
  <c r="Y177" i="11"/>
  <c r="X177" i="11"/>
  <c r="W177" i="11"/>
  <c r="V177" i="11"/>
  <c r="U177" i="11"/>
  <c r="T177" i="11"/>
  <c r="S177" i="11"/>
  <c r="R177" i="11"/>
  <c r="Q177" i="11"/>
  <c r="P177" i="11"/>
  <c r="O177" i="11"/>
  <c r="N177" i="11"/>
  <c r="M177" i="11"/>
  <c r="L177" i="11"/>
  <c r="K177" i="11"/>
  <c r="J177" i="11"/>
  <c r="I177" i="11"/>
  <c r="H177" i="11"/>
  <c r="G177" i="11"/>
  <c r="F177" i="11"/>
  <c r="E177" i="11"/>
  <c r="D177" i="11"/>
  <c r="AE176" i="11"/>
  <c r="AD176" i="11"/>
  <c r="AC176" i="11"/>
  <c r="AB176" i="11"/>
  <c r="AA176" i="11"/>
  <c r="Z176" i="11"/>
  <c r="Y176" i="11"/>
  <c r="X176" i="11"/>
  <c r="W176" i="11"/>
  <c r="V176" i="11"/>
  <c r="U176" i="11"/>
  <c r="T176" i="11"/>
  <c r="S176" i="11"/>
  <c r="R176" i="11"/>
  <c r="Q176" i="11"/>
  <c r="P176" i="11"/>
  <c r="O176" i="11"/>
  <c r="N176" i="11"/>
  <c r="M176" i="11"/>
  <c r="L176" i="11"/>
  <c r="K176" i="11"/>
  <c r="J176" i="11"/>
  <c r="I176" i="11"/>
  <c r="H176" i="11"/>
  <c r="G176" i="11"/>
  <c r="F176" i="11"/>
  <c r="E176" i="11"/>
  <c r="D17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D96"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D92" i="11"/>
  <c r="AH66" i="11"/>
  <c r="AG66" i="11"/>
  <c r="AH61" i="11"/>
  <c r="AG61" i="11"/>
  <c r="AF61" i="11"/>
  <c r="G1" i="11"/>
  <c r="F1" i="11"/>
  <c r="E1" i="11"/>
  <c r="B80" i="10"/>
  <c r="B79" i="10"/>
  <c r="B78" i="10"/>
  <c r="B77" i="10"/>
  <c r="B76"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K64" i="10"/>
  <c r="I64" i="10"/>
  <c r="D64" i="10"/>
  <c r="BI63" i="10"/>
  <c r="BH63" i="10"/>
  <c r="BG63" i="10"/>
  <c r="BF63" i="10"/>
  <c r="BE63" i="10"/>
  <c r="BD63" i="10"/>
  <c r="BC63" i="10"/>
  <c r="BB63" i="10"/>
  <c r="BA63" i="10"/>
  <c r="AZ63" i="10"/>
  <c r="AY63" i="10"/>
  <c r="AX63" i="10"/>
  <c r="AW63" i="10"/>
  <c r="AV63" i="10"/>
  <c r="AU63" i="10"/>
  <c r="AT63" i="10"/>
  <c r="AS63" i="10"/>
  <c r="AR63" i="10"/>
  <c r="AQ63" i="10"/>
  <c r="AP63" i="10"/>
  <c r="AO63" i="10"/>
  <c r="AN63" i="10"/>
  <c r="AM63" i="10"/>
  <c r="AL63" i="10"/>
  <c r="AK63" i="10"/>
  <c r="AJ63" i="10"/>
  <c r="AI63" i="10"/>
  <c r="AH63" i="10"/>
  <c r="AG63" i="10"/>
  <c r="AF63" i="10"/>
  <c r="AE63" i="10"/>
  <c r="AD63" i="10"/>
  <c r="AC63" i="10"/>
  <c r="AB63" i="10"/>
  <c r="AA63" i="10"/>
  <c r="Z63" i="10"/>
  <c r="Y63" i="10"/>
  <c r="X63" i="10"/>
  <c r="W63" i="10"/>
  <c r="V63" i="10"/>
  <c r="U63" i="10"/>
  <c r="T63" i="10"/>
  <c r="S63" i="10"/>
  <c r="R63" i="10"/>
  <c r="Q63" i="10"/>
  <c r="P63" i="10"/>
  <c r="O63" i="10"/>
  <c r="N63" i="10"/>
  <c r="I63" i="10"/>
  <c r="K63" i="10" s="1"/>
  <c r="D63" i="10"/>
  <c r="BI62" i="10"/>
  <c r="BH62" i="10"/>
  <c r="BG62" i="10"/>
  <c r="BF62" i="10"/>
  <c r="BE62" i="10"/>
  <c r="BD62" i="10"/>
  <c r="BC62" i="10"/>
  <c r="BB62" i="10"/>
  <c r="BA62" i="10"/>
  <c r="AZ62" i="10"/>
  <c r="AY62" i="10"/>
  <c r="AX62" i="10"/>
  <c r="AW62" i="10"/>
  <c r="AV62" i="10"/>
  <c r="AU62" i="10"/>
  <c r="AT62" i="10"/>
  <c r="AS62" i="10"/>
  <c r="AR62" i="10"/>
  <c r="AQ62" i="10"/>
  <c r="AP62" i="10"/>
  <c r="AO62" i="10"/>
  <c r="AN62" i="10"/>
  <c r="AM62" i="10"/>
  <c r="AL62" i="10"/>
  <c r="AK62" i="10"/>
  <c r="AJ62" i="10"/>
  <c r="AI62" i="10"/>
  <c r="AH62" i="10"/>
  <c r="AG62" i="10"/>
  <c r="AF62" i="10"/>
  <c r="AE62" i="10"/>
  <c r="AD62" i="10"/>
  <c r="AC62" i="10"/>
  <c r="AB62" i="10"/>
  <c r="AA62" i="10"/>
  <c r="Z62" i="10"/>
  <c r="Y62" i="10"/>
  <c r="X62" i="10"/>
  <c r="W62" i="10"/>
  <c r="V62" i="10"/>
  <c r="U62" i="10"/>
  <c r="T62" i="10"/>
  <c r="S62" i="10"/>
  <c r="R62" i="10"/>
  <c r="Q62" i="10"/>
  <c r="P62" i="10"/>
  <c r="O62" i="10"/>
  <c r="N62" i="10"/>
  <c r="I62" i="10"/>
  <c r="K62" i="10" s="1"/>
  <c r="D62" i="10"/>
  <c r="N61" i="10"/>
  <c r="I61" i="10"/>
  <c r="K61" i="10" s="1"/>
  <c r="D61" i="10"/>
  <c r="N60" i="10"/>
  <c r="I60" i="10"/>
  <c r="K60" i="10" s="1"/>
  <c r="D60" i="10"/>
  <c r="N59" i="10"/>
  <c r="I59" i="10"/>
  <c r="K59" i="10" s="1"/>
  <c r="D59" i="10"/>
  <c r="N58" i="10"/>
  <c r="I58" i="10"/>
  <c r="K58" i="10" s="1"/>
  <c r="D58" i="10"/>
  <c r="N57" i="10"/>
  <c r="I57" i="10"/>
  <c r="K57" i="10" s="1"/>
  <c r="D57" i="10"/>
  <c r="O56" i="10"/>
  <c r="N56" i="10"/>
  <c r="I56" i="10"/>
  <c r="K56" i="10" s="1"/>
  <c r="D56" i="10"/>
  <c r="N55" i="10"/>
  <c r="I55" i="10"/>
  <c r="K55" i="10" s="1"/>
  <c r="D55" i="10"/>
  <c r="N54" i="10"/>
  <c r="K54" i="10"/>
  <c r="I54" i="10"/>
  <c r="D54" i="10"/>
  <c r="E53" i="10"/>
  <c r="N53" i="10" s="1"/>
  <c r="D53" i="10"/>
  <c r="BI52" i="10"/>
  <c r="BH52" i="10"/>
  <c r="BG52" i="10"/>
  <c r="BF52" i="10"/>
  <c r="BE52" i="10"/>
  <c r="BD52" i="10"/>
  <c r="BC52" i="10"/>
  <c r="BB52" i="10"/>
  <c r="BA52" i="10"/>
  <c r="AZ52" i="10"/>
  <c r="AY52" i="10"/>
  <c r="AX52" i="10"/>
  <c r="AW52" i="10"/>
  <c r="AV52" i="10"/>
  <c r="AU52" i="10"/>
  <c r="AT52" i="10"/>
  <c r="AS52" i="10"/>
  <c r="AR52" i="10"/>
  <c r="AQ52" i="10"/>
  <c r="AP52" i="10"/>
  <c r="AO52" i="10"/>
  <c r="AN52"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K52"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K51" i="10"/>
  <c r="I51" i="10"/>
  <c r="D51" i="10"/>
  <c r="BI50" i="10"/>
  <c r="BH50" i="10"/>
  <c r="BG50" i="10"/>
  <c r="BF50" i="10"/>
  <c r="BE50" i="10"/>
  <c r="BD50" i="10"/>
  <c r="BC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I50" i="10"/>
  <c r="K50" i="10" s="1"/>
  <c r="D50"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I49" i="10"/>
  <c r="K49" i="10" s="1"/>
  <c r="D49"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I48" i="10"/>
  <c r="K48" i="10" s="1"/>
  <c r="D48"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K47" i="10"/>
  <c r="I47" i="10"/>
  <c r="D47"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I46" i="10"/>
  <c r="K46" i="10" s="1"/>
  <c r="D46" i="10"/>
  <c r="BI45" i="10"/>
  <c r="BH45" i="10"/>
  <c r="BG45" i="10"/>
  <c r="BF45" i="10"/>
  <c r="BE45" i="10"/>
  <c r="BD45" i="10"/>
  <c r="BC45" i="10"/>
  <c r="BB45" i="10"/>
  <c r="BA45" i="10"/>
  <c r="AZ45" i="10"/>
  <c r="AY45" i="10"/>
  <c r="AX45" i="10"/>
  <c r="AW45" i="10"/>
  <c r="AV45" i="10"/>
  <c r="AU45" i="10"/>
  <c r="AT45" i="10"/>
  <c r="AS45" i="10"/>
  <c r="AR45" i="10"/>
  <c r="AQ45" i="10"/>
  <c r="AP45" i="10"/>
  <c r="AO45" i="10"/>
  <c r="AN45"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I45" i="10"/>
  <c r="K45" i="10" s="1"/>
  <c r="D45" i="10"/>
  <c r="BI44" i="10"/>
  <c r="BH44" i="10"/>
  <c r="BG44" i="10"/>
  <c r="BF44" i="10"/>
  <c r="BE44" i="10"/>
  <c r="BD44" i="10"/>
  <c r="BC44" i="10"/>
  <c r="BB44"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K44" i="10"/>
  <c r="I44" i="10"/>
  <c r="D44" i="10"/>
  <c r="O43" i="10"/>
  <c r="N43" i="10"/>
  <c r="K43" i="10"/>
  <c r="I43" i="10"/>
  <c r="D43" i="10"/>
  <c r="P42" i="10"/>
  <c r="N42" i="10"/>
  <c r="K42" i="10"/>
  <c r="I42" i="10"/>
  <c r="D42" i="10"/>
  <c r="O41" i="10"/>
  <c r="N41" i="10"/>
  <c r="K41" i="10"/>
  <c r="I41" i="10"/>
  <c r="D41" i="10"/>
  <c r="P40" i="10"/>
  <c r="O40" i="10"/>
  <c r="N40" i="10"/>
  <c r="E40" i="10"/>
  <c r="I40" i="10" s="1"/>
  <c r="K40" i="10" s="1"/>
  <c r="D40" i="10"/>
  <c r="BI39" i="10"/>
  <c r="BH39" i="10"/>
  <c r="BG39" i="10"/>
  <c r="BF39" i="10"/>
  <c r="BE39" i="10"/>
  <c r="BD39" i="10"/>
  <c r="BC39" i="10"/>
  <c r="BB39" i="10"/>
  <c r="BA39" i="10"/>
  <c r="AZ39" i="10"/>
  <c r="AY39"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K39" i="10"/>
  <c r="BI38" i="10"/>
  <c r="BH38" i="10"/>
  <c r="BG38" i="10"/>
  <c r="BF38" i="10"/>
  <c r="BE38" i="10"/>
  <c r="BD38" i="10"/>
  <c r="BC38" i="10"/>
  <c r="BB38" i="10"/>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I38" i="10"/>
  <c r="K38" i="10" s="1"/>
  <c r="D38" i="10"/>
  <c r="BI37" i="10"/>
  <c r="BH37" i="10"/>
  <c r="BG37" i="10"/>
  <c r="BF37" i="10"/>
  <c r="BE37" i="10"/>
  <c r="BD37" i="10"/>
  <c r="BC37" i="10"/>
  <c r="BB37" i="10"/>
  <c r="BA37" i="10"/>
  <c r="AZ37" i="10"/>
  <c r="AY37" i="10"/>
  <c r="AX37" i="10"/>
  <c r="AW37" i="10"/>
  <c r="AV37" i="10"/>
  <c r="AU37" i="10"/>
  <c r="AT37" i="10"/>
  <c r="AS37" i="10"/>
  <c r="AR37" i="10"/>
  <c r="AQ37" i="10"/>
  <c r="AP37" i="10"/>
  <c r="AO37" i="10"/>
  <c r="AN37"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K37" i="10"/>
  <c r="I37" i="10"/>
  <c r="D37" i="10"/>
  <c r="BI36" i="10"/>
  <c r="BH36" i="10"/>
  <c r="BG36" i="10"/>
  <c r="BF36" i="10"/>
  <c r="BE36" i="10"/>
  <c r="BD36" i="10"/>
  <c r="BC36" i="10"/>
  <c r="BB36" i="10"/>
  <c r="BA36" i="10"/>
  <c r="AZ36" i="10"/>
  <c r="AY36" i="10"/>
  <c r="AX36" i="10"/>
  <c r="AW36" i="10"/>
  <c r="AV36" i="10"/>
  <c r="AU36" i="10"/>
  <c r="AT36" i="10"/>
  <c r="AS36" i="10"/>
  <c r="AR36" i="10"/>
  <c r="AQ36" i="10"/>
  <c r="AP36" i="10"/>
  <c r="AO36" i="10"/>
  <c r="AN36"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K36" i="10"/>
  <c r="I36" i="10"/>
  <c r="D36" i="10"/>
  <c r="BI35" i="10"/>
  <c r="BH35" i="10"/>
  <c r="BG35" i="10"/>
  <c r="BF35" i="10"/>
  <c r="BE35" i="10"/>
  <c r="BD35" i="10"/>
  <c r="BC35" i="10"/>
  <c r="BB35" i="10"/>
  <c r="BA35" i="10"/>
  <c r="AZ35" i="10"/>
  <c r="AY35" i="10"/>
  <c r="AX35" i="10"/>
  <c r="AW35" i="10"/>
  <c r="AV35" i="10"/>
  <c r="AU35" i="10"/>
  <c r="AT35" i="10"/>
  <c r="AS35" i="10"/>
  <c r="AR35" i="10"/>
  <c r="AQ35" i="10"/>
  <c r="AP35" i="10"/>
  <c r="AO35" i="10"/>
  <c r="AN35"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I35" i="10"/>
  <c r="K35" i="10" s="1"/>
  <c r="D35" i="10"/>
  <c r="O34" i="10"/>
  <c r="N34" i="10"/>
  <c r="I34" i="10"/>
  <c r="K34" i="10" s="1"/>
  <c r="D34" i="10"/>
  <c r="O33" i="10"/>
  <c r="N33" i="10"/>
  <c r="I33" i="10"/>
  <c r="K33" i="10" s="1"/>
  <c r="D33" i="10"/>
  <c r="BI32" i="10"/>
  <c r="BH32" i="10"/>
  <c r="BG32" i="10"/>
  <c r="BF32" i="10"/>
  <c r="BE32" i="10"/>
  <c r="BD32" i="10"/>
  <c r="BC32" i="10"/>
  <c r="BB32" i="10"/>
  <c r="BA32" i="10"/>
  <c r="AZ32" i="10"/>
  <c r="AY32" i="10"/>
  <c r="AX32" i="10"/>
  <c r="AW32" i="10"/>
  <c r="AV32" i="10"/>
  <c r="AU32" i="10"/>
  <c r="AT32" i="10"/>
  <c r="AS32" i="10"/>
  <c r="AR32" i="10"/>
  <c r="AQ32" i="10"/>
  <c r="AP32" i="10"/>
  <c r="AO32" i="10"/>
  <c r="AN32"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K32" i="10"/>
  <c r="BI31" i="10"/>
  <c r="BH31" i="10"/>
  <c r="BG31" i="10"/>
  <c r="BF31" i="10"/>
  <c r="BE31" i="10"/>
  <c r="BD31" i="10"/>
  <c r="BC31" i="10"/>
  <c r="BB31" i="10"/>
  <c r="BA31" i="10"/>
  <c r="AZ31" i="10"/>
  <c r="AY31" i="10"/>
  <c r="AX31" i="10"/>
  <c r="AW31" i="10"/>
  <c r="AV31" i="10"/>
  <c r="AU31" i="10"/>
  <c r="AT31" i="10"/>
  <c r="AS31" i="10"/>
  <c r="AR31" i="10"/>
  <c r="AQ31" i="10"/>
  <c r="AP31" i="10"/>
  <c r="AO31" i="10"/>
  <c r="AN31"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K31" i="10"/>
  <c r="I31" i="10"/>
  <c r="D31" i="10"/>
  <c r="BI30" i="10"/>
  <c r="BH30" i="10"/>
  <c r="BG30" i="10"/>
  <c r="BF30" i="10"/>
  <c r="BE30" i="10"/>
  <c r="BD30" i="10"/>
  <c r="BC30" i="10"/>
  <c r="BB30" i="10"/>
  <c r="BA30" i="10"/>
  <c r="AZ30" i="10"/>
  <c r="AY30" i="10"/>
  <c r="AX30" i="10"/>
  <c r="AW30" i="10"/>
  <c r="AV30" i="10"/>
  <c r="AU30" i="10"/>
  <c r="AT30" i="10"/>
  <c r="AS30" i="10"/>
  <c r="AR30" i="10"/>
  <c r="AQ30" i="10"/>
  <c r="AP30" i="10"/>
  <c r="AO30" i="10"/>
  <c r="AN30"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K30" i="10"/>
  <c r="I30" i="10"/>
  <c r="D30"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I29" i="10"/>
  <c r="K29" i="10" s="1"/>
  <c r="D29"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I28" i="10"/>
  <c r="K28" i="10" s="1"/>
  <c r="D28" i="10"/>
  <c r="BI27" i="10"/>
  <c r="BH27" i="10"/>
  <c r="BG27" i="10"/>
  <c r="BF27" i="10"/>
  <c r="BE27" i="10"/>
  <c r="BD27" i="10"/>
  <c r="BC27" i="10"/>
  <c r="BB27" i="10"/>
  <c r="BA27" i="10"/>
  <c r="AZ27" i="10"/>
  <c r="AY27" i="10"/>
  <c r="AX27" i="10"/>
  <c r="AW27" i="10"/>
  <c r="AV27" i="10"/>
  <c r="AU27" i="10"/>
  <c r="AT27" i="10"/>
  <c r="AS27" i="10"/>
  <c r="AR27" i="10"/>
  <c r="AQ27" i="10"/>
  <c r="AP27" i="10"/>
  <c r="AO27" i="10"/>
  <c r="AN27"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I27" i="10"/>
  <c r="K27" i="10" s="1"/>
  <c r="D27"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I26" i="10"/>
  <c r="K26" i="10" s="1"/>
  <c r="D26"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I25" i="10"/>
  <c r="K25" i="10" s="1"/>
  <c r="D25"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K24" i="10"/>
  <c r="I24" i="10"/>
  <c r="D24" i="10"/>
  <c r="P23" i="10"/>
  <c r="O23" i="10"/>
  <c r="N23" i="10"/>
  <c r="I23" i="10"/>
  <c r="K23" i="10" s="1"/>
  <c r="D23" i="10"/>
  <c r="O22" i="10"/>
  <c r="N22" i="10"/>
  <c r="K22" i="10"/>
  <c r="I22" i="10"/>
  <c r="D22" i="10"/>
  <c r="N21" i="10"/>
  <c r="K21" i="10"/>
  <c r="I21" i="10"/>
  <c r="D21" i="10"/>
  <c r="O20" i="10"/>
  <c r="N20" i="10"/>
  <c r="I20" i="10"/>
  <c r="K20" i="10" s="1"/>
  <c r="D20" i="10"/>
  <c r="O19" i="10"/>
  <c r="N19" i="10"/>
  <c r="I19" i="10"/>
  <c r="K19" i="10" s="1"/>
  <c r="D19" i="10"/>
  <c r="O18" i="10"/>
  <c r="N18" i="10"/>
  <c r="K18" i="10"/>
  <c r="I18" i="10"/>
  <c r="D18" i="10"/>
  <c r="P17" i="10"/>
  <c r="N17" i="10"/>
  <c r="I17" i="10"/>
  <c r="K17" i="10" s="1"/>
  <c r="D17" i="10"/>
  <c r="O16" i="10"/>
  <c r="N16" i="10"/>
  <c r="I16" i="10"/>
  <c r="K16" i="10" s="1"/>
  <c r="D16" i="10"/>
  <c r="O15" i="10"/>
  <c r="N15" i="10"/>
  <c r="K15" i="10"/>
  <c r="I15" i="10"/>
  <c r="D15" i="10"/>
  <c r="N14" i="10"/>
  <c r="K14" i="10"/>
  <c r="I14" i="10"/>
  <c r="D14" i="10"/>
  <c r="N13" i="10"/>
  <c r="I13" i="10"/>
  <c r="K13" i="10" s="1"/>
  <c r="D13" i="10"/>
  <c r="O12" i="10"/>
  <c r="N12" i="10"/>
  <c r="I12" i="10"/>
  <c r="K12" i="10" s="1"/>
  <c r="D12" i="10"/>
  <c r="O11" i="10"/>
  <c r="N11" i="10"/>
  <c r="I11" i="10"/>
  <c r="K11" i="10" s="1"/>
  <c r="D11" i="10"/>
  <c r="O10" i="10"/>
  <c r="N10" i="10"/>
  <c r="I10" i="10"/>
  <c r="K10" i="10" s="1"/>
  <c r="D10" i="10"/>
  <c r="O9" i="10"/>
  <c r="N9" i="10"/>
  <c r="I9" i="10"/>
  <c r="K9" i="10" s="1"/>
  <c r="D9" i="10"/>
  <c r="E8" i="10"/>
  <c r="D8" i="10"/>
  <c r="O7" i="10"/>
  <c r="E7" i="10"/>
  <c r="N7" i="10" s="1"/>
  <c r="D7" i="10"/>
  <c r="BI6" i="10"/>
  <c r="BH6" i="10"/>
  <c r="BG6" i="10"/>
  <c r="BF6" i="10"/>
  <c r="BE6" i="10"/>
  <c r="BD6" i="10"/>
  <c r="BC6" i="10"/>
  <c r="BB6" i="10"/>
  <c r="BA6" i="10"/>
  <c r="AZ6" i="10"/>
  <c r="AY6" i="10"/>
  <c r="AX6" i="10"/>
  <c r="AW6" i="10"/>
  <c r="AV6" i="10"/>
  <c r="AU6" i="10"/>
  <c r="AT6" i="10"/>
  <c r="AS6" i="10"/>
  <c r="AR6" i="10"/>
  <c r="AQ6" i="10"/>
  <c r="AP6" i="10"/>
  <c r="AO6" i="10"/>
  <c r="AN6"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K6" i="10"/>
  <c r="E5" i="10"/>
  <c r="N5" i="10" s="1"/>
  <c r="D5" i="10"/>
  <c r="O4" i="10"/>
  <c r="N4" i="10"/>
  <c r="I4" i="10"/>
  <c r="K4" i="10" s="1"/>
  <c r="E4" i="10"/>
  <c r="D4" i="10"/>
  <c r="P1" i="10"/>
  <c r="P43" i="10" s="1"/>
  <c r="O1" i="10"/>
  <c r="B96" i="9"/>
  <c r="B94" i="9"/>
  <c r="B87" i="9"/>
  <c r="B80" i="9"/>
  <c r="B79" i="9"/>
  <c r="B78" i="9"/>
  <c r="B77" i="9"/>
  <c r="B76" i="9"/>
  <c r="I64" i="9"/>
  <c r="K64" i="9" s="1"/>
  <c r="D64" i="9"/>
  <c r="N63" i="9"/>
  <c r="I63" i="9"/>
  <c r="K63" i="9" s="1"/>
  <c r="F63" i="9"/>
  <c r="F64" i="9" s="1"/>
  <c r="D63" i="9"/>
  <c r="N62" i="9"/>
  <c r="I62" i="9"/>
  <c r="K62" i="9" s="1"/>
  <c r="D62" i="9"/>
  <c r="O61" i="9"/>
  <c r="N61" i="9"/>
  <c r="K61" i="9"/>
  <c r="I61" i="9"/>
  <c r="D61" i="9"/>
  <c r="O60" i="9"/>
  <c r="N60" i="9"/>
  <c r="I60" i="9"/>
  <c r="K60" i="9" s="1"/>
  <c r="D60" i="9"/>
  <c r="O59" i="9"/>
  <c r="N59" i="9"/>
  <c r="I59" i="9"/>
  <c r="D59" i="9"/>
  <c r="N58" i="9"/>
  <c r="I58" i="9"/>
  <c r="D58" i="9"/>
  <c r="N57" i="9"/>
  <c r="I57" i="9"/>
  <c r="D57" i="9"/>
  <c r="N56" i="9"/>
  <c r="I56" i="9"/>
  <c r="D56" i="9"/>
  <c r="N55" i="9"/>
  <c r="I55" i="9"/>
  <c r="D55" i="9"/>
  <c r="O54" i="9"/>
  <c r="N54" i="9"/>
  <c r="K54" i="9"/>
  <c r="I54" i="9"/>
  <c r="D54" i="9"/>
  <c r="P53" i="9"/>
  <c r="O53" i="9"/>
  <c r="N53" i="9"/>
  <c r="I53" i="9"/>
  <c r="K53" i="9" s="1"/>
  <c r="D53"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K52" i="9"/>
  <c r="I51" i="9"/>
  <c r="K51" i="9" s="1"/>
  <c r="D51" i="9"/>
  <c r="I50" i="9"/>
  <c r="K50" i="9" s="1"/>
  <c r="D50" i="9"/>
  <c r="I49" i="9"/>
  <c r="K49" i="9" s="1"/>
  <c r="F49" i="9"/>
  <c r="D49" i="9"/>
  <c r="O48" i="9"/>
  <c r="N48" i="9"/>
  <c r="I48" i="9"/>
  <c r="K48" i="9" s="1"/>
  <c r="D48" i="9"/>
  <c r="K47" i="9"/>
  <c r="D47" i="9"/>
  <c r="K46" i="9"/>
  <c r="I46" i="9"/>
  <c r="D46" i="9"/>
  <c r="K45" i="9"/>
  <c r="I45" i="9"/>
  <c r="F45" i="9"/>
  <c r="D45" i="9"/>
  <c r="O44" i="9"/>
  <c r="N44" i="9"/>
  <c r="K44" i="9"/>
  <c r="I44" i="9"/>
  <c r="D44" i="9"/>
  <c r="N43" i="9"/>
  <c r="I43" i="9"/>
  <c r="K43" i="9" s="1"/>
  <c r="D43" i="9"/>
  <c r="N42" i="9"/>
  <c r="K42" i="9"/>
  <c r="I42" i="9"/>
  <c r="D42" i="9"/>
  <c r="N41" i="9"/>
  <c r="I41" i="9"/>
  <c r="K41" i="9" s="1"/>
  <c r="D41" i="9"/>
  <c r="N40" i="9"/>
  <c r="K40" i="9"/>
  <c r="I40" i="9"/>
  <c r="D40"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K39" i="9"/>
  <c r="O38" i="9"/>
  <c r="N38" i="9"/>
  <c r="K38" i="9"/>
  <c r="I38" i="9"/>
  <c r="F38" i="9"/>
  <c r="D38" i="9"/>
  <c r="O37" i="9"/>
  <c r="K37" i="9"/>
  <c r="I37" i="9"/>
  <c r="F37" i="9"/>
  <c r="D37" i="9"/>
  <c r="O36" i="9"/>
  <c r="N36" i="9"/>
  <c r="K36" i="9"/>
  <c r="I36" i="9"/>
  <c r="F36" i="9"/>
  <c r="D36" i="9"/>
  <c r="N35" i="9"/>
  <c r="K35" i="9"/>
  <c r="I35" i="9"/>
  <c r="D35" i="9"/>
  <c r="O34" i="9"/>
  <c r="N34" i="9"/>
  <c r="I34" i="9"/>
  <c r="K34" i="9" s="1"/>
  <c r="D34" i="9"/>
  <c r="O33" i="9"/>
  <c r="N33" i="9"/>
  <c r="K33" i="9"/>
  <c r="I33" i="9"/>
  <c r="D33"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K32" i="9"/>
  <c r="K31" i="9"/>
  <c r="I31" i="9"/>
  <c r="D31" i="9"/>
  <c r="I30" i="9"/>
  <c r="K30" i="9" s="1"/>
  <c r="D30" i="9"/>
  <c r="I29" i="9"/>
  <c r="K29" i="9" s="1"/>
  <c r="D29" i="9"/>
  <c r="K28" i="9"/>
  <c r="I28" i="9"/>
  <c r="D28" i="9"/>
  <c r="K27" i="9"/>
  <c r="D27" i="9"/>
  <c r="I26" i="9"/>
  <c r="K26" i="9" s="1"/>
  <c r="D26" i="9"/>
  <c r="K25" i="9"/>
  <c r="I25" i="9"/>
  <c r="D25" i="9"/>
  <c r="K24" i="9"/>
  <c r="I24" i="9"/>
  <c r="D24" i="9"/>
  <c r="K23" i="9"/>
  <c r="I23" i="9"/>
  <c r="D23" i="9"/>
  <c r="I22" i="9"/>
  <c r="K22" i="9" s="1"/>
  <c r="D22" i="9"/>
  <c r="O21" i="9"/>
  <c r="N21" i="9"/>
  <c r="I21" i="9"/>
  <c r="K21" i="9" s="1"/>
  <c r="F21" i="9"/>
  <c r="D21" i="9"/>
  <c r="O20" i="9"/>
  <c r="N20" i="9"/>
  <c r="K20" i="9"/>
  <c r="I20" i="9"/>
  <c r="D20" i="9"/>
  <c r="N19" i="9"/>
  <c r="I19" i="9"/>
  <c r="K19" i="9" s="1"/>
  <c r="D19" i="9"/>
  <c r="O18" i="9"/>
  <c r="N18" i="9"/>
  <c r="K18" i="9"/>
  <c r="I18" i="9"/>
  <c r="D18" i="9"/>
  <c r="N17" i="9"/>
  <c r="I17" i="9"/>
  <c r="K17" i="9" s="1"/>
  <c r="D17" i="9"/>
  <c r="O16" i="9"/>
  <c r="N16" i="9"/>
  <c r="K16" i="9"/>
  <c r="I16" i="9"/>
  <c r="D16" i="9"/>
  <c r="Q15" i="9"/>
  <c r="O15" i="9"/>
  <c r="N15" i="9"/>
  <c r="I15" i="9"/>
  <c r="K15" i="9" s="1"/>
  <c r="D15" i="9"/>
  <c r="O14" i="9"/>
  <c r="N14" i="9"/>
  <c r="K14" i="9"/>
  <c r="I14" i="9"/>
  <c r="D14" i="9"/>
  <c r="N13" i="9"/>
  <c r="K13" i="9"/>
  <c r="I13" i="9"/>
  <c r="D13" i="9"/>
  <c r="O12" i="9"/>
  <c r="N12" i="9"/>
  <c r="I12" i="9"/>
  <c r="K12" i="9" s="1"/>
  <c r="D12" i="9"/>
  <c r="N11" i="9"/>
  <c r="I11" i="9"/>
  <c r="K11" i="9" s="1"/>
  <c r="D11" i="9"/>
  <c r="O10" i="9"/>
  <c r="N10" i="9"/>
  <c r="K10" i="9"/>
  <c r="I10" i="9"/>
  <c r="D10" i="9"/>
  <c r="N9" i="9"/>
  <c r="I9" i="9"/>
  <c r="K9" i="9" s="1"/>
  <c r="D9" i="9"/>
  <c r="N8" i="9"/>
  <c r="K8" i="9"/>
  <c r="I8" i="9"/>
  <c r="D8" i="9"/>
  <c r="P7" i="9"/>
  <c r="O7" i="9"/>
  <c r="N7" i="9"/>
  <c r="I7" i="9"/>
  <c r="K7" i="9" s="1"/>
  <c r="D7" i="9"/>
  <c r="BI6" i="9"/>
  <c r="BH6" i="9"/>
  <c r="BG6" i="9"/>
  <c r="BF6" i="9"/>
  <c r="BE6" i="9"/>
  <c r="BD6" i="9"/>
  <c r="BC6" i="9"/>
  <c r="BB6" i="9"/>
  <c r="BA6" i="9"/>
  <c r="AZ6" i="9"/>
  <c r="AY6" i="9"/>
  <c r="AX6" i="9"/>
  <c r="AW6" i="9"/>
  <c r="AV6" i="9"/>
  <c r="AU6" i="9"/>
  <c r="AT6" i="9"/>
  <c r="AS6" i="9"/>
  <c r="AR6" i="9"/>
  <c r="AQ6" i="9"/>
  <c r="AP6" i="9"/>
  <c r="AO6" i="9"/>
  <c r="AN6" i="9"/>
  <c r="AM6" i="9"/>
  <c r="AL6" i="9"/>
  <c r="AK6" i="9"/>
  <c r="AJ6" i="9"/>
  <c r="AI6" i="9"/>
  <c r="AH6" i="9"/>
  <c r="AG6" i="9"/>
  <c r="AF6" i="9"/>
  <c r="AE6" i="9"/>
  <c r="AD6" i="9"/>
  <c r="AC6" i="9"/>
  <c r="AB6" i="9"/>
  <c r="AA6" i="9"/>
  <c r="Z6" i="9"/>
  <c r="Y6" i="9"/>
  <c r="X6" i="9"/>
  <c r="W6" i="9"/>
  <c r="V6" i="9"/>
  <c r="U6" i="9"/>
  <c r="T6" i="9"/>
  <c r="S6" i="9"/>
  <c r="R6" i="9"/>
  <c r="Q6" i="9"/>
  <c r="P6" i="9"/>
  <c r="O6" i="9"/>
  <c r="N6" i="9"/>
  <c r="K6" i="9"/>
  <c r="N5" i="9"/>
  <c r="I5" i="9"/>
  <c r="K5" i="9" s="1"/>
  <c r="D5" i="9"/>
  <c r="P4" i="9"/>
  <c r="O4" i="9"/>
  <c r="N4" i="9"/>
  <c r="K4" i="9"/>
  <c r="I4" i="9"/>
  <c r="D4" i="9"/>
  <c r="Q1" i="9"/>
  <c r="P1" i="9"/>
  <c r="O1" i="9"/>
  <c r="O43" i="9" s="1"/>
  <c r="BV61" i="7"/>
  <c r="BS61" i="7"/>
  <c r="BR61" i="7"/>
  <c r="BQ61" i="7"/>
  <c r="BP61" i="7"/>
  <c r="BN61" i="7"/>
  <c r="BM61" i="7"/>
  <c r="BL61" i="7"/>
  <c r="BG61" i="7"/>
  <c r="BF61" i="7"/>
  <c r="BC61" i="7"/>
  <c r="BB61" i="7"/>
  <c r="BA61" i="7"/>
  <c r="AZ61" i="7"/>
  <c r="AX61" i="7"/>
  <c r="AW61" i="7"/>
  <c r="AV61" i="7"/>
  <c r="AQ61" i="7"/>
  <c r="AP61" i="7"/>
  <c r="AM61" i="7"/>
  <c r="AL61" i="7"/>
  <c r="AK61" i="7"/>
  <c r="AJ61" i="7"/>
  <c r="AH61" i="7"/>
  <c r="AG61" i="7"/>
  <c r="AF61" i="7"/>
  <c r="BV60" i="7"/>
  <c r="BU60" i="7"/>
  <c r="BU61" i="7" s="1"/>
  <c r="BT60" i="7"/>
  <c r="BT61" i="7" s="1"/>
  <c r="BS60" i="7"/>
  <c r="BR60" i="7"/>
  <c r="BQ60" i="7"/>
  <c r="BP60" i="7"/>
  <c r="BO60" i="7"/>
  <c r="BO61" i="7" s="1"/>
  <c r="BN60" i="7"/>
  <c r="BM60" i="7"/>
  <c r="BL60" i="7"/>
  <c r="BK60" i="7"/>
  <c r="BK61" i="7" s="1"/>
  <c r="BJ60" i="7"/>
  <c r="BJ61" i="7" s="1"/>
  <c r="BI60" i="7"/>
  <c r="BI61" i="7" s="1"/>
  <c r="BH60" i="7"/>
  <c r="BH61" i="7" s="1"/>
  <c r="BG60" i="7"/>
  <c r="BF60" i="7"/>
  <c r="BE60" i="7"/>
  <c r="BE61" i="7" s="1"/>
  <c r="BD60" i="7"/>
  <c r="BD61" i="7" s="1"/>
  <c r="BC60" i="7"/>
  <c r="BB60" i="7"/>
  <c r="BA60" i="7"/>
  <c r="AZ60" i="7"/>
  <c r="AY60" i="7"/>
  <c r="AY61" i="7" s="1"/>
  <c r="AX60" i="7"/>
  <c r="AW60" i="7"/>
  <c r="AV60" i="7"/>
  <c r="AU60" i="7"/>
  <c r="AU61" i="7" s="1"/>
  <c r="AT60" i="7"/>
  <c r="AT61" i="7" s="1"/>
  <c r="AS60" i="7"/>
  <c r="AS61" i="7" s="1"/>
  <c r="AR60" i="7"/>
  <c r="AR61" i="7" s="1"/>
  <c r="AQ60" i="7"/>
  <c r="AP60" i="7"/>
  <c r="AO60" i="7"/>
  <c r="AO61" i="7" s="1"/>
  <c r="AN60" i="7"/>
  <c r="AN61" i="7" s="1"/>
  <c r="AM60" i="7"/>
  <c r="AL60" i="7"/>
  <c r="AK60" i="7"/>
  <c r="AJ60" i="7"/>
  <c r="AI60" i="7"/>
  <c r="AI61" i="7" s="1"/>
  <c r="AH60" i="7"/>
  <c r="AG60" i="7"/>
  <c r="AF60" i="7"/>
  <c r="AE60" i="7"/>
  <c r="AE61" i="7" s="1"/>
  <c r="AL53" i="7"/>
  <c r="AK53" i="7"/>
  <c r="AM53" i="7" s="1"/>
  <c r="C52" i="7"/>
  <c r="C53" i="7" s="1"/>
  <c r="AH47" i="7"/>
  <c r="AF47" i="7"/>
  <c r="AE47" i="7"/>
  <c r="AI46" i="7"/>
  <c r="AG46" i="7"/>
  <c r="AJ46" i="7" s="1"/>
  <c r="AF46" i="7"/>
  <c r="AE46" i="7"/>
  <c r="AH46" i="7" s="1"/>
  <c r="AD44" i="7"/>
  <c r="AC44" i="7"/>
  <c r="AE44" i="7" s="1"/>
  <c r="AF44" i="7" s="1"/>
  <c r="AB44" i="7"/>
  <c r="AA44" i="7"/>
  <c r="Z44" i="7"/>
  <c r="Y44" i="7"/>
  <c r="X44" i="7"/>
  <c r="W44" i="7"/>
  <c r="V44" i="7"/>
  <c r="U44" i="7"/>
  <c r="T44" i="7"/>
  <c r="S44" i="7"/>
  <c r="R44" i="7"/>
  <c r="Q44" i="7"/>
  <c r="P44" i="7"/>
  <c r="O44" i="7"/>
  <c r="N44" i="7"/>
  <c r="M44" i="7"/>
  <c r="L44" i="7"/>
  <c r="K44" i="7"/>
  <c r="J44" i="7"/>
  <c r="I44" i="7"/>
  <c r="H44" i="7"/>
  <c r="G44" i="7"/>
  <c r="F44" i="7"/>
  <c r="E44" i="7"/>
  <c r="D44" i="7"/>
  <c r="C44" i="7"/>
  <c r="AP43" i="7"/>
  <c r="AO43" i="7"/>
  <c r="AN43" i="7"/>
  <c r="AM43" i="7"/>
  <c r="AL43" i="7"/>
  <c r="AK43" i="7"/>
  <c r="AJ43" i="7"/>
  <c r="AI43" i="7"/>
  <c r="AH43" i="7"/>
  <c r="AG43" i="7"/>
  <c r="AF43" i="7"/>
  <c r="AE43" i="7"/>
  <c r="AL38" i="7"/>
  <c r="AK38" i="7"/>
  <c r="D33" i="7"/>
  <c r="BV27" i="7"/>
  <c r="BT27" i="7"/>
  <c r="BR27" i="7"/>
  <c r="BQ27" i="7"/>
  <c r="BP27" i="7"/>
  <c r="BN27" i="7"/>
  <c r="BK27" i="7"/>
  <c r="BI27" i="7"/>
  <c r="BG27" i="7"/>
  <c r="BF27" i="7"/>
  <c r="BD27" i="7"/>
  <c r="BB27" i="7"/>
  <c r="BA27" i="7"/>
  <c r="AZ27" i="7"/>
  <c r="AX27" i="7"/>
  <c r="AU27" i="7"/>
  <c r="AS27" i="7"/>
  <c r="AQ27" i="7"/>
  <c r="AP27" i="7"/>
  <c r="AN27" i="7"/>
  <c r="AL27" i="7"/>
  <c r="AK27" i="7"/>
  <c r="AJ27" i="7"/>
  <c r="AH27" i="7"/>
  <c r="AE27" i="7"/>
  <c r="BV26" i="7"/>
  <c r="BU26" i="7"/>
  <c r="BU27" i="7" s="1"/>
  <c r="BT26" i="7"/>
  <c r="BS26" i="7"/>
  <c r="BS27" i="7" s="1"/>
  <c r="BR26" i="7"/>
  <c r="BQ26" i="7"/>
  <c r="BP26" i="7"/>
  <c r="BO26" i="7"/>
  <c r="BO27" i="7" s="1"/>
  <c r="BN26" i="7"/>
  <c r="BM26" i="7"/>
  <c r="BM27" i="7" s="1"/>
  <c r="BL26" i="7"/>
  <c r="BL27" i="7" s="1"/>
  <c r="BK26" i="7"/>
  <c r="BJ26" i="7"/>
  <c r="BJ27" i="7" s="1"/>
  <c r="BI26" i="7"/>
  <c r="BH26" i="7"/>
  <c r="BH27" i="7" s="1"/>
  <c r="BG26" i="7"/>
  <c r="BF26" i="7"/>
  <c r="BE26" i="7"/>
  <c r="BE27" i="7" s="1"/>
  <c r="BD26" i="7"/>
  <c r="BC26" i="7"/>
  <c r="BC27" i="7" s="1"/>
  <c r="BB26" i="7"/>
  <c r="BA26" i="7"/>
  <c r="AZ26" i="7"/>
  <c r="AY26" i="7"/>
  <c r="AY27" i="7" s="1"/>
  <c r="AX26" i="7"/>
  <c r="AW26" i="7"/>
  <c r="AW27" i="7" s="1"/>
  <c r="AV26" i="7"/>
  <c r="AV27" i="7" s="1"/>
  <c r="AU26" i="7"/>
  <c r="AT26" i="7"/>
  <c r="AT27" i="7" s="1"/>
  <c r="AS26" i="7"/>
  <c r="AR26" i="7"/>
  <c r="AR27" i="7" s="1"/>
  <c r="AQ26" i="7"/>
  <c r="AP26" i="7"/>
  <c r="AO26" i="7"/>
  <c r="AO27" i="7" s="1"/>
  <c r="AN26" i="7"/>
  <c r="AM26" i="7"/>
  <c r="AM27" i="7" s="1"/>
  <c r="AL26" i="7"/>
  <c r="AK26" i="7"/>
  <c r="AJ26" i="7"/>
  <c r="AI26" i="7"/>
  <c r="AI27" i="7" s="1"/>
  <c r="AH26" i="7"/>
  <c r="AG26" i="7"/>
  <c r="AG27" i="7" s="1"/>
  <c r="AF26" i="7"/>
  <c r="AF27" i="7" s="1"/>
  <c r="AE26" i="7"/>
  <c r="AK19" i="7"/>
  <c r="AG5" i="7"/>
  <c r="AH5" i="7" s="1"/>
  <c r="AH4" i="7" s="1"/>
  <c r="AE5" i="7"/>
  <c r="AF5" i="7" s="1"/>
  <c r="AG4" i="7"/>
  <c r="AF4" i="7"/>
  <c r="AE4" i="7"/>
  <c r="E1" i="7"/>
  <c r="D1" i="7"/>
  <c r="D40" i="7" s="1"/>
  <c r="BV61" i="6"/>
  <c r="BT61" i="6"/>
  <c r="BQ61" i="6"/>
  <c r="BO61" i="6"/>
  <c r="BM61" i="6"/>
  <c r="BL61" i="6"/>
  <c r="BJ61" i="6"/>
  <c r="BH61" i="6"/>
  <c r="BG61" i="6"/>
  <c r="BF61" i="6"/>
  <c r="BA61" i="6"/>
  <c r="AY61" i="6"/>
  <c r="AW61" i="6"/>
  <c r="AV61" i="6"/>
  <c r="AT61" i="6"/>
  <c r="AR61" i="6"/>
  <c r="AQ61" i="6"/>
  <c r="AP61" i="6"/>
  <c r="AK61" i="6"/>
  <c r="AI61" i="6"/>
  <c r="AG61" i="6"/>
  <c r="AF61" i="6"/>
  <c r="BV60" i="6"/>
  <c r="BU60" i="6"/>
  <c r="BU61" i="6" s="1"/>
  <c r="BT60" i="6"/>
  <c r="BS60" i="6"/>
  <c r="BS61" i="6" s="1"/>
  <c r="BR60" i="6"/>
  <c r="BR61" i="6" s="1"/>
  <c r="BQ60" i="6"/>
  <c r="BP60" i="6"/>
  <c r="BP61" i="6" s="1"/>
  <c r="BO60" i="6"/>
  <c r="BN60" i="6"/>
  <c r="BN61" i="6" s="1"/>
  <c r="BM60" i="6"/>
  <c r="BL60" i="6"/>
  <c r="BK60" i="6"/>
  <c r="BK61" i="6" s="1"/>
  <c r="BJ60" i="6"/>
  <c r="BI60" i="6"/>
  <c r="BI61" i="6" s="1"/>
  <c r="BH60" i="6"/>
  <c r="BG60" i="6"/>
  <c r="BF60" i="6"/>
  <c r="BE60" i="6"/>
  <c r="BE61" i="6" s="1"/>
  <c r="BD60" i="6"/>
  <c r="BD61" i="6" s="1"/>
  <c r="BC60" i="6"/>
  <c r="BC61" i="6" s="1"/>
  <c r="BB60" i="6"/>
  <c r="BB61" i="6" s="1"/>
  <c r="BA60" i="6"/>
  <c r="AZ60" i="6"/>
  <c r="AZ61" i="6" s="1"/>
  <c r="AY60" i="6"/>
  <c r="AX60" i="6"/>
  <c r="AX61" i="6" s="1"/>
  <c r="AW60" i="6"/>
  <c r="AV60" i="6"/>
  <c r="AU60" i="6"/>
  <c r="AU61" i="6" s="1"/>
  <c r="AT60" i="6"/>
  <c r="AS60" i="6"/>
  <c r="AS61" i="6" s="1"/>
  <c r="AR60" i="6"/>
  <c r="AQ60" i="6"/>
  <c r="AP60" i="6"/>
  <c r="AO60" i="6"/>
  <c r="AO61" i="6" s="1"/>
  <c r="AN60" i="6"/>
  <c r="AN61" i="6" s="1"/>
  <c r="AM60" i="6"/>
  <c r="AM61" i="6" s="1"/>
  <c r="AL60" i="6"/>
  <c r="AL61" i="6" s="1"/>
  <c r="AK60" i="6"/>
  <c r="AJ60" i="6"/>
  <c r="AJ61" i="6" s="1"/>
  <c r="AI60" i="6"/>
  <c r="AH60" i="6"/>
  <c r="AH61" i="6" s="1"/>
  <c r="AG60" i="6"/>
  <c r="AF60" i="6"/>
  <c r="AE60" i="6"/>
  <c r="AE61" i="6" s="1"/>
  <c r="AL53" i="6"/>
  <c r="AK53" i="6"/>
  <c r="AE47" i="6"/>
  <c r="AE46" i="6"/>
  <c r="AD44" i="6"/>
  <c r="AC44" i="6"/>
  <c r="AB44" i="6"/>
  <c r="AA44" i="6"/>
  <c r="Z44" i="6"/>
  <c r="Y44" i="6"/>
  <c r="X44" i="6"/>
  <c r="W44" i="6"/>
  <c r="V44" i="6"/>
  <c r="U44" i="6"/>
  <c r="T44" i="6"/>
  <c r="S44" i="6"/>
  <c r="R44" i="6"/>
  <c r="Q44" i="6"/>
  <c r="P44" i="6"/>
  <c r="O44" i="6"/>
  <c r="N44" i="6"/>
  <c r="M44" i="6"/>
  <c r="L44" i="6"/>
  <c r="K44" i="6"/>
  <c r="J44" i="6"/>
  <c r="I44" i="6"/>
  <c r="H44" i="6"/>
  <c r="G44" i="6"/>
  <c r="F44" i="6"/>
  <c r="E44" i="6"/>
  <c r="D44" i="6"/>
  <c r="C44" i="6"/>
  <c r="AP43" i="6"/>
  <c r="AO43" i="6"/>
  <c r="AN43" i="6"/>
  <c r="AM43" i="6"/>
  <c r="AL43" i="6"/>
  <c r="AK43" i="6"/>
  <c r="AJ43" i="6"/>
  <c r="AI43" i="6"/>
  <c r="AH43" i="6"/>
  <c r="AG43" i="6"/>
  <c r="AF43" i="6"/>
  <c r="AE43" i="6"/>
  <c r="AM38" i="6"/>
  <c r="AL38" i="6"/>
  <c r="AK38" i="6"/>
  <c r="AN38" i="6" s="1"/>
  <c r="D37" i="6"/>
  <c r="C37" i="6"/>
  <c r="C38" i="6" s="1"/>
  <c r="BU27" i="6"/>
  <c r="BS27" i="6"/>
  <c r="BQ27" i="6"/>
  <c r="BP27" i="6"/>
  <c r="BN27" i="6"/>
  <c r="BL27" i="6"/>
  <c r="BK27" i="6"/>
  <c r="BE27" i="6"/>
  <c r="BC27" i="6"/>
  <c r="BA27" i="6"/>
  <c r="AZ27" i="6"/>
  <c r="AX27" i="6"/>
  <c r="AV27" i="6"/>
  <c r="AU27" i="6"/>
  <c r="AO27" i="6"/>
  <c r="AM27" i="6"/>
  <c r="AK27" i="6"/>
  <c r="AJ27" i="6"/>
  <c r="AH27" i="6"/>
  <c r="AF27" i="6"/>
  <c r="AE27" i="6"/>
  <c r="BV26" i="6"/>
  <c r="BV27" i="6" s="1"/>
  <c r="BU26" i="6"/>
  <c r="BT26" i="6"/>
  <c r="BT27" i="6" s="1"/>
  <c r="BS26" i="6"/>
  <c r="BR26" i="6"/>
  <c r="BR27" i="6" s="1"/>
  <c r="BQ26" i="6"/>
  <c r="BP26" i="6"/>
  <c r="BO26" i="6"/>
  <c r="BO27" i="6" s="1"/>
  <c r="BN26" i="6"/>
  <c r="BM26" i="6"/>
  <c r="BM27" i="6" s="1"/>
  <c r="BL26" i="6"/>
  <c r="BK26" i="6"/>
  <c r="BJ26" i="6"/>
  <c r="BJ27" i="6" s="1"/>
  <c r="BI26" i="6"/>
  <c r="BI27" i="6" s="1"/>
  <c r="BH26" i="6"/>
  <c r="BH27" i="6" s="1"/>
  <c r="BG26" i="6"/>
  <c r="BG27" i="6" s="1"/>
  <c r="BF26" i="6"/>
  <c r="BF27" i="6" s="1"/>
  <c r="BE26" i="6"/>
  <c r="BD26" i="6"/>
  <c r="BD27" i="6" s="1"/>
  <c r="BC26" i="6"/>
  <c r="BB26" i="6"/>
  <c r="BB27" i="6" s="1"/>
  <c r="BA26" i="6"/>
  <c r="AZ26" i="6"/>
  <c r="AY26" i="6"/>
  <c r="AY27" i="6" s="1"/>
  <c r="AX26" i="6"/>
  <c r="AW26" i="6"/>
  <c r="AW27" i="6" s="1"/>
  <c r="AV26" i="6"/>
  <c r="AU26" i="6"/>
  <c r="AT26" i="6"/>
  <c r="AT27" i="6" s="1"/>
  <c r="AS26" i="6"/>
  <c r="AS27" i="6" s="1"/>
  <c r="AR26" i="6"/>
  <c r="AR27" i="6" s="1"/>
  <c r="AQ26" i="6"/>
  <c r="AQ27" i="6" s="1"/>
  <c r="AP26" i="6"/>
  <c r="AP27" i="6" s="1"/>
  <c r="AO26" i="6"/>
  <c r="AN26" i="6"/>
  <c r="AN27" i="6" s="1"/>
  <c r="AM26" i="6"/>
  <c r="AL26" i="6"/>
  <c r="AL27" i="6" s="1"/>
  <c r="AK26" i="6"/>
  <c r="AJ26" i="6"/>
  <c r="AI26" i="6"/>
  <c r="AI27" i="6" s="1"/>
  <c r="AH26" i="6"/>
  <c r="AG26" i="6"/>
  <c r="AG27" i="6" s="1"/>
  <c r="AF26" i="6"/>
  <c r="AE26" i="6"/>
  <c r="AM19" i="6"/>
  <c r="AL19" i="6"/>
  <c r="AK19" i="6"/>
  <c r="AF5" i="6"/>
  <c r="AG5" i="6" s="1"/>
  <c r="AG4" i="6" s="1"/>
  <c r="AE5" i="6"/>
  <c r="AE4" i="6" s="1"/>
  <c r="E1" i="6"/>
  <c r="D1" i="6"/>
  <c r="C15" i="5" a="1"/>
  <c r="C15" i="5" s="1"/>
  <c r="D5" i="5" a="1"/>
  <c r="D5" i="5" s="1"/>
  <c r="C5" i="5" a="1"/>
  <c r="C5" i="5" s="1"/>
  <c r="D1" i="5"/>
  <c r="M114" i="4"/>
  <c r="L114" i="4"/>
  <c r="K114" i="4"/>
  <c r="D114" i="4"/>
  <c r="M113" i="4"/>
  <c r="L113" i="4"/>
  <c r="E113" i="4"/>
  <c r="K108" i="4" a="1"/>
  <c r="K108" i="4" s="1"/>
  <c r="D108" i="4" a="1"/>
  <c r="D108" i="4"/>
  <c r="K104" i="4"/>
  <c r="D104" i="4"/>
  <c r="K103" i="4"/>
  <c r="D103" i="4"/>
  <c r="K102" i="4"/>
  <c r="K105" i="4" s="1"/>
  <c r="D102" i="4"/>
  <c r="D105" i="4" s="1"/>
  <c r="K98" i="4"/>
  <c r="K97" i="4"/>
  <c r="D97" i="4"/>
  <c r="D98" i="4" s="1"/>
  <c r="K96" i="4"/>
  <c r="D96" i="4"/>
  <c r="K94" i="4"/>
  <c r="K99" i="4" s="1"/>
  <c r="D94" i="4"/>
  <c r="D99" i="4" s="1"/>
  <c r="K92" i="4" a="1"/>
  <c r="K92" i="4" s="1"/>
  <c r="D92" i="4" a="1"/>
  <c r="D92" i="4" s="1"/>
  <c r="D68" i="4"/>
  <c r="E67" i="4"/>
  <c r="D49" i="4"/>
  <c r="S22" i="4" a="1"/>
  <c r="S22" i="4" s="1"/>
  <c r="S18" i="4"/>
  <c r="S17" i="4"/>
  <c r="S16" i="4"/>
  <c r="S19" i="4" s="1"/>
  <c r="S11" i="4"/>
  <c r="S10" i="4"/>
  <c r="S8" i="4"/>
  <c r="S6" i="4" a="1"/>
  <c r="S6" i="4" s="1"/>
  <c r="E35" i="3"/>
  <c r="D35" i="3"/>
  <c r="B35" i="3"/>
  <c r="D1" i="3"/>
  <c r="B1" i="3"/>
  <c r="R62" i="2"/>
  <c r="S62" i="2" s="1"/>
  <c r="Q62" i="2"/>
  <c r="P62" i="2" s="1"/>
  <c r="Q52" i="2"/>
  <c r="R52" i="2" s="1"/>
  <c r="S52" i="2" s="1"/>
  <c r="P52" i="2"/>
  <c r="Q35" i="2"/>
  <c r="P31" i="2" a="1"/>
  <c r="P31" i="2" s="1"/>
  <c r="P28" i="2" a="1"/>
  <c r="P28" i="2"/>
  <c r="P29" i="2" s="1"/>
  <c r="P27" i="2" a="1"/>
  <c r="P27" i="2"/>
  <c r="Q25" i="2"/>
  <c r="P25" i="2"/>
  <c r="P20" i="2" a="1"/>
  <c r="P20" i="2" s="1"/>
  <c r="P19" i="2" a="1"/>
  <c r="P19" i="2" s="1"/>
  <c r="P14" i="2" a="1"/>
  <c r="P14" i="2" s="1"/>
  <c r="P13" i="2" a="1"/>
  <c r="P13" i="2"/>
  <c r="P15" i="2" s="1"/>
  <c r="P16" i="2" s="1"/>
  <c r="P11" i="2" a="1"/>
  <c r="P11" i="2"/>
  <c r="P9" i="2" a="1"/>
  <c r="P9" i="2" s="1"/>
  <c r="Q8" i="2"/>
  <c r="P8" i="2"/>
  <c r="P26" i="2" s="1" a="1"/>
  <c r="P26" i="2" s="1"/>
  <c r="P17" i="2" l="1"/>
  <c r="K100" i="4"/>
  <c r="K106" i="4"/>
  <c r="E1" i="3"/>
  <c r="S12" i="4"/>
  <c r="D106" i="4"/>
  <c r="D100" i="4"/>
  <c r="P35" i="2"/>
  <c r="R35" i="2"/>
  <c r="F35" i="3"/>
  <c r="D15" i="5" a="1"/>
  <c r="D15" i="5" s="1"/>
  <c r="E1" i="5"/>
  <c r="E40" i="7"/>
  <c r="E55" i="7"/>
  <c r="E37" i="7"/>
  <c r="E38" i="7" s="1"/>
  <c r="E9" i="7"/>
  <c r="E68" i="7"/>
  <c r="E65" i="7"/>
  <c r="F1" i="7"/>
  <c r="E21" i="7" s="1"/>
  <c r="D7" i="7"/>
  <c r="E68" i="4"/>
  <c r="AJ47" i="7"/>
  <c r="E114" i="4"/>
  <c r="AL46" i="7"/>
  <c r="AI47" i="7"/>
  <c r="P21" i="2" a="1"/>
  <c r="P21" i="2" s="1"/>
  <c r="P22" i="2" s="1"/>
  <c r="P23" i="2" s="1"/>
  <c r="F113" i="4"/>
  <c r="AN38" i="7"/>
  <c r="AM38" i="7"/>
  <c r="N113" i="4"/>
  <c r="C52" i="6"/>
  <c r="C53" i="6" s="1"/>
  <c r="C31" i="6"/>
  <c r="C21" i="6"/>
  <c r="C20" i="6" s="1"/>
  <c r="C7" i="6"/>
  <c r="C64" i="6" s="1"/>
  <c r="D18" i="6"/>
  <c r="D68" i="6"/>
  <c r="D65" i="6"/>
  <c r="C18" i="6"/>
  <c r="C19" i="6" s="1"/>
  <c r="C9" i="6"/>
  <c r="D33" i="6"/>
  <c r="C33" i="6"/>
  <c r="C32" i="6" s="1"/>
  <c r="C40" i="6"/>
  <c r="C39" i="6" s="1"/>
  <c r="D40" i="6"/>
  <c r="D39" i="6" s="1"/>
  <c r="AL19" i="7"/>
  <c r="E21" i="6"/>
  <c r="F1" i="6"/>
  <c r="E33" i="6"/>
  <c r="E40" i="6"/>
  <c r="E55" i="6"/>
  <c r="E37" i="6"/>
  <c r="E38" i="6" s="1"/>
  <c r="D52" i="6"/>
  <c r="C55" i="6"/>
  <c r="C54" i="6" s="1"/>
  <c r="C68" i="6"/>
  <c r="D55" i="6"/>
  <c r="D54" i="6" s="1"/>
  <c r="AO19" i="6"/>
  <c r="AH5" i="6"/>
  <c r="AN19" i="6"/>
  <c r="AP19" i="6" s="1"/>
  <c r="D21" i="6"/>
  <c r="D20" i="6" s="1"/>
  <c r="AN53" i="7"/>
  <c r="AO53" i="7"/>
  <c r="AO38" i="6"/>
  <c r="AG44" i="7"/>
  <c r="Q49" i="9"/>
  <c r="P49" i="9"/>
  <c r="F50" i="9"/>
  <c r="O49" i="9"/>
  <c r="N49" i="9"/>
  <c r="AM53" i="6"/>
  <c r="AI5" i="7"/>
  <c r="AF4" i="6"/>
  <c r="D31" i="6"/>
  <c r="AE44" i="6"/>
  <c r="C65" i="6"/>
  <c r="D38" i="6" s="1"/>
  <c r="AK46" i="7"/>
  <c r="D7" i="6"/>
  <c r="D9" i="6"/>
  <c r="C33" i="7"/>
  <c r="C40" i="7"/>
  <c r="C39" i="7" s="1"/>
  <c r="D55" i="7"/>
  <c r="D37" i="7"/>
  <c r="D39" i="7" s="1"/>
  <c r="C55" i="7"/>
  <c r="C54" i="7" s="1"/>
  <c r="C37" i="7"/>
  <c r="C38" i="7" s="1"/>
  <c r="D52" i="7"/>
  <c r="D31" i="7"/>
  <c r="D32" i="7" s="1"/>
  <c r="D21" i="7"/>
  <c r="D20" i="7" s="1"/>
  <c r="C7" i="7"/>
  <c r="C31" i="7"/>
  <c r="C21" i="7"/>
  <c r="D18" i="7"/>
  <c r="D9" i="7"/>
  <c r="C18" i="7"/>
  <c r="C19" i="7" s="1"/>
  <c r="C9" i="7"/>
  <c r="D68" i="7"/>
  <c r="D65" i="7"/>
  <c r="C68" i="7"/>
  <c r="C65" i="7"/>
  <c r="AQ96" i="9"/>
  <c r="AG47" i="7"/>
  <c r="P59" i="9"/>
  <c r="P14" i="9"/>
  <c r="P58" i="9"/>
  <c r="P42" i="9"/>
  <c r="P8" i="9"/>
  <c r="P63" i="9"/>
  <c r="P13" i="9"/>
  <c r="P57" i="9"/>
  <c r="P72" i="9" s="1"/>
  <c r="P18" i="9"/>
  <c r="P41" i="9"/>
  <c r="P56" i="9"/>
  <c r="P12" i="9"/>
  <c r="P62" i="9"/>
  <c r="P17" i="9"/>
  <c r="P55" i="9"/>
  <c r="P40" i="9"/>
  <c r="P35" i="9"/>
  <c r="P11" i="9"/>
  <c r="P5" i="9"/>
  <c r="P61" i="9"/>
  <c r="P54" i="9"/>
  <c r="P16" i="9"/>
  <c r="P44" i="9"/>
  <c r="Q19" i="9"/>
  <c r="Q58" i="9"/>
  <c r="Q42" i="9"/>
  <c r="Q63" i="9"/>
  <c r="Q13" i="9"/>
  <c r="Q57" i="9"/>
  <c r="Q36" i="9"/>
  <c r="Q18" i="9"/>
  <c r="Q41" i="9"/>
  <c r="Q7" i="9"/>
  <c r="Q56" i="9"/>
  <c r="Q62" i="9"/>
  <c r="Q17" i="9"/>
  <c r="Q55" i="9"/>
  <c r="Q40" i="9"/>
  <c r="Q35" i="9"/>
  <c r="Q11" i="9"/>
  <c r="Q5" i="9"/>
  <c r="Q61" i="9"/>
  <c r="Q54" i="9"/>
  <c r="Q16" i="9"/>
  <c r="Q34" i="9"/>
  <c r="Q60" i="9"/>
  <c r="Q53" i="9"/>
  <c r="Q72" i="9" s="1"/>
  <c r="Q48" i="9"/>
  <c r="R1" i="9"/>
  <c r="R49" i="9" s="1"/>
  <c r="Q8" i="9"/>
  <c r="Q12" i="9"/>
  <c r="O64" i="9"/>
  <c r="N64" i="9"/>
  <c r="N72" i="9" s="1"/>
  <c r="P10" i="9"/>
  <c r="F22" i="9"/>
  <c r="Q45" i="9"/>
  <c r="P45" i="9"/>
  <c r="F46" i="9"/>
  <c r="O45" i="9"/>
  <c r="N45" i="9"/>
  <c r="P64" i="9"/>
  <c r="N68" i="9"/>
  <c r="BI96" i="9"/>
  <c r="BG96" i="9"/>
  <c r="AS96" i="9"/>
  <c r="AC96" i="9"/>
  <c r="Q10" i="9"/>
  <c r="Q14" i="9"/>
  <c r="P48" i="9"/>
  <c r="Q64" i="9"/>
  <c r="P20" i="9"/>
  <c r="Q20" i="9"/>
  <c r="Q37" i="9"/>
  <c r="P43" i="9"/>
  <c r="P33" i="9"/>
  <c r="Q43" i="9"/>
  <c r="Q44" i="9"/>
  <c r="Q59" i="9"/>
  <c r="P60" i="9"/>
  <c r="AF46" i="6"/>
  <c r="Q33" i="9"/>
  <c r="Q70" i="9" s="1"/>
  <c r="Q4" i="9"/>
  <c r="P9" i="9"/>
  <c r="R21" i="9"/>
  <c r="Q21" i="9"/>
  <c r="P21" i="9"/>
  <c r="Q38" i="9"/>
  <c r="BH94" i="9"/>
  <c r="AR94" i="9"/>
  <c r="AB94" i="9"/>
  <c r="BG94" i="9"/>
  <c r="AQ94" i="9"/>
  <c r="AA94" i="9"/>
  <c r="BF94" i="9"/>
  <c r="AP94" i="9"/>
  <c r="Z94" i="9"/>
  <c r="BE94" i="9"/>
  <c r="AO94" i="9"/>
  <c r="Y94" i="9"/>
  <c r="BD94" i="9"/>
  <c r="AN94" i="9"/>
  <c r="X94" i="9"/>
  <c r="BC94" i="9"/>
  <c r="AM94" i="9"/>
  <c r="W94" i="9"/>
  <c r="BB94" i="9"/>
  <c r="AL94" i="9"/>
  <c r="V94" i="9"/>
  <c r="BA94" i="9"/>
  <c r="AK94" i="9"/>
  <c r="U94" i="9"/>
  <c r="AZ94" i="9"/>
  <c r="AJ94" i="9"/>
  <c r="T94" i="9"/>
  <c r="AY94" i="9"/>
  <c r="AI94" i="9"/>
  <c r="S94" i="9"/>
  <c r="AX94" i="9"/>
  <c r="AH94" i="9"/>
  <c r="R94" i="9"/>
  <c r="AW94" i="9"/>
  <c r="AG94" i="9"/>
  <c r="Q94" i="9"/>
  <c r="AV94" i="9"/>
  <c r="AF94" i="9"/>
  <c r="P94" i="9"/>
  <c r="AT94" i="9"/>
  <c r="AD94" i="9"/>
  <c r="N94" i="9"/>
  <c r="BI94" i="9"/>
  <c r="AU94" i="9"/>
  <c r="AS94" i="9"/>
  <c r="AE94" i="9"/>
  <c r="AC94" i="9"/>
  <c r="O94" i="9"/>
  <c r="Q9" i="9"/>
  <c r="P19" i="9"/>
  <c r="P34" i="9"/>
  <c r="P68" i="9"/>
  <c r="P15" i="9"/>
  <c r="Q68" i="9"/>
  <c r="AA96" i="9"/>
  <c r="P38" i="9"/>
  <c r="O5" i="9"/>
  <c r="O68" i="9" s="1"/>
  <c r="O11" i="9"/>
  <c r="O35" i="9"/>
  <c r="O70" i="9" s="1"/>
  <c r="O40" i="9"/>
  <c r="O55" i="9"/>
  <c r="O72" i="9" s="1"/>
  <c r="O8" i="10"/>
  <c r="N8" i="10"/>
  <c r="I8" i="10"/>
  <c r="K8" i="10" s="1"/>
  <c r="O17" i="9"/>
  <c r="O62" i="9"/>
  <c r="O56" i="9"/>
  <c r="B95" i="9"/>
  <c r="O41" i="9"/>
  <c r="O70" i="10"/>
  <c r="O68" i="10"/>
  <c r="N70" i="10"/>
  <c r="N68" i="10"/>
  <c r="N69" i="10"/>
  <c r="N71" i="10"/>
  <c r="N72" i="10"/>
  <c r="O57" i="9"/>
  <c r="O13" i="9"/>
  <c r="P36" i="9"/>
  <c r="P70" i="9" s="1"/>
  <c r="O63" i="9"/>
  <c r="O8" i="9"/>
  <c r="O42" i="9"/>
  <c r="O58" i="9"/>
  <c r="O19" i="9"/>
  <c r="R36" i="9"/>
  <c r="N37" i="9"/>
  <c r="N70" i="9" s="1"/>
  <c r="B92" i="9"/>
  <c r="B84" i="9"/>
  <c r="B86" i="9"/>
  <c r="O9" i="9"/>
  <c r="P37" i="9"/>
  <c r="B93" i="9"/>
  <c r="B85" i="9"/>
  <c r="BF96" i="9"/>
  <c r="AP96" i="9"/>
  <c r="Z96" i="9"/>
  <c r="BE96" i="9"/>
  <c r="AO96" i="9"/>
  <c r="Y96" i="9"/>
  <c r="BD96" i="9"/>
  <c r="AN96" i="9"/>
  <c r="X96" i="9"/>
  <c r="BC96" i="9"/>
  <c r="AM96" i="9"/>
  <c r="W96" i="9"/>
  <c r="BB96" i="9"/>
  <c r="AL96" i="9"/>
  <c r="V96" i="9"/>
  <c r="BA96" i="9"/>
  <c r="AK96" i="9"/>
  <c r="U96" i="9"/>
  <c r="AZ96" i="9"/>
  <c r="AJ96" i="9"/>
  <c r="T96" i="9"/>
  <c r="AY96" i="9"/>
  <c r="AI96" i="9"/>
  <c r="S96" i="9"/>
  <c r="AX96" i="9"/>
  <c r="AH96" i="9"/>
  <c r="R96" i="9"/>
  <c r="AW96" i="9"/>
  <c r="AG96" i="9"/>
  <c r="Q96" i="9"/>
  <c r="AV96" i="9"/>
  <c r="AF96" i="9"/>
  <c r="P96" i="9"/>
  <c r="AU96" i="9"/>
  <c r="AE96" i="9"/>
  <c r="O96" i="9"/>
  <c r="AT96" i="9"/>
  <c r="AD96" i="9"/>
  <c r="N96" i="9"/>
  <c r="BH96" i="9"/>
  <c r="AR96" i="9"/>
  <c r="AB96" i="9"/>
  <c r="P7" i="10"/>
  <c r="P69" i="10" s="1"/>
  <c r="P12" i="10"/>
  <c r="P34" i="10"/>
  <c r="O60" i="10"/>
  <c r="O59" i="10"/>
  <c r="O58" i="10"/>
  <c r="O61" i="10"/>
  <c r="O53" i="10"/>
  <c r="O72" i="10" s="1"/>
  <c r="O42" i="10"/>
  <c r="O71" i="10" s="1"/>
  <c r="O13" i="10"/>
  <c r="O69" i="10" s="1"/>
  <c r="P18" i="10"/>
  <c r="P41" i="10"/>
  <c r="P71" i="10" s="1"/>
  <c r="O55" i="10"/>
  <c r="P61" i="10"/>
  <c r="P57" i="10"/>
  <c r="P54" i="10"/>
  <c r="P60" i="10"/>
  <c r="P59" i="10"/>
  <c r="P58" i="10"/>
  <c r="P13" i="10"/>
  <c r="P55" i="10"/>
  <c r="Q1" i="10"/>
  <c r="P8" i="10"/>
  <c r="O14" i="10"/>
  <c r="P19" i="10"/>
  <c r="P14" i="10"/>
  <c r="O57" i="10"/>
  <c r="P4" i="10"/>
  <c r="P68" i="10" s="1"/>
  <c r="I5" i="10"/>
  <c r="K5" i="10" s="1"/>
  <c r="P9" i="10"/>
  <c r="I53" i="10"/>
  <c r="K53" i="10" s="1"/>
  <c r="O54" i="10"/>
  <c r="P20" i="10"/>
  <c r="P15" i="10"/>
  <c r="B92" i="10"/>
  <c r="B84" i="10"/>
  <c r="O5" i="10"/>
  <c r="P10" i="10"/>
  <c r="O21" i="10"/>
  <c r="P53" i="10"/>
  <c r="P72" i="10" s="1"/>
  <c r="B94" i="10"/>
  <c r="B86" i="10"/>
  <c r="P5" i="10"/>
  <c r="P21" i="10"/>
  <c r="B88" i="9"/>
  <c r="I7" i="10"/>
  <c r="K7" i="10" s="1"/>
  <c r="P16" i="10"/>
  <c r="P11" i="10"/>
  <c r="P33" i="10"/>
  <c r="P70" i="10" s="1"/>
  <c r="P56" i="10"/>
  <c r="O17" i="10"/>
  <c r="P22" i="10"/>
  <c r="N65" i="10"/>
  <c r="B96" i="10"/>
  <c r="B88" i="10"/>
  <c r="B93" i="10"/>
  <c r="B85" i="10"/>
  <c r="H1" i="11"/>
  <c r="B87" i="10"/>
  <c r="B95" i="10"/>
  <c r="AI66" i="11"/>
  <c r="G1" i="12"/>
  <c r="AL66" i="12"/>
  <c r="D7" i="13"/>
  <c r="D8" i="13" s="1"/>
  <c r="D11" i="13"/>
  <c r="E26" i="13"/>
  <c r="F1" i="13"/>
  <c r="D27" i="13"/>
  <c r="D28" i="13" s="1"/>
  <c r="E2" i="13"/>
  <c r="F1" i="15"/>
  <c r="E9" i="15" s="1"/>
  <c r="G29" i="15"/>
  <c r="G81" i="15"/>
  <c r="BJ37" i="8"/>
  <c r="AT37" i="8"/>
  <c r="AD37" i="8"/>
  <c r="N37" i="8"/>
  <c r="BU36" i="8"/>
  <c r="BE36" i="8"/>
  <c r="BQ37" i="8"/>
  <c r="BA37" i="8"/>
  <c r="AK37" i="8"/>
  <c r="U37" i="8"/>
  <c r="E37" i="8"/>
  <c r="BL36" i="8"/>
  <c r="AV36" i="8"/>
  <c r="AF36" i="8"/>
  <c r="P36" i="8"/>
  <c r="BW35" i="8"/>
  <c r="BV37" i="8"/>
  <c r="BF37" i="8"/>
  <c r="AP37" i="8"/>
  <c r="Z37" i="8"/>
  <c r="J37" i="8"/>
  <c r="BQ36" i="8"/>
  <c r="BA36" i="8"/>
  <c r="BM37" i="8"/>
  <c r="AW37" i="8"/>
  <c r="AG37" i="8"/>
  <c r="Q37" i="8"/>
  <c r="A37" i="8"/>
  <c r="BH36" i="8"/>
  <c r="AR36" i="8"/>
  <c r="AB36" i="8"/>
  <c r="L36" i="8"/>
  <c r="BS35" i="8"/>
  <c r="BC35" i="8"/>
  <c r="AM35" i="8"/>
  <c r="W35" i="8"/>
  <c r="G35" i="8"/>
  <c r="BT37" i="8"/>
  <c r="BD37" i="8"/>
  <c r="AN37" i="8"/>
  <c r="X37" i="8"/>
  <c r="H37" i="8"/>
  <c r="BO36" i="8"/>
  <c r="AY36" i="8"/>
  <c r="AI36" i="8"/>
  <c r="S36" i="8"/>
  <c r="C36" i="8"/>
  <c r="BJ35" i="8"/>
  <c r="AT35" i="8"/>
  <c r="AD35" i="8"/>
  <c r="N35" i="8"/>
  <c r="BU34" i="8"/>
  <c r="BE34" i="8"/>
  <c r="AO34" i="8"/>
  <c r="Y34" i="8"/>
  <c r="I34" i="8"/>
  <c r="BP33" i="8"/>
  <c r="AZ33" i="8"/>
  <c r="AJ33" i="8"/>
  <c r="T33" i="8"/>
  <c r="D33" i="8"/>
  <c r="BK32" i="8"/>
  <c r="AU32" i="8"/>
  <c r="AE32" i="8"/>
  <c r="O32" i="8"/>
  <c r="BV31" i="8"/>
  <c r="BF31" i="8"/>
  <c r="AP31" i="8"/>
  <c r="Z31" i="8"/>
  <c r="BS37" i="8"/>
  <c r="G37" i="8"/>
  <c r="AG36" i="8"/>
  <c r="A36" i="8"/>
  <c r="AR35" i="8"/>
  <c r="L35" i="8"/>
  <c r="BG34" i="8"/>
  <c r="AL34" i="8"/>
  <c r="P34" i="8"/>
  <c r="BR33" i="8"/>
  <c r="AW33" i="8"/>
  <c r="AA33" i="8"/>
  <c r="F33" i="8"/>
  <c r="BH32" i="8"/>
  <c r="AL32" i="8"/>
  <c r="Q32" i="8"/>
  <c r="BS31" i="8"/>
  <c r="AW31" i="8"/>
  <c r="AB31" i="8"/>
  <c r="I31" i="8"/>
  <c r="BP30" i="8"/>
  <c r="AZ30" i="8"/>
  <c r="AJ30" i="8"/>
  <c r="T30" i="8"/>
  <c r="D30" i="8"/>
  <c r="BK29" i="8"/>
  <c r="AU29" i="8"/>
  <c r="AE29" i="8"/>
  <c r="O29" i="8"/>
  <c r="BV28" i="8"/>
  <c r="BF28" i="8"/>
  <c r="AP28" i="8"/>
  <c r="AY37" i="8"/>
  <c r="BJ36" i="8"/>
  <c r="V36" i="8"/>
  <c r="BM35" i="8"/>
  <c r="AG35" i="8"/>
  <c r="A35" i="8"/>
  <c r="AZ34" i="8"/>
  <c r="AE34" i="8"/>
  <c r="J34" i="8"/>
  <c r="BK33" i="8"/>
  <c r="AP33" i="8"/>
  <c r="U33" i="8"/>
  <c r="BV32" i="8"/>
  <c r="BA32" i="8"/>
  <c r="AF32" i="8"/>
  <c r="J32" i="8"/>
  <c r="BL31" i="8"/>
  <c r="AQ31" i="8"/>
  <c r="U31" i="8"/>
  <c r="D31" i="8"/>
  <c r="BK30" i="8"/>
  <c r="AU30" i="8"/>
  <c r="AE30" i="8"/>
  <c r="O30" i="8"/>
  <c r="BV29" i="8"/>
  <c r="BF29" i="8"/>
  <c r="BR37" i="8"/>
  <c r="BN37" i="8"/>
  <c r="AX37" i="8"/>
  <c r="AH37" i="8"/>
  <c r="R37" i="8"/>
  <c r="B37" i="8"/>
  <c r="BI36" i="8"/>
  <c r="BU37" i="8"/>
  <c r="BE37" i="8"/>
  <c r="AO37" i="8"/>
  <c r="Y37" i="8"/>
  <c r="I37" i="8"/>
  <c r="BP36" i="8"/>
  <c r="AZ36" i="8"/>
  <c r="AJ36" i="8"/>
  <c r="T36" i="8"/>
  <c r="D36" i="8"/>
  <c r="BK35" i="8"/>
  <c r="AU35" i="8"/>
  <c r="AE35" i="8"/>
  <c r="O35" i="8"/>
  <c r="BV34" i="8"/>
  <c r="BL37" i="8"/>
  <c r="AV37" i="8"/>
  <c r="AF37" i="8"/>
  <c r="P37" i="8"/>
  <c r="BW36" i="8"/>
  <c r="BG36" i="8"/>
  <c r="AQ36" i="8"/>
  <c r="AA36" i="8"/>
  <c r="K36" i="8"/>
  <c r="BR35" i="8"/>
  <c r="BB35" i="8"/>
  <c r="AL35" i="8"/>
  <c r="V35" i="8"/>
  <c r="F35" i="8"/>
  <c r="BM34" i="8"/>
  <c r="AW34" i="8"/>
  <c r="AG34" i="8"/>
  <c r="Q34" i="8"/>
  <c r="A34" i="8"/>
  <c r="BH33" i="8"/>
  <c r="AR33" i="8"/>
  <c r="AB33" i="8"/>
  <c r="L33" i="8"/>
  <c r="BS32" i="8"/>
  <c r="BC32" i="8"/>
  <c r="AM32" i="8"/>
  <c r="W32" i="8"/>
  <c r="G32" i="8"/>
  <c r="BN31" i="8"/>
  <c r="AX31" i="8"/>
  <c r="AH31" i="8"/>
  <c r="R31" i="8"/>
  <c r="AM37" i="8"/>
  <c r="AX36" i="8"/>
  <c r="Q36" i="8"/>
  <c r="BH35" i="8"/>
  <c r="AB35" i="8"/>
  <c r="BS34" i="8"/>
  <c r="AV34" i="8"/>
  <c r="AA34" i="8"/>
  <c r="F34" i="8"/>
  <c r="BG33" i="8"/>
  <c r="AL33" i="8"/>
  <c r="Q33" i="8"/>
  <c r="BR32" i="8"/>
  <c r="AW32" i="8"/>
  <c r="AB32" i="8"/>
  <c r="F32" i="8"/>
  <c r="BH31" i="8"/>
  <c r="AM31" i="8"/>
  <c r="Q31" i="8"/>
  <c r="A31" i="8"/>
  <c r="BH30" i="8"/>
  <c r="AR30" i="8"/>
  <c r="AB30" i="8"/>
  <c r="L30" i="8"/>
  <c r="BS29" i="8"/>
  <c r="BC29" i="8"/>
  <c r="AM29" i="8"/>
  <c r="W29" i="8"/>
  <c r="G29" i="8"/>
  <c r="BN28" i="8"/>
  <c r="AX28" i="8"/>
  <c r="AH28" i="8"/>
  <c r="S37" i="8"/>
  <c r="AL36" i="8"/>
  <c r="F36" i="8"/>
  <c r="AW35" i="8"/>
  <c r="Q35" i="8"/>
  <c r="BK34" i="8"/>
  <c r="AP34" i="8"/>
  <c r="T34" i="8"/>
  <c r="BV33" i="8"/>
  <c r="BA33" i="8"/>
  <c r="AE33" i="8"/>
  <c r="J33" i="8"/>
  <c r="BL32" i="8"/>
  <c r="AP32" i="8"/>
  <c r="U32" i="8"/>
  <c r="BW31" i="8"/>
  <c r="BA31" i="8"/>
  <c r="AF31" i="8"/>
  <c r="L31" i="8"/>
  <c r="BS30" i="8"/>
  <c r="BC30" i="8"/>
  <c r="AM30" i="8"/>
  <c r="W30" i="8"/>
  <c r="G30" i="8"/>
  <c r="BN29" i="8"/>
  <c r="AX29" i="8"/>
  <c r="AH29" i="8"/>
  <c r="BK37" i="8"/>
  <c r="AC36" i="8"/>
  <c r="AN35" i="8"/>
  <c r="BD34" i="8"/>
  <c r="N34" i="8"/>
  <c r="AT33" i="8"/>
  <c r="C33" i="8"/>
  <c r="AJ32" i="8"/>
  <c r="BP31" i="8"/>
  <c r="Y31" i="8"/>
  <c r="BN30" i="8"/>
  <c r="AH30" i="8"/>
  <c r="B30" i="8"/>
  <c r="AS29" i="8"/>
  <c r="P29" i="8"/>
  <c r="BB37" i="8"/>
  <c r="BM36" i="8"/>
  <c r="AC37" i="8"/>
  <c r="AN36" i="8"/>
  <c r="BG35" i="8"/>
  <c r="AA35" i="8"/>
  <c r="BR34" i="8"/>
  <c r="AR37" i="8"/>
  <c r="L37" i="8"/>
  <c r="BC36" i="8"/>
  <c r="W36" i="8"/>
  <c r="BN35" i="8"/>
  <c r="AH35" i="8"/>
  <c r="B35" i="8"/>
  <c r="AS34" i="8"/>
  <c r="M34" i="8"/>
  <c r="BD33" i="8"/>
  <c r="X33" i="8"/>
  <c r="BO32" i="8"/>
  <c r="AI32" i="8"/>
  <c r="C32" i="8"/>
  <c r="AT31" i="8"/>
  <c r="BW37" i="8"/>
  <c r="AO36" i="8"/>
  <c r="AZ35" i="8"/>
  <c r="BL34" i="8"/>
  <c r="V34" i="8"/>
  <c r="BB33" i="8"/>
  <c r="K33" i="8"/>
  <c r="AR32" i="8"/>
  <c r="A32" i="8"/>
  <c r="AG31" i="8"/>
  <c r="BT30" i="8"/>
  <c r="AN30" i="8"/>
  <c r="H30" i="8"/>
  <c r="AY29" i="8"/>
  <c r="S29" i="8"/>
  <c r="BJ28" i="8"/>
  <c r="BO37" i="8"/>
  <c r="AD36" i="8"/>
  <c r="AO35" i="8"/>
  <c r="BF34" i="8"/>
  <c r="O34" i="8"/>
  <c r="AU33" i="8"/>
  <c r="E33" i="8"/>
  <c r="AK32" i="8"/>
  <c r="BQ31" i="8"/>
  <c r="AA31" i="8"/>
  <c r="BO30" i="8"/>
  <c r="AI30" i="8"/>
  <c r="C30" i="8"/>
  <c r="AT29" i="8"/>
  <c r="Z29" i="8"/>
  <c r="AS36" i="8"/>
  <c r="X35" i="8"/>
  <c r="AI34" i="8"/>
  <c r="BE33" i="8"/>
  <c r="BP32" i="8"/>
  <c r="N32" i="8"/>
  <c r="AJ31" i="8"/>
  <c r="BF30" i="8"/>
  <c r="R30" i="8"/>
  <c r="BA29" i="8"/>
  <c r="J29" i="8"/>
  <c r="BL28" i="8"/>
  <c r="AQ28" i="8"/>
  <c r="X28" i="8"/>
  <c r="H28" i="8"/>
  <c r="BO27" i="8"/>
  <c r="AY27" i="8"/>
  <c r="AI27" i="8"/>
  <c r="S27" i="8"/>
  <c r="C27" i="8"/>
  <c r="BJ26" i="8"/>
  <c r="AT26" i="8"/>
  <c r="AD26" i="8"/>
  <c r="N26" i="8"/>
  <c r="BU25" i="8"/>
  <c r="BE25" i="8"/>
  <c r="AO25" i="8"/>
  <c r="Y25" i="8"/>
  <c r="I25" i="8"/>
  <c r="BP24" i="8"/>
  <c r="BR36" i="8"/>
  <c r="BQ35" i="8"/>
  <c r="E35" i="8"/>
  <c r="AH34" i="8"/>
  <c r="BN33" i="8"/>
  <c r="W33" i="8"/>
  <c r="BD32" i="8"/>
  <c r="M32" i="8"/>
  <c r="AS31" i="8"/>
  <c r="F31" i="8"/>
  <c r="AW30" i="8"/>
  <c r="Q30" i="8"/>
  <c r="BH29" i="8"/>
  <c r="AB29" i="8"/>
  <c r="D29" i="8"/>
  <c r="BE28" i="8"/>
  <c r="AJ28" i="8"/>
  <c r="S28" i="8"/>
  <c r="C28" i="8"/>
  <c r="BJ27" i="8"/>
  <c r="AT27" i="8"/>
  <c r="AD27" i="8"/>
  <c r="N27" i="8"/>
  <c r="BU26" i="8"/>
  <c r="BE26" i="8"/>
  <c r="AO26" i="8"/>
  <c r="Y26" i="8"/>
  <c r="I26" i="8"/>
  <c r="BP25" i="8"/>
  <c r="AZ25" i="8"/>
  <c r="AJ25" i="8"/>
  <c r="T25" i="8"/>
  <c r="AK36" i="8"/>
  <c r="AV35" i="8"/>
  <c r="BJ34" i="8"/>
  <c r="R36" i="8"/>
  <c r="BU33" i="8"/>
  <c r="BJ32" i="8"/>
  <c r="AZ31" i="8"/>
  <c r="BB30" i="8"/>
  <c r="BM29" i="8"/>
  <c r="H29" i="8"/>
  <c r="AN28" i="8"/>
  <c r="F28" i="8"/>
  <c r="AL37" i="8"/>
  <c r="AW36" i="8"/>
  <c r="M37" i="8"/>
  <c r="X36" i="8"/>
  <c r="AY35" i="8"/>
  <c r="S35" i="8"/>
  <c r="BP37" i="8"/>
  <c r="AJ37" i="8"/>
  <c r="D37" i="8"/>
  <c r="AU36" i="8"/>
  <c r="O36" i="8"/>
  <c r="BF35" i="8"/>
  <c r="Z35" i="8"/>
  <c r="BQ34" i="8"/>
  <c r="AK34" i="8"/>
  <c r="E34" i="8"/>
  <c r="AV33" i="8"/>
  <c r="P33" i="8"/>
  <c r="BG32" i="8"/>
  <c r="AA32" i="8"/>
  <c r="BR31" i="8"/>
  <c r="AL31" i="8"/>
  <c r="BC37" i="8"/>
  <c r="Y36" i="8"/>
  <c r="AJ35" i="8"/>
  <c r="BB34" i="8"/>
  <c r="K34" i="8"/>
  <c r="AQ33" i="8"/>
  <c r="A33" i="8"/>
  <c r="AG32" i="8"/>
  <c r="BM31" i="8"/>
  <c r="W31" i="8"/>
  <c r="BL30" i="8"/>
  <c r="AF30" i="8"/>
  <c r="BW29" i="8"/>
  <c r="AQ29" i="8"/>
  <c r="K29" i="8"/>
  <c r="BB28" i="8"/>
  <c r="AI37" i="8"/>
  <c r="N36" i="8"/>
  <c r="Y35" i="8"/>
  <c r="AU34" i="8"/>
  <c r="D34" i="8"/>
  <c r="AK33" i="8"/>
  <c r="BQ32" i="8"/>
  <c r="Z32" i="8"/>
  <c r="BG31" i="8"/>
  <c r="P31" i="8"/>
  <c r="BG30" i="8"/>
  <c r="AA30" i="8"/>
  <c r="BR29" i="8"/>
  <c r="AP29" i="8"/>
  <c r="V29" i="8"/>
  <c r="M36" i="8"/>
  <c r="H35" i="8"/>
  <c r="X34" i="8"/>
  <c r="AI33" i="8"/>
  <c r="BE32" i="8"/>
  <c r="D32" i="8"/>
  <c r="O31" i="8"/>
  <c r="AX30" i="8"/>
  <c r="J30" i="8"/>
  <c r="AK29" i="8"/>
  <c r="E29" i="8"/>
  <c r="BG28" i="8"/>
  <c r="AK28" i="8"/>
  <c r="T28" i="8"/>
  <c r="D28" i="8"/>
  <c r="BK27" i="8"/>
  <c r="AU27" i="8"/>
  <c r="AE27" i="8"/>
  <c r="O27" i="8"/>
  <c r="BV26" i="8"/>
  <c r="BF26" i="8"/>
  <c r="AP26" i="8"/>
  <c r="Z26" i="8"/>
  <c r="J26" i="8"/>
  <c r="BQ25" i="8"/>
  <c r="BA25" i="8"/>
  <c r="AK25" i="8"/>
  <c r="U25" i="8"/>
  <c r="E25" i="8"/>
  <c r="BL24" i="8"/>
  <c r="AP36" i="8"/>
  <c r="BA35" i="8"/>
  <c r="BN34" i="8"/>
  <c r="W34" i="8"/>
  <c r="BC33" i="8"/>
  <c r="M33" i="8"/>
  <c r="AS32" i="8"/>
  <c r="B32" i="8"/>
  <c r="AI31" i="8"/>
  <c r="BU30" i="8"/>
  <c r="AO30" i="8"/>
  <c r="I30" i="8"/>
  <c r="AZ29" i="8"/>
  <c r="T29" i="8"/>
  <c r="BU28" i="8"/>
  <c r="AZ28" i="8"/>
  <c r="AE28" i="8"/>
  <c r="O28" i="8"/>
  <c r="BV27" i="8"/>
  <c r="BF27" i="8"/>
  <c r="AP27" i="8"/>
  <c r="Z27" i="8"/>
  <c r="J27" i="8"/>
  <c r="BQ26" i="8"/>
  <c r="BA26" i="8"/>
  <c r="AK26" i="8"/>
  <c r="U26" i="8"/>
  <c r="E26" i="8"/>
  <c r="BL25" i="8"/>
  <c r="AV25" i="8"/>
  <c r="AF25" i="8"/>
  <c r="AU37" i="8"/>
  <c r="U36" i="8"/>
  <c r="AF35" i="8"/>
  <c r="AY34" i="8"/>
  <c r="AC35" i="8"/>
  <c r="AY33" i="8"/>
  <c r="AO32" i="8"/>
  <c r="V37" i="8"/>
  <c r="BI37" i="8"/>
  <c r="BT36" i="8"/>
  <c r="H36" i="8"/>
  <c r="AQ35" i="8"/>
  <c r="K35" i="8"/>
  <c r="BH37" i="8"/>
  <c r="AB37" i="8"/>
  <c r="BS36" i="8"/>
  <c r="AM36" i="8"/>
  <c r="G36" i="8"/>
  <c r="AX35" i="8"/>
  <c r="R35" i="8"/>
  <c r="BI34" i="8"/>
  <c r="AC34" i="8"/>
  <c r="BT33" i="8"/>
  <c r="AN33" i="8"/>
  <c r="H33" i="8"/>
  <c r="AY32" i="8"/>
  <c r="S32" i="8"/>
  <c r="BJ31" i="8"/>
  <c r="AD31" i="8"/>
  <c r="W37" i="8"/>
  <c r="I36" i="8"/>
  <c r="T35" i="8"/>
  <c r="AQ34" i="8"/>
  <c r="BW33" i="8"/>
  <c r="AG33" i="8"/>
  <c r="BM32" i="8"/>
  <c r="V32" i="8"/>
  <c r="BC31" i="8"/>
  <c r="M31" i="8"/>
  <c r="BD30" i="8"/>
  <c r="X30" i="8"/>
  <c r="BO29" i="8"/>
  <c r="AI29" i="8"/>
  <c r="C29" i="8"/>
  <c r="AT28" i="8"/>
  <c r="C37" i="8"/>
  <c r="BU35" i="8"/>
  <c r="I35" i="8"/>
  <c r="AJ34" i="8"/>
  <c r="BQ33" i="8"/>
  <c r="Z33" i="8"/>
  <c r="BF32" i="8"/>
  <c r="P32" i="8"/>
  <c r="AV31" i="8"/>
  <c r="H31" i="8"/>
  <c r="AY30" i="8"/>
  <c r="S30" i="8"/>
  <c r="BJ29" i="8"/>
  <c r="AL29" i="8"/>
  <c r="AE37" i="8"/>
  <c r="BT35" i="8"/>
  <c r="BO34" i="8"/>
  <c r="C34" i="8"/>
  <c r="Y33" i="8"/>
  <c r="AT32" i="8"/>
  <c r="BE31" i="8"/>
  <c r="G31" i="8"/>
  <c r="AP30" i="8"/>
  <c r="BQ29" i="8"/>
  <c r="AC29" i="8"/>
  <c r="BW28" i="8"/>
  <c r="BA28" i="8"/>
  <c r="AF28" i="8"/>
  <c r="P28" i="8"/>
  <c r="BW27" i="8"/>
  <c r="BG27" i="8"/>
  <c r="AQ27" i="8"/>
  <c r="AA27" i="8"/>
  <c r="K27" i="8"/>
  <c r="BR26" i="8"/>
  <c r="BB26" i="8"/>
  <c r="AL26" i="8"/>
  <c r="V26" i="8"/>
  <c r="F26" i="8"/>
  <c r="BM25" i="8"/>
  <c r="AW25" i="8"/>
  <c r="AG25" i="8"/>
  <c r="Q25" i="8"/>
  <c r="A25" i="8"/>
  <c r="BG37" i="8"/>
  <c r="Z36" i="8"/>
  <c r="AK35" i="8"/>
  <c r="BC34" i="8"/>
  <c r="L34" i="8"/>
  <c r="AS33" i="8"/>
  <c r="B33" i="8"/>
  <c r="AH32" i="8"/>
  <c r="BO31" i="8"/>
  <c r="X31" i="8"/>
  <c r="BM30" i="8"/>
  <c r="AG30" i="8"/>
  <c r="A30" i="8"/>
  <c r="AR29" i="8"/>
  <c r="N29" i="8"/>
  <c r="BP28" i="8"/>
  <c r="AU28" i="8"/>
  <c r="AA28" i="8"/>
  <c r="K28" i="8"/>
  <c r="BR27" i="8"/>
  <c r="BB27" i="8"/>
  <c r="AL27" i="8"/>
  <c r="V27" i="8"/>
  <c r="F27" i="8"/>
  <c r="BM26" i="8"/>
  <c r="AW26" i="8"/>
  <c r="AG26" i="8"/>
  <c r="Q26" i="8"/>
  <c r="A26" i="8"/>
  <c r="BH25" i="8"/>
  <c r="AR25" i="8"/>
  <c r="AB25" i="8"/>
  <c r="O37" i="8"/>
  <c r="E36" i="8"/>
  <c r="P35" i="8"/>
  <c r="AN34" i="8"/>
  <c r="AX34" i="8"/>
  <c r="AD33" i="8"/>
  <c r="T32" i="8"/>
  <c r="K31" i="8"/>
  <c r="V30" i="8"/>
  <c r="AG29" i="8"/>
  <c r="F37" i="8"/>
  <c r="AS37" i="8"/>
  <c r="BD36" i="8"/>
  <c r="BO35" i="8"/>
  <c r="AI35" i="8"/>
  <c r="C35" i="8"/>
  <c r="AZ37" i="8"/>
  <c r="T37" i="8"/>
  <c r="BK36" i="8"/>
  <c r="AE36" i="8"/>
  <c r="BV35" i="8"/>
  <c r="AP35" i="8"/>
  <c r="J35" i="8"/>
  <c r="BA34" i="8"/>
  <c r="U34" i="8"/>
  <c r="BL33" i="8"/>
  <c r="AF33" i="8"/>
  <c r="BW32" i="8"/>
  <c r="AQ32" i="8"/>
  <c r="K32" i="8"/>
  <c r="BB31" i="8"/>
  <c r="V31" i="8"/>
  <c r="BN36" i="8"/>
  <c r="BP35" i="8"/>
  <c r="D35" i="8"/>
  <c r="AF34" i="8"/>
  <c r="BM33" i="8"/>
  <c r="V33" i="8"/>
  <c r="BB32" i="8"/>
  <c r="L32" i="8"/>
  <c r="AR31" i="8"/>
  <c r="E31" i="8"/>
  <c r="AV30" i="8"/>
  <c r="P30" i="8"/>
  <c r="BG29" i="8"/>
  <c r="AA29" i="8"/>
  <c r="BR28" i="8"/>
  <c r="AL28" i="8"/>
  <c r="AT36" i="8"/>
  <c r="BE35" i="8"/>
  <c r="BP34" i="8"/>
  <c r="Z34" i="8"/>
  <c r="BF33" i="8"/>
  <c r="O33" i="8"/>
  <c r="AV32" i="8"/>
  <c r="E32" i="8"/>
  <c r="AK31" i="8"/>
  <c r="BW30" i="8"/>
  <c r="AQ30" i="8"/>
  <c r="K30" i="8"/>
  <c r="BB29" i="8"/>
  <c r="AD29" i="8"/>
  <c r="BV36" i="8"/>
  <c r="BD35" i="8"/>
  <c r="AT34" i="8"/>
  <c r="BO33" i="8"/>
  <c r="N33" i="8"/>
  <c r="Y32" i="8"/>
  <c r="AU31" i="8"/>
  <c r="BV30" i="8"/>
  <c r="Z30" i="8"/>
  <c r="BI29" i="8"/>
  <c r="U29" i="8"/>
  <c r="BQ28" i="8"/>
  <c r="AV28" i="8"/>
  <c r="AB28" i="8"/>
  <c r="L28" i="8"/>
  <c r="BS27" i="8"/>
  <c r="BC27" i="8"/>
  <c r="AM27" i="8"/>
  <c r="W27" i="8"/>
  <c r="G27" i="8"/>
  <c r="BN26" i="8"/>
  <c r="AX26" i="8"/>
  <c r="AH26" i="8"/>
  <c r="R26" i="8"/>
  <c r="B26" i="8"/>
  <c r="BI25" i="8"/>
  <c r="AS25" i="8"/>
  <c r="AC25" i="8"/>
  <c r="M25" i="8"/>
  <c r="BT24" i="8"/>
  <c r="AA37" i="8"/>
  <c r="J36" i="8"/>
  <c r="U35" i="8"/>
  <c r="AR34" i="8"/>
  <c r="B34" i="8"/>
  <c r="AH33" i="8"/>
  <c r="BN32" i="8"/>
  <c r="X32" i="8"/>
  <c r="BD31" i="8"/>
  <c r="N31" i="8"/>
  <c r="BE30" i="8"/>
  <c r="Y30" i="8"/>
  <c r="BP29" i="8"/>
  <c r="AJ29" i="8"/>
  <c r="I29" i="8"/>
  <c r="BK28" i="8"/>
  <c r="AO28" i="8"/>
  <c r="W28" i="8"/>
  <c r="G28" i="8"/>
  <c r="BN27" i="8"/>
  <c r="AX27" i="8"/>
  <c r="AH27" i="8"/>
  <c r="R27" i="8"/>
  <c r="B27" i="8"/>
  <c r="BI26" i="8"/>
  <c r="AS26" i="8"/>
  <c r="AC26" i="8"/>
  <c r="M26" i="8"/>
  <c r="BT25" i="8"/>
  <c r="BD25" i="8"/>
  <c r="AN25" i="8"/>
  <c r="X25" i="8"/>
  <c r="BF36" i="8"/>
  <c r="BL35" i="8"/>
  <c r="BW34" i="8"/>
  <c r="AQ37" i="8"/>
  <c r="S34" i="8"/>
  <c r="I33" i="8"/>
  <c r="AE31" i="8"/>
  <c r="AW29" i="8"/>
  <c r="AY28" i="8"/>
  <c r="BU27" i="8"/>
  <c r="AO27" i="8"/>
  <c r="I27" i="8"/>
  <c r="AZ26" i="8"/>
  <c r="T26" i="8"/>
  <c r="BK25" i="8"/>
  <c r="AE25" i="8"/>
  <c r="F25" i="8"/>
  <c r="BH24" i="8"/>
  <c r="AR24" i="8"/>
  <c r="AB24" i="8"/>
  <c r="L24" i="8"/>
  <c r="BS23" i="8"/>
  <c r="BC23" i="8"/>
  <c r="AM23" i="8"/>
  <c r="W23" i="8"/>
  <c r="G23" i="8"/>
  <c r="BN22" i="8"/>
  <c r="AX22" i="8"/>
  <c r="AH22" i="8"/>
  <c r="R22" i="8"/>
  <c r="B22" i="8"/>
  <c r="BI21" i="8"/>
  <c r="AS21" i="8"/>
  <c r="AC21" i="8"/>
  <c r="M21" i="8"/>
  <c r="BT20" i="8"/>
  <c r="BD20" i="8"/>
  <c r="AN20" i="8"/>
  <c r="X20" i="8"/>
  <c r="H20" i="8"/>
  <c r="BO19" i="8"/>
  <c r="AY19" i="8"/>
  <c r="AI19" i="8"/>
  <c r="S19" i="8"/>
  <c r="C19" i="8"/>
  <c r="BJ18" i="8"/>
  <c r="AT18" i="8"/>
  <c r="AD18" i="8"/>
  <c r="N18" i="8"/>
  <c r="BU17" i="8"/>
  <c r="B36" i="8"/>
  <c r="BS33" i="8"/>
  <c r="BI32" i="8"/>
  <c r="AY31" i="8"/>
  <c r="BA30" i="8"/>
  <c r="BL29" i="8"/>
  <c r="F29" i="8"/>
  <c r="AM28" i="8"/>
  <c r="E28" i="8"/>
  <c r="AV27" i="8"/>
  <c r="P27" i="8"/>
  <c r="BG26" i="8"/>
  <c r="AA26" i="8"/>
  <c r="BR25" i="8"/>
  <c r="AL25" i="8"/>
  <c r="J25" i="8"/>
  <c r="BK24" i="8"/>
  <c r="AU24" i="8"/>
  <c r="AE24" i="8"/>
  <c r="O24" i="8"/>
  <c r="BV23" i="8"/>
  <c r="BF23" i="8"/>
  <c r="AP23" i="8"/>
  <c r="Z23" i="8"/>
  <c r="J23" i="8"/>
  <c r="BQ22" i="8"/>
  <c r="BA22" i="8"/>
  <c r="AK22" i="8"/>
  <c r="U22" i="8"/>
  <c r="E22" i="8"/>
  <c r="BL21" i="8"/>
  <c r="AV21" i="8"/>
  <c r="AF21" i="8"/>
  <c r="P21" i="8"/>
  <c r="BW20" i="8"/>
  <c r="BG20" i="8"/>
  <c r="AQ20" i="8"/>
  <c r="AA20" i="8"/>
  <c r="K20" i="8"/>
  <c r="BR19" i="8"/>
  <c r="BB19" i="8"/>
  <c r="AL19" i="8"/>
  <c r="V19" i="8"/>
  <c r="F19" i="8"/>
  <c r="BM18" i="8"/>
  <c r="AW18" i="8"/>
  <c r="AG18" i="8"/>
  <c r="Q18" i="8"/>
  <c r="A18" i="8"/>
  <c r="BH17" i="8"/>
  <c r="AR17" i="8"/>
  <c r="AB17" i="8"/>
  <c r="L17" i="8"/>
  <c r="BS16" i="8"/>
  <c r="BC16" i="8"/>
  <c r="AM16" i="8"/>
  <c r="W16" i="8"/>
  <c r="G16" i="8"/>
  <c r="BN15" i="8"/>
  <c r="AX15" i="8"/>
  <c r="AH15" i="8"/>
  <c r="R15" i="8"/>
  <c r="B15" i="8"/>
  <c r="BI14" i="8"/>
  <c r="BT34" i="8"/>
  <c r="AO33" i="8"/>
  <c r="AD32" i="8"/>
  <c r="T31" i="8"/>
  <c r="AD30" i="8"/>
  <c r="AO29" i="8"/>
  <c r="BO28" i="8"/>
  <c r="Z28" i="8"/>
  <c r="BQ27" i="8"/>
  <c r="AK27" i="8"/>
  <c r="E27" i="8"/>
  <c r="AV26" i="8"/>
  <c r="P26" i="8"/>
  <c r="BG25" i="8"/>
  <c r="AA25" i="8"/>
  <c r="C25" i="8"/>
  <c r="BF24" i="8"/>
  <c r="AP24" i="8"/>
  <c r="Z24" i="8"/>
  <c r="BR30" i="8"/>
  <c r="R29" i="8"/>
  <c r="AD28" i="8"/>
  <c r="BM27" i="8"/>
  <c r="AG27" i="8"/>
  <c r="A27" i="8"/>
  <c r="AR26" i="8"/>
  <c r="L26" i="8"/>
  <c r="BC25" i="8"/>
  <c r="W25" i="8"/>
  <c r="BW24" i="8"/>
  <c r="BD24" i="8"/>
  <c r="AN24" i="8"/>
  <c r="X24" i="8"/>
  <c r="H24" i="8"/>
  <c r="BO23" i="8"/>
  <c r="AY23" i="8"/>
  <c r="AI23" i="8"/>
  <c r="S23" i="8"/>
  <c r="C23" i="8"/>
  <c r="BJ22" i="8"/>
  <c r="AT22" i="8"/>
  <c r="AD22" i="8"/>
  <c r="N22" i="8"/>
  <c r="BU21" i="8"/>
  <c r="BE21" i="8"/>
  <c r="AO21" i="8"/>
  <c r="Y21" i="8"/>
  <c r="I21" i="8"/>
  <c r="BP20" i="8"/>
  <c r="AZ20" i="8"/>
  <c r="AJ20" i="8"/>
  <c r="T20" i="8"/>
  <c r="D20" i="8"/>
  <c r="BK19" i="8"/>
  <c r="AU19" i="8"/>
  <c r="AE19" i="8"/>
  <c r="O19" i="8"/>
  <c r="BV18" i="8"/>
  <c r="BF18" i="8"/>
  <c r="AP18" i="8"/>
  <c r="Z18" i="8"/>
  <c r="J18" i="8"/>
  <c r="BQ17" i="8"/>
  <c r="M35" i="8"/>
  <c r="AX33" i="8"/>
  <c r="AN32" i="8"/>
  <c r="AC31" i="8"/>
  <c r="AK30" i="8"/>
  <c r="AV29" i="8"/>
  <c r="BS28" i="8"/>
  <c r="AC28" i="8"/>
  <c r="BT27" i="8"/>
  <c r="AN27" i="8"/>
  <c r="H27" i="8"/>
  <c r="AY26" i="8"/>
  <c r="S26" i="8"/>
  <c r="BJ25" i="8"/>
  <c r="AD25" i="8"/>
  <c r="D25" i="8"/>
  <c r="BG24" i="8"/>
  <c r="AQ24" i="8"/>
  <c r="AA24" i="8"/>
  <c r="K24" i="8"/>
  <c r="BR23" i="8"/>
  <c r="BB23" i="8"/>
  <c r="AL23" i="8"/>
  <c r="V23" i="8"/>
  <c r="F23" i="8"/>
  <c r="BM22" i="8"/>
  <c r="AW22" i="8"/>
  <c r="AG22" i="8"/>
  <c r="Q22" i="8"/>
  <c r="A22" i="8"/>
  <c r="BH21" i="8"/>
  <c r="AR21" i="8"/>
  <c r="AB21" i="8"/>
  <c r="L21" i="8"/>
  <c r="BS20" i="8"/>
  <c r="BC20" i="8"/>
  <c r="AM20" i="8"/>
  <c r="W20" i="8"/>
  <c r="G20" i="8"/>
  <c r="BN19" i="8"/>
  <c r="AX19" i="8"/>
  <c r="AH19" i="8"/>
  <c r="R19" i="8"/>
  <c r="B19" i="8"/>
  <c r="BI18" i="8"/>
  <c r="AS18" i="8"/>
  <c r="AC18" i="8"/>
  <c r="M18" i="8"/>
  <c r="BT17" i="8"/>
  <c r="BD17" i="8"/>
  <c r="AN17" i="8"/>
  <c r="X17" i="8"/>
  <c r="H17" i="8"/>
  <c r="BO16" i="8"/>
  <c r="AY16" i="8"/>
  <c r="AI16" i="8"/>
  <c r="S16" i="8"/>
  <c r="C16" i="8"/>
  <c r="BJ15" i="8"/>
  <c r="AT15" i="8"/>
  <c r="AD15" i="8"/>
  <c r="N15" i="8"/>
  <c r="BU14" i="8"/>
  <c r="BE14" i="8"/>
  <c r="AD34" i="8"/>
  <c r="S33" i="8"/>
  <c r="I32" i="8"/>
  <c r="C31" i="8"/>
  <c r="N30" i="8"/>
  <c r="Y29" i="8"/>
  <c r="BD28" i="8"/>
  <c r="R28" i="8"/>
  <c r="BI27" i="8"/>
  <c r="AC27" i="8"/>
  <c r="BT26" i="8"/>
  <c r="AN26" i="8"/>
  <c r="H26" i="8"/>
  <c r="AY25" i="8"/>
  <c r="S25" i="8"/>
  <c r="BU24" i="8"/>
  <c r="BB24" i="8"/>
  <c r="AL24" i="8"/>
  <c r="V24" i="8"/>
  <c r="AL30" i="8"/>
  <c r="BT28" i="8"/>
  <c r="V28" i="8"/>
  <c r="BE27" i="8"/>
  <c r="Y27" i="8"/>
  <c r="BP26" i="8"/>
  <c r="AJ26" i="8"/>
  <c r="D26" i="8"/>
  <c r="AU25" i="8"/>
  <c r="P25" i="8"/>
  <c r="BR24" i="8"/>
  <c r="AZ24" i="8"/>
  <c r="AJ24" i="8"/>
  <c r="T24" i="8"/>
  <c r="D24" i="8"/>
  <c r="BK23" i="8"/>
  <c r="AU23" i="8"/>
  <c r="AE23" i="8"/>
  <c r="O23" i="8"/>
  <c r="BV22" i="8"/>
  <c r="BF22" i="8"/>
  <c r="AP22" i="8"/>
  <c r="Z22" i="8"/>
  <c r="J22" i="8"/>
  <c r="BQ21" i="8"/>
  <c r="BA21" i="8"/>
  <c r="AK21" i="8"/>
  <c r="U21" i="8"/>
  <c r="E21" i="8"/>
  <c r="BL20" i="8"/>
  <c r="AV20" i="8"/>
  <c r="AF20" i="8"/>
  <c r="P20" i="8"/>
  <c r="BW19" i="8"/>
  <c r="BG19" i="8"/>
  <c r="AQ19" i="8"/>
  <c r="AA19" i="8"/>
  <c r="K19" i="8"/>
  <c r="BR18" i="8"/>
  <c r="BB18" i="8"/>
  <c r="AL18" i="8"/>
  <c r="V18" i="8"/>
  <c r="F18" i="8"/>
  <c r="BM17" i="8"/>
  <c r="AM34" i="8"/>
  <c r="AC33" i="8"/>
  <c r="R32" i="8"/>
  <c r="J31" i="8"/>
  <c r="U30" i="8"/>
  <c r="AF29" i="8"/>
  <c r="BH28" i="8"/>
  <c r="U28" i="8"/>
  <c r="BL27" i="8"/>
  <c r="AF27" i="8"/>
  <c r="BW26" i="8"/>
  <c r="AQ26" i="8"/>
  <c r="K26" i="8"/>
  <c r="BB25" i="8"/>
  <c r="V25" i="8"/>
  <c r="BV24" i="8"/>
  <c r="BC24" i="8"/>
  <c r="AM24" i="8"/>
  <c r="W24" i="8"/>
  <c r="G24" i="8"/>
  <c r="BN23" i="8"/>
  <c r="AX23" i="8"/>
  <c r="AH23" i="8"/>
  <c r="R23" i="8"/>
  <c r="B23" i="8"/>
  <c r="BI22" i="8"/>
  <c r="AS22" i="8"/>
  <c r="AC22" i="8"/>
  <c r="M22" i="8"/>
  <c r="BT21" i="8"/>
  <c r="BD21" i="8"/>
  <c r="AN21" i="8"/>
  <c r="X21" i="8"/>
  <c r="H21" i="8"/>
  <c r="BO20" i="8"/>
  <c r="AY20" i="8"/>
  <c r="AI20" i="8"/>
  <c r="S20" i="8"/>
  <c r="C20" i="8"/>
  <c r="BJ19" i="8"/>
  <c r="AT19" i="8"/>
  <c r="BU31" i="8"/>
  <c r="AW27" i="8"/>
  <c r="BS25" i="8"/>
  <c r="AV24" i="8"/>
  <c r="BG23" i="8"/>
  <c r="BR22" i="8"/>
  <c r="F22" i="8"/>
  <c r="Q21" i="8"/>
  <c r="AB20" i="8"/>
  <c r="AM19" i="8"/>
  <c r="AX18" i="8"/>
  <c r="K37" i="8"/>
  <c r="BQ30" i="8"/>
  <c r="M28" i="8"/>
  <c r="AI26" i="8"/>
  <c r="BQ24" i="8"/>
  <c r="C24" i="8"/>
  <c r="N23" i="8"/>
  <c r="Y22" i="8"/>
  <c r="AJ21" i="8"/>
  <c r="AU20" i="8"/>
  <c r="BF19" i="8"/>
  <c r="N19" i="8"/>
  <c r="BE18" i="8"/>
  <c r="Y18" i="8"/>
  <c r="BP17" i="8"/>
  <c r="AJ17" i="8"/>
  <c r="D17" i="8"/>
  <c r="AU16" i="8"/>
  <c r="O16" i="8"/>
  <c r="BF15" i="8"/>
  <c r="Z15" i="8"/>
  <c r="BQ14" i="8"/>
  <c r="H34" i="8"/>
  <c r="BK31" i="8"/>
  <c r="BU29" i="8"/>
  <c r="AS28" i="8"/>
  <c r="BA27" i="8"/>
  <c r="BL26" i="8"/>
  <c r="BW25" i="8"/>
  <c r="N25" i="8"/>
  <c r="AX24" i="8"/>
  <c r="R24" i="8"/>
  <c r="B24" i="8"/>
  <c r="BI23" i="8"/>
  <c r="AS23" i="8"/>
  <c r="AC23" i="8"/>
  <c r="M23" i="8"/>
  <c r="BT22" i="8"/>
  <c r="BD22" i="8"/>
  <c r="AN22" i="8"/>
  <c r="X22" i="8"/>
  <c r="H22" i="8"/>
  <c r="BO21" i="8"/>
  <c r="AY21" i="8"/>
  <c r="AI21" i="8"/>
  <c r="S21" i="8"/>
  <c r="C21" i="8"/>
  <c r="BJ20" i="8"/>
  <c r="AT20" i="8"/>
  <c r="AD20" i="8"/>
  <c r="N20" i="8"/>
  <c r="BU19" i="8"/>
  <c r="BE19" i="8"/>
  <c r="AO19" i="8"/>
  <c r="AH36" i="8"/>
  <c r="BI30" i="8"/>
  <c r="I28" i="8"/>
  <c r="AE26" i="8"/>
  <c r="BN24" i="8"/>
  <c r="A24" i="8"/>
  <c r="L23" i="8"/>
  <c r="W22" i="8"/>
  <c r="AH21" i="8"/>
  <c r="AS20" i="8"/>
  <c r="BD19" i="8"/>
  <c r="I19" i="8"/>
  <c r="AZ18" i="8"/>
  <c r="T18" i="8"/>
  <c r="BK17" i="8"/>
  <c r="AP17" i="8"/>
  <c r="U17" i="8"/>
  <c r="BV16" i="8"/>
  <c r="BA16" i="8"/>
  <c r="AF16" i="8"/>
  <c r="J16" i="8"/>
  <c r="BL15" i="8"/>
  <c r="AQ15" i="8"/>
  <c r="U15" i="8"/>
  <c r="BW14" i="8"/>
  <c r="BB14" i="8"/>
  <c r="AL14" i="8"/>
  <c r="V14" i="8"/>
  <c r="F14" i="8"/>
  <c r="BM13" i="8"/>
  <c r="AW13" i="8"/>
  <c r="AG13" i="8"/>
  <c r="Q13" i="8"/>
  <c r="A13" i="8"/>
  <c r="BH12" i="8"/>
  <c r="AR12" i="8"/>
  <c r="AB12" i="8"/>
  <c r="L12" i="8"/>
  <c r="BS11" i="8"/>
  <c r="BC11" i="8"/>
  <c r="AM11" i="8"/>
  <c r="W11" i="8"/>
  <c r="G11" i="8"/>
  <c r="BN10" i="8"/>
  <c r="AX10" i="8"/>
  <c r="AH10" i="8"/>
  <c r="R10" i="8"/>
  <c r="B10" i="8"/>
  <c r="BI9" i="8"/>
  <c r="AS9" i="8"/>
  <c r="AC9" i="8"/>
  <c r="M9" i="8"/>
  <c r="BT8" i="8"/>
  <c r="BD8" i="8"/>
  <c r="AN8" i="8"/>
  <c r="X8" i="8"/>
  <c r="H8" i="8"/>
  <c r="BO7" i="8"/>
  <c r="AY7" i="8"/>
  <c r="AI7" i="8"/>
  <c r="S7" i="8"/>
  <c r="C7" i="8"/>
  <c r="F30" i="8"/>
  <c r="Q27" i="8"/>
  <c r="AM25" i="8"/>
  <c r="AF24" i="8"/>
  <c r="AQ23" i="8"/>
  <c r="BB22" i="8"/>
  <c r="BM21" i="8"/>
  <c r="A21" i="8"/>
  <c r="L20" i="8"/>
  <c r="W19" i="8"/>
  <c r="AH18" i="8"/>
  <c r="R34" i="8"/>
  <c r="E30" i="8"/>
  <c r="BD27" i="8"/>
  <c r="C26" i="8"/>
  <c r="AY24" i="8"/>
  <c r="BJ23" i="8"/>
  <c r="BU22" i="8"/>
  <c r="I22" i="8"/>
  <c r="T21" i="8"/>
  <c r="AE20" i="8"/>
  <c r="AP19" i="8"/>
  <c r="J19" i="8"/>
  <c r="BA18" i="8"/>
  <c r="U18" i="8"/>
  <c r="BL17" i="8"/>
  <c r="AF17" i="8"/>
  <c r="BW16" i="8"/>
  <c r="AQ16" i="8"/>
  <c r="K16" i="8"/>
  <c r="BB15" i="8"/>
  <c r="V15" i="8"/>
  <c r="BM14" i="8"/>
  <c r="BJ33" i="8"/>
  <c r="AO31" i="8"/>
  <c r="BE29" i="8"/>
  <c r="AI28" i="8"/>
  <c r="AS27" i="8"/>
  <c r="BD26" i="8"/>
  <c r="BO25" i="8"/>
  <c r="H25" i="8"/>
  <c r="AT24" i="8"/>
  <c r="N24" i="8"/>
  <c r="BU23" i="8"/>
  <c r="BE23" i="8"/>
  <c r="AO23" i="8"/>
  <c r="Y23" i="8"/>
  <c r="I23" i="8"/>
  <c r="BP22" i="8"/>
  <c r="AZ22" i="8"/>
  <c r="AJ22" i="8"/>
  <c r="T22" i="8"/>
  <c r="D22" i="8"/>
  <c r="BK21" i="8"/>
  <c r="AU21" i="8"/>
  <c r="AE21" i="8"/>
  <c r="O21" i="8"/>
  <c r="BV20" i="8"/>
  <c r="BF20" i="8"/>
  <c r="AP20" i="8"/>
  <c r="Z20" i="8"/>
  <c r="J20" i="8"/>
  <c r="BQ19" i="8"/>
  <c r="BA19" i="8"/>
  <c r="AK19" i="8"/>
  <c r="G34" i="8"/>
  <c r="BT29" i="8"/>
  <c r="AZ27" i="8"/>
  <c r="BV25" i="8"/>
  <c r="AW24" i="8"/>
  <c r="BH23" i="8"/>
  <c r="BS22" i="8"/>
  <c r="G22" i="8"/>
  <c r="R21" i="8"/>
  <c r="AC20" i="8"/>
  <c r="AN19" i="8"/>
  <c r="A19" i="8"/>
  <c r="AR18" i="8"/>
  <c r="L18" i="8"/>
  <c r="BF17" i="8"/>
  <c r="AK17" i="8"/>
  <c r="O17" i="8"/>
  <c r="BQ16" i="8"/>
  <c r="AV16" i="8"/>
  <c r="Z16" i="8"/>
  <c r="E16" i="8"/>
  <c r="BG15" i="8"/>
  <c r="AK15" i="8"/>
  <c r="P15" i="8"/>
  <c r="BR14" i="8"/>
  <c r="AX14" i="8"/>
  <c r="AH14" i="8"/>
  <c r="R14" i="8"/>
  <c r="B14" i="8"/>
  <c r="BI13" i="8"/>
  <c r="AS13" i="8"/>
  <c r="AC13" i="8"/>
  <c r="M13" i="8"/>
  <c r="BT12" i="8"/>
  <c r="BD12" i="8"/>
  <c r="AN12" i="8"/>
  <c r="X12" i="8"/>
  <c r="H12" i="8"/>
  <c r="BO11" i="8"/>
  <c r="AY11" i="8"/>
  <c r="AI11" i="8"/>
  <c r="S11" i="8"/>
  <c r="C11" i="8"/>
  <c r="BJ10" i="8"/>
  <c r="AT10" i="8"/>
  <c r="AD10" i="8"/>
  <c r="N10" i="8"/>
  <c r="BU9" i="8"/>
  <c r="BE9" i="8"/>
  <c r="AO9" i="8"/>
  <c r="Y9" i="8"/>
  <c r="I9" i="8"/>
  <c r="BP8" i="8"/>
  <c r="AZ8" i="8"/>
  <c r="AJ8" i="8"/>
  <c r="T8" i="8"/>
  <c r="D8" i="8"/>
  <c r="BK7" i="8"/>
  <c r="AU7" i="8"/>
  <c r="AE7" i="8"/>
  <c r="O7" i="8"/>
  <c r="BV6" i="8"/>
  <c r="BI28" i="8"/>
  <c r="BH26" i="8"/>
  <c r="K25" i="8"/>
  <c r="P24" i="8"/>
  <c r="AA23" i="8"/>
  <c r="AL22" i="8"/>
  <c r="AW21" i="8"/>
  <c r="BH20" i="8"/>
  <c r="BS19" i="8"/>
  <c r="G19" i="8"/>
  <c r="R18" i="8"/>
  <c r="G33" i="8"/>
  <c r="Q29" i="8"/>
  <c r="X27" i="8"/>
  <c r="AT25" i="8"/>
  <c r="AI24" i="8"/>
  <c r="AT23" i="8"/>
  <c r="BE22" i="8"/>
  <c r="BP21" i="8"/>
  <c r="D21" i="8"/>
  <c r="O20" i="8"/>
  <c r="AD19" i="8"/>
  <c r="BU18" i="8"/>
  <c r="AO18" i="8"/>
  <c r="I18" i="8"/>
  <c r="AZ17" i="8"/>
  <c r="T17" i="8"/>
  <c r="BK16" i="8"/>
  <c r="AE16" i="8"/>
  <c r="BV15" i="8"/>
  <c r="AP15" i="8"/>
  <c r="J15" i="8"/>
  <c r="BB36" i="8"/>
  <c r="BU32" i="8"/>
  <c r="BJ30" i="8"/>
  <c r="M29" i="8"/>
  <c r="J28" i="8"/>
  <c r="U27" i="8"/>
  <c r="AF26" i="8"/>
  <c r="AQ25" i="8"/>
  <c r="BO24" i="8"/>
  <c r="AH24" i="8"/>
  <c r="J24" i="8"/>
  <c r="BQ23" i="8"/>
  <c r="BA23" i="8"/>
  <c r="AK23" i="8"/>
  <c r="U23" i="8"/>
  <c r="E23" i="8"/>
  <c r="BL22" i="8"/>
  <c r="AV22" i="8"/>
  <c r="AF22" i="8"/>
  <c r="P22" i="8"/>
  <c r="BW21" i="8"/>
  <c r="BG21" i="8"/>
  <c r="AQ21" i="8"/>
  <c r="AA21" i="8"/>
  <c r="K21" i="8"/>
  <c r="BR20" i="8"/>
  <c r="BB20" i="8"/>
  <c r="AL20" i="8"/>
  <c r="V20" i="8"/>
  <c r="F20" i="8"/>
  <c r="BM19" i="8"/>
  <c r="AW19" i="8"/>
  <c r="AG19" i="8"/>
  <c r="BT32" i="8"/>
  <c r="L29" i="8"/>
  <c r="T27" i="8"/>
  <c r="AP25" i="8"/>
  <c r="AG24" i="8"/>
  <c r="AR23" i="8"/>
  <c r="BC22" i="8"/>
  <c r="BN21" i="8"/>
  <c r="B21" i="8"/>
  <c r="M20" i="8"/>
  <c r="Y19" i="8"/>
  <c r="BP18" i="8"/>
  <c r="AJ18" i="8"/>
  <c r="D18" i="8"/>
  <c r="BA17" i="8"/>
  <c r="AE17" i="8"/>
  <c r="J17" i="8"/>
  <c r="BL16" i="8"/>
  <c r="AP16" i="8"/>
  <c r="U16" i="8"/>
  <c r="BW15" i="8"/>
  <c r="BA15" i="8"/>
  <c r="AF15" i="8"/>
  <c r="K15" i="8"/>
  <c r="BL14" i="8"/>
  <c r="AT14" i="8"/>
  <c r="AD14" i="8"/>
  <c r="N14" i="8"/>
  <c r="BU13" i="8"/>
  <c r="BE13" i="8"/>
  <c r="AO13" i="8"/>
  <c r="Y13" i="8"/>
  <c r="I13" i="8"/>
  <c r="BP12" i="8"/>
  <c r="AZ12" i="8"/>
  <c r="AJ12" i="8"/>
  <c r="T12" i="8"/>
  <c r="D12" i="8"/>
  <c r="BK11" i="8"/>
  <c r="AU11" i="8"/>
  <c r="AE11" i="8"/>
  <c r="O11" i="8"/>
  <c r="BV10" i="8"/>
  <c r="BF10" i="8"/>
  <c r="AP10" i="8"/>
  <c r="Z10" i="8"/>
  <c r="J10" i="8"/>
  <c r="BQ9" i="8"/>
  <c r="BA9" i="8"/>
  <c r="AK9" i="8"/>
  <c r="U9" i="8"/>
  <c r="E9" i="8"/>
  <c r="BL8" i="8"/>
  <c r="AV8" i="8"/>
  <c r="AF8" i="8"/>
  <c r="P8" i="8"/>
  <c r="BW7" i="8"/>
  <c r="BG7" i="8"/>
  <c r="AQ7" i="8"/>
  <c r="AA7" i="8"/>
  <c r="K7" i="8"/>
  <c r="BR6" i="8"/>
  <c r="BB6" i="8"/>
  <c r="N28" i="8"/>
  <c r="K23" i="8"/>
  <c r="BC19" i="8"/>
  <c r="AW28" i="8"/>
  <c r="AD23" i="8"/>
  <c r="BV19" i="8"/>
  <c r="E18" i="8"/>
  <c r="AA16" i="8"/>
  <c r="BI35" i="8"/>
  <c r="B28" i="8"/>
  <c r="BJ24" i="8"/>
  <c r="AW23" i="8"/>
  <c r="BH22" i="8"/>
  <c r="BS21" i="8"/>
  <c r="G21" i="8"/>
  <c r="R20" i="8"/>
  <c r="AC19" i="8"/>
  <c r="L25" i="8"/>
  <c r="AX21" i="8"/>
  <c r="BH18" i="8"/>
  <c r="Z17" i="8"/>
  <c r="P16" i="8"/>
  <c r="E15" i="8"/>
  <c r="J14" i="8"/>
  <c r="U13" i="8"/>
  <c r="AF12" i="8"/>
  <c r="AQ11" i="8"/>
  <c r="BB10" i="8"/>
  <c r="BM9" i="8"/>
  <c r="A9" i="8"/>
  <c r="L8" i="8"/>
  <c r="W7" i="8"/>
  <c r="BF6" i="8"/>
  <c r="AL6" i="8"/>
  <c r="AN31" i="8"/>
  <c r="AG28" i="8"/>
  <c r="BC26" i="8"/>
  <c r="G25" i="8"/>
  <c r="M24" i="8"/>
  <c r="X23" i="8"/>
  <c r="AI22" i="8"/>
  <c r="AT21" i="8"/>
  <c r="BE20" i="8"/>
  <c r="BP19" i="8"/>
  <c r="P19" i="8"/>
  <c r="BG18" i="8"/>
  <c r="AA18" i="8"/>
  <c r="BR17" i="8"/>
  <c r="AT17" i="8"/>
  <c r="Y17" i="8"/>
  <c r="C17" i="8"/>
  <c r="BE16" i="8"/>
  <c r="AJ16" i="8"/>
  <c r="N16" i="8"/>
  <c r="BP15" i="8"/>
  <c r="AU15" i="8"/>
  <c r="Y15" i="8"/>
  <c r="D15" i="8"/>
  <c r="BF14" i="8"/>
  <c r="AO14" i="8"/>
  <c r="Y14" i="8"/>
  <c r="I14" i="8"/>
  <c r="BP13" i="8"/>
  <c r="AZ13" i="8"/>
  <c r="AJ13" i="8"/>
  <c r="T13" i="8"/>
  <c r="D13" i="8"/>
  <c r="BK12" i="8"/>
  <c r="AU12" i="8"/>
  <c r="AE12" i="8"/>
  <c r="O12" i="8"/>
  <c r="BV11" i="8"/>
  <c r="BF11" i="8"/>
  <c r="AP11" i="8"/>
  <c r="Z11" i="8"/>
  <c r="J11" i="8"/>
  <c r="BQ10" i="8"/>
  <c r="BA10" i="8"/>
  <c r="AK10" i="8"/>
  <c r="U10" i="8"/>
  <c r="E10" i="8"/>
  <c r="BL9" i="8"/>
  <c r="AV9" i="8"/>
  <c r="AF9" i="8"/>
  <c r="P9" i="8"/>
  <c r="BW8" i="8"/>
  <c r="BG8" i="8"/>
  <c r="AQ8" i="8"/>
  <c r="AA8" i="8"/>
  <c r="K8" i="8"/>
  <c r="BR7" i="8"/>
  <c r="BB7" i="8"/>
  <c r="AL7" i="8"/>
  <c r="V7" i="8"/>
  <c r="F7" i="8"/>
  <c r="BM6" i="8"/>
  <c r="AW6" i="8"/>
  <c r="AG6" i="8"/>
  <c r="AC32" i="8"/>
  <c r="BM28" i="8"/>
  <c r="D27" i="8"/>
  <c r="Z25" i="8"/>
  <c r="Y24" i="8"/>
  <c r="AJ23" i="8"/>
  <c r="AU22" i="8"/>
  <c r="BF21" i="8"/>
  <c r="BQ20" i="8"/>
  <c r="E20" i="8"/>
  <c r="U19" i="8"/>
  <c r="BL18" i="8"/>
  <c r="AF18" i="8"/>
  <c r="BW17" i="8"/>
  <c r="AX17" i="8"/>
  <c r="AC17" i="8"/>
  <c r="G17" i="8"/>
  <c r="BI16" i="8"/>
  <c r="AN16" i="8"/>
  <c r="R16" i="8"/>
  <c r="BT15" i="8"/>
  <c r="AY15" i="8"/>
  <c r="AC15" i="8"/>
  <c r="H15" i="8"/>
  <c r="BJ14" i="8"/>
  <c r="AR14" i="8"/>
  <c r="AB14" i="8"/>
  <c r="L14" i="8"/>
  <c r="BS13" i="8"/>
  <c r="BC13" i="8"/>
  <c r="AM13" i="8"/>
  <c r="W13" i="8"/>
  <c r="G13" i="8"/>
  <c r="BN12" i="8"/>
  <c r="AX12" i="8"/>
  <c r="AH12" i="8"/>
  <c r="R12" i="8"/>
  <c r="B12" i="8"/>
  <c r="BI11" i="8"/>
  <c r="AS11" i="8"/>
  <c r="AC11" i="8"/>
  <c r="M11" i="8"/>
  <c r="BT10" i="8"/>
  <c r="BD10" i="8"/>
  <c r="AN10" i="8"/>
  <c r="X10" i="8"/>
  <c r="H10" i="8"/>
  <c r="BO9" i="8"/>
  <c r="AY9" i="8"/>
  <c r="AI9" i="8"/>
  <c r="S9" i="8"/>
  <c r="C9" i="8"/>
  <c r="BJ8" i="8"/>
  <c r="AT8" i="8"/>
  <c r="AD8" i="8"/>
  <c r="M30" i="8"/>
  <c r="BL23" i="8"/>
  <c r="AG20" i="8"/>
  <c r="O18" i="8"/>
  <c r="BR16" i="8"/>
  <c r="BH15" i="8"/>
  <c r="AY14" i="8"/>
  <c r="BJ13" i="8"/>
  <c r="BU12" i="8"/>
  <c r="I12" i="8"/>
  <c r="T11" i="8"/>
  <c r="AE10" i="8"/>
  <c r="AP9" i="8"/>
  <c r="BA8" i="8"/>
  <c r="E8" i="8"/>
  <c r="AV7" i="8"/>
  <c r="P7" i="8"/>
  <c r="BG6" i="8"/>
  <c r="AD6" i="8"/>
  <c r="M6" i="8"/>
  <c r="BT5" i="8"/>
  <c r="BD5" i="8"/>
  <c r="AN5" i="8"/>
  <c r="X5" i="8"/>
  <c r="H5" i="8"/>
  <c r="BO4" i="8"/>
  <c r="AY4" i="8"/>
  <c r="AI4" i="8"/>
  <c r="S4" i="8"/>
  <c r="C4" i="8"/>
  <c r="BJ3" i="8"/>
  <c r="AT3" i="8"/>
  <c r="AD3" i="8"/>
  <c r="N3" i="8"/>
  <c r="BU2" i="8"/>
  <c r="BE2" i="8"/>
  <c r="AO2" i="8"/>
  <c r="Y2" i="8"/>
  <c r="I2" i="8"/>
  <c r="BP1" i="8"/>
  <c r="AZ1" i="8"/>
  <c r="AJ1" i="8"/>
  <c r="T1" i="8"/>
  <c r="D1" i="8"/>
  <c r="AB27" i="8"/>
  <c r="BG22" i="8"/>
  <c r="AB19" i="8"/>
  <c r="BB17" i="8"/>
  <c r="AR16" i="8"/>
  <c r="AG15" i="8"/>
  <c r="AE14" i="8"/>
  <c r="AP13" i="8"/>
  <c r="BA12" i="8"/>
  <c r="BL11" i="8"/>
  <c r="BW10" i="8"/>
  <c r="K10" i="8"/>
  <c r="V9" i="8"/>
  <c r="AG8" i="8"/>
  <c r="BQ7" i="8"/>
  <c r="AK7" i="8"/>
  <c r="E7" i="8"/>
  <c r="AV6" i="8"/>
  <c r="X6" i="8"/>
  <c r="H6" i="8"/>
  <c r="BO5" i="8"/>
  <c r="AY5" i="8"/>
  <c r="AI5" i="8"/>
  <c r="S5" i="8"/>
  <c r="C5" i="8"/>
  <c r="BJ4" i="8"/>
  <c r="AT4" i="8"/>
  <c r="AD4" i="8"/>
  <c r="N4" i="8"/>
  <c r="BU3" i="8"/>
  <c r="BE3" i="8"/>
  <c r="AO3" i="8"/>
  <c r="Y3" i="8"/>
  <c r="I3" i="8"/>
  <c r="BP2" i="8"/>
  <c r="AZ2" i="8"/>
  <c r="AJ2" i="8"/>
  <c r="T2" i="8"/>
  <c r="D2" i="8"/>
  <c r="BK1" i="8"/>
  <c r="AU1" i="8"/>
  <c r="AE1" i="8"/>
  <c r="O1" i="8"/>
  <c r="D146" i="12" a="1"/>
  <c r="AB26" i="8"/>
  <c r="V22" i="8"/>
  <c r="BN18" i="8"/>
  <c r="BO26" i="8"/>
  <c r="AO22" i="8"/>
  <c r="Z19" i="8"/>
  <c r="AV17" i="8"/>
  <c r="BR15" i="8"/>
  <c r="AZ32" i="8"/>
  <c r="M27" i="8"/>
  <c r="AD24" i="8"/>
  <c r="AG23" i="8"/>
  <c r="AR22" i="8"/>
  <c r="BC21" i="8"/>
  <c r="BN20" i="8"/>
  <c r="B20" i="8"/>
  <c r="BI31" i="8"/>
  <c r="Q24" i="8"/>
  <c r="BI20" i="8"/>
  <c r="AB18" i="8"/>
  <c r="E17" i="8"/>
  <c r="BQ15" i="8"/>
  <c r="BG14" i="8"/>
  <c r="BQ13" i="8"/>
  <c r="E13" i="8"/>
  <c r="P12" i="8"/>
  <c r="AA11" i="8"/>
  <c r="AL10" i="8"/>
  <c r="AW9" i="8"/>
  <c r="BH8" i="8"/>
  <c r="BS7" i="8"/>
  <c r="G7" i="8"/>
  <c r="AX6" i="8"/>
  <c r="AS35" i="8"/>
  <c r="AS30" i="8"/>
  <c r="A28" i="8"/>
  <c r="W26" i="8"/>
  <c r="BI24" i="8"/>
  <c r="BT23" i="8"/>
  <c r="H23" i="8"/>
  <c r="S22" i="8"/>
  <c r="AD21" i="8"/>
  <c r="AO20" i="8"/>
  <c r="AZ19" i="8"/>
  <c r="H19" i="8"/>
  <c r="AY18" i="8"/>
  <c r="S18" i="8"/>
  <c r="BJ17" i="8"/>
  <c r="AO17" i="8"/>
  <c r="S17" i="8"/>
  <c r="BU16" i="8"/>
  <c r="AZ16" i="8"/>
  <c r="AD16" i="8"/>
  <c r="I16" i="8"/>
  <c r="BK15" i="8"/>
  <c r="AO15" i="8"/>
  <c r="T15" i="8"/>
  <c r="BV14" i="8"/>
  <c r="BA14" i="8"/>
  <c r="AK14" i="8"/>
  <c r="U14" i="8"/>
  <c r="E14" i="8"/>
  <c r="BL13" i="8"/>
  <c r="AV13" i="8"/>
  <c r="AF13" i="8"/>
  <c r="P13" i="8"/>
  <c r="BW12" i="8"/>
  <c r="BG12" i="8"/>
  <c r="AQ12" i="8"/>
  <c r="AA12" i="8"/>
  <c r="K12" i="8"/>
  <c r="BR11" i="8"/>
  <c r="BB11" i="8"/>
  <c r="AL11" i="8"/>
  <c r="V11" i="8"/>
  <c r="F11" i="8"/>
  <c r="BM10" i="8"/>
  <c r="AW10" i="8"/>
  <c r="AG10" i="8"/>
  <c r="Q10" i="8"/>
  <c r="A10" i="8"/>
  <c r="BH9" i="8"/>
  <c r="AR9" i="8"/>
  <c r="AB9" i="8"/>
  <c r="L9" i="8"/>
  <c r="BS8" i="8"/>
  <c r="BC8" i="8"/>
  <c r="AM8" i="8"/>
  <c r="W8" i="8"/>
  <c r="G8" i="8"/>
  <c r="BN7" i="8"/>
  <c r="AX7" i="8"/>
  <c r="AH7" i="8"/>
  <c r="R7" i="8"/>
  <c r="B7" i="8"/>
  <c r="BI6" i="8"/>
  <c r="AS6" i="8"/>
  <c r="AC6" i="8"/>
  <c r="S31" i="8"/>
  <c r="Y28" i="8"/>
  <c r="AU26" i="8"/>
  <c r="B25" i="8"/>
  <c r="I24" i="8"/>
  <c r="T23" i="8"/>
  <c r="AE22" i="8"/>
  <c r="AP21" i="8"/>
  <c r="BA20" i="8"/>
  <c r="BL19" i="8"/>
  <c r="M19" i="8"/>
  <c r="BD18" i="8"/>
  <c r="X18" i="8"/>
  <c r="BO17" i="8"/>
  <c r="AS17" i="8"/>
  <c r="W17" i="8"/>
  <c r="B17" i="8"/>
  <c r="BD16" i="8"/>
  <c r="AH16" i="8"/>
  <c r="M16" i="8"/>
  <c r="BO15" i="8"/>
  <c r="AS15" i="8"/>
  <c r="X15" i="8"/>
  <c r="C15" i="8"/>
  <c r="BD14" i="8"/>
  <c r="AN14" i="8"/>
  <c r="X14" i="8"/>
  <c r="H14" i="8"/>
  <c r="BO13" i="8"/>
  <c r="AY13" i="8"/>
  <c r="AI13" i="8"/>
  <c r="S13" i="8"/>
  <c r="C13" i="8"/>
  <c r="BJ12" i="8"/>
  <c r="AT12" i="8"/>
  <c r="AD12" i="8"/>
  <c r="N12" i="8"/>
  <c r="BU11" i="8"/>
  <c r="BE11" i="8"/>
  <c r="AO11" i="8"/>
  <c r="Y11" i="8"/>
  <c r="I11" i="8"/>
  <c r="BP10" i="8"/>
  <c r="AZ10" i="8"/>
  <c r="AJ10" i="8"/>
  <c r="T10" i="8"/>
  <c r="D10" i="8"/>
  <c r="BK9" i="8"/>
  <c r="AU9" i="8"/>
  <c r="AE9" i="8"/>
  <c r="O9" i="8"/>
  <c r="BV8" i="8"/>
  <c r="BF8" i="8"/>
  <c r="AP8" i="8"/>
  <c r="Z8" i="8"/>
  <c r="BH27" i="8"/>
  <c r="BW22" i="8"/>
  <c r="AR19" i="8"/>
  <c r="BG17" i="8"/>
  <c r="AW16" i="8"/>
  <c r="AM15" i="8"/>
  <c r="AI14" i="8"/>
  <c r="AT13" i="8"/>
  <c r="BE12" i="8"/>
  <c r="BP11" i="8"/>
  <c r="D11" i="8"/>
  <c r="O10" i="8"/>
  <c r="Z9" i="8"/>
  <c r="AK8" i="8"/>
  <c r="BT7" i="8"/>
  <c r="AN7" i="8"/>
  <c r="H7" i="8"/>
  <c r="AY6" i="8"/>
  <c r="Y6" i="8"/>
  <c r="I6" i="8"/>
  <c r="BP5" i="8"/>
  <c r="AZ5" i="8"/>
  <c r="AJ5" i="8"/>
  <c r="T5" i="8"/>
  <c r="D5" i="8"/>
  <c r="BK4" i="8"/>
  <c r="AU4" i="8"/>
  <c r="AE4" i="8"/>
  <c r="O4" i="8"/>
  <c r="BV3" i="8"/>
  <c r="BF3" i="8"/>
  <c r="AP3" i="8"/>
  <c r="Z3" i="8"/>
  <c r="J3" i="8"/>
  <c r="BQ2" i="8"/>
  <c r="BA2" i="8"/>
  <c r="AK2" i="8"/>
  <c r="U2" i="8"/>
  <c r="E2" i="8"/>
  <c r="BL1" i="8"/>
  <c r="AV1" i="8"/>
  <c r="AF1" i="8"/>
  <c r="P1" i="8"/>
  <c r="D133" i="12" a="1"/>
  <c r="BM24" i="8"/>
  <c r="AG21" i="8"/>
  <c r="B18" i="8"/>
  <c r="O25" i="8"/>
  <c r="AZ21" i="8"/>
  <c r="BQ18" i="8"/>
  <c r="P17" i="8"/>
  <c r="AL15" i="8"/>
  <c r="AT30" i="8"/>
  <c r="X26" i="8"/>
  <c r="F24" i="8"/>
  <c r="Q23" i="8"/>
  <c r="AB22" i="8"/>
  <c r="AM21" i="8"/>
  <c r="AX20" i="8"/>
  <c r="BI19" i="8"/>
  <c r="AR28" i="8"/>
  <c r="AB23" i="8"/>
  <c r="BT19" i="8"/>
  <c r="BS17" i="8"/>
  <c r="BF16" i="8"/>
  <c r="AV15" i="8"/>
  <c r="AP14" i="8"/>
  <c r="BA13" i="8"/>
  <c r="BL12" i="8"/>
  <c r="BW11" i="8"/>
  <c r="K11" i="8"/>
  <c r="V10" i="8"/>
  <c r="AG9" i="8"/>
  <c r="AR8" i="8"/>
  <c r="BC7" i="8"/>
  <c r="BN6" i="8"/>
  <c r="AT6" i="8"/>
  <c r="BI33" i="8"/>
  <c r="BD29" i="8"/>
  <c r="AR27" i="8"/>
  <c r="BN25" i="8"/>
  <c r="AS24" i="8"/>
  <c r="BD23" i="8"/>
  <c r="BO22" i="8"/>
  <c r="C22" i="8"/>
  <c r="N21" i="8"/>
  <c r="Y20" i="8"/>
  <c r="AJ19" i="8"/>
  <c r="BW18" i="8"/>
  <c r="AQ18" i="8"/>
  <c r="K18" i="8"/>
  <c r="BE17" i="8"/>
  <c r="AI17" i="8"/>
  <c r="N17" i="8"/>
  <c r="BP16" i="8"/>
  <c r="AT16" i="8"/>
  <c r="Y16" i="8"/>
  <c r="D16" i="8"/>
  <c r="BE15" i="8"/>
  <c r="AJ15" i="8"/>
  <c r="O15" i="8"/>
  <c r="BP14" i="8"/>
  <c r="AW14" i="8"/>
  <c r="AG14" i="8"/>
  <c r="Q14" i="8"/>
  <c r="A14" i="8"/>
  <c r="BH13" i="8"/>
  <c r="AR13" i="8"/>
  <c r="AB13" i="8"/>
  <c r="L13" i="8"/>
  <c r="BS12" i="8"/>
  <c r="BC12" i="8"/>
  <c r="AM12" i="8"/>
  <c r="W12" i="8"/>
  <c r="G12" i="8"/>
  <c r="BN11" i="8"/>
  <c r="AX11" i="8"/>
  <c r="AH11" i="8"/>
  <c r="R11" i="8"/>
  <c r="B11" i="8"/>
  <c r="BI10" i="8"/>
  <c r="AS10" i="8"/>
  <c r="AC10" i="8"/>
  <c r="M10" i="8"/>
  <c r="BT9" i="8"/>
  <c r="BD9" i="8"/>
  <c r="AN9" i="8"/>
  <c r="X9" i="8"/>
  <c r="H9" i="8"/>
  <c r="BO8" i="8"/>
  <c r="AY8" i="8"/>
  <c r="AI8" i="8"/>
  <c r="S8" i="8"/>
  <c r="C8" i="8"/>
  <c r="BJ7" i="8"/>
  <c r="AT7" i="8"/>
  <c r="AD7" i="8"/>
  <c r="N7" i="8"/>
  <c r="BU6" i="8"/>
  <c r="BE6" i="8"/>
  <c r="AO6" i="8"/>
  <c r="BH34" i="8"/>
  <c r="AC30" i="8"/>
  <c r="BP27" i="8"/>
  <c r="O26" i="8"/>
  <c r="BE24" i="8"/>
  <c r="BP23" i="8"/>
  <c r="D23" i="8"/>
  <c r="O22" i="8"/>
  <c r="Z21" i="8"/>
  <c r="AK20" i="8"/>
  <c r="AV19" i="8"/>
  <c r="E19" i="8"/>
  <c r="AV18" i="8"/>
  <c r="P18" i="8"/>
  <c r="BI17" i="8"/>
  <c r="AM17" i="8"/>
  <c r="R17" i="8"/>
  <c r="BT16" i="8"/>
  <c r="AX16" i="8"/>
  <c r="AC16" i="8"/>
  <c r="H16" i="8"/>
  <c r="BI15" i="8"/>
  <c r="AN15" i="8"/>
  <c r="S15" i="8"/>
  <c r="BT14" i="8"/>
  <c r="AZ14" i="8"/>
  <c r="AJ14" i="8"/>
  <c r="T14" i="8"/>
  <c r="D14" i="8"/>
  <c r="BK13" i="8"/>
  <c r="AU13" i="8"/>
  <c r="AE13" i="8"/>
  <c r="O13" i="8"/>
  <c r="BV12" i="8"/>
  <c r="BF12" i="8"/>
  <c r="AP12" i="8"/>
  <c r="Z12" i="8"/>
  <c r="J12" i="8"/>
  <c r="BQ11" i="8"/>
  <c r="BA11" i="8"/>
  <c r="AK11" i="8"/>
  <c r="U11" i="8"/>
  <c r="E11" i="8"/>
  <c r="BL10" i="8"/>
  <c r="AV10" i="8"/>
  <c r="AF10" i="8"/>
  <c r="P10" i="8"/>
  <c r="BW9" i="8"/>
  <c r="BG9" i="8"/>
  <c r="AQ9" i="8"/>
  <c r="AA9" i="8"/>
  <c r="K9" i="8"/>
  <c r="BR8" i="8"/>
  <c r="BB8" i="8"/>
  <c r="AL8" i="8"/>
  <c r="V8" i="8"/>
  <c r="G26" i="8"/>
  <c r="K22" i="8"/>
  <c r="D19" i="8"/>
  <c r="AL17" i="8"/>
  <c r="AB16" i="8"/>
  <c r="Q15" i="8"/>
  <c r="S14" i="8"/>
  <c r="AD13" i="8"/>
  <c r="AO12" i="8"/>
  <c r="AZ11" i="8"/>
  <c r="BK10" i="8"/>
  <c r="BV9" i="8"/>
  <c r="J9" i="8"/>
  <c r="U8" i="8"/>
  <c r="BL7" i="8"/>
  <c r="AF7" i="8"/>
  <c r="BW6" i="8"/>
  <c r="AQ6" i="8"/>
  <c r="U6" i="8"/>
  <c r="E6" i="8"/>
  <c r="BL5" i="8"/>
  <c r="AV5" i="8"/>
  <c r="AF5" i="8"/>
  <c r="P5" i="8"/>
  <c r="BW4" i="8"/>
  <c r="BG4" i="8"/>
  <c r="AQ4" i="8"/>
  <c r="AA4" i="8"/>
  <c r="K4" i="8"/>
  <c r="BR3" i="8"/>
  <c r="BB3" i="8"/>
  <c r="AL3" i="8"/>
  <c r="V3" i="8"/>
  <c r="F3" i="8"/>
  <c r="BM2" i="8"/>
  <c r="AW2" i="8"/>
  <c r="AG2" i="8"/>
  <c r="Q2" i="8"/>
  <c r="A2" i="8"/>
  <c r="BH1" i="8"/>
  <c r="AR1" i="8"/>
  <c r="AB1" i="8"/>
  <c r="L1" i="8"/>
  <c r="R33" i="8"/>
  <c r="AK24" i="8"/>
  <c r="F21" i="8"/>
  <c r="AM18" i="8"/>
  <c r="K17" i="8"/>
  <c r="A16" i="8"/>
  <c r="BN14" i="8"/>
  <c r="BV13" i="8"/>
  <c r="J13" i="8"/>
  <c r="U12" i="8"/>
  <c r="AF11" i="8"/>
  <c r="AQ10" i="8"/>
  <c r="BB9" i="8"/>
  <c r="BM8" i="8"/>
  <c r="J8" i="8"/>
  <c r="BA7" i="8"/>
  <c r="U7" i="8"/>
  <c r="BL6" i="8"/>
  <c r="AH6" i="8"/>
  <c r="P6" i="8"/>
  <c r="BW5" i="8"/>
  <c r="BG5" i="8"/>
  <c r="AQ5" i="8"/>
  <c r="AA5" i="8"/>
  <c r="K5" i="8"/>
  <c r="BR4" i="8"/>
  <c r="BB4" i="8"/>
  <c r="AL4" i="8"/>
  <c r="V4" i="8"/>
  <c r="F4" i="8"/>
  <c r="BM3" i="8"/>
  <c r="AW3" i="8"/>
  <c r="AG3" i="8"/>
  <c r="Q3" i="8"/>
  <c r="A3" i="8"/>
  <c r="BH2" i="8"/>
  <c r="AR2" i="8"/>
  <c r="AB2" i="8"/>
  <c r="L2" i="8"/>
  <c r="BS1" i="8"/>
  <c r="BC1" i="8"/>
  <c r="AM1" i="8"/>
  <c r="W1" i="8"/>
  <c r="G1" i="8"/>
  <c r="BC28" i="8"/>
  <c r="AF23" i="8"/>
  <c r="A20" i="8"/>
  <c r="BV17" i="8"/>
  <c r="BH16" i="8"/>
  <c r="AW15" i="8"/>
  <c r="AQ14" i="8"/>
  <c r="BB13" i="8"/>
  <c r="BM12" i="8"/>
  <c r="A12" i="8"/>
  <c r="L11" i="8"/>
  <c r="W10" i="8"/>
  <c r="AH9" i="8"/>
  <c r="AS8" i="8"/>
  <c r="A8" i="8"/>
  <c r="BW23" i="8"/>
  <c r="AR20" i="8"/>
  <c r="BT31" i="8"/>
  <c r="S24" i="8"/>
  <c r="BK20" i="8"/>
  <c r="AK18" i="8"/>
  <c r="BG16" i="8"/>
  <c r="F15" i="8"/>
  <c r="B29" i="8"/>
  <c r="AI25" i="8"/>
  <c r="BM23" i="8"/>
  <c r="A23" i="8"/>
  <c r="L22" i="8"/>
  <c r="W21" i="8"/>
  <c r="AH20" i="8"/>
  <c r="AS19" i="8"/>
  <c r="BK26" i="8"/>
  <c r="AM22" i="8"/>
  <c r="Q19" i="8"/>
  <c r="AU17" i="8"/>
  <c r="AK16" i="8"/>
  <c r="AA15" i="8"/>
  <c r="Z14" i="8"/>
  <c r="AK13" i="8"/>
  <c r="AV12" i="8"/>
  <c r="BG11" i="8"/>
  <c r="BR10" i="8"/>
  <c r="F10" i="8"/>
  <c r="Q9" i="8"/>
  <c r="AB8" i="8"/>
  <c r="AM7" i="8"/>
  <c r="BJ6" i="8"/>
  <c r="AP6" i="8"/>
  <c r="AX32" i="8"/>
  <c r="A29" i="8"/>
  <c r="L27" i="8"/>
  <c r="AH25" i="8"/>
  <c r="AC24" i="8"/>
  <c r="AN23" i="8"/>
  <c r="AY22" i="8"/>
  <c r="BJ21" i="8"/>
  <c r="BU20" i="8"/>
  <c r="I20" i="8"/>
  <c r="X19" i="8"/>
  <c r="BO18" i="8"/>
  <c r="AI18" i="8"/>
  <c r="C18" i="8"/>
  <c r="AY17" i="8"/>
  <c r="AD17" i="8"/>
  <c r="I17" i="8"/>
  <c r="BJ16" i="8"/>
  <c r="AO16" i="8"/>
  <c r="T16" i="8"/>
  <c r="BU15" i="8"/>
  <c r="AZ15" i="8"/>
  <c r="AE15" i="8"/>
  <c r="I15" i="8"/>
  <c r="BK14" i="8"/>
  <c r="AS14" i="8"/>
  <c r="AC14" i="8"/>
  <c r="M14" i="8"/>
  <c r="BT13" i="8"/>
  <c r="BD13" i="8"/>
  <c r="AN13" i="8"/>
  <c r="X13" i="8"/>
  <c r="H13" i="8"/>
  <c r="BO12" i="8"/>
  <c r="AY12" i="8"/>
  <c r="AI12" i="8"/>
  <c r="S12" i="8"/>
  <c r="C12" i="8"/>
  <c r="BJ11" i="8"/>
  <c r="AT11" i="8"/>
  <c r="AD11" i="8"/>
  <c r="N11" i="8"/>
  <c r="BU10" i="8"/>
  <c r="BE10" i="8"/>
  <c r="AO10" i="8"/>
  <c r="Y10" i="8"/>
  <c r="I10" i="8"/>
  <c r="BP9" i="8"/>
  <c r="AZ9" i="8"/>
  <c r="AJ9" i="8"/>
  <c r="T9" i="8"/>
  <c r="D9" i="8"/>
  <c r="BK8" i="8"/>
  <c r="AU8" i="8"/>
  <c r="AE8" i="8"/>
  <c r="O8" i="8"/>
  <c r="BV7" i="8"/>
  <c r="BF7" i="8"/>
  <c r="AP7" i="8"/>
  <c r="Z7" i="8"/>
  <c r="J7" i="8"/>
  <c r="BQ6" i="8"/>
  <c r="BA6" i="8"/>
  <c r="AK6" i="8"/>
  <c r="AM33" i="8"/>
  <c r="AN29" i="8"/>
  <c r="AJ27" i="8"/>
  <c r="BF25" i="8"/>
  <c r="AO24" i="8"/>
  <c r="AZ23" i="8"/>
  <c r="BK22" i="8"/>
  <c r="BV21" i="8"/>
  <c r="J21" i="8"/>
  <c r="U20" i="8"/>
  <c r="AF19" i="8"/>
  <c r="BT18" i="8"/>
  <c r="AN18" i="8"/>
  <c r="H18" i="8"/>
  <c r="BC17" i="8"/>
  <c r="AH17" i="8"/>
  <c r="M17" i="8"/>
  <c r="BN16" i="8"/>
  <c r="AS16" i="8"/>
  <c r="X16" i="8"/>
  <c r="B16" i="8"/>
  <c r="BD15" i="8"/>
  <c r="AI15" i="8"/>
  <c r="M15" i="8"/>
  <c r="BO14" i="8"/>
  <c r="AV14" i="8"/>
  <c r="AF14" i="8"/>
  <c r="P14" i="8"/>
  <c r="BW13" i="8"/>
  <c r="BG13" i="8"/>
  <c r="AQ13" i="8"/>
  <c r="AA13" i="8"/>
  <c r="K13" i="8"/>
  <c r="BR12" i="8"/>
  <c r="BB12" i="8"/>
  <c r="AL12" i="8"/>
  <c r="V12" i="8"/>
  <c r="F12" i="8"/>
  <c r="BM11" i="8"/>
  <c r="AW11" i="8"/>
  <c r="AG11" i="8"/>
  <c r="Q11" i="8"/>
  <c r="A11" i="8"/>
  <c r="BH10" i="8"/>
  <c r="AR10" i="8"/>
  <c r="AB10" i="8"/>
  <c r="L10" i="8"/>
  <c r="BS9" i="8"/>
  <c r="BC9" i="8"/>
  <c r="AM9" i="8"/>
  <c r="W9" i="8"/>
  <c r="G9" i="8"/>
  <c r="BN8" i="8"/>
  <c r="AX8" i="8"/>
  <c r="AH8" i="8"/>
  <c r="AB34" i="8"/>
  <c r="BA24" i="8"/>
  <c r="V21" i="8"/>
  <c r="AU18" i="8"/>
  <c r="Q17" i="8"/>
  <c r="F16" i="8"/>
  <c r="BS14" i="8"/>
  <c r="C14" i="8"/>
  <c r="N13" i="8"/>
  <c r="Y12" i="8"/>
  <c r="AJ11" i="8"/>
  <c r="AU10" i="8"/>
  <c r="BF9" i="8"/>
  <c r="BQ8" i="8"/>
  <c r="M8" i="8"/>
  <c r="BD7" i="8"/>
  <c r="X7" i="8"/>
  <c r="BO6" i="8"/>
  <c r="AI6" i="8"/>
  <c r="Q6" i="8"/>
  <c r="A6" i="8"/>
  <c r="BH5" i="8"/>
  <c r="AR5" i="8"/>
  <c r="AB5" i="8"/>
  <c r="L5" i="8"/>
  <c r="BS4" i="8"/>
  <c r="BC4" i="8"/>
  <c r="AM4" i="8"/>
  <c r="W4" i="8"/>
  <c r="G4" i="8"/>
  <c r="BN3" i="8"/>
  <c r="AX3" i="8"/>
  <c r="AH3" i="8"/>
  <c r="R3" i="8"/>
  <c r="B3" i="8"/>
  <c r="BI2" i="8"/>
  <c r="AS2" i="8"/>
  <c r="AC2" i="8"/>
  <c r="M2" i="8"/>
  <c r="BT1" i="8"/>
  <c r="BD1" i="8"/>
  <c r="AN1" i="8"/>
  <c r="X1" i="8"/>
  <c r="H1" i="8"/>
  <c r="X29" i="8"/>
  <c r="AV23" i="8"/>
  <c r="Q20" i="8"/>
  <c r="G18" i="8"/>
  <c r="BM16" i="8"/>
  <c r="BC15" i="8"/>
  <c r="AU14" i="8"/>
  <c r="BF13" i="8"/>
  <c r="BQ12" i="8"/>
  <c r="E12" i="8"/>
  <c r="P11" i="8"/>
  <c r="AA10" i="8"/>
  <c r="AL9" i="8"/>
  <c r="AW8" i="8"/>
  <c r="B8" i="8"/>
  <c r="AS7" i="8"/>
  <c r="M7" i="8"/>
  <c r="BD6" i="8"/>
  <c r="AB6" i="8"/>
  <c r="L6" i="8"/>
  <c r="BS5" i="8"/>
  <c r="BC5" i="8"/>
  <c r="AM5" i="8"/>
  <c r="W5" i="8"/>
  <c r="G5" i="8"/>
  <c r="BN4" i="8"/>
  <c r="AX4" i="8"/>
  <c r="AH4" i="8"/>
  <c r="R4" i="8"/>
  <c r="B4" i="8"/>
  <c r="BI3" i="8"/>
  <c r="AS3" i="8"/>
  <c r="AC3" i="8"/>
  <c r="M3" i="8"/>
  <c r="BT2" i="8"/>
  <c r="BD2" i="8"/>
  <c r="AN2" i="8"/>
  <c r="X2" i="8"/>
  <c r="H2" i="8"/>
  <c r="BO1" i="8"/>
  <c r="AY1" i="8"/>
  <c r="AI1" i="8"/>
  <c r="S1" i="8"/>
  <c r="C1" i="8"/>
  <c r="BS26" i="8"/>
  <c r="AQ22" i="8"/>
  <c r="T19" i="8"/>
  <c r="AW17" i="8"/>
  <c r="AL16" i="8"/>
  <c r="AB15" i="8"/>
  <c r="AA14" i="8"/>
  <c r="AL13" i="8"/>
  <c r="AW12" i="8"/>
  <c r="BH11" i="8"/>
  <c r="BS10" i="8"/>
  <c r="G10" i="8"/>
  <c r="R9" i="8"/>
  <c r="AC8" i="8"/>
  <c r="BP7" i="8"/>
  <c r="AX25" i="8"/>
  <c r="V16" i="8"/>
  <c r="AK12" i="8"/>
  <c r="F9" i="8"/>
  <c r="BT6" i="8"/>
  <c r="BK5" i="8"/>
  <c r="BV4" i="8"/>
  <c r="J4" i="8"/>
  <c r="U3" i="8"/>
  <c r="AF2" i="8"/>
  <c r="AQ1" i="8"/>
  <c r="R25" i="8"/>
  <c r="BK18" i="8"/>
  <c r="Q16" i="8"/>
  <c r="K14" i="8"/>
  <c r="AG12" i="8"/>
  <c r="BC10" i="8"/>
  <c r="B9" i="8"/>
  <c r="BH7" i="8"/>
  <c r="AB7" i="8"/>
  <c r="BS6" i="8"/>
  <c r="AM6" i="8"/>
  <c r="S6" i="8"/>
  <c r="C6" i="8"/>
  <c r="BJ5" i="8"/>
  <c r="AT5" i="8"/>
  <c r="AD5" i="8"/>
  <c r="N5" i="8"/>
  <c r="BU4" i="8"/>
  <c r="BE4" i="8"/>
  <c r="AO4" i="8"/>
  <c r="Y4" i="8"/>
  <c r="I4" i="8"/>
  <c r="BP3" i="8"/>
  <c r="AZ3" i="8"/>
  <c r="AJ3" i="8"/>
  <c r="T3" i="8"/>
  <c r="D3" i="8"/>
  <c r="BK2" i="8"/>
  <c r="AU2" i="8"/>
  <c r="AE2" i="8"/>
  <c r="O2" i="8"/>
  <c r="BV1" i="8"/>
  <c r="BF1" i="8"/>
  <c r="AP1" i="8"/>
  <c r="Z1" i="8"/>
  <c r="J1" i="8"/>
  <c r="B31" i="8"/>
  <c r="E24" i="8"/>
  <c r="AW20" i="8"/>
  <c r="W18" i="8"/>
  <c r="A17" i="8"/>
  <c r="BM15" i="8"/>
  <c r="BC14" i="8"/>
  <c r="BN13" i="8"/>
  <c r="B13" i="8"/>
  <c r="M12" i="8"/>
  <c r="X11" i="8"/>
  <c r="AI10" i="8"/>
  <c r="AT9" i="8"/>
  <c r="BE8" i="8"/>
  <c r="F8" i="8"/>
  <c r="AW7" i="8"/>
  <c r="Q7" i="8"/>
  <c r="BH6" i="8"/>
  <c r="AE6" i="8"/>
  <c r="N6" i="8"/>
  <c r="BU5" i="8"/>
  <c r="BE5" i="8"/>
  <c r="AO5" i="8"/>
  <c r="Y5" i="8"/>
  <c r="I5" i="8"/>
  <c r="BP4" i="8"/>
  <c r="AZ4" i="8"/>
  <c r="AJ4" i="8"/>
  <c r="T4" i="8"/>
  <c r="D4" i="8"/>
  <c r="BK3" i="8"/>
  <c r="AU3" i="8"/>
  <c r="S3" i="8"/>
  <c r="AD2" i="8"/>
  <c r="AO1" i="8"/>
  <c r="D129" i="12" a="1"/>
  <c r="D58" i="12" a="1"/>
  <c r="D49" i="12" a="1"/>
  <c r="D33" i="12" a="1"/>
  <c r="D4" i="12" a="1"/>
  <c r="D110" i="11" a="1"/>
  <c r="D76" i="11" a="1"/>
  <c r="D44" i="11" a="1"/>
  <c r="D35" i="11" a="1"/>
  <c r="E26" i="11" a="1"/>
  <c r="E10" i="11" a="1"/>
  <c r="O3" i="8"/>
  <c r="Z2" i="8"/>
  <c r="AK1" i="8"/>
  <c r="D134" i="12" a="1"/>
  <c r="D104" i="12" a="1"/>
  <c r="D65" i="12" a="1"/>
  <c r="D45" i="12" a="1"/>
  <c r="E11" i="12" a="1"/>
  <c r="D127" i="11" a="1"/>
  <c r="D109" i="11" a="1"/>
  <c r="D40" i="11" a="1"/>
  <c r="D24" i="11" a="1"/>
  <c r="K3" i="8"/>
  <c r="V2" i="8"/>
  <c r="AG1" i="8"/>
  <c r="D127" i="12" a="1"/>
  <c r="D56" i="12" a="1"/>
  <c r="D57" i="12" a="1"/>
  <c r="D12" i="12" a="1"/>
  <c r="E16" i="12" a="1"/>
  <c r="D123" i="11" a="1"/>
  <c r="D104" i="11" a="1"/>
  <c r="D58" i="11" a="1"/>
  <c r="D38" i="11" a="1"/>
  <c r="E4" i="11" a="1"/>
  <c r="D57" i="11" a="1"/>
  <c r="D34" i="12" a="1"/>
  <c r="D144" i="11" a="1"/>
  <c r="AV11" i="8"/>
  <c r="J5" i="8"/>
  <c r="BW2" i="8"/>
  <c r="BB1" i="8"/>
  <c r="BH19" i="8"/>
  <c r="AX13" i="8"/>
  <c r="AD9" i="8"/>
  <c r="AZ6" i="8"/>
  <c r="BA5" i="8"/>
  <c r="AV4" i="8"/>
  <c r="AQ3" i="8"/>
  <c r="D55" i="12" a="1"/>
  <c r="D115" i="11" a="1"/>
  <c r="D4" i="11" a="1"/>
  <c r="D59" i="12" a="1"/>
  <c r="D116" i="11" a="1"/>
  <c r="D52" i="12" a="1"/>
  <c r="D136" i="11" a="1"/>
  <c r="F8" i="11" a="1"/>
  <c r="D68" i="12" a="1"/>
  <c r="D56" i="11" a="1"/>
  <c r="BS18" i="8"/>
  <c r="O14" i="8"/>
  <c r="BG10" i="8"/>
  <c r="BI7" i="8"/>
  <c r="T6" i="8"/>
  <c r="AE5" i="8"/>
  <c r="AP4" i="8"/>
  <c r="BA3" i="8"/>
  <c r="BL2" i="8"/>
  <c r="BW1" i="8"/>
  <c r="K1" i="8"/>
  <c r="BB21" i="8"/>
  <c r="AA17" i="8"/>
  <c r="G15" i="8"/>
  <c r="V13" i="8"/>
  <c r="AR11" i="8"/>
  <c r="BN9" i="8"/>
  <c r="Q8" i="8"/>
  <c r="AR7" i="8"/>
  <c r="L7" i="8"/>
  <c r="BC6" i="8"/>
  <c r="AA6" i="8"/>
  <c r="K6" i="8"/>
  <c r="BR5" i="8"/>
  <c r="BB5" i="8"/>
  <c r="AL5" i="8"/>
  <c r="V5" i="8"/>
  <c r="F5" i="8"/>
  <c r="BM4" i="8"/>
  <c r="AW4" i="8"/>
  <c r="AG4" i="8"/>
  <c r="Q4" i="8"/>
  <c r="A4" i="8"/>
  <c r="BH3" i="8"/>
  <c r="AR3" i="8"/>
  <c r="AB3" i="8"/>
  <c r="L3" i="8"/>
  <c r="BS2" i="8"/>
  <c r="BC2" i="8"/>
  <c r="AM2" i="8"/>
  <c r="W2" i="8"/>
  <c r="G2" i="8"/>
  <c r="BN1" i="8"/>
  <c r="AX1" i="8"/>
  <c r="AH1" i="8"/>
  <c r="R1" i="8"/>
  <c r="B1" i="8"/>
  <c r="AM26" i="8"/>
  <c r="AA22" i="8"/>
  <c r="L19" i="8"/>
  <c r="AQ17" i="8"/>
  <c r="AG16" i="8"/>
  <c r="W15" i="8"/>
  <c r="W14" i="8"/>
  <c r="AH13" i="8"/>
  <c r="AS12" i="8"/>
  <c r="BD11" i="8"/>
  <c r="BO10" i="8"/>
  <c r="C10" i="8"/>
  <c r="N9" i="8"/>
  <c r="Y8" i="8"/>
  <c r="BM7" i="8"/>
  <c r="AG7" i="8"/>
  <c r="A7" i="8"/>
  <c r="AR6" i="8"/>
  <c r="V6" i="8"/>
  <c r="F6" i="8"/>
  <c r="BM5" i="8"/>
  <c r="AW5" i="8"/>
  <c r="AG5" i="8"/>
  <c r="Q5" i="8"/>
  <c r="A5" i="8"/>
  <c r="BH4" i="8"/>
  <c r="AR4" i="8"/>
  <c r="AB4" i="8"/>
  <c r="L4" i="8"/>
  <c r="BS3" i="8"/>
  <c r="BC3" i="8"/>
  <c r="AM3" i="8"/>
  <c r="BJ2" i="8"/>
  <c r="BU1" i="8"/>
  <c r="I1" i="8"/>
  <c r="D79" i="12" a="1"/>
  <c r="D77" i="12" a="1"/>
  <c r="D35" i="12" a="1"/>
  <c r="D10" i="12" a="1"/>
  <c r="E25" i="12" a="1"/>
  <c r="D79" i="11" a="1"/>
  <c r="D70" i="11" a="1"/>
  <c r="D48" i="11" a="1"/>
  <c r="D8" i="11" a="1"/>
  <c r="D67" i="11" a="1"/>
  <c r="E12" i="11" a="1"/>
  <c r="BF2" i="8"/>
  <c r="BQ1" i="8"/>
  <c r="E1" i="8"/>
  <c r="D110" i="12" a="1"/>
  <c r="D67" i="12" a="1"/>
  <c r="D54" i="12" a="1"/>
  <c r="D9" i="12" a="1"/>
  <c r="D135" i="11" a="1"/>
  <c r="D73" i="11" a="1"/>
  <c r="D59" i="11" a="1"/>
  <c r="D47" i="11" a="1"/>
  <c r="D17" i="11" a="1"/>
  <c r="BB2" i="8"/>
  <c r="BM1" i="8"/>
  <c r="A1" i="8"/>
  <c r="D123" i="12" a="1"/>
  <c r="D60" i="12" a="1"/>
  <c r="D75" i="12" a="1"/>
  <c r="D16" i="12" a="1"/>
  <c r="D124" i="11" a="1"/>
  <c r="D129" i="11" a="1"/>
  <c r="D52" i="11" a="1"/>
  <c r="D41" i="11" a="1"/>
  <c r="D12" i="11" a="1"/>
  <c r="D68" i="11" a="1"/>
  <c r="D36" i="11" a="1"/>
  <c r="BN2" i="8"/>
  <c r="B2" i="8"/>
  <c r="M1" i="8"/>
  <c r="D109" i="12" a="1"/>
  <c r="D82" i="12" a="1"/>
  <c r="D43" i="12" a="1"/>
  <c r="E10" i="12" a="1"/>
  <c r="E9" i="12" a="1"/>
  <c r="D114" i="11" a="1"/>
  <c r="D54" i="11" a="1"/>
  <c r="D49" i="11" a="1"/>
  <c r="AH2" i="8"/>
  <c r="D116" i="12" a="1"/>
  <c r="D41" i="12" a="1"/>
  <c r="D45" i="11" a="1"/>
  <c r="L15" i="8"/>
  <c r="AN6" i="8"/>
  <c r="BF4" i="8"/>
  <c r="E3" i="8"/>
  <c r="AA1" i="8"/>
  <c r="AE18" i="8"/>
  <c r="BR13" i="8"/>
  <c r="AM10" i="8"/>
  <c r="AZ7" i="8"/>
  <c r="BK6" i="8"/>
  <c r="O6" i="8"/>
  <c r="BF5" i="8"/>
  <c r="Z5" i="8"/>
  <c r="BA4" i="8"/>
  <c r="U4" i="8"/>
  <c r="BL3" i="8"/>
  <c r="AF3" i="8"/>
  <c r="BG2" i="8"/>
  <c r="AA2" i="8"/>
  <c r="BR1" i="8"/>
  <c r="AL1" i="8"/>
  <c r="Q28" i="8"/>
  <c r="BN17" i="8"/>
  <c r="AR15" i="8"/>
  <c r="BI12" i="8"/>
  <c r="H11" i="8"/>
  <c r="AO8" i="8"/>
  <c r="AO7" i="8"/>
  <c r="Z6" i="8"/>
  <c r="BQ5" i="8"/>
  <c r="U5" i="8"/>
  <c r="BL4" i="8"/>
  <c r="P4" i="8"/>
  <c r="BG3" i="8"/>
  <c r="N2" i="8"/>
  <c r="Y1" i="8"/>
  <c r="D70" i="12" a="1"/>
  <c r="D133" i="11" a="1"/>
  <c r="D37" i="11" a="1"/>
  <c r="D25" i="11" a="1"/>
  <c r="BV2" i="8"/>
  <c r="U1" i="8"/>
  <c r="D69" i="12" a="1"/>
  <c r="E26" i="12" a="1"/>
  <c r="D34" i="11" a="1"/>
  <c r="BR2" i="8"/>
  <c r="F2" i="8"/>
  <c r="Q1" i="8"/>
  <c r="D115" i="12" a="1"/>
  <c r="D37" i="12" a="1"/>
  <c r="D66" i="11" a="1"/>
  <c r="D9" i="11" a="1"/>
  <c r="G3" i="8"/>
  <c r="R2" i="8"/>
  <c r="AC1" i="8"/>
  <c r="D114" i="12" a="1"/>
  <c r="D27" i="12" a="1"/>
  <c r="D125" i="11" a="1"/>
  <c r="AG17" i="8"/>
  <c r="Z13" i="8"/>
  <c r="BR9" i="8"/>
  <c r="AC7" i="8"/>
  <c r="D6" i="8"/>
  <c r="O5" i="8"/>
  <c r="Z4" i="8"/>
  <c r="AK3" i="8"/>
  <c r="AV2" i="8"/>
  <c r="BG1" i="8"/>
  <c r="H32" i="8"/>
  <c r="BM20" i="8"/>
  <c r="F17" i="8"/>
  <c r="BH14" i="8"/>
  <c r="F13" i="8"/>
  <c r="AB11" i="8"/>
  <c r="AX9" i="8"/>
  <c r="I8" i="8"/>
  <c r="AJ7" i="8"/>
  <c r="D7" i="8"/>
  <c r="AU6" i="8"/>
  <c r="W6" i="8"/>
  <c r="G6" i="8"/>
  <c r="BN5" i="8"/>
  <c r="AX5" i="8"/>
  <c r="AH5" i="8"/>
  <c r="R5" i="8"/>
  <c r="B5" i="8"/>
  <c r="BI4" i="8"/>
  <c r="AS4" i="8"/>
  <c r="AC4" i="8"/>
  <c r="M4" i="8"/>
  <c r="BT3" i="8"/>
  <c r="BD3" i="8"/>
  <c r="AN3" i="8"/>
  <c r="X3" i="8"/>
  <c r="H3" i="8"/>
  <c r="BO2" i="8"/>
  <c r="AY2" i="8"/>
  <c r="AI2" i="8"/>
  <c r="S2" i="8"/>
  <c r="C2" i="8"/>
  <c r="BJ1" i="8"/>
  <c r="AT1" i="8"/>
  <c r="AD1" i="8"/>
  <c r="N1" i="8"/>
  <c r="D145" i="12" a="1"/>
  <c r="BS24" i="8"/>
  <c r="AL21" i="8"/>
  <c r="BC18" i="8"/>
  <c r="V17" i="8"/>
  <c r="L16" i="8"/>
  <c r="A15" i="8"/>
  <c r="G14" i="8"/>
  <c r="R13" i="8"/>
  <c r="AC12" i="8"/>
  <c r="AN11" i="8"/>
  <c r="AY10" i="8"/>
  <c r="BJ9" i="8"/>
  <c r="BU8" i="8"/>
  <c r="N8" i="8"/>
  <c r="BE7" i="8"/>
  <c r="Y7" i="8"/>
  <c r="BP6" i="8"/>
  <c r="AJ6" i="8"/>
  <c r="R6" i="8"/>
  <c r="B6" i="8"/>
  <c r="BI5" i="8"/>
  <c r="AS5" i="8"/>
  <c r="AC5" i="8"/>
  <c r="M5" i="8"/>
  <c r="BT4" i="8"/>
  <c r="BD4" i="8"/>
  <c r="AN4" i="8"/>
  <c r="X4" i="8"/>
  <c r="H4" i="8"/>
  <c r="BO3" i="8"/>
  <c r="AY3" i="8"/>
  <c r="AI3" i="8"/>
  <c r="AT2" i="8"/>
  <c r="BE1" i="8"/>
  <c r="D147" i="12" a="1"/>
  <c r="D78" i="12" a="1"/>
  <c r="D44" i="12" a="1"/>
  <c r="D36" i="12" a="1"/>
  <c r="E4" i="12" a="1"/>
  <c r="D8" i="12" a="1"/>
  <c r="D75" i="11" a="1"/>
  <c r="D55" i="11" a="1"/>
  <c r="D26" i="11" a="1"/>
  <c r="D10" i="11" a="1"/>
  <c r="D16" i="11" a="1"/>
  <c r="AE3" i="8"/>
  <c r="AP2" i="8"/>
  <c r="BA1" i="8"/>
  <c r="D144" i="12" a="1"/>
  <c r="D76" i="12" a="1"/>
  <c r="D53" i="12" a="1"/>
  <c r="D38" i="12" a="1"/>
  <c r="D14" i="12" a="1"/>
  <c r="D147" i="11" a="1"/>
  <c r="D78" i="11" a="1"/>
  <c r="D69" i="11" a="1"/>
  <c r="D14" i="11" a="1"/>
  <c r="AA3" i="8"/>
  <c r="AL2" i="8"/>
  <c r="AW1" i="8"/>
  <c r="D135" i="12" a="1"/>
  <c r="D80" i="12" a="1"/>
  <c r="D40" i="12" a="1"/>
  <c r="D25" i="12" a="1"/>
  <c r="D17" i="12" a="1"/>
  <c r="D134" i="11" a="1"/>
  <c r="D82" i="11" a="1"/>
  <c r="D65" i="11" a="1"/>
  <c r="D43" i="11" a="1"/>
  <c r="E11" i="11" a="1"/>
  <c r="D50" i="11" a="1"/>
  <c r="D28" i="11" a="1"/>
  <c r="AX2" i="8"/>
  <c r="BI1" i="8"/>
  <c r="D136" i="12" a="1"/>
  <c r="D73" i="12" a="1"/>
  <c r="D47" i="12" a="1"/>
  <c r="D24" i="12" a="1"/>
  <c r="D50" i="12" a="1"/>
  <c r="E8" i="12" a="1"/>
  <c r="D77" i="11" a="1"/>
  <c r="W3" i="8"/>
  <c r="AS1" i="8"/>
  <c r="D72" i="12" a="1"/>
  <c r="D11" i="12" a="1"/>
  <c r="D80" i="11" a="1"/>
  <c r="BR21" i="8"/>
  <c r="R8" i="8"/>
  <c r="AU5" i="8"/>
  <c r="BQ3" i="8"/>
  <c r="P2" i="8"/>
  <c r="U24" i="8"/>
  <c r="BS15" i="8"/>
  <c r="Q12" i="8"/>
  <c r="BI8" i="8"/>
  <c r="T7" i="8"/>
  <c r="AF6" i="8"/>
  <c r="BV5" i="8"/>
  <c r="AP5" i="8"/>
  <c r="BQ4" i="8"/>
  <c r="AK4" i="8"/>
  <c r="E4" i="8"/>
  <c r="AV3" i="8"/>
  <c r="P3" i="8"/>
  <c r="AQ2" i="8"/>
  <c r="K2" i="8"/>
  <c r="V1" i="8"/>
  <c r="F1" i="8"/>
  <c r="P23" i="8"/>
  <c r="BB16" i="8"/>
  <c r="AM14" i="8"/>
  <c r="BT11" i="8"/>
  <c r="S10" i="8"/>
  <c r="BU7" i="8"/>
  <c r="I7" i="8"/>
  <c r="J6" i="8"/>
  <c r="AK5" i="8"/>
  <c r="E5" i="8"/>
  <c r="AF4" i="8"/>
  <c r="BW3" i="8"/>
  <c r="C3" i="8"/>
  <c r="D125" i="12" a="1"/>
  <c r="D26" i="12" a="1"/>
  <c r="D60" i="11" a="1"/>
  <c r="F40" i="11" a="1"/>
  <c r="J2" i="8"/>
  <c r="D124" i="12" a="1"/>
  <c r="D28" i="12" a="1"/>
  <c r="D72" i="11" a="1"/>
  <c r="D27" i="11" a="1"/>
  <c r="D48" i="12" a="1"/>
  <c r="D145" i="11" a="1"/>
  <c r="D53" i="11" a="1"/>
  <c r="D33" i="11" a="1"/>
  <c r="D66" i="12" a="1"/>
  <c r="D146" i="11" a="1"/>
  <c r="D11" i="11" a="1"/>
  <c r="F76" i="12" a="1"/>
  <c r="E68" i="12" a="1"/>
  <c r="F66" i="11" a="1"/>
  <c r="E123" i="12" a="1"/>
  <c r="E82" i="11" a="1"/>
  <c r="E59" i="11" a="1"/>
  <c r="E67" i="12" a="1"/>
  <c r="E9" i="11" a="1"/>
  <c r="E79" i="11" a="1"/>
  <c r="G59" i="11" a="1"/>
  <c r="E41" i="11" a="1"/>
  <c r="F69" i="12" a="1"/>
  <c r="G104" i="11" a="1"/>
  <c r="E12" i="12" a="1"/>
  <c r="E34" i="11" a="1"/>
  <c r="F73" i="11" a="1"/>
  <c r="F55" i="12" a="1"/>
  <c r="F59" i="11" a="1"/>
  <c r="F133" i="12" a="1"/>
  <c r="F73" i="12" a="1"/>
  <c r="G24" i="11" a="1"/>
  <c r="F12" i="12" a="1"/>
  <c r="F110" i="11" a="1"/>
  <c r="G135" i="11" a="1"/>
  <c r="E57" i="12" a="1"/>
  <c r="F134" i="11" a="1"/>
  <c r="F127" i="12" a="1"/>
  <c r="F116" i="11" a="1"/>
  <c r="G33" i="11" a="1"/>
  <c r="E66" i="11" a="1"/>
  <c r="G11" i="11" a="1"/>
  <c r="F134" i="12" a="1"/>
  <c r="F80" i="11" a="1"/>
  <c r="F44" i="12" a="1"/>
  <c r="G75" i="11" a="1"/>
  <c r="F57" i="12" a="1"/>
  <c r="F147" i="12" a="1"/>
  <c r="F45" i="11" a="1"/>
  <c r="F4" i="12" a="1"/>
  <c r="F35" i="11" a="1"/>
  <c r="F67" i="12" a="1"/>
  <c r="E44" i="12" a="1"/>
  <c r="E73" i="12" a="1"/>
  <c r="F68" i="12" a="1"/>
  <c r="F28" i="11" a="1"/>
  <c r="G136" i="11" a="1"/>
  <c r="G115" i="11" a="1"/>
  <c r="E14" i="12" a="1"/>
  <c r="E114" i="12" a="1"/>
  <c r="F72" i="11" a="1"/>
  <c r="F144" i="12" a="1"/>
  <c r="F34" i="11" a="1"/>
  <c r="E24" i="11" a="1"/>
  <c r="F125" i="11" a="1"/>
  <c r="E127" i="11" a="1"/>
  <c r="E77" i="12" a="1"/>
  <c r="F70" i="11" a="1"/>
  <c r="E60" i="12" a="1"/>
  <c r="G114" i="11" a="1"/>
  <c r="F65" i="12" a="1"/>
  <c r="F37" i="12" a="1"/>
  <c r="F78" i="11" a="1"/>
  <c r="E59" i="12" a="1"/>
  <c r="E145" i="11" a="1"/>
  <c r="F66" i="12" a="1"/>
  <c r="G133" i="11" a="1"/>
  <c r="G41" i="11" a="1"/>
  <c r="E123" i="11" a="1"/>
  <c r="F124" i="12" a="1"/>
  <c r="E114" i="11" a="1"/>
  <c r="G69" i="11" a="1"/>
  <c r="E53" i="11" a="1"/>
  <c r="E43" i="11" a="1"/>
  <c r="F125" i="12" a="1"/>
  <c r="F144" i="11" a="1"/>
  <c r="E69" i="12" a="1"/>
  <c r="E67" i="11" a="1"/>
  <c r="E34" i="12" a="1"/>
  <c r="G145" i="11" a="1"/>
  <c r="E124" i="12" a="1"/>
  <c r="E57" i="11" a="1"/>
  <c r="E8" i="11" a="1"/>
  <c r="E72" i="12" a="1"/>
  <c r="E52" i="12" a="1"/>
  <c r="F24" i="12" a="1"/>
  <c r="F58" i="11" a="1"/>
  <c r="E110" i="12" a="1"/>
  <c r="E47" i="11" a="1"/>
  <c r="G65" i="11" a="1"/>
  <c r="E116" i="12" a="1"/>
  <c r="F60" i="11" a="1"/>
  <c r="F146" i="12" a="1"/>
  <c r="F41" i="11" a="1"/>
  <c r="F55" i="11" a="1"/>
  <c r="F110" i="12" a="1"/>
  <c r="F38" i="12" a="1"/>
  <c r="F54" i="11" a="1"/>
  <c r="E146" i="12" a="1"/>
  <c r="G12" i="11" a="1"/>
  <c r="E35" i="12" a="1"/>
  <c r="F52" i="12" a="1"/>
  <c r="G147" i="11" a="1"/>
  <c r="E48" i="12" a="1"/>
  <c r="G144" i="11" a="1"/>
  <c r="F14" i="12" a="1"/>
  <c r="F52" i="11" a="1"/>
  <c r="F12" i="11" a="1"/>
  <c r="E27" i="12" a="1"/>
  <c r="F135" i="11" a="1"/>
  <c r="G28" i="11" a="1"/>
  <c r="E37" i="12" a="1"/>
  <c r="F123" i="11" a="1"/>
  <c r="E136" i="12" a="1"/>
  <c r="G80" i="11" a="1"/>
  <c r="E60" i="11" a="1"/>
  <c r="F56" i="12" a="1"/>
  <c r="F104" i="11" a="1"/>
  <c r="E109" i="12" a="1"/>
  <c r="G116" i="11" a="1"/>
  <c r="E104" i="12" a="1"/>
  <c r="E44" i="11" a="1"/>
  <c r="F145" i="11" a="1"/>
  <c r="E58" i="12" a="1"/>
  <c r="G78" i="11" a="1"/>
  <c r="E41" i="12" a="1"/>
  <c r="G58" i="11" a="1"/>
  <c r="G25" i="11" a="1"/>
  <c r="F16" i="11" a="1"/>
  <c r="G43" i="11" a="1"/>
  <c r="F44" i="11" a="1"/>
  <c r="F60" i="12" a="1"/>
  <c r="F54" i="12" a="1"/>
  <c r="F38" i="11" a="1"/>
  <c r="G125" i="11" a="1"/>
  <c r="E33" i="11" a="1"/>
  <c r="G8" i="11" a="1"/>
  <c r="G34" i="11" a="1"/>
  <c r="E52" i="11" a="1"/>
  <c r="E116" i="11" a="1"/>
  <c r="F145" i="12" a="1"/>
  <c r="F27" i="11" a="1"/>
  <c r="G110" i="11" a="1"/>
  <c r="F40" i="12" a="1"/>
  <c r="F65" i="11" a="1"/>
  <c r="F17" i="11" a="1"/>
  <c r="F123" i="12" a="1"/>
  <c r="G35" i="11" a="1"/>
  <c r="F146" i="11" a="1"/>
  <c r="F109" i="12" a="1"/>
  <c r="G134" i="11" a="1"/>
  <c r="E56" i="12" a="1"/>
  <c r="G9" i="11" a="1"/>
  <c r="E125" i="12" a="1"/>
  <c r="F135" i="12" a="1"/>
  <c r="F115" i="11" a="1"/>
  <c r="E35" i="11" a="1"/>
  <c r="E133" i="11" a="1"/>
  <c r="E33" i="12" a="1"/>
  <c r="F28" i="12" a="1"/>
  <c r="E65" i="12" a="1"/>
  <c r="F50" i="11" a="1"/>
  <c r="E135" i="11" a="1"/>
  <c r="F48" i="11" a="1"/>
  <c r="F14" i="11" a="1"/>
  <c r="F82" i="12" a="1"/>
  <c r="E76" i="11" a="1"/>
  <c r="E115" i="12" a="1"/>
  <c r="F10" i="12" a="1"/>
  <c r="F77" i="11" a="1"/>
  <c r="E75" i="11" a="1"/>
  <c r="F80" i="12" a="1"/>
  <c r="F77" i="12" a="1"/>
  <c r="E37" i="11" a="1"/>
  <c r="F47" i="11" a="1"/>
  <c r="G38" i="11" a="1"/>
  <c r="F9" i="12" a="1"/>
  <c r="E49" i="12" a="1"/>
  <c r="F45" i="12" a="1"/>
  <c r="F76" i="11" a="1"/>
  <c r="G4" i="11" a="1"/>
  <c r="G14" i="11" a="1"/>
  <c r="G82" i="11" a="1"/>
  <c r="E45" i="12" a="1"/>
  <c r="E25" i="11" a="1"/>
  <c r="G124" i="11" a="1"/>
  <c r="E134" i="12" a="1"/>
  <c r="E109" i="11" a="1"/>
  <c r="F124" i="11" a="1"/>
  <c r="G47" i="11" a="1"/>
  <c r="F9" i="11" a="1"/>
  <c r="E129" i="11" a="1"/>
  <c r="E134" i="11" a="1"/>
  <c r="E78" i="11" a="1"/>
  <c r="F41" i="12" a="1"/>
  <c r="E28" i="11" a="1"/>
  <c r="E36" i="11" a="1"/>
  <c r="F79" i="12" a="1"/>
  <c r="F70" i="12" a="1"/>
  <c r="F82" i="11" a="1"/>
  <c r="F48" i="12" a="1"/>
  <c r="E17" i="12" a="1"/>
  <c r="G27" i="11" a="1"/>
  <c r="E55" i="11" a="1"/>
  <c r="F16" i="12" a="1"/>
  <c r="E47" i="12" a="1"/>
  <c r="F11" i="11" a="1"/>
  <c r="F33" i="11" a="1"/>
  <c r="F133" i="11" a="1"/>
  <c r="E79" i="12" a="1"/>
  <c r="E45" i="11" a="1"/>
  <c r="F26" i="11" a="1"/>
  <c r="G50" i="11" a="1"/>
  <c r="E147" i="11" a="1"/>
  <c r="F53" i="11" a="1"/>
  <c r="G49" i="11" a="1"/>
  <c r="F4" i="11" a="1"/>
  <c r="F34" i="12" a="1"/>
  <c r="E124" i="11" a="1"/>
  <c r="F50" i="12" a="1"/>
  <c r="F47" i="12" a="1"/>
  <c r="G66" i="11" a="1"/>
  <c r="F75" i="12" a="1"/>
  <c r="F127" i="11" a="1"/>
  <c r="E72" i="11" a="1"/>
  <c r="E48" i="11" a="1"/>
  <c r="G48" i="11" a="1"/>
  <c r="E115" i="11" a="1"/>
  <c r="E40" i="11" a="1"/>
  <c r="F78" i="12" a="1"/>
  <c r="G54" i="11" a="1"/>
  <c r="E129" i="12" a="1"/>
  <c r="E55" i="12" a="1"/>
  <c r="G127" i="11" a="1"/>
  <c r="F67" i="11" a="1"/>
  <c r="G79" i="11" a="1"/>
  <c r="E58" i="11" a="1"/>
  <c r="E104" i="11" a="1"/>
  <c r="E16" i="11" a="1"/>
  <c r="F26" i="12" a="1"/>
  <c r="F17" i="12" a="1"/>
  <c r="G17" i="11" a="1"/>
  <c r="F79" i="11" a="1"/>
  <c r="E65" i="11" a="1"/>
  <c r="E24" i="12" a="1"/>
  <c r="F10" i="11" a="1"/>
  <c r="G68" i="11" a="1"/>
  <c r="E56" i="11" a="1"/>
  <c r="E54" i="11" a="1"/>
  <c r="E144" i="12" a="1"/>
  <c r="E69" i="11" a="1"/>
  <c r="F53" i="12" a="1"/>
  <c r="F8" i="12" a="1"/>
  <c r="F129" i="12" a="1"/>
  <c r="E127" i="12" a="1"/>
  <c r="G72" i="11" a="1"/>
  <c r="F129" i="11" a="1"/>
  <c r="F69" i="11" a="1"/>
  <c r="F136" i="12" a="1"/>
  <c r="F59" i="12" a="1"/>
  <c r="E36" i="12" a="1"/>
  <c r="F109" i="11" a="1"/>
  <c r="G16" i="11" a="1"/>
  <c r="F36" i="12" a="1"/>
  <c r="G10" i="11" a="1"/>
  <c r="G73" i="11" a="1"/>
  <c r="E17" i="11" a="1"/>
  <c r="E133" i="12" a="1"/>
  <c r="G109" i="11" a="1"/>
  <c r="F33" i="12" a="1"/>
  <c r="E80" i="11" a="1"/>
  <c r="E49" i="11" a="1"/>
  <c r="G70" i="11" a="1"/>
  <c r="F37" i="11" a="1"/>
  <c r="E43" i="12" a="1"/>
  <c r="E147" i="12" a="1"/>
  <c r="F56" i="11" a="1"/>
  <c r="G52" i="11" a="1"/>
  <c r="E14" i="11" a="1"/>
  <c r="E80" i="12" a="1"/>
  <c r="F104" i="12" a="1"/>
  <c r="E73" i="11" a="1"/>
  <c r="G44" i="11" a="1"/>
  <c r="G57" i="11" a="1"/>
  <c r="E38" i="12" a="1"/>
  <c r="G60" i="11" a="1"/>
  <c r="F36" i="11" a="1"/>
  <c r="G55" i="11" a="1"/>
  <c r="E110" i="11" a="1"/>
  <c r="F116" i="12" a="1"/>
  <c r="E54" i="12" a="1"/>
  <c r="E70" i="12" a="1"/>
  <c r="E66" i="12" a="1"/>
  <c r="E78" i="12" a="1"/>
  <c r="G67" i="11" a="1"/>
  <c r="F43" i="11" a="1"/>
  <c r="E77" i="11" a="1"/>
  <c r="E38" i="11" a="1"/>
  <c r="E145" i="12" a="1"/>
  <c r="F11" i="12" a="1"/>
  <c r="E136" i="11" a="1"/>
  <c r="G123" i="11" a="1"/>
  <c r="F25" i="12" a="1"/>
  <c r="F114" i="11" a="1"/>
  <c r="G40" i="11" a="1"/>
  <c r="F115" i="12" a="1"/>
  <c r="E135" i="12" a="1"/>
  <c r="F72" i="12" a="1"/>
  <c r="F49" i="11" a="1"/>
  <c r="E75" i="12" a="1"/>
  <c r="G36" i="11" a="1"/>
  <c r="F57" i="11" a="1"/>
  <c r="F136" i="11" a="1"/>
  <c r="F24" i="11" a="1"/>
  <c r="G146" i="11" a="1"/>
  <c r="F114" i="12" a="1"/>
  <c r="E68" i="11" a="1"/>
  <c r="G45" i="11" a="1"/>
  <c r="E76" i="12" a="1"/>
  <c r="F68" i="11" a="1"/>
  <c r="E27" i="11" a="1"/>
  <c r="F27" i="12" a="1"/>
  <c r="G77" i="11" a="1"/>
  <c r="G129" i="11" a="1"/>
  <c r="F35" i="12" a="1"/>
  <c r="G53" i="11" a="1"/>
  <c r="E146" i="11" a="1"/>
  <c r="E50" i="12" a="1"/>
  <c r="G26" i="11" a="1"/>
  <c r="E53" i="12" a="1"/>
  <c r="G76" i="11" a="1"/>
  <c r="G37" i="11" a="1"/>
  <c r="E50" i="11" a="1"/>
  <c r="F43" i="12" a="1"/>
  <c r="F58" i="12" a="1"/>
  <c r="E28" i="12" a="1"/>
  <c r="E144" i="11" a="1"/>
  <c r="F75" i="11" a="1"/>
  <c r="F25" i="11" a="1"/>
  <c r="E125" i="11" a="1"/>
  <c r="F147" i="11" a="1"/>
  <c r="E82" i="12" a="1"/>
  <c r="F49" i="12" a="1"/>
  <c r="E40" i="12" a="1"/>
  <c r="G56" i="11" a="1"/>
  <c r="E70" i="11" a="1"/>
  <c r="D11" i="11" l="1"/>
  <c r="D146" i="11"/>
  <c r="D66" i="12"/>
  <c r="D33" i="11"/>
  <c r="D53" i="11"/>
  <c r="D145" i="11"/>
  <c r="D48" i="12"/>
  <c r="D27" i="11"/>
  <c r="D72" i="11"/>
  <c r="D28" i="12"/>
  <c r="D124" i="12"/>
  <c r="F40" i="11"/>
  <c r="D60" i="11"/>
  <c r="D26" i="12"/>
  <c r="D125" i="12"/>
  <c r="D160" i="12" s="1"/>
  <c r="D80" i="11"/>
  <c r="D11" i="12"/>
  <c r="D72" i="12"/>
  <c r="D77" i="11"/>
  <c r="E8" i="12"/>
  <c r="D50" i="12"/>
  <c r="D24" i="12"/>
  <c r="D47" i="12"/>
  <c r="D73" i="12"/>
  <c r="D136" i="12"/>
  <c r="D28" i="11"/>
  <c r="D50" i="11"/>
  <c r="E11" i="11"/>
  <c r="D43" i="11"/>
  <c r="D65" i="11"/>
  <c r="D82" i="11"/>
  <c r="D134" i="11"/>
  <c r="D17" i="12"/>
  <c r="D25" i="12"/>
  <c r="D40" i="12"/>
  <c r="D80" i="12"/>
  <c r="D135" i="12"/>
  <c r="D174" i="12" s="1"/>
  <c r="D14" i="11"/>
  <c r="D69" i="11"/>
  <c r="D78" i="11"/>
  <c r="D147" i="11"/>
  <c r="D14" i="12"/>
  <c r="D38" i="12"/>
  <c r="D53" i="12"/>
  <c r="D76" i="12"/>
  <c r="D144" i="12"/>
  <c r="D16" i="11"/>
  <c r="D10" i="11"/>
  <c r="D26" i="11"/>
  <c r="D55" i="11"/>
  <c r="D75" i="11"/>
  <c r="D8" i="12"/>
  <c r="E4" i="12"/>
  <c r="E5" i="12" s="1"/>
  <c r="D36" i="12"/>
  <c r="D44" i="12"/>
  <c r="D78" i="12"/>
  <c r="D147" i="12"/>
  <c r="D145" i="12"/>
  <c r="D125" i="11"/>
  <c r="D160" i="11" s="1"/>
  <c r="D27" i="12"/>
  <c r="D114" i="12"/>
  <c r="D9" i="11"/>
  <c r="D66" i="11"/>
  <c r="D37" i="12"/>
  <c r="D115" i="12"/>
  <c r="D168" i="12" s="1"/>
  <c r="D34" i="11"/>
  <c r="E26" i="12"/>
  <c r="D69" i="12"/>
  <c r="D25" i="11"/>
  <c r="D37" i="11"/>
  <c r="D133" i="11"/>
  <c r="D70" i="12"/>
  <c r="D45" i="11"/>
  <c r="D41" i="12"/>
  <c r="D116" i="12"/>
  <c r="D169" i="12" s="1"/>
  <c r="D49" i="11"/>
  <c r="D54" i="11"/>
  <c r="D114" i="11"/>
  <c r="E9" i="12"/>
  <c r="E10" i="12"/>
  <c r="D43" i="12"/>
  <c r="D82" i="12"/>
  <c r="D109" i="12"/>
  <c r="D36" i="11"/>
  <c r="D68" i="11"/>
  <c r="D12" i="11"/>
  <c r="D41" i="11"/>
  <c r="D52" i="11"/>
  <c r="D129" i="11"/>
  <c r="D162" i="11" s="1"/>
  <c r="D124" i="11"/>
  <c r="D16" i="12"/>
  <c r="D75" i="12"/>
  <c r="D60" i="12"/>
  <c r="D123" i="12"/>
  <c r="C9" i="3" a="1"/>
  <c r="C9" i="3" s="1"/>
  <c r="C43" i="3"/>
  <c r="D9" i="3" a="1"/>
  <c r="D9" i="3" s="1"/>
  <c r="D43" i="3"/>
  <c r="D17" i="11"/>
  <c r="D47" i="11"/>
  <c r="D51" i="11" s="1"/>
  <c r="D59" i="11"/>
  <c r="D73" i="11"/>
  <c r="D135" i="11"/>
  <c r="D174" i="11" s="1"/>
  <c r="D9" i="12"/>
  <c r="D54" i="12"/>
  <c r="D67" i="12"/>
  <c r="D110" i="12"/>
  <c r="D167" i="12" s="1"/>
  <c r="E12" i="11"/>
  <c r="D67" i="11"/>
  <c r="D8" i="11"/>
  <c r="D48" i="11"/>
  <c r="D70" i="11"/>
  <c r="D71" i="11" s="1"/>
  <c r="D74" i="11" s="1"/>
  <c r="D79" i="11"/>
  <c r="E25" i="12"/>
  <c r="D10" i="12"/>
  <c r="D35" i="12"/>
  <c r="D77" i="12"/>
  <c r="D79" i="12"/>
  <c r="D81" i="12" s="1"/>
  <c r="D83" i="12" s="1"/>
  <c r="D56" i="11"/>
  <c r="D68" i="12"/>
  <c r="F8" i="11"/>
  <c r="D136" i="11"/>
  <c r="D139" i="11" s="1"/>
  <c r="D52" i="12"/>
  <c r="D116" i="11"/>
  <c r="D169" i="11" s="1"/>
  <c r="D59" i="12"/>
  <c r="D4" i="11"/>
  <c r="D5" i="11" s="1"/>
  <c r="D115" i="11"/>
  <c r="D168" i="11" s="1"/>
  <c r="D55" i="12"/>
  <c r="D144" i="11"/>
  <c r="D34" i="12"/>
  <c r="D57" i="11"/>
  <c r="E4" i="11"/>
  <c r="E5" i="11" s="1"/>
  <c r="D38" i="11"/>
  <c r="D58" i="11"/>
  <c r="D61" i="11" s="1"/>
  <c r="D104" i="11"/>
  <c r="D105" i="11" s="1"/>
  <c r="D106" i="11" s="1"/>
  <c r="D123" i="11"/>
  <c r="E16" i="12"/>
  <c r="D12" i="12"/>
  <c r="D13" i="12" s="1"/>
  <c r="D15" i="12" s="1"/>
  <c r="D57" i="12"/>
  <c r="D56" i="12"/>
  <c r="D127" i="12"/>
  <c r="D24" i="11"/>
  <c r="D40" i="11"/>
  <c r="D109" i="11"/>
  <c r="D159" i="11" s="1"/>
  <c r="D127" i="11"/>
  <c r="E11" i="12"/>
  <c r="D45" i="12"/>
  <c r="D65" i="12"/>
  <c r="D104" i="12"/>
  <c r="D105" i="12" s="1"/>
  <c r="D106" i="12" s="1"/>
  <c r="D134" i="12"/>
  <c r="D139" i="12" s="1"/>
  <c r="E10" i="11"/>
  <c r="E26" i="11"/>
  <c r="D35" i="11"/>
  <c r="D44" i="11"/>
  <c r="D46" i="11" s="1"/>
  <c r="D76" i="11"/>
  <c r="D110" i="11"/>
  <c r="D167" i="11" s="1"/>
  <c r="D170" i="11" s="1"/>
  <c r="D4" i="12"/>
  <c r="D5" i="12" s="1"/>
  <c r="D33" i="12"/>
  <c r="D49" i="12"/>
  <c r="D58" i="12"/>
  <c r="D129" i="12"/>
  <c r="D162" i="12" s="1"/>
  <c r="D133" i="12"/>
  <c r="D146" i="12"/>
  <c r="D170" i="12"/>
  <c r="D42" i="12"/>
  <c r="D126" i="11"/>
  <c r="D46" i="12"/>
  <c r="D29" i="12"/>
  <c r="D30" i="12" s="1"/>
  <c r="D126" i="12"/>
  <c r="D18" i="12"/>
  <c r="D18" i="11"/>
  <c r="E73" i="12"/>
  <c r="E38" i="11"/>
  <c r="G24" i="11"/>
  <c r="E33" i="12"/>
  <c r="E144" i="12"/>
  <c r="F47" i="12"/>
  <c r="E16" i="11"/>
  <c r="E53" i="11"/>
  <c r="E78" i="11"/>
  <c r="G8" i="11"/>
  <c r="G82" i="11"/>
  <c r="F4" i="11"/>
  <c r="F5" i="11" s="1"/>
  <c r="F16" i="11"/>
  <c r="F53" i="11"/>
  <c r="F52" i="11"/>
  <c r="F133" i="11"/>
  <c r="E44" i="12"/>
  <c r="F144" i="12"/>
  <c r="F73" i="12"/>
  <c r="E133" i="11"/>
  <c r="F68" i="11"/>
  <c r="F80" i="12"/>
  <c r="E144" i="11"/>
  <c r="G69" i="11"/>
  <c r="E66" i="12"/>
  <c r="F129" i="12"/>
  <c r="E73" i="11"/>
  <c r="E80" i="11"/>
  <c r="G25" i="11"/>
  <c r="F24" i="12"/>
  <c r="F14" i="12"/>
  <c r="F72" i="12"/>
  <c r="F67" i="12"/>
  <c r="F79" i="12"/>
  <c r="F133" i="12"/>
  <c r="E35" i="11"/>
  <c r="E54" i="11"/>
  <c r="E70" i="11"/>
  <c r="E104" i="11"/>
  <c r="E105" i="11" s="1"/>
  <c r="E106" i="11" s="1"/>
  <c r="E114" i="11"/>
  <c r="E134" i="11"/>
  <c r="E33" i="11"/>
  <c r="G14" i="11"/>
  <c r="G16" i="11"/>
  <c r="G58" i="11"/>
  <c r="G146" i="11"/>
  <c r="G144" i="11"/>
  <c r="F33" i="11"/>
  <c r="F35" i="11"/>
  <c r="F72" i="11"/>
  <c r="F59" i="11"/>
  <c r="F115" i="11"/>
  <c r="F147" i="11"/>
  <c r="E75" i="11"/>
  <c r="E28" i="12"/>
  <c r="F124" i="12"/>
  <c r="E70" i="12"/>
  <c r="E82" i="12"/>
  <c r="F104" i="12"/>
  <c r="F105" i="12" s="1"/>
  <c r="F106" i="12" s="1"/>
  <c r="G129" i="11"/>
  <c r="E41" i="12"/>
  <c r="E52" i="12"/>
  <c r="E48" i="12"/>
  <c r="E135" i="12"/>
  <c r="E174" i="12" s="1"/>
  <c r="F4" i="12"/>
  <c r="F5" i="12" s="1"/>
  <c r="F50" i="12"/>
  <c r="F55" i="12"/>
  <c r="F135" i="12"/>
  <c r="E56" i="11"/>
  <c r="E77" i="11"/>
  <c r="E58" i="11"/>
  <c r="E123" i="11"/>
  <c r="E129" i="11"/>
  <c r="E162" i="11" s="1"/>
  <c r="E147" i="11"/>
  <c r="G4" i="11"/>
  <c r="G5" i="11" s="1"/>
  <c r="G49" i="11"/>
  <c r="G78" i="11"/>
  <c r="G125" i="11"/>
  <c r="G147" i="11"/>
  <c r="F11" i="11"/>
  <c r="F45" i="11"/>
  <c r="F77" i="11"/>
  <c r="F73" i="11"/>
  <c r="E125" i="12"/>
  <c r="E160" i="12" s="1"/>
  <c r="G66" i="11"/>
  <c r="E114" i="12"/>
  <c r="F58" i="12"/>
  <c r="G41" i="11"/>
  <c r="E54" i="12"/>
  <c r="E72" i="12"/>
  <c r="E80" i="12"/>
  <c r="E40" i="12"/>
  <c r="E58" i="12"/>
  <c r="F8" i="12"/>
  <c r="F52" i="12"/>
  <c r="F115" i="12"/>
  <c r="F147" i="12"/>
  <c r="E36" i="11"/>
  <c r="E34" i="11"/>
  <c r="G9" i="11"/>
  <c r="G68" i="11"/>
  <c r="G53" i="11"/>
  <c r="G79" i="11"/>
  <c r="G133" i="11"/>
  <c r="F9" i="11"/>
  <c r="F38" i="11"/>
  <c r="F76" i="11"/>
  <c r="F109" i="11"/>
  <c r="F145" i="11"/>
  <c r="F24" i="11"/>
  <c r="E35" i="12"/>
  <c r="E47" i="12"/>
  <c r="F57" i="12"/>
  <c r="E14" i="12"/>
  <c r="E12" i="12"/>
  <c r="E13" i="12" s="1"/>
  <c r="E56" i="12"/>
  <c r="E76" i="12"/>
  <c r="F10" i="12"/>
  <c r="F43" i="12"/>
  <c r="F66" i="12"/>
  <c r="F116" i="12"/>
  <c r="E8" i="11"/>
  <c r="E14" i="11"/>
  <c r="E48" i="11"/>
  <c r="E44" i="11"/>
  <c r="E27" i="11"/>
  <c r="G12" i="11"/>
  <c r="G40" i="11"/>
  <c r="G75" i="11"/>
  <c r="G73" i="11"/>
  <c r="G104" i="11"/>
  <c r="G105" i="11" s="1"/>
  <c r="G106" i="11" s="1"/>
  <c r="G134" i="11"/>
  <c r="F10" i="11"/>
  <c r="F43" i="11"/>
  <c r="F67" i="11"/>
  <c r="G47" i="11"/>
  <c r="G50" i="11"/>
  <c r="F45" i="12"/>
  <c r="E36" i="12"/>
  <c r="E104" i="12"/>
  <c r="E105" i="12" s="1"/>
  <c r="E106" i="12" s="1"/>
  <c r="E115" i="12"/>
  <c r="E168" i="12" s="1"/>
  <c r="E146" i="12"/>
  <c r="F16" i="12"/>
  <c r="F44" i="12"/>
  <c r="F54" i="12"/>
  <c r="F69" i="12"/>
  <c r="F109" i="12"/>
  <c r="E17" i="11"/>
  <c r="E57" i="11"/>
  <c r="E50" i="11"/>
  <c r="E145" i="11"/>
  <c r="E110" i="11"/>
  <c r="E167" i="11" s="1"/>
  <c r="E115" i="11"/>
  <c r="E168" i="11" s="1"/>
  <c r="G52" i="11"/>
  <c r="G77" i="11"/>
  <c r="G116" i="11"/>
  <c r="G115" i="11"/>
  <c r="F54" i="11"/>
  <c r="F114" i="11"/>
  <c r="F80" i="11"/>
  <c r="F136" i="11"/>
  <c r="E24" i="12"/>
  <c r="F53" i="12"/>
  <c r="G127" i="11"/>
  <c r="F146" i="11"/>
  <c r="F124" i="11"/>
  <c r="E76" i="11"/>
  <c r="E49" i="12"/>
  <c r="E59" i="12"/>
  <c r="E109" i="12"/>
  <c r="E124" i="12"/>
  <c r="F38" i="12"/>
  <c r="F59" i="12"/>
  <c r="F134" i="12"/>
  <c r="E28" i="11"/>
  <c r="E41" i="11"/>
  <c r="E55" i="11"/>
  <c r="E125" i="11"/>
  <c r="E160" i="11" s="1"/>
  <c r="E124" i="11"/>
  <c r="G37" i="11"/>
  <c r="G35" i="11"/>
  <c r="G55" i="11"/>
  <c r="F26" i="11"/>
  <c r="F56" i="11"/>
  <c r="F78" i="11"/>
  <c r="F104" i="11"/>
  <c r="F105" i="11" s="1"/>
  <c r="F106" i="11" s="1"/>
  <c r="F33" i="12"/>
  <c r="G11" i="11"/>
  <c r="F82" i="12"/>
  <c r="G59" i="11"/>
  <c r="F25" i="12"/>
  <c r="E65" i="11"/>
  <c r="G136" i="11"/>
  <c r="E55" i="12"/>
  <c r="F123" i="12"/>
  <c r="E109" i="11"/>
  <c r="G145" i="11"/>
  <c r="F9" i="12"/>
  <c r="F37" i="12"/>
  <c r="F56" i="12"/>
  <c r="F75" i="12"/>
  <c r="F110" i="12"/>
  <c r="F136" i="12"/>
  <c r="E66" i="11"/>
  <c r="E49" i="11"/>
  <c r="E79" i="11"/>
  <c r="G27" i="11"/>
  <c r="G45" i="11"/>
  <c r="G67" i="11"/>
  <c r="G76" i="11"/>
  <c r="F17" i="11"/>
  <c r="F36" i="11"/>
  <c r="F57" i="11"/>
  <c r="F65" i="12"/>
  <c r="E60" i="11"/>
  <c r="F14" i="11"/>
  <c r="F55" i="11"/>
  <c r="E72" i="11"/>
  <c r="G33" i="11"/>
  <c r="F60" i="12"/>
  <c r="E9" i="11"/>
  <c r="G123" i="11"/>
  <c r="F79" i="11"/>
  <c r="E34" i="12"/>
  <c r="E129" i="12"/>
  <c r="E162" i="12" s="1"/>
  <c r="F65" i="11"/>
  <c r="E134" i="12"/>
  <c r="G10" i="11"/>
  <c r="G38" i="11"/>
  <c r="G114" i="11"/>
  <c r="G80" i="11"/>
  <c r="F28" i="11"/>
  <c r="F41" i="11"/>
  <c r="F42" i="11" s="1"/>
  <c r="F69" i="11"/>
  <c r="F116" i="11"/>
  <c r="E67" i="12"/>
  <c r="E17" i="12"/>
  <c r="E18" i="12" s="1"/>
  <c r="F25" i="11"/>
  <c r="E69" i="11"/>
  <c r="E53" i="12"/>
  <c r="F40" i="12"/>
  <c r="G60" i="11"/>
  <c r="F48" i="11"/>
  <c r="E147" i="12"/>
  <c r="E60" i="12"/>
  <c r="E136" i="12"/>
  <c r="F41" i="12"/>
  <c r="F146" i="12"/>
  <c r="F49" i="12"/>
  <c r="F127" i="12"/>
  <c r="E67" i="11"/>
  <c r="E59" i="11"/>
  <c r="E136" i="11"/>
  <c r="G17" i="11"/>
  <c r="G56" i="11"/>
  <c r="G54" i="11"/>
  <c r="G110" i="11"/>
  <c r="G124" i="11"/>
  <c r="F44" i="11"/>
  <c r="F47" i="11"/>
  <c r="F70" i="11"/>
  <c r="F123" i="11"/>
  <c r="G36" i="11"/>
  <c r="F60" i="11"/>
  <c r="F129" i="11"/>
  <c r="F134" i="11"/>
  <c r="F68" i="12"/>
  <c r="E82" i="11"/>
  <c r="F48" i="12"/>
  <c r="E68" i="11"/>
  <c r="E135" i="11"/>
  <c r="E174" i="11" s="1"/>
  <c r="G26" i="11"/>
  <c r="F27" i="11"/>
  <c r="E38" i="12"/>
  <c r="E133" i="12"/>
  <c r="E43" i="12"/>
  <c r="E77" i="12"/>
  <c r="E37" i="12"/>
  <c r="E69" i="12"/>
  <c r="E116" i="12"/>
  <c r="E169" i="12" s="1"/>
  <c r="F27" i="12"/>
  <c r="E57" i="12"/>
  <c r="E78" i="12"/>
  <c r="E123" i="12"/>
  <c r="F11" i="12"/>
  <c r="F17" i="12"/>
  <c r="F34" i="12"/>
  <c r="F78" i="12"/>
  <c r="F145" i="12"/>
  <c r="E25" i="11"/>
  <c r="E45" i="11"/>
  <c r="E37" i="11"/>
  <c r="E127" i="11"/>
  <c r="G28" i="11"/>
  <c r="G43" i="11"/>
  <c r="G65" i="11"/>
  <c r="G72" i="11"/>
  <c r="G135" i="11"/>
  <c r="F50" i="11"/>
  <c r="F66" i="11"/>
  <c r="F82" i="11"/>
  <c r="F75" i="11"/>
  <c r="F144" i="11"/>
  <c r="E50" i="12"/>
  <c r="E116" i="11"/>
  <c r="E169" i="11" s="1"/>
  <c r="G57" i="11"/>
  <c r="F35" i="12"/>
  <c r="F37" i="11"/>
  <c r="F125" i="11"/>
  <c r="F135" i="11"/>
  <c r="E75" i="12"/>
  <c r="E47" i="11"/>
  <c r="G109" i="11"/>
  <c r="F110" i="11"/>
  <c r="E65" i="12"/>
  <c r="E68" i="12"/>
  <c r="E145" i="12"/>
  <c r="F26" i="12"/>
  <c r="F125" i="12"/>
  <c r="E40" i="11"/>
  <c r="E42" i="11" s="1"/>
  <c r="E52" i="11"/>
  <c r="E45" i="12"/>
  <c r="F36" i="12"/>
  <c r="F77" i="12"/>
  <c r="E24" i="11"/>
  <c r="E27" i="12"/>
  <c r="E79" i="12"/>
  <c r="E110" i="12"/>
  <c r="E167" i="12" s="1"/>
  <c r="E127" i="12"/>
  <c r="F12" i="12"/>
  <c r="F28" i="12"/>
  <c r="F76" i="12"/>
  <c r="F70" i="12"/>
  <c r="F114" i="12"/>
  <c r="E43" i="11"/>
  <c r="E146" i="11"/>
  <c r="G34" i="11"/>
  <c r="G44" i="11"/>
  <c r="G48" i="11"/>
  <c r="G70" i="11"/>
  <c r="F34" i="11"/>
  <c r="F12" i="11"/>
  <c r="F49" i="11"/>
  <c r="F58" i="11"/>
  <c r="F127" i="11"/>
  <c r="F130" i="11" s="1"/>
  <c r="P73" i="10"/>
  <c r="G35" i="3"/>
  <c r="D148" i="12"/>
  <c r="E9" i="3" a="1"/>
  <c r="E9" i="3" s="1"/>
  <c r="F1" i="3"/>
  <c r="E39" i="6"/>
  <c r="D158" i="11"/>
  <c r="H1" i="12"/>
  <c r="AJ66" i="11"/>
  <c r="P85" i="10"/>
  <c r="O85" i="10"/>
  <c r="N85" i="10"/>
  <c r="D53" i="7"/>
  <c r="F65" i="6"/>
  <c r="F31" i="6"/>
  <c r="F21" i="6"/>
  <c r="F55" i="6"/>
  <c r="G1" i="6"/>
  <c r="F7" i="6"/>
  <c r="D32" i="6"/>
  <c r="AL47" i="7"/>
  <c r="O73" i="10"/>
  <c r="AF47" i="6"/>
  <c r="AX92" i="10"/>
  <c r="AH92" i="10"/>
  <c r="R92" i="10"/>
  <c r="AW92" i="10"/>
  <c r="AG92" i="10"/>
  <c r="Q92" i="10"/>
  <c r="AV92" i="10"/>
  <c r="AF92" i="10"/>
  <c r="P92" i="10"/>
  <c r="AU92" i="10"/>
  <c r="AE92" i="10"/>
  <c r="O92" i="10"/>
  <c r="AT92" i="10"/>
  <c r="AD92" i="10"/>
  <c r="N92" i="10"/>
  <c r="BI92" i="10"/>
  <c r="AS92" i="10"/>
  <c r="AC92" i="10"/>
  <c r="BH92" i="10"/>
  <c r="AR92" i="10"/>
  <c r="AB92" i="10"/>
  <c r="BG92" i="10"/>
  <c r="AQ92" i="10"/>
  <c r="AA92" i="10"/>
  <c r="BF92" i="10"/>
  <c r="AP92" i="10"/>
  <c r="Z92" i="10"/>
  <c r="BE92" i="10"/>
  <c r="AO92" i="10"/>
  <c r="Y92" i="10"/>
  <c r="BD92" i="10"/>
  <c r="AN92" i="10"/>
  <c r="X92" i="10"/>
  <c r="BB92" i="10"/>
  <c r="AL92" i="10"/>
  <c r="V92" i="10"/>
  <c r="BA92" i="10"/>
  <c r="AK92" i="10"/>
  <c r="U92" i="10"/>
  <c r="AJ92" i="10"/>
  <c r="AI92" i="10"/>
  <c r="W92" i="10"/>
  <c r="T92" i="10"/>
  <c r="S92" i="10"/>
  <c r="AY92" i="10"/>
  <c r="AM92" i="10"/>
  <c r="BC92" i="10"/>
  <c r="AZ92" i="10"/>
  <c r="P65" i="10"/>
  <c r="N73" i="10"/>
  <c r="R45" i="9"/>
  <c r="AP38" i="6"/>
  <c r="AR38" i="6" s="1"/>
  <c r="E65" i="6"/>
  <c r="C67" i="6"/>
  <c r="C8" i="6"/>
  <c r="N114" i="4"/>
  <c r="D173" i="11"/>
  <c r="E39" i="7"/>
  <c r="E25" i="13"/>
  <c r="F2" i="13"/>
  <c r="E11" i="13"/>
  <c r="E5" i="13"/>
  <c r="N81" i="10"/>
  <c r="N82" i="10" s="1"/>
  <c r="R38" i="9"/>
  <c r="E68" i="6"/>
  <c r="E31" i="7"/>
  <c r="AG46" i="6"/>
  <c r="D178" i="12"/>
  <c r="D175" i="12"/>
  <c r="D51" i="12"/>
  <c r="D81" i="11"/>
  <c r="D83" i="11" s="1"/>
  <c r="P88" i="10"/>
  <c r="O88" i="10"/>
  <c r="N88" i="10"/>
  <c r="D159" i="12"/>
  <c r="D111" i="12"/>
  <c r="Q58" i="10"/>
  <c r="Q56" i="10"/>
  <c r="Q33" i="10"/>
  <c r="Q70" i="10" s="1"/>
  <c r="Q11" i="10"/>
  <c r="Q16" i="10"/>
  <c r="Q21" i="10"/>
  <c r="Q87" i="10" s="1"/>
  <c r="Q5" i="10"/>
  <c r="Q53" i="10"/>
  <c r="Q10" i="10"/>
  <c r="Q15" i="10"/>
  <c r="Q61" i="10"/>
  <c r="Q20" i="10"/>
  <c r="Q54" i="10"/>
  <c r="Q9" i="10"/>
  <c r="Q4" i="10"/>
  <c r="Q85" i="10" s="1"/>
  <c r="Q57" i="10"/>
  <c r="Q14" i="10"/>
  <c r="Q60" i="10"/>
  <c r="Q19" i="10"/>
  <c r="Q8" i="10"/>
  <c r="R1" i="10"/>
  <c r="Q55" i="10"/>
  <c r="Q13" i="10"/>
  <c r="Q43" i="10"/>
  <c r="Q41" i="10"/>
  <c r="Q18" i="10"/>
  <c r="Q59" i="10"/>
  <c r="Q42" i="10"/>
  <c r="Q40" i="10"/>
  <c r="Q23" i="10"/>
  <c r="Q17" i="10"/>
  <c r="Q34" i="10"/>
  <c r="Q22" i="10"/>
  <c r="Q12" i="10"/>
  <c r="Q7" i="10"/>
  <c r="BI93" i="9"/>
  <c r="AS93" i="9"/>
  <c r="AC93" i="9"/>
  <c r="BH93" i="9"/>
  <c r="AR93" i="9"/>
  <c r="AB93" i="9"/>
  <c r="BG93" i="9"/>
  <c r="AQ93" i="9"/>
  <c r="AA93" i="9"/>
  <c r="BF93" i="9"/>
  <c r="AP93" i="9"/>
  <c r="Z93" i="9"/>
  <c r="BE93" i="9"/>
  <c r="AO93" i="9"/>
  <c r="Y93" i="9"/>
  <c r="BD93" i="9"/>
  <c r="AN93" i="9"/>
  <c r="X93" i="9"/>
  <c r="BC93" i="9"/>
  <c r="AM93" i="9"/>
  <c r="W93" i="9"/>
  <c r="BB93" i="9"/>
  <c r="AL93" i="9"/>
  <c r="V93" i="9"/>
  <c r="BA93" i="9"/>
  <c r="AK93" i="9"/>
  <c r="U93" i="9"/>
  <c r="AZ93" i="9"/>
  <c r="AJ93" i="9"/>
  <c r="T93" i="9"/>
  <c r="AY93" i="9"/>
  <c r="AI93" i="9"/>
  <c r="S93" i="9"/>
  <c r="AX93" i="9"/>
  <c r="AH93" i="9"/>
  <c r="R93" i="9"/>
  <c r="AW93" i="9"/>
  <c r="AG93" i="9"/>
  <c r="Q93" i="9"/>
  <c r="AU93" i="9"/>
  <c r="AE93" i="9"/>
  <c r="O93" i="9"/>
  <c r="AF93" i="9"/>
  <c r="AD93" i="9"/>
  <c r="P93" i="9"/>
  <c r="N93" i="9"/>
  <c r="AV93" i="9"/>
  <c r="AT93" i="9"/>
  <c r="BG95" i="9"/>
  <c r="AQ95" i="9"/>
  <c r="AA95" i="9"/>
  <c r="BF95" i="9"/>
  <c r="AP95" i="9"/>
  <c r="Z95" i="9"/>
  <c r="BE95" i="9"/>
  <c r="AO95" i="9"/>
  <c r="Y95" i="9"/>
  <c r="BD95" i="9"/>
  <c r="AN95" i="9"/>
  <c r="X95" i="9"/>
  <c r="BC95" i="9"/>
  <c r="AM95" i="9"/>
  <c r="W95" i="9"/>
  <c r="BB95" i="9"/>
  <c r="AL95" i="9"/>
  <c r="V95" i="9"/>
  <c r="BA95" i="9"/>
  <c r="AK95" i="9"/>
  <c r="U95" i="9"/>
  <c r="AZ95" i="9"/>
  <c r="AJ95" i="9"/>
  <c r="T95" i="9"/>
  <c r="AY95" i="9"/>
  <c r="AI95" i="9"/>
  <c r="S95" i="9"/>
  <c r="AX95" i="9"/>
  <c r="AH95" i="9"/>
  <c r="R95" i="9"/>
  <c r="AW95" i="9"/>
  <c r="AG95" i="9"/>
  <c r="Q95" i="9"/>
  <c r="AV95" i="9"/>
  <c r="AF95" i="9"/>
  <c r="P95" i="9"/>
  <c r="AU95" i="9"/>
  <c r="AE95" i="9"/>
  <c r="O95" i="9"/>
  <c r="BI95" i="9"/>
  <c r="AS95" i="9"/>
  <c r="AC95" i="9"/>
  <c r="BH95" i="9"/>
  <c r="AT95" i="9"/>
  <c r="AR95" i="9"/>
  <c r="AD95" i="9"/>
  <c r="AB95" i="9"/>
  <c r="N95" i="9"/>
  <c r="D38" i="7"/>
  <c r="E9" i="6"/>
  <c r="D64" i="7"/>
  <c r="E5" i="5" a="1"/>
  <c r="E5" i="5" s="1"/>
  <c r="E15" i="5" a="1"/>
  <c r="E15" i="5" s="1"/>
  <c r="F1" i="5"/>
  <c r="S35" i="2"/>
  <c r="AH44" i="6"/>
  <c r="C64" i="7"/>
  <c r="F9" i="15"/>
  <c r="G1" i="15"/>
  <c r="F26" i="13"/>
  <c r="G1" i="13"/>
  <c r="F7" i="13"/>
  <c r="F8" i="13" s="1"/>
  <c r="F6" i="13"/>
  <c r="P84" i="10"/>
  <c r="O84" i="10"/>
  <c r="N84" i="10"/>
  <c r="D54" i="7"/>
  <c r="AJ5" i="7"/>
  <c r="AI4" i="7"/>
  <c r="E18" i="6"/>
  <c r="E19" i="6" s="1"/>
  <c r="D173" i="12"/>
  <c r="D130" i="11"/>
  <c r="D111" i="11"/>
  <c r="D42" i="11"/>
  <c r="E7" i="6"/>
  <c r="D19" i="6"/>
  <c r="AF44" i="6"/>
  <c r="F7" i="7"/>
  <c r="F21" i="7"/>
  <c r="F20" i="7" s="1"/>
  <c r="F18" i="7"/>
  <c r="F19" i="7" s="1"/>
  <c r="F9" i="7"/>
  <c r="F68" i="7"/>
  <c r="G1" i="7"/>
  <c r="F33" i="7"/>
  <c r="E33" i="7"/>
  <c r="D130" i="12"/>
  <c r="D61" i="12"/>
  <c r="R22" i="9"/>
  <c r="P22" i="9"/>
  <c r="F23" i="9"/>
  <c r="O22" i="9"/>
  <c r="N22" i="9"/>
  <c r="Q22" i="9"/>
  <c r="R58" i="9"/>
  <c r="R42" i="9"/>
  <c r="R8" i="9"/>
  <c r="R63" i="9"/>
  <c r="R57" i="9"/>
  <c r="R18" i="9"/>
  <c r="R41" i="9"/>
  <c r="R7" i="9"/>
  <c r="R56" i="9"/>
  <c r="R12" i="9"/>
  <c r="R62" i="9"/>
  <c r="R55" i="9"/>
  <c r="R40" i="9"/>
  <c r="R35" i="9"/>
  <c r="R11" i="9"/>
  <c r="R5" i="9"/>
  <c r="R61" i="9"/>
  <c r="R54" i="9"/>
  <c r="R16" i="9"/>
  <c r="R34" i="9"/>
  <c r="R44" i="9"/>
  <c r="R10" i="9"/>
  <c r="R4" i="9"/>
  <c r="R33" i="9"/>
  <c r="R19" i="9"/>
  <c r="R9" i="9"/>
  <c r="R13" i="9"/>
  <c r="R17" i="9"/>
  <c r="R60" i="9"/>
  <c r="R59" i="9"/>
  <c r="R43" i="9"/>
  <c r="R37" i="9"/>
  <c r="R20" i="9"/>
  <c r="R48" i="9"/>
  <c r="R14" i="9"/>
  <c r="S1" i="9"/>
  <c r="S22" i="9" s="1"/>
  <c r="R15" i="9"/>
  <c r="R53" i="9"/>
  <c r="C32" i="7"/>
  <c r="D148" i="11"/>
  <c r="AV94" i="10"/>
  <c r="AF94" i="10"/>
  <c r="P94" i="10"/>
  <c r="AU94" i="10"/>
  <c r="AE94" i="10"/>
  <c r="O94" i="10"/>
  <c r="AT94" i="10"/>
  <c r="AD94" i="10"/>
  <c r="N94" i="10"/>
  <c r="BI94" i="10"/>
  <c r="AS94" i="10"/>
  <c r="AC94" i="10"/>
  <c r="BH94" i="10"/>
  <c r="AR94" i="10"/>
  <c r="AB94" i="10"/>
  <c r="BG94" i="10"/>
  <c r="AQ94" i="10"/>
  <c r="AA94" i="10"/>
  <c r="BF94" i="10"/>
  <c r="AP94" i="10"/>
  <c r="Z94" i="10"/>
  <c r="BE94" i="10"/>
  <c r="AO94" i="10"/>
  <c r="Y94" i="10"/>
  <c r="BD94" i="10"/>
  <c r="AN94" i="10"/>
  <c r="X94" i="10"/>
  <c r="BC94" i="10"/>
  <c r="AM94" i="10"/>
  <c r="W94" i="10"/>
  <c r="BB94" i="10"/>
  <c r="AL94" i="10"/>
  <c r="V94" i="10"/>
  <c r="AZ94" i="10"/>
  <c r="AJ94" i="10"/>
  <c r="T94" i="10"/>
  <c r="AY94" i="10"/>
  <c r="AI94" i="10"/>
  <c r="S94" i="10"/>
  <c r="U94" i="10"/>
  <c r="R94" i="10"/>
  <c r="Q94" i="10"/>
  <c r="BA94" i="10"/>
  <c r="AX94" i="10"/>
  <c r="AH94" i="10"/>
  <c r="AG94" i="10"/>
  <c r="AW94" i="10"/>
  <c r="AK94" i="10"/>
  <c r="O65" i="10"/>
  <c r="C8" i="7"/>
  <c r="C67" i="7"/>
  <c r="D8" i="6"/>
  <c r="D67" i="6"/>
  <c r="AN53" i="6"/>
  <c r="AQ19" i="6"/>
  <c r="E52" i="6"/>
  <c r="E53" i="6" s="1"/>
  <c r="E31" i="6"/>
  <c r="E32" i="6" s="1"/>
  <c r="S13" i="4"/>
  <c r="P86" i="10"/>
  <c r="O86" i="10"/>
  <c r="N86" i="10"/>
  <c r="D64" i="6"/>
  <c r="AO53" i="6"/>
  <c r="AH4" i="6"/>
  <c r="AI5" i="6"/>
  <c r="E67" i="7"/>
  <c r="I1" i="11"/>
  <c r="AU95" i="10"/>
  <c r="AE95" i="10"/>
  <c r="O95" i="10"/>
  <c r="AT95" i="10"/>
  <c r="AD95" i="10"/>
  <c r="N95" i="10"/>
  <c r="BI95" i="10"/>
  <c r="AS95" i="10"/>
  <c r="AC95" i="10"/>
  <c r="BH95" i="10"/>
  <c r="AR95" i="10"/>
  <c r="AB95" i="10"/>
  <c r="BG95" i="10"/>
  <c r="AQ95" i="10"/>
  <c r="AA95" i="10"/>
  <c r="BF95" i="10"/>
  <c r="AP95" i="10"/>
  <c r="Z95" i="10"/>
  <c r="BE95" i="10"/>
  <c r="AO95" i="10"/>
  <c r="Y95" i="10"/>
  <c r="BD95" i="10"/>
  <c r="AN95" i="10"/>
  <c r="X95" i="10"/>
  <c r="BC95" i="10"/>
  <c r="AM95" i="10"/>
  <c r="W95" i="10"/>
  <c r="BB95" i="10"/>
  <c r="AL95" i="10"/>
  <c r="V95" i="10"/>
  <c r="BA95" i="10"/>
  <c r="AK95" i="10"/>
  <c r="U95" i="10"/>
  <c r="AY95" i="10"/>
  <c r="AI95" i="10"/>
  <c r="S95" i="10"/>
  <c r="AX95" i="10"/>
  <c r="AH95" i="10"/>
  <c r="R95" i="10"/>
  <c r="AZ95" i="10"/>
  <c r="AW95" i="10"/>
  <c r="AV95" i="10"/>
  <c r="AJ95" i="10"/>
  <c r="AG95" i="10"/>
  <c r="AF95" i="10"/>
  <c r="T95" i="10"/>
  <c r="Q95" i="10"/>
  <c r="P95" i="10"/>
  <c r="D67" i="7"/>
  <c r="D8" i="7"/>
  <c r="AK47" i="7"/>
  <c r="AO38" i="7"/>
  <c r="E18" i="7"/>
  <c r="E19" i="7" s="1"/>
  <c r="E43" i="3"/>
  <c r="D39" i="12"/>
  <c r="D175" i="11"/>
  <c r="D13" i="11"/>
  <c r="D15" i="11" s="1"/>
  <c r="AW93" i="10"/>
  <c r="AG93" i="10"/>
  <c r="Q93" i="10"/>
  <c r="AV93" i="10"/>
  <c r="AF93" i="10"/>
  <c r="P93" i="10"/>
  <c r="AU93" i="10"/>
  <c r="AE93" i="10"/>
  <c r="O93" i="10"/>
  <c r="AT93" i="10"/>
  <c r="AD93" i="10"/>
  <c r="N93" i="10"/>
  <c r="BI93" i="10"/>
  <c r="AS93" i="10"/>
  <c r="AC93" i="10"/>
  <c r="BH93" i="10"/>
  <c r="AR93" i="10"/>
  <c r="AB93" i="10"/>
  <c r="BG93" i="10"/>
  <c r="AQ93" i="10"/>
  <c r="AA93" i="10"/>
  <c r="BF93" i="10"/>
  <c r="AP93" i="10"/>
  <c r="Z93" i="10"/>
  <c r="BE93" i="10"/>
  <c r="AO93" i="10"/>
  <c r="Y93" i="10"/>
  <c r="BD93" i="10"/>
  <c r="AN93" i="10"/>
  <c r="X93" i="10"/>
  <c r="BC93" i="10"/>
  <c r="AM93" i="10"/>
  <c r="W93" i="10"/>
  <c r="BA93" i="10"/>
  <c r="AK93" i="10"/>
  <c r="U93" i="10"/>
  <c r="AZ93" i="10"/>
  <c r="AJ93" i="10"/>
  <c r="T93" i="10"/>
  <c r="BB93" i="10"/>
  <c r="AY93" i="10"/>
  <c r="AX93" i="10"/>
  <c r="AL93" i="10"/>
  <c r="AI93" i="10"/>
  <c r="AH93" i="10"/>
  <c r="V93" i="10"/>
  <c r="S93" i="10"/>
  <c r="R93" i="10"/>
  <c r="E54" i="6"/>
  <c r="P87" i="10"/>
  <c r="O87" i="10"/>
  <c r="N87" i="10"/>
  <c r="R64" i="9"/>
  <c r="S46" i="9"/>
  <c r="R46" i="9"/>
  <c r="Q46" i="9"/>
  <c r="P46" i="9"/>
  <c r="F47" i="9"/>
  <c r="O46" i="9"/>
  <c r="N46" i="9"/>
  <c r="D19" i="7"/>
  <c r="AM19" i="7"/>
  <c r="AG44" i="6"/>
  <c r="AM46" i="7"/>
  <c r="AN46" i="7" s="1"/>
  <c r="E7" i="7"/>
  <c r="E64" i="7" s="1"/>
  <c r="D158" i="12"/>
  <c r="D117" i="12"/>
  <c r="D71" i="12"/>
  <c r="D74" i="12" s="1"/>
  <c r="S50" i="9"/>
  <c r="R50" i="9"/>
  <c r="Q50" i="9"/>
  <c r="P50" i="9"/>
  <c r="F51" i="9"/>
  <c r="O50" i="9"/>
  <c r="N50" i="9"/>
  <c r="AT96" i="10"/>
  <c r="AD96" i="10"/>
  <c r="N96" i="10"/>
  <c r="BI96" i="10"/>
  <c r="AS96" i="10"/>
  <c r="AC96" i="10"/>
  <c r="BH96" i="10"/>
  <c r="AR96" i="10"/>
  <c r="AB96" i="10"/>
  <c r="BG96" i="10"/>
  <c r="AQ96" i="10"/>
  <c r="AA96" i="10"/>
  <c r="BF96" i="10"/>
  <c r="AP96" i="10"/>
  <c r="Z96" i="10"/>
  <c r="BE96" i="10"/>
  <c r="AO96" i="10"/>
  <c r="Y96" i="10"/>
  <c r="BD96" i="10"/>
  <c r="AN96" i="10"/>
  <c r="X96" i="10"/>
  <c r="BC96" i="10"/>
  <c r="AM96" i="10"/>
  <c r="W96" i="10"/>
  <c r="BB96" i="10"/>
  <c r="AL96" i="10"/>
  <c r="V96" i="10"/>
  <c r="BA96" i="10"/>
  <c r="AK96" i="10"/>
  <c r="U96" i="10"/>
  <c r="AZ96" i="10"/>
  <c r="AJ96" i="10"/>
  <c r="T96" i="10"/>
  <c r="AX96" i="10"/>
  <c r="AH96" i="10"/>
  <c r="R96" i="10"/>
  <c r="AW96" i="10"/>
  <c r="AG96" i="10"/>
  <c r="Q96" i="10"/>
  <c r="O96" i="10"/>
  <c r="AY96" i="10"/>
  <c r="AV96" i="10"/>
  <c r="AU96" i="10"/>
  <c r="AI96" i="10"/>
  <c r="S96" i="10"/>
  <c r="P96" i="10"/>
  <c r="AF96" i="10"/>
  <c r="AE96" i="10"/>
  <c r="H81" i="15"/>
  <c r="D9" i="13"/>
  <c r="E4" i="13" s="1"/>
  <c r="E9" i="13" s="1"/>
  <c r="F4" i="13" s="1"/>
  <c r="D29" i="13"/>
  <c r="E24" i="13" s="1"/>
  <c r="H29" i="15"/>
  <c r="AM66" i="12"/>
  <c r="AT92" i="9"/>
  <c r="AT97" i="9" s="1"/>
  <c r="AT98" i="9" s="1"/>
  <c r="AD92" i="9"/>
  <c r="N92" i="9"/>
  <c r="N97" i="9" s="1"/>
  <c r="N98" i="9" s="1"/>
  <c r="BI92" i="9"/>
  <c r="BI97" i="9" s="1"/>
  <c r="BI98" i="9" s="1"/>
  <c r="AS92" i="9"/>
  <c r="AC92" i="9"/>
  <c r="BH92" i="9"/>
  <c r="BH97" i="9" s="1"/>
  <c r="BH98" i="9" s="1"/>
  <c r="AR92" i="9"/>
  <c r="AR97" i="9" s="1"/>
  <c r="AR98" i="9" s="1"/>
  <c r="AB92" i="9"/>
  <c r="AB97" i="9" s="1"/>
  <c r="AB98" i="9" s="1"/>
  <c r="BG92" i="9"/>
  <c r="BG97" i="9" s="1"/>
  <c r="BG98" i="9" s="1"/>
  <c r="AQ92" i="9"/>
  <c r="AQ97" i="9" s="1"/>
  <c r="AQ98" i="9" s="1"/>
  <c r="AA92" i="9"/>
  <c r="BF92" i="9"/>
  <c r="AP92" i="9"/>
  <c r="AP97" i="9" s="1"/>
  <c r="AP98" i="9" s="1"/>
  <c r="Z92" i="9"/>
  <c r="Z97" i="9" s="1"/>
  <c r="Z98" i="9" s="1"/>
  <c r="BE92" i="9"/>
  <c r="BE97" i="9" s="1"/>
  <c r="BE98" i="9" s="1"/>
  <c r="AO92" i="9"/>
  <c r="AO97" i="9" s="1"/>
  <c r="AO98" i="9" s="1"/>
  <c r="Y92" i="9"/>
  <c r="BD92" i="9"/>
  <c r="BD97" i="9" s="1"/>
  <c r="BD98" i="9" s="1"/>
  <c r="AN92" i="9"/>
  <c r="AN97" i="9" s="1"/>
  <c r="AN98" i="9" s="1"/>
  <c r="X92" i="9"/>
  <c r="X97" i="9" s="1"/>
  <c r="X98" i="9" s="1"/>
  <c r="BC92" i="9"/>
  <c r="AM92" i="9"/>
  <c r="AM97" i="9" s="1"/>
  <c r="AM98" i="9" s="1"/>
  <c r="W92" i="9"/>
  <c r="W97" i="9" s="1"/>
  <c r="W98" i="9" s="1"/>
  <c r="BB92" i="9"/>
  <c r="BB97" i="9" s="1"/>
  <c r="BB98" i="9" s="1"/>
  <c r="AL92" i="9"/>
  <c r="AL97" i="9" s="1"/>
  <c r="AL98" i="9" s="1"/>
  <c r="V92" i="9"/>
  <c r="V97" i="9" s="1"/>
  <c r="V98" i="9" s="1"/>
  <c r="BA92" i="9"/>
  <c r="AK92" i="9"/>
  <c r="U92" i="9"/>
  <c r="U97" i="9" s="1"/>
  <c r="U98" i="9" s="1"/>
  <c r="AZ92" i="9"/>
  <c r="AZ97" i="9" s="1"/>
  <c r="AZ98" i="9" s="1"/>
  <c r="AJ92" i="9"/>
  <c r="AJ97" i="9" s="1"/>
  <c r="AJ98" i="9" s="1"/>
  <c r="T92" i="9"/>
  <c r="T97" i="9" s="1"/>
  <c r="T98" i="9" s="1"/>
  <c r="AY92" i="9"/>
  <c r="AI92" i="9"/>
  <c r="AI97" i="9" s="1"/>
  <c r="AI98" i="9" s="1"/>
  <c r="S92" i="9"/>
  <c r="S97" i="9" s="1"/>
  <c r="S98" i="9" s="1"/>
  <c r="AX92" i="9"/>
  <c r="AX97" i="9" s="1"/>
  <c r="AX98" i="9" s="1"/>
  <c r="AH92" i="9"/>
  <c r="R92" i="9"/>
  <c r="R97" i="9" s="1"/>
  <c r="R98" i="9" s="1"/>
  <c r="AV92" i="9"/>
  <c r="AV97" i="9" s="1"/>
  <c r="AV98" i="9" s="1"/>
  <c r="AF92" i="9"/>
  <c r="P92" i="9"/>
  <c r="P97" i="9" s="1"/>
  <c r="P98" i="9" s="1"/>
  <c r="AW92" i="9"/>
  <c r="AW97" i="9" s="1"/>
  <c r="AW98" i="9" s="1"/>
  <c r="AU92" i="9"/>
  <c r="AG92" i="9"/>
  <c r="AG97" i="9" s="1"/>
  <c r="AG98" i="9" s="1"/>
  <c r="AE92" i="9"/>
  <c r="AE97" i="9" s="1"/>
  <c r="AE98" i="9" s="1"/>
  <c r="Q92" i="9"/>
  <c r="Q97" i="9" s="1"/>
  <c r="Q98" i="9" s="1"/>
  <c r="O92" i="9"/>
  <c r="O97" i="9" s="1"/>
  <c r="O98" i="9" s="1"/>
  <c r="C20" i="7"/>
  <c r="AP53" i="7"/>
  <c r="AQ38" i="6"/>
  <c r="D53" i="6"/>
  <c r="AN19" i="7"/>
  <c r="AH44" i="7"/>
  <c r="AI44" i="7" s="1"/>
  <c r="F114" i="4"/>
  <c r="G113" i="4"/>
  <c r="E52" i="7"/>
  <c r="E53" i="7" s="1"/>
  <c r="D39" i="11"/>
  <c r="D29" i="11"/>
  <c r="D30" i="11" s="1"/>
  <c r="E6" i="12" a="1"/>
  <c r="D107" i="12" a="1"/>
  <c r="D6" i="12" a="1"/>
  <c r="D171" i="12" a="1"/>
  <c r="G109" i="12" a="1"/>
  <c r="G107" i="11" a="1"/>
  <c r="H116" i="11" a="1"/>
  <c r="G60" i="12" a="1"/>
  <c r="G68" i="12" a="1"/>
  <c r="H26" i="11" a="1"/>
  <c r="G69" i="12" a="1"/>
  <c r="H60" i="11" a="1"/>
  <c r="G47" i="12" a="1"/>
  <c r="G12" i="12" a="1"/>
  <c r="G26" i="12" a="1"/>
  <c r="H38" i="11" a="1"/>
  <c r="H124" i="11" a="1"/>
  <c r="H9" i="11" a="1"/>
  <c r="H8" i="11" a="1"/>
  <c r="G50" i="12" a="1"/>
  <c r="H133" i="11" a="1"/>
  <c r="G147" i="12" a="1"/>
  <c r="H78" i="11" a="1"/>
  <c r="G38" i="12" a="1"/>
  <c r="D31" i="12" a="1"/>
  <c r="G41" i="12" a="1"/>
  <c r="G73" i="12" a="1"/>
  <c r="H48" i="11" a="1"/>
  <c r="G16" i="12" a="1"/>
  <c r="D118" i="12" a="1"/>
  <c r="H66" i="11" a="1"/>
  <c r="F6" i="11" a="1"/>
  <c r="H125" i="11" a="1"/>
  <c r="H59" i="11" a="1"/>
  <c r="H75" i="11" a="1"/>
  <c r="H110" i="11" a="1"/>
  <c r="H114" i="11" a="1"/>
  <c r="H43" i="11" a="1"/>
  <c r="G82" i="12" a="1"/>
  <c r="G104" i="12" a="1"/>
  <c r="H115" i="11" a="1"/>
  <c r="H50" i="11" a="1"/>
  <c r="G77" i="12" a="1"/>
  <c r="H55" i="11" a="1"/>
  <c r="G115" i="12" a="1"/>
  <c r="D6" i="11" a="1"/>
  <c r="G146" i="12" a="1"/>
  <c r="H58" i="11" a="1"/>
  <c r="G24" i="12" a="1"/>
  <c r="G145" i="12" a="1"/>
  <c r="H17" i="11" a="1"/>
  <c r="H35" i="11" a="1"/>
  <c r="G75" i="12" a="1"/>
  <c r="D140" i="12" a="1"/>
  <c r="F107" i="11" a="1"/>
  <c r="H129" i="11" a="1"/>
  <c r="H24" i="11" a="1"/>
  <c r="H47" i="11" a="1"/>
  <c r="G33" i="12" a="1"/>
  <c r="H72" i="11" a="1"/>
  <c r="G43" i="12" a="1"/>
  <c r="G52" i="12" a="1"/>
  <c r="H77" i="11" a="1"/>
  <c r="G72" i="12" a="1"/>
  <c r="G53" i="12" a="1"/>
  <c r="H52" i="11" a="1"/>
  <c r="D112" i="11" a="1"/>
  <c r="G76" i="12" a="1"/>
  <c r="G144" i="12" a="1"/>
  <c r="H134" i="11" a="1"/>
  <c r="G56" i="12" a="1"/>
  <c r="H70" i="11" a="1"/>
  <c r="H135" i="11" a="1"/>
  <c r="G6" i="11" a="1"/>
  <c r="G58" i="12" a="1"/>
  <c r="H49" i="11" a="1"/>
  <c r="G28" i="12" a="1"/>
  <c r="G110" i="12" a="1"/>
  <c r="H4" i="11" a="1"/>
  <c r="H136" i="11" a="1"/>
  <c r="G135" i="12" a="1"/>
  <c r="H54" i="11" a="1"/>
  <c r="D140" i="11" a="1"/>
  <c r="H37" i="11" a="1"/>
  <c r="G4" i="12" a="1"/>
  <c r="H14" i="11" a="1"/>
  <c r="G127" i="12" a="1"/>
  <c r="H41" i="11" a="1"/>
  <c r="H79" i="11" a="1"/>
  <c r="G114" i="12" a="1"/>
  <c r="H28" i="11" a="1"/>
  <c r="H45" i="11" a="1"/>
  <c r="H109" i="11" a="1"/>
  <c r="D31" i="11" a="1"/>
  <c r="D149" i="12" a="1"/>
  <c r="G125" i="12" a="1"/>
  <c r="H11" i="11" a="1"/>
  <c r="H144" i="11" a="1"/>
  <c r="G57" i="12" a="1"/>
  <c r="D171" i="11" a="1"/>
  <c r="G44" i="12" a="1"/>
  <c r="F107" i="12" a="1"/>
  <c r="G70" i="12" a="1"/>
  <c r="H44" i="11" a="1"/>
  <c r="G14" i="12" a="1"/>
  <c r="H82" i="11" a="1"/>
  <c r="H25" i="11" a="1"/>
  <c r="H10" i="11" a="1"/>
  <c r="H53" i="11" a="1"/>
  <c r="G40" i="12" a="1"/>
  <c r="E107" i="11" a="1"/>
  <c r="G35" i="12" a="1"/>
  <c r="G25" i="12" a="1"/>
  <c r="H68" i="11" a="1"/>
  <c r="G45" i="12" a="1"/>
  <c r="G116" i="12" a="1"/>
  <c r="G65" i="12" a="1"/>
  <c r="G80" i="12" a="1"/>
  <c r="H69" i="11" a="1"/>
  <c r="G34" i="12" a="1"/>
  <c r="H56" i="11" a="1"/>
  <c r="H67" i="11" a="1"/>
  <c r="G78" i="12" a="1"/>
  <c r="G8" i="12" a="1"/>
  <c r="E107" i="12" a="1"/>
  <c r="H146" i="11" a="1"/>
  <c r="H123" i="11" a="1"/>
  <c r="D107" i="11" a="1"/>
  <c r="G27" i="12" a="1"/>
  <c r="G55" i="12" a="1"/>
  <c r="H36" i="11" a="1"/>
  <c r="H145" i="11" a="1"/>
  <c r="G54" i="12" a="1"/>
  <c r="G59" i="12" a="1"/>
  <c r="H76" i="11" a="1"/>
  <c r="G79" i="12" a="1"/>
  <c r="G66" i="12" a="1"/>
  <c r="D112" i="12" a="1"/>
  <c r="G49" i="12" a="1"/>
  <c r="G134" i="12" a="1"/>
  <c r="H57" i="11" a="1"/>
  <c r="G36" i="12" a="1"/>
  <c r="H27" i="11" a="1"/>
  <c r="H80" i="11" a="1"/>
  <c r="H34" i="11" a="1"/>
  <c r="D149" i="11" a="1"/>
  <c r="G136" i="12" a="1"/>
  <c r="G37" i="12" a="1"/>
  <c r="H33" i="11" a="1"/>
  <c r="H127" i="11" a="1"/>
  <c r="H147" i="11" a="1"/>
  <c r="H16" i="11" a="1"/>
  <c r="H65" i="11" a="1"/>
  <c r="G129" i="12" a="1"/>
  <c r="G10" i="12" a="1"/>
  <c r="H73" i="11" a="1"/>
  <c r="G123" i="12" a="1"/>
  <c r="F6" i="12" a="1"/>
  <c r="G11" i="12" a="1"/>
  <c r="G48" i="12" a="1"/>
  <c r="H12" i="11" a="1"/>
  <c r="G9" i="12" a="1"/>
  <c r="G124" i="12" a="1"/>
  <c r="H40" i="11" a="1"/>
  <c r="G133" i="12" a="1"/>
  <c r="H104" i="11" a="1"/>
  <c r="G67" i="12" a="1"/>
  <c r="G17" i="12" a="1"/>
  <c r="E6" i="11" a="1"/>
  <c r="E6" i="11" l="1"/>
  <c r="D107" i="11"/>
  <c r="D6" i="11"/>
  <c r="D6" i="12"/>
  <c r="D107" i="12"/>
  <c r="E6" i="12"/>
  <c r="D131" i="11"/>
  <c r="D178" i="11"/>
  <c r="D117" i="11"/>
  <c r="E13" i="11"/>
  <c r="D131" i="12"/>
  <c r="D141" i="12" s="1"/>
  <c r="D171" i="12"/>
  <c r="D19" i="11"/>
  <c r="D20" i="11" s="1"/>
  <c r="F160" i="12"/>
  <c r="E42" i="12"/>
  <c r="D31" i="12"/>
  <c r="D19" i="12"/>
  <c r="D20" i="12" s="1"/>
  <c r="E29" i="11"/>
  <c r="E30" i="11" s="1"/>
  <c r="E170" i="12"/>
  <c r="AK97" i="9"/>
  <c r="AK98" i="9" s="1"/>
  <c r="BF97" i="9"/>
  <c r="BF98" i="9" s="1"/>
  <c r="AD97" i="9"/>
  <c r="AD98" i="9" s="1"/>
  <c r="AS97" i="9"/>
  <c r="AS98" i="9" s="1"/>
  <c r="Y97" i="9"/>
  <c r="Y98" i="9" s="1"/>
  <c r="AY97" i="9"/>
  <c r="AY98" i="9" s="1"/>
  <c r="Y97" i="10"/>
  <c r="Y98" i="10" s="1"/>
  <c r="AD97" i="10"/>
  <c r="AD98" i="10" s="1"/>
  <c r="D84" i="11"/>
  <c r="G169" i="11"/>
  <c r="D179" i="12"/>
  <c r="E29" i="12"/>
  <c r="E30" i="12" s="1"/>
  <c r="F130" i="12"/>
  <c r="F174" i="11"/>
  <c r="F61" i="12"/>
  <c r="F160" i="11"/>
  <c r="E130" i="11"/>
  <c r="D84" i="12"/>
  <c r="F81" i="12"/>
  <c r="F83" i="12" s="1"/>
  <c r="F39" i="11"/>
  <c r="E39" i="11"/>
  <c r="E39" i="12"/>
  <c r="D62" i="12"/>
  <c r="G168" i="11"/>
  <c r="E71" i="11"/>
  <c r="E74" i="11" s="1"/>
  <c r="D62" i="11"/>
  <c r="G130" i="11"/>
  <c r="E126" i="12"/>
  <c r="G160" i="11"/>
  <c r="F126" i="11"/>
  <c r="F131" i="11" s="1"/>
  <c r="E170" i="11"/>
  <c r="E130" i="12"/>
  <c r="F162" i="11"/>
  <c r="D163" i="12"/>
  <c r="E51" i="11"/>
  <c r="H25" i="11"/>
  <c r="H82" i="11"/>
  <c r="D112" i="12"/>
  <c r="G17" i="12"/>
  <c r="G28" i="12"/>
  <c r="G37" i="12"/>
  <c r="G115" i="12"/>
  <c r="G168" i="12" s="1"/>
  <c r="G127" i="12"/>
  <c r="H33" i="11"/>
  <c r="H52" i="11"/>
  <c r="H123" i="11"/>
  <c r="H55" i="11"/>
  <c r="H59" i="11"/>
  <c r="H78" i="11"/>
  <c r="H129" i="11"/>
  <c r="H162" i="11" s="1"/>
  <c r="H146" i="11"/>
  <c r="D112" i="11"/>
  <c r="G14" i="12"/>
  <c r="G47" i="12"/>
  <c r="G67" i="12"/>
  <c r="G116" i="12"/>
  <c r="G169" i="12" s="1"/>
  <c r="G136" i="12"/>
  <c r="D149" i="12"/>
  <c r="H14" i="11"/>
  <c r="G38" i="12"/>
  <c r="G53" i="12"/>
  <c r="G66" i="12"/>
  <c r="G77" i="12"/>
  <c r="G123" i="12"/>
  <c r="G147" i="12"/>
  <c r="F107" i="11"/>
  <c r="E107" i="12"/>
  <c r="H49" i="11"/>
  <c r="H44" i="11"/>
  <c r="H60" i="11"/>
  <c r="H104" i="11"/>
  <c r="H105" i="11" s="1"/>
  <c r="H106" i="11" s="1"/>
  <c r="H125" i="11"/>
  <c r="H160" i="11" s="1"/>
  <c r="D149" i="11"/>
  <c r="G4" i="12"/>
  <c r="G5" i="12" s="1"/>
  <c r="G45" i="12"/>
  <c r="G72" i="12"/>
  <c r="G79" i="12"/>
  <c r="H50" i="11"/>
  <c r="H73" i="11"/>
  <c r="H133" i="11"/>
  <c r="D140" i="12"/>
  <c r="G8" i="12"/>
  <c r="G58" i="12"/>
  <c r="G70" i="12"/>
  <c r="G69" i="12"/>
  <c r="G133" i="12"/>
  <c r="F6" i="11"/>
  <c r="H34" i="11"/>
  <c r="D31" i="11"/>
  <c r="H37" i="11"/>
  <c r="H68" i="11"/>
  <c r="H77" i="11"/>
  <c r="H76" i="11"/>
  <c r="H115" i="11"/>
  <c r="H168" i="11" s="1"/>
  <c r="G10" i="12"/>
  <c r="G50" i="12"/>
  <c r="G75" i="12"/>
  <c r="G78" i="12"/>
  <c r="G6" i="11"/>
  <c r="F107" i="12"/>
  <c r="H26" i="11"/>
  <c r="H40" i="11"/>
  <c r="H66" i="11"/>
  <c r="H80" i="11"/>
  <c r="H109" i="11"/>
  <c r="D140" i="11"/>
  <c r="G25" i="12"/>
  <c r="G52" i="12"/>
  <c r="G59" i="12"/>
  <c r="G104" i="12"/>
  <c r="G105" i="12" s="1"/>
  <c r="G106" i="12" s="1"/>
  <c r="H8" i="11"/>
  <c r="H35" i="11"/>
  <c r="H67" i="11"/>
  <c r="H135" i="11"/>
  <c r="H174" i="11" s="1"/>
  <c r="G44" i="12"/>
  <c r="G68" i="12"/>
  <c r="G124" i="12"/>
  <c r="D118" i="12"/>
  <c r="H27" i="11"/>
  <c r="H45" i="11"/>
  <c r="H54" i="11"/>
  <c r="G35" i="12"/>
  <c r="G43" i="12"/>
  <c r="G54" i="12"/>
  <c r="G82" i="12"/>
  <c r="G129" i="12"/>
  <c r="G162" i="12" s="1"/>
  <c r="H9" i="11"/>
  <c r="H17" i="11"/>
  <c r="H56" i="11"/>
  <c r="H70" i="11"/>
  <c r="D171" i="11"/>
  <c r="G9" i="12"/>
  <c r="G16" i="12"/>
  <c r="G36" i="12"/>
  <c r="G60" i="12"/>
  <c r="G135" i="12"/>
  <c r="G174" i="12" s="1"/>
  <c r="E107" i="11"/>
  <c r="H72" i="11"/>
  <c r="H28" i="11"/>
  <c r="H43" i="11"/>
  <c r="H65" i="11"/>
  <c r="H124" i="11"/>
  <c r="H145" i="11"/>
  <c r="G34" i="12"/>
  <c r="G56" i="12"/>
  <c r="G57" i="12"/>
  <c r="G145" i="12"/>
  <c r="H12" i="11"/>
  <c r="H48" i="11"/>
  <c r="H57" i="11"/>
  <c r="H116" i="11"/>
  <c r="H169" i="11" s="1"/>
  <c r="H136" i="11"/>
  <c r="G40" i="12"/>
  <c r="G33" i="12"/>
  <c r="G114" i="12"/>
  <c r="H114" i="11"/>
  <c r="H16" i="11"/>
  <c r="H38" i="11"/>
  <c r="H36" i="11"/>
  <c r="H69" i="11"/>
  <c r="H134" i="11"/>
  <c r="H144" i="11"/>
  <c r="G24" i="12"/>
  <c r="G48" i="12"/>
  <c r="G73" i="12"/>
  <c r="G134" i="12"/>
  <c r="G107" i="11"/>
  <c r="H4" i="11"/>
  <c r="H5" i="11" s="1"/>
  <c r="H53" i="11"/>
  <c r="H47" i="11"/>
  <c r="H79" i="11"/>
  <c r="H110" i="11"/>
  <c r="H167" i="11" s="1"/>
  <c r="H147" i="11"/>
  <c r="G26" i="12"/>
  <c r="G55" i="12"/>
  <c r="G80" i="12"/>
  <c r="G144" i="12"/>
  <c r="H11" i="11"/>
  <c r="H58" i="11"/>
  <c r="G11" i="12"/>
  <c r="G41" i="12"/>
  <c r="G49" i="12"/>
  <c r="G109" i="12"/>
  <c r="G110" i="12"/>
  <c r="G167" i="12" s="1"/>
  <c r="H10" i="11"/>
  <c r="H24" i="11"/>
  <c r="H41" i="11"/>
  <c r="H75" i="11"/>
  <c r="H127" i="11"/>
  <c r="G12" i="12"/>
  <c r="G27" i="12"/>
  <c r="G65" i="12"/>
  <c r="G76" i="12"/>
  <c r="G125" i="12"/>
  <c r="G160" i="12" s="1"/>
  <c r="G146" i="12"/>
  <c r="F6" i="12"/>
  <c r="AN47" i="7"/>
  <c r="AJ5" i="6"/>
  <c r="AI4" i="6"/>
  <c r="AG47" i="6"/>
  <c r="AJ46" i="6"/>
  <c r="AZ97" i="10"/>
  <c r="AZ98" i="10" s="1"/>
  <c r="BI97" i="10"/>
  <c r="BI98" i="10" s="1"/>
  <c r="F167" i="12"/>
  <c r="Q72" i="10"/>
  <c r="AN97" i="10"/>
  <c r="AN98" i="10" s="1"/>
  <c r="AU97" i="9"/>
  <c r="AU98" i="9" s="1"/>
  <c r="BA97" i="9"/>
  <c r="BA98" i="9" s="1"/>
  <c r="AA97" i="9"/>
  <c r="AA98" i="9" s="1"/>
  <c r="AP19" i="7"/>
  <c r="AQ19" i="7" s="1"/>
  <c r="F31" i="7"/>
  <c r="F64" i="7" s="1"/>
  <c r="AJ4" i="7"/>
  <c r="AK5" i="7"/>
  <c r="F5" i="5" a="1"/>
  <c r="F5" i="5" s="1"/>
  <c r="F15" i="5" a="1"/>
  <c r="F15" i="5" s="1"/>
  <c r="G1" i="5"/>
  <c r="Q88" i="10"/>
  <c r="BC97" i="10"/>
  <c r="BC98" i="10" s="1"/>
  <c r="BD97" i="10"/>
  <c r="BD98" i="10" s="1"/>
  <c r="N97" i="10"/>
  <c r="N98" i="10" s="1"/>
  <c r="G46" i="11"/>
  <c r="G148" i="11"/>
  <c r="AM97" i="10"/>
  <c r="AM98" i="10" s="1"/>
  <c r="E178" i="12"/>
  <c r="E175" i="12"/>
  <c r="E159" i="12"/>
  <c r="E111" i="12"/>
  <c r="R23" i="9"/>
  <c r="P23" i="9"/>
  <c r="F24" i="9"/>
  <c r="O23" i="9"/>
  <c r="N23" i="9"/>
  <c r="S23" i="9"/>
  <c r="Q23" i="9"/>
  <c r="F52" i="7"/>
  <c r="F53" i="7" s="1"/>
  <c r="R61" i="10"/>
  <c r="R41" i="10"/>
  <c r="R16" i="10"/>
  <c r="R21" i="10"/>
  <c r="R5" i="10"/>
  <c r="R53" i="10"/>
  <c r="R10" i="10"/>
  <c r="R15" i="10"/>
  <c r="R20" i="10"/>
  <c r="R54" i="10"/>
  <c r="R9" i="10"/>
  <c r="R4" i="10"/>
  <c r="R57" i="10"/>
  <c r="R14" i="10"/>
  <c r="R60" i="10"/>
  <c r="R19" i="10"/>
  <c r="R8" i="10"/>
  <c r="S1" i="10"/>
  <c r="R55" i="10"/>
  <c r="R13" i="10"/>
  <c r="R43" i="10"/>
  <c r="R18" i="10"/>
  <c r="R59" i="10"/>
  <c r="R42" i="10"/>
  <c r="R40" i="10"/>
  <c r="R23" i="10"/>
  <c r="R34" i="10"/>
  <c r="R12" i="10"/>
  <c r="R7" i="10"/>
  <c r="R22" i="10"/>
  <c r="R33" i="10"/>
  <c r="R58" i="10"/>
  <c r="R56" i="10"/>
  <c r="R11" i="10"/>
  <c r="R17" i="10"/>
  <c r="AY97" i="10"/>
  <c r="AY98" i="10" s="1"/>
  <c r="AO97" i="10"/>
  <c r="AO98" i="10" s="1"/>
  <c r="AT97" i="10"/>
  <c r="AT98" i="10" s="1"/>
  <c r="F40" i="6"/>
  <c r="F39" i="6" s="1"/>
  <c r="E81" i="12"/>
  <c r="E83" i="12" s="1"/>
  <c r="G158" i="11"/>
  <c r="G117" i="11"/>
  <c r="F39" i="12"/>
  <c r="G81" i="11"/>
  <c r="G83" i="11" s="1"/>
  <c r="F159" i="11"/>
  <c r="F111" i="11"/>
  <c r="G29" i="11"/>
  <c r="G30" i="11" s="1"/>
  <c r="F18" i="11"/>
  <c r="I81" i="15"/>
  <c r="AF97" i="9"/>
  <c r="AF98" i="9" s="1"/>
  <c r="E32" i="7"/>
  <c r="F55" i="7"/>
  <c r="P81" i="10"/>
  <c r="P82" i="10" s="1"/>
  <c r="S97" i="10"/>
  <c r="S98" i="10" s="1"/>
  <c r="BE97" i="10"/>
  <c r="BE98" i="10" s="1"/>
  <c r="O97" i="10"/>
  <c r="O98" i="10" s="1"/>
  <c r="AO46" i="7"/>
  <c r="F33" i="6"/>
  <c r="F32" i="6" s="1"/>
  <c r="E20" i="7"/>
  <c r="E46" i="12"/>
  <c r="F51" i="11"/>
  <c r="F13" i="12"/>
  <c r="F15" i="12" s="1"/>
  <c r="F61" i="11"/>
  <c r="E15" i="11"/>
  <c r="G162" i="11"/>
  <c r="G18" i="11"/>
  <c r="R71" i="9"/>
  <c r="Q69" i="10"/>
  <c r="E54" i="7"/>
  <c r="T97" i="10"/>
  <c r="T98" i="10" s="1"/>
  <c r="Z97" i="10"/>
  <c r="Z98" i="10" s="1"/>
  <c r="AE97" i="10"/>
  <c r="AE98" i="10" s="1"/>
  <c r="H35" i="3"/>
  <c r="AK44" i="7"/>
  <c r="AN66" i="12"/>
  <c r="P47" i="9"/>
  <c r="O47" i="9"/>
  <c r="N47" i="9"/>
  <c r="N71" i="9" s="1"/>
  <c r="S47" i="9"/>
  <c r="R47" i="9"/>
  <c r="Q47" i="9"/>
  <c r="AJ44" i="7"/>
  <c r="AL44" i="7" s="1"/>
  <c r="AI44" i="6"/>
  <c r="N89" i="10"/>
  <c r="N90" i="10" s="1"/>
  <c r="D141" i="11"/>
  <c r="W97" i="10"/>
  <c r="W98" i="10" s="1"/>
  <c r="AP97" i="10"/>
  <c r="AP98" i="10" s="1"/>
  <c r="AU97" i="10"/>
  <c r="AU98" i="10" s="1"/>
  <c r="F68" i="6"/>
  <c r="D119" i="11"/>
  <c r="G126" i="11"/>
  <c r="E173" i="12"/>
  <c r="E139" i="12"/>
  <c r="E159" i="11"/>
  <c r="E111" i="11"/>
  <c r="G51" i="11"/>
  <c r="F169" i="12"/>
  <c r="F13" i="11"/>
  <c r="F15" i="11" s="1"/>
  <c r="F162" i="12"/>
  <c r="AH97" i="9"/>
  <c r="AH98" i="9" s="1"/>
  <c r="BC97" i="9"/>
  <c r="BC98" i="9" s="1"/>
  <c r="AC97" i="9"/>
  <c r="AC98" i="9" s="1"/>
  <c r="D179" i="11"/>
  <c r="AI97" i="10"/>
  <c r="AI98" i="10" s="1"/>
  <c r="BF97" i="10"/>
  <c r="BF98" i="10" s="1"/>
  <c r="P97" i="10"/>
  <c r="P98" i="10" s="1"/>
  <c r="F37" i="6"/>
  <c r="F38" i="6" s="1"/>
  <c r="F9" i="6"/>
  <c r="D163" i="11"/>
  <c r="G167" i="11"/>
  <c r="F42" i="12"/>
  <c r="E173" i="11"/>
  <c r="E139" i="11"/>
  <c r="D119" i="12"/>
  <c r="E20" i="6"/>
  <c r="G55" i="7"/>
  <c r="G37" i="7"/>
  <c r="G38" i="7" s="1"/>
  <c r="G52" i="7"/>
  <c r="G7" i="7"/>
  <c r="G31" i="7"/>
  <c r="G68" i="7"/>
  <c r="G65" i="7"/>
  <c r="H1" i="7"/>
  <c r="G18" i="7" s="1"/>
  <c r="G19" i="7" s="1"/>
  <c r="G33" i="7"/>
  <c r="G40" i="7"/>
  <c r="G9" i="7"/>
  <c r="E64" i="6"/>
  <c r="G26" i="13"/>
  <c r="G7" i="13"/>
  <c r="G8" i="13" s="1"/>
  <c r="G6" i="13"/>
  <c r="H1" i="13"/>
  <c r="AJ97" i="10"/>
  <c r="AJ98" i="10" s="1"/>
  <c r="AA97" i="10"/>
  <c r="AA98" i="10" s="1"/>
  <c r="AF97" i="10"/>
  <c r="AF98" i="10" s="1"/>
  <c r="AH46" i="6"/>
  <c r="F18" i="6"/>
  <c r="F19" i="6" s="1"/>
  <c r="P74" i="10"/>
  <c r="G39" i="11"/>
  <c r="F46" i="12"/>
  <c r="F126" i="12"/>
  <c r="E158" i="11"/>
  <c r="E117" i="11"/>
  <c r="I29" i="15"/>
  <c r="AO19" i="7"/>
  <c r="O89" i="10"/>
  <c r="O90" i="10" s="1"/>
  <c r="Q65" i="10"/>
  <c r="Q68" i="10"/>
  <c r="U97" i="10"/>
  <c r="U98" i="10" s="1"/>
  <c r="AQ97" i="10"/>
  <c r="AQ98" i="10" s="1"/>
  <c r="AV97" i="10"/>
  <c r="AV98" i="10" s="1"/>
  <c r="F43" i="3"/>
  <c r="E46" i="11"/>
  <c r="F148" i="11"/>
  <c r="G61" i="11"/>
  <c r="G178" i="11"/>
  <c r="G175" i="11"/>
  <c r="E126" i="11"/>
  <c r="F46" i="11"/>
  <c r="E158" i="12"/>
  <c r="E117" i="12"/>
  <c r="E148" i="11"/>
  <c r="E18" i="11"/>
  <c r="AT38" i="6"/>
  <c r="J1" i="11"/>
  <c r="Q86" i="10"/>
  <c r="AP53" i="6"/>
  <c r="R70" i="9"/>
  <c r="F37" i="7"/>
  <c r="F38" i="7" s="1"/>
  <c r="AQ53" i="7"/>
  <c r="F25" i="13"/>
  <c r="G2" i="13"/>
  <c r="F11" i="13"/>
  <c r="F5" i="13"/>
  <c r="AS38" i="6"/>
  <c r="AK97" i="10"/>
  <c r="AK98" i="10" s="1"/>
  <c r="BG97" i="10"/>
  <c r="BG98" i="10" s="1"/>
  <c r="Q97" i="10"/>
  <c r="Q98" i="10" s="1"/>
  <c r="AI46" i="6"/>
  <c r="F158" i="12"/>
  <c r="F117" i="12"/>
  <c r="F29" i="11"/>
  <c r="F30" i="11" s="1"/>
  <c r="G71" i="11"/>
  <c r="G74" i="11" s="1"/>
  <c r="E81" i="11"/>
  <c r="E83" i="11" s="1"/>
  <c r="F51" i="12"/>
  <c r="E27" i="13"/>
  <c r="E28" i="13" s="1"/>
  <c r="R68" i="9"/>
  <c r="F40" i="7"/>
  <c r="F39" i="7" s="1"/>
  <c r="AP38" i="7"/>
  <c r="H1" i="15"/>
  <c r="Q71" i="10"/>
  <c r="O81" i="10"/>
  <c r="O82" i="10" s="1"/>
  <c r="BA97" i="10"/>
  <c r="BA98" i="10" s="1"/>
  <c r="AB97" i="10"/>
  <c r="AB98" i="10" s="1"/>
  <c r="AG97" i="10"/>
  <c r="AG98" i="10" s="1"/>
  <c r="O74" i="10"/>
  <c r="I1" i="12"/>
  <c r="AR19" i="6"/>
  <c r="E178" i="11"/>
  <c r="E175" i="11"/>
  <c r="F29" i="12"/>
  <c r="F30" i="12" s="1"/>
  <c r="F159" i="12"/>
  <c r="F111" i="12"/>
  <c r="G173" i="11"/>
  <c r="G139" i="11"/>
  <c r="E61" i="12"/>
  <c r="G13" i="11"/>
  <c r="G15" i="11" s="1"/>
  <c r="E61" i="11"/>
  <c r="F71" i="11"/>
  <c r="F74" i="11" s="1"/>
  <c r="E148" i="12"/>
  <c r="Q51" i="9"/>
  <c r="Q71" i="9" s="1"/>
  <c r="P51" i="9"/>
  <c r="P71" i="9" s="1"/>
  <c r="O51" i="9"/>
  <c r="O71" i="9" s="1"/>
  <c r="N51" i="9"/>
  <c r="S51" i="9"/>
  <c r="R51" i="9"/>
  <c r="T51" i="9"/>
  <c r="S20" i="4"/>
  <c r="S14" i="4"/>
  <c r="R72" i="9"/>
  <c r="F65" i="7"/>
  <c r="P89" i="10"/>
  <c r="P90" i="10" s="1"/>
  <c r="V97" i="10"/>
  <c r="V98" i="10" s="1"/>
  <c r="AR97" i="10"/>
  <c r="AR98" i="10" s="1"/>
  <c r="AW97" i="10"/>
  <c r="AW98" i="10" s="1"/>
  <c r="G68" i="6"/>
  <c r="G65" i="6"/>
  <c r="H1" i="6"/>
  <c r="G40" i="6"/>
  <c r="G55" i="6"/>
  <c r="G52" i="6"/>
  <c r="G53" i="6" s="1"/>
  <c r="G18" i="6"/>
  <c r="G19" i="6" s="1"/>
  <c r="G31" i="6"/>
  <c r="AK66" i="11"/>
  <c r="G1" i="3"/>
  <c r="F9" i="3" a="1"/>
  <c r="F9" i="3" s="1"/>
  <c r="AR53" i="7"/>
  <c r="E71" i="12"/>
  <c r="E74" i="12" s="1"/>
  <c r="F174" i="12"/>
  <c r="F168" i="11"/>
  <c r="N74" i="10"/>
  <c r="AL97" i="10"/>
  <c r="AL98" i="10" s="1"/>
  <c r="BH97" i="10"/>
  <c r="BH98" i="10" s="1"/>
  <c r="R97" i="10"/>
  <c r="R98" i="10" s="1"/>
  <c r="F52" i="6"/>
  <c r="F53" i="6" s="1"/>
  <c r="F71" i="12"/>
  <c r="F74" i="12" s="1"/>
  <c r="F178" i="11"/>
  <c r="F175" i="11"/>
  <c r="E15" i="12"/>
  <c r="E19" i="12" s="1"/>
  <c r="E20" i="12" s="1"/>
  <c r="F9" i="13"/>
  <c r="G4" i="13" s="1"/>
  <c r="G114" i="4"/>
  <c r="AM47" i="7"/>
  <c r="AP46" i="7"/>
  <c r="E8" i="7"/>
  <c r="S63" i="9"/>
  <c r="S13" i="9"/>
  <c r="S57" i="9"/>
  <c r="S41" i="9"/>
  <c r="S7" i="9"/>
  <c r="S56" i="9"/>
  <c r="S12" i="9"/>
  <c r="S62" i="9"/>
  <c r="S17" i="9"/>
  <c r="S55" i="9"/>
  <c r="S40" i="9"/>
  <c r="S35" i="9"/>
  <c r="S11" i="9"/>
  <c r="S5" i="9"/>
  <c r="S61" i="9"/>
  <c r="S54" i="9"/>
  <c r="S16" i="9"/>
  <c r="S34" i="9"/>
  <c r="S44" i="9"/>
  <c r="S10" i="9"/>
  <c r="S4" i="9"/>
  <c r="S60" i="9"/>
  <c r="S53" i="9"/>
  <c r="S48" i="9"/>
  <c r="S15" i="9"/>
  <c r="S43" i="9"/>
  <c r="S59" i="9"/>
  <c r="S33" i="9"/>
  <c r="S58" i="9"/>
  <c r="S42" i="9"/>
  <c r="S37" i="9"/>
  <c r="S20" i="9"/>
  <c r="S14" i="9"/>
  <c r="S18" i="9"/>
  <c r="T1" i="9"/>
  <c r="S8" i="9"/>
  <c r="S36" i="9"/>
  <c r="S19" i="9"/>
  <c r="S9" i="9"/>
  <c r="S38" i="9"/>
  <c r="S49" i="9"/>
  <c r="S45" i="9"/>
  <c r="S64" i="9"/>
  <c r="S21" i="9"/>
  <c r="F8" i="7"/>
  <c r="E67" i="6"/>
  <c r="E8" i="6"/>
  <c r="BB97" i="10"/>
  <c r="BB98" i="10" s="1"/>
  <c r="AC97" i="10"/>
  <c r="AC98" i="10" s="1"/>
  <c r="AH97" i="10"/>
  <c r="AH98" i="10" s="1"/>
  <c r="F167" i="11"/>
  <c r="G174" i="11"/>
  <c r="F173" i="11"/>
  <c r="F139" i="11"/>
  <c r="F169" i="11"/>
  <c r="F173" i="12"/>
  <c r="F139" i="12"/>
  <c r="F81" i="11"/>
  <c r="F83" i="11" s="1"/>
  <c r="F148" i="12"/>
  <c r="AJ44" i="6"/>
  <c r="AK44" i="6" s="1"/>
  <c r="Q84" i="10"/>
  <c r="Q89" i="10" s="1"/>
  <c r="Q90" i="10" s="1"/>
  <c r="X97" i="10"/>
  <c r="X98" i="10" s="1"/>
  <c r="AS97" i="10"/>
  <c r="AS98" i="10" s="1"/>
  <c r="AX97" i="10"/>
  <c r="AX98" i="10" s="1"/>
  <c r="G159" i="11"/>
  <c r="G111" i="11"/>
  <c r="F178" i="12"/>
  <c r="F175" i="12"/>
  <c r="F158" i="11"/>
  <c r="F117" i="11"/>
  <c r="F18" i="12"/>
  <c r="G42" i="11"/>
  <c r="E51" i="12"/>
  <c r="F168" i="12"/>
  <c r="D118" i="11" a="1"/>
  <c r="D21" i="11" a="1"/>
  <c r="E149" i="11" a="1"/>
  <c r="H129" i="12" a="1"/>
  <c r="H6" i="11" a="1"/>
  <c r="H28" i="12" a="1"/>
  <c r="I68" i="11" a="1"/>
  <c r="H11" i="12" a="1"/>
  <c r="H60" i="12" a="1"/>
  <c r="I82" i="11" a="1"/>
  <c r="H114" i="12" a="1"/>
  <c r="H67" i="12" a="1"/>
  <c r="H24" i="12" a="1"/>
  <c r="E171" i="12" a="1"/>
  <c r="I12" i="11" a="1"/>
  <c r="F149" i="12" a="1"/>
  <c r="I25" i="11" a="1"/>
  <c r="F31" i="11" a="1"/>
  <c r="H12" i="12" a="1"/>
  <c r="G118" i="11" a="1"/>
  <c r="I79" i="11" a="1"/>
  <c r="H54" i="12" a="1"/>
  <c r="H68" i="12" a="1"/>
  <c r="I54" i="11" a="1"/>
  <c r="I124" i="11" a="1"/>
  <c r="D85" i="11" a="1"/>
  <c r="H136" i="12" a="1"/>
  <c r="I76" i="11" a="1"/>
  <c r="H124" i="12" a="1"/>
  <c r="H115" i="12" a="1"/>
  <c r="E149" i="12" a="1"/>
  <c r="E112" i="11" a="1"/>
  <c r="I47" i="11" a="1"/>
  <c r="H48" i="12" a="1"/>
  <c r="H35" i="12" a="1"/>
  <c r="I43" i="11" a="1"/>
  <c r="I78" i="11" a="1"/>
  <c r="E31" i="11" a="1"/>
  <c r="D120" i="11" a="1"/>
  <c r="I110" i="11" a="1"/>
  <c r="H77" i="12" a="1"/>
  <c r="H82" i="12" a="1"/>
  <c r="I34" i="11" a="1"/>
  <c r="H134" i="12" a="1"/>
  <c r="H16" i="12" a="1"/>
  <c r="I116" i="11" a="1"/>
  <c r="I70" i="11" a="1"/>
  <c r="H59" i="12" a="1"/>
  <c r="H8" i="12" a="1"/>
  <c r="E118" i="12" a="1"/>
  <c r="D21" i="12" a="1"/>
  <c r="I26" i="11" a="1"/>
  <c r="F132" i="11" a="1"/>
  <c r="I49" i="11" a="1"/>
  <c r="I33" i="11" a="1"/>
  <c r="H53" i="12" a="1"/>
  <c r="G149" i="11" a="1"/>
  <c r="I127" i="11" a="1"/>
  <c r="H116" i="12" a="1"/>
  <c r="H127" i="12" a="1"/>
  <c r="I135" i="11" a="1"/>
  <c r="I133" i="11" a="1"/>
  <c r="D85" i="12" a="1"/>
  <c r="H66" i="12" a="1"/>
  <c r="H75" i="12" a="1"/>
  <c r="I66" i="11" a="1"/>
  <c r="H14" i="12" a="1"/>
  <c r="I52" i="11" a="1"/>
  <c r="I53" i="11" a="1"/>
  <c r="H104" i="12" a="1"/>
  <c r="E118" i="11" a="1"/>
  <c r="I129" i="11" a="1"/>
  <c r="H144" i="12" a="1"/>
  <c r="I9" i="11" a="1"/>
  <c r="D63" i="12" a="1"/>
  <c r="H44" i="12" a="1"/>
  <c r="H45" i="12" a="1"/>
  <c r="H133" i="12" a="1"/>
  <c r="G112" i="11" a="1"/>
  <c r="I44" i="11" a="1"/>
  <c r="I4" i="11" a="1"/>
  <c r="H55" i="12" a="1"/>
  <c r="I144" i="11" a="1"/>
  <c r="I134" i="11" a="1"/>
  <c r="H65" i="12" a="1"/>
  <c r="H43" i="12" a="1"/>
  <c r="E140" i="11" a="1"/>
  <c r="I45" i="11" a="1"/>
  <c r="G107" i="12" a="1"/>
  <c r="I69" i="11" a="1"/>
  <c r="I59" i="11" a="1"/>
  <c r="H47" i="12" a="1"/>
  <c r="F118" i="11" a="1"/>
  <c r="I123" i="11" a="1"/>
  <c r="H145" i="12" a="1"/>
  <c r="H146" i="12" a="1"/>
  <c r="H80" i="12" a="1"/>
  <c r="H10" i="12" a="1"/>
  <c r="D132" i="11" a="1"/>
  <c r="E31" i="12" a="1"/>
  <c r="H76" i="12" a="1"/>
  <c r="F118" i="12" a="1"/>
  <c r="H50" i="12" a="1"/>
  <c r="H58" i="12" a="1"/>
  <c r="I147" i="11" a="1"/>
  <c r="I58" i="11" a="1"/>
  <c r="I16" i="11" a="1"/>
  <c r="H4" i="12" a="1"/>
  <c r="F112" i="11" a="1"/>
  <c r="I8" i="11" a="1"/>
  <c r="I36" i="11" a="1"/>
  <c r="E171" i="11" a="1"/>
  <c r="I109" i="11" a="1"/>
  <c r="I104" i="11" a="1"/>
  <c r="H147" i="12" a="1"/>
  <c r="H27" i="12" a="1"/>
  <c r="H78" i="12" a="1"/>
  <c r="H41" i="12" a="1"/>
  <c r="D142" i="12" a="1"/>
  <c r="I48" i="11" a="1"/>
  <c r="I10" i="11" a="1"/>
  <c r="H9" i="12" a="1"/>
  <c r="F140" i="12" a="1"/>
  <c r="E112" i="12" a="1"/>
  <c r="I67" i="11" a="1"/>
  <c r="H79" i="12" a="1"/>
  <c r="H17" i="12" a="1"/>
  <c r="I125" i="11" a="1"/>
  <c r="H57" i="12" a="1"/>
  <c r="H36" i="12" a="1"/>
  <c r="D142" i="11" a="1"/>
  <c r="I17" i="11" a="1"/>
  <c r="I60" i="11" a="1"/>
  <c r="H135" i="12" a="1"/>
  <c r="H26" i="12" a="1"/>
  <c r="I56" i="11" a="1"/>
  <c r="G140" i="11" a="1"/>
  <c r="I57" i="11" a="1"/>
  <c r="I40" i="11" a="1"/>
  <c r="H109" i="12" a="1"/>
  <c r="H107" i="11" a="1"/>
  <c r="H49" i="12" a="1"/>
  <c r="I24" i="11" a="1"/>
  <c r="D132" i="12" a="1"/>
  <c r="D63" i="11" a="1"/>
  <c r="D180" i="11" a="1"/>
  <c r="H72" i="12" a="1"/>
  <c r="I55" i="11" a="1"/>
  <c r="I37" i="11" a="1"/>
  <c r="H123" i="12" a="1"/>
  <c r="H73" i="12" a="1"/>
  <c r="I114" i="11" a="1"/>
  <c r="I75" i="11" a="1"/>
  <c r="I65" i="11" a="1"/>
  <c r="H25" i="12" a="1"/>
  <c r="F112" i="12" a="1"/>
  <c r="I145" i="11" a="1"/>
  <c r="H70" i="12" a="1"/>
  <c r="D120" i="12" a="1"/>
  <c r="I146" i="11" a="1"/>
  <c r="I41" i="11" a="1"/>
  <c r="F149" i="11" a="1"/>
  <c r="H37" i="12" a="1"/>
  <c r="I72" i="11" a="1"/>
  <c r="H33" i="12" a="1"/>
  <c r="F31" i="12" a="1"/>
  <c r="I77" i="11" a="1"/>
  <c r="E21" i="12" a="1"/>
  <c r="I50" i="11" a="1"/>
  <c r="H38" i="12" a="1"/>
  <c r="I80" i="11" a="1"/>
  <c r="I115" i="11" a="1"/>
  <c r="H125" i="12" a="1"/>
  <c r="I11" i="11" a="1"/>
  <c r="F140" i="11" a="1"/>
  <c r="I28" i="11" a="1"/>
  <c r="H34" i="12" a="1"/>
  <c r="G31" i="11" a="1"/>
  <c r="H69" i="12" a="1"/>
  <c r="D180" i="12" a="1"/>
  <c r="H110" i="12" a="1"/>
  <c r="I14" i="11" a="1"/>
  <c r="H56" i="12" a="1"/>
  <c r="H52" i="12" a="1"/>
  <c r="E140" i="12" a="1"/>
  <c r="I73" i="11" a="1"/>
  <c r="I35" i="11" a="1"/>
  <c r="H40" i="12" a="1"/>
  <c r="G6" i="12" a="1"/>
  <c r="I27" i="11" a="1"/>
  <c r="I38" i="11" a="1"/>
  <c r="I136" i="11" a="1"/>
  <c r="D132" i="11" l="1"/>
  <c r="D118" i="11"/>
  <c r="D132" i="12"/>
  <c r="D21" i="11"/>
  <c r="E163" i="12"/>
  <c r="D21" i="12"/>
  <c r="F131" i="12"/>
  <c r="F141" i="12" s="1"/>
  <c r="F150" i="12" s="1"/>
  <c r="E171" i="12"/>
  <c r="E131" i="12"/>
  <c r="E131" i="11"/>
  <c r="D86" i="12"/>
  <c r="D87" i="12" s="1"/>
  <c r="F84" i="12"/>
  <c r="D86" i="11"/>
  <c r="D87" i="11" s="1"/>
  <c r="D85" i="11"/>
  <c r="E31" i="12"/>
  <c r="D180" i="12"/>
  <c r="G170" i="11"/>
  <c r="F163" i="11"/>
  <c r="D85" i="12"/>
  <c r="E179" i="12"/>
  <c r="G62" i="11"/>
  <c r="G131" i="11"/>
  <c r="G141" i="11" s="1"/>
  <c r="G150" i="11" s="1"/>
  <c r="E19" i="11"/>
  <c r="E20" i="11" s="1"/>
  <c r="D63" i="12"/>
  <c r="E84" i="12"/>
  <c r="G84" i="11"/>
  <c r="D63" i="11"/>
  <c r="E31" i="11"/>
  <c r="F84" i="11"/>
  <c r="H130" i="11"/>
  <c r="E62" i="11"/>
  <c r="H170" i="11"/>
  <c r="H46" i="11"/>
  <c r="E84" i="11"/>
  <c r="F62" i="11"/>
  <c r="E62" i="12"/>
  <c r="E171" i="11"/>
  <c r="F170" i="11"/>
  <c r="G163" i="11"/>
  <c r="G29" i="12"/>
  <c r="G30" i="12" s="1"/>
  <c r="H81" i="11"/>
  <c r="H83" i="11" s="1"/>
  <c r="G18" i="12"/>
  <c r="G13" i="12"/>
  <c r="G15" i="12" s="1"/>
  <c r="G126" i="12"/>
  <c r="H39" i="11"/>
  <c r="H148" i="11"/>
  <c r="G71" i="12"/>
  <c r="G74" i="12" s="1"/>
  <c r="G130" i="12"/>
  <c r="H42" i="11"/>
  <c r="F62" i="12"/>
  <c r="E21" i="12"/>
  <c r="H26" i="12"/>
  <c r="F140" i="12"/>
  <c r="F112" i="12"/>
  <c r="H8" i="12"/>
  <c r="H43" i="12"/>
  <c r="I9" i="11"/>
  <c r="I36" i="11"/>
  <c r="I38" i="11"/>
  <c r="I78" i="11"/>
  <c r="I124" i="11"/>
  <c r="I133" i="11"/>
  <c r="E118" i="12"/>
  <c r="H69" i="12"/>
  <c r="I77" i="11"/>
  <c r="H24" i="12"/>
  <c r="H80" i="12"/>
  <c r="H135" i="12"/>
  <c r="H174" i="12" s="1"/>
  <c r="H9" i="12"/>
  <c r="H25" i="12"/>
  <c r="H59" i="12"/>
  <c r="H65" i="12"/>
  <c r="H144" i="12"/>
  <c r="I8" i="11"/>
  <c r="I27" i="11"/>
  <c r="I43" i="11"/>
  <c r="I54" i="11"/>
  <c r="I135" i="11"/>
  <c r="I174" i="11" s="1"/>
  <c r="I136" i="11"/>
  <c r="G31" i="11"/>
  <c r="F31" i="12"/>
  <c r="H67" i="12"/>
  <c r="H146" i="12"/>
  <c r="I60" i="11"/>
  <c r="I10" i="11"/>
  <c r="I65" i="11"/>
  <c r="I70" i="11"/>
  <c r="I134" i="11"/>
  <c r="I129" i="11"/>
  <c r="I162" i="11" s="1"/>
  <c r="F112" i="11"/>
  <c r="G6" i="12"/>
  <c r="H35" i="12"/>
  <c r="H68" i="12"/>
  <c r="H127" i="12"/>
  <c r="H10" i="12"/>
  <c r="H34" i="12"/>
  <c r="H33" i="12"/>
  <c r="H114" i="12"/>
  <c r="H145" i="12"/>
  <c r="I17" i="11"/>
  <c r="I48" i="11"/>
  <c r="I75" i="11"/>
  <c r="I116" i="11"/>
  <c r="I169" i="11" s="1"/>
  <c r="I144" i="11"/>
  <c r="E118" i="11"/>
  <c r="H4" i="12"/>
  <c r="H5" i="12" s="1"/>
  <c r="H40" i="12"/>
  <c r="H48" i="12"/>
  <c r="H54" i="12"/>
  <c r="H116" i="12"/>
  <c r="H169" i="12" s="1"/>
  <c r="I24" i="11"/>
  <c r="I28" i="11"/>
  <c r="I72" i="11"/>
  <c r="I82" i="11"/>
  <c r="I123" i="11"/>
  <c r="D142" i="11"/>
  <c r="D142" i="12"/>
  <c r="I114" i="11"/>
  <c r="H16" i="12"/>
  <c r="H55" i="12"/>
  <c r="H104" i="12"/>
  <c r="H105" i="12" s="1"/>
  <c r="H106" i="12" s="1"/>
  <c r="I16" i="11"/>
  <c r="I35" i="11"/>
  <c r="I47" i="11"/>
  <c r="I79" i="11"/>
  <c r="I127" i="11"/>
  <c r="H49" i="12"/>
  <c r="F140" i="11"/>
  <c r="H37" i="12"/>
  <c r="H60" i="12"/>
  <c r="F118" i="11"/>
  <c r="H36" i="12"/>
  <c r="H41" i="12"/>
  <c r="H73" i="12"/>
  <c r="H134" i="12"/>
  <c r="I4" i="11"/>
  <c r="I5" i="11" s="1"/>
  <c r="I53" i="11"/>
  <c r="I58" i="11"/>
  <c r="I73" i="11"/>
  <c r="E112" i="11"/>
  <c r="G118" i="11"/>
  <c r="G149" i="11"/>
  <c r="H107" i="11"/>
  <c r="I11" i="11"/>
  <c r="F149" i="11"/>
  <c r="H11" i="12"/>
  <c r="H47" i="12"/>
  <c r="H57" i="12"/>
  <c r="H78" i="12"/>
  <c r="H123" i="12"/>
  <c r="I34" i="11"/>
  <c r="I44" i="11"/>
  <c r="I52" i="11"/>
  <c r="I147" i="11"/>
  <c r="E140" i="12"/>
  <c r="E149" i="12"/>
  <c r="H12" i="12"/>
  <c r="H53" i="12"/>
  <c r="H109" i="12"/>
  <c r="H125" i="12"/>
  <c r="H160" i="12" s="1"/>
  <c r="I41" i="11"/>
  <c r="I68" i="11"/>
  <c r="I59" i="11"/>
  <c r="I125" i="11"/>
  <c r="I160" i="11" s="1"/>
  <c r="H27" i="12"/>
  <c r="I37" i="11"/>
  <c r="H82" i="12"/>
  <c r="G112" i="11"/>
  <c r="H14" i="12"/>
  <c r="H58" i="12"/>
  <c r="H52" i="12"/>
  <c r="H115" i="12"/>
  <c r="H168" i="12" s="1"/>
  <c r="F31" i="11"/>
  <c r="I33" i="11"/>
  <c r="I40" i="11"/>
  <c r="I115" i="11"/>
  <c r="I168" i="11" s="1"/>
  <c r="I146" i="11"/>
  <c r="H28" i="12"/>
  <c r="I69" i="11"/>
  <c r="H17" i="12"/>
  <c r="H147" i="12"/>
  <c r="I55" i="11"/>
  <c r="H77" i="12"/>
  <c r="H133" i="12"/>
  <c r="I66" i="11"/>
  <c r="H50" i="12"/>
  <c r="H56" i="12"/>
  <c r="H124" i="12"/>
  <c r="I25" i="11"/>
  <c r="I49" i="11"/>
  <c r="I57" i="11"/>
  <c r="I80" i="11"/>
  <c r="D120" i="12"/>
  <c r="H6" i="11"/>
  <c r="G107" i="12"/>
  <c r="H79" i="12"/>
  <c r="I104" i="11"/>
  <c r="I105" i="11" s="1"/>
  <c r="I106" i="11" s="1"/>
  <c r="H72" i="12"/>
  <c r="I110" i="11"/>
  <c r="I167" i="11" s="1"/>
  <c r="H45" i="12"/>
  <c r="H75" i="12"/>
  <c r="F118" i="12"/>
  <c r="I14" i="11"/>
  <c r="I76" i="11"/>
  <c r="F149" i="12"/>
  <c r="F132" i="11"/>
  <c r="G140" i="11"/>
  <c r="H38" i="12"/>
  <c r="H70" i="12"/>
  <c r="H129" i="12"/>
  <c r="H162" i="12" s="1"/>
  <c r="I45" i="11"/>
  <c r="I67" i="11"/>
  <c r="I109" i="11"/>
  <c r="D180" i="11"/>
  <c r="D120" i="11"/>
  <c r="H44" i="12"/>
  <c r="H66" i="12"/>
  <c r="H76" i="12"/>
  <c r="H110" i="12"/>
  <c r="H167" i="12" s="1"/>
  <c r="H136" i="12"/>
  <c r="I12" i="11"/>
  <c r="I26" i="11"/>
  <c r="I56" i="11"/>
  <c r="I50" i="11"/>
  <c r="I145" i="11"/>
  <c r="E149" i="11"/>
  <c r="E140" i="11"/>
  <c r="E112" i="12"/>
  <c r="AR53" i="6"/>
  <c r="AJ4" i="6"/>
  <c r="AK5" i="6"/>
  <c r="E119" i="12"/>
  <c r="G39" i="7"/>
  <c r="E179" i="11"/>
  <c r="AO66" i="12"/>
  <c r="F19" i="11"/>
  <c r="F20" i="11" s="1"/>
  <c r="D97" i="11"/>
  <c r="R69" i="10"/>
  <c r="S72" i="9"/>
  <c r="AL66" i="11"/>
  <c r="G179" i="11"/>
  <c r="F179" i="12"/>
  <c r="G33" i="6"/>
  <c r="G32" i="6" s="1"/>
  <c r="F20" i="6"/>
  <c r="S68" i="9"/>
  <c r="G21" i="6"/>
  <c r="G20" i="6" s="1"/>
  <c r="Q73" i="10"/>
  <c r="Q74" i="10" s="1"/>
  <c r="R72" i="10"/>
  <c r="H71" i="11"/>
  <c r="H74" i="11" s="1"/>
  <c r="J1" i="12"/>
  <c r="H9" i="15"/>
  <c r="I1" i="15"/>
  <c r="J29" i="15"/>
  <c r="G32" i="7"/>
  <c r="H159" i="11"/>
  <c r="H111" i="11"/>
  <c r="AI47" i="6"/>
  <c r="T57" i="9"/>
  <c r="T36" i="9"/>
  <c r="T18" i="9"/>
  <c r="T41" i="9"/>
  <c r="T56" i="9"/>
  <c r="T12" i="9"/>
  <c r="T62" i="9"/>
  <c r="T17" i="9"/>
  <c r="T55" i="9"/>
  <c r="T40" i="9"/>
  <c r="T35" i="9"/>
  <c r="T61" i="9"/>
  <c r="T54" i="9"/>
  <c r="T16" i="9"/>
  <c r="T34" i="9"/>
  <c r="T44" i="9"/>
  <c r="T10" i="9"/>
  <c r="T4" i="9"/>
  <c r="T60" i="9"/>
  <c r="T53" i="9"/>
  <c r="T48" i="9"/>
  <c r="T15" i="9"/>
  <c r="T33" i="9"/>
  <c r="T20" i="9"/>
  <c r="U1" i="9"/>
  <c r="T59" i="9"/>
  <c r="T37" i="9"/>
  <c r="T13" i="9"/>
  <c r="T43" i="9"/>
  <c r="T11" i="9"/>
  <c r="T7" i="9"/>
  <c r="T58" i="9"/>
  <c r="T42" i="9"/>
  <c r="T14" i="9"/>
  <c r="T63" i="9"/>
  <c r="T8" i="9"/>
  <c r="T5" i="9"/>
  <c r="T19" i="9"/>
  <c r="T9" i="9"/>
  <c r="T49" i="9"/>
  <c r="T45" i="9"/>
  <c r="T21" i="9"/>
  <c r="T64" i="9"/>
  <c r="T38" i="9"/>
  <c r="T50" i="9"/>
  <c r="T22" i="9"/>
  <c r="T46" i="9"/>
  <c r="G37" i="6"/>
  <c r="G38" i="6" s="1"/>
  <c r="G9" i="15"/>
  <c r="E119" i="11"/>
  <c r="H7" i="7"/>
  <c r="H18" i="7"/>
  <c r="H19" i="7" s="1"/>
  <c r="H9" i="7"/>
  <c r="H68" i="7"/>
  <c r="H65" i="7"/>
  <c r="I1" i="7"/>
  <c r="H37" i="7" s="1"/>
  <c r="H38" i="7" s="1"/>
  <c r="H40" i="7"/>
  <c r="H55" i="7"/>
  <c r="F64" i="6"/>
  <c r="G54" i="6"/>
  <c r="Q81" i="10"/>
  <c r="Q82" i="10" s="1"/>
  <c r="E163" i="11"/>
  <c r="F170" i="12"/>
  <c r="G148" i="12"/>
  <c r="H173" i="11"/>
  <c r="H139" i="11"/>
  <c r="G61" i="12"/>
  <c r="G39" i="6"/>
  <c r="AS19" i="6"/>
  <c r="F54" i="7"/>
  <c r="S60" i="10"/>
  <c r="S56" i="10"/>
  <c r="S53" i="10"/>
  <c r="S61" i="10"/>
  <c r="S57" i="10"/>
  <c r="S21" i="10"/>
  <c r="S5" i="10"/>
  <c r="S10" i="10"/>
  <c r="S15" i="10"/>
  <c r="S20" i="10"/>
  <c r="S54" i="10"/>
  <c r="S9" i="10"/>
  <c r="S4" i="10"/>
  <c r="S14" i="10"/>
  <c r="S19" i="10"/>
  <c r="S8" i="10"/>
  <c r="T1" i="10"/>
  <c r="S55" i="10"/>
  <c r="S13" i="10"/>
  <c r="S43" i="10"/>
  <c r="S18" i="10"/>
  <c r="S59" i="10"/>
  <c r="S42" i="10"/>
  <c r="S41" i="10"/>
  <c r="S40" i="10"/>
  <c r="S23" i="10"/>
  <c r="S34" i="10"/>
  <c r="S12" i="10"/>
  <c r="S7" i="10"/>
  <c r="S17" i="10"/>
  <c r="S58" i="10"/>
  <c r="S33" i="10"/>
  <c r="S11" i="10"/>
  <c r="S16" i="10"/>
  <c r="S22" i="10"/>
  <c r="AK4" i="7"/>
  <c r="AL5" i="7"/>
  <c r="G178" i="12"/>
  <c r="G175" i="12"/>
  <c r="AP47" i="7"/>
  <c r="S70" i="9"/>
  <c r="F19" i="12"/>
  <c r="F20" i="12" s="1"/>
  <c r="F141" i="11"/>
  <c r="F150" i="11" s="1"/>
  <c r="F119" i="11"/>
  <c r="F179" i="11"/>
  <c r="H18" i="6"/>
  <c r="H19" i="6" s="1"/>
  <c r="H33" i="6"/>
  <c r="H55" i="6"/>
  <c r="H54" i="6" s="1"/>
  <c r="H37" i="6"/>
  <c r="H38" i="6" s="1"/>
  <c r="H65" i="6"/>
  <c r="H21" i="6"/>
  <c r="H52" i="6"/>
  <c r="H53" i="6" s="1"/>
  <c r="I1" i="6"/>
  <c r="H7" i="6"/>
  <c r="H64" i="6" s="1"/>
  <c r="H31" i="6"/>
  <c r="E29" i="13"/>
  <c r="F24" i="13" s="1"/>
  <c r="G21" i="7"/>
  <c r="G20" i="7" s="1"/>
  <c r="F32" i="7"/>
  <c r="G119" i="11"/>
  <c r="N24" i="9"/>
  <c r="T24" i="9"/>
  <c r="F25" i="9"/>
  <c r="S24" i="9"/>
  <c r="R24" i="9"/>
  <c r="Q24" i="9"/>
  <c r="P24" i="9"/>
  <c r="O24" i="9"/>
  <c r="H61" i="11"/>
  <c r="G39" i="12"/>
  <c r="AJ47" i="6"/>
  <c r="AV38" i="6"/>
  <c r="D97" i="12"/>
  <c r="H7" i="13"/>
  <c r="H8" i="13" s="1"/>
  <c r="H26" i="13"/>
  <c r="I1" i="13"/>
  <c r="H6" i="13"/>
  <c r="G64" i="7"/>
  <c r="F8" i="6"/>
  <c r="F67" i="6"/>
  <c r="AQ53" i="6"/>
  <c r="R70" i="10"/>
  <c r="H18" i="11"/>
  <c r="H126" i="11"/>
  <c r="H13" i="11"/>
  <c r="H15" i="11" s="1"/>
  <c r="G51" i="12"/>
  <c r="F67" i="7"/>
  <c r="AQ38" i="7"/>
  <c r="G53" i="7"/>
  <c r="G43" i="3"/>
  <c r="AO47" i="7"/>
  <c r="D150" i="12"/>
  <c r="G5" i="5" a="1"/>
  <c r="G5" i="5" s="1"/>
  <c r="G15" i="5" a="1"/>
  <c r="G15" i="5" s="1"/>
  <c r="H1" i="5"/>
  <c r="H158" i="11"/>
  <c r="H117" i="11"/>
  <c r="G158" i="12"/>
  <c r="G117" i="12"/>
  <c r="G25" i="13"/>
  <c r="G5" i="13"/>
  <c r="G9" i="13" s="1"/>
  <c r="H4" i="13" s="1"/>
  <c r="G11" i="13"/>
  <c r="H2" i="13"/>
  <c r="AS53" i="7"/>
  <c r="G54" i="7"/>
  <c r="AL44" i="6"/>
  <c r="R65" i="10"/>
  <c r="R68" i="10"/>
  <c r="R87" i="10"/>
  <c r="R86" i="10"/>
  <c r="R85" i="10"/>
  <c r="R84" i="10"/>
  <c r="R88" i="10"/>
  <c r="H51" i="11"/>
  <c r="H29" i="11"/>
  <c r="H30" i="11" s="1"/>
  <c r="T47" i="9"/>
  <c r="G19" i="11"/>
  <c r="G20" i="11" s="1"/>
  <c r="T23" i="9"/>
  <c r="G42" i="12"/>
  <c r="G46" i="12"/>
  <c r="I35" i="3"/>
  <c r="H43" i="3" s="1"/>
  <c r="S71" i="9"/>
  <c r="F54" i="6"/>
  <c r="G9" i="6"/>
  <c r="F163" i="12"/>
  <c r="D150" i="11"/>
  <c r="G170" i="12"/>
  <c r="H178" i="11"/>
  <c r="H175" i="11"/>
  <c r="F119" i="12"/>
  <c r="G9" i="3" a="1"/>
  <c r="G9" i="3" s="1"/>
  <c r="H1" i="3"/>
  <c r="G7" i="6"/>
  <c r="G64" i="6" s="1"/>
  <c r="K1" i="11"/>
  <c r="AR19" i="7"/>
  <c r="AS19" i="7" s="1"/>
  <c r="AM44" i="7"/>
  <c r="AN44" i="7" s="1"/>
  <c r="R71" i="10"/>
  <c r="AU38" i="6"/>
  <c r="AQ46" i="7"/>
  <c r="AR46" i="7" s="1"/>
  <c r="G159" i="12"/>
  <c r="G111" i="12"/>
  <c r="AH47" i="6"/>
  <c r="AK46" i="6"/>
  <c r="G67" i="7"/>
  <c r="G8" i="7"/>
  <c r="E141" i="11"/>
  <c r="E150" i="11" s="1"/>
  <c r="J81" i="15"/>
  <c r="G139" i="12"/>
  <c r="G173" i="12"/>
  <c r="G81" i="12"/>
  <c r="G83" i="12" s="1"/>
  <c r="F132" i="12" a="1"/>
  <c r="E85" i="11" a="1"/>
  <c r="I14" i="12" a="1"/>
  <c r="I36" i="12" a="1"/>
  <c r="J57" i="11" a="1"/>
  <c r="F151" i="11" a="1"/>
  <c r="J129" i="11" a="1"/>
  <c r="I78" i="12" a="1"/>
  <c r="I135" i="12" a="1"/>
  <c r="I49" i="12" a="1"/>
  <c r="I125" i="12" a="1"/>
  <c r="I33" i="12" a="1"/>
  <c r="I17" i="12" a="1"/>
  <c r="J70" i="11" a="1"/>
  <c r="F85" i="11" a="1"/>
  <c r="I109" i="12" a="1"/>
  <c r="E120" i="12" a="1"/>
  <c r="J147" i="11" a="1"/>
  <c r="I60" i="12" a="1"/>
  <c r="I38" i="12" a="1"/>
  <c r="G180" i="11" a="1"/>
  <c r="J56" i="11" a="1"/>
  <c r="I82" i="12" a="1"/>
  <c r="J48" i="11" a="1"/>
  <c r="I37" i="12" a="1"/>
  <c r="D98" i="11" a="1"/>
  <c r="J44" i="11" a="1"/>
  <c r="E21" i="11" a="1"/>
  <c r="F171" i="12" a="1"/>
  <c r="J24" i="11" a="1"/>
  <c r="I24" i="12" a="1"/>
  <c r="E180" i="11" a="1"/>
  <c r="I6" i="11" a="1"/>
  <c r="J72" i="11" a="1"/>
  <c r="G171" i="12" a="1"/>
  <c r="J34" i="11" a="1"/>
  <c r="I58" i="12" a="1"/>
  <c r="J11" i="11" a="1"/>
  <c r="J76" i="11" a="1"/>
  <c r="E180" i="12" a="1"/>
  <c r="I73" i="12" a="1"/>
  <c r="G21" i="11" a="1"/>
  <c r="I68" i="12" a="1"/>
  <c r="J8" i="11" a="1"/>
  <c r="J77" i="11" a="1"/>
  <c r="J27" i="11" a="1"/>
  <c r="I76" i="12" a="1"/>
  <c r="J49" i="11" a="1"/>
  <c r="J16" i="11" a="1"/>
  <c r="J60" i="11" a="1"/>
  <c r="F85" i="12" a="1"/>
  <c r="H149" i="11" a="1"/>
  <c r="J104" i="11" a="1"/>
  <c r="J55" i="11" a="1"/>
  <c r="J136" i="11" a="1"/>
  <c r="J47" i="11" a="1"/>
  <c r="J28" i="11" a="1"/>
  <c r="I107" i="11" a="1"/>
  <c r="I28" i="12" a="1"/>
  <c r="J35" i="11" a="1"/>
  <c r="I43" i="12" a="1"/>
  <c r="I26" i="12" a="1"/>
  <c r="I129" i="12" a="1"/>
  <c r="E132" i="12" a="1"/>
  <c r="F63" i="11" a="1"/>
  <c r="I27" i="12" a="1"/>
  <c r="I69" i="12" a="1"/>
  <c r="J41" i="11" a="1"/>
  <c r="J144" i="11" a="1"/>
  <c r="J127" i="11" a="1"/>
  <c r="I48" i="12" a="1"/>
  <c r="I70" i="12" a="1"/>
  <c r="I4" i="12" a="1"/>
  <c r="I110" i="12" a="1"/>
  <c r="I123" i="12" a="1"/>
  <c r="I67" i="12" a="1"/>
  <c r="G151" i="11" a="1"/>
  <c r="E63" i="11" a="1"/>
  <c r="I75" i="12" a="1"/>
  <c r="I104" i="12" a="1"/>
  <c r="J114" i="11" a="1"/>
  <c r="I40" i="12" a="1"/>
  <c r="I34" i="12" a="1"/>
  <c r="I115" i="12" a="1"/>
  <c r="J36" i="11" a="1"/>
  <c r="I72" i="12" a="1"/>
  <c r="J79" i="11" a="1"/>
  <c r="J33" i="11" a="1"/>
  <c r="I134" i="12" a="1"/>
  <c r="E85" i="12" a="1"/>
  <c r="F120" i="11" a="1"/>
  <c r="D98" i="12" a="1"/>
  <c r="H140" i="11" a="1"/>
  <c r="I124" i="12" a="1"/>
  <c r="I145" i="12" a="1"/>
  <c r="H6" i="12" a="1"/>
  <c r="J133" i="11" a="1"/>
  <c r="F21" i="11" a="1"/>
  <c r="I54" i="12" a="1"/>
  <c r="G63" i="11" a="1"/>
  <c r="I9" i="12" a="1"/>
  <c r="J125" i="11" a="1"/>
  <c r="I56" i="12" a="1"/>
  <c r="J124" i="11" a="1"/>
  <c r="J146" i="11" a="1"/>
  <c r="E151" i="11" a="1"/>
  <c r="I52" i="12" a="1"/>
  <c r="J45" i="11" a="1"/>
  <c r="I114" i="12" a="1"/>
  <c r="J59" i="11" a="1"/>
  <c r="G142" i="11" a="1"/>
  <c r="J110" i="11" a="1"/>
  <c r="D88" i="11" a="1"/>
  <c r="F63" i="12" a="1"/>
  <c r="J58" i="11" a="1"/>
  <c r="J52" i="11" a="1"/>
  <c r="J50" i="11" a="1"/>
  <c r="J38" i="11" a="1"/>
  <c r="J25" i="11" a="1"/>
  <c r="F180" i="12" a="1"/>
  <c r="E120" i="11" a="1"/>
  <c r="J10" i="11" a="1"/>
  <c r="F21" i="12" a="1"/>
  <c r="F142" i="11" a="1"/>
  <c r="I41" i="12" a="1"/>
  <c r="E132" i="11" a="1"/>
  <c r="E63" i="12" a="1"/>
  <c r="G149" i="12" a="1"/>
  <c r="I16" i="12" a="1"/>
  <c r="G140" i="12" a="1"/>
  <c r="J123" i="11" a="1"/>
  <c r="J116" i="11" a="1"/>
  <c r="I8" i="12" a="1"/>
  <c r="I50" i="12" a="1"/>
  <c r="G118" i="12" a="1"/>
  <c r="I79" i="12" a="1"/>
  <c r="I77" i="12" a="1"/>
  <c r="I12" i="12" a="1"/>
  <c r="H171" i="11" a="1"/>
  <c r="I55" i="12" a="1"/>
  <c r="I144" i="12" a="1"/>
  <c r="J78" i="11" a="1"/>
  <c r="I10" i="12" a="1"/>
  <c r="D151" i="12" a="1"/>
  <c r="I53" i="12" a="1"/>
  <c r="J9" i="11" a="1"/>
  <c r="I45" i="12" a="1"/>
  <c r="J12" i="11" a="1"/>
  <c r="F142" i="12" a="1"/>
  <c r="I66" i="12" a="1"/>
  <c r="H31" i="11" a="1"/>
  <c r="E142" i="11" a="1"/>
  <c r="G85" i="11" a="1"/>
  <c r="I146" i="12" a="1"/>
  <c r="F151" i="12" a="1"/>
  <c r="D151" i="11" a="1"/>
  <c r="I65" i="12" a="1"/>
  <c r="I59" i="12" a="1"/>
  <c r="H107" i="12" a="1"/>
  <c r="J67" i="11" a="1"/>
  <c r="I136" i="12" a="1"/>
  <c r="J109" i="11" a="1"/>
  <c r="I80" i="12" a="1"/>
  <c r="J37" i="11" a="1"/>
  <c r="G112" i="12" a="1"/>
  <c r="G132" i="11" a="1"/>
  <c r="H112" i="11" a="1"/>
  <c r="J69" i="11" a="1"/>
  <c r="I57" i="12" a="1"/>
  <c r="I11" i="12" a="1"/>
  <c r="J68" i="11" a="1"/>
  <c r="F120" i="12" a="1"/>
  <c r="I35" i="12" a="1"/>
  <c r="J26" i="11" a="1"/>
  <c r="I127" i="12" a="1"/>
  <c r="J14" i="11" a="1"/>
  <c r="J135" i="11" a="1"/>
  <c r="J75" i="11" a="1"/>
  <c r="G171" i="11" a="1"/>
  <c r="I133" i="12" a="1"/>
  <c r="J4" i="11" a="1"/>
  <c r="J40" i="11" a="1"/>
  <c r="J43" i="11" a="1"/>
  <c r="J17" i="11" a="1"/>
  <c r="J134" i="11" a="1"/>
  <c r="I147" i="12" a="1"/>
  <c r="J145" i="11" a="1"/>
  <c r="J115" i="11" a="1"/>
  <c r="J80" i="11" a="1"/>
  <c r="G120" i="11" a="1"/>
  <c r="D88" i="12" a="1"/>
  <c r="F171" i="11" a="1"/>
  <c r="F180" i="11" a="1"/>
  <c r="J73" i="11" a="1"/>
  <c r="H118" i="11" a="1"/>
  <c r="J82" i="11" a="1"/>
  <c r="J65" i="11" a="1"/>
  <c r="I116" i="12" a="1"/>
  <c r="I25" i="12" a="1"/>
  <c r="J53" i="11" a="1"/>
  <c r="I47" i="12" a="1"/>
  <c r="I44" i="12" a="1"/>
  <c r="G31" i="12" a="1"/>
  <c r="J66" i="11" a="1"/>
  <c r="J54" i="11" a="1"/>
  <c r="F132" i="12" l="1"/>
  <c r="E132" i="12"/>
  <c r="E141" i="12"/>
  <c r="E150" i="12" s="1"/>
  <c r="E132" i="11"/>
  <c r="G86" i="11"/>
  <c r="D88" i="12"/>
  <c r="R73" i="10"/>
  <c r="R74" i="10" s="1"/>
  <c r="R81" i="10"/>
  <c r="R82" i="10" s="1"/>
  <c r="E86" i="11"/>
  <c r="E87" i="11" s="1"/>
  <c r="E97" i="11" s="1"/>
  <c r="F85" i="12"/>
  <c r="D88" i="11"/>
  <c r="F86" i="11"/>
  <c r="F87" i="11" s="1"/>
  <c r="H84" i="11"/>
  <c r="G171" i="11"/>
  <c r="G179" i="12"/>
  <c r="H131" i="11"/>
  <c r="H141" i="11" s="1"/>
  <c r="H42" i="12"/>
  <c r="G131" i="12"/>
  <c r="G141" i="12" s="1"/>
  <c r="G150" i="12" s="1"/>
  <c r="E21" i="11"/>
  <c r="G132" i="11"/>
  <c r="G63" i="11"/>
  <c r="E180" i="12"/>
  <c r="E86" i="12"/>
  <c r="E87" i="12" s="1"/>
  <c r="E97" i="12" s="1"/>
  <c r="H130" i="12"/>
  <c r="H81" i="12"/>
  <c r="H83" i="12" s="1"/>
  <c r="G85" i="11"/>
  <c r="E85" i="12"/>
  <c r="I42" i="11"/>
  <c r="H171" i="11"/>
  <c r="E63" i="11"/>
  <c r="F85" i="11"/>
  <c r="I13" i="11"/>
  <c r="I15" i="11" s="1"/>
  <c r="H46" i="12"/>
  <c r="H29" i="12"/>
  <c r="H30" i="12" s="1"/>
  <c r="H39" i="12"/>
  <c r="G19" i="12"/>
  <c r="G20" i="12" s="1"/>
  <c r="E63" i="12"/>
  <c r="F63" i="11"/>
  <c r="E85" i="11"/>
  <c r="H62" i="11"/>
  <c r="I29" i="11"/>
  <c r="I30" i="11" s="1"/>
  <c r="F63" i="12"/>
  <c r="H149" i="11"/>
  <c r="F171" i="11"/>
  <c r="H13" i="12"/>
  <c r="H15" i="12" s="1"/>
  <c r="F86" i="12"/>
  <c r="F87" i="12" s="1"/>
  <c r="I130" i="11"/>
  <c r="G84" i="12"/>
  <c r="I39" i="11"/>
  <c r="I18" i="11"/>
  <c r="G62" i="12"/>
  <c r="I61" i="11"/>
  <c r="G112" i="12"/>
  <c r="J60" i="11"/>
  <c r="J70" i="11"/>
  <c r="J75" i="11"/>
  <c r="J110" i="11"/>
  <c r="J167" i="11" s="1"/>
  <c r="G151" i="11"/>
  <c r="I12" i="12"/>
  <c r="I41" i="12"/>
  <c r="I129" i="12"/>
  <c r="I162" i="12" s="1"/>
  <c r="G31" i="12"/>
  <c r="J44" i="11"/>
  <c r="I67" i="12"/>
  <c r="I17" i="12"/>
  <c r="I66" i="12"/>
  <c r="I134" i="12"/>
  <c r="D98" i="11"/>
  <c r="J37" i="11"/>
  <c r="J54" i="11"/>
  <c r="J76" i="11"/>
  <c r="J135" i="11"/>
  <c r="J174" i="11" s="1"/>
  <c r="G142" i="11"/>
  <c r="H31" i="11"/>
  <c r="G120" i="11"/>
  <c r="F142" i="11"/>
  <c r="I26" i="12"/>
  <c r="I44" i="12"/>
  <c r="I77" i="12"/>
  <c r="I123" i="12"/>
  <c r="I33" i="12"/>
  <c r="F142" i="12"/>
  <c r="J33" i="11"/>
  <c r="I37" i="12"/>
  <c r="I80" i="12"/>
  <c r="E142" i="11"/>
  <c r="J11" i="11"/>
  <c r="J14" i="11"/>
  <c r="J59" i="11"/>
  <c r="J66" i="11"/>
  <c r="J80" i="11"/>
  <c r="F21" i="12"/>
  <c r="I43" i="12"/>
  <c r="I47" i="12"/>
  <c r="I79" i="12"/>
  <c r="I110" i="12"/>
  <c r="I167" i="12" s="1"/>
  <c r="I125" i="12"/>
  <c r="I160" i="12" s="1"/>
  <c r="J12" i="11"/>
  <c r="J79" i="11"/>
  <c r="J48" i="11"/>
  <c r="J109" i="11"/>
  <c r="I54" i="12"/>
  <c r="I58" i="12"/>
  <c r="I127" i="12"/>
  <c r="I114" i="12"/>
  <c r="J16" i="11"/>
  <c r="J115" i="11"/>
  <c r="J168" i="11" s="1"/>
  <c r="J10" i="11"/>
  <c r="J35" i="11"/>
  <c r="J53" i="11"/>
  <c r="G118" i="12"/>
  <c r="I4" i="12"/>
  <c r="I5" i="12" s="1"/>
  <c r="I49" i="12"/>
  <c r="I45" i="12"/>
  <c r="I72" i="12"/>
  <c r="I82" i="12"/>
  <c r="I136" i="12"/>
  <c r="F21" i="11"/>
  <c r="J34" i="11"/>
  <c r="J26" i="11"/>
  <c r="J45" i="11"/>
  <c r="J49" i="11"/>
  <c r="J145" i="11"/>
  <c r="E120" i="11"/>
  <c r="I28" i="12"/>
  <c r="I25" i="12"/>
  <c r="I50" i="12"/>
  <c r="I70" i="12"/>
  <c r="I135" i="12"/>
  <c r="I174" i="12" s="1"/>
  <c r="J9" i="11"/>
  <c r="J36" i="11"/>
  <c r="J56" i="11"/>
  <c r="J67" i="11"/>
  <c r="J133" i="11"/>
  <c r="G171" i="12"/>
  <c r="I35" i="12"/>
  <c r="I52" i="12"/>
  <c r="I76" i="12"/>
  <c r="I147" i="12"/>
  <c r="F180" i="12"/>
  <c r="I107" i="11"/>
  <c r="I116" i="12"/>
  <c r="I169" i="12" s="1"/>
  <c r="I8" i="12"/>
  <c r="I48" i="12"/>
  <c r="I78" i="12"/>
  <c r="I53" i="12"/>
  <c r="I115" i="12"/>
  <c r="I168" i="12" s="1"/>
  <c r="G180" i="11"/>
  <c r="H107" i="12"/>
  <c r="H6" i="12"/>
  <c r="J72" i="11"/>
  <c r="F120" i="12"/>
  <c r="E151" i="11"/>
  <c r="J27" i="11"/>
  <c r="J134" i="11"/>
  <c r="J25" i="11"/>
  <c r="J28" i="11"/>
  <c r="J65" i="11"/>
  <c r="J116" i="11"/>
  <c r="J169" i="11" s="1"/>
  <c r="J127" i="11"/>
  <c r="J129" i="11"/>
  <c r="J162" i="11" s="1"/>
  <c r="D151" i="12"/>
  <c r="I34" i="12"/>
  <c r="I38" i="12"/>
  <c r="I59" i="12"/>
  <c r="I145" i="12"/>
  <c r="I6" i="11"/>
  <c r="J68" i="11"/>
  <c r="J146" i="11"/>
  <c r="J77" i="11"/>
  <c r="J17" i="11"/>
  <c r="J38" i="11"/>
  <c r="J47" i="11"/>
  <c r="J82" i="11"/>
  <c r="J123" i="11"/>
  <c r="J144" i="11"/>
  <c r="F151" i="11"/>
  <c r="I10" i="12"/>
  <c r="I40" i="12"/>
  <c r="I60" i="12"/>
  <c r="I65" i="12"/>
  <c r="I124" i="12"/>
  <c r="E180" i="11"/>
  <c r="I11" i="12"/>
  <c r="J124" i="11"/>
  <c r="J8" i="11"/>
  <c r="J43" i="11"/>
  <c r="J50" i="11"/>
  <c r="J136" i="11"/>
  <c r="H118" i="11"/>
  <c r="G140" i="12"/>
  <c r="J41" i="11"/>
  <c r="J57" i="11"/>
  <c r="J78" i="11"/>
  <c r="J114" i="11"/>
  <c r="J147" i="11"/>
  <c r="D151" i="11"/>
  <c r="H140" i="11"/>
  <c r="I24" i="12"/>
  <c r="I57" i="12"/>
  <c r="I56" i="12"/>
  <c r="I68" i="12"/>
  <c r="J40" i="11"/>
  <c r="J52" i="11"/>
  <c r="J55" i="11"/>
  <c r="J73" i="11"/>
  <c r="I16" i="12"/>
  <c r="I69" i="12"/>
  <c r="I36" i="12"/>
  <c r="I144" i="12"/>
  <c r="I104" i="12"/>
  <c r="I105" i="12" s="1"/>
  <c r="I106" i="12" s="1"/>
  <c r="E120" i="12"/>
  <c r="F151" i="12"/>
  <c r="D98" i="12"/>
  <c r="J24" i="11"/>
  <c r="J69" i="11"/>
  <c r="J125" i="11"/>
  <c r="J160" i="11" s="1"/>
  <c r="G21" i="11"/>
  <c r="J4" i="11"/>
  <c r="J5" i="11" s="1"/>
  <c r="J58" i="11"/>
  <c r="J104" i="11"/>
  <c r="J105" i="11" s="1"/>
  <c r="J106" i="11" s="1"/>
  <c r="F180" i="11"/>
  <c r="G149" i="12"/>
  <c r="I27" i="12"/>
  <c r="I14" i="12"/>
  <c r="I55" i="12"/>
  <c r="I75" i="12"/>
  <c r="I109" i="12"/>
  <c r="I146" i="12"/>
  <c r="F120" i="11"/>
  <c r="F171" i="12"/>
  <c r="H112" i="11"/>
  <c r="I9" i="12"/>
  <c r="I73" i="12"/>
  <c r="I133" i="12"/>
  <c r="AR47" i="7"/>
  <c r="AN44" i="6"/>
  <c r="AR38" i="7"/>
  <c r="G152" i="11"/>
  <c r="S72" i="10"/>
  <c r="H8" i="7"/>
  <c r="T71" i="9"/>
  <c r="AL5" i="6"/>
  <c r="AK4" i="6"/>
  <c r="H170" i="12"/>
  <c r="H126" i="12"/>
  <c r="H159" i="12"/>
  <c r="H111" i="12"/>
  <c r="K81" i="15"/>
  <c r="U41" i="9"/>
  <c r="U7" i="9"/>
  <c r="U56" i="9"/>
  <c r="U62" i="9"/>
  <c r="U17" i="9"/>
  <c r="U55" i="9"/>
  <c r="U40" i="9"/>
  <c r="U35" i="9"/>
  <c r="U11" i="9"/>
  <c r="U5" i="9"/>
  <c r="U61" i="9"/>
  <c r="U54" i="9"/>
  <c r="U34" i="9"/>
  <c r="U44" i="9"/>
  <c r="U10" i="9"/>
  <c r="U4" i="9"/>
  <c r="U60" i="9"/>
  <c r="U53" i="9"/>
  <c r="U48" i="9"/>
  <c r="U15" i="9"/>
  <c r="U33" i="9"/>
  <c r="U20" i="9"/>
  <c r="V1" i="9"/>
  <c r="U43" i="9"/>
  <c r="U9" i="9"/>
  <c r="U59" i="9"/>
  <c r="U58" i="9"/>
  <c r="U42" i="9"/>
  <c r="U57" i="9"/>
  <c r="U37" i="9"/>
  <c r="U14" i="9"/>
  <c r="U63" i="9"/>
  <c r="U18" i="9"/>
  <c r="U8" i="9"/>
  <c r="U16" i="9"/>
  <c r="U36" i="9"/>
  <c r="U12" i="9"/>
  <c r="U13" i="9"/>
  <c r="U19" i="9"/>
  <c r="U21" i="9"/>
  <c r="U38" i="9"/>
  <c r="U45" i="9"/>
  <c r="U64" i="9"/>
  <c r="U49" i="9"/>
  <c r="U22" i="9"/>
  <c r="U46" i="9"/>
  <c r="U50" i="9"/>
  <c r="U47" i="9"/>
  <c r="U51" i="9"/>
  <c r="U23" i="9"/>
  <c r="D156" i="11"/>
  <c r="D164" i="11" s="1"/>
  <c r="H61" i="12"/>
  <c r="AM44" i="6"/>
  <c r="AS38" i="7"/>
  <c r="H68" i="6"/>
  <c r="T59" i="10"/>
  <c r="T58" i="10"/>
  <c r="T10" i="10"/>
  <c r="T53" i="10"/>
  <c r="T15" i="10"/>
  <c r="T20" i="10"/>
  <c r="T54" i="10"/>
  <c r="T9" i="10"/>
  <c r="T4" i="10"/>
  <c r="T61" i="10"/>
  <c r="T14" i="10"/>
  <c r="T57" i="10"/>
  <c r="T19" i="10"/>
  <c r="T60" i="10"/>
  <c r="T8" i="10"/>
  <c r="U1" i="10"/>
  <c r="T55" i="10"/>
  <c r="T13" i="10"/>
  <c r="T43" i="10"/>
  <c r="T18" i="10"/>
  <c r="T42" i="10"/>
  <c r="T41" i="10"/>
  <c r="T40" i="10"/>
  <c r="T23" i="10"/>
  <c r="T34" i="10"/>
  <c r="T12" i="10"/>
  <c r="T7" i="10"/>
  <c r="T17" i="10"/>
  <c r="T22" i="10"/>
  <c r="T56" i="10"/>
  <c r="T16" i="10"/>
  <c r="T33" i="10"/>
  <c r="T70" i="10" s="1"/>
  <c r="T21" i="10"/>
  <c r="T11" i="10"/>
  <c r="T5" i="10"/>
  <c r="H21" i="7"/>
  <c r="H20" i="7" s="1"/>
  <c r="I68" i="6"/>
  <c r="I65" i="6"/>
  <c r="I33" i="6"/>
  <c r="I37" i="6"/>
  <c r="I38" i="6" s="1"/>
  <c r="I52" i="6"/>
  <c r="I53" i="6" s="1"/>
  <c r="J1" i="6"/>
  <c r="I18" i="6"/>
  <c r="I19" i="6" s="1"/>
  <c r="I40" i="6"/>
  <c r="S70" i="10"/>
  <c r="H31" i="7"/>
  <c r="H64" i="7" s="1"/>
  <c r="T70" i="9"/>
  <c r="AO44" i="7"/>
  <c r="AQ44" i="7" s="1"/>
  <c r="H158" i="12"/>
  <c r="H117" i="12"/>
  <c r="J35" i="3"/>
  <c r="I43" i="3"/>
  <c r="G119" i="12"/>
  <c r="AT53" i="6"/>
  <c r="V25" i="9"/>
  <c r="T25" i="9"/>
  <c r="S25" i="9"/>
  <c r="R25" i="9"/>
  <c r="Q25" i="9"/>
  <c r="P25" i="9"/>
  <c r="F26" i="9"/>
  <c r="U25" i="9"/>
  <c r="N25" i="9"/>
  <c r="O25" i="9"/>
  <c r="H20" i="6"/>
  <c r="AT19" i="7"/>
  <c r="AV19" i="7" s="1"/>
  <c r="I170" i="11"/>
  <c r="I51" i="11"/>
  <c r="AW38" i="6"/>
  <c r="AY38" i="6" s="1"/>
  <c r="H178" i="12"/>
  <c r="H175" i="12"/>
  <c r="L1" i="11"/>
  <c r="G163" i="12"/>
  <c r="S69" i="10"/>
  <c r="S65" i="10"/>
  <c r="S68" i="10"/>
  <c r="S85" i="10"/>
  <c r="S87" i="10"/>
  <c r="S88" i="10"/>
  <c r="S84" i="10"/>
  <c r="S86" i="10"/>
  <c r="T72" i="9"/>
  <c r="AP66" i="12"/>
  <c r="I81" i="11"/>
  <c r="I83" i="11" s="1"/>
  <c r="AS53" i="6"/>
  <c r="I159" i="11"/>
  <c r="I111" i="11"/>
  <c r="I178" i="11"/>
  <c r="I175" i="11"/>
  <c r="AK47" i="6"/>
  <c r="T68" i="9"/>
  <c r="AU53" i="6"/>
  <c r="AX38" i="6"/>
  <c r="E152" i="11"/>
  <c r="AS46" i="7"/>
  <c r="AU46" i="7" s="1"/>
  <c r="I1" i="3"/>
  <c r="H9" i="3" a="1"/>
  <c r="H9" i="3" s="1"/>
  <c r="H163" i="11"/>
  <c r="D152" i="12"/>
  <c r="F29" i="13"/>
  <c r="G24" i="13" s="1"/>
  <c r="F27" i="13"/>
  <c r="F28" i="13" s="1"/>
  <c r="H40" i="6"/>
  <c r="H39" i="6" s="1"/>
  <c r="H52" i="7"/>
  <c r="H53" i="7" s="1"/>
  <c r="K29" i="15"/>
  <c r="K1" i="12"/>
  <c r="AM66" i="11"/>
  <c r="H71" i="12"/>
  <c r="H74" i="12" s="1"/>
  <c r="G67" i="6"/>
  <c r="G8" i="6"/>
  <c r="AO44" i="6"/>
  <c r="H19" i="11"/>
  <c r="H20" i="11" s="1"/>
  <c r="I26" i="13"/>
  <c r="I6" i="13"/>
  <c r="J1" i="13"/>
  <c r="F152" i="11"/>
  <c r="U24" i="9"/>
  <c r="H32" i="6"/>
  <c r="S71" i="10"/>
  <c r="H33" i="7"/>
  <c r="AL46" i="6"/>
  <c r="H173" i="12"/>
  <c r="H139" i="12"/>
  <c r="H18" i="12"/>
  <c r="I46" i="11"/>
  <c r="AP44" i="7"/>
  <c r="H119" i="11"/>
  <c r="D152" i="11"/>
  <c r="R89" i="10"/>
  <c r="R90" i="10" s="1"/>
  <c r="H9" i="6"/>
  <c r="I126" i="11"/>
  <c r="AQ47" i="7"/>
  <c r="AT46" i="7"/>
  <c r="H179" i="11"/>
  <c r="H39" i="7"/>
  <c r="AT19" i="6"/>
  <c r="I158" i="11"/>
  <c r="I117" i="11"/>
  <c r="F152" i="12"/>
  <c r="D156" i="12"/>
  <c r="D164" i="12" s="1"/>
  <c r="H11" i="13"/>
  <c r="I2" i="13"/>
  <c r="H5" i="13"/>
  <c r="H9" i="13" s="1"/>
  <c r="I4" i="13" s="1"/>
  <c r="H25" i="13"/>
  <c r="H15" i="5" a="1"/>
  <c r="H15" i="5" s="1"/>
  <c r="I1" i="5"/>
  <c r="H5" i="5" a="1"/>
  <c r="H5" i="5" s="1"/>
  <c r="AU19" i="7"/>
  <c r="G87" i="11"/>
  <c r="AL4" i="7"/>
  <c r="AM5" i="7"/>
  <c r="I52" i="7"/>
  <c r="I53" i="7" s="1"/>
  <c r="I18" i="7"/>
  <c r="I19" i="7" s="1"/>
  <c r="I9" i="7"/>
  <c r="I68" i="7"/>
  <c r="I65" i="7"/>
  <c r="J1" i="7"/>
  <c r="I33" i="7"/>
  <c r="I40" i="7"/>
  <c r="J1" i="15"/>
  <c r="I9" i="15" s="1"/>
  <c r="AT53" i="7"/>
  <c r="I71" i="11"/>
  <c r="I74" i="11" s="1"/>
  <c r="H51" i="12"/>
  <c r="H148" i="12"/>
  <c r="I148" i="11"/>
  <c r="I173" i="11"/>
  <c r="I139" i="11"/>
  <c r="G21" i="12" a="1"/>
  <c r="H21" i="11" a="1"/>
  <c r="I112" i="11" a="1"/>
  <c r="K43" i="11" a="1"/>
  <c r="K109" i="11" a="1"/>
  <c r="J133" i="12" a="1"/>
  <c r="K79" i="11" a="1"/>
  <c r="J136" i="12" a="1"/>
  <c r="H120" i="11" a="1"/>
  <c r="J116" i="12" a="1"/>
  <c r="J123" i="12" a="1"/>
  <c r="J14" i="12" a="1"/>
  <c r="K54" i="11" a="1"/>
  <c r="K136" i="11" a="1"/>
  <c r="K66" i="11" a="1"/>
  <c r="K65" i="11" a="1"/>
  <c r="J26" i="12" a="1"/>
  <c r="J48" i="12" a="1"/>
  <c r="K50" i="11" a="1"/>
  <c r="J70" i="12" a="1"/>
  <c r="E98" i="12" a="1"/>
  <c r="E98" i="11" a="1"/>
  <c r="K69" i="11" a="1"/>
  <c r="G180" i="12" a="1"/>
  <c r="J145" i="12" a="1"/>
  <c r="J80" i="12" a="1"/>
  <c r="J40" i="12" a="1"/>
  <c r="J127" i="12" a="1"/>
  <c r="H118" i="12" a="1"/>
  <c r="J52" i="12" a="1"/>
  <c r="K124" i="11" a="1"/>
  <c r="K25" i="11" a="1"/>
  <c r="K24" i="11" a="1"/>
  <c r="J27" i="12" a="1"/>
  <c r="H31" i="12" a="1"/>
  <c r="J12" i="12" a="1"/>
  <c r="K49" i="11" a="1"/>
  <c r="K56" i="11" a="1"/>
  <c r="K135" i="11" a="1"/>
  <c r="K47" i="11" a="1"/>
  <c r="K144" i="11" a="1"/>
  <c r="K16" i="11" a="1"/>
  <c r="J28" i="12" a="1"/>
  <c r="K45" i="11" a="1"/>
  <c r="K8" i="11" a="1"/>
  <c r="J53" i="12" a="1"/>
  <c r="K134" i="11" a="1"/>
  <c r="G63" i="12" a="1"/>
  <c r="K133" i="11" a="1"/>
  <c r="K52" i="11" a="1"/>
  <c r="J34" i="12" a="1"/>
  <c r="J38" i="12" a="1"/>
  <c r="K80" i="11" a="1"/>
  <c r="J124" i="12" a="1"/>
  <c r="I140" i="11" a="1"/>
  <c r="J49" i="12" a="1"/>
  <c r="K125" i="11" a="1"/>
  <c r="J33" i="12" a="1"/>
  <c r="J58" i="12" a="1"/>
  <c r="H85" i="11" a="1"/>
  <c r="K38" i="11" a="1"/>
  <c r="J109" i="12" a="1"/>
  <c r="J60" i="12" a="1"/>
  <c r="G151" i="12" a="1"/>
  <c r="J107" i="11" a="1"/>
  <c r="J59" i="12" a="1"/>
  <c r="K147" i="11" a="1"/>
  <c r="K33" i="11" a="1"/>
  <c r="K36" i="11" a="1"/>
  <c r="K57" i="11" a="1"/>
  <c r="E88" i="12" a="1"/>
  <c r="J41" i="12" a="1"/>
  <c r="J67" i="12" a="1"/>
  <c r="K110" i="11" a="1"/>
  <c r="E151" i="12" a="1"/>
  <c r="K37" i="11" a="1"/>
  <c r="K70" i="11" a="1"/>
  <c r="K58" i="11" a="1"/>
  <c r="J50" i="12" a="1"/>
  <c r="J36" i="12" a="1"/>
  <c r="K28" i="11" a="1"/>
  <c r="G85" i="12" a="1"/>
  <c r="I171" i="11" a="1"/>
  <c r="K115" i="11" a="1"/>
  <c r="J43" i="12" a="1"/>
  <c r="J68" i="12" a="1"/>
  <c r="K104" i="11" a="1"/>
  <c r="K41" i="11" a="1"/>
  <c r="J11" i="12" a="1"/>
  <c r="F88" i="11" a="1"/>
  <c r="K127" i="11" a="1"/>
  <c r="J47" i="12" a="1"/>
  <c r="K67" i="11" a="1"/>
  <c r="E142" i="12" a="1"/>
  <c r="K26" i="11" a="1"/>
  <c r="J129" i="12" a="1"/>
  <c r="J78" i="12" a="1"/>
  <c r="H142" i="11" a="1"/>
  <c r="J44" i="12" a="1"/>
  <c r="J146" i="12" a="1"/>
  <c r="D165" i="12" a="1"/>
  <c r="K68" i="11" a="1"/>
  <c r="K72" i="11" a="1"/>
  <c r="J77" i="12" a="1"/>
  <c r="K129" i="11" a="1"/>
  <c r="J115" i="12" a="1"/>
  <c r="G132" i="12" a="1"/>
  <c r="J57" i="12" a="1"/>
  <c r="J9" i="12" a="1"/>
  <c r="J6" i="11" a="1"/>
  <c r="I6" i="12" a="1"/>
  <c r="K60" i="11" a="1"/>
  <c r="I149" i="11" a="1"/>
  <c r="K76" i="11" a="1"/>
  <c r="J75" i="12" a="1"/>
  <c r="J35" i="12" a="1"/>
  <c r="G142" i="12" a="1"/>
  <c r="I31" i="11" a="1"/>
  <c r="H112" i="12" a="1"/>
  <c r="G120" i="12" a="1"/>
  <c r="J135" i="12" a="1"/>
  <c r="K14" i="11" a="1"/>
  <c r="K114" i="11" a="1"/>
  <c r="K55" i="11" a="1"/>
  <c r="J54" i="12" a="1"/>
  <c r="K17" i="11" a="1"/>
  <c r="F88" i="12" a="1"/>
  <c r="J66" i="12" a="1"/>
  <c r="K59" i="11" a="1"/>
  <c r="K11" i="11" a="1"/>
  <c r="J104" i="12" a="1"/>
  <c r="J65" i="12" a="1"/>
  <c r="I118" i="11" a="1"/>
  <c r="J147" i="12" a="1"/>
  <c r="J10" i="12" a="1"/>
  <c r="K82" i="11" a="1"/>
  <c r="K75" i="11" a="1"/>
  <c r="J114" i="12" a="1"/>
  <c r="H171" i="12" a="1"/>
  <c r="K9" i="11" a="1"/>
  <c r="J55" i="12" a="1"/>
  <c r="E88" i="11" a="1"/>
  <c r="J76" i="12" a="1"/>
  <c r="J37" i="12" a="1"/>
  <c r="J16" i="12" a="1"/>
  <c r="J17" i="12" a="1"/>
  <c r="K73" i="11" a="1"/>
  <c r="J4" i="12" a="1"/>
  <c r="K78" i="11" a="1"/>
  <c r="J110" i="12" a="1"/>
  <c r="J79" i="12" a="1"/>
  <c r="K116" i="11" a="1"/>
  <c r="K12" i="11" a="1"/>
  <c r="J72" i="12" a="1"/>
  <c r="H63" i="11" a="1"/>
  <c r="H180" i="11" a="1"/>
  <c r="J69" i="12" a="1"/>
  <c r="K10" i="11" a="1"/>
  <c r="K44" i="11" a="1"/>
  <c r="J8" i="12" a="1"/>
  <c r="K77" i="11" a="1"/>
  <c r="J56" i="12" a="1"/>
  <c r="G88" i="11" a="1"/>
  <c r="I107" i="12" a="1"/>
  <c r="J82" i="12" a="1"/>
  <c r="K53" i="11" a="1"/>
  <c r="K40" i="11" a="1"/>
  <c r="K4" i="11" a="1"/>
  <c r="H140" i="12" a="1"/>
  <c r="J24" i="12" a="1"/>
  <c r="K34" i="11" a="1"/>
  <c r="J45" i="12" a="1"/>
  <c r="K123" i="11" a="1"/>
  <c r="K145" i="11" a="1"/>
  <c r="K48" i="11" a="1"/>
  <c r="H132" i="11" a="1"/>
  <c r="J125" i="12" a="1"/>
  <c r="J73" i="12" a="1"/>
  <c r="H149" i="12" a="1"/>
  <c r="K27" i="11" a="1"/>
  <c r="K146" i="11" a="1"/>
  <c r="J25" i="12" a="1"/>
  <c r="D165" i="11" a="1"/>
  <c r="J144" i="12" a="1"/>
  <c r="J134" i="12" a="1"/>
  <c r="K35" i="11" a="1"/>
  <c r="I131" i="11" l="1"/>
  <c r="E142" i="12"/>
  <c r="S89" i="10"/>
  <c r="S90" i="10" s="1"/>
  <c r="H86" i="11"/>
  <c r="H85" i="11"/>
  <c r="G132" i="12"/>
  <c r="E88" i="11"/>
  <c r="H132" i="11"/>
  <c r="G180" i="12"/>
  <c r="H19" i="12"/>
  <c r="H20" i="12" s="1"/>
  <c r="H84" i="12"/>
  <c r="H131" i="12"/>
  <c r="H141" i="12" s="1"/>
  <c r="H150" i="12" s="1"/>
  <c r="E88" i="12"/>
  <c r="I179" i="11"/>
  <c r="G21" i="12"/>
  <c r="H31" i="12"/>
  <c r="I19" i="11"/>
  <c r="I20" i="11" s="1"/>
  <c r="J71" i="11"/>
  <c r="J74" i="11" s="1"/>
  <c r="I163" i="11"/>
  <c r="H179" i="12"/>
  <c r="I31" i="11"/>
  <c r="H63" i="11"/>
  <c r="I42" i="12"/>
  <c r="H163" i="12"/>
  <c r="J42" i="11"/>
  <c r="G63" i="12"/>
  <c r="G85" i="12"/>
  <c r="I62" i="11"/>
  <c r="I170" i="12"/>
  <c r="J18" i="11"/>
  <c r="I126" i="12"/>
  <c r="H62" i="12"/>
  <c r="I84" i="11"/>
  <c r="I71" i="12"/>
  <c r="I74" i="12" s="1"/>
  <c r="I18" i="12"/>
  <c r="G86" i="12"/>
  <c r="G87" i="12" s="1"/>
  <c r="J130" i="11"/>
  <c r="J82" i="12"/>
  <c r="J14" i="12"/>
  <c r="J53" i="12"/>
  <c r="J55" i="12"/>
  <c r="J72" i="12"/>
  <c r="K12" i="11"/>
  <c r="K35" i="11"/>
  <c r="K54" i="11"/>
  <c r="K67" i="11"/>
  <c r="K129" i="11"/>
  <c r="K162" i="11" s="1"/>
  <c r="H171" i="12"/>
  <c r="K9" i="11"/>
  <c r="G142" i="12"/>
  <c r="J33" i="12"/>
  <c r="J47" i="12"/>
  <c r="J66" i="12"/>
  <c r="J115" i="12"/>
  <c r="J168" i="12" s="1"/>
  <c r="J123" i="12"/>
  <c r="K8" i="11"/>
  <c r="K28" i="11"/>
  <c r="K57" i="11"/>
  <c r="K116" i="11"/>
  <c r="K169" i="11" s="1"/>
  <c r="K134" i="11"/>
  <c r="J27" i="12"/>
  <c r="J58" i="12"/>
  <c r="J77" i="12"/>
  <c r="J114" i="12"/>
  <c r="K48" i="11"/>
  <c r="K69" i="11"/>
  <c r="K125" i="11"/>
  <c r="K160" i="11" s="1"/>
  <c r="K127" i="11"/>
  <c r="F88" i="12"/>
  <c r="I107" i="12"/>
  <c r="J116" i="12"/>
  <c r="J169" i="12" s="1"/>
  <c r="K45" i="11"/>
  <c r="J36" i="12"/>
  <c r="J35" i="12"/>
  <c r="J79" i="12"/>
  <c r="J134" i="12"/>
  <c r="K24" i="11"/>
  <c r="K36" i="11"/>
  <c r="K72" i="11"/>
  <c r="K75" i="11"/>
  <c r="K145" i="11"/>
  <c r="E98" i="11"/>
  <c r="J49" i="12"/>
  <c r="F88" i="11"/>
  <c r="K17" i="11"/>
  <c r="G88" i="11"/>
  <c r="H120" i="11"/>
  <c r="J28" i="12"/>
  <c r="J50" i="12"/>
  <c r="J75" i="12"/>
  <c r="J110" i="12"/>
  <c r="J167" i="12" s="1"/>
  <c r="J144" i="12"/>
  <c r="K25" i="11"/>
  <c r="K33" i="11"/>
  <c r="K68" i="11"/>
  <c r="K82" i="11"/>
  <c r="K123" i="11"/>
  <c r="E98" i="12"/>
  <c r="I140" i="11"/>
  <c r="J11" i="12"/>
  <c r="J54" i="12"/>
  <c r="J56" i="12"/>
  <c r="J136" i="12"/>
  <c r="K16" i="11"/>
  <c r="K58" i="11"/>
  <c r="K76" i="11"/>
  <c r="K78" i="11"/>
  <c r="D165" i="11"/>
  <c r="K124" i="11"/>
  <c r="K147" i="11"/>
  <c r="D165" i="12"/>
  <c r="J10" i="12"/>
  <c r="J45" i="12"/>
  <c r="J70" i="12"/>
  <c r="J124" i="12"/>
  <c r="K41" i="11"/>
  <c r="K55" i="11"/>
  <c r="K77" i="11"/>
  <c r="K79" i="11"/>
  <c r="K144" i="11"/>
  <c r="K70" i="11"/>
  <c r="I149" i="11"/>
  <c r="J4" i="12"/>
  <c r="J5" i="12" s="1"/>
  <c r="J25" i="12"/>
  <c r="J52" i="12"/>
  <c r="J59" i="12"/>
  <c r="J146" i="12"/>
  <c r="J147" i="12"/>
  <c r="K34" i="11"/>
  <c r="K50" i="11"/>
  <c r="K80" i="11"/>
  <c r="K104" i="11"/>
  <c r="K105" i="11" s="1"/>
  <c r="K106" i="11" s="1"/>
  <c r="K114" i="11"/>
  <c r="J8" i="12"/>
  <c r="J133" i="12"/>
  <c r="K47" i="11"/>
  <c r="K37" i="11"/>
  <c r="K60" i="11"/>
  <c r="K73" i="11"/>
  <c r="K146" i="11"/>
  <c r="H118" i="12"/>
  <c r="J107" i="11"/>
  <c r="J44" i="12"/>
  <c r="I118" i="11"/>
  <c r="J24" i="12"/>
  <c r="J48" i="12"/>
  <c r="J38" i="12"/>
  <c r="J68" i="12"/>
  <c r="K14" i="11"/>
  <c r="K44" i="11"/>
  <c r="K109" i="11"/>
  <c r="K135" i="11"/>
  <c r="K174" i="11" s="1"/>
  <c r="E151" i="12"/>
  <c r="I6" i="12"/>
  <c r="J17" i="12"/>
  <c r="K27" i="11"/>
  <c r="J127" i="12"/>
  <c r="G151" i="12"/>
  <c r="H142" i="11"/>
  <c r="J65" i="12"/>
  <c r="H140" i="12"/>
  <c r="J26" i="12"/>
  <c r="J34" i="12"/>
  <c r="J43" i="12"/>
  <c r="J135" i="12"/>
  <c r="J174" i="12" s="1"/>
  <c r="K10" i="11"/>
  <c r="K43" i="11"/>
  <c r="K56" i="11"/>
  <c r="K110" i="11"/>
  <c r="K167" i="11" s="1"/>
  <c r="J6" i="11"/>
  <c r="J16" i="12"/>
  <c r="H149" i="12"/>
  <c r="J40" i="12"/>
  <c r="J60" i="12"/>
  <c r="J78" i="12"/>
  <c r="J104" i="12"/>
  <c r="J105" i="12" s="1"/>
  <c r="J106" i="12" s="1"/>
  <c r="K4" i="11"/>
  <c r="K5" i="11" s="1"/>
  <c r="K65" i="11"/>
  <c r="K52" i="11"/>
  <c r="K115" i="11"/>
  <c r="K168" i="11" s="1"/>
  <c r="G120" i="12"/>
  <c r="J69" i="12"/>
  <c r="I112" i="11"/>
  <c r="K49" i="11"/>
  <c r="J67" i="12"/>
  <c r="J9" i="12"/>
  <c r="J37" i="12"/>
  <c r="J73" i="12"/>
  <c r="J80" i="12"/>
  <c r="J109" i="12"/>
  <c r="J129" i="12"/>
  <c r="J162" i="12" s="1"/>
  <c r="K11" i="11"/>
  <c r="K40" i="11"/>
  <c r="K66" i="11"/>
  <c r="K133" i="11"/>
  <c r="I171" i="11"/>
  <c r="H112" i="12"/>
  <c r="H180" i="11"/>
  <c r="H21" i="11"/>
  <c r="J12" i="12"/>
  <c r="J41" i="12"/>
  <c r="J57" i="12"/>
  <c r="J76" i="12"/>
  <c r="J125" i="12"/>
  <c r="J160" i="12" s="1"/>
  <c r="J145" i="12"/>
  <c r="K38" i="11"/>
  <c r="K26" i="11"/>
  <c r="K59" i="11"/>
  <c r="K53" i="11"/>
  <c r="K136" i="11"/>
  <c r="I7" i="13"/>
  <c r="I8" i="13" s="1"/>
  <c r="AU47" i="7"/>
  <c r="J173" i="11"/>
  <c r="J139" i="11"/>
  <c r="K1" i="7"/>
  <c r="J33" i="7" s="1"/>
  <c r="J40" i="7"/>
  <c r="J37" i="7"/>
  <c r="J38" i="7" s="1"/>
  <c r="J21" i="7"/>
  <c r="V26" i="9"/>
  <c r="T26" i="9"/>
  <c r="S26" i="9"/>
  <c r="R26" i="9"/>
  <c r="Q26" i="9"/>
  <c r="P26" i="9"/>
  <c r="F27" i="9"/>
  <c r="O26" i="9"/>
  <c r="N26" i="9"/>
  <c r="U26" i="9"/>
  <c r="I55" i="6"/>
  <c r="I54" i="6" s="1"/>
  <c r="AT47" i="7"/>
  <c r="V56" i="9"/>
  <c r="V12" i="9"/>
  <c r="V62" i="9"/>
  <c r="V55" i="9"/>
  <c r="V40" i="9"/>
  <c r="V71" i="9" s="1"/>
  <c r="V35" i="9"/>
  <c r="V11" i="9"/>
  <c r="V5" i="9"/>
  <c r="V61" i="9"/>
  <c r="V54" i="9"/>
  <c r="V16" i="9"/>
  <c r="V34" i="9"/>
  <c r="V44" i="9"/>
  <c r="V10" i="9"/>
  <c r="V4" i="9"/>
  <c r="V60" i="9"/>
  <c r="V53" i="9"/>
  <c r="V48" i="9"/>
  <c r="V15" i="9"/>
  <c r="V33" i="9"/>
  <c r="V70" i="9" s="1"/>
  <c r="V20" i="9"/>
  <c r="W1" i="9"/>
  <c r="V43" i="9"/>
  <c r="V9" i="9"/>
  <c r="V59" i="9"/>
  <c r="V14" i="9"/>
  <c r="V58" i="9"/>
  <c r="V42" i="9"/>
  <c r="V17" i="9"/>
  <c r="V7" i="9"/>
  <c r="V57" i="9"/>
  <c r="V41" i="9"/>
  <c r="V63" i="9"/>
  <c r="V18" i="9"/>
  <c r="V8" i="9"/>
  <c r="V36" i="9"/>
  <c r="V19" i="9"/>
  <c r="V13" i="9"/>
  <c r="V38" i="9"/>
  <c r="V45" i="9"/>
  <c r="V64" i="9"/>
  <c r="V21" i="9"/>
  <c r="V37" i="9"/>
  <c r="V49" i="9"/>
  <c r="V46" i="9"/>
  <c r="V50" i="9"/>
  <c r="V22" i="9"/>
  <c r="V47" i="9"/>
  <c r="V51" i="9"/>
  <c r="V23" i="9"/>
  <c r="V24" i="9"/>
  <c r="U71" i="9"/>
  <c r="AL4" i="6"/>
  <c r="AM5" i="6"/>
  <c r="I159" i="12"/>
  <c r="I111" i="12"/>
  <c r="I130" i="12"/>
  <c r="I131" i="12" s="1"/>
  <c r="AL47" i="6"/>
  <c r="F97" i="12"/>
  <c r="T69" i="10"/>
  <c r="H32" i="7"/>
  <c r="L29" i="15"/>
  <c r="E156" i="11"/>
  <c r="E164" i="11" s="1"/>
  <c r="U70" i="9"/>
  <c r="I148" i="12"/>
  <c r="J158" i="11"/>
  <c r="J117" i="11"/>
  <c r="F97" i="11"/>
  <c r="G97" i="11"/>
  <c r="AV53" i="6"/>
  <c r="T65" i="10"/>
  <c r="T68" i="10"/>
  <c r="T88" i="10"/>
  <c r="T84" i="10"/>
  <c r="T87" i="10"/>
  <c r="T86" i="10"/>
  <c r="T85" i="10"/>
  <c r="E156" i="12"/>
  <c r="E164" i="12" s="1"/>
  <c r="I178" i="12"/>
  <c r="I175" i="12"/>
  <c r="J170" i="11"/>
  <c r="I21" i="7"/>
  <c r="I20" i="7" s="1"/>
  <c r="I11" i="13"/>
  <c r="I25" i="13"/>
  <c r="J2" i="13"/>
  <c r="I5" i="13"/>
  <c r="I9" i="13" s="1"/>
  <c r="J4" i="13" s="1"/>
  <c r="I141" i="11"/>
  <c r="I150" i="11" s="1"/>
  <c r="I31" i="7"/>
  <c r="L1" i="12"/>
  <c r="K35" i="3"/>
  <c r="AP44" i="6"/>
  <c r="D181" i="11"/>
  <c r="H67" i="7"/>
  <c r="J61" i="11"/>
  <c r="J159" i="11"/>
  <c r="J111" i="11"/>
  <c r="I15" i="5" a="1"/>
  <c r="I15" i="5" s="1"/>
  <c r="J1" i="5"/>
  <c r="I5" i="5" a="1"/>
  <c r="I5" i="5" s="1"/>
  <c r="D181" i="12"/>
  <c r="S81" i="10"/>
  <c r="S82" i="10" s="1"/>
  <c r="I9" i="6"/>
  <c r="T71" i="10"/>
  <c r="U72" i="9"/>
  <c r="J148" i="11"/>
  <c r="I39" i="12"/>
  <c r="J39" i="11"/>
  <c r="I158" i="12"/>
  <c r="I117" i="12"/>
  <c r="S73" i="10"/>
  <c r="S74" i="10" s="1"/>
  <c r="AR44" i="7"/>
  <c r="AS44" i="7" s="1"/>
  <c r="I39" i="6"/>
  <c r="J13" i="11"/>
  <c r="J15" i="11" s="1"/>
  <c r="K1" i="15"/>
  <c r="G29" i="13"/>
  <c r="H24" i="13" s="1"/>
  <c r="G27" i="13"/>
  <c r="G28" i="13" s="1"/>
  <c r="I9" i="3" a="1"/>
  <c r="I9" i="3" s="1"/>
  <c r="J1" i="3"/>
  <c r="H119" i="12"/>
  <c r="U68" i="9"/>
  <c r="I32" i="7"/>
  <c r="M1" i="11"/>
  <c r="I119" i="11"/>
  <c r="H67" i="6"/>
  <c r="H8" i="6"/>
  <c r="AZ38" i="6"/>
  <c r="E152" i="12"/>
  <c r="J33" i="6"/>
  <c r="J32" i="6" s="1"/>
  <c r="J40" i="6"/>
  <c r="J55" i="6"/>
  <c r="J54" i="6" s="1"/>
  <c r="J52" i="6"/>
  <c r="J53" i="6" s="1"/>
  <c r="J21" i="6"/>
  <c r="J20" i="6" s="1"/>
  <c r="K1" i="6"/>
  <c r="J18" i="6"/>
  <c r="J19" i="6" s="1"/>
  <c r="J7" i="6"/>
  <c r="J65" i="6"/>
  <c r="J9" i="6"/>
  <c r="J31" i="6"/>
  <c r="T72" i="10"/>
  <c r="AU38" i="7"/>
  <c r="J178" i="11"/>
  <c r="J175" i="11"/>
  <c r="J51" i="11"/>
  <c r="I173" i="12"/>
  <c r="I139" i="12"/>
  <c r="G152" i="12"/>
  <c r="H150" i="11"/>
  <c r="J26" i="13"/>
  <c r="J6" i="13"/>
  <c r="K1" i="13"/>
  <c r="AM4" i="7"/>
  <c r="AN5" i="7"/>
  <c r="I55" i="7"/>
  <c r="I54" i="7" s="1"/>
  <c r="AU19" i="6"/>
  <c r="AQ66" i="12"/>
  <c r="I7" i="6"/>
  <c r="I64" i="6" s="1"/>
  <c r="I37" i="7"/>
  <c r="I38" i="7" s="1"/>
  <c r="H54" i="7"/>
  <c r="I21" i="6"/>
  <c r="I20" i="6" s="1"/>
  <c r="L81" i="15"/>
  <c r="AT38" i="7"/>
  <c r="AV38" i="7" s="1"/>
  <c r="AU53" i="7"/>
  <c r="AV53" i="7" s="1"/>
  <c r="J46" i="11"/>
  <c r="J29" i="11"/>
  <c r="J30" i="11" s="1"/>
  <c r="I29" i="12"/>
  <c r="I30" i="12" s="1"/>
  <c r="I8" i="7"/>
  <c r="I7" i="7"/>
  <c r="I64" i="7" s="1"/>
  <c r="AS47" i="7"/>
  <c r="AV46" i="7"/>
  <c r="I31" i="6"/>
  <c r="I32" i="6" s="1"/>
  <c r="AM46" i="6"/>
  <c r="I13" i="12"/>
  <c r="I15" i="12" s="1"/>
  <c r="I61" i="12"/>
  <c r="J81" i="11"/>
  <c r="J83" i="11" s="1"/>
  <c r="I51" i="12"/>
  <c r="I81" i="12"/>
  <c r="I83" i="12" s="1"/>
  <c r="I39" i="7"/>
  <c r="H87" i="11"/>
  <c r="AN66" i="11"/>
  <c r="AW19" i="7"/>
  <c r="AX19" i="7" s="1"/>
  <c r="U61" i="10"/>
  <c r="U60" i="10"/>
  <c r="U53" i="10"/>
  <c r="U15" i="10"/>
  <c r="U20" i="10"/>
  <c r="U54" i="10"/>
  <c r="U9" i="10"/>
  <c r="U4" i="10"/>
  <c r="U14" i="10"/>
  <c r="U57" i="10"/>
  <c r="U19" i="10"/>
  <c r="U8" i="10"/>
  <c r="V1" i="10"/>
  <c r="U55" i="10"/>
  <c r="U13" i="10"/>
  <c r="U43" i="10"/>
  <c r="U18" i="10"/>
  <c r="U42" i="10"/>
  <c r="U41" i="10"/>
  <c r="U40" i="10"/>
  <c r="U71" i="10" s="1"/>
  <c r="U23" i="10"/>
  <c r="U59" i="10"/>
  <c r="U34" i="10"/>
  <c r="U12" i="10"/>
  <c r="U7" i="10"/>
  <c r="U17" i="10"/>
  <c r="U22" i="10"/>
  <c r="U33" i="10"/>
  <c r="U70" i="10" s="1"/>
  <c r="U11" i="10"/>
  <c r="U21" i="10"/>
  <c r="U5" i="10"/>
  <c r="U10" i="10"/>
  <c r="U58" i="10"/>
  <c r="U56" i="10"/>
  <c r="U16" i="10"/>
  <c r="J126" i="11"/>
  <c r="I46" i="12"/>
  <c r="I21" i="11" a="1"/>
  <c r="L33" i="11" a="1"/>
  <c r="K24" i="12" a="1"/>
  <c r="K78" i="12" a="1"/>
  <c r="L123" i="11" a="1"/>
  <c r="L73" i="11" a="1"/>
  <c r="L124" i="11" a="1"/>
  <c r="K133" i="12" a="1"/>
  <c r="K10" i="12" a="1"/>
  <c r="L43" i="11" a="1"/>
  <c r="E165" i="11" a="1"/>
  <c r="K54" i="12" a="1"/>
  <c r="L109" i="11" a="1"/>
  <c r="K134" i="12" a="1"/>
  <c r="I132" i="12" a="1"/>
  <c r="K50" i="12" a="1"/>
  <c r="L110" i="11" a="1"/>
  <c r="K17" i="12" a="1"/>
  <c r="L48" i="11" a="1"/>
  <c r="K110" i="12" a="1"/>
  <c r="J149" i="11" a="1"/>
  <c r="K127" i="12" a="1"/>
  <c r="L145" i="11" a="1"/>
  <c r="H132" i="12" a="1"/>
  <c r="L56" i="11" a="1"/>
  <c r="K80" i="12" a="1"/>
  <c r="J118" i="11" a="1"/>
  <c r="K60" i="12" a="1"/>
  <c r="L41" i="11" a="1"/>
  <c r="I140" i="12" a="1"/>
  <c r="L35" i="11" a="1"/>
  <c r="K40" i="12" a="1"/>
  <c r="L127" i="11" a="1"/>
  <c r="K67" i="12" a="1"/>
  <c r="I171" i="12" a="1"/>
  <c r="K124" i="12" a="1"/>
  <c r="H120" i="12" a="1"/>
  <c r="L136" i="11" a="1"/>
  <c r="L55" i="11" a="1"/>
  <c r="J107" i="12" a="1"/>
  <c r="H151" i="12" a="1"/>
  <c r="K36" i="12" a="1"/>
  <c r="L65" i="11" a="1"/>
  <c r="L38" i="11" a="1"/>
  <c r="L135" i="11" a="1"/>
  <c r="L45" i="11" a="1"/>
  <c r="H142" i="12" a="1"/>
  <c r="H88" i="11" a="1"/>
  <c r="H63" i="12" a="1"/>
  <c r="K82" i="12" a="1"/>
  <c r="L144" i="11" a="1"/>
  <c r="L82" i="11" a="1"/>
  <c r="L25" i="11" a="1"/>
  <c r="E165" i="12" a="1"/>
  <c r="K107" i="11" a="1"/>
  <c r="K14" i="12" a="1"/>
  <c r="L53" i="11" a="1"/>
  <c r="K26" i="12" a="1"/>
  <c r="H85" i="12" a="1"/>
  <c r="L79" i="11" a="1"/>
  <c r="K135" i="12" a="1"/>
  <c r="I112" i="12" a="1"/>
  <c r="K45" i="12" a="1"/>
  <c r="L52" i="11" a="1"/>
  <c r="L12" i="11" a="1"/>
  <c r="L49" i="11" a="1"/>
  <c r="K72" i="12" a="1"/>
  <c r="K4" i="12" a="1"/>
  <c r="L26" i="11" a="1"/>
  <c r="K69" i="12" a="1"/>
  <c r="L17" i="11" a="1"/>
  <c r="I63" i="11" a="1"/>
  <c r="I149" i="12" a="1"/>
  <c r="I151" i="11" a="1"/>
  <c r="K55" i="12" a="1"/>
  <c r="L59" i="11" a="1"/>
  <c r="L14" i="11" a="1"/>
  <c r="L34" i="11" a="1"/>
  <c r="K59" i="12" a="1"/>
  <c r="L147" i="11" a="1"/>
  <c r="I120" i="11" a="1"/>
  <c r="K57" i="12" a="1"/>
  <c r="K136" i="12" a="1"/>
  <c r="I118" i="12" a="1"/>
  <c r="L67" i="11" a="1"/>
  <c r="L76" i="11" a="1"/>
  <c r="K115" i="12" a="1"/>
  <c r="K35" i="12" a="1"/>
  <c r="K109" i="12" a="1"/>
  <c r="L69" i="11" a="1"/>
  <c r="L10" i="11" a="1"/>
  <c r="K79" i="12" a="1"/>
  <c r="L28" i="11" a="1"/>
  <c r="J171" i="11" a="1"/>
  <c r="K114" i="12" a="1"/>
  <c r="L134" i="11" a="1"/>
  <c r="L9" i="11" a="1"/>
  <c r="J6" i="12" a="1"/>
  <c r="K70" i="12" a="1"/>
  <c r="K28" i="12" a="1"/>
  <c r="K76" i="12" a="1"/>
  <c r="L47" i="11" a="1"/>
  <c r="K146" i="12" a="1"/>
  <c r="K77" i="12" a="1"/>
  <c r="H180" i="12" a="1"/>
  <c r="L11" i="11" a="1"/>
  <c r="K43" i="12" a="1"/>
  <c r="K52" i="12" a="1"/>
  <c r="L77" i="11" a="1"/>
  <c r="K48" i="12" a="1"/>
  <c r="K11" i="12" a="1"/>
  <c r="K75" i="12" a="1"/>
  <c r="D182" i="11" a="1"/>
  <c r="L8" i="11" a="1"/>
  <c r="K44" i="12" a="1"/>
  <c r="K49" i="12" a="1"/>
  <c r="L36" i="11" a="1"/>
  <c r="G88" i="12" a="1"/>
  <c r="K25" i="12" a="1"/>
  <c r="L60" i="11" a="1"/>
  <c r="J31" i="11" a="1"/>
  <c r="K147" i="12" a="1"/>
  <c r="K58" i="12" a="1"/>
  <c r="F98" i="12" a="1"/>
  <c r="L116" i="11" a="1"/>
  <c r="K129" i="12" a="1"/>
  <c r="K104" i="12" a="1"/>
  <c r="I132" i="11" a="1"/>
  <c r="K9" i="12" a="1"/>
  <c r="L16" i="11" a="1"/>
  <c r="K33" i="12" a="1"/>
  <c r="K116" i="12" a="1"/>
  <c r="K41" i="12" a="1"/>
  <c r="L68" i="11" a="1"/>
  <c r="L129" i="11" a="1"/>
  <c r="L44" i="11" a="1"/>
  <c r="K47" i="12" a="1"/>
  <c r="L114" i="11" a="1"/>
  <c r="K12" i="12" a="1"/>
  <c r="L57" i="11" a="1"/>
  <c r="H21" i="12" a="1"/>
  <c r="D182" i="12" a="1"/>
  <c r="L4" i="11" a="1"/>
  <c r="L104" i="11" a="1"/>
  <c r="K53" i="12" a="1"/>
  <c r="L75" i="11" a="1"/>
  <c r="L58" i="11" a="1"/>
  <c r="L72" i="11" a="1"/>
  <c r="K144" i="12" a="1"/>
  <c r="K56" i="12" a="1"/>
  <c r="H151" i="11" a="1"/>
  <c r="I85" i="11" a="1"/>
  <c r="K68" i="12" a="1"/>
  <c r="L78" i="11" a="1"/>
  <c r="L50" i="11" a="1"/>
  <c r="J140" i="11" a="1"/>
  <c r="I142" i="11" a="1"/>
  <c r="K6" i="11" a="1"/>
  <c r="L133" i="11" a="1"/>
  <c r="L27" i="11" a="1"/>
  <c r="K125" i="12" a="1"/>
  <c r="L40" i="11" a="1"/>
  <c r="K73" i="12" a="1"/>
  <c r="J112" i="11" a="1"/>
  <c r="K16" i="12" a="1"/>
  <c r="L37" i="11" a="1"/>
  <c r="L66" i="11" a="1"/>
  <c r="F98" i="11" a="1"/>
  <c r="K38" i="12" a="1"/>
  <c r="L125" i="11" a="1"/>
  <c r="K8" i="12" a="1"/>
  <c r="L115" i="11" a="1"/>
  <c r="K66" i="12" a="1"/>
  <c r="K37" i="12" a="1"/>
  <c r="I180" i="11" a="1"/>
  <c r="L70" i="11" a="1"/>
  <c r="K65" i="12" a="1"/>
  <c r="K145" i="12" a="1"/>
  <c r="K34" i="12" a="1"/>
  <c r="L24" i="11" a="1"/>
  <c r="I31" i="12" a="1"/>
  <c r="G98" i="11" a="1"/>
  <c r="K27" i="12" a="1"/>
  <c r="L54" i="11" a="1"/>
  <c r="K123" i="12" a="1"/>
  <c r="L146" i="11" a="1"/>
  <c r="L80" i="11" a="1"/>
  <c r="H86" i="12" l="1"/>
  <c r="H87" i="12" s="1"/>
  <c r="H97" i="12" s="1"/>
  <c r="I132" i="11"/>
  <c r="H132" i="12"/>
  <c r="H85" i="12"/>
  <c r="H21" i="12"/>
  <c r="J131" i="11"/>
  <c r="K18" i="11"/>
  <c r="K42" i="11"/>
  <c r="I180" i="11"/>
  <c r="H180" i="12"/>
  <c r="I21" i="11"/>
  <c r="J19" i="11"/>
  <c r="J20" i="11" s="1"/>
  <c r="J39" i="12"/>
  <c r="I86" i="11"/>
  <c r="I87" i="11" s="1"/>
  <c r="J170" i="12"/>
  <c r="J84" i="11"/>
  <c r="I163" i="12"/>
  <c r="K39" i="11"/>
  <c r="K46" i="11"/>
  <c r="J71" i="12"/>
  <c r="J74" i="12" s="1"/>
  <c r="I179" i="12"/>
  <c r="G88" i="12"/>
  <c r="I85" i="11"/>
  <c r="H63" i="12"/>
  <c r="I171" i="12"/>
  <c r="I63" i="11"/>
  <c r="I62" i="12"/>
  <c r="J29" i="12"/>
  <c r="J30" i="12" s="1"/>
  <c r="J148" i="12"/>
  <c r="G97" i="12"/>
  <c r="G156" i="12" s="1"/>
  <c r="G164" i="12" s="1"/>
  <c r="J61" i="12"/>
  <c r="J62" i="11"/>
  <c r="J46" i="12"/>
  <c r="K130" i="11"/>
  <c r="I19" i="12"/>
  <c r="I20" i="12" s="1"/>
  <c r="K73" i="12"/>
  <c r="H88" i="11"/>
  <c r="L45" i="11"/>
  <c r="K57" i="12"/>
  <c r="K49" i="12"/>
  <c r="E165" i="11"/>
  <c r="L146" i="11"/>
  <c r="J112" i="11"/>
  <c r="K69" i="12"/>
  <c r="H142" i="12"/>
  <c r="K12" i="12"/>
  <c r="K67" i="12"/>
  <c r="K127" i="12"/>
  <c r="H151" i="11"/>
  <c r="L28" i="11"/>
  <c r="L36" i="11"/>
  <c r="L40" i="11"/>
  <c r="L80" i="11"/>
  <c r="L135" i="11"/>
  <c r="L174" i="11" s="1"/>
  <c r="K37" i="12"/>
  <c r="K44" i="12"/>
  <c r="K77" i="12"/>
  <c r="K123" i="12"/>
  <c r="L17" i="11"/>
  <c r="L26" i="11"/>
  <c r="L57" i="11"/>
  <c r="L114" i="11"/>
  <c r="L145" i="11"/>
  <c r="J149" i="11"/>
  <c r="K26" i="12"/>
  <c r="K79" i="12"/>
  <c r="K104" i="12"/>
  <c r="K105" i="12" s="1"/>
  <c r="K106" i="12" s="1"/>
  <c r="K125" i="12"/>
  <c r="K160" i="12" s="1"/>
  <c r="J171" i="11"/>
  <c r="L38" i="11"/>
  <c r="I120" i="11"/>
  <c r="L8" i="11"/>
  <c r="L43" i="11"/>
  <c r="L54" i="11"/>
  <c r="L127" i="11"/>
  <c r="K4" i="12"/>
  <c r="K5" i="12" s="1"/>
  <c r="K56" i="12"/>
  <c r="K47" i="12"/>
  <c r="K66" i="12"/>
  <c r="K110" i="12"/>
  <c r="K167" i="12" s="1"/>
  <c r="K146" i="12"/>
  <c r="L10" i="11"/>
  <c r="K129" i="12"/>
  <c r="K162" i="12" s="1"/>
  <c r="L27" i="11"/>
  <c r="L53" i="11"/>
  <c r="L65" i="11"/>
  <c r="L147" i="11"/>
  <c r="D182" i="11"/>
  <c r="K10" i="12"/>
  <c r="K27" i="12"/>
  <c r="K40" i="12"/>
  <c r="K72" i="12"/>
  <c r="K144" i="12"/>
  <c r="L44" i="11"/>
  <c r="L115" i="11"/>
  <c r="L168" i="11" s="1"/>
  <c r="L48" i="11"/>
  <c r="L47" i="11"/>
  <c r="L69" i="11"/>
  <c r="L116" i="11"/>
  <c r="L169" i="11" s="1"/>
  <c r="L133" i="11"/>
  <c r="K14" i="12"/>
  <c r="K36" i="12"/>
  <c r="K59" i="12"/>
  <c r="K75" i="12"/>
  <c r="K133" i="12"/>
  <c r="G98" i="11"/>
  <c r="L35" i="11"/>
  <c r="L49" i="11"/>
  <c r="L72" i="11"/>
  <c r="L129" i="11"/>
  <c r="L162" i="11" s="1"/>
  <c r="K8" i="12"/>
  <c r="K17" i="12"/>
  <c r="K76" i="12"/>
  <c r="K109" i="12"/>
  <c r="F98" i="12"/>
  <c r="K6" i="11"/>
  <c r="K107" i="11"/>
  <c r="H151" i="12"/>
  <c r="L34" i="11"/>
  <c r="K11" i="12"/>
  <c r="L124" i="11"/>
  <c r="I31" i="12"/>
  <c r="I140" i="12"/>
  <c r="L12" i="11"/>
  <c r="L58" i="11"/>
  <c r="L68" i="11"/>
  <c r="L125" i="11"/>
  <c r="L160" i="11" s="1"/>
  <c r="L110" i="11"/>
  <c r="L167" i="11" s="1"/>
  <c r="K28" i="12"/>
  <c r="K35" i="12"/>
  <c r="K58" i="12"/>
  <c r="I142" i="11"/>
  <c r="E165" i="12"/>
  <c r="J107" i="12"/>
  <c r="L14" i="11"/>
  <c r="K48" i="12"/>
  <c r="L73" i="11"/>
  <c r="L24" i="11"/>
  <c r="L41" i="11"/>
  <c r="L52" i="11"/>
  <c r="L75" i="11"/>
  <c r="K41" i="12"/>
  <c r="K38" i="12"/>
  <c r="K50" i="12"/>
  <c r="K70" i="12"/>
  <c r="K115" i="12"/>
  <c r="K168" i="12" s="1"/>
  <c r="K147" i="12"/>
  <c r="J140" i="11"/>
  <c r="L25" i="11"/>
  <c r="L55" i="11"/>
  <c r="L59" i="11"/>
  <c r="L77" i="11"/>
  <c r="L123" i="11"/>
  <c r="K34" i="12"/>
  <c r="K60" i="12"/>
  <c r="K45" i="12"/>
  <c r="K53" i="12"/>
  <c r="K116" i="12"/>
  <c r="K169" i="12" s="1"/>
  <c r="F98" i="11"/>
  <c r="I132" i="12"/>
  <c r="J6" i="12"/>
  <c r="L76" i="11"/>
  <c r="J31" i="11"/>
  <c r="L50" i="11"/>
  <c r="L82" i="11"/>
  <c r="L136" i="11"/>
  <c r="K55" i="12"/>
  <c r="K52" i="12"/>
  <c r="K78" i="12"/>
  <c r="K145" i="12"/>
  <c r="J118" i="11"/>
  <c r="I112" i="12"/>
  <c r="L104" i="11"/>
  <c r="L105" i="11" s="1"/>
  <c r="L106" i="11" s="1"/>
  <c r="K33" i="12"/>
  <c r="L66" i="11"/>
  <c r="K134" i="12"/>
  <c r="L9" i="11"/>
  <c r="L67" i="11"/>
  <c r="L60" i="11"/>
  <c r="L78" i="11"/>
  <c r="L144" i="11"/>
  <c r="H120" i="12"/>
  <c r="I151" i="11"/>
  <c r="K43" i="12"/>
  <c r="K24" i="12"/>
  <c r="K65" i="12"/>
  <c r="K80" i="12"/>
  <c r="K135" i="12"/>
  <c r="K174" i="12" s="1"/>
  <c r="L4" i="11"/>
  <c r="L5" i="11" s="1"/>
  <c r="L16" i="11"/>
  <c r="L37" i="11"/>
  <c r="L109" i="11"/>
  <c r="L134" i="11"/>
  <c r="I118" i="12"/>
  <c r="K25" i="12"/>
  <c r="K68" i="12"/>
  <c r="K82" i="12"/>
  <c r="K124" i="12"/>
  <c r="I149" i="12"/>
  <c r="L11" i="11"/>
  <c r="L33" i="11"/>
  <c r="L70" i="11"/>
  <c r="L56" i="11"/>
  <c r="L79" i="11"/>
  <c r="D182" i="12"/>
  <c r="K9" i="12"/>
  <c r="K16" i="12"/>
  <c r="K54" i="12"/>
  <c r="K114" i="12"/>
  <c r="K136" i="12"/>
  <c r="AY19" i="7"/>
  <c r="BA19" i="7" s="1"/>
  <c r="J7" i="13"/>
  <c r="J8" i="13" s="1"/>
  <c r="AW53" i="7"/>
  <c r="H97" i="11"/>
  <c r="E181" i="11"/>
  <c r="J39" i="7"/>
  <c r="K170" i="11"/>
  <c r="J173" i="12"/>
  <c r="J139" i="12"/>
  <c r="H152" i="11"/>
  <c r="T73" i="10"/>
  <c r="T74" i="10" s="1"/>
  <c r="K61" i="11"/>
  <c r="L1" i="15"/>
  <c r="T81" i="10"/>
  <c r="T82" i="10" s="1"/>
  <c r="V72" i="9"/>
  <c r="R27" i="9"/>
  <c r="P27" i="9"/>
  <c r="F28" i="9"/>
  <c r="O27" i="9"/>
  <c r="N27" i="9"/>
  <c r="U27" i="9"/>
  <c r="T27" i="9"/>
  <c r="S27" i="9"/>
  <c r="Q27" i="9"/>
  <c r="W27" i="9"/>
  <c r="V27" i="9"/>
  <c r="K65" i="7"/>
  <c r="K40" i="7"/>
  <c r="K55" i="7"/>
  <c r="K54" i="7" s="1"/>
  <c r="K37" i="7"/>
  <c r="K38" i="7" s="1"/>
  <c r="K7" i="7"/>
  <c r="K52" i="7"/>
  <c r="K53" i="7" s="1"/>
  <c r="L1" i="7"/>
  <c r="K31" i="7" s="1"/>
  <c r="K51" i="11"/>
  <c r="K148" i="11"/>
  <c r="H27" i="13"/>
  <c r="H28" i="13" s="1"/>
  <c r="J9" i="15"/>
  <c r="K1" i="5"/>
  <c r="J5" i="5" a="1"/>
  <c r="J5" i="5" s="1"/>
  <c r="J15" i="5" a="1"/>
  <c r="J15" i="5" s="1"/>
  <c r="J65" i="7"/>
  <c r="AT44" i="7"/>
  <c r="K159" i="11"/>
  <c r="K111" i="11"/>
  <c r="J178" i="12"/>
  <c r="J175" i="12"/>
  <c r="BC38" i="6"/>
  <c r="V68" i="9"/>
  <c r="J68" i="7"/>
  <c r="K81" i="11"/>
  <c r="K83" i="11" s="1"/>
  <c r="J67" i="6"/>
  <c r="J8" i="6"/>
  <c r="K1" i="3"/>
  <c r="J9" i="3" a="1"/>
  <c r="J9" i="3" s="1"/>
  <c r="G156" i="11"/>
  <c r="G164" i="11" s="1"/>
  <c r="AW46" i="7"/>
  <c r="J9" i="7"/>
  <c r="K178" i="11"/>
  <c r="K175" i="11"/>
  <c r="K158" i="11"/>
  <c r="K117" i="11"/>
  <c r="N1" i="11"/>
  <c r="F156" i="12"/>
  <c r="F164" i="12" s="1"/>
  <c r="J18" i="7"/>
  <c r="J19" i="7" s="1"/>
  <c r="J51" i="12"/>
  <c r="H152" i="12"/>
  <c r="K173" i="11"/>
  <c r="K139" i="11"/>
  <c r="L35" i="3"/>
  <c r="K43" i="3"/>
  <c r="BA38" i="6"/>
  <c r="I141" i="12"/>
  <c r="I150" i="12" s="1"/>
  <c r="M1" i="12"/>
  <c r="E181" i="12"/>
  <c r="J7" i="7"/>
  <c r="J126" i="12"/>
  <c r="M29" i="15"/>
  <c r="AZ19" i="7"/>
  <c r="U69" i="10"/>
  <c r="U65" i="10"/>
  <c r="U68" i="10"/>
  <c r="U88" i="10"/>
  <c r="U84" i="10"/>
  <c r="U87" i="10"/>
  <c r="U86" i="10"/>
  <c r="U85" i="10"/>
  <c r="J141" i="11"/>
  <c r="J150" i="11" s="1"/>
  <c r="I67" i="7"/>
  <c r="I84" i="12"/>
  <c r="J68" i="6"/>
  <c r="F156" i="11"/>
  <c r="F164" i="11" s="1"/>
  <c r="J179" i="11"/>
  <c r="J159" i="12"/>
  <c r="J111" i="12"/>
  <c r="K13" i="11"/>
  <c r="K15" i="11" s="1"/>
  <c r="K19" i="11" s="1"/>
  <c r="K20" i="11" s="1"/>
  <c r="V59" i="10"/>
  <c r="V55" i="10"/>
  <c r="V56" i="10"/>
  <c r="V20" i="10"/>
  <c r="V54" i="10"/>
  <c r="V9" i="10"/>
  <c r="V4" i="10"/>
  <c r="V14" i="10"/>
  <c r="V61" i="10"/>
  <c r="V57" i="10"/>
  <c r="V19" i="10"/>
  <c r="V8" i="10"/>
  <c r="W1" i="10"/>
  <c r="V60" i="10"/>
  <c r="V13" i="10"/>
  <c r="V43" i="10"/>
  <c r="V18" i="10"/>
  <c r="V42" i="10"/>
  <c r="V41" i="10"/>
  <c r="V40" i="10"/>
  <c r="V23" i="10"/>
  <c r="V34" i="10"/>
  <c r="V12" i="10"/>
  <c r="V7" i="10"/>
  <c r="V17" i="10"/>
  <c r="V22" i="10"/>
  <c r="V33" i="10"/>
  <c r="V11" i="10"/>
  <c r="V58" i="10"/>
  <c r="V16" i="10"/>
  <c r="V10" i="10"/>
  <c r="V53" i="10"/>
  <c r="V15" i="10"/>
  <c r="V21" i="10"/>
  <c r="V5" i="10"/>
  <c r="AO5" i="7"/>
  <c r="AN4" i="7"/>
  <c r="K33" i="6"/>
  <c r="K40" i="6"/>
  <c r="L1" i="6"/>
  <c r="J119" i="11"/>
  <c r="AQ44" i="6"/>
  <c r="AR44" i="6" s="1"/>
  <c r="BB38" i="6"/>
  <c r="J42" i="12"/>
  <c r="J158" i="12"/>
  <c r="J117" i="12"/>
  <c r="AW38" i="7"/>
  <c r="I152" i="11"/>
  <c r="I8" i="6"/>
  <c r="I67" i="6"/>
  <c r="T89" i="10"/>
  <c r="T90" i="10" s="1"/>
  <c r="J163" i="11"/>
  <c r="J55" i="7"/>
  <c r="J54" i="7" s="1"/>
  <c r="K71" i="11"/>
  <c r="K74" i="11" s="1"/>
  <c r="J81" i="12"/>
  <c r="J83" i="12" s="1"/>
  <c r="AM47" i="6"/>
  <c r="K26" i="13"/>
  <c r="K6" i="13"/>
  <c r="L1" i="13"/>
  <c r="I119" i="12"/>
  <c r="J5" i="13"/>
  <c r="J9" i="13" s="1"/>
  <c r="K4" i="13" s="1"/>
  <c r="J25" i="13"/>
  <c r="J11" i="13"/>
  <c r="K2" i="13"/>
  <c r="J52" i="7"/>
  <c r="J53" i="7" s="1"/>
  <c r="AV47" i="7"/>
  <c r="AN46" i="6"/>
  <c r="U72" i="10"/>
  <c r="AO66" i="11"/>
  <c r="M81" i="15"/>
  <c r="AR66" i="12"/>
  <c r="J37" i="6"/>
  <c r="J38" i="6" s="1"/>
  <c r="AW53" i="6"/>
  <c r="J43" i="3"/>
  <c r="AM4" i="6"/>
  <c r="AN5" i="6"/>
  <c r="W62" i="9"/>
  <c r="W17" i="9"/>
  <c r="W55" i="9"/>
  <c r="W40" i="9"/>
  <c r="W11" i="9"/>
  <c r="W5" i="9"/>
  <c r="W61" i="9"/>
  <c r="W54" i="9"/>
  <c r="W16" i="9"/>
  <c r="W34" i="9"/>
  <c r="W44" i="9"/>
  <c r="W60" i="9"/>
  <c r="W53" i="9"/>
  <c r="W48" i="9"/>
  <c r="W15" i="9"/>
  <c r="W33" i="9"/>
  <c r="W70" i="9" s="1"/>
  <c r="W20" i="9"/>
  <c r="X1" i="9"/>
  <c r="X27" i="9" s="1"/>
  <c r="W43" i="9"/>
  <c r="W9" i="9"/>
  <c r="W59" i="9"/>
  <c r="W14" i="9"/>
  <c r="W19" i="9"/>
  <c r="W63" i="9"/>
  <c r="W7" i="9"/>
  <c r="W58" i="9"/>
  <c r="W57" i="9"/>
  <c r="W42" i="9"/>
  <c r="W4" i="9"/>
  <c r="W56" i="9"/>
  <c r="W41" i="9"/>
  <c r="W18" i="9"/>
  <c r="W8" i="9"/>
  <c r="W36" i="9"/>
  <c r="W10" i="9"/>
  <c r="W12" i="9"/>
  <c r="W35" i="9"/>
  <c r="W13" i="9"/>
  <c r="W38" i="9"/>
  <c r="W64" i="9"/>
  <c r="W21" i="9"/>
  <c r="W37" i="9"/>
  <c r="W49" i="9"/>
  <c r="W45" i="9"/>
  <c r="W22" i="9"/>
  <c r="W46" i="9"/>
  <c r="W50" i="9"/>
  <c r="W51" i="9"/>
  <c r="W23" i="9"/>
  <c r="W47" i="9"/>
  <c r="W24" i="9"/>
  <c r="W25" i="9"/>
  <c r="W26" i="9"/>
  <c r="J31" i="7"/>
  <c r="J32" i="7" s="1"/>
  <c r="AV19" i="6"/>
  <c r="J13" i="12"/>
  <c r="J15" i="12" s="1"/>
  <c r="J18" i="12"/>
  <c r="J130" i="12"/>
  <c r="K126" i="11"/>
  <c r="K29" i="11"/>
  <c r="K30" i="11" s="1"/>
  <c r="J63" i="11" a="1"/>
  <c r="M133" i="11" a="1"/>
  <c r="M45" i="11" a="1"/>
  <c r="L54" i="12" a="1"/>
  <c r="L56" i="12" a="1"/>
  <c r="L47" i="12" a="1"/>
  <c r="G165" i="12" a="1"/>
  <c r="L17" i="12" a="1"/>
  <c r="M78" i="11" a="1"/>
  <c r="K140" i="11" a="1"/>
  <c r="J151" i="11" a="1"/>
  <c r="J31" i="12" a="1"/>
  <c r="L38" i="12" a="1"/>
  <c r="M147" i="11" a="1"/>
  <c r="M60" i="11" a="1"/>
  <c r="M54" i="11" a="1"/>
  <c r="L135" i="12" a="1"/>
  <c r="L27" i="12" a="1"/>
  <c r="L52" i="12" a="1"/>
  <c r="L33" i="12" a="1"/>
  <c r="M77" i="11" a="1"/>
  <c r="L77" i="12" a="1"/>
  <c r="L41" i="12" a="1"/>
  <c r="J149" i="12" a="1"/>
  <c r="M28" i="11" a="1"/>
  <c r="M76" i="11" a="1"/>
  <c r="M12" i="11" a="1"/>
  <c r="M43" i="11" a="1"/>
  <c r="L115" i="12" a="1"/>
  <c r="L4" i="12" a="1"/>
  <c r="L34" i="12" a="1"/>
  <c r="L72" i="12" a="1"/>
  <c r="M50" i="11" a="1"/>
  <c r="L48" i="12" a="1"/>
  <c r="L69" i="12" a="1"/>
  <c r="M129" i="11" a="1"/>
  <c r="M67" i="11" a="1"/>
  <c r="L12" i="12" a="1"/>
  <c r="M14" i="11" a="1"/>
  <c r="I120" i="12" a="1"/>
  <c r="K107" i="12" a="1"/>
  <c r="I85" i="12" a="1"/>
  <c r="L43" i="12" a="1"/>
  <c r="M57" i="11" a="1"/>
  <c r="L55" i="12" a="1"/>
  <c r="J140" i="12" a="1"/>
  <c r="M47" i="11" a="1"/>
  <c r="H88" i="12" a="1"/>
  <c r="M70" i="11" a="1"/>
  <c r="M38" i="11" a="1"/>
  <c r="L14" i="12" a="1"/>
  <c r="L70" i="12" a="1"/>
  <c r="M110" i="11" a="1"/>
  <c r="E182" i="11" a="1"/>
  <c r="M146" i="11" a="1"/>
  <c r="L16" i="12" a="1"/>
  <c r="L146" i="12" a="1"/>
  <c r="L49" i="12" a="1"/>
  <c r="M136" i="11" a="1"/>
  <c r="I21" i="12" a="1"/>
  <c r="M116" i="11" a="1"/>
  <c r="M9" i="11" a="1"/>
  <c r="L11" i="12" a="1"/>
  <c r="L40" i="12" a="1"/>
  <c r="L36" i="12" a="1"/>
  <c r="M36" i="11" a="1"/>
  <c r="J180" i="11" a="1"/>
  <c r="M58" i="11" a="1"/>
  <c r="L123" i="12" a="1"/>
  <c r="G165" i="11" a="1"/>
  <c r="L45" i="12" a="1"/>
  <c r="K6" i="12" a="1"/>
  <c r="M80" i="11" a="1"/>
  <c r="L80" i="12" a="1"/>
  <c r="J118" i="12" a="1"/>
  <c r="L28" i="12" a="1"/>
  <c r="M144" i="11" a="1"/>
  <c r="L116" i="12" a="1"/>
  <c r="M72" i="11" a="1"/>
  <c r="M37" i="11" a="1"/>
  <c r="L104" i="12" a="1"/>
  <c r="M53" i="11" a="1"/>
  <c r="J21" i="11" a="1"/>
  <c r="L144" i="12" a="1"/>
  <c r="L78" i="12" a="1"/>
  <c r="M56" i="11" a="1"/>
  <c r="H98" i="11" a="1"/>
  <c r="M124" i="11" a="1"/>
  <c r="M66" i="11" a="1"/>
  <c r="M34" i="11" a="1"/>
  <c r="M79" i="11" a="1"/>
  <c r="J112" i="12" a="1"/>
  <c r="L9" i="12" a="1"/>
  <c r="K21" i="11" a="1"/>
  <c r="I88" i="11" a="1"/>
  <c r="L73" i="12" a="1"/>
  <c r="L60" i="12" a="1"/>
  <c r="L129" i="12" a="1"/>
  <c r="K112" i="11" a="1"/>
  <c r="M109" i="11" a="1"/>
  <c r="M16" i="11" a="1"/>
  <c r="M25" i="11" a="1"/>
  <c r="M24" i="11" a="1"/>
  <c r="J120" i="11" a="1"/>
  <c r="I151" i="12" a="1"/>
  <c r="M17" i="11" a="1"/>
  <c r="M48" i="11" a="1"/>
  <c r="M8" i="11" a="1"/>
  <c r="E182" i="12" a="1"/>
  <c r="L8" i="12" a="1"/>
  <c r="L25" i="12" a="1"/>
  <c r="M115" i="11" a="1"/>
  <c r="M125" i="11" a="1"/>
  <c r="M114" i="11" a="1"/>
  <c r="L125" i="12" a="1"/>
  <c r="L65" i="12" a="1"/>
  <c r="M75" i="11" a="1"/>
  <c r="J132" i="11" a="1"/>
  <c r="M27" i="11" a="1"/>
  <c r="L124" i="12" a="1"/>
  <c r="M145" i="11" a="1"/>
  <c r="L107" i="11" a="1"/>
  <c r="K149" i="11" a="1"/>
  <c r="M52" i="11" a="1"/>
  <c r="M68" i="11" a="1"/>
  <c r="M55" i="11" a="1"/>
  <c r="L68" i="12" a="1"/>
  <c r="M82" i="11" a="1"/>
  <c r="M65" i="11" a="1"/>
  <c r="I180" i="12" a="1"/>
  <c r="L10" i="12" a="1"/>
  <c r="L79" i="12" a="1"/>
  <c r="L76" i="12" a="1"/>
  <c r="M135" i="11" a="1"/>
  <c r="M33" i="11" a="1"/>
  <c r="L75" i="12" a="1"/>
  <c r="L147" i="12" a="1"/>
  <c r="L66" i="12" a="1"/>
  <c r="M134" i="11" a="1"/>
  <c r="I142" i="12" a="1"/>
  <c r="L67" i="12" a="1"/>
  <c r="I63" i="12" a="1"/>
  <c r="M10" i="11" a="1"/>
  <c r="K31" i="11" a="1"/>
  <c r="M127" i="11" a="1"/>
  <c r="M104" i="11" a="1"/>
  <c r="M11" i="11" a="1"/>
  <c r="L44" i="12" a="1"/>
  <c r="L114" i="12" a="1"/>
  <c r="L53" i="12" a="1"/>
  <c r="M69" i="11" a="1"/>
  <c r="L127" i="12" a="1"/>
  <c r="J171" i="12" a="1"/>
  <c r="L57" i="12" a="1"/>
  <c r="L35" i="12" a="1"/>
  <c r="L59" i="12" a="1"/>
  <c r="M123" i="11" a="1"/>
  <c r="M59" i="11" a="1"/>
  <c r="M35" i="11" a="1"/>
  <c r="M4" i="11" a="1"/>
  <c r="M26" i="11" a="1"/>
  <c r="K171" i="11" a="1"/>
  <c r="M73" i="11" a="1"/>
  <c r="L145" i="12" a="1"/>
  <c r="J85" i="11" a="1"/>
  <c r="L24" i="12" a="1"/>
  <c r="L37" i="12" a="1"/>
  <c r="F165" i="11" a="1"/>
  <c r="L6" i="11" a="1"/>
  <c r="M44" i="11" a="1"/>
  <c r="L136" i="12" a="1"/>
  <c r="F165" i="12" a="1"/>
  <c r="L110" i="12" a="1"/>
  <c r="K118" i="11" a="1"/>
  <c r="M41" i="11" a="1"/>
  <c r="L109" i="12" a="1"/>
  <c r="G98" i="12" a="1"/>
  <c r="L134" i="12" a="1"/>
  <c r="M49" i="11" a="1"/>
  <c r="L82" i="12" a="1"/>
  <c r="L133" i="12" a="1"/>
  <c r="L58" i="12" a="1"/>
  <c r="J142" i="11" a="1"/>
  <c r="L26" i="12" a="1"/>
  <c r="H98" i="12" a="1"/>
  <c r="M40" i="11" a="1"/>
  <c r="L50" i="12" a="1"/>
  <c r="H88" i="12" l="1"/>
  <c r="U73" i="10"/>
  <c r="U74" i="10" s="1"/>
  <c r="J132" i="11"/>
  <c r="K18" i="12"/>
  <c r="J86" i="11"/>
  <c r="J87" i="11" s="1"/>
  <c r="J97" i="11" s="1"/>
  <c r="K62" i="11"/>
  <c r="L39" i="11"/>
  <c r="J85" i="11"/>
  <c r="J171" i="12"/>
  <c r="I88" i="11"/>
  <c r="J21" i="11"/>
  <c r="K42" i="12"/>
  <c r="L130" i="11"/>
  <c r="L126" i="11"/>
  <c r="L46" i="11"/>
  <c r="K126" i="12"/>
  <c r="K39" i="12"/>
  <c r="I97" i="11"/>
  <c r="I156" i="11" s="1"/>
  <c r="I164" i="11" s="1"/>
  <c r="I180" i="12"/>
  <c r="K81" i="12"/>
  <c r="K83" i="12" s="1"/>
  <c r="L148" i="11"/>
  <c r="L29" i="11"/>
  <c r="L30" i="11" s="1"/>
  <c r="K71" i="12"/>
  <c r="K74" i="12" s="1"/>
  <c r="K131" i="11"/>
  <c r="K141" i="11" s="1"/>
  <c r="K150" i="11" s="1"/>
  <c r="I21" i="12"/>
  <c r="J63" i="11"/>
  <c r="G98" i="12"/>
  <c r="J149" i="12"/>
  <c r="J31" i="12"/>
  <c r="I63" i="12"/>
  <c r="J62" i="12"/>
  <c r="L81" i="11"/>
  <c r="L83" i="11" s="1"/>
  <c r="K84" i="11"/>
  <c r="L13" i="11"/>
  <c r="L15" i="11" s="1"/>
  <c r="J179" i="12"/>
  <c r="K179" i="11"/>
  <c r="K21" i="11"/>
  <c r="L69" i="12"/>
  <c r="L41" i="12"/>
  <c r="L45" i="12"/>
  <c r="L67" i="12"/>
  <c r="L109" i="12"/>
  <c r="L145" i="12"/>
  <c r="M17" i="11"/>
  <c r="M47" i="11"/>
  <c r="M65" i="11"/>
  <c r="M75" i="11"/>
  <c r="M136" i="11"/>
  <c r="J140" i="12"/>
  <c r="M53" i="11"/>
  <c r="G165" i="11"/>
  <c r="J151" i="11"/>
  <c r="L50" i="12"/>
  <c r="L48" i="12"/>
  <c r="L77" i="12"/>
  <c r="L127" i="12"/>
  <c r="I142" i="12"/>
  <c r="M41" i="11"/>
  <c r="M73" i="11"/>
  <c r="I151" i="12"/>
  <c r="L9" i="12"/>
  <c r="M82" i="11"/>
  <c r="L65" i="12"/>
  <c r="L49" i="12"/>
  <c r="L55" i="12"/>
  <c r="L104" i="12"/>
  <c r="L105" i="12" s="1"/>
  <c r="L106" i="12" s="1"/>
  <c r="L123" i="12"/>
  <c r="K140" i="11"/>
  <c r="M40" i="11"/>
  <c r="M50" i="11"/>
  <c r="M77" i="11"/>
  <c r="M69" i="11"/>
  <c r="M134" i="11"/>
  <c r="K118" i="11"/>
  <c r="K171" i="11"/>
  <c r="J120" i="11"/>
  <c r="J112" i="12"/>
  <c r="L68" i="12"/>
  <c r="L125" i="12"/>
  <c r="L160" i="12" s="1"/>
  <c r="L146" i="12"/>
  <c r="M57" i="11"/>
  <c r="M37" i="11"/>
  <c r="M58" i="11"/>
  <c r="M78" i="11"/>
  <c r="H98" i="12"/>
  <c r="L72" i="12"/>
  <c r="L33" i="12"/>
  <c r="L53" i="12"/>
  <c r="L66" i="12"/>
  <c r="L110" i="12"/>
  <c r="L167" i="12" s="1"/>
  <c r="M26" i="11"/>
  <c r="M24" i="11"/>
  <c r="M79" i="11"/>
  <c r="M55" i="11"/>
  <c r="M114" i="11"/>
  <c r="L16" i="12"/>
  <c r="L43" i="12"/>
  <c r="M72" i="11"/>
  <c r="J180" i="11"/>
  <c r="L17" i="12"/>
  <c r="L26" i="12"/>
  <c r="L34" i="12"/>
  <c r="L52" i="12"/>
  <c r="L114" i="12"/>
  <c r="L147" i="12"/>
  <c r="F165" i="12"/>
  <c r="M4" i="11"/>
  <c r="M5" i="11" s="1"/>
  <c r="M25" i="11"/>
  <c r="M34" i="11"/>
  <c r="M68" i="11"/>
  <c r="M125" i="11"/>
  <c r="M160" i="11" s="1"/>
  <c r="M146" i="11"/>
  <c r="I85" i="12"/>
  <c r="L116" i="12"/>
  <c r="L169" i="12" s="1"/>
  <c r="M36" i="11"/>
  <c r="G165" i="12"/>
  <c r="J142" i="11"/>
  <c r="L4" i="12"/>
  <c r="L5" i="12" s="1"/>
  <c r="L27" i="12"/>
  <c r="L44" i="12"/>
  <c r="L75" i="12"/>
  <c r="L136" i="12"/>
  <c r="M35" i="11"/>
  <c r="M16" i="11"/>
  <c r="M66" i="11"/>
  <c r="M52" i="11"/>
  <c r="M115" i="11"/>
  <c r="M168" i="11" s="1"/>
  <c r="E182" i="11"/>
  <c r="K107" i="12"/>
  <c r="M144" i="11"/>
  <c r="L36" i="12"/>
  <c r="L47" i="12"/>
  <c r="L58" i="12"/>
  <c r="L115" i="12"/>
  <c r="L168" i="12" s="1"/>
  <c r="L135" i="12"/>
  <c r="L174" i="12" s="1"/>
  <c r="M11" i="11"/>
  <c r="M33" i="11"/>
  <c r="M44" i="11"/>
  <c r="M59" i="11"/>
  <c r="M109" i="11"/>
  <c r="M124" i="11"/>
  <c r="K149" i="11"/>
  <c r="L25" i="12"/>
  <c r="M110" i="11"/>
  <c r="M167" i="11" s="1"/>
  <c r="I120" i="12"/>
  <c r="L28" i="12"/>
  <c r="L40" i="12"/>
  <c r="L56" i="12"/>
  <c r="L133" i="12"/>
  <c r="M43" i="11"/>
  <c r="M54" i="11"/>
  <c r="M104" i="11"/>
  <c r="M105" i="11" s="1"/>
  <c r="M106" i="11" s="1"/>
  <c r="M135" i="11"/>
  <c r="M174" i="11" s="1"/>
  <c r="L6" i="11"/>
  <c r="M123" i="11"/>
  <c r="K112" i="11"/>
  <c r="H98" i="11"/>
  <c r="L107" i="11"/>
  <c r="L8" i="12"/>
  <c r="L70" i="12"/>
  <c r="M14" i="11"/>
  <c r="J118" i="12"/>
  <c r="L11" i="12"/>
  <c r="L54" i="12"/>
  <c r="L82" i="12"/>
  <c r="M12" i="11"/>
  <c r="M60" i="11"/>
  <c r="M127" i="11"/>
  <c r="L76" i="12"/>
  <c r="F165" i="11"/>
  <c r="L59" i="12"/>
  <c r="L129" i="12"/>
  <c r="L162" i="12" s="1"/>
  <c r="M56" i="11"/>
  <c r="M145" i="11"/>
  <c r="E182" i="12"/>
  <c r="L14" i="12"/>
  <c r="L12" i="12"/>
  <c r="L80" i="12"/>
  <c r="M9" i="11"/>
  <c r="M45" i="11"/>
  <c r="M49" i="11"/>
  <c r="M76" i="11"/>
  <c r="M147" i="11"/>
  <c r="K31" i="11"/>
  <c r="L79" i="12"/>
  <c r="L37" i="12"/>
  <c r="L35" i="12"/>
  <c r="L60" i="12"/>
  <c r="L78" i="12"/>
  <c r="L124" i="12"/>
  <c r="M8" i="11"/>
  <c r="M38" i="11"/>
  <c r="M67" i="11"/>
  <c r="M80" i="11"/>
  <c r="M116" i="11"/>
  <c r="M169" i="11" s="1"/>
  <c r="M133" i="11"/>
  <c r="L134" i="12"/>
  <c r="M28" i="11"/>
  <c r="L38" i="12"/>
  <c r="M10" i="11"/>
  <c r="L10" i="12"/>
  <c r="L24" i="12"/>
  <c r="L57" i="12"/>
  <c r="L73" i="12"/>
  <c r="L144" i="12"/>
  <c r="M27" i="11"/>
  <c r="M48" i="11"/>
  <c r="M70" i="11"/>
  <c r="M129" i="11"/>
  <c r="M162" i="11" s="1"/>
  <c r="K6" i="12"/>
  <c r="AX19" i="6"/>
  <c r="K7" i="13"/>
  <c r="K8" i="13" s="1"/>
  <c r="L1" i="5"/>
  <c r="K5" i="5" a="1"/>
  <c r="K5" i="5" s="1"/>
  <c r="K15" i="5" a="1"/>
  <c r="K15" i="5" s="1"/>
  <c r="M35" i="3"/>
  <c r="G181" i="11"/>
  <c r="K39" i="7"/>
  <c r="J152" i="11"/>
  <c r="L178" i="11"/>
  <c r="L175" i="11"/>
  <c r="J131" i="12"/>
  <c r="J141" i="12" s="1"/>
  <c r="AO4" i="7"/>
  <c r="AP5" i="7"/>
  <c r="J84" i="12"/>
  <c r="K33" i="7"/>
  <c r="K32" i="7" s="1"/>
  <c r="J20" i="7"/>
  <c r="I152" i="12"/>
  <c r="K25" i="13"/>
  <c r="K11" i="13"/>
  <c r="K5" i="13"/>
  <c r="K9" i="13" s="1"/>
  <c r="L4" i="13" s="1"/>
  <c r="L2" i="13"/>
  <c r="W72" i="9"/>
  <c r="W57" i="10"/>
  <c r="W54" i="10"/>
  <c r="W9" i="10"/>
  <c r="W4" i="10"/>
  <c r="W14" i="10"/>
  <c r="W61" i="10"/>
  <c r="W19" i="10"/>
  <c r="W8" i="10"/>
  <c r="X1" i="10"/>
  <c r="W60" i="10"/>
  <c r="W13" i="10"/>
  <c r="W55" i="10"/>
  <c r="W43" i="10"/>
  <c r="W18" i="10"/>
  <c r="W42" i="10"/>
  <c r="W41" i="10"/>
  <c r="W40" i="10"/>
  <c r="W23" i="10"/>
  <c r="W34" i="10"/>
  <c r="W12" i="10"/>
  <c r="W7" i="10"/>
  <c r="W59" i="10"/>
  <c r="W17" i="10"/>
  <c r="W22" i="10"/>
  <c r="W33" i="10"/>
  <c r="W11" i="10"/>
  <c r="W58" i="10"/>
  <c r="W16" i="10"/>
  <c r="W56" i="10"/>
  <c r="W21" i="10"/>
  <c r="W5" i="10"/>
  <c r="W53" i="10"/>
  <c r="W15" i="10"/>
  <c r="W20" i="10"/>
  <c r="W10" i="10"/>
  <c r="N29" i="15"/>
  <c r="K119" i="11"/>
  <c r="AS44" i="6"/>
  <c r="N28" i="9"/>
  <c r="X28" i="9"/>
  <c r="W28" i="9"/>
  <c r="V28" i="9"/>
  <c r="U28" i="9"/>
  <c r="T28" i="9"/>
  <c r="R28" i="9"/>
  <c r="F29" i="9"/>
  <c r="O28" i="9"/>
  <c r="Q28" i="9"/>
  <c r="P28" i="9"/>
  <c r="S28" i="9"/>
  <c r="AO46" i="6"/>
  <c r="AP46" i="6" s="1"/>
  <c r="K29" i="12"/>
  <c r="K30" i="12" s="1"/>
  <c r="AS66" i="12"/>
  <c r="K65" i="6"/>
  <c r="K163" i="11"/>
  <c r="K68" i="7"/>
  <c r="H156" i="12"/>
  <c r="H164" i="12" s="1"/>
  <c r="K178" i="12"/>
  <c r="K175" i="12"/>
  <c r="K32" i="6"/>
  <c r="J64" i="6"/>
  <c r="W68" i="9"/>
  <c r="V70" i="10"/>
  <c r="BD38" i="6"/>
  <c r="K9" i="7"/>
  <c r="M1" i="15"/>
  <c r="L9" i="15"/>
  <c r="K158" i="12"/>
  <c r="K117" i="12"/>
  <c r="L173" i="11"/>
  <c r="L139" i="11"/>
  <c r="L1" i="3"/>
  <c r="K9" i="3" a="1"/>
  <c r="K9" i="3" s="1"/>
  <c r="AO5" i="6"/>
  <c r="AN4" i="6"/>
  <c r="K37" i="6"/>
  <c r="K38" i="6" s="1"/>
  <c r="AX53" i="7"/>
  <c r="AY53" i="7" s="1"/>
  <c r="U81" i="10"/>
  <c r="U82" i="10" s="1"/>
  <c r="J64" i="7"/>
  <c r="F181" i="12"/>
  <c r="H29" i="13"/>
  <c r="I24" i="13" s="1"/>
  <c r="K18" i="7"/>
  <c r="K19" i="7" s="1"/>
  <c r="L159" i="11"/>
  <c r="L111" i="11"/>
  <c r="K173" i="12"/>
  <c r="K139" i="12"/>
  <c r="L42" i="11"/>
  <c r="I86" i="12"/>
  <c r="I87" i="12" s="1"/>
  <c r="L26" i="13"/>
  <c r="L6" i="13"/>
  <c r="M1" i="13"/>
  <c r="G181" i="12"/>
  <c r="AX53" i="6"/>
  <c r="K18" i="6"/>
  <c r="K19" i="6" s="1"/>
  <c r="K21" i="7"/>
  <c r="K9" i="15"/>
  <c r="K9" i="6"/>
  <c r="K55" i="6"/>
  <c r="V69" i="10"/>
  <c r="K13" i="12"/>
  <c r="K15" i="12" s="1"/>
  <c r="L18" i="11"/>
  <c r="K159" i="12"/>
  <c r="K111" i="12"/>
  <c r="U89" i="10"/>
  <c r="U90" i="10" s="1"/>
  <c r="J19" i="12"/>
  <c r="J20" i="12" s="1"/>
  <c r="N81" i="15"/>
  <c r="AU44" i="7"/>
  <c r="K68" i="6"/>
  <c r="V65" i="10"/>
  <c r="V68" i="10"/>
  <c r="V84" i="10"/>
  <c r="V87" i="10"/>
  <c r="V85" i="10"/>
  <c r="V88" i="10"/>
  <c r="V86" i="10"/>
  <c r="N1" i="12"/>
  <c r="O1" i="11"/>
  <c r="J8" i="7"/>
  <c r="J67" i="7"/>
  <c r="AW19" i="6"/>
  <c r="L170" i="11"/>
  <c r="L51" i="11"/>
  <c r="H156" i="11"/>
  <c r="H164" i="11" s="1"/>
  <c r="K170" i="12"/>
  <c r="K130" i="12"/>
  <c r="V72" i="10"/>
  <c r="AP66" i="11"/>
  <c r="J119" i="12"/>
  <c r="K7" i="6"/>
  <c r="K64" i="6" s="1"/>
  <c r="AW47" i="7"/>
  <c r="J39" i="6"/>
  <c r="L61" i="11"/>
  <c r="L71" i="11"/>
  <c r="L74" i="11" s="1"/>
  <c r="AT44" i="6"/>
  <c r="BB19" i="7"/>
  <c r="M1" i="6"/>
  <c r="L40" i="6"/>
  <c r="L37" i="6"/>
  <c r="L38" i="6" s="1"/>
  <c r="L52" i="6"/>
  <c r="L53" i="6" s="1"/>
  <c r="L31" i="6"/>
  <c r="L21" i="6"/>
  <c r="L18" i="6"/>
  <c r="L19" i="6" s="1"/>
  <c r="L9" i="6"/>
  <c r="L68" i="6"/>
  <c r="L33" i="6"/>
  <c r="L32" i="6" s="1"/>
  <c r="L7" i="6"/>
  <c r="L65" i="6"/>
  <c r="F181" i="11"/>
  <c r="W71" i="9"/>
  <c r="J163" i="12"/>
  <c r="K21" i="6"/>
  <c r="K20" i="6" s="1"/>
  <c r="V71" i="10"/>
  <c r="L68" i="7"/>
  <c r="L65" i="7"/>
  <c r="M1" i="7"/>
  <c r="L33" i="7" s="1"/>
  <c r="L9" i="7"/>
  <c r="L18" i="7"/>
  <c r="L19" i="7" s="1"/>
  <c r="AX38" i="7"/>
  <c r="K51" i="12"/>
  <c r="L158" i="11"/>
  <c r="L117" i="11"/>
  <c r="K31" i="6"/>
  <c r="K148" i="12"/>
  <c r="K61" i="12"/>
  <c r="X55" i="9"/>
  <c r="X40" i="9"/>
  <c r="X35" i="9"/>
  <c r="X61" i="9"/>
  <c r="X54" i="9"/>
  <c r="X16" i="9"/>
  <c r="X34" i="9"/>
  <c r="X44" i="9"/>
  <c r="X10" i="9"/>
  <c r="X4" i="9"/>
  <c r="X60" i="9"/>
  <c r="X53" i="9"/>
  <c r="X48" i="9"/>
  <c r="X33" i="9"/>
  <c r="X20" i="9"/>
  <c r="Y1" i="9"/>
  <c r="Y28" i="9" s="1"/>
  <c r="X43" i="9"/>
  <c r="X9" i="9"/>
  <c r="X59" i="9"/>
  <c r="X14" i="9"/>
  <c r="X19" i="9"/>
  <c r="X58" i="9"/>
  <c r="X42" i="9"/>
  <c r="X8" i="9"/>
  <c r="X57" i="9"/>
  <c r="X36" i="9"/>
  <c r="X17" i="9"/>
  <c r="X56" i="9"/>
  <c r="X11" i="9"/>
  <c r="X41" i="9"/>
  <c r="X63" i="9"/>
  <c r="X18" i="9"/>
  <c r="X62" i="9"/>
  <c r="X12" i="9"/>
  <c r="X5" i="9"/>
  <c r="X13" i="9"/>
  <c r="X7" i="9"/>
  <c r="X15" i="9"/>
  <c r="X64" i="9"/>
  <c r="X21" i="9"/>
  <c r="X38" i="9"/>
  <c r="X49" i="9"/>
  <c r="X45" i="9"/>
  <c r="X37" i="9"/>
  <c r="X50" i="9"/>
  <c r="X46" i="9"/>
  <c r="X22" i="9"/>
  <c r="X51" i="9"/>
  <c r="X47" i="9"/>
  <c r="X23" i="9"/>
  <c r="X24" i="9"/>
  <c r="X25" i="9"/>
  <c r="X26" i="9"/>
  <c r="AN47" i="6"/>
  <c r="BE38" i="6"/>
  <c r="K52" i="6"/>
  <c r="K53" i="6" s="1"/>
  <c r="K64" i="7"/>
  <c r="AX46" i="7"/>
  <c r="K46" i="12"/>
  <c r="J88" i="11" a="1"/>
  <c r="N125" i="11" a="1"/>
  <c r="N75" i="11" a="1"/>
  <c r="N24" i="11" a="1"/>
  <c r="N16" i="11" a="1"/>
  <c r="F182" i="12" a="1"/>
  <c r="N43" i="11" a="1"/>
  <c r="M114" i="12" a="1"/>
  <c r="K149" i="12" a="1"/>
  <c r="M75" i="12" a="1"/>
  <c r="M11" i="12" a="1"/>
  <c r="K63" i="11" a="1"/>
  <c r="N52" i="11" a="1"/>
  <c r="N68" i="11" a="1"/>
  <c r="M147" i="12" a="1"/>
  <c r="M134" i="12" a="1"/>
  <c r="I88" i="12" a="1"/>
  <c r="N12" i="11" a="1"/>
  <c r="G182" i="11" a="1"/>
  <c r="M58" i="12" a="1"/>
  <c r="N135" i="11" a="1"/>
  <c r="N145" i="11" a="1"/>
  <c r="M53" i="12" a="1"/>
  <c r="I98" i="11" a="1"/>
  <c r="N37" i="11" a="1"/>
  <c r="N50" i="11" a="1"/>
  <c r="N8" i="11" a="1"/>
  <c r="M80" i="12" a="1"/>
  <c r="M124" i="12" a="1"/>
  <c r="M26" i="12" a="1"/>
  <c r="M110" i="12" a="1"/>
  <c r="N14" i="11" a="1"/>
  <c r="M107" i="11" a="1"/>
  <c r="M33" i="12" a="1"/>
  <c r="L149" i="11" a="1"/>
  <c r="N34" i="11" a="1"/>
  <c r="N25" i="11" a="1"/>
  <c r="L140" i="11" a="1"/>
  <c r="M67" i="12" a="1"/>
  <c r="M73" i="12" a="1"/>
  <c r="N129" i="11" a="1"/>
  <c r="L6" i="12" a="1"/>
  <c r="L118" i="11" a="1"/>
  <c r="J98" i="11" a="1"/>
  <c r="N33" i="11" a="1"/>
  <c r="N82" i="11" a="1"/>
  <c r="N67" i="11" a="1"/>
  <c r="M60" i="12" a="1"/>
  <c r="M146" i="12" a="1"/>
  <c r="N116" i="11" a="1"/>
  <c r="K132" i="11" a="1"/>
  <c r="N10" i="11" a="1"/>
  <c r="N9" i="11" a="1"/>
  <c r="L107" i="12" a="1"/>
  <c r="M54" i="12" a="1"/>
  <c r="M35" i="12" a="1"/>
  <c r="N59" i="11" a="1"/>
  <c r="N104" i="11" a="1"/>
  <c r="J132" i="12" a="1"/>
  <c r="K120" i="11" a="1"/>
  <c r="M27" i="12" a="1"/>
  <c r="J63" i="12" a="1"/>
  <c r="L171" i="11" a="1"/>
  <c r="F182" i="11" a="1"/>
  <c r="K140" i="12" a="1"/>
  <c r="M16" i="12" a="1"/>
  <c r="M10" i="12" a="1"/>
  <c r="M115" i="12" a="1"/>
  <c r="N66" i="11" a="1"/>
  <c r="K142" i="11" a="1"/>
  <c r="H165" i="12" a="1"/>
  <c r="K151" i="11" a="1"/>
  <c r="N56" i="11" a="1"/>
  <c r="K85" i="11" a="1"/>
  <c r="J120" i="12" a="1"/>
  <c r="M82" i="12" a="1"/>
  <c r="M125" i="12" a="1"/>
  <c r="N134" i="11" a="1"/>
  <c r="N72" i="11" a="1"/>
  <c r="M65" i="12" a="1"/>
  <c r="M133" i="12" a="1"/>
  <c r="M135" i="12" a="1"/>
  <c r="G182" i="12" a="1"/>
  <c r="M79" i="12" a="1"/>
  <c r="J180" i="12" a="1"/>
  <c r="K31" i="12" a="1"/>
  <c r="N109" i="11" a="1"/>
  <c r="M72" i="12" a="1"/>
  <c r="N76" i="11" a="1"/>
  <c r="N49" i="11" a="1"/>
  <c r="M69" i="12" a="1"/>
  <c r="N78" i="11" a="1"/>
  <c r="M49" i="12" a="1"/>
  <c r="K180" i="11" a="1"/>
  <c r="L112" i="11" a="1"/>
  <c r="J85" i="12" a="1"/>
  <c r="M45" i="12" a="1"/>
  <c r="N47" i="11" a="1"/>
  <c r="M59" i="12" a="1"/>
  <c r="M8" i="12" a="1"/>
  <c r="M70" i="12" a="1"/>
  <c r="M47" i="12" a="1"/>
  <c r="M77" i="12" a="1"/>
  <c r="M76" i="12" a="1"/>
  <c r="M144" i="12" a="1"/>
  <c r="J21" i="12" a="1"/>
  <c r="M116" i="12" a="1"/>
  <c r="M34" i="12" a="1"/>
  <c r="N44" i="11" a="1"/>
  <c r="N69" i="11" a="1"/>
  <c r="N144" i="11" a="1"/>
  <c r="M17" i="12" a="1"/>
  <c r="M38" i="12" a="1"/>
  <c r="M36" i="12" a="1"/>
  <c r="N35" i="11" a="1"/>
  <c r="M37" i="12" a="1"/>
  <c r="M109" i="12" a="1"/>
  <c r="M127" i="12" a="1"/>
  <c r="M123" i="12" a="1"/>
  <c r="N58" i="11" a="1"/>
  <c r="N4" i="11" a="1"/>
  <c r="M68" i="12" a="1"/>
  <c r="N57" i="11" a="1"/>
  <c r="M50" i="12" a="1"/>
  <c r="M24" i="12" a="1"/>
  <c r="M40" i="12" a="1"/>
  <c r="L31" i="11" a="1"/>
  <c r="M52" i="12" a="1"/>
  <c r="M104" i="12" a="1"/>
  <c r="M55" i="12" a="1"/>
  <c r="N36" i="11" a="1"/>
  <c r="M129" i="12" a="1"/>
  <c r="M12" i="12" a="1"/>
  <c r="N53" i="11" a="1"/>
  <c r="N136" i="11" a="1"/>
  <c r="N79" i="11" a="1"/>
  <c r="M48" i="12" a="1"/>
  <c r="M66" i="12" a="1"/>
  <c r="M41" i="12" a="1"/>
  <c r="N54" i="11" a="1"/>
  <c r="N114" i="11" a="1"/>
  <c r="M25" i="12" a="1"/>
  <c r="N40" i="11" a="1"/>
  <c r="N65" i="11" a="1"/>
  <c r="N110" i="11" a="1"/>
  <c r="N73" i="11" a="1"/>
  <c r="N115" i="11" a="1"/>
  <c r="M43" i="12" a="1"/>
  <c r="M57" i="12" a="1"/>
  <c r="N133" i="11" a="1"/>
  <c r="N11" i="11" a="1"/>
  <c r="N26" i="11" a="1"/>
  <c r="N123" i="11" a="1"/>
  <c r="I165" i="11" a="1"/>
  <c r="N60" i="11" a="1"/>
  <c r="N48" i="11" a="1"/>
  <c r="N70" i="11" a="1"/>
  <c r="M6" i="11" a="1"/>
  <c r="M56" i="12" a="1"/>
  <c r="M4" i="12" a="1"/>
  <c r="M14" i="12" a="1"/>
  <c r="N55" i="11" a="1"/>
  <c r="K112" i="12" a="1"/>
  <c r="M145" i="12" a="1"/>
  <c r="N80" i="11" a="1"/>
  <c r="M28" i="12" a="1"/>
  <c r="N28" i="11" a="1"/>
  <c r="N17" i="11" a="1"/>
  <c r="N45" i="11" a="1"/>
  <c r="J142" i="12" a="1"/>
  <c r="N124" i="11" a="1"/>
  <c r="N146" i="11" a="1"/>
  <c r="N41" i="11" a="1"/>
  <c r="M9" i="12" a="1"/>
  <c r="N147" i="11" a="1"/>
  <c r="N77" i="11" a="1"/>
  <c r="N38" i="11" a="1"/>
  <c r="H165" i="11" a="1"/>
  <c r="K171" i="12" a="1"/>
  <c r="N27" i="11" a="1"/>
  <c r="K118" i="12" a="1"/>
  <c r="M136" i="12" a="1"/>
  <c r="M78" i="12" a="1"/>
  <c r="M44" i="12" a="1"/>
  <c r="N127" i="11" a="1"/>
  <c r="K86" i="11" l="1"/>
  <c r="K87" i="11" s="1"/>
  <c r="K19" i="12"/>
  <c r="K20" i="12" s="1"/>
  <c r="V89" i="10"/>
  <c r="V90" i="10" s="1"/>
  <c r="M18" i="11"/>
  <c r="K131" i="12"/>
  <c r="K141" i="12" s="1"/>
  <c r="L131" i="11"/>
  <c r="L141" i="11" s="1"/>
  <c r="J88" i="11"/>
  <c r="L84" i="11"/>
  <c r="L42" i="12"/>
  <c r="K63" i="11"/>
  <c r="I98" i="11"/>
  <c r="L71" i="12"/>
  <c r="L74" i="12" s="1"/>
  <c r="M29" i="11"/>
  <c r="M30" i="11" s="1"/>
  <c r="L39" i="12"/>
  <c r="L170" i="12"/>
  <c r="L163" i="11"/>
  <c r="L62" i="11"/>
  <c r="L179" i="11"/>
  <c r="K132" i="11"/>
  <c r="L149" i="11"/>
  <c r="K62" i="12"/>
  <c r="K180" i="11"/>
  <c r="J180" i="12"/>
  <c r="K85" i="11"/>
  <c r="J63" i="12"/>
  <c r="M126" i="11"/>
  <c r="L19" i="11"/>
  <c r="L20" i="11" s="1"/>
  <c r="M130" i="11"/>
  <c r="K179" i="12"/>
  <c r="L130" i="12"/>
  <c r="L51" i="12"/>
  <c r="K84" i="12"/>
  <c r="L126" i="12"/>
  <c r="N115" i="11"/>
  <c r="N168" i="11" s="1"/>
  <c r="N78" i="11"/>
  <c r="J142" i="12"/>
  <c r="N56" i="11"/>
  <c r="N67" i="11"/>
  <c r="N82" i="11"/>
  <c r="M56" i="12"/>
  <c r="M53" i="12"/>
  <c r="M76" i="12"/>
  <c r="K118" i="12"/>
  <c r="L31" i="11"/>
  <c r="M6" i="11"/>
  <c r="M136" i="12"/>
  <c r="N79" i="11"/>
  <c r="M37" i="12"/>
  <c r="N35" i="11"/>
  <c r="M27" i="12"/>
  <c r="M44" i="12"/>
  <c r="M79" i="12"/>
  <c r="K151" i="11"/>
  <c r="M49" i="12"/>
  <c r="N33" i="11"/>
  <c r="M33" i="12"/>
  <c r="N145" i="11"/>
  <c r="M11" i="12"/>
  <c r="N27" i="11"/>
  <c r="N45" i="11"/>
  <c r="N70" i="11"/>
  <c r="N73" i="11"/>
  <c r="N127" i="11"/>
  <c r="M40" i="12"/>
  <c r="M36" i="12"/>
  <c r="M77" i="12"/>
  <c r="M146" i="12"/>
  <c r="G182" i="12"/>
  <c r="H165" i="12"/>
  <c r="K120" i="11"/>
  <c r="J98" i="11"/>
  <c r="M107" i="11"/>
  <c r="N135" i="11"/>
  <c r="N174" i="11" s="1"/>
  <c r="M75" i="12"/>
  <c r="K171" i="12"/>
  <c r="N17" i="11"/>
  <c r="N48" i="11"/>
  <c r="N110" i="11"/>
  <c r="N167" i="11" s="1"/>
  <c r="N116" i="11"/>
  <c r="N169" i="11" s="1"/>
  <c r="M24" i="12"/>
  <c r="M38" i="12"/>
  <c r="M47" i="12"/>
  <c r="M69" i="12"/>
  <c r="M135" i="12"/>
  <c r="M174" i="12" s="1"/>
  <c r="K142" i="11"/>
  <c r="J132" i="12"/>
  <c r="L118" i="11"/>
  <c r="N14" i="11"/>
  <c r="M58" i="12"/>
  <c r="K149" i="12"/>
  <c r="H165" i="11"/>
  <c r="N28" i="11"/>
  <c r="N60" i="11"/>
  <c r="N65" i="11"/>
  <c r="N136" i="11"/>
  <c r="M50" i="12"/>
  <c r="M17" i="12"/>
  <c r="M70" i="12"/>
  <c r="M78" i="12"/>
  <c r="M133" i="12"/>
  <c r="N66" i="11"/>
  <c r="N104" i="11"/>
  <c r="N105" i="11" s="1"/>
  <c r="N106" i="11" s="1"/>
  <c r="L6" i="12"/>
  <c r="M110" i="12"/>
  <c r="M167" i="12" s="1"/>
  <c r="G182" i="11"/>
  <c r="M114" i="12"/>
  <c r="N38" i="11"/>
  <c r="M28" i="12"/>
  <c r="I165" i="11"/>
  <c r="N40" i="11"/>
  <c r="N53" i="11"/>
  <c r="N57" i="11"/>
  <c r="N144" i="11"/>
  <c r="M8" i="12"/>
  <c r="M60" i="12"/>
  <c r="M65" i="12"/>
  <c r="M115" i="12"/>
  <c r="M168" i="12" s="1"/>
  <c r="N59" i="11"/>
  <c r="N129" i="11"/>
  <c r="N162" i="11" s="1"/>
  <c r="M26" i="12"/>
  <c r="N12" i="11"/>
  <c r="N43" i="11"/>
  <c r="N77" i="11"/>
  <c r="N80" i="11"/>
  <c r="N123" i="11"/>
  <c r="M25" i="12"/>
  <c r="M12" i="12"/>
  <c r="M68" i="12"/>
  <c r="N69" i="11"/>
  <c r="M59" i="12"/>
  <c r="N49" i="11"/>
  <c r="N72" i="11"/>
  <c r="M10" i="12"/>
  <c r="M35" i="12"/>
  <c r="M73" i="12"/>
  <c r="M124" i="12"/>
  <c r="I88" i="12"/>
  <c r="F182" i="12"/>
  <c r="N147" i="11"/>
  <c r="M145" i="12"/>
  <c r="N26" i="11"/>
  <c r="N114" i="11"/>
  <c r="M129" i="12"/>
  <c r="M162" i="12" s="1"/>
  <c r="N4" i="11"/>
  <c r="N5" i="11" s="1"/>
  <c r="N44" i="11"/>
  <c r="N47" i="11"/>
  <c r="N76" i="11"/>
  <c r="N134" i="11"/>
  <c r="M16" i="12"/>
  <c r="M54" i="12"/>
  <c r="M67" i="12"/>
  <c r="M80" i="12"/>
  <c r="M134" i="12"/>
  <c r="N16" i="11"/>
  <c r="M9" i="12"/>
  <c r="K112" i="12"/>
  <c r="N11" i="11"/>
  <c r="N54" i="11"/>
  <c r="N36" i="11"/>
  <c r="N58" i="11"/>
  <c r="M34" i="12"/>
  <c r="M45" i="12"/>
  <c r="M72" i="12"/>
  <c r="M125" i="12"/>
  <c r="M160" i="12" s="1"/>
  <c r="K140" i="12"/>
  <c r="L107" i="12"/>
  <c r="L140" i="11"/>
  <c r="N8" i="11"/>
  <c r="M147" i="12"/>
  <c r="N24" i="11"/>
  <c r="N41" i="11"/>
  <c r="N55" i="11"/>
  <c r="N133" i="11"/>
  <c r="M41" i="12"/>
  <c r="M55" i="12"/>
  <c r="M123" i="12"/>
  <c r="M116" i="12"/>
  <c r="M169" i="12" s="1"/>
  <c r="J85" i="12"/>
  <c r="N109" i="11"/>
  <c r="M82" i="12"/>
  <c r="F182" i="11"/>
  <c r="N9" i="11"/>
  <c r="N25" i="11"/>
  <c r="N50" i="11"/>
  <c r="N68" i="11"/>
  <c r="N75" i="11"/>
  <c r="N146" i="11"/>
  <c r="M14" i="12"/>
  <c r="M57" i="12"/>
  <c r="M66" i="12"/>
  <c r="M104" i="12"/>
  <c r="M105" i="12" s="1"/>
  <c r="M106" i="12" s="1"/>
  <c r="M127" i="12"/>
  <c r="J21" i="12"/>
  <c r="L112" i="11"/>
  <c r="K31" i="12"/>
  <c r="J120" i="12"/>
  <c r="L171" i="11"/>
  <c r="N10" i="11"/>
  <c r="N34" i="11"/>
  <c r="N37" i="11"/>
  <c r="N52" i="11"/>
  <c r="N125" i="11"/>
  <c r="N160" i="11" s="1"/>
  <c r="N124" i="11"/>
  <c r="M4" i="12"/>
  <c r="M5" i="12" s="1"/>
  <c r="M43" i="12"/>
  <c r="M48" i="12"/>
  <c r="M52" i="12"/>
  <c r="M109" i="12"/>
  <c r="M144" i="12"/>
  <c r="AZ38" i="7"/>
  <c r="AP47" i="6"/>
  <c r="AQ46" i="6"/>
  <c r="L7" i="13"/>
  <c r="L8" i="13" s="1"/>
  <c r="J150" i="12"/>
  <c r="L13" i="12"/>
  <c r="L15" i="12" s="1"/>
  <c r="X71" i="9"/>
  <c r="L8" i="6"/>
  <c r="AY38" i="7"/>
  <c r="O1" i="12"/>
  <c r="K119" i="12"/>
  <c r="W70" i="10"/>
  <c r="X61" i="10"/>
  <c r="X14" i="10"/>
  <c r="X19" i="10"/>
  <c r="X57" i="10"/>
  <c r="X8" i="10"/>
  <c r="Y1" i="10"/>
  <c r="X60" i="10"/>
  <c r="X13" i="10"/>
  <c r="X55" i="10"/>
  <c r="X43" i="10"/>
  <c r="X18" i="10"/>
  <c r="X42" i="10"/>
  <c r="X41" i="10"/>
  <c r="X40" i="10"/>
  <c r="X23" i="10"/>
  <c r="X34" i="10"/>
  <c r="X12" i="10"/>
  <c r="X7" i="10"/>
  <c r="X59" i="10"/>
  <c r="X17" i="10"/>
  <c r="X22" i="10"/>
  <c r="X33" i="10"/>
  <c r="X70" i="10" s="1"/>
  <c r="X11" i="10"/>
  <c r="X58" i="10"/>
  <c r="X16" i="10"/>
  <c r="X56" i="10"/>
  <c r="X21" i="10"/>
  <c r="X5" i="10"/>
  <c r="X10" i="10"/>
  <c r="X20" i="10"/>
  <c r="X53" i="10"/>
  <c r="X4" i="10"/>
  <c r="X15" i="10"/>
  <c r="X54" i="10"/>
  <c r="X9" i="10"/>
  <c r="AP4" i="7"/>
  <c r="AQ5" i="7"/>
  <c r="M178" i="11"/>
  <c r="M175" i="11"/>
  <c r="V73" i="10"/>
  <c r="V74" i="10" s="1"/>
  <c r="K152" i="11"/>
  <c r="K163" i="12"/>
  <c r="L175" i="12"/>
  <c r="L178" i="12"/>
  <c r="M51" i="11"/>
  <c r="Y11" i="9"/>
  <c r="Y5" i="9"/>
  <c r="Y61" i="9"/>
  <c r="Y54" i="9"/>
  <c r="Y34" i="9"/>
  <c r="Y44" i="9"/>
  <c r="Y10" i="9"/>
  <c r="Y4" i="9"/>
  <c r="Y60" i="9"/>
  <c r="Y53" i="9"/>
  <c r="Y48" i="9"/>
  <c r="Y15" i="9"/>
  <c r="Y33" i="9"/>
  <c r="Y43" i="9"/>
  <c r="Y9" i="9"/>
  <c r="Y59" i="9"/>
  <c r="Y14" i="9"/>
  <c r="Y19" i="9"/>
  <c r="Y58" i="9"/>
  <c r="Y42" i="9"/>
  <c r="Y8" i="9"/>
  <c r="Y63" i="9"/>
  <c r="Y13" i="9"/>
  <c r="Y41" i="9"/>
  <c r="Y57" i="9"/>
  <c r="Y56" i="9"/>
  <c r="Y55" i="9"/>
  <c r="Y40" i="9"/>
  <c r="Y20" i="9"/>
  <c r="Y18" i="9"/>
  <c r="Y62" i="9"/>
  <c r="Y45" i="9"/>
  <c r="Y36" i="9"/>
  <c r="Y12" i="9"/>
  <c r="Y16" i="9"/>
  <c r="Z1" i="9"/>
  <c r="Y35" i="9"/>
  <c r="Y7" i="9"/>
  <c r="Y17" i="9"/>
  <c r="Y49" i="9"/>
  <c r="Y37" i="9"/>
  <c r="Y21" i="9"/>
  <c r="Y64" i="9"/>
  <c r="Y38" i="9"/>
  <c r="Y46" i="9"/>
  <c r="Y22" i="9"/>
  <c r="Y50" i="9"/>
  <c r="Y51" i="9"/>
  <c r="Y47" i="9"/>
  <c r="Y23" i="9"/>
  <c r="Y24" i="9"/>
  <c r="Y25" i="9"/>
  <c r="Y26" i="9"/>
  <c r="Y27" i="9"/>
  <c r="L20" i="6"/>
  <c r="AO4" i="6"/>
  <c r="AP5" i="6"/>
  <c r="H181" i="12"/>
  <c r="J156" i="11"/>
  <c r="J164" i="11" s="1"/>
  <c r="AY53" i="6"/>
  <c r="M26" i="13"/>
  <c r="M6" i="13"/>
  <c r="N1" i="13"/>
  <c r="N35" i="3"/>
  <c r="L173" i="12"/>
  <c r="L139" i="12"/>
  <c r="L158" i="12"/>
  <c r="L117" i="12"/>
  <c r="M173" i="11"/>
  <c r="M139" i="11"/>
  <c r="L119" i="11"/>
  <c r="X70" i="9"/>
  <c r="L7" i="7"/>
  <c r="H181" i="11"/>
  <c r="V81" i="10"/>
  <c r="V82" i="10" s="1"/>
  <c r="K20" i="7"/>
  <c r="I27" i="13"/>
  <c r="I28" i="13" s="1"/>
  <c r="W69" i="10"/>
  <c r="L43" i="3"/>
  <c r="M46" i="11"/>
  <c r="L159" i="12"/>
  <c r="L111" i="12"/>
  <c r="O29" i="15"/>
  <c r="W65" i="10"/>
  <c r="W68" i="10"/>
  <c r="W85" i="10"/>
  <c r="W88" i="10"/>
  <c r="W84" i="10"/>
  <c r="W86" i="10"/>
  <c r="W87" i="10"/>
  <c r="M81" i="11"/>
  <c r="M83" i="11" s="1"/>
  <c r="L81" i="12"/>
  <c r="L83" i="12" s="1"/>
  <c r="Z29" i="9"/>
  <c r="X29" i="9"/>
  <c r="W29" i="9"/>
  <c r="V29" i="9"/>
  <c r="U29" i="9"/>
  <c r="T29" i="9"/>
  <c r="S29" i="9"/>
  <c r="R29" i="9"/>
  <c r="Q29" i="9"/>
  <c r="P29" i="9"/>
  <c r="N29" i="9"/>
  <c r="Y29" i="9"/>
  <c r="F30" i="9"/>
  <c r="O29" i="9"/>
  <c r="X72" i="9"/>
  <c r="I181" i="11"/>
  <c r="L52" i="7"/>
  <c r="L53" i="7" s="1"/>
  <c r="L55" i="6"/>
  <c r="L54" i="6" s="1"/>
  <c r="M9" i="15"/>
  <c r="N1" i="15"/>
  <c r="M13" i="11"/>
  <c r="M15" i="11" s="1"/>
  <c r="L61" i="12"/>
  <c r="L31" i="7"/>
  <c r="L32" i="7" s="1"/>
  <c r="K54" i="6"/>
  <c r="M42" i="11"/>
  <c r="K8" i="6"/>
  <c r="K67" i="6"/>
  <c r="AQ66" i="11"/>
  <c r="L39" i="6"/>
  <c r="AX47" i="7"/>
  <c r="AY46" i="7"/>
  <c r="X68" i="9"/>
  <c r="L21" i="7"/>
  <c r="L20" i="7" s="1"/>
  <c r="M33" i="6"/>
  <c r="M40" i="6"/>
  <c r="M55" i="6"/>
  <c r="N1" i="6"/>
  <c r="I97" i="12"/>
  <c r="AT66" i="12"/>
  <c r="W71" i="10"/>
  <c r="M148" i="11"/>
  <c r="AZ19" i="6"/>
  <c r="L9" i="3" a="1"/>
  <c r="L9" i="3" s="1"/>
  <c r="M1" i="3"/>
  <c r="W72" i="10"/>
  <c r="M39" i="11"/>
  <c r="M159" i="11"/>
  <c r="M111" i="11"/>
  <c r="L55" i="7"/>
  <c r="M170" i="11"/>
  <c r="L46" i="12"/>
  <c r="L37" i="7"/>
  <c r="L38" i="7" s="1"/>
  <c r="L40" i="7"/>
  <c r="L39" i="7" s="1"/>
  <c r="BF38" i="6"/>
  <c r="BG38" i="6" s="1"/>
  <c r="BC19" i="7"/>
  <c r="P1" i="11"/>
  <c r="O81" i="15"/>
  <c r="L25" i="13"/>
  <c r="L11" i="13"/>
  <c r="L5" i="13"/>
  <c r="L9" i="13" s="1"/>
  <c r="M4" i="13" s="1"/>
  <c r="M2" i="13"/>
  <c r="J86" i="12"/>
  <c r="J87" i="12" s="1"/>
  <c r="AU44" i="6"/>
  <c r="L148" i="12"/>
  <c r="L29" i="12"/>
  <c r="L30" i="12" s="1"/>
  <c r="L18" i="12"/>
  <c r="L8" i="7"/>
  <c r="BA53" i="7"/>
  <c r="K39" i="6"/>
  <c r="K8" i="7"/>
  <c r="K67" i="7"/>
  <c r="M61" i="11"/>
  <c r="M158" i="11"/>
  <c r="M117" i="11"/>
  <c r="BA38" i="7"/>
  <c r="N1" i="7"/>
  <c r="M7" i="7" s="1"/>
  <c r="M40" i="7"/>
  <c r="L64" i="6"/>
  <c r="AY19" i="6"/>
  <c r="AR46" i="6"/>
  <c r="AO47" i="6"/>
  <c r="AZ53" i="7"/>
  <c r="BB53" i="7" s="1"/>
  <c r="M1" i="5"/>
  <c r="L15" i="5" a="1"/>
  <c r="L15" i="5" s="1"/>
  <c r="L5" i="5" a="1"/>
  <c r="L5" i="5" s="1"/>
  <c r="AV44" i="7"/>
  <c r="M71" i="11"/>
  <c r="M74" i="11" s="1"/>
  <c r="L63" i="11" a="1"/>
  <c r="N66" i="12" a="1"/>
  <c r="L31" i="12" a="1"/>
  <c r="L112" i="12" a="1"/>
  <c r="O8" i="11" a="1"/>
  <c r="O65" i="11" a="1"/>
  <c r="O133" i="11" a="1"/>
  <c r="N34" i="12" a="1"/>
  <c r="L140" i="12" a="1"/>
  <c r="O145" i="11" a="1"/>
  <c r="O73" i="11" a="1"/>
  <c r="I98" i="12" a="1"/>
  <c r="O16" i="11" a="1"/>
  <c r="L21" i="11" a="1"/>
  <c r="O57" i="11" a="1"/>
  <c r="N65" i="12" a="1"/>
  <c r="N11" i="12" a="1"/>
  <c r="O77" i="11" a="1"/>
  <c r="O144" i="11" a="1"/>
  <c r="O66" i="11" a="1"/>
  <c r="N127" i="12" a="1"/>
  <c r="N60" i="12" a="1"/>
  <c r="N144" i="12" a="1"/>
  <c r="N25" i="12" a="1"/>
  <c r="O67" i="11" a="1"/>
  <c r="N53" i="12" a="1"/>
  <c r="O24" i="11" a="1"/>
  <c r="O116" i="11" a="1"/>
  <c r="O26" i="11" a="1"/>
  <c r="K63" i="12" a="1"/>
  <c r="O135" i="11" a="1"/>
  <c r="N33" i="12" a="1"/>
  <c r="O72" i="11" a="1"/>
  <c r="N79" i="12" a="1"/>
  <c r="O37" i="11" a="1"/>
  <c r="N114" i="12" a="1"/>
  <c r="N147" i="12" a="1"/>
  <c r="N58" i="12" a="1"/>
  <c r="N27" i="12" a="1"/>
  <c r="N26" i="12" a="1"/>
  <c r="K132" i="12" a="1"/>
  <c r="N54" i="12" a="1"/>
  <c r="N78" i="12" a="1"/>
  <c r="N56" i="12" a="1"/>
  <c r="O60" i="11" a="1"/>
  <c r="N129" i="12" a="1"/>
  <c r="O146" i="11" a="1"/>
  <c r="O70" i="11" a="1"/>
  <c r="K88" i="11" a="1"/>
  <c r="K180" i="12" a="1"/>
  <c r="O58" i="11" a="1"/>
  <c r="M140" i="11" a="1"/>
  <c r="O49" i="11" a="1"/>
  <c r="N35" i="12" a="1"/>
  <c r="N125" i="12" a="1"/>
  <c r="N38" i="12" a="1"/>
  <c r="O76" i="11" a="1"/>
  <c r="O45" i="11" a="1"/>
  <c r="O10" i="11" a="1"/>
  <c r="N107" i="11" a="1"/>
  <c r="K142" i="12" a="1"/>
  <c r="N9" i="12" a="1"/>
  <c r="O82" i="11" a="1"/>
  <c r="O127" i="11" a="1"/>
  <c r="O109" i="11" a="1"/>
  <c r="L85" i="11" a="1"/>
  <c r="O47" i="11" a="1"/>
  <c r="O12" i="11" a="1"/>
  <c r="N50" i="12" a="1"/>
  <c r="H182" i="12" a="1"/>
  <c r="M112" i="11" a="1"/>
  <c r="N17" i="12" a="1"/>
  <c r="O11" i="11" a="1"/>
  <c r="N77" i="12" a="1"/>
  <c r="N109" i="12" a="1"/>
  <c r="H182" i="11" a="1"/>
  <c r="O54" i="11" a="1"/>
  <c r="O52" i="11" a="1"/>
  <c r="N72" i="12" a="1"/>
  <c r="N67" i="12" a="1"/>
  <c r="O125" i="11" a="1"/>
  <c r="O4" i="11" a="1"/>
  <c r="J165" i="11" a="1"/>
  <c r="N136" i="12" a="1"/>
  <c r="N70" i="12" a="1"/>
  <c r="N24" i="12" a="1"/>
  <c r="O115" i="11" a="1"/>
  <c r="N45" i="12" a="1"/>
  <c r="N73" i="12" a="1"/>
  <c r="N52" i="12" a="1"/>
  <c r="K21" i="12" a="1"/>
  <c r="N59" i="12" a="1"/>
  <c r="L142" i="11" a="1"/>
  <c r="N55" i="12" a="1"/>
  <c r="O44" i="11" a="1"/>
  <c r="N123" i="12" a="1"/>
  <c r="N68" i="12" a="1"/>
  <c r="O53" i="11" a="1"/>
  <c r="O17" i="11" a="1"/>
  <c r="N43" i="12" a="1"/>
  <c r="O56" i="11" a="1"/>
  <c r="N12" i="12" a="1"/>
  <c r="N82" i="12" a="1"/>
  <c r="L120" i="11" a="1"/>
  <c r="O36" i="11" a="1"/>
  <c r="N8" i="12" a="1"/>
  <c r="O114" i="11" a="1"/>
  <c r="L180" i="11" a="1"/>
  <c r="O110" i="11" a="1"/>
  <c r="O69" i="11" a="1"/>
  <c r="O129" i="11" a="1"/>
  <c r="O50" i="11" a="1"/>
  <c r="O38" i="11" a="1"/>
  <c r="O40" i="11" a="1"/>
  <c r="M6" i="12" a="1"/>
  <c r="N6" i="11" a="1"/>
  <c r="L171" i="12" a="1"/>
  <c r="O123" i="11" a="1"/>
  <c r="O79" i="11" a="1"/>
  <c r="N37" i="12" a="1"/>
  <c r="O33" i="11" a="1"/>
  <c r="O75" i="11" a="1"/>
  <c r="N124" i="12" a="1"/>
  <c r="N69" i="12" a="1"/>
  <c r="N28" i="12" a="1"/>
  <c r="N133" i="12" a="1"/>
  <c r="O80" i="11" a="1"/>
  <c r="O48" i="11" a="1"/>
  <c r="O124" i="11" a="1"/>
  <c r="N49" i="12" a="1"/>
  <c r="N48" i="12" a="1"/>
  <c r="N40" i="12" a="1"/>
  <c r="L132" i="11" a="1"/>
  <c r="L149" i="12" a="1"/>
  <c r="O34" i="11" a="1"/>
  <c r="N76" i="12" a="1"/>
  <c r="N10" i="12" a="1"/>
  <c r="K120" i="12" a="1"/>
  <c r="O68" i="11" a="1"/>
  <c r="N41" i="12" a="1"/>
  <c r="N116" i="12" a="1"/>
  <c r="N80" i="12" a="1"/>
  <c r="N75" i="12" a="1"/>
  <c r="N110" i="12" a="1"/>
  <c r="L118" i="12" a="1"/>
  <c r="J88" i="12" a="1"/>
  <c r="O14" i="11" a="1"/>
  <c r="I182" i="11" a="1"/>
  <c r="O35" i="11" a="1"/>
  <c r="K85" i="12" a="1"/>
  <c r="N134" i="12" a="1"/>
  <c r="M149" i="11" a="1"/>
  <c r="O25" i="11" a="1"/>
  <c r="N47" i="12" a="1"/>
  <c r="O27" i="11" a="1"/>
  <c r="N146" i="12" a="1"/>
  <c r="N36" i="12" a="1"/>
  <c r="O104" i="11" a="1"/>
  <c r="J151" i="12" a="1"/>
  <c r="N57" i="12" a="1"/>
  <c r="N145" i="12" a="1"/>
  <c r="M31" i="11" a="1"/>
  <c r="O55" i="11" a="1"/>
  <c r="O136" i="11" a="1"/>
  <c r="N16" i="12" a="1"/>
  <c r="O43" i="11" a="1"/>
  <c r="O147" i="11" a="1"/>
  <c r="N4" i="12" a="1"/>
  <c r="O59" i="11" a="1"/>
  <c r="O78" i="11" a="1"/>
  <c r="N135" i="12" a="1"/>
  <c r="O9" i="11" a="1"/>
  <c r="O41" i="11" a="1"/>
  <c r="N104" i="12" a="1"/>
  <c r="M171" i="11" a="1"/>
  <c r="O134" i="11" a="1"/>
  <c r="O28" i="11" a="1"/>
  <c r="N115" i="12" a="1"/>
  <c r="N44" i="12" a="1"/>
  <c r="N14" i="12" a="1"/>
  <c r="M107" i="12" a="1"/>
  <c r="M118" i="11" a="1"/>
  <c r="K88" i="11" l="1"/>
  <c r="K97" i="11"/>
  <c r="K156" i="11" s="1"/>
  <c r="K164" i="11" s="1"/>
  <c r="M19" i="11"/>
  <c r="M20" i="11" s="1"/>
  <c r="L86" i="11"/>
  <c r="L87" i="11" s="1"/>
  <c r="L97" i="11" s="1"/>
  <c r="K21" i="12"/>
  <c r="K132" i="12"/>
  <c r="K86" i="12"/>
  <c r="K87" i="12" s="1"/>
  <c r="L132" i="11"/>
  <c r="L85" i="11"/>
  <c r="N39" i="11"/>
  <c r="M131" i="11"/>
  <c r="M141" i="11" s="1"/>
  <c r="L180" i="11"/>
  <c r="L63" i="11"/>
  <c r="L171" i="12"/>
  <c r="M31" i="11"/>
  <c r="M130" i="12"/>
  <c r="N18" i="11"/>
  <c r="M18" i="12"/>
  <c r="L62" i="12"/>
  <c r="K63" i="12"/>
  <c r="M179" i="11"/>
  <c r="M148" i="12"/>
  <c r="M163" i="11"/>
  <c r="M62" i="11"/>
  <c r="M84" i="11"/>
  <c r="K85" i="12"/>
  <c r="K180" i="12"/>
  <c r="L21" i="11"/>
  <c r="L131" i="12"/>
  <c r="L141" i="12" s="1"/>
  <c r="L150" i="12" s="1"/>
  <c r="L179" i="12"/>
  <c r="M71" i="12"/>
  <c r="M74" i="12" s="1"/>
  <c r="N29" i="11"/>
  <c r="N30" i="11" s="1"/>
  <c r="J88" i="12"/>
  <c r="N52" i="12"/>
  <c r="O41" i="11"/>
  <c r="L120" i="11"/>
  <c r="N12" i="12"/>
  <c r="N37" i="12"/>
  <c r="N48" i="12"/>
  <c r="N109" i="12"/>
  <c r="N107" i="11"/>
  <c r="O134" i="11"/>
  <c r="N44" i="12"/>
  <c r="N9" i="12"/>
  <c r="O73" i="11"/>
  <c r="N11" i="12"/>
  <c r="N26" i="12"/>
  <c r="N53" i="12"/>
  <c r="N75" i="12"/>
  <c r="M107" i="12"/>
  <c r="O9" i="11"/>
  <c r="O16" i="11"/>
  <c r="O56" i="11"/>
  <c r="O52" i="11"/>
  <c r="N49" i="12"/>
  <c r="L118" i="12"/>
  <c r="O10" i="11"/>
  <c r="O35" i="11"/>
  <c r="O60" i="11"/>
  <c r="O104" i="11"/>
  <c r="O105" i="11" s="1"/>
  <c r="O106" i="11" s="1"/>
  <c r="O145" i="11"/>
  <c r="N40" i="12"/>
  <c r="N27" i="12"/>
  <c r="N82" i="12"/>
  <c r="N80" i="12"/>
  <c r="N115" i="12"/>
  <c r="N168" i="12" s="1"/>
  <c r="N135" i="12"/>
  <c r="N174" i="12" s="1"/>
  <c r="N6" i="11"/>
  <c r="N43" i="12"/>
  <c r="O26" i="11"/>
  <c r="O124" i="11"/>
  <c r="K142" i="12"/>
  <c r="O45" i="11"/>
  <c r="O114" i="11"/>
  <c r="O115" i="11"/>
  <c r="O168" i="11" s="1"/>
  <c r="I98" i="12"/>
  <c r="L140" i="12"/>
  <c r="N14" i="12"/>
  <c r="N58" i="12"/>
  <c r="N77" i="12"/>
  <c r="N116" i="12"/>
  <c r="N169" i="12" s="1"/>
  <c r="N145" i="12"/>
  <c r="O78" i="11"/>
  <c r="N110" i="12"/>
  <c r="N167" i="12" s="1"/>
  <c r="O17" i="11"/>
  <c r="O28" i="11"/>
  <c r="O48" i="11"/>
  <c r="O67" i="11"/>
  <c r="O76" i="11"/>
  <c r="O109" i="11"/>
  <c r="N24" i="12"/>
  <c r="N36" i="12"/>
  <c r="N34" i="12"/>
  <c r="N78" i="12"/>
  <c r="N147" i="12"/>
  <c r="M6" i="12"/>
  <c r="N41" i="12"/>
  <c r="O79" i="11"/>
  <c r="O59" i="11"/>
  <c r="O11" i="11"/>
  <c r="O53" i="11"/>
  <c r="O70" i="11"/>
  <c r="O80" i="11"/>
  <c r="N25" i="12"/>
  <c r="N38" i="12"/>
  <c r="N65" i="12"/>
  <c r="N70" i="12"/>
  <c r="N146" i="12"/>
  <c r="O133" i="11"/>
  <c r="M171" i="11"/>
  <c r="N114" i="12"/>
  <c r="O40" i="11"/>
  <c r="O68" i="11"/>
  <c r="O54" i="11"/>
  <c r="N4" i="12"/>
  <c r="N5" i="12" s="1"/>
  <c r="N17" i="12"/>
  <c r="N68" i="12"/>
  <c r="N73" i="12"/>
  <c r="N133" i="12"/>
  <c r="N144" i="12"/>
  <c r="N125" i="12"/>
  <c r="N160" i="12" s="1"/>
  <c r="I182" i="11"/>
  <c r="N136" i="12"/>
  <c r="O27" i="11"/>
  <c r="M118" i="11"/>
  <c r="O37" i="11"/>
  <c r="O38" i="11"/>
  <c r="O65" i="11"/>
  <c r="O116" i="11"/>
  <c r="O169" i="11" s="1"/>
  <c r="O147" i="11"/>
  <c r="M112" i="11"/>
  <c r="K120" i="12"/>
  <c r="N8" i="12"/>
  <c r="N28" i="12"/>
  <c r="N60" i="12"/>
  <c r="N123" i="12"/>
  <c r="N129" i="12"/>
  <c r="N162" i="12" s="1"/>
  <c r="J165" i="11"/>
  <c r="N47" i="12"/>
  <c r="N35" i="12"/>
  <c r="N57" i="12"/>
  <c r="N79" i="12"/>
  <c r="O50" i="11"/>
  <c r="O8" i="11"/>
  <c r="O127" i="11"/>
  <c r="O43" i="11"/>
  <c r="H182" i="12"/>
  <c r="N10" i="12"/>
  <c r="N54" i="12"/>
  <c r="N69" i="12"/>
  <c r="N127" i="12"/>
  <c r="O44" i="11"/>
  <c r="O123" i="11"/>
  <c r="O4" i="11"/>
  <c r="O5" i="11" s="1"/>
  <c r="O25" i="11"/>
  <c r="O49" i="11"/>
  <c r="O57" i="11"/>
  <c r="O72" i="11"/>
  <c r="O129" i="11"/>
  <c r="O162" i="11" s="1"/>
  <c r="L112" i="12"/>
  <c r="H182" i="11"/>
  <c r="N16" i="12"/>
  <c r="N50" i="12"/>
  <c r="N76" i="12"/>
  <c r="N104" i="12"/>
  <c r="N105" i="12" s="1"/>
  <c r="N106" i="12" s="1"/>
  <c r="N124" i="12"/>
  <c r="O66" i="11"/>
  <c r="N55" i="12"/>
  <c r="O14" i="11"/>
  <c r="O125" i="11"/>
  <c r="O160" i="11" s="1"/>
  <c r="M149" i="11"/>
  <c r="M140" i="11"/>
  <c r="O146" i="11"/>
  <c r="N33" i="12"/>
  <c r="O69" i="11"/>
  <c r="L31" i="12"/>
  <c r="O24" i="11"/>
  <c r="O136" i="11"/>
  <c r="O12" i="11"/>
  <c r="O34" i="11"/>
  <c r="O36" i="11"/>
  <c r="O75" i="11"/>
  <c r="O144" i="11"/>
  <c r="L142" i="11"/>
  <c r="N56" i="12"/>
  <c r="N67" i="12"/>
  <c r="N134" i="12"/>
  <c r="O58" i="11"/>
  <c r="O135" i="11"/>
  <c r="O174" i="11" s="1"/>
  <c r="O110" i="11"/>
  <c r="O167" i="11" s="1"/>
  <c r="N66" i="12"/>
  <c r="J151" i="12"/>
  <c r="O55" i="11"/>
  <c r="O47" i="11"/>
  <c r="L149" i="12"/>
  <c r="O82" i="11"/>
  <c r="O33" i="11"/>
  <c r="O77" i="11"/>
  <c r="N59" i="12"/>
  <c r="N45" i="12"/>
  <c r="N72" i="12"/>
  <c r="J97" i="12"/>
  <c r="AW44" i="6"/>
  <c r="M9" i="13"/>
  <c r="N4" i="13" s="1"/>
  <c r="N7" i="13" s="1"/>
  <c r="N8" i="13" s="1"/>
  <c r="M7" i="13"/>
  <c r="M8" i="13" s="1"/>
  <c r="N159" i="11"/>
  <c r="N111" i="11"/>
  <c r="N173" i="11"/>
  <c r="N139" i="11"/>
  <c r="M32" i="6"/>
  <c r="X69" i="10"/>
  <c r="N148" i="11"/>
  <c r="AU66" i="12"/>
  <c r="L119" i="12"/>
  <c r="M9" i="3" a="1"/>
  <c r="M9" i="3" s="1"/>
  <c r="N1" i="3"/>
  <c r="W73" i="10"/>
  <c r="W74" i="10" s="1"/>
  <c r="L163" i="12"/>
  <c r="K97" i="12"/>
  <c r="I156" i="12"/>
  <c r="I164" i="12" s="1"/>
  <c r="M31" i="6"/>
  <c r="V30" i="9"/>
  <c r="T30" i="9"/>
  <c r="S30" i="9"/>
  <c r="R30" i="9"/>
  <c r="Q30" i="9"/>
  <c r="P30" i="9"/>
  <c r="F31" i="9"/>
  <c r="O30" i="9"/>
  <c r="N30" i="9"/>
  <c r="Z30" i="9"/>
  <c r="Y30" i="9"/>
  <c r="X30" i="9"/>
  <c r="W30" i="9"/>
  <c r="U30" i="9"/>
  <c r="X65" i="10"/>
  <c r="X68" i="10"/>
  <c r="X85" i="10"/>
  <c r="X88" i="10"/>
  <c r="X86" i="10"/>
  <c r="X84" i="10"/>
  <c r="X87" i="10"/>
  <c r="M46" i="12"/>
  <c r="M51" i="12"/>
  <c r="N61" i="11"/>
  <c r="M9" i="6"/>
  <c r="AR66" i="11"/>
  <c r="X72" i="10"/>
  <c r="N158" i="11"/>
  <c r="N117" i="11"/>
  <c r="M29" i="12"/>
  <c r="M30" i="12" s="1"/>
  <c r="N42" i="11"/>
  <c r="M81" i="12"/>
  <c r="M83" i="12" s="1"/>
  <c r="M25" i="13"/>
  <c r="M11" i="13"/>
  <c r="M5" i="13"/>
  <c r="N2" i="13"/>
  <c r="M159" i="12"/>
  <c r="M111" i="12"/>
  <c r="N51" i="11"/>
  <c r="M18" i="7"/>
  <c r="M19" i="7" s="1"/>
  <c r="BC53" i="7"/>
  <c r="BD53" i="7" s="1"/>
  <c r="L54" i="7"/>
  <c r="M7" i="6"/>
  <c r="X71" i="10"/>
  <c r="AZ46" i="7"/>
  <c r="BA46" i="7" s="1"/>
  <c r="N126" i="11"/>
  <c r="Z61" i="9"/>
  <c r="Z54" i="9"/>
  <c r="Z16" i="9"/>
  <c r="Z44" i="9"/>
  <c r="Z10" i="9"/>
  <c r="Z4" i="9"/>
  <c r="Z60" i="9"/>
  <c r="Z53" i="9"/>
  <c r="Z48" i="9"/>
  <c r="Z15" i="9"/>
  <c r="Z33" i="9"/>
  <c r="Z20" i="9"/>
  <c r="AA1" i="9"/>
  <c r="AA30" i="9" s="1"/>
  <c r="Z43" i="9"/>
  <c r="Z59" i="9"/>
  <c r="Z14" i="9"/>
  <c r="Z19" i="9"/>
  <c r="Z58" i="9"/>
  <c r="Z42" i="9"/>
  <c r="Z8" i="9"/>
  <c r="Z63" i="9"/>
  <c r="Z13" i="9"/>
  <c r="Z57" i="9"/>
  <c r="Z36" i="9"/>
  <c r="Z18" i="9"/>
  <c r="Z56" i="9"/>
  <c r="Z55" i="9"/>
  <c r="Z34" i="9"/>
  <c r="Z11" i="9"/>
  <c r="Z41" i="9"/>
  <c r="Z40" i="9"/>
  <c r="Z71" i="9" s="1"/>
  <c r="Z62" i="9"/>
  <c r="Z45" i="9"/>
  <c r="Z12" i="9"/>
  <c r="Z5" i="9"/>
  <c r="Z17" i="9"/>
  <c r="Z35" i="9"/>
  <c r="Z7" i="9"/>
  <c r="Z9" i="9"/>
  <c r="Z49" i="9"/>
  <c r="Z38" i="9"/>
  <c r="Z21" i="9"/>
  <c r="Z64" i="9"/>
  <c r="Z37" i="9"/>
  <c r="Z50" i="9"/>
  <c r="Z22" i="9"/>
  <c r="Z46" i="9"/>
  <c r="Z47" i="9"/>
  <c r="Z23" i="9"/>
  <c r="Z51" i="9"/>
  <c r="Z24" i="9"/>
  <c r="Z25" i="9"/>
  <c r="Z26" i="9"/>
  <c r="Z27" i="9"/>
  <c r="Z28" i="9"/>
  <c r="W81" i="10"/>
  <c r="W82" i="10" s="1"/>
  <c r="M21" i="7"/>
  <c r="M20" i="7" s="1"/>
  <c r="L67" i="7"/>
  <c r="M18" i="6"/>
  <c r="M19" i="6" s="1"/>
  <c r="O1" i="15"/>
  <c r="N9" i="15" s="1"/>
  <c r="I29" i="13"/>
  <c r="J24" i="13" s="1"/>
  <c r="O35" i="3"/>
  <c r="N43" i="3"/>
  <c r="N178" i="11"/>
  <c r="N175" i="11"/>
  <c r="M42" i="12"/>
  <c r="M65" i="7"/>
  <c r="N26" i="13"/>
  <c r="N6" i="13"/>
  <c r="O1" i="13"/>
  <c r="M61" i="12"/>
  <c r="M9" i="7"/>
  <c r="AW44" i="7"/>
  <c r="M119" i="11"/>
  <c r="M52" i="6"/>
  <c r="M53" i="6" s="1"/>
  <c r="L84" i="12"/>
  <c r="Y70" i="9"/>
  <c r="N71" i="11"/>
  <c r="N74" i="11" s="1"/>
  <c r="M13" i="12"/>
  <c r="M15" i="12" s="1"/>
  <c r="N81" i="11"/>
  <c r="N83" i="11" s="1"/>
  <c r="N170" i="11"/>
  <c r="N130" i="11"/>
  <c r="M39" i="7"/>
  <c r="P1" i="12"/>
  <c r="O1" i="7"/>
  <c r="N40" i="7" s="1"/>
  <c r="J181" i="11"/>
  <c r="Y71" i="9"/>
  <c r="BD19" i="7"/>
  <c r="BE19" i="7" s="1"/>
  <c r="N46" i="11"/>
  <c r="M158" i="12"/>
  <c r="M117" i="12"/>
  <c r="M39" i="12"/>
  <c r="AY47" i="7"/>
  <c r="M21" i="6"/>
  <c r="M20" i="6" s="1"/>
  <c r="AQ4" i="7"/>
  <c r="AR5" i="7"/>
  <c r="AZ53" i="6"/>
  <c r="M173" i="12"/>
  <c r="M139" i="12"/>
  <c r="L19" i="12"/>
  <c r="L20" i="12" s="1"/>
  <c r="N55" i="6"/>
  <c r="N54" i="6" s="1"/>
  <c r="N37" i="6"/>
  <c r="N38" i="6" s="1"/>
  <c r="N52" i="6"/>
  <c r="N21" i="6"/>
  <c r="O1" i="6"/>
  <c r="N65" i="6"/>
  <c r="B48" i="3" a="1"/>
  <c r="B48" i="3" s="1"/>
  <c r="M52" i="7"/>
  <c r="M53" i="7" s="1"/>
  <c r="AX44" i="7"/>
  <c r="M65" i="6"/>
  <c r="Y72" i="9"/>
  <c r="BB38" i="7"/>
  <c r="BC38" i="7" s="1"/>
  <c r="AT46" i="6"/>
  <c r="AU46" i="6" s="1"/>
  <c r="AQ47" i="6"/>
  <c r="N13" i="11"/>
  <c r="N15" i="11" s="1"/>
  <c r="M126" i="12"/>
  <c r="M178" i="12"/>
  <c r="M175" i="12"/>
  <c r="M31" i="7"/>
  <c r="M64" i="7" s="1"/>
  <c r="AR47" i="6"/>
  <c r="L150" i="11"/>
  <c r="M68" i="6"/>
  <c r="W89" i="10"/>
  <c r="W90" i="10" s="1"/>
  <c r="L64" i="7"/>
  <c r="M43" i="3"/>
  <c r="AQ5" i="6"/>
  <c r="AP4" i="6"/>
  <c r="AS46" i="6"/>
  <c r="M170" i="12"/>
  <c r="Y58" i="10"/>
  <c r="Y55" i="10"/>
  <c r="Y19" i="10"/>
  <c r="Y61" i="10"/>
  <c r="Y57" i="10"/>
  <c r="Y8" i="10"/>
  <c r="Z1" i="10"/>
  <c r="Y60" i="10"/>
  <c r="Y13" i="10"/>
  <c r="Y43" i="10"/>
  <c r="Y18" i="10"/>
  <c r="Y42" i="10"/>
  <c r="Y41" i="10"/>
  <c r="Y40" i="10"/>
  <c r="Y71" i="10" s="1"/>
  <c r="Y23" i="10"/>
  <c r="Y34" i="10"/>
  <c r="Y12" i="10"/>
  <c r="Y7" i="10"/>
  <c r="Y59" i="10"/>
  <c r="Y17" i="10"/>
  <c r="Y22" i="10"/>
  <c r="Y33" i="10"/>
  <c r="Y70" i="10" s="1"/>
  <c r="Y11" i="10"/>
  <c r="Y16" i="10"/>
  <c r="Y56" i="10"/>
  <c r="Y21" i="10"/>
  <c r="Y5" i="10"/>
  <c r="Y10" i="10"/>
  <c r="Y53" i="10"/>
  <c r="Y15" i="10"/>
  <c r="Y54" i="10"/>
  <c r="Y9" i="10"/>
  <c r="Y4" i="10"/>
  <c r="Y20" i="10"/>
  <c r="Y14" i="10"/>
  <c r="M68" i="7"/>
  <c r="J152" i="12"/>
  <c r="M33" i="7"/>
  <c r="N1" i="5"/>
  <c r="M5" i="5" a="1"/>
  <c r="M5" i="5" s="1"/>
  <c r="M15" i="5" a="1"/>
  <c r="M15" i="5" s="1"/>
  <c r="M37" i="7"/>
  <c r="M38" i="7" s="1"/>
  <c r="M55" i="7"/>
  <c r="M54" i="7" s="1"/>
  <c r="Q1" i="11"/>
  <c r="BH38" i="6"/>
  <c r="BI38" i="6" s="1"/>
  <c r="M37" i="6"/>
  <c r="M38" i="6" s="1"/>
  <c r="K150" i="12"/>
  <c r="Y68" i="9"/>
  <c r="AV44" i="6"/>
  <c r="L67" i="6"/>
  <c r="BA19" i="6"/>
  <c r="M21" i="11" a="1"/>
  <c r="L180" i="12" a="1"/>
  <c r="L142" i="12" a="1"/>
  <c r="O8" i="12" a="1"/>
  <c r="P10" i="11" a="1"/>
  <c r="P110" i="11" a="1"/>
  <c r="O54" i="12" a="1"/>
  <c r="O11" i="12" a="1"/>
  <c r="O53" i="12" a="1"/>
  <c r="P60" i="11" a="1"/>
  <c r="M120" i="11" a="1"/>
  <c r="O57" i="12" a="1"/>
  <c r="O9" i="12" a="1"/>
  <c r="P133" i="11" a="1"/>
  <c r="P73" i="11" a="1"/>
  <c r="O133" i="12" a="1"/>
  <c r="P77" i="11" a="1"/>
  <c r="O115" i="12" a="1"/>
  <c r="P35" i="11" a="1"/>
  <c r="O75" i="12" a="1"/>
  <c r="O70" i="12" a="1"/>
  <c r="P43" i="11" a="1"/>
  <c r="P47" i="11" a="1"/>
  <c r="O43" i="12" a="1"/>
  <c r="N107" i="12" a="1"/>
  <c r="M171" i="12" a="1"/>
  <c r="M112" i="12" a="1"/>
  <c r="N140" i="11" a="1"/>
  <c r="O55" i="12" a="1"/>
  <c r="P127" i="11" a="1"/>
  <c r="O6" i="11" a="1"/>
  <c r="O135" i="12" a="1"/>
  <c r="O58" i="12" a="1"/>
  <c r="O38" i="12" a="1"/>
  <c r="P45" i="11" a="1"/>
  <c r="P66" i="11" a="1"/>
  <c r="O134" i="12" a="1"/>
  <c r="P75" i="11" a="1"/>
  <c r="P36" i="11" a="1"/>
  <c r="P17" i="11" a="1"/>
  <c r="P26" i="11" a="1"/>
  <c r="M140" i="12" a="1"/>
  <c r="J182" i="11" a="1"/>
  <c r="P144" i="11" a="1"/>
  <c r="P70" i="11" a="1"/>
  <c r="P82" i="11" a="1"/>
  <c r="O12" i="12" a="1"/>
  <c r="O50" i="12" a="1"/>
  <c r="P79" i="11" a="1"/>
  <c r="L88" i="11" a="1"/>
  <c r="O65" i="12" a="1"/>
  <c r="O10" i="12" a="1"/>
  <c r="P24" i="11" a="1"/>
  <c r="O147" i="12" a="1"/>
  <c r="O77" i="12" a="1"/>
  <c r="O37" i="12" a="1"/>
  <c r="P67" i="11" a="1"/>
  <c r="P78" i="11" a="1"/>
  <c r="N6" i="12" a="1"/>
  <c r="O44" i="12" a="1"/>
  <c r="P123" i="11" a="1"/>
  <c r="O127" i="12" a="1"/>
  <c r="P9" i="11" a="1"/>
  <c r="O124" i="12" a="1"/>
  <c r="O4" i="12" a="1"/>
  <c r="O28" i="12" a="1"/>
  <c r="P134" i="11" a="1"/>
  <c r="P135" i="11" a="1"/>
  <c r="P16" i="11" a="1"/>
  <c r="M180" i="11" a="1"/>
  <c r="N149" i="11" a="1"/>
  <c r="P109" i="11" a="1"/>
  <c r="O14" i="12" a="1"/>
  <c r="O79" i="12" a="1"/>
  <c r="O49" i="12" a="1"/>
  <c r="P52" i="11" a="1"/>
  <c r="M132" i="11" a="1"/>
  <c r="P116" i="11" a="1"/>
  <c r="P4" i="11" a="1"/>
  <c r="O52" i="12" a="1"/>
  <c r="O24" i="12" a="1"/>
  <c r="P76" i="11" a="1"/>
  <c r="P8" i="11" a="1"/>
  <c r="P25" i="11" a="1"/>
  <c r="P136" i="11" a="1"/>
  <c r="N112" i="11" a="1"/>
  <c r="M85" i="11" a="1"/>
  <c r="P65" i="11" a="1"/>
  <c r="P129" i="11" a="1"/>
  <c r="O114" i="12" a="1"/>
  <c r="P80" i="11" a="1"/>
  <c r="O68" i="12" a="1"/>
  <c r="K88" i="12" a="1"/>
  <c r="K165" i="11" a="1"/>
  <c r="P12" i="11" a="1"/>
  <c r="O72" i="12" a="1"/>
  <c r="O47" i="12" a="1"/>
  <c r="P124" i="11" a="1"/>
  <c r="P48" i="11" a="1"/>
  <c r="P14" i="11" a="1"/>
  <c r="P125" i="11" a="1"/>
  <c r="O48" i="12" a="1"/>
  <c r="P56" i="11" a="1"/>
  <c r="P34" i="11" a="1"/>
  <c r="L21" i="12" a="1"/>
  <c r="L63" i="12" a="1"/>
  <c r="P69" i="11" a="1"/>
  <c r="L120" i="12" a="1"/>
  <c r="O16" i="12" a="1"/>
  <c r="N118" i="11" a="1"/>
  <c r="O110" i="12" a="1"/>
  <c r="O41" i="12" a="1"/>
  <c r="L132" i="12" a="1"/>
  <c r="P55" i="11" a="1"/>
  <c r="L98" i="11" a="1"/>
  <c r="P53" i="11" a="1"/>
  <c r="P146" i="11" a="1"/>
  <c r="P49" i="11" a="1"/>
  <c r="O125" i="12" a="1"/>
  <c r="M63" i="11" a="1"/>
  <c r="P11" i="11" a="1"/>
  <c r="O109" i="12" a="1"/>
  <c r="P68" i="11" a="1"/>
  <c r="P58" i="11" a="1"/>
  <c r="P59" i="11" a="1"/>
  <c r="O146" i="12" a="1"/>
  <c r="O136" i="12" a="1"/>
  <c r="O40" i="12" a="1"/>
  <c r="N171" i="11" a="1"/>
  <c r="O35" i="12" a="1"/>
  <c r="P28" i="11" a="1"/>
  <c r="O116" i="12" a="1"/>
  <c r="O145" i="12" a="1"/>
  <c r="O144" i="12" a="1"/>
  <c r="O107" i="11" a="1"/>
  <c r="O123" i="12" a="1"/>
  <c r="K98" i="11" a="1"/>
  <c r="M149" i="12" a="1"/>
  <c r="P37" i="11" a="1"/>
  <c r="O129" i="12" a="1"/>
  <c r="P72" i="11" a="1"/>
  <c r="P54" i="11" a="1"/>
  <c r="P27" i="11" a="1"/>
  <c r="P33" i="11" a="1"/>
  <c r="K98" i="12" a="1"/>
  <c r="O26" i="12" a="1"/>
  <c r="O25" i="12" a="1"/>
  <c r="L151" i="11" a="1"/>
  <c r="O60" i="12" a="1"/>
  <c r="P147" i="11" a="1"/>
  <c r="M31" i="12" a="1"/>
  <c r="O66" i="12" a="1"/>
  <c r="P115" i="11" a="1"/>
  <c r="O17" i="12" a="1"/>
  <c r="M118" i="12" a="1"/>
  <c r="I165" i="12" a="1"/>
  <c r="P104" i="11" a="1"/>
  <c r="O104" i="12" a="1"/>
  <c r="O56" i="12" a="1"/>
  <c r="O67" i="12" a="1"/>
  <c r="O80" i="12" a="1"/>
  <c r="O76" i="12" a="1"/>
  <c r="P57" i="11" a="1"/>
  <c r="P50" i="11" a="1"/>
  <c r="N31" i="11" a="1"/>
  <c r="O82" i="12" a="1"/>
  <c r="L151" i="12" a="1"/>
  <c r="J98" i="12" a="1"/>
  <c r="O34" i="12" a="1"/>
  <c r="L85" i="12" a="1"/>
  <c r="M142" i="11" a="1"/>
  <c r="O27" i="12" a="1"/>
  <c r="P40" i="11" a="1"/>
  <c r="O36" i="12" a="1"/>
  <c r="O59" i="12" a="1"/>
  <c r="O69" i="12" a="1"/>
  <c r="P44" i="11" a="1"/>
  <c r="P38" i="11" a="1"/>
  <c r="K151" i="12" a="1"/>
  <c r="O78" i="12" a="1"/>
  <c r="P41" i="11" a="1"/>
  <c r="P114" i="11" a="1"/>
  <c r="O45" i="12" a="1"/>
  <c r="P145" i="11" a="1"/>
  <c r="O73" i="12" a="1"/>
  <c r="O33" i="12" a="1"/>
  <c r="K98" i="11" l="1"/>
  <c r="M21" i="11"/>
  <c r="L88" i="11"/>
  <c r="M19" i="12"/>
  <c r="M20" i="12" s="1"/>
  <c r="N163" i="11"/>
  <c r="K88" i="12"/>
  <c r="N19" i="11"/>
  <c r="N20" i="11" s="1"/>
  <c r="M131" i="12"/>
  <c r="M141" i="12" s="1"/>
  <c r="M132" i="11"/>
  <c r="M86" i="11"/>
  <c r="M87" i="11" s="1"/>
  <c r="M97" i="11" s="1"/>
  <c r="N126" i="12"/>
  <c r="L63" i="12"/>
  <c r="N18" i="12"/>
  <c r="O42" i="11"/>
  <c r="M85" i="11"/>
  <c r="M63" i="11"/>
  <c r="M149" i="12"/>
  <c r="M180" i="11"/>
  <c r="N130" i="12"/>
  <c r="N131" i="12" s="1"/>
  <c r="N84" i="11"/>
  <c r="M62" i="12"/>
  <c r="N31" i="11"/>
  <c r="L180" i="12"/>
  <c r="L132" i="12"/>
  <c r="O39" i="11"/>
  <c r="N148" i="12"/>
  <c r="N29" i="12"/>
  <c r="N30" i="12" s="1"/>
  <c r="N13" i="12"/>
  <c r="N15" i="12" s="1"/>
  <c r="N62" i="11"/>
  <c r="M163" i="12"/>
  <c r="N39" i="12"/>
  <c r="N170" i="12"/>
  <c r="O70" i="12"/>
  <c r="P75" i="11"/>
  <c r="O60" i="12"/>
  <c r="N140" i="11"/>
  <c r="K151" i="12"/>
  <c r="P9" i="11"/>
  <c r="P34" i="11"/>
  <c r="P50" i="11"/>
  <c r="P104" i="11"/>
  <c r="P105" i="11" s="1"/>
  <c r="P106" i="11" s="1"/>
  <c r="P133" i="11"/>
  <c r="P123" i="11"/>
  <c r="O12" i="12"/>
  <c r="O41" i="12"/>
  <c r="O36" i="12"/>
  <c r="O57" i="12"/>
  <c r="O125" i="12"/>
  <c r="O160" i="12" s="1"/>
  <c r="O144" i="12"/>
  <c r="P147" i="11"/>
  <c r="L151" i="11"/>
  <c r="O45" i="12"/>
  <c r="P16" i="11"/>
  <c r="N171" i="11"/>
  <c r="P56" i="11"/>
  <c r="P52" i="11"/>
  <c r="P145" i="11"/>
  <c r="L21" i="12"/>
  <c r="O44" i="12"/>
  <c r="O33" i="12"/>
  <c r="O75" i="12"/>
  <c r="O127" i="12"/>
  <c r="M120" i="11"/>
  <c r="M112" i="12"/>
  <c r="I165" i="12"/>
  <c r="N112" i="11"/>
  <c r="O25" i="12"/>
  <c r="P57" i="11"/>
  <c r="M140" i="12"/>
  <c r="O9" i="12"/>
  <c r="O48" i="12"/>
  <c r="O73" i="12"/>
  <c r="O110" i="12"/>
  <c r="O167" i="12" s="1"/>
  <c r="O134" i="12"/>
  <c r="N6" i="12"/>
  <c r="P49" i="11"/>
  <c r="P38" i="11"/>
  <c r="P40" i="11"/>
  <c r="P60" i="11"/>
  <c r="P82" i="11"/>
  <c r="P135" i="11"/>
  <c r="P174" i="11" s="1"/>
  <c r="O40" i="12"/>
  <c r="O26" i="12"/>
  <c r="O49" i="12"/>
  <c r="O145" i="12"/>
  <c r="P136" i="11"/>
  <c r="P125" i="11"/>
  <c r="P160" i="11" s="1"/>
  <c r="M171" i="12"/>
  <c r="P35" i="11"/>
  <c r="P66" i="11"/>
  <c r="P78" i="11"/>
  <c r="P114" i="11"/>
  <c r="M118" i="12"/>
  <c r="O27" i="12"/>
  <c r="O53" i="12"/>
  <c r="O76" i="12"/>
  <c r="O114" i="12"/>
  <c r="O136" i="12"/>
  <c r="K98" i="12"/>
  <c r="O68" i="12"/>
  <c r="N118" i="11"/>
  <c r="P25" i="11"/>
  <c r="P14" i="11"/>
  <c r="P146" i="11"/>
  <c r="P26" i="11"/>
  <c r="P45" i="11"/>
  <c r="P67" i="11"/>
  <c r="P79" i="11"/>
  <c r="P134" i="11"/>
  <c r="M142" i="11"/>
  <c r="O11" i="12"/>
  <c r="O79" i="12"/>
  <c r="O115" i="12"/>
  <c r="O168" i="12" s="1"/>
  <c r="O146" i="12"/>
  <c r="P33" i="11"/>
  <c r="N107" i="12"/>
  <c r="P44" i="11"/>
  <c r="P8" i="11"/>
  <c r="P48" i="11"/>
  <c r="P70" i="11"/>
  <c r="O17" i="12"/>
  <c r="O38" i="12"/>
  <c r="O37" i="12"/>
  <c r="O80" i="12"/>
  <c r="O116" i="12"/>
  <c r="O169" i="12" s="1"/>
  <c r="L85" i="12"/>
  <c r="O54" i="12"/>
  <c r="P41" i="11"/>
  <c r="O16" i="12"/>
  <c r="P59" i="11"/>
  <c r="P27" i="11"/>
  <c r="P53" i="11"/>
  <c r="P129" i="11"/>
  <c r="P162" i="11" s="1"/>
  <c r="P76" i="11"/>
  <c r="P124" i="11"/>
  <c r="O14" i="12"/>
  <c r="O28" i="12"/>
  <c r="O58" i="12"/>
  <c r="O77" i="12"/>
  <c r="O123" i="12"/>
  <c r="P77" i="11"/>
  <c r="O34" i="12"/>
  <c r="P110" i="11"/>
  <c r="P167" i="11" s="1"/>
  <c r="O43" i="12"/>
  <c r="P17" i="11"/>
  <c r="P58" i="11"/>
  <c r="P54" i="11"/>
  <c r="P80" i="11"/>
  <c r="P115" i="11"/>
  <c r="P168" i="11" s="1"/>
  <c r="O24" i="12"/>
  <c r="O47" i="12"/>
  <c r="O67" i="12"/>
  <c r="O69" i="12"/>
  <c r="O135" i="12"/>
  <c r="O174" i="12" s="1"/>
  <c r="O147" i="12"/>
  <c r="L98" i="11"/>
  <c r="L120" i="12"/>
  <c r="J98" i="12"/>
  <c r="P10" i="11"/>
  <c r="P144" i="11"/>
  <c r="P28" i="11"/>
  <c r="P68" i="11"/>
  <c r="P72" i="11"/>
  <c r="P109" i="11"/>
  <c r="O4" i="12"/>
  <c r="O5" i="12" s="1"/>
  <c r="O52" i="12"/>
  <c r="O72" i="12"/>
  <c r="O78" i="12"/>
  <c r="O133" i="12"/>
  <c r="O6" i="11"/>
  <c r="P24" i="11"/>
  <c r="P47" i="11"/>
  <c r="P65" i="11"/>
  <c r="L151" i="12"/>
  <c r="O8" i="12"/>
  <c r="O56" i="12"/>
  <c r="O66" i="12"/>
  <c r="O109" i="12"/>
  <c r="O129" i="12"/>
  <c r="O162" i="12" s="1"/>
  <c r="O107" i="11"/>
  <c r="P36" i="11"/>
  <c r="P4" i="11"/>
  <c r="P5" i="11" s="1"/>
  <c r="P12" i="11"/>
  <c r="P55" i="11"/>
  <c r="P69" i="11"/>
  <c r="P127" i="11"/>
  <c r="O10" i="12"/>
  <c r="O50" i="12"/>
  <c r="O59" i="12"/>
  <c r="O82" i="12"/>
  <c r="L142" i="12"/>
  <c r="N149" i="11"/>
  <c r="O124" i="12"/>
  <c r="P11" i="11"/>
  <c r="P37" i="11"/>
  <c r="P43" i="11"/>
  <c r="P73" i="11"/>
  <c r="P116" i="11"/>
  <c r="P169" i="11" s="1"/>
  <c r="K165" i="11"/>
  <c r="J182" i="11"/>
  <c r="O35" i="12"/>
  <c r="O55" i="12"/>
  <c r="O65" i="12"/>
  <c r="O104" i="12"/>
  <c r="O105" i="12" s="1"/>
  <c r="O106" i="12" s="1"/>
  <c r="M31" i="12"/>
  <c r="BA47" i="7"/>
  <c r="BJ38" i="6"/>
  <c r="AU47" i="6"/>
  <c r="Y69" i="10"/>
  <c r="O158" i="11"/>
  <c r="O117" i="11"/>
  <c r="O173" i="11"/>
  <c r="O139" i="11"/>
  <c r="K152" i="12"/>
  <c r="N179" i="11"/>
  <c r="O51" i="11"/>
  <c r="N71" i="12"/>
  <c r="N74" i="12" s="1"/>
  <c r="L152" i="11"/>
  <c r="BB46" i="7"/>
  <c r="J27" i="13"/>
  <c r="J28" i="13" s="1"/>
  <c r="Z70" i="9"/>
  <c r="I181" i="12"/>
  <c r="O178" i="11"/>
  <c r="O175" i="11"/>
  <c r="O126" i="11"/>
  <c r="N159" i="12"/>
  <c r="N111" i="12"/>
  <c r="N65" i="7"/>
  <c r="X89" i="10"/>
  <c r="X90" i="10" s="1"/>
  <c r="BB19" i="6"/>
  <c r="AS66" i="11"/>
  <c r="O46" i="11"/>
  <c r="AW46" i="6"/>
  <c r="AT47" i="6"/>
  <c r="Y72" i="10"/>
  <c r="AV46" i="6"/>
  <c r="AX46" i="6" s="1"/>
  <c r="AS47" i="6"/>
  <c r="N40" i="6"/>
  <c r="N39" i="6" s="1"/>
  <c r="M179" i="12"/>
  <c r="N18" i="7"/>
  <c r="N19" i="7" s="1"/>
  <c r="X81" i="10"/>
  <c r="X82" i="10" s="1"/>
  <c r="O130" i="11"/>
  <c r="N68" i="7"/>
  <c r="N33" i="6"/>
  <c r="BA53" i="6"/>
  <c r="M119" i="12"/>
  <c r="N21" i="7"/>
  <c r="N20" i="7" s="1"/>
  <c r="Q1" i="12"/>
  <c r="AY44" i="7"/>
  <c r="AZ44" i="7" s="1"/>
  <c r="O9" i="15"/>
  <c r="P1" i="15"/>
  <c r="Z72" i="9"/>
  <c r="K156" i="12"/>
  <c r="K164" i="12" s="1"/>
  <c r="O170" i="11"/>
  <c r="O71" i="11"/>
  <c r="O74" i="11" s="1"/>
  <c r="N46" i="12"/>
  <c r="O61" i="11"/>
  <c r="N119" i="11"/>
  <c r="Y65" i="10"/>
  <c r="Y68" i="10"/>
  <c r="Y84" i="10"/>
  <c r="Y87" i="10"/>
  <c r="Y88" i="10"/>
  <c r="Y86" i="10"/>
  <c r="Y85" i="10"/>
  <c r="BK38" i="6"/>
  <c r="AR5" i="6"/>
  <c r="AQ4" i="6"/>
  <c r="N68" i="6"/>
  <c r="AR4" i="7"/>
  <c r="AS5" i="7"/>
  <c r="N31" i="7"/>
  <c r="BD38" i="7"/>
  <c r="BE38" i="7" s="1"/>
  <c r="N25" i="13"/>
  <c r="N11" i="13"/>
  <c r="N5" i="13"/>
  <c r="O2" i="13"/>
  <c r="M8" i="6"/>
  <c r="M67" i="6"/>
  <c r="X73" i="10"/>
  <c r="X74" i="10" s="1"/>
  <c r="O18" i="11"/>
  <c r="M150" i="11"/>
  <c r="P1" i="6"/>
  <c r="O33" i="6"/>
  <c r="N9" i="7"/>
  <c r="L86" i="12"/>
  <c r="L87" i="12" s="1"/>
  <c r="Z68" i="9"/>
  <c r="Z84" i="9"/>
  <c r="Z85" i="9"/>
  <c r="M64" i="6"/>
  <c r="M84" i="12"/>
  <c r="N158" i="12"/>
  <c r="N117" i="12"/>
  <c r="O13" i="11"/>
  <c r="O15" i="11" s="1"/>
  <c r="AA34" i="9"/>
  <c r="AA44" i="9"/>
  <c r="AA60" i="9"/>
  <c r="AA53" i="9"/>
  <c r="AA48" i="9"/>
  <c r="AA15" i="9"/>
  <c r="AA33" i="9"/>
  <c r="AA70" i="9" s="1"/>
  <c r="AA20" i="9"/>
  <c r="AB1" i="9"/>
  <c r="AA43" i="9"/>
  <c r="AA9" i="9"/>
  <c r="AA59" i="9"/>
  <c r="AA19" i="9"/>
  <c r="AA58" i="9"/>
  <c r="AA42" i="9"/>
  <c r="AA8" i="9"/>
  <c r="AA13" i="9"/>
  <c r="AA57" i="9"/>
  <c r="AA18" i="9"/>
  <c r="AA41" i="9"/>
  <c r="AA7" i="9"/>
  <c r="AA62" i="9"/>
  <c r="AA4" i="9"/>
  <c r="AA40" i="9"/>
  <c r="AA14" i="9"/>
  <c r="AA12" i="9"/>
  <c r="AA61" i="9"/>
  <c r="AA16" i="9"/>
  <c r="AA10" i="9"/>
  <c r="AA5" i="9"/>
  <c r="AA21" i="9"/>
  <c r="AA35" i="9"/>
  <c r="AA56" i="9"/>
  <c r="AA55" i="9"/>
  <c r="AA54" i="9"/>
  <c r="AA11" i="9"/>
  <c r="AA17" i="9"/>
  <c r="AA49" i="9"/>
  <c r="AA37" i="9"/>
  <c r="AA45" i="9"/>
  <c r="AA63" i="9"/>
  <c r="AA64" i="9"/>
  <c r="AA36" i="9"/>
  <c r="AA38" i="9"/>
  <c r="AA46" i="9"/>
  <c r="AA22" i="9"/>
  <c r="AA50" i="9"/>
  <c r="AA47" i="9"/>
  <c r="AA23" i="9"/>
  <c r="AA51" i="9"/>
  <c r="AA24" i="9"/>
  <c r="AA25" i="9"/>
  <c r="AA26" i="9"/>
  <c r="AA27" i="9"/>
  <c r="AA28" i="9"/>
  <c r="AA29" i="9"/>
  <c r="N9" i="6"/>
  <c r="N52" i="7"/>
  <c r="N53" i="7" s="1"/>
  <c r="BB53" i="6"/>
  <c r="N131" i="11"/>
  <c r="O1" i="3"/>
  <c r="N9" i="3" a="1"/>
  <c r="N9" i="3" s="1"/>
  <c r="O159" i="11"/>
  <c r="O111" i="11"/>
  <c r="AX44" i="6"/>
  <c r="M32" i="7"/>
  <c r="N18" i="6"/>
  <c r="N19" i="6" s="1"/>
  <c r="N7" i="7"/>
  <c r="N64" i="7" s="1"/>
  <c r="L156" i="11"/>
  <c r="L164" i="11" s="1"/>
  <c r="BE53" i="7"/>
  <c r="J156" i="12"/>
  <c r="J164" i="12" s="1"/>
  <c r="N173" i="12"/>
  <c r="N139" i="12"/>
  <c r="O29" i="11"/>
  <c r="O30" i="11" s="1"/>
  <c r="N81" i="12"/>
  <c r="N83" i="12" s="1"/>
  <c r="R1" i="11"/>
  <c r="N9" i="13"/>
  <c r="O4" i="13" s="1"/>
  <c r="BC46" i="7"/>
  <c r="AZ47" i="7"/>
  <c r="Z56" i="10"/>
  <c r="Z61" i="10"/>
  <c r="Z57" i="10"/>
  <c r="Z8" i="10"/>
  <c r="AA1" i="10"/>
  <c r="Z60" i="10"/>
  <c r="Z13" i="10"/>
  <c r="Z43" i="10"/>
  <c r="Z18" i="10"/>
  <c r="Z55" i="10"/>
  <c r="Z42" i="10"/>
  <c r="Z41" i="10"/>
  <c r="Z40" i="10"/>
  <c r="Z23" i="10"/>
  <c r="Z34" i="10"/>
  <c r="Z12" i="10"/>
  <c r="Z7" i="10"/>
  <c r="Z59" i="10"/>
  <c r="Z17" i="10"/>
  <c r="Z22" i="10"/>
  <c r="Z33" i="10"/>
  <c r="Z11" i="10"/>
  <c r="Z16" i="10"/>
  <c r="Z58" i="10"/>
  <c r="Z21" i="10"/>
  <c r="Z5" i="10"/>
  <c r="Z10" i="10"/>
  <c r="Z53" i="10"/>
  <c r="Z15" i="10"/>
  <c r="Z20" i="10"/>
  <c r="Z14" i="10"/>
  <c r="Z4" i="10"/>
  <c r="Z54" i="10"/>
  <c r="Z19" i="10"/>
  <c r="Z9" i="10"/>
  <c r="N7" i="6"/>
  <c r="N37" i="7"/>
  <c r="N38" i="7" s="1"/>
  <c r="M39" i="6"/>
  <c r="M54" i="6"/>
  <c r="AV66" i="12"/>
  <c r="N51" i="12"/>
  <c r="L152" i="12"/>
  <c r="N20" i="6"/>
  <c r="N55" i="7"/>
  <c r="N54" i="7" s="1"/>
  <c r="M8" i="7"/>
  <c r="M67" i="7"/>
  <c r="N61" i="12"/>
  <c r="N175" i="12"/>
  <c r="N178" i="12"/>
  <c r="O1" i="5"/>
  <c r="N5" i="5" a="1"/>
  <c r="N5" i="5" s="1"/>
  <c r="N15" i="5" a="1"/>
  <c r="N15" i="5" s="1"/>
  <c r="N31" i="6"/>
  <c r="BF19" i="7"/>
  <c r="BG19" i="7" s="1"/>
  <c r="U86" i="9"/>
  <c r="R31" i="9"/>
  <c r="P31" i="9"/>
  <c r="O31" i="9"/>
  <c r="N31" i="9"/>
  <c r="AB31" i="9"/>
  <c r="AA31" i="9"/>
  <c r="Z31" i="9"/>
  <c r="Z69" i="9" s="1"/>
  <c r="Y31" i="9"/>
  <c r="X31" i="9"/>
  <c r="V31" i="9"/>
  <c r="V65" i="9" s="1"/>
  <c r="W31" i="9"/>
  <c r="U31" i="9"/>
  <c r="T31" i="9"/>
  <c r="S31" i="9"/>
  <c r="Q31" i="9"/>
  <c r="V86" i="9"/>
  <c r="N42" i="12"/>
  <c r="P1" i="7"/>
  <c r="O68" i="7" s="1"/>
  <c r="K181" i="11"/>
  <c r="N53" i="6"/>
  <c r="N33" i="7"/>
  <c r="O26" i="13"/>
  <c r="O7" i="13"/>
  <c r="O8" i="13" s="1"/>
  <c r="O6" i="13"/>
  <c r="P1" i="13"/>
  <c r="X86" i="9"/>
  <c r="O81" i="11"/>
  <c r="O83" i="11" s="1"/>
  <c r="O148" i="11"/>
  <c r="P127" i="12" a="1"/>
  <c r="P34" i="12" a="1"/>
  <c r="P4" i="12" a="1"/>
  <c r="Q58" i="11" a="1"/>
  <c r="P16" i="12" a="1"/>
  <c r="P124" i="12" a="1"/>
  <c r="I182" i="12" a="1"/>
  <c r="Q69" i="11" a="1"/>
  <c r="Q115" i="11" a="1"/>
  <c r="Q50" i="11" a="1"/>
  <c r="P33" i="12" a="1"/>
  <c r="P43" i="12" a="1"/>
  <c r="M88" i="11" a="1"/>
  <c r="P17" i="12" a="1"/>
  <c r="Q11" i="11" a="1"/>
  <c r="P107" i="11" a="1"/>
  <c r="M63" i="12" a="1"/>
  <c r="Q14" i="11" a="1"/>
  <c r="O118" i="11" a="1"/>
  <c r="P55" i="12" a="1"/>
  <c r="P10" i="12" a="1"/>
  <c r="Q33" i="11" a="1"/>
  <c r="Q47" i="11" a="1"/>
  <c r="P75" i="12" a="1"/>
  <c r="P26" i="12" a="1"/>
  <c r="P133" i="12" a="1"/>
  <c r="Q133" i="11" a="1"/>
  <c r="N140" i="12" a="1"/>
  <c r="Q52" i="11" a="1"/>
  <c r="P47" i="12" a="1"/>
  <c r="P67" i="12" a="1"/>
  <c r="N132" i="12" a="1"/>
  <c r="P8" i="12" a="1"/>
  <c r="M142" i="12" a="1"/>
  <c r="P24" i="12" a="1"/>
  <c r="N132" i="11" a="1"/>
  <c r="Q38" i="11" a="1"/>
  <c r="Q34" i="11" a="1"/>
  <c r="P76" i="12" a="1"/>
  <c r="P14" i="12" a="1"/>
  <c r="P82" i="12" a="1"/>
  <c r="P145" i="12" a="1"/>
  <c r="P147" i="12" a="1"/>
  <c r="Q145" i="11" a="1"/>
  <c r="P66" i="12" a="1"/>
  <c r="P116" i="12" a="1"/>
  <c r="P27" i="12" a="1"/>
  <c r="Q41" i="11" a="1"/>
  <c r="P25" i="12" a="1"/>
  <c r="M151" i="11" a="1"/>
  <c r="P28" i="12" a="1"/>
  <c r="M180" i="12" a="1"/>
  <c r="Q27" i="11" a="1"/>
  <c r="Q76" i="11" a="1"/>
  <c r="Q72" i="11" a="1"/>
  <c r="N118" i="12" a="1"/>
  <c r="L88" i="12" a="1"/>
  <c r="P79" i="12" a="1"/>
  <c r="M21" i="12" a="1"/>
  <c r="K165" i="12" a="1"/>
  <c r="Q44" i="11" a="1"/>
  <c r="Q56" i="11" a="1"/>
  <c r="P146" i="12" a="1"/>
  <c r="P40" i="12" a="1"/>
  <c r="P38" i="12" a="1"/>
  <c r="P35" i="12" a="1"/>
  <c r="Q40" i="11" a="1"/>
  <c r="Q60" i="11" a="1"/>
  <c r="O149" i="11" a="1"/>
  <c r="Q67" i="11" a="1"/>
  <c r="J165" i="12" a="1"/>
  <c r="P9" i="12" a="1"/>
  <c r="O31" i="11" a="1"/>
  <c r="M98" i="11" a="1"/>
  <c r="Q8" i="11" a="1"/>
  <c r="N63" i="11" a="1"/>
  <c r="N180" i="11" a="1"/>
  <c r="P73" i="12" a="1"/>
  <c r="Q147" i="11" a="1"/>
  <c r="Q37" i="11" a="1"/>
  <c r="P6" i="11" a="1"/>
  <c r="Q25" i="11" a="1"/>
  <c r="Q123" i="11" a="1"/>
  <c r="P11" i="12" a="1"/>
  <c r="P12" i="12" a="1"/>
  <c r="Q9" i="11" a="1"/>
  <c r="N149" i="12" a="1"/>
  <c r="Q110" i="11" a="1"/>
  <c r="Q78" i="11" a="1"/>
  <c r="P78" i="12" a="1"/>
  <c r="N171" i="12" a="1"/>
  <c r="P77" i="12" a="1"/>
  <c r="P57" i="12" a="1"/>
  <c r="Q135" i="11" a="1"/>
  <c r="Q12" i="11" a="1"/>
  <c r="O107" i="12" a="1"/>
  <c r="P58" i="12" a="1"/>
  <c r="Q116" i="11" a="1"/>
  <c r="Q129" i="11" a="1"/>
  <c r="P125" i="12" a="1"/>
  <c r="Q82" i="11" a="1"/>
  <c r="P50" i="12" a="1"/>
  <c r="P52" i="12" a="1"/>
  <c r="Q136" i="11" a="1"/>
  <c r="P80" i="12" a="1"/>
  <c r="Q10" i="11" a="1"/>
  <c r="Q59" i="11" a="1"/>
  <c r="P59" i="12" a="1"/>
  <c r="N31" i="12" a="1"/>
  <c r="M85" i="12" a="1"/>
  <c r="Q17" i="11" a="1"/>
  <c r="P36" i="12" a="1"/>
  <c r="Q26" i="11" a="1"/>
  <c r="P136" i="12" a="1"/>
  <c r="Q35" i="11" a="1"/>
  <c r="P110" i="12" a="1"/>
  <c r="Q65" i="11" a="1"/>
  <c r="P114" i="12" a="1"/>
  <c r="Q75" i="11" a="1"/>
  <c r="O112" i="11" a="1"/>
  <c r="P65" i="12" a="1"/>
  <c r="Q55" i="11" a="1"/>
  <c r="Q124" i="11" a="1"/>
  <c r="Q36" i="11" a="1"/>
  <c r="N85" i="11" a="1"/>
  <c r="Q127" i="11" a="1"/>
  <c r="P69" i="12" a="1"/>
  <c r="P68" i="12" a="1"/>
  <c r="P53" i="12" a="1"/>
  <c r="Q43" i="11" a="1"/>
  <c r="Q104" i="11" a="1"/>
  <c r="P115" i="12" a="1"/>
  <c r="P49" i="12" a="1"/>
  <c r="O6" i="12" a="1"/>
  <c r="P48" i="12" a="1"/>
  <c r="P60" i="12" a="1"/>
  <c r="Q70" i="11" a="1"/>
  <c r="P72" i="12" a="1"/>
  <c r="P56" i="12" a="1"/>
  <c r="Q54" i="11" a="1"/>
  <c r="P123" i="12" a="1"/>
  <c r="P54" i="12" a="1"/>
  <c r="L165" i="11" a="1"/>
  <c r="O171" i="11" a="1"/>
  <c r="Q57" i="11" a="1"/>
  <c r="O140" i="11" a="1"/>
  <c r="P109" i="12" a="1"/>
  <c r="P134" i="12" a="1"/>
  <c r="Q28" i="11" a="1"/>
  <c r="Q53" i="11" a="1"/>
  <c r="Q48" i="11" a="1"/>
  <c r="Q68" i="11" a="1"/>
  <c r="Q109" i="11" a="1"/>
  <c r="Q146" i="11" a="1"/>
  <c r="P104" i="12" a="1"/>
  <c r="Q73" i="11" a="1"/>
  <c r="P45" i="12" a="1"/>
  <c r="Q134" i="11" a="1"/>
  <c r="Q114" i="11" a="1"/>
  <c r="Q24" i="11" a="1"/>
  <c r="P135" i="12" a="1"/>
  <c r="P70" i="12" a="1"/>
  <c r="Q144" i="11" a="1"/>
  <c r="Q66" i="11" a="1"/>
  <c r="Q4" i="11" a="1"/>
  <c r="Q45" i="11" a="1"/>
  <c r="K182" i="11" a="1"/>
  <c r="Q49" i="11" a="1"/>
  <c r="Q77" i="11" a="1"/>
  <c r="P41" i="12" a="1"/>
  <c r="P44" i="12" a="1"/>
  <c r="M120" i="12" a="1"/>
  <c r="N21" i="11" a="1"/>
  <c r="Q16" i="11" a="1"/>
  <c r="N120" i="11" a="1"/>
  <c r="P37" i="12" a="1"/>
  <c r="Q79" i="11" a="1"/>
  <c r="M132" i="12" a="1"/>
  <c r="Q80" i="11" a="1"/>
  <c r="Q125" i="11" a="1"/>
  <c r="P129" i="12" a="1"/>
  <c r="P144" i="12" a="1"/>
  <c r="N112" i="12" a="1"/>
  <c r="N19" i="12" l="1"/>
  <c r="N20" i="12" s="1"/>
  <c r="M21" i="12"/>
  <c r="N86" i="11"/>
  <c r="N87" i="11" s="1"/>
  <c r="N97" i="11" s="1"/>
  <c r="O126" i="12"/>
  <c r="N21" i="11"/>
  <c r="M132" i="12"/>
  <c r="M88" i="11"/>
  <c r="M63" i="12"/>
  <c r="N85" i="11"/>
  <c r="O131" i="11"/>
  <c r="O141" i="11" s="1"/>
  <c r="O150" i="11" s="1"/>
  <c r="O51" i="12"/>
  <c r="O62" i="11"/>
  <c r="O39" i="12"/>
  <c r="N171" i="12"/>
  <c r="N63" i="11"/>
  <c r="N31" i="12"/>
  <c r="N149" i="12"/>
  <c r="N132" i="12"/>
  <c r="P39" i="11"/>
  <c r="O170" i="12"/>
  <c r="N62" i="12"/>
  <c r="N163" i="12"/>
  <c r="L88" i="12"/>
  <c r="P43" i="12"/>
  <c r="P60" i="12"/>
  <c r="N112" i="12"/>
  <c r="Q26" i="11"/>
  <c r="Q68" i="11"/>
  <c r="Q67" i="11"/>
  <c r="Q73" i="11"/>
  <c r="N140" i="12"/>
  <c r="P44" i="12"/>
  <c r="P33" i="12"/>
  <c r="P123" i="12"/>
  <c r="Q66" i="11"/>
  <c r="Q9" i="11"/>
  <c r="Q41" i="11"/>
  <c r="Q45" i="11"/>
  <c r="Q70" i="11"/>
  <c r="Q133" i="11"/>
  <c r="P48" i="12"/>
  <c r="P78" i="12"/>
  <c r="P125" i="12"/>
  <c r="P160" i="12" s="1"/>
  <c r="P114" i="12"/>
  <c r="O149" i="11"/>
  <c r="Q8" i="11"/>
  <c r="Q27" i="11"/>
  <c r="Q48" i="11"/>
  <c r="Q50" i="11"/>
  <c r="Q136" i="11"/>
  <c r="J165" i="12"/>
  <c r="P12" i="12"/>
  <c r="P36" i="12"/>
  <c r="P67" i="12"/>
  <c r="P82" i="12"/>
  <c r="P133" i="12"/>
  <c r="O6" i="12"/>
  <c r="P107" i="11"/>
  <c r="Q124" i="11"/>
  <c r="P37" i="12"/>
  <c r="Q60" i="11"/>
  <c r="P66" i="12"/>
  <c r="Q10" i="11"/>
  <c r="Q53" i="11"/>
  <c r="Q115" i="11"/>
  <c r="Q168" i="11" s="1"/>
  <c r="Q76" i="11"/>
  <c r="Q129" i="11"/>
  <c r="Q162" i="11" s="1"/>
  <c r="P11" i="12"/>
  <c r="P41" i="12"/>
  <c r="P136" i="12"/>
  <c r="P14" i="12"/>
  <c r="P26" i="12"/>
  <c r="P49" i="12"/>
  <c r="P79" i="12"/>
  <c r="P129" i="12"/>
  <c r="P162" i="12" s="1"/>
  <c r="M180" i="12"/>
  <c r="Q40" i="11"/>
  <c r="P104" i="12"/>
  <c r="P105" i="12" s="1"/>
  <c r="P106" i="12" s="1"/>
  <c r="Q144" i="11"/>
  <c r="Q28" i="11"/>
  <c r="Q69" i="11"/>
  <c r="Q54" i="11"/>
  <c r="Q116" i="11"/>
  <c r="Q169" i="11" s="1"/>
  <c r="Q123" i="11"/>
  <c r="P27" i="12"/>
  <c r="P59" i="12"/>
  <c r="P76" i="12"/>
  <c r="P75" i="12"/>
  <c r="P115" i="12"/>
  <c r="P168" i="12" s="1"/>
  <c r="M98" i="11"/>
  <c r="Q55" i="11"/>
  <c r="Q65" i="11"/>
  <c r="P35" i="12"/>
  <c r="P52" i="12"/>
  <c r="P80" i="12"/>
  <c r="P134" i="12"/>
  <c r="I182" i="12"/>
  <c r="Q78" i="11"/>
  <c r="P58" i="12"/>
  <c r="Q25" i="11"/>
  <c r="Q77" i="11"/>
  <c r="Q11" i="11"/>
  <c r="Q34" i="11"/>
  <c r="Q47" i="11"/>
  <c r="Q104" i="11"/>
  <c r="Q105" i="11" s="1"/>
  <c r="Q106" i="11" s="1"/>
  <c r="Q145" i="11"/>
  <c r="N118" i="12"/>
  <c r="N120" i="11"/>
  <c r="P38" i="12"/>
  <c r="P47" i="12"/>
  <c r="P70" i="12"/>
  <c r="P109" i="12"/>
  <c r="P124" i="12"/>
  <c r="M120" i="12"/>
  <c r="O107" i="12"/>
  <c r="P6" i="11"/>
  <c r="Q17" i="11"/>
  <c r="Q36" i="11"/>
  <c r="Q38" i="11"/>
  <c r="Q33" i="11"/>
  <c r="Q43" i="11"/>
  <c r="Q75" i="11"/>
  <c r="Q125" i="11"/>
  <c r="Q160" i="11" s="1"/>
  <c r="P28" i="12"/>
  <c r="P40" i="12"/>
  <c r="P56" i="12"/>
  <c r="P135" i="12"/>
  <c r="P174" i="12" s="1"/>
  <c r="O140" i="11"/>
  <c r="P16" i="12"/>
  <c r="Q4" i="11"/>
  <c r="Q5" i="11" s="1"/>
  <c r="Q12" i="11"/>
  <c r="Q37" i="11"/>
  <c r="Q49" i="11"/>
  <c r="Q146" i="11"/>
  <c r="N132" i="11"/>
  <c r="P10" i="12"/>
  <c r="P53" i="12"/>
  <c r="P50" i="12"/>
  <c r="P65" i="12"/>
  <c r="P110" i="12"/>
  <c r="P167" i="12" s="1"/>
  <c r="P146" i="12"/>
  <c r="O31" i="11"/>
  <c r="Q24" i="11"/>
  <c r="Q57" i="11"/>
  <c r="Q58" i="11"/>
  <c r="Q110" i="11"/>
  <c r="Q167" i="11" s="1"/>
  <c r="Q135" i="11"/>
  <c r="Q174" i="11" s="1"/>
  <c r="Q147" i="11"/>
  <c r="M85" i="12"/>
  <c r="P17" i="12"/>
  <c r="P24" i="12"/>
  <c r="P55" i="12"/>
  <c r="P68" i="12"/>
  <c r="P147" i="12"/>
  <c r="Q80" i="11"/>
  <c r="Q16" i="11"/>
  <c r="Q56" i="11"/>
  <c r="Q52" i="11"/>
  <c r="Q114" i="11"/>
  <c r="O171" i="11"/>
  <c r="P4" i="12"/>
  <c r="P5" i="12" s="1"/>
  <c r="P25" i="12"/>
  <c r="P57" i="12"/>
  <c r="P73" i="12"/>
  <c r="P116" i="12"/>
  <c r="P169" i="12" s="1"/>
  <c r="P144" i="12"/>
  <c r="M142" i="12"/>
  <c r="O118" i="11"/>
  <c r="P69" i="12"/>
  <c r="Q79" i="11"/>
  <c r="Q72" i="11"/>
  <c r="Q35" i="11"/>
  <c r="Q44" i="11"/>
  <c r="Q59" i="11"/>
  <c r="Q134" i="11"/>
  <c r="L165" i="11"/>
  <c r="P34" i="12"/>
  <c r="P72" i="12"/>
  <c r="P77" i="12"/>
  <c r="N180" i="11"/>
  <c r="K182" i="11"/>
  <c r="Q109" i="11"/>
  <c r="P8" i="12"/>
  <c r="Q14" i="11"/>
  <c r="Q127" i="11"/>
  <c r="Q82" i="11"/>
  <c r="O112" i="11"/>
  <c r="M151" i="11"/>
  <c r="K165" i="12"/>
  <c r="P9" i="12"/>
  <c r="P45" i="12"/>
  <c r="P54" i="12"/>
  <c r="P127" i="12"/>
  <c r="P145" i="12"/>
  <c r="AX47" i="6"/>
  <c r="BA44" i="7"/>
  <c r="BF38" i="7"/>
  <c r="L97" i="12"/>
  <c r="AA65" i="9"/>
  <c r="AA68" i="9"/>
  <c r="AA87" i="9"/>
  <c r="AA86" i="9"/>
  <c r="AA85" i="9"/>
  <c r="AA88" i="9"/>
  <c r="AA84" i="9"/>
  <c r="Z69" i="10"/>
  <c r="P46" i="11"/>
  <c r="Z65" i="10"/>
  <c r="Z68" i="10"/>
  <c r="Z84" i="10"/>
  <c r="Z88" i="10"/>
  <c r="Z86" i="10"/>
  <c r="Z87" i="10"/>
  <c r="Z85" i="10"/>
  <c r="N141" i="12"/>
  <c r="AA69" i="9"/>
  <c r="Z86" i="9"/>
  <c r="O31" i="6"/>
  <c r="AT5" i="7"/>
  <c r="AS4" i="7"/>
  <c r="R1" i="12"/>
  <c r="BC19" i="6"/>
  <c r="BD19" i="6" s="1"/>
  <c r="P126" i="11"/>
  <c r="O173" i="12"/>
  <c r="O139" i="12"/>
  <c r="P33" i="7"/>
  <c r="P40" i="7"/>
  <c r="P39" i="7" s="1"/>
  <c r="P55" i="7"/>
  <c r="P37" i="7"/>
  <c r="P9" i="7"/>
  <c r="P65" i="7"/>
  <c r="P18" i="7"/>
  <c r="P19" i="7" s="1"/>
  <c r="Q1" i="7"/>
  <c r="P31" i="7" s="1"/>
  <c r="AW47" i="6"/>
  <c r="N179" i="12"/>
  <c r="AA72" i="9"/>
  <c r="Z88" i="9"/>
  <c r="O9" i="6"/>
  <c r="Y81" i="10"/>
  <c r="Y82" i="10" s="1"/>
  <c r="P9" i="15"/>
  <c r="Q1" i="15"/>
  <c r="Y89" i="10"/>
  <c r="Y90" i="10" s="1"/>
  <c r="O84" i="11"/>
  <c r="O5" i="5" a="1"/>
  <c r="O5" i="5" s="1"/>
  <c r="P1" i="5"/>
  <c r="O15" i="5" a="1"/>
  <c r="O15" i="5" s="1"/>
  <c r="X87" i="9"/>
  <c r="X69" i="9"/>
  <c r="X73" i="9" s="1"/>
  <c r="X85" i="9"/>
  <c r="X84" i="9"/>
  <c r="X88" i="9"/>
  <c r="J181" i="12"/>
  <c r="O7" i="6"/>
  <c r="O19" i="11"/>
  <c r="O20" i="11" s="1"/>
  <c r="Y73" i="10"/>
  <c r="Y74" i="10" s="1"/>
  <c r="N39" i="7"/>
  <c r="P29" i="11"/>
  <c r="P30" i="11" s="1"/>
  <c r="O65" i="7"/>
  <c r="Z71" i="10"/>
  <c r="N8" i="6"/>
  <c r="N67" i="6"/>
  <c r="O18" i="6"/>
  <c r="O19" i="6" s="1"/>
  <c r="P111" i="11"/>
  <c r="P159" i="11"/>
  <c r="P178" i="11"/>
  <c r="P175" i="11"/>
  <c r="X65" i="9"/>
  <c r="O159" i="12"/>
  <c r="O111" i="12"/>
  <c r="O71" i="12"/>
  <c r="O74" i="12" s="1"/>
  <c r="O13" i="12"/>
  <c r="O15" i="12" s="1"/>
  <c r="P61" i="11"/>
  <c r="AW66" i="12"/>
  <c r="Z72" i="10"/>
  <c r="T86" i="9"/>
  <c r="Z73" i="9"/>
  <c r="P52" i="6"/>
  <c r="P31" i="6"/>
  <c r="P21" i="6"/>
  <c r="P7" i="6"/>
  <c r="P64" i="6" s="1"/>
  <c r="P68" i="6"/>
  <c r="P65" i="6"/>
  <c r="Q1" i="6"/>
  <c r="P33" i="6"/>
  <c r="P55" i="6"/>
  <c r="P40" i="6"/>
  <c r="P37" i="6"/>
  <c r="AT66" i="11"/>
  <c r="BH19" i="7"/>
  <c r="P71" i="11"/>
  <c r="P74" i="11" s="1"/>
  <c r="P13" i="11"/>
  <c r="P15" i="11" s="1"/>
  <c r="M156" i="11"/>
  <c r="M164" i="11" s="1"/>
  <c r="O7" i="7"/>
  <c r="O18" i="7"/>
  <c r="O19" i="7" s="1"/>
  <c r="S69" i="9"/>
  <c r="S73" i="9" s="1"/>
  <c r="S86" i="9"/>
  <c r="S85" i="9"/>
  <c r="S88" i="9"/>
  <c r="S84" i="9"/>
  <c r="S87" i="9"/>
  <c r="S65" i="9"/>
  <c r="O9" i="3" a="1"/>
  <c r="O9" i="3" s="1"/>
  <c r="P1" i="3"/>
  <c r="O21" i="6"/>
  <c r="O20" i="6" s="1"/>
  <c r="AS5" i="6"/>
  <c r="AR4" i="6"/>
  <c r="O61" i="12"/>
  <c r="O18" i="12"/>
  <c r="P18" i="11"/>
  <c r="N88" i="9"/>
  <c r="N84" i="9"/>
  <c r="N85" i="9"/>
  <c r="N86" i="9"/>
  <c r="N87" i="9"/>
  <c r="N65" i="9"/>
  <c r="N69" i="9"/>
  <c r="N73" i="9" s="1"/>
  <c r="N74" i="9" s="1"/>
  <c r="V85" i="9"/>
  <c r="Y87" i="9"/>
  <c r="Y65" i="9"/>
  <c r="Y85" i="9"/>
  <c r="Y88" i="9"/>
  <c r="Y86" i="9"/>
  <c r="Y84" i="9"/>
  <c r="O40" i="7"/>
  <c r="N119" i="12"/>
  <c r="Z87" i="9"/>
  <c r="O65" i="6"/>
  <c r="BB44" i="7"/>
  <c r="BM38" i="6"/>
  <c r="BN38" i="6" s="1"/>
  <c r="P148" i="11"/>
  <c r="O46" i="12"/>
  <c r="O178" i="12"/>
  <c r="O175" i="12"/>
  <c r="Q69" i="9"/>
  <c r="Q73" i="9" s="1"/>
  <c r="Q87" i="9"/>
  <c r="Q88" i="9"/>
  <c r="Q65" i="9"/>
  <c r="Q85" i="9"/>
  <c r="Q86" i="9"/>
  <c r="Q84" i="9"/>
  <c r="O9" i="7"/>
  <c r="V87" i="9"/>
  <c r="O21" i="7"/>
  <c r="O20" i="7" s="1"/>
  <c r="U69" i="9"/>
  <c r="U73" i="9" s="1"/>
  <c r="U84" i="9"/>
  <c r="U65" i="9"/>
  <c r="U88" i="9"/>
  <c r="S1" i="11"/>
  <c r="O68" i="6"/>
  <c r="BD53" i="6"/>
  <c r="BL38" i="6"/>
  <c r="P170" i="11"/>
  <c r="O158" i="12"/>
  <c r="O117" i="12"/>
  <c r="O42" i="12"/>
  <c r="O29" i="12"/>
  <c r="O30" i="12" s="1"/>
  <c r="BC47" i="7"/>
  <c r="P26" i="13"/>
  <c r="P6" i="13"/>
  <c r="Q1" i="13"/>
  <c r="T69" i="9"/>
  <c r="T73" i="9" s="1"/>
  <c r="T65" i="9"/>
  <c r="T87" i="9"/>
  <c r="T85" i="9"/>
  <c r="T84" i="9"/>
  <c r="T88" i="9"/>
  <c r="O65" i="9"/>
  <c r="O87" i="9"/>
  <c r="O85" i="9"/>
  <c r="O69" i="9"/>
  <c r="O73" i="9" s="1"/>
  <c r="O86" i="9"/>
  <c r="O84" i="9"/>
  <c r="O88" i="9"/>
  <c r="O31" i="7"/>
  <c r="V84" i="9"/>
  <c r="W87" i="9"/>
  <c r="W84" i="9"/>
  <c r="W88" i="9"/>
  <c r="W86" i="9"/>
  <c r="W85" i="9"/>
  <c r="W65" i="9"/>
  <c r="W69" i="9"/>
  <c r="W73" i="9" s="1"/>
  <c r="W74" i="9" s="1"/>
  <c r="O52" i="6"/>
  <c r="O53" i="6" s="1"/>
  <c r="O25" i="13"/>
  <c r="O11" i="13"/>
  <c r="O5" i="13"/>
  <c r="O9" i="13" s="1"/>
  <c r="P4" i="13" s="1"/>
  <c r="P2" i="13"/>
  <c r="AY46" i="6"/>
  <c r="AV47" i="6"/>
  <c r="O179" i="11"/>
  <c r="N8" i="7"/>
  <c r="N67" i="7"/>
  <c r="O52" i="7"/>
  <c r="O53" i="7" s="1"/>
  <c r="N64" i="6"/>
  <c r="M86" i="12"/>
  <c r="M87" i="12" s="1"/>
  <c r="Z65" i="9"/>
  <c r="O37" i="6"/>
  <c r="O38" i="6" s="1"/>
  <c r="BC53" i="6"/>
  <c r="BE53" i="6" s="1"/>
  <c r="BF53" i="7"/>
  <c r="N141" i="11"/>
  <c r="P130" i="11"/>
  <c r="P51" i="11"/>
  <c r="P81" i="11"/>
  <c r="P83" i="11" s="1"/>
  <c r="O148" i="12"/>
  <c r="O37" i="7"/>
  <c r="O38" i="7" s="1"/>
  <c r="Z70" i="10"/>
  <c r="AA60" i="10"/>
  <c r="AA13" i="10"/>
  <c r="AA43" i="10"/>
  <c r="AA18" i="10"/>
  <c r="AA55" i="10"/>
  <c r="AA42" i="10"/>
  <c r="AA41" i="10"/>
  <c r="AA40" i="10"/>
  <c r="AA71" i="10" s="1"/>
  <c r="AA23" i="10"/>
  <c r="AA34" i="10"/>
  <c r="AA12" i="10"/>
  <c r="AA7" i="10"/>
  <c r="AA59" i="10"/>
  <c r="AA17" i="10"/>
  <c r="AA22" i="10"/>
  <c r="AA33" i="10"/>
  <c r="AA70" i="10" s="1"/>
  <c r="AA11" i="10"/>
  <c r="AA16" i="10"/>
  <c r="AA58" i="10"/>
  <c r="AA21" i="10"/>
  <c r="AA5" i="10"/>
  <c r="AA56" i="10"/>
  <c r="AA10" i="10"/>
  <c r="AA53" i="10"/>
  <c r="AA72" i="10" s="1"/>
  <c r="AA15" i="10"/>
  <c r="AA20" i="10"/>
  <c r="AA54" i="10"/>
  <c r="AA9" i="10"/>
  <c r="AA4" i="10"/>
  <c r="AA19" i="10"/>
  <c r="AA57" i="10"/>
  <c r="AA61" i="10"/>
  <c r="AA8" i="10"/>
  <c r="AB1" i="10"/>
  <c r="AA14" i="10"/>
  <c r="O55" i="6"/>
  <c r="N32" i="6"/>
  <c r="M150" i="12"/>
  <c r="J29" i="13"/>
  <c r="K24" i="13" s="1"/>
  <c r="O119" i="11"/>
  <c r="P173" i="11"/>
  <c r="P139" i="11"/>
  <c r="N32" i="7"/>
  <c r="O55" i="7"/>
  <c r="L181" i="11"/>
  <c r="AB44" i="9"/>
  <c r="AB10" i="9"/>
  <c r="AB4" i="9"/>
  <c r="AB60" i="9"/>
  <c r="AB53" i="9"/>
  <c r="AB48" i="9"/>
  <c r="AB33" i="9"/>
  <c r="AB70" i="9" s="1"/>
  <c r="AB20" i="9"/>
  <c r="AC1" i="9"/>
  <c r="AB43" i="9"/>
  <c r="AB9" i="9"/>
  <c r="AB59" i="9"/>
  <c r="AB14" i="9"/>
  <c r="AB58" i="9"/>
  <c r="AB42" i="9"/>
  <c r="AB8" i="9"/>
  <c r="AB63" i="9"/>
  <c r="AB13" i="9"/>
  <c r="AB57" i="9"/>
  <c r="AB18" i="9"/>
  <c r="AB41" i="9"/>
  <c r="AB7" i="9"/>
  <c r="AB56" i="9"/>
  <c r="AB12" i="9"/>
  <c r="AB55" i="9"/>
  <c r="AB40" i="9"/>
  <c r="AB35" i="9"/>
  <c r="AB62" i="9"/>
  <c r="AB61" i="9"/>
  <c r="AB16" i="9"/>
  <c r="AB5" i="9"/>
  <c r="AB21" i="9"/>
  <c r="AB19" i="9"/>
  <c r="AB17" i="9"/>
  <c r="AB15" i="9"/>
  <c r="AB54" i="9"/>
  <c r="AB11" i="9"/>
  <c r="AB34" i="9"/>
  <c r="AB37" i="9"/>
  <c r="AB38" i="9"/>
  <c r="AB64" i="9"/>
  <c r="AB49" i="9"/>
  <c r="AB36" i="9"/>
  <c r="AB45" i="9"/>
  <c r="AB46" i="9"/>
  <c r="AB22" i="9"/>
  <c r="AB50" i="9"/>
  <c r="AB23" i="9"/>
  <c r="AB51" i="9"/>
  <c r="AB47" i="9"/>
  <c r="AB24" i="9"/>
  <c r="AB25" i="9"/>
  <c r="AB26" i="9"/>
  <c r="AB27" i="9"/>
  <c r="AB28" i="9"/>
  <c r="AB29" i="9"/>
  <c r="AB30" i="9"/>
  <c r="U85" i="9"/>
  <c r="O40" i="6"/>
  <c r="O39" i="6" s="1"/>
  <c r="AY44" i="6"/>
  <c r="BB47" i="7"/>
  <c r="O163" i="11"/>
  <c r="Y69" i="9"/>
  <c r="Y73" i="9" s="1"/>
  <c r="Y74" i="9" s="1"/>
  <c r="O81" i="12"/>
  <c r="O83" i="12" s="1"/>
  <c r="P42" i="11"/>
  <c r="O32" i="6"/>
  <c r="P87" i="9"/>
  <c r="P86" i="9"/>
  <c r="P69" i="9"/>
  <c r="P73" i="9" s="1"/>
  <c r="P74" i="9" s="1"/>
  <c r="P88" i="9"/>
  <c r="P65" i="9"/>
  <c r="P85" i="9"/>
  <c r="P84" i="9"/>
  <c r="V88" i="9"/>
  <c r="O33" i="7"/>
  <c r="O32" i="7" s="1"/>
  <c r="V69" i="9"/>
  <c r="V73" i="9" s="1"/>
  <c r="V74" i="9" s="1"/>
  <c r="R87" i="9"/>
  <c r="R85" i="9"/>
  <c r="R88" i="9"/>
  <c r="R69" i="9"/>
  <c r="R73" i="9" s="1"/>
  <c r="R74" i="9" s="1"/>
  <c r="R84" i="9"/>
  <c r="R86" i="9"/>
  <c r="R65" i="9"/>
  <c r="U87" i="9"/>
  <c r="AA71" i="9"/>
  <c r="M152" i="11"/>
  <c r="K181" i="12"/>
  <c r="N84" i="12"/>
  <c r="BD46" i="7"/>
  <c r="BE46" i="7" s="1"/>
  <c r="P158" i="11"/>
  <c r="P117" i="11"/>
  <c r="O130" i="12"/>
  <c r="O131" i="12" s="1"/>
  <c r="O171" i="12" a="1"/>
  <c r="R28" i="11" a="1"/>
  <c r="K182" i="12" a="1"/>
  <c r="R36" i="11" a="1"/>
  <c r="R146" i="11" a="1"/>
  <c r="Q9" i="12" a="1"/>
  <c r="Q107" i="11" a="1"/>
  <c r="Q53" i="12" a="1"/>
  <c r="Q35" i="12" a="1"/>
  <c r="R66" i="11" a="1"/>
  <c r="Q80" i="12" a="1"/>
  <c r="R12" i="11" a="1"/>
  <c r="Q12" i="12" a="1"/>
  <c r="N98" i="11" a="1"/>
  <c r="P171" i="11" a="1"/>
  <c r="Q56" i="12" a="1"/>
  <c r="P31" i="11" a="1"/>
  <c r="R125" i="11" a="1"/>
  <c r="O112" i="12" a="1"/>
  <c r="Q17" i="12" a="1"/>
  <c r="Q57" i="12" a="1"/>
  <c r="N120" i="12" a="1"/>
  <c r="R14" i="11" a="1"/>
  <c r="R8" i="11" a="1"/>
  <c r="R44" i="11" a="1"/>
  <c r="R57" i="11" a="1"/>
  <c r="Q27" i="12" a="1"/>
  <c r="P149" i="11" a="1"/>
  <c r="R78" i="11" a="1"/>
  <c r="Q115" i="12" a="1"/>
  <c r="Q123" i="12" a="1"/>
  <c r="Q28" i="12" a="1"/>
  <c r="Q38" i="12" a="1"/>
  <c r="Q77" i="12" a="1"/>
  <c r="R114" i="11" a="1"/>
  <c r="Q41" i="12" a="1"/>
  <c r="O140" i="12" a="1"/>
  <c r="R34" i="11" a="1"/>
  <c r="R11" i="11" a="1"/>
  <c r="R50" i="11" a="1"/>
  <c r="Q26" i="12" a="1"/>
  <c r="Q76" i="12" a="1"/>
  <c r="Q124" i="12" a="1"/>
  <c r="Q109" i="12" a="1"/>
  <c r="P140" i="11" a="1"/>
  <c r="Q68" i="12" a="1"/>
  <c r="Q34" i="12" a="1"/>
  <c r="Q25" i="12" a="1"/>
  <c r="N180" i="12" a="1"/>
  <c r="R76" i="11" a="1"/>
  <c r="Q135" i="12" a="1"/>
  <c r="R59" i="11" a="1"/>
  <c r="M151" i="12" a="1"/>
  <c r="O63" i="11" a="1"/>
  <c r="R26" i="11" a="1"/>
  <c r="Q54" i="12" a="1"/>
  <c r="Q133" i="12" a="1"/>
  <c r="N88" i="11" a="1"/>
  <c r="N142" i="11" a="1"/>
  <c r="R27" i="11" a="1"/>
  <c r="R115" i="11" a="1"/>
  <c r="R25" i="11" a="1"/>
  <c r="R55" i="11" a="1"/>
  <c r="Q37" i="12" a="1"/>
  <c r="Q78" i="12" a="1"/>
  <c r="Q82" i="12" a="1"/>
  <c r="Q66" i="12" a="1"/>
  <c r="O132" i="12" a="1"/>
  <c r="Q146" i="12" a="1"/>
  <c r="R127" i="11" a="1"/>
  <c r="R9" i="11" a="1"/>
  <c r="R4" i="11" a="1"/>
  <c r="R43" i="11" a="1"/>
  <c r="R129" i="11" a="1"/>
  <c r="M165" i="11" a="1"/>
  <c r="Q49" i="12" a="1"/>
  <c r="R133" i="11" a="1"/>
  <c r="R75" i="11" a="1"/>
  <c r="O118" i="12" a="1"/>
  <c r="R38" i="11" a="1"/>
  <c r="R72" i="11" a="1"/>
  <c r="R145" i="11" a="1"/>
  <c r="Q24" i="12" a="1"/>
  <c r="Q116" i="12" a="1"/>
  <c r="Q36" i="12" a="1"/>
  <c r="Q11" i="12" a="1"/>
  <c r="Q114" i="12" a="1"/>
  <c r="P6" i="12" a="1"/>
  <c r="Q58" i="12" a="1"/>
  <c r="P107" i="12" a="1"/>
  <c r="R104" i="11" a="1"/>
  <c r="R80" i="11" a="1"/>
  <c r="R144" i="11" a="1"/>
  <c r="J182" i="12" a="1"/>
  <c r="Q33" i="12" a="1"/>
  <c r="Q73" i="12" a="1"/>
  <c r="O21" i="11" a="1"/>
  <c r="R35" i="11" a="1"/>
  <c r="R52" i="11" a="1"/>
  <c r="R53" i="11" a="1"/>
  <c r="O31" i="12" a="1"/>
  <c r="Q47" i="12" a="1"/>
  <c r="Q69" i="12" a="1"/>
  <c r="R24" i="11" a="1"/>
  <c r="R17" i="11" a="1"/>
  <c r="Q16" i="12" a="1"/>
  <c r="R60" i="11" a="1"/>
  <c r="P118" i="11" a="1"/>
  <c r="N63" i="12" a="1"/>
  <c r="L98" i="12" a="1"/>
  <c r="N85" i="12" a="1"/>
  <c r="O142" i="11" a="1"/>
  <c r="Q43" i="12" a="1"/>
  <c r="Q147" i="12" a="1"/>
  <c r="Q144" i="12" a="1"/>
  <c r="Q50" i="12" a="1"/>
  <c r="O85" i="11" a="1"/>
  <c r="R56" i="11" a="1"/>
  <c r="Q67" i="12" a="1"/>
  <c r="O120" i="11" a="1"/>
  <c r="R67" i="11" a="1"/>
  <c r="R16" i="11" a="1"/>
  <c r="O132" i="11" a="1"/>
  <c r="M88" i="12" a="1"/>
  <c r="R33" i="11" a="1"/>
  <c r="R69" i="11" a="1"/>
  <c r="L182" i="11" a="1"/>
  <c r="R40" i="11" a="1"/>
  <c r="Q136" i="12" a="1"/>
  <c r="Q52" i="12" a="1"/>
  <c r="R58" i="11" a="1"/>
  <c r="Q10" i="12" a="1"/>
  <c r="R68" i="11" a="1"/>
  <c r="N21" i="12" a="1"/>
  <c r="O180" i="11" a="1"/>
  <c r="R79" i="11" a="1"/>
  <c r="R110" i="11" a="1"/>
  <c r="R45" i="11" a="1"/>
  <c r="R70" i="11" a="1"/>
  <c r="R73" i="11" a="1"/>
  <c r="R41" i="11" a="1"/>
  <c r="Q129" i="12" a="1"/>
  <c r="Q110" i="12" a="1"/>
  <c r="R10" i="11" a="1"/>
  <c r="R134" i="11" a="1"/>
  <c r="Q60" i="12" a="1"/>
  <c r="Q14" i="12" a="1"/>
  <c r="Q127" i="12" a="1"/>
  <c r="Q4" i="12" a="1"/>
  <c r="Q125" i="12" a="1"/>
  <c r="Q48" i="12" a="1"/>
  <c r="Q79" i="12" a="1"/>
  <c r="Q104" i="12" a="1"/>
  <c r="O149" i="12" a="1"/>
  <c r="Q72" i="12" a="1"/>
  <c r="Q8" i="12" a="1"/>
  <c r="R109" i="11" a="1"/>
  <c r="O151" i="11" a="1"/>
  <c r="R48" i="11" a="1"/>
  <c r="R47" i="11" a="1"/>
  <c r="R116" i="11" a="1"/>
  <c r="R136" i="11" a="1"/>
  <c r="Q55" i="12" a="1"/>
  <c r="R65" i="11" a="1"/>
  <c r="Q134" i="12" a="1"/>
  <c r="N142" i="12" a="1"/>
  <c r="R37" i="11" a="1"/>
  <c r="R147" i="11" a="1"/>
  <c r="Q145" i="12" a="1"/>
  <c r="Q65" i="12" a="1"/>
  <c r="Q59" i="12" a="1"/>
  <c r="Q40" i="12" a="1"/>
  <c r="P112" i="11" a="1"/>
  <c r="R77" i="11" a="1"/>
  <c r="Q44" i="12" a="1"/>
  <c r="R123" i="11" a="1"/>
  <c r="Q45" i="12" a="1"/>
  <c r="Q70" i="12" a="1"/>
  <c r="R124" i="11" a="1"/>
  <c r="R54" i="11" a="1"/>
  <c r="R49" i="11" a="1"/>
  <c r="R135" i="11" a="1"/>
  <c r="Q6" i="11" a="1"/>
  <c r="Q75" i="12" a="1"/>
  <c r="R82" i="11" a="1"/>
  <c r="N21" i="12" l="1"/>
  <c r="N88" i="11"/>
  <c r="P130" i="12"/>
  <c r="P126" i="12"/>
  <c r="P89" i="9"/>
  <c r="P90" i="9" s="1"/>
  <c r="T89" i="9"/>
  <c r="T90" i="9" s="1"/>
  <c r="R89" i="9"/>
  <c r="R90" i="9" s="1"/>
  <c r="Y89" i="9"/>
  <c r="Y90" i="9" s="1"/>
  <c r="Z89" i="9"/>
  <c r="Z90" i="9" s="1"/>
  <c r="AA89" i="9"/>
  <c r="AA90" i="9" s="1"/>
  <c r="AA81" i="9"/>
  <c r="AA82" i="9" s="1"/>
  <c r="U81" i="9"/>
  <c r="U82" i="9" s="1"/>
  <c r="N81" i="9"/>
  <c r="N82" i="9" s="1"/>
  <c r="P131" i="11"/>
  <c r="P141" i="11" s="1"/>
  <c r="P150" i="11" s="1"/>
  <c r="P163" i="11"/>
  <c r="O84" i="12"/>
  <c r="O63" i="11"/>
  <c r="O132" i="11"/>
  <c r="Q170" i="11"/>
  <c r="P84" i="11"/>
  <c r="N63" i="12"/>
  <c r="O171" i="12"/>
  <c r="Q39" i="11"/>
  <c r="O62" i="12"/>
  <c r="P62" i="11"/>
  <c r="O163" i="12"/>
  <c r="P18" i="12"/>
  <c r="P13" i="12"/>
  <c r="P15" i="12" s="1"/>
  <c r="Q148" i="11"/>
  <c r="P61" i="12"/>
  <c r="P51" i="12"/>
  <c r="P42" i="12"/>
  <c r="Q42" i="11"/>
  <c r="Q18" i="11"/>
  <c r="P170" i="12"/>
  <c r="P179" i="11"/>
  <c r="Q130" i="11"/>
  <c r="M151" i="12"/>
  <c r="R4" i="11"/>
  <c r="R5" i="11" s="1"/>
  <c r="R123" i="11"/>
  <c r="Q12" i="12"/>
  <c r="R12" i="11"/>
  <c r="R54" i="11"/>
  <c r="R58" i="11"/>
  <c r="R116" i="11"/>
  <c r="R169" i="11" s="1"/>
  <c r="R134" i="11"/>
  <c r="P31" i="11"/>
  <c r="Q24" i="12"/>
  <c r="Q60" i="12"/>
  <c r="Q69" i="12"/>
  <c r="Q123" i="12"/>
  <c r="R11" i="11"/>
  <c r="R24" i="11"/>
  <c r="R59" i="11"/>
  <c r="R68" i="11"/>
  <c r="Q44" i="12"/>
  <c r="Q67" i="12"/>
  <c r="Q80" i="12"/>
  <c r="Q125" i="12"/>
  <c r="Q160" i="12" s="1"/>
  <c r="P107" i="12"/>
  <c r="O132" i="12"/>
  <c r="R10" i="11"/>
  <c r="R65" i="11"/>
  <c r="R145" i="11"/>
  <c r="Q27" i="12"/>
  <c r="Q47" i="12"/>
  <c r="Q114" i="12"/>
  <c r="Q6" i="11"/>
  <c r="R47" i="11"/>
  <c r="Q135" i="12"/>
  <c r="Q174" i="12" s="1"/>
  <c r="P118" i="11"/>
  <c r="R77" i="11"/>
  <c r="R56" i="11"/>
  <c r="R66" i="11"/>
  <c r="Q26" i="12"/>
  <c r="Q52" i="12"/>
  <c r="Q66" i="12"/>
  <c r="Q110" i="12"/>
  <c r="Q167" i="12" s="1"/>
  <c r="Q133" i="12"/>
  <c r="R72" i="11"/>
  <c r="R57" i="11"/>
  <c r="O31" i="12"/>
  <c r="R16" i="11"/>
  <c r="R34" i="11"/>
  <c r="R48" i="11"/>
  <c r="R76" i="11"/>
  <c r="R124" i="11"/>
  <c r="P112" i="11"/>
  <c r="O85" i="11"/>
  <c r="Q35" i="12"/>
  <c r="Q56" i="12"/>
  <c r="Q58" i="12"/>
  <c r="Q82" i="12"/>
  <c r="Q129" i="12"/>
  <c r="Q162" i="12" s="1"/>
  <c r="R9" i="11"/>
  <c r="R38" i="11"/>
  <c r="R44" i="11"/>
  <c r="R53" i="11"/>
  <c r="R80" i="11"/>
  <c r="R135" i="11"/>
  <c r="R174" i="11" s="1"/>
  <c r="O151" i="11"/>
  <c r="N180" i="12"/>
  <c r="Q4" i="12"/>
  <c r="Q5" i="12" s="1"/>
  <c r="Q40" i="12"/>
  <c r="Q50" i="12"/>
  <c r="Q53" i="12"/>
  <c r="Q115" i="12"/>
  <c r="Q168" i="12" s="1"/>
  <c r="Q136" i="12"/>
  <c r="Q78" i="12"/>
  <c r="R41" i="11"/>
  <c r="Q11" i="12"/>
  <c r="O118" i="12"/>
  <c r="R8" i="11"/>
  <c r="R52" i="11"/>
  <c r="R60" i="11"/>
  <c r="R49" i="11"/>
  <c r="R109" i="11"/>
  <c r="Q25" i="12"/>
  <c r="Q55" i="12"/>
  <c r="Q59" i="12"/>
  <c r="Q144" i="12"/>
  <c r="Q107" i="11"/>
  <c r="R82" i="11"/>
  <c r="P6" i="12"/>
  <c r="Q37" i="12"/>
  <c r="R73" i="11"/>
  <c r="Q54" i="12"/>
  <c r="R75" i="11"/>
  <c r="R14" i="11"/>
  <c r="R35" i="11"/>
  <c r="R67" i="11"/>
  <c r="O140" i="12"/>
  <c r="Q8" i="12"/>
  <c r="Q34" i="12"/>
  <c r="Q70" i="12"/>
  <c r="Q65" i="12"/>
  <c r="Q147" i="12"/>
  <c r="Q9" i="12"/>
  <c r="P171" i="11"/>
  <c r="R40" i="11"/>
  <c r="R55" i="11"/>
  <c r="R70" i="11"/>
  <c r="R127" i="11"/>
  <c r="R133" i="11"/>
  <c r="N120" i="12"/>
  <c r="O21" i="11"/>
  <c r="Q10" i="12"/>
  <c r="Q41" i="12"/>
  <c r="Q72" i="12"/>
  <c r="Q68" i="12"/>
  <c r="Q127" i="12"/>
  <c r="Q145" i="12"/>
  <c r="Q43" i="12"/>
  <c r="R146" i="11"/>
  <c r="Q36" i="12"/>
  <c r="L182" i="11"/>
  <c r="R25" i="11"/>
  <c r="R45" i="11"/>
  <c r="Q16" i="12"/>
  <c r="Q49" i="12"/>
  <c r="Q57" i="12"/>
  <c r="Q73" i="12"/>
  <c r="R78" i="11"/>
  <c r="R114" i="11"/>
  <c r="O149" i="12"/>
  <c r="P140" i="11"/>
  <c r="R50" i="11"/>
  <c r="R147" i="11"/>
  <c r="O142" i="11"/>
  <c r="R36" i="11"/>
  <c r="R26" i="11"/>
  <c r="R69" i="11"/>
  <c r="R115" i="11"/>
  <c r="R168" i="11" s="1"/>
  <c r="R110" i="11"/>
  <c r="R167" i="11" s="1"/>
  <c r="R136" i="11"/>
  <c r="M165" i="11"/>
  <c r="Q17" i="12"/>
  <c r="Q33" i="12"/>
  <c r="Q45" i="12"/>
  <c r="Q77" i="12"/>
  <c r="Q104" i="12"/>
  <c r="Q105" i="12" s="1"/>
  <c r="Q106" i="12" s="1"/>
  <c r="Q109" i="12"/>
  <c r="N98" i="11"/>
  <c r="R37" i="11"/>
  <c r="N85" i="12"/>
  <c r="K182" i="12"/>
  <c r="O120" i="11"/>
  <c r="R33" i="11"/>
  <c r="R27" i="11"/>
  <c r="R79" i="11"/>
  <c r="R104" i="11"/>
  <c r="R105" i="11" s="1"/>
  <c r="R106" i="11" s="1"/>
  <c r="R129" i="11"/>
  <c r="R162" i="11" s="1"/>
  <c r="O112" i="12"/>
  <c r="J182" i="12"/>
  <c r="Q14" i="12"/>
  <c r="Q38" i="12"/>
  <c r="Q79" i="12"/>
  <c r="Q124" i="12"/>
  <c r="Q146" i="12"/>
  <c r="N142" i="12"/>
  <c r="L98" i="12"/>
  <c r="R28" i="11"/>
  <c r="Q116" i="12"/>
  <c r="Q169" i="12" s="1"/>
  <c r="M88" i="12"/>
  <c r="N142" i="11"/>
  <c r="O180" i="11"/>
  <c r="R17" i="11"/>
  <c r="R43" i="11"/>
  <c r="R125" i="11"/>
  <c r="R160" i="11" s="1"/>
  <c r="R144" i="11"/>
  <c r="P149" i="11"/>
  <c r="Q28" i="12"/>
  <c r="Q48" i="12"/>
  <c r="Q76" i="12"/>
  <c r="Q75" i="12"/>
  <c r="Q134" i="12"/>
  <c r="BH53" i="6"/>
  <c r="BE19" i="6"/>
  <c r="P7" i="13"/>
  <c r="P8" i="13" s="1"/>
  <c r="BE47" i="7"/>
  <c r="M152" i="12"/>
  <c r="AS4" i="6"/>
  <c r="AT5" i="6"/>
  <c r="P8" i="7"/>
  <c r="P67" i="7"/>
  <c r="P173" i="12"/>
  <c r="P139" i="12"/>
  <c r="O54" i="6"/>
  <c r="AY47" i="6"/>
  <c r="S89" i="9"/>
  <c r="S90" i="9" s="1"/>
  <c r="P68" i="7"/>
  <c r="Z89" i="10"/>
  <c r="Z90" i="10" s="1"/>
  <c r="Q158" i="11"/>
  <c r="Q117" i="11"/>
  <c r="Q173" i="11"/>
  <c r="Q139" i="11"/>
  <c r="P159" i="12"/>
  <c r="P111" i="12"/>
  <c r="AB65" i="9"/>
  <c r="AB68" i="9"/>
  <c r="AB87" i="9"/>
  <c r="AB85" i="9"/>
  <c r="AB86" i="9"/>
  <c r="AB84" i="9"/>
  <c r="AB88" i="9"/>
  <c r="P25" i="13"/>
  <c r="P11" i="13"/>
  <c r="Q2" i="13"/>
  <c r="P5" i="13"/>
  <c r="P9" i="13" s="1"/>
  <c r="Q4" i="13" s="1"/>
  <c r="W89" i="9"/>
  <c r="W90" i="9" s="1"/>
  <c r="Q81" i="9"/>
  <c r="Q82" i="9" s="1"/>
  <c r="P7" i="7"/>
  <c r="P64" i="7" s="1"/>
  <c r="S1" i="12"/>
  <c r="BF46" i="7"/>
  <c r="BH46" i="7" s="1"/>
  <c r="Q1" i="3"/>
  <c r="P9" i="3" a="1"/>
  <c r="P9" i="3" s="1"/>
  <c r="AU66" i="11"/>
  <c r="P53" i="6"/>
  <c r="X74" i="9"/>
  <c r="BI19" i="7"/>
  <c r="BK19" i="7" s="1"/>
  <c r="O67" i="6"/>
  <c r="O8" i="6"/>
  <c r="P52" i="7"/>
  <c r="P53" i="7" s="1"/>
  <c r="BJ19" i="7"/>
  <c r="Q61" i="11"/>
  <c r="P119" i="11"/>
  <c r="P81" i="9"/>
  <c r="P82" i="9" s="1"/>
  <c r="Q74" i="9"/>
  <c r="Z74" i="9"/>
  <c r="X81" i="9"/>
  <c r="X82" i="9" s="1"/>
  <c r="P38" i="7"/>
  <c r="AT4" i="7"/>
  <c r="AU5" i="7"/>
  <c r="P39" i="12"/>
  <c r="P158" i="12"/>
  <c r="P117" i="12"/>
  <c r="Q178" i="11"/>
  <c r="Q175" i="11"/>
  <c r="AB72" i="9"/>
  <c r="X89" i="9"/>
  <c r="X90" i="9" s="1"/>
  <c r="AB54" i="10"/>
  <c r="AB43" i="10"/>
  <c r="AB18" i="10"/>
  <c r="AB55" i="10"/>
  <c r="AB42" i="10"/>
  <c r="AB41" i="10"/>
  <c r="AB40" i="10"/>
  <c r="AB23" i="10"/>
  <c r="AB34" i="10"/>
  <c r="AB12" i="10"/>
  <c r="AB7" i="10"/>
  <c r="AB59" i="10"/>
  <c r="AB17" i="10"/>
  <c r="AB22" i="10"/>
  <c r="AB33" i="10"/>
  <c r="AB11" i="10"/>
  <c r="AB16" i="10"/>
  <c r="AB58" i="10"/>
  <c r="AB21" i="10"/>
  <c r="AB5" i="10"/>
  <c r="AB56" i="10"/>
  <c r="AB10" i="10"/>
  <c r="AB53" i="10"/>
  <c r="AB15" i="10"/>
  <c r="AB20" i="10"/>
  <c r="AB9" i="10"/>
  <c r="AB4" i="10"/>
  <c r="AB14" i="10"/>
  <c r="AB61" i="10"/>
  <c r="AB57" i="10"/>
  <c r="AB8" i="10"/>
  <c r="AC1" i="10"/>
  <c r="AB13" i="10"/>
  <c r="AB60" i="10"/>
  <c r="AB19" i="10"/>
  <c r="N89" i="9"/>
  <c r="N90" i="9" s="1"/>
  <c r="O86" i="11"/>
  <c r="O87" i="11" s="1"/>
  <c r="Z81" i="10"/>
  <c r="Z82" i="10" s="1"/>
  <c r="Q126" i="11"/>
  <c r="Q71" i="11"/>
  <c r="Q74" i="11" s="1"/>
  <c r="Y81" i="9"/>
  <c r="Y82" i="9" s="1"/>
  <c r="O152" i="11"/>
  <c r="Z73" i="10"/>
  <c r="Z74" i="10" s="1"/>
  <c r="AA73" i="9"/>
  <c r="AA74" i="9" s="1"/>
  <c r="W81" i="9"/>
  <c r="W82" i="9" s="1"/>
  <c r="O119" i="12"/>
  <c r="U89" i="9"/>
  <c r="U90" i="9" s="1"/>
  <c r="P19" i="11"/>
  <c r="P20" i="11" s="1"/>
  <c r="S74" i="9"/>
  <c r="P38" i="6"/>
  <c r="AX66" i="12"/>
  <c r="AZ46" i="6"/>
  <c r="BB46" i="6" s="1"/>
  <c r="P32" i="7"/>
  <c r="P71" i="12"/>
  <c r="P74" i="12" s="1"/>
  <c r="Q46" i="11"/>
  <c r="T1" i="11"/>
  <c r="BD47" i="7"/>
  <c r="BG46" i="7"/>
  <c r="O54" i="7"/>
  <c r="V89" i="9"/>
  <c r="V90" i="9" s="1"/>
  <c r="U74" i="9"/>
  <c r="O19" i="12"/>
  <c r="O20" i="12" s="1"/>
  <c r="S81" i="9"/>
  <c r="S82" i="9" s="1"/>
  <c r="P9" i="6"/>
  <c r="O141" i="12"/>
  <c r="O150" i="12" s="1"/>
  <c r="BC44" i="7"/>
  <c r="BD44" i="7" s="1"/>
  <c r="Q111" i="11"/>
  <c r="Q159" i="11"/>
  <c r="Q51" i="11"/>
  <c r="Q6" i="13"/>
  <c r="Q26" i="13"/>
  <c r="R1" i="13"/>
  <c r="V81" i="9"/>
  <c r="V82" i="9" s="1"/>
  <c r="P39" i="6"/>
  <c r="O179" i="12"/>
  <c r="P148" i="12"/>
  <c r="P46" i="12"/>
  <c r="BG53" i="6"/>
  <c r="O81" i="9"/>
  <c r="O82" i="9" s="1"/>
  <c r="O64" i="7"/>
  <c r="P54" i="6"/>
  <c r="O64" i="6"/>
  <c r="Q1" i="5"/>
  <c r="P15" i="5" a="1"/>
  <c r="P15" i="5" s="1"/>
  <c r="P5" i="5" a="1"/>
  <c r="P5" i="5" s="1"/>
  <c r="BA46" i="6"/>
  <c r="P175" i="12"/>
  <c r="P178" i="12"/>
  <c r="AB69" i="9"/>
  <c r="BF53" i="6"/>
  <c r="AA65" i="10"/>
  <c r="AA68" i="10"/>
  <c r="AA88" i="10"/>
  <c r="AA85" i="10"/>
  <c r="AA87" i="10"/>
  <c r="AA86" i="10"/>
  <c r="AA84" i="10"/>
  <c r="BO38" i="6"/>
  <c r="R81" i="9"/>
  <c r="R82" i="9" s="1"/>
  <c r="AB71" i="9"/>
  <c r="AA69" i="10"/>
  <c r="O89" i="9"/>
  <c r="O90" i="9" s="1"/>
  <c r="M181" i="11"/>
  <c r="P18" i="6"/>
  <c r="P19" i="6" s="1"/>
  <c r="Z81" i="9"/>
  <c r="Z82" i="9" s="1"/>
  <c r="R1" i="15"/>
  <c r="P21" i="7"/>
  <c r="P20" i="7" s="1"/>
  <c r="BF19" i="6"/>
  <c r="Q81" i="11"/>
  <c r="Q83" i="11" s="1"/>
  <c r="N156" i="11"/>
  <c r="N164" i="11" s="1"/>
  <c r="N86" i="12"/>
  <c r="N87" i="12" s="1"/>
  <c r="O67" i="7"/>
  <c r="O8" i="7"/>
  <c r="T81" i="9"/>
  <c r="T82" i="9" s="1"/>
  <c r="P32" i="6"/>
  <c r="N150" i="12"/>
  <c r="L156" i="12"/>
  <c r="L164" i="12" s="1"/>
  <c r="P81" i="12"/>
  <c r="P83" i="12" s="1"/>
  <c r="Q29" i="11"/>
  <c r="Q30" i="11" s="1"/>
  <c r="M97" i="12"/>
  <c r="AZ44" i="6"/>
  <c r="BG38" i="7"/>
  <c r="AC60" i="9"/>
  <c r="AC53" i="9"/>
  <c r="AC48" i="9"/>
  <c r="AC15" i="9"/>
  <c r="AC43" i="9"/>
  <c r="AC9" i="9"/>
  <c r="AC59" i="9"/>
  <c r="AC14" i="9"/>
  <c r="AC19" i="9"/>
  <c r="AC58" i="9"/>
  <c r="AC42" i="9"/>
  <c r="AC63" i="9"/>
  <c r="AC13" i="9"/>
  <c r="AC57" i="9"/>
  <c r="AC36" i="9"/>
  <c r="AC18" i="9"/>
  <c r="AC41" i="9"/>
  <c r="AC7" i="9"/>
  <c r="AC56" i="9"/>
  <c r="AC12" i="9"/>
  <c r="AC62" i="9"/>
  <c r="AC17" i="9"/>
  <c r="AC40" i="9"/>
  <c r="AC38" i="9"/>
  <c r="AC33" i="9"/>
  <c r="AC20" i="9"/>
  <c r="AC61" i="9"/>
  <c r="AC45" i="9"/>
  <c r="AC44" i="9"/>
  <c r="AC16" i="9"/>
  <c r="AC8" i="9"/>
  <c r="AC10" i="9"/>
  <c r="AD1" i="9"/>
  <c r="AC5" i="9"/>
  <c r="AC21" i="9"/>
  <c r="AC35" i="9"/>
  <c r="AC55" i="9"/>
  <c r="AC34" i="9"/>
  <c r="AC4" i="9"/>
  <c r="AC54" i="9"/>
  <c r="AC11" i="9"/>
  <c r="AC64" i="9"/>
  <c r="AC49" i="9"/>
  <c r="AC37" i="9"/>
  <c r="AC46" i="9"/>
  <c r="AC22" i="9"/>
  <c r="AC50" i="9"/>
  <c r="AC51" i="9"/>
  <c r="AC23" i="9"/>
  <c r="AC47" i="9"/>
  <c r="AC24" i="9"/>
  <c r="AC25" i="9"/>
  <c r="AC26" i="9"/>
  <c r="AC27" i="9"/>
  <c r="AC28" i="9"/>
  <c r="AC29" i="9"/>
  <c r="AC30" i="9"/>
  <c r="AC31" i="9"/>
  <c r="K27" i="13"/>
  <c r="K28" i="13" s="1"/>
  <c r="N150" i="11"/>
  <c r="O74" i="9"/>
  <c r="T74" i="9"/>
  <c r="Q89" i="9"/>
  <c r="Q90" i="9" s="1"/>
  <c r="O39" i="7"/>
  <c r="R1" i="6"/>
  <c r="Q40" i="6"/>
  <c r="Q7" i="6"/>
  <c r="BH53" i="7"/>
  <c r="R1" i="7"/>
  <c r="Q33" i="7"/>
  <c r="Q40" i="7"/>
  <c r="Q39" i="7" s="1"/>
  <c r="Q55" i="7"/>
  <c r="Q52" i="7"/>
  <c r="Q53" i="7" s="1"/>
  <c r="Q7" i="7"/>
  <c r="Q31" i="7"/>
  <c r="Q21" i="7"/>
  <c r="Q18" i="7"/>
  <c r="Q19" i="7" s="1"/>
  <c r="Q9" i="7"/>
  <c r="Q65" i="7"/>
  <c r="Q68" i="7"/>
  <c r="Q37" i="7"/>
  <c r="Q38" i="7" s="1"/>
  <c r="BG53" i="7"/>
  <c r="P131" i="12"/>
  <c r="P29" i="12"/>
  <c r="P30" i="12" s="1"/>
  <c r="Q13" i="11"/>
  <c r="Q15" i="11" s="1"/>
  <c r="Q149" i="11" a="1"/>
  <c r="S133" i="11" a="1"/>
  <c r="S147" i="11" a="1"/>
  <c r="S53" i="11" a="1"/>
  <c r="R125" i="12" a="1"/>
  <c r="S44" i="11" a="1"/>
  <c r="S76" i="11" a="1"/>
  <c r="S37" i="11" a="1"/>
  <c r="S38" i="11" a="1"/>
  <c r="R11" i="12" a="1"/>
  <c r="R75" i="12" a="1"/>
  <c r="O151" i="12" a="1"/>
  <c r="R115" i="12" a="1"/>
  <c r="P112" i="12" a="1"/>
  <c r="R47" i="12" a="1"/>
  <c r="P171" i="12" a="1"/>
  <c r="S49" i="11" a="1"/>
  <c r="S80" i="11" a="1"/>
  <c r="S40" i="11" a="1"/>
  <c r="R43" i="12" a="1"/>
  <c r="S72" i="11" a="1"/>
  <c r="S50" i="11" a="1"/>
  <c r="R10" i="12" a="1"/>
  <c r="S145" i="11" a="1"/>
  <c r="R4" i="12" a="1"/>
  <c r="R56" i="12" a="1"/>
  <c r="O88" i="11" a="1"/>
  <c r="R26" i="12" a="1"/>
  <c r="O21" i="12" a="1"/>
  <c r="R17" i="12" a="1"/>
  <c r="R146" i="12" a="1"/>
  <c r="R24" i="12" a="1"/>
  <c r="P21" i="11" a="1"/>
  <c r="S28" i="11" a="1"/>
  <c r="N151" i="12" a="1"/>
  <c r="S10" i="11" a="1"/>
  <c r="M98" i="12" a="1"/>
  <c r="S4" i="11" a="1"/>
  <c r="R129" i="12" a="1"/>
  <c r="R67" i="12" a="1"/>
  <c r="S52" i="11" a="1"/>
  <c r="S54" i="11" a="1"/>
  <c r="Q112" i="11" a="1"/>
  <c r="R49" i="12" a="1"/>
  <c r="R58" i="12" a="1"/>
  <c r="S35" i="11" a="1"/>
  <c r="R66" i="12" a="1"/>
  <c r="P151" i="11" a="1"/>
  <c r="P149" i="12" a="1"/>
  <c r="P132" i="12" a="1"/>
  <c r="S115" i="11" a="1"/>
  <c r="P31" i="12" a="1"/>
  <c r="R82" i="12" a="1"/>
  <c r="S69" i="11" a="1"/>
  <c r="R68" i="12" a="1"/>
  <c r="S82" i="11" a="1"/>
  <c r="P120" i="11" a="1"/>
  <c r="R114" i="12" a="1"/>
  <c r="S8" i="11" a="1"/>
  <c r="Q107" i="12" a="1"/>
  <c r="R59" i="12" a="1"/>
  <c r="R41" i="12" a="1"/>
  <c r="S77" i="11" a="1"/>
  <c r="R54" i="12" a="1"/>
  <c r="P142" i="11" a="1"/>
  <c r="S66" i="11" a="1"/>
  <c r="S14" i="11" a="1"/>
  <c r="S17" i="11" a="1"/>
  <c r="Q6" i="12" a="1"/>
  <c r="R52" i="12" a="1"/>
  <c r="S124" i="11" a="1"/>
  <c r="S110" i="11" a="1"/>
  <c r="O85" i="12" a="1"/>
  <c r="R76" i="12" a="1"/>
  <c r="S56" i="11" a="1"/>
  <c r="R8" i="12" a="1"/>
  <c r="P132" i="11" a="1"/>
  <c r="S27" i="11" a="1"/>
  <c r="R107" i="11" a="1"/>
  <c r="R123" i="12" a="1"/>
  <c r="S47" i="11" a="1"/>
  <c r="R145" i="12" a="1"/>
  <c r="R45" i="12" a="1"/>
  <c r="R35" i="12" a="1"/>
  <c r="R40" i="12" a="1"/>
  <c r="S65" i="11" a="1"/>
  <c r="R133" i="12" a="1"/>
  <c r="Q118" i="11" a="1"/>
  <c r="S116" i="11" a="1"/>
  <c r="R9" i="12" a="1"/>
  <c r="S144" i="11" a="1"/>
  <c r="R53" i="12" a="1"/>
  <c r="S67" i="11" a="1"/>
  <c r="M182" i="11" a="1"/>
  <c r="O142" i="12" a="1"/>
  <c r="S33" i="11" a="1"/>
  <c r="S43" i="11" a="1"/>
  <c r="R109" i="12" a="1"/>
  <c r="R124" i="12" a="1"/>
  <c r="R73" i="12" a="1"/>
  <c r="S109" i="11" a="1"/>
  <c r="Q31" i="11" a="1"/>
  <c r="S25" i="11" a="1"/>
  <c r="R69" i="12" a="1"/>
  <c r="R127" i="12" a="1"/>
  <c r="R104" i="12" a="1"/>
  <c r="S36" i="11" a="1"/>
  <c r="S55" i="11" a="1"/>
  <c r="S123" i="11" a="1"/>
  <c r="R48" i="12" a="1"/>
  <c r="R27" i="12" a="1"/>
  <c r="N88" i="12" a="1"/>
  <c r="R80" i="12" a="1"/>
  <c r="R77" i="12" a="1"/>
  <c r="R50" i="12" a="1"/>
  <c r="S57" i="11" a="1"/>
  <c r="S11" i="11" a="1"/>
  <c r="N151" i="11" a="1"/>
  <c r="S136" i="11" a="1"/>
  <c r="L165" i="12" a="1"/>
  <c r="S104" i="11" a="1"/>
  <c r="S125" i="11" a="1"/>
  <c r="O63" i="12" a="1"/>
  <c r="P140" i="12" a="1"/>
  <c r="R33" i="12" a="1"/>
  <c r="R14" i="12" a="1"/>
  <c r="Q140" i="11" a="1"/>
  <c r="R34" i="12" a="1"/>
  <c r="S73" i="11" a="1"/>
  <c r="S79" i="11" a="1"/>
  <c r="S68" i="11" a="1"/>
  <c r="R65" i="12" a="1"/>
  <c r="O120" i="12" a="1"/>
  <c r="S45" i="11" a="1"/>
  <c r="S34" i="11" a="1"/>
  <c r="S135" i="11" a="1"/>
  <c r="S59" i="11" a="1"/>
  <c r="R134" i="12" a="1"/>
  <c r="Q171" i="11" a="1"/>
  <c r="O180" i="12" a="1"/>
  <c r="R72" i="12" a="1"/>
  <c r="R57" i="12" a="1"/>
  <c r="S70" i="11" a="1"/>
  <c r="R78" i="12" a="1"/>
  <c r="R12" i="12" a="1"/>
  <c r="R36" i="12" a="1"/>
  <c r="S114" i="11" a="1"/>
  <c r="S129" i="11" a="1"/>
  <c r="R44" i="12" a="1"/>
  <c r="R110" i="12" a="1"/>
  <c r="R136" i="12" a="1"/>
  <c r="R116" i="12" a="1"/>
  <c r="R144" i="12" a="1"/>
  <c r="P85" i="11" a="1"/>
  <c r="R135" i="12" a="1"/>
  <c r="R55" i="12" a="1"/>
  <c r="R16" i="12" a="1"/>
  <c r="R6" i="11" a="1"/>
  <c r="R38" i="12" a="1"/>
  <c r="S146" i="11" a="1"/>
  <c r="S134" i="11" a="1"/>
  <c r="S78" i="11" a="1"/>
  <c r="R147" i="12" a="1"/>
  <c r="R28" i="12" a="1"/>
  <c r="R79" i="12" a="1"/>
  <c r="S26" i="11" a="1"/>
  <c r="N165" i="11" a="1"/>
  <c r="S60" i="11" a="1"/>
  <c r="S75" i="11" a="1"/>
  <c r="P180" i="11" a="1"/>
  <c r="S58" i="11" a="1"/>
  <c r="S48" i="11" a="1"/>
  <c r="S41" i="11" a="1"/>
  <c r="R37" i="12" a="1"/>
  <c r="S12" i="11" a="1"/>
  <c r="S9" i="11" a="1"/>
  <c r="S24" i="11" a="1"/>
  <c r="R70" i="12" a="1"/>
  <c r="P118" i="12" a="1"/>
  <c r="R60" i="12" a="1"/>
  <c r="P63" i="11" a="1"/>
  <c r="S127" i="11" a="1"/>
  <c r="R25" i="12" a="1"/>
  <c r="S16" i="11" a="1"/>
  <c r="Q131" i="11" l="1"/>
  <c r="Q141" i="11" s="1"/>
  <c r="Q19" i="11"/>
  <c r="Q20" i="11" s="1"/>
  <c r="R39" i="11"/>
  <c r="O86" i="12"/>
  <c r="O87" i="12" s="1"/>
  <c r="AB89" i="9"/>
  <c r="AB90" i="9" s="1"/>
  <c r="P86" i="11"/>
  <c r="P87" i="11" s="1"/>
  <c r="AB73" i="9"/>
  <c r="AB74" i="9" s="1"/>
  <c r="Q39" i="12"/>
  <c r="P19" i="12"/>
  <c r="P20" i="12" s="1"/>
  <c r="AA73" i="10"/>
  <c r="AA74" i="10" s="1"/>
  <c r="AA81" i="10"/>
  <c r="AA82" i="10" s="1"/>
  <c r="P132" i="11"/>
  <c r="Q46" i="12"/>
  <c r="O85" i="12"/>
  <c r="Q84" i="11"/>
  <c r="Q42" i="12"/>
  <c r="Q62" i="11"/>
  <c r="P62" i="12"/>
  <c r="Q126" i="12"/>
  <c r="P85" i="11"/>
  <c r="Q171" i="11"/>
  <c r="R29" i="11"/>
  <c r="R30" i="11" s="1"/>
  <c r="P163" i="12"/>
  <c r="Q13" i="12"/>
  <c r="Q15" i="12" s="1"/>
  <c r="P84" i="12"/>
  <c r="P180" i="11"/>
  <c r="P171" i="12"/>
  <c r="Q149" i="11"/>
  <c r="P63" i="11"/>
  <c r="O63" i="12"/>
  <c r="R126" i="11"/>
  <c r="R61" i="11"/>
  <c r="Q71" i="12"/>
  <c r="Q74" i="12" s="1"/>
  <c r="R81" i="11"/>
  <c r="R83" i="11" s="1"/>
  <c r="Q18" i="12"/>
  <c r="R130" i="11"/>
  <c r="O88" i="11"/>
  <c r="O151" i="12"/>
  <c r="R134" i="12"/>
  <c r="S45" i="11"/>
  <c r="R79" i="12"/>
  <c r="R110" i="12"/>
  <c r="R167" i="12" s="1"/>
  <c r="R146" i="12"/>
  <c r="Q118" i="11"/>
  <c r="N151" i="11"/>
  <c r="S25" i="11"/>
  <c r="S36" i="11"/>
  <c r="S54" i="11"/>
  <c r="S110" i="11"/>
  <c r="S167" i="11" s="1"/>
  <c r="P120" i="11"/>
  <c r="R53" i="12"/>
  <c r="R60" i="12"/>
  <c r="R56" i="12"/>
  <c r="R75" i="12"/>
  <c r="S75" i="11"/>
  <c r="O120" i="12"/>
  <c r="R28" i="12"/>
  <c r="R44" i="12"/>
  <c r="R59" i="12"/>
  <c r="R133" i="12"/>
  <c r="S11" i="11"/>
  <c r="Q31" i="11"/>
  <c r="S35" i="11"/>
  <c r="S52" i="11"/>
  <c r="S124" i="11"/>
  <c r="S82" i="11"/>
  <c r="S125" i="11"/>
  <c r="S160" i="11" s="1"/>
  <c r="P118" i="12"/>
  <c r="R4" i="12"/>
  <c r="R5" i="12" s="1"/>
  <c r="R11" i="12"/>
  <c r="R47" i="12"/>
  <c r="R65" i="12"/>
  <c r="R147" i="12"/>
  <c r="S129" i="11"/>
  <c r="S162" i="11" s="1"/>
  <c r="S16" i="11"/>
  <c r="S65" i="11"/>
  <c r="S57" i="11"/>
  <c r="S109" i="11"/>
  <c r="R8" i="12"/>
  <c r="R67" i="12"/>
  <c r="R52" i="12"/>
  <c r="R68" i="12"/>
  <c r="R144" i="12"/>
  <c r="R70" i="12"/>
  <c r="S145" i="11"/>
  <c r="S38" i="11"/>
  <c r="S59" i="11"/>
  <c r="S68" i="11"/>
  <c r="S78" i="11"/>
  <c r="S114" i="11"/>
  <c r="R17" i="12"/>
  <c r="R40" i="12"/>
  <c r="R50" i="12"/>
  <c r="R73" i="12"/>
  <c r="R104" i="12"/>
  <c r="R105" i="12" s="1"/>
  <c r="R106" i="12" s="1"/>
  <c r="R129" i="12"/>
  <c r="R162" i="12" s="1"/>
  <c r="Q6" i="12"/>
  <c r="S69" i="11"/>
  <c r="S144" i="11"/>
  <c r="S24" i="11"/>
  <c r="R10" i="12"/>
  <c r="S37" i="11"/>
  <c r="S60" i="11"/>
  <c r="S79" i="11"/>
  <c r="S134" i="11"/>
  <c r="R36" i="12"/>
  <c r="R58" i="12"/>
  <c r="R35" i="12"/>
  <c r="R77" i="12"/>
  <c r="R124" i="12"/>
  <c r="Q107" i="12"/>
  <c r="S4" i="11"/>
  <c r="S5" i="11" s="1"/>
  <c r="S17" i="11"/>
  <c r="R82" i="12"/>
  <c r="S104" i="11"/>
  <c r="S105" i="11" s="1"/>
  <c r="S106" i="11" s="1"/>
  <c r="S9" i="11"/>
  <c r="S50" i="11"/>
  <c r="S76" i="11"/>
  <c r="S56" i="11"/>
  <c r="S73" i="11"/>
  <c r="S146" i="11"/>
  <c r="R12" i="12"/>
  <c r="R25" i="12"/>
  <c r="R45" i="12"/>
  <c r="R80" i="12"/>
  <c r="R109" i="12"/>
  <c r="P112" i="12"/>
  <c r="M98" i="12"/>
  <c r="S14" i="11"/>
  <c r="P31" i="12"/>
  <c r="O21" i="12"/>
  <c r="S12" i="11"/>
  <c r="S72" i="11"/>
  <c r="S44" i="11"/>
  <c r="S135" i="11"/>
  <c r="S174" i="11" s="1"/>
  <c r="R34" i="12"/>
  <c r="R38" i="12"/>
  <c r="R78" i="12"/>
  <c r="R116" i="12"/>
  <c r="R169" i="12" s="1"/>
  <c r="R145" i="12"/>
  <c r="N88" i="12"/>
  <c r="S43" i="11"/>
  <c r="N165" i="11"/>
  <c r="S10" i="11"/>
  <c r="S66" i="11"/>
  <c r="S115" i="11"/>
  <c r="S168" i="11" s="1"/>
  <c r="R9" i="12"/>
  <c r="R37" i="12"/>
  <c r="R43" i="12"/>
  <c r="R125" i="12"/>
  <c r="R160" i="12" s="1"/>
  <c r="R127" i="12"/>
  <c r="Q140" i="11"/>
  <c r="R6" i="11"/>
  <c r="S70" i="11"/>
  <c r="R49" i="12"/>
  <c r="S47" i="11"/>
  <c r="R27" i="12"/>
  <c r="S33" i="11"/>
  <c r="L165" i="12"/>
  <c r="N151" i="12"/>
  <c r="P142" i="11"/>
  <c r="P132" i="12"/>
  <c r="S8" i="11"/>
  <c r="S41" i="11"/>
  <c r="S40" i="11"/>
  <c r="S53" i="11"/>
  <c r="S127" i="11"/>
  <c r="R14" i="12"/>
  <c r="R16" i="12"/>
  <c r="R57" i="12"/>
  <c r="R76" i="12"/>
  <c r="R123" i="12"/>
  <c r="R48" i="12"/>
  <c r="O142" i="12"/>
  <c r="R115" i="12"/>
  <c r="R168" i="12" s="1"/>
  <c r="S28" i="11"/>
  <c r="R54" i="12"/>
  <c r="P149" i="12"/>
  <c r="S34" i="11"/>
  <c r="S48" i="11"/>
  <c r="S80" i="11"/>
  <c r="S147" i="11"/>
  <c r="R26" i="12"/>
  <c r="R33" i="12"/>
  <c r="R55" i="12"/>
  <c r="R72" i="12"/>
  <c r="R136" i="12"/>
  <c r="R107" i="11"/>
  <c r="S123" i="11"/>
  <c r="M182" i="11"/>
  <c r="S116" i="11"/>
  <c r="S169" i="11" s="1"/>
  <c r="P21" i="11"/>
  <c r="S77" i="11"/>
  <c r="P151" i="11"/>
  <c r="S26" i="11"/>
  <c r="S58" i="11"/>
  <c r="S49" i="11"/>
  <c r="S133" i="11"/>
  <c r="R69" i="12"/>
  <c r="P140" i="12"/>
  <c r="R135" i="12"/>
  <c r="R174" i="12" s="1"/>
  <c r="O180" i="12"/>
  <c r="Q112" i="11"/>
  <c r="S27" i="11"/>
  <c r="S55" i="11"/>
  <c r="S67" i="11"/>
  <c r="S136" i="11"/>
  <c r="R24" i="12"/>
  <c r="R41" i="12"/>
  <c r="R66" i="12"/>
  <c r="R114" i="12"/>
  <c r="BH47" i="7"/>
  <c r="BG44" i="7"/>
  <c r="O97" i="11"/>
  <c r="O152" i="12"/>
  <c r="Q7" i="13"/>
  <c r="Q8" i="13" s="1"/>
  <c r="BB47" i="6"/>
  <c r="AB81" i="9"/>
  <c r="AB82" i="9" s="1"/>
  <c r="Q119" i="11"/>
  <c r="AU5" i="6"/>
  <c r="AT4" i="6"/>
  <c r="R42" i="11"/>
  <c r="Q175" i="12"/>
  <c r="Q178" i="12"/>
  <c r="Q170" i="12"/>
  <c r="Q20" i="7"/>
  <c r="Q33" i="6"/>
  <c r="N152" i="11"/>
  <c r="BA44" i="6"/>
  <c r="P54" i="7"/>
  <c r="BP38" i="6"/>
  <c r="Q163" i="11"/>
  <c r="Q61" i="12"/>
  <c r="R173" i="11"/>
  <c r="R139" i="11"/>
  <c r="BG47" i="7"/>
  <c r="Q173" i="12"/>
  <c r="Q139" i="12"/>
  <c r="Q8" i="7"/>
  <c r="Q67" i="7"/>
  <c r="P119" i="12"/>
  <c r="Q148" i="12"/>
  <c r="P8" i="6"/>
  <c r="P67" i="6"/>
  <c r="AB72" i="10"/>
  <c r="AB71" i="10"/>
  <c r="Q9" i="3" a="1"/>
  <c r="Q9" i="3" s="1"/>
  <c r="R1" i="3"/>
  <c r="P20" i="6"/>
  <c r="BA47" i="6"/>
  <c r="BD46" i="6"/>
  <c r="R6" i="13"/>
  <c r="R26" i="13"/>
  <c r="S1" i="13"/>
  <c r="Q25" i="13"/>
  <c r="Q11" i="13"/>
  <c r="Q5" i="13"/>
  <c r="Q9" i="13" s="1"/>
  <c r="R4" i="13" s="1"/>
  <c r="R2" i="13"/>
  <c r="Q159" i="12"/>
  <c r="Q111" i="12"/>
  <c r="Q130" i="12"/>
  <c r="BE44" i="7"/>
  <c r="S1" i="15"/>
  <c r="Q29" i="12"/>
  <c r="Q30" i="12" s="1"/>
  <c r="Q65" i="6"/>
  <c r="AV5" i="7"/>
  <c r="AU4" i="7"/>
  <c r="Q81" i="12"/>
  <c r="Q83" i="12" s="1"/>
  <c r="R159" i="11"/>
  <c r="R111" i="11"/>
  <c r="R71" i="11"/>
  <c r="R74" i="11" s="1"/>
  <c r="M156" i="12"/>
  <c r="M164" i="12" s="1"/>
  <c r="AB69" i="10"/>
  <c r="S1" i="7"/>
  <c r="R68" i="7"/>
  <c r="Q52" i="6"/>
  <c r="Q53" i="6" s="1"/>
  <c r="BF47" i="7"/>
  <c r="BI46" i="7"/>
  <c r="BH38" i="7"/>
  <c r="R148" i="11"/>
  <c r="R158" i="11"/>
  <c r="R117" i="11"/>
  <c r="N97" i="12"/>
  <c r="R68" i="6"/>
  <c r="S1" i="6"/>
  <c r="R9" i="6"/>
  <c r="R37" i="6"/>
  <c r="R38" i="6" s="1"/>
  <c r="N181" i="11"/>
  <c r="Q64" i="7"/>
  <c r="K29" i="13"/>
  <c r="L24" i="13" s="1"/>
  <c r="Q32" i="7"/>
  <c r="Q31" i="6"/>
  <c r="Q64" i="6" s="1"/>
  <c r="AC65" i="9"/>
  <c r="AC68" i="9"/>
  <c r="AC87" i="9"/>
  <c r="AC85" i="9"/>
  <c r="AC86" i="9"/>
  <c r="AC88" i="9"/>
  <c r="AC84" i="9"/>
  <c r="Q37" i="6"/>
  <c r="Q38" i="6" s="1"/>
  <c r="BL19" i="7"/>
  <c r="BM19" i="7" s="1"/>
  <c r="R18" i="11"/>
  <c r="R51" i="11"/>
  <c r="Q68" i="6"/>
  <c r="Q9" i="6"/>
  <c r="L181" i="12"/>
  <c r="AC70" i="9"/>
  <c r="N152" i="12"/>
  <c r="AC71" i="9"/>
  <c r="Q55" i="6"/>
  <c r="Q54" i="6" s="1"/>
  <c r="AA89" i="10"/>
  <c r="AA90" i="10" s="1"/>
  <c r="BI53" i="6"/>
  <c r="AZ47" i="6"/>
  <c r="BC46" i="6"/>
  <c r="Q179" i="11"/>
  <c r="BG19" i="6"/>
  <c r="BH19" i="6" s="1"/>
  <c r="R46" i="11"/>
  <c r="BF44" i="7"/>
  <c r="Q54" i="7"/>
  <c r="Q18" i="6"/>
  <c r="Q19" i="6" s="1"/>
  <c r="Q21" i="6"/>
  <c r="Q20" i="6" s="1"/>
  <c r="AC55" i="10"/>
  <c r="AC43" i="10"/>
  <c r="AC42" i="10"/>
  <c r="AC41" i="10"/>
  <c r="AC40" i="10"/>
  <c r="AC23" i="10"/>
  <c r="AC34" i="10"/>
  <c r="AC12" i="10"/>
  <c r="AC7" i="10"/>
  <c r="AC59" i="10"/>
  <c r="AC17" i="10"/>
  <c r="AC22" i="10"/>
  <c r="AC33" i="10"/>
  <c r="AC11" i="10"/>
  <c r="AC16" i="10"/>
  <c r="AC58" i="10"/>
  <c r="AC21" i="10"/>
  <c r="AC5" i="10"/>
  <c r="AC56" i="10"/>
  <c r="AC10" i="10"/>
  <c r="AC53" i="10"/>
  <c r="AC15" i="10"/>
  <c r="AC20" i="10"/>
  <c r="AC9" i="10"/>
  <c r="AC4" i="10"/>
  <c r="AC54" i="10"/>
  <c r="AC14" i="10"/>
  <c r="AC19" i="10"/>
  <c r="AC60" i="10"/>
  <c r="AC13" i="10"/>
  <c r="AC61" i="10"/>
  <c r="AC18" i="10"/>
  <c r="AC8" i="10"/>
  <c r="AD1" i="10"/>
  <c r="AC57" i="10"/>
  <c r="Q158" i="12"/>
  <c r="Q117" i="12"/>
  <c r="AB65" i="10"/>
  <c r="AB68" i="10"/>
  <c r="AB87" i="10"/>
  <c r="AB88" i="10"/>
  <c r="AB84" i="10"/>
  <c r="AB86" i="10"/>
  <c r="AB85" i="10"/>
  <c r="P152" i="11"/>
  <c r="AC69" i="9"/>
  <c r="AC72" i="9"/>
  <c r="BI53" i="7"/>
  <c r="AY66" i="12"/>
  <c r="AB70" i="10"/>
  <c r="T1" i="12"/>
  <c r="P141" i="12"/>
  <c r="R178" i="11"/>
  <c r="R175" i="11"/>
  <c r="Q51" i="12"/>
  <c r="Q39" i="6"/>
  <c r="AD33" i="9"/>
  <c r="AD20" i="9"/>
  <c r="AE1" i="9"/>
  <c r="AD43" i="9"/>
  <c r="AD59" i="9"/>
  <c r="AD14" i="9"/>
  <c r="AD19" i="9"/>
  <c r="AD58" i="9"/>
  <c r="AD42" i="9"/>
  <c r="AD8" i="9"/>
  <c r="AD63" i="9"/>
  <c r="AD57" i="9"/>
  <c r="AD36" i="9"/>
  <c r="AD18" i="9"/>
  <c r="AD41" i="9"/>
  <c r="AD7" i="9"/>
  <c r="AD56" i="9"/>
  <c r="AD12" i="9"/>
  <c r="AD62" i="9"/>
  <c r="AD17" i="9"/>
  <c r="AD55" i="9"/>
  <c r="AD40" i="9"/>
  <c r="AD35" i="9"/>
  <c r="AD61" i="9"/>
  <c r="AD54" i="9"/>
  <c r="AD38" i="9"/>
  <c r="AD60" i="9"/>
  <c r="AD44" i="9"/>
  <c r="AD16" i="9"/>
  <c r="AD10" i="9"/>
  <c r="AD48" i="9"/>
  <c r="AD5" i="9"/>
  <c r="AD21" i="9"/>
  <c r="AD15" i="9"/>
  <c r="AD13" i="9"/>
  <c r="AD53" i="9"/>
  <c r="AD11" i="9"/>
  <c r="AD9" i="9"/>
  <c r="AD4" i="9"/>
  <c r="AD34" i="9"/>
  <c r="AD37" i="9"/>
  <c r="AD45" i="9"/>
  <c r="AD64" i="9"/>
  <c r="AD49" i="9"/>
  <c r="AD22" i="9"/>
  <c r="AD50" i="9"/>
  <c r="AD46" i="9"/>
  <c r="AD51" i="9"/>
  <c r="AD47" i="9"/>
  <c r="AD23" i="9"/>
  <c r="AD24" i="9"/>
  <c r="AD25" i="9"/>
  <c r="AD26" i="9"/>
  <c r="AD27" i="9"/>
  <c r="AD28" i="9"/>
  <c r="AD29" i="9"/>
  <c r="AD30" i="9"/>
  <c r="AD31" i="9"/>
  <c r="Q15" i="5" a="1"/>
  <c r="Q15" i="5" s="1"/>
  <c r="Q5" i="5" a="1"/>
  <c r="Q5" i="5" s="1"/>
  <c r="R1" i="5"/>
  <c r="U1" i="11"/>
  <c r="AV66" i="11"/>
  <c r="P179" i="12"/>
  <c r="R170" i="11"/>
  <c r="R13" i="11"/>
  <c r="R15" i="11" s="1"/>
  <c r="P21" i="12" a="1"/>
  <c r="T79" i="11" a="1"/>
  <c r="T59" i="11" a="1"/>
  <c r="S27" i="12" a="1"/>
  <c r="S26" i="12" a="1"/>
  <c r="T114" i="11" a="1"/>
  <c r="S104" i="12" a="1"/>
  <c r="Q142" i="11" a="1"/>
  <c r="P142" i="12" a="1"/>
  <c r="S12" i="12" a="1"/>
  <c r="S147" i="12" a="1"/>
  <c r="S10" i="12" a="1"/>
  <c r="T78" i="11" a="1"/>
  <c r="T37" i="11" a="1"/>
  <c r="S144" i="12" a="1"/>
  <c r="Q85" i="11" a="1"/>
  <c r="T60" i="11" a="1"/>
  <c r="T44" i="11" a="1"/>
  <c r="T109" i="11" a="1"/>
  <c r="T125" i="11" a="1"/>
  <c r="S4" i="12" a="1"/>
  <c r="S65" i="12" a="1"/>
  <c r="S78" i="12" a="1"/>
  <c r="T123" i="11" a="1"/>
  <c r="T135" i="11" a="1"/>
  <c r="S34" i="12" a="1"/>
  <c r="T10" i="11" a="1"/>
  <c r="S73" i="12" a="1"/>
  <c r="S9" i="12" a="1"/>
  <c r="S145" i="12" a="1"/>
  <c r="Q63" i="11" a="1"/>
  <c r="T53" i="11" a="1"/>
  <c r="T9" i="11" a="1"/>
  <c r="T70" i="11" a="1"/>
  <c r="T82" i="11" a="1"/>
  <c r="T40" i="11" a="1"/>
  <c r="S59" i="12" a="1"/>
  <c r="T58" i="11" a="1"/>
  <c r="P63" i="12" a="1"/>
  <c r="S124" i="12" a="1"/>
  <c r="R31" i="11" a="1"/>
  <c r="T11" i="11" a="1"/>
  <c r="T52" i="11" a="1"/>
  <c r="T77" i="11" a="1"/>
  <c r="T34" i="11" a="1"/>
  <c r="S66" i="12" a="1"/>
  <c r="T133" i="11" a="1"/>
  <c r="T54" i="11" a="1"/>
  <c r="R171" i="11" a="1"/>
  <c r="M165" i="12" a="1"/>
  <c r="T72" i="11" a="1"/>
  <c r="Q21" i="11" a="1"/>
  <c r="Q118" i="12" a="1"/>
  <c r="T110" i="11" a="1"/>
  <c r="S79" i="12" a="1"/>
  <c r="P85" i="12" a="1"/>
  <c r="S55" i="12" a="1"/>
  <c r="S38" i="12" a="1"/>
  <c r="T25" i="11" a="1"/>
  <c r="T35" i="11" a="1"/>
  <c r="T56" i="11" a="1"/>
  <c r="T104" i="11" a="1"/>
  <c r="T43" i="11" a="1"/>
  <c r="T26" i="11" a="1"/>
  <c r="T127" i="11" a="1"/>
  <c r="S52" i="12" a="1"/>
  <c r="Q171" i="12" a="1"/>
  <c r="S44" i="12" a="1"/>
  <c r="T66" i="11" a="1"/>
  <c r="Q180" i="11" a="1"/>
  <c r="R107" i="12" a="1"/>
  <c r="T17" i="11" a="1"/>
  <c r="T144" i="11" a="1"/>
  <c r="T55" i="11" a="1"/>
  <c r="S60" i="12" a="1"/>
  <c r="R6" i="12" a="1"/>
  <c r="T65" i="11" a="1"/>
  <c r="T33" i="11" a="1"/>
  <c r="T27" i="11" a="1"/>
  <c r="R112" i="11" a="1"/>
  <c r="T67" i="11" a="1"/>
  <c r="S8" i="12" a="1"/>
  <c r="Q112" i="12" a="1"/>
  <c r="S82" i="12" a="1"/>
  <c r="S36" i="12" a="1"/>
  <c r="S135" i="12" a="1"/>
  <c r="S37" i="12" a="1"/>
  <c r="S70" i="12" a="1"/>
  <c r="T50" i="11" a="1"/>
  <c r="P120" i="12" a="1"/>
  <c r="Q31" i="12" a="1"/>
  <c r="S116" i="12" a="1"/>
  <c r="T147" i="11" a="1"/>
  <c r="S25" i="12" a="1"/>
  <c r="T145" i="11" a="1"/>
  <c r="S68" i="12" a="1"/>
  <c r="T116" i="11" a="1"/>
  <c r="T80" i="11" a="1"/>
  <c r="S136" i="12" a="1"/>
  <c r="S80" i="12" a="1"/>
  <c r="S146" i="12" a="1"/>
  <c r="S110" i="12" a="1"/>
  <c r="T36" i="11" a="1"/>
  <c r="T41" i="11" a="1"/>
  <c r="T49" i="11" a="1"/>
  <c r="N98" i="12" a="1"/>
  <c r="T134" i="11" a="1"/>
  <c r="T129" i="11" a="1"/>
  <c r="S109" i="12" a="1"/>
  <c r="T28" i="11" a="1"/>
  <c r="S49" i="12" a="1"/>
  <c r="T14" i="11" a="1"/>
  <c r="Q140" i="12" a="1"/>
  <c r="T73" i="11" a="1"/>
  <c r="S57" i="12" a="1"/>
  <c r="S115" i="12" a="1"/>
  <c r="S6" i="11" a="1"/>
  <c r="T38" i="11" a="1"/>
  <c r="P180" i="12" a="1"/>
  <c r="S58" i="12" a="1"/>
  <c r="S133" i="12" a="1"/>
  <c r="O98" i="11" a="1"/>
  <c r="N182" i="11" a="1"/>
  <c r="T146" i="11" a="1"/>
  <c r="R118" i="11" a="1"/>
  <c r="S14" i="12" a="1"/>
  <c r="S43" i="12" a="1"/>
  <c r="Q120" i="11" a="1"/>
  <c r="R149" i="11" a="1"/>
  <c r="S134" i="12" a="1"/>
  <c r="Q132" i="11" a="1"/>
  <c r="S67" i="12" a="1"/>
  <c r="S125" i="12" a="1"/>
  <c r="S123" i="12" a="1"/>
  <c r="O88" i="12" a="1"/>
  <c r="S107" i="11" a="1"/>
  <c r="T75" i="11" a="1"/>
  <c r="S77" i="12" a="1"/>
  <c r="S75" i="12" a="1"/>
  <c r="S129" i="12" a="1"/>
  <c r="T124" i="11" a="1"/>
  <c r="S24" i="12" a="1"/>
  <c r="T16" i="11" a="1"/>
  <c r="T68" i="11" a="1"/>
  <c r="S33" i="12" a="1"/>
  <c r="S40" i="12" a="1"/>
  <c r="S47" i="12" a="1"/>
  <c r="S72" i="12" a="1"/>
  <c r="S114" i="12" a="1"/>
  <c r="P88" i="11" a="1"/>
  <c r="L182" i="12" a="1"/>
  <c r="T69" i="11" a="1"/>
  <c r="S48" i="12" a="1"/>
  <c r="S35" i="12" a="1"/>
  <c r="S53" i="12" a="1"/>
  <c r="T115" i="11" a="1"/>
  <c r="T136" i="11" a="1"/>
  <c r="T57" i="11" a="1"/>
  <c r="R140" i="11" a="1"/>
  <c r="S11" i="12" a="1"/>
  <c r="T8" i="11" a="1"/>
  <c r="S28" i="12" a="1"/>
  <c r="S17" i="12" a="1"/>
  <c r="S69" i="12" a="1"/>
  <c r="S54" i="12" a="1"/>
  <c r="S127" i="12" a="1"/>
  <c r="T24" i="11" a="1"/>
  <c r="S50" i="12" a="1"/>
  <c r="S16" i="12" a="1"/>
  <c r="S76" i="12" a="1"/>
  <c r="T76" i="11" a="1"/>
  <c r="T47" i="11" a="1"/>
  <c r="T4" i="11" a="1"/>
  <c r="Q149" i="12" a="1"/>
  <c r="T12" i="11" a="1"/>
  <c r="S45" i="12" a="1"/>
  <c r="T45" i="11" a="1"/>
  <c r="T48" i="11" a="1"/>
  <c r="S56" i="12" a="1"/>
  <c r="S41" i="12" a="1"/>
  <c r="Q132" i="11" l="1"/>
  <c r="Q21" i="11"/>
  <c r="Q86" i="11"/>
  <c r="Q87" i="11" s="1"/>
  <c r="Q97" i="11" s="1"/>
  <c r="Q131" i="12"/>
  <c r="Q141" i="12" s="1"/>
  <c r="P21" i="12"/>
  <c r="P86" i="12"/>
  <c r="P87" i="12" s="1"/>
  <c r="P97" i="12" s="1"/>
  <c r="AB73" i="10"/>
  <c r="AB81" i="10"/>
  <c r="AB82" i="10" s="1"/>
  <c r="S39" i="11"/>
  <c r="Q85" i="11"/>
  <c r="S51" i="11"/>
  <c r="R131" i="11"/>
  <c r="R141" i="11" s="1"/>
  <c r="R150" i="11" s="1"/>
  <c r="Q63" i="11"/>
  <c r="Q62" i="12"/>
  <c r="P63" i="12"/>
  <c r="S130" i="11"/>
  <c r="Q19" i="12"/>
  <c r="Q20" i="12" s="1"/>
  <c r="P85" i="12"/>
  <c r="R31" i="11"/>
  <c r="R163" i="11"/>
  <c r="S126" i="11"/>
  <c r="R62" i="11"/>
  <c r="S46" i="11"/>
  <c r="R126" i="12"/>
  <c r="R42" i="12"/>
  <c r="R29" i="12"/>
  <c r="R30" i="12" s="1"/>
  <c r="S18" i="11"/>
  <c r="S71" i="11"/>
  <c r="S74" i="11" s="1"/>
  <c r="R84" i="11"/>
  <c r="R130" i="12"/>
  <c r="Q163" i="12"/>
  <c r="T10" i="11"/>
  <c r="S10" i="12"/>
  <c r="T8" i="11"/>
  <c r="T47" i="11"/>
  <c r="T136" i="11"/>
  <c r="S24" i="12"/>
  <c r="S40" i="12"/>
  <c r="S70" i="12"/>
  <c r="S115" i="12"/>
  <c r="S168" i="12" s="1"/>
  <c r="S146" i="12"/>
  <c r="P120" i="12"/>
  <c r="T67" i="11"/>
  <c r="S52" i="12"/>
  <c r="T72" i="11"/>
  <c r="S58" i="12"/>
  <c r="T48" i="11"/>
  <c r="S34" i="12"/>
  <c r="S147" i="12"/>
  <c r="T49" i="11"/>
  <c r="T76" i="11"/>
  <c r="T115" i="11"/>
  <c r="T168" i="11" s="1"/>
  <c r="T124" i="11"/>
  <c r="S36" i="12"/>
  <c r="S37" i="12"/>
  <c r="S57" i="12"/>
  <c r="S80" i="12"/>
  <c r="Q180" i="11"/>
  <c r="R112" i="11"/>
  <c r="T127" i="11"/>
  <c r="M165" i="12"/>
  <c r="S79" i="12"/>
  <c r="T58" i="11"/>
  <c r="T135" i="11"/>
  <c r="T174" i="11" s="1"/>
  <c r="S12" i="12"/>
  <c r="S41" i="12"/>
  <c r="S76" i="12"/>
  <c r="S53" i="12"/>
  <c r="S129" i="12"/>
  <c r="S162" i="12" s="1"/>
  <c r="S145" i="12"/>
  <c r="Q120" i="11"/>
  <c r="T73" i="11"/>
  <c r="S136" i="12"/>
  <c r="S144" i="12"/>
  <c r="T27" i="11"/>
  <c r="T26" i="11"/>
  <c r="R171" i="11"/>
  <c r="T12" i="11"/>
  <c r="T45" i="11"/>
  <c r="T123" i="11"/>
  <c r="P142" i="12"/>
  <c r="S11" i="12"/>
  <c r="S16" i="12"/>
  <c r="S35" i="12"/>
  <c r="S75" i="12"/>
  <c r="S134" i="12"/>
  <c r="S135" i="12"/>
  <c r="S174" i="12" s="1"/>
  <c r="Q140" i="12"/>
  <c r="T80" i="11"/>
  <c r="P180" i="12"/>
  <c r="T33" i="11"/>
  <c r="T43" i="11"/>
  <c r="T54" i="11"/>
  <c r="S33" i="12"/>
  <c r="S45" i="12"/>
  <c r="S78" i="12"/>
  <c r="Q142" i="11"/>
  <c r="T66" i="11"/>
  <c r="S50" i="12"/>
  <c r="S48" i="12"/>
  <c r="S77" i="12"/>
  <c r="S82" i="12"/>
  <c r="S43" i="12"/>
  <c r="T14" i="11"/>
  <c r="T116" i="11"/>
  <c r="T169" i="11" s="1"/>
  <c r="T41" i="11"/>
  <c r="T65" i="11"/>
  <c r="T104" i="11"/>
  <c r="T105" i="11" s="1"/>
  <c r="T106" i="11" s="1"/>
  <c r="T133" i="11"/>
  <c r="S9" i="12"/>
  <c r="S59" i="12"/>
  <c r="S65" i="12"/>
  <c r="S104" i="12"/>
  <c r="S105" i="12" s="1"/>
  <c r="S106" i="12" s="1"/>
  <c r="S124" i="12"/>
  <c r="T24" i="11"/>
  <c r="T69" i="11"/>
  <c r="T75" i="11"/>
  <c r="T110" i="11"/>
  <c r="T167" i="11" s="1"/>
  <c r="S14" i="12"/>
  <c r="S49" i="12"/>
  <c r="S68" i="12"/>
  <c r="R140" i="11"/>
  <c r="R6" i="12"/>
  <c r="T56" i="11"/>
  <c r="S66" i="12"/>
  <c r="Q149" i="12"/>
  <c r="T40" i="11"/>
  <c r="S4" i="12"/>
  <c r="S5" i="12" s="1"/>
  <c r="T114" i="11"/>
  <c r="T37" i="11"/>
  <c r="S127" i="12"/>
  <c r="L182" i="12"/>
  <c r="S107" i="11"/>
  <c r="T38" i="11"/>
  <c r="R118" i="11"/>
  <c r="T28" i="11"/>
  <c r="T145" i="11"/>
  <c r="T50" i="11"/>
  <c r="S60" i="12"/>
  <c r="T35" i="11"/>
  <c r="T34" i="11"/>
  <c r="T68" i="11"/>
  <c r="T82" i="11"/>
  <c r="T125" i="11"/>
  <c r="T160" i="11" s="1"/>
  <c r="S26" i="12"/>
  <c r="S44" i="12"/>
  <c r="S54" i="12"/>
  <c r="P88" i="11"/>
  <c r="O88" i="12"/>
  <c r="Q112" i="12"/>
  <c r="T146" i="11"/>
  <c r="S109" i="12"/>
  <c r="S25" i="12"/>
  <c r="T36" i="11"/>
  <c r="T55" i="11"/>
  <c r="T25" i="11"/>
  <c r="T77" i="11"/>
  <c r="S73" i="12"/>
  <c r="T70" i="11"/>
  <c r="T109" i="11"/>
  <c r="S27" i="12"/>
  <c r="S56" i="12"/>
  <c r="S69" i="12"/>
  <c r="S114" i="12"/>
  <c r="S123" i="12"/>
  <c r="Q118" i="12"/>
  <c r="N182" i="11"/>
  <c r="T129" i="11"/>
  <c r="T162" i="11" s="1"/>
  <c r="T147" i="11"/>
  <c r="T57" i="11"/>
  <c r="T144" i="11"/>
  <c r="S38" i="12"/>
  <c r="T52" i="11"/>
  <c r="T4" i="11"/>
  <c r="T5" i="11" s="1"/>
  <c r="T9" i="11"/>
  <c r="T44" i="11"/>
  <c r="T59" i="11"/>
  <c r="T78" i="11"/>
  <c r="S17" i="12"/>
  <c r="S72" i="12"/>
  <c r="S125" i="12"/>
  <c r="S160" i="12" s="1"/>
  <c r="S6" i="11"/>
  <c r="O98" i="11"/>
  <c r="T134" i="11"/>
  <c r="S116" i="12"/>
  <c r="S169" i="12" s="1"/>
  <c r="R149" i="11"/>
  <c r="T17" i="11"/>
  <c r="S55" i="12"/>
  <c r="T11" i="11"/>
  <c r="T16" i="11"/>
  <c r="T53" i="11"/>
  <c r="T60" i="11"/>
  <c r="T79" i="11"/>
  <c r="S8" i="12"/>
  <c r="S28" i="12"/>
  <c r="S47" i="12"/>
  <c r="S67" i="12"/>
  <c r="S110" i="12"/>
  <c r="S167" i="12" s="1"/>
  <c r="S133" i="12"/>
  <c r="N98" i="12"/>
  <c r="Q31" i="12"/>
  <c r="Q171" i="12"/>
  <c r="R107" i="12"/>
  <c r="R7" i="13"/>
  <c r="R8" i="13" s="1"/>
  <c r="R159" i="12"/>
  <c r="R111" i="12"/>
  <c r="AD70" i="9"/>
  <c r="AB89" i="10"/>
  <c r="AB90" i="10" s="1"/>
  <c r="AD60" i="10"/>
  <c r="AD59" i="10"/>
  <c r="AD58" i="10"/>
  <c r="AD55" i="10"/>
  <c r="AD34" i="10"/>
  <c r="AD12" i="10"/>
  <c r="AD7" i="10"/>
  <c r="AD69" i="10" s="1"/>
  <c r="AD17" i="10"/>
  <c r="AD22" i="10"/>
  <c r="AD33" i="10"/>
  <c r="AD11" i="10"/>
  <c r="AD16" i="10"/>
  <c r="AD21" i="10"/>
  <c r="AD5" i="10"/>
  <c r="AD56" i="10"/>
  <c r="AD10" i="10"/>
  <c r="AD53" i="10"/>
  <c r="AD15" i="10"/>
  <c r="AD20" i="10"/>
  <c r="AD9" i="10"/>
  <c r="AD4" i="10"/>
  <c r="AD54" i="10"/>
  <c r="AD14" i="10"/>
  <c r="AD19" i="10"/>
  <c r="AD61" i="10"/>
  <c r="AD57" i="10"/>
  <c r="AD8" i="10"/>
  <c r="AE1" i="10"/>
  <c r="AD18" i="10"/>
  <c r="AD23" i="10"/>
  <c r="AD42" i="10"/>
  <c r="AD13" i="10"/>
  <c r="AD40" i="10"/>
  <c r="AD71" i="10" s="1"/>
  <c r="AD43" i="10"/>
  <c r="AD41" i="10"/>
  <c r="R175" i="12"/>
  <c r="R178" i="12"/>
  <c r="R81" i="12"/>
  <c r="R83" i="12" s="1"/>
  <c r="S159" i="11"/>
  <c r="S111" i="11"/>
  <c r="S29" i="11"/>
  <c r="S30" i="11" s="1"/>
  <c r="T1" i="15"/>
  <c r="AC81" i="9"/>
  <c r="AC82" i="9" s="1"/>
  <c r="T1" i="7"/>
  <c r="S52" i="7" s="1"/>
  <c r="S53" i="7" s="1"/>
  <c r="AC73" i="9"/>
  <c r="AC74" i="9" s="1"/>
  <c r="R40" i="6"/>
  <c r="R39" i="6" s="1"/>
  <c r="R18" i="7"/>
  <c r="R19" i="7" s="1"/>
  <c r="AU4" i="6"/>
  <c r="AV5" i="6"/>
  <c r="S158" i="11"/>
  <c r="S117" i="11"/>
  <c r="R9" i="3" a="1"/>
  <c r="R9" i="3" s="1"/>
  <c r="S1" i="3"/>
  <c r="M181" i="12"/>
  <c r="AB74" i="10"/>
  <c r="R52" i="6"/>
  <c r="R53" i="6" s="1"/>
  <c r="BI47" i="7"/>
  <c r="R33" i="7"/>
  <c r="S6" i="13"/>
  <c r="S26" i="13"/>
  <c r="T1" i="13"/>
  <c r="R18" i="12"/>
  <c r="S173" i="11"/>
  <c r="S139" i="11"/>
  <c r="R170" i="12"/>
  <c r="AD69" i="9"/>
  <c r="AC70" i="10"/>
  <c r="P150" i="12"/>
  <c r="R55" i="6"/>
  <c r="R65" i="7"/>
  <c r="R19" i="11"/>
  <c r="R20" i="11" s="1"/>
  <c r="V1" i="11"/>
  <c r="BI38" i="7"/>
  <c r="BK38" i="7" s="1"/>
  <c r="U1" i="12"/>
  <c r="BC47" i="6"/>
  <c r="BJ53" i="7"/>
  <c r="Q150" i="11"/>
  <c r="R18" i="6"/>
  <c r="R19" i="6" s="1"/>
  <c r="R9" i="7"/>
  <c r="Q179" i="12"/>
  <c r="S61" i="11"/>
  <c r="R33" i="6"/>
  <c r="R21" i="7"/>
  <c r="R20" i="7" s="1"/>
  <c r="BH44" i="7"/>
  <c r="BI44" i="7" s="1"/>
  <c r="BJ46" i="7"/>
  <c r="BE46" i="6"/>
  <c r="BQ38" i="6"/>
  <c r="R51" i="12"/>
  <c r="R173" i="12"/>
  <c r="R139" i="12"/>
  <c r="S31" i="6"/>
  <c r="S21" i="6"/>
  <c r="S20" i="6" s="1"/>
  <c r="S7" i="6"/>
  <c r="S18" i="6"/>
  <c r="S19" i="6" s="1"/>
  <c r="S9" i="6"/>
  <c r="S40" i="6"/>
  <c r="T1" i="6"/>
  <c r="S55" i="6"/>
  <c r="S37" i="6"/>
  <c r="S38" i="6" s="1"/>
  <c r="S65" i="6"/>
  <c r="R31" i="7"/>
  <c r="R158" i="12"/>
  <c r="R117" i="12"/>
  <c r="S42" i="11"/>
  <c r="R46" i="12"/>
  <c r="AC65" i="10"/>
  <c r="AC68" i="10"/>
  <c r="AC86" i="10"/>
  <c r="AC85" i="10"/>
  <c r="AC88" i="10"/>
  <c r="AC84" i="10"/>
  <c r="AC87" i="10"/>
  <c r="AC69" i="10"/>
  <c r="BJ53" i="6"/>
  <c r="BL53" i="6" s="1"/>
  <c r="R65" i="6"/>
  <c r="R7" i="7"/>
  <c r="AW5" i="7"/>
  <c r="AV4" i="7"/>
  <c r="BD47" i="6"/>
  <c r="R39" i="12"/>
  <c r="S13" i="11"/>
  <c r="S15" i="11" s="1"/>
  <c r="R61" i="12"/>
  <c r="AC89" i="9"/>
  <c r="AC90" i="9" s="1"/>
  <c r="L27" i="13"/>
  <c r="L28" i="13" s="1"/>
  <c r="R52" i="7"/>
  <c r="R53" i="7" s="1"/>
  <c r="R179" i="11"/>
  <c r="S81" i="11"/>
  <c r="S83" i="11" s="1"/>
  <c r="R13" i="12"/>
  <c r="R15" i="12" s="1"/>
  <c r="S148" i="11"/>
  <c r="R119" i="11"/>
  <c r="AD71" i="9"/>
  <c r="P97" i="11"/>
  <c r="Q67" i="6"/>
  <c r="Q8" i="6"/>
  <c r="R7" i="6"/>
  <c r="O97" i="12"/>
  <c r="R37" i="7"/>
  <c r="R38" i="7" s="1"/>
  <c r="BC44" i="6"/>
  <c r="Q84" i="12"/>
  <c r="BB44" i="6"/>
  <c r="R148" i="12"/>
  <c r="R5" i="5" a="1"/>
  <c r="R5" i="5" s="1"/>
  <c r="S1" i="5"/>
  <c r="R15" i="5" a="1"/>
  <c r="R15" i="5" s="1"/>
  <c r="AD65" i="9"/>
  <c r="AD68" i="9"/>
  <c r="AD87" i="9"/>
  <c r="AD85" i="9"/>
  <c r="AD88" i="9"/>
  <c r="AD86" i="9"/>
  <c r="AD84" i="9"/>
  <c r="Q119" i="12"/>
  <c r="BI19" i="6"/>
  <c r="R21" i="6"/>
  <c r="R55" i="7"/>
  <c r="R54" i="7" s="1"/>
  <c r="BJ38" i="7"/>
  <c r="Q32" i="6"/>
  <c r="S178" i="11"/>
  <c r="S175" i="11"/>
  <c r="R71" i="12"/>
  <c r="R74" i="12" s="1"/>
  <c r="AD72" i="9"/>
  <c r="AC72" i="10"/>
  <c r="AC71" i="10"/>
  <c r="R31" i="6"/>
  <c r="R40" i="7"/>
  <c r="R39" i="7" s="1"/>
  <c r="R25" i="13"/>
  <c r="R11" i="13"/>
  <c r="R5" i="13"/>
  <c r="R9" i="13" s="1"/>
  <c r="S4" i="13" s="1"/>
  <c r="S2" i="13"/>
  <c r="BN19" i="7"/>
  <c r="BO19" i="7" s="1"/>
  <c r="S170" i="11"/>
  <c r="O156" i="11"/>
  <c r="O164" i="11" s="1"/>
  <c r="AW66" i="11"/>
  <c r="AE43" i="9"/>
  <c r="AE9" i="9"/>
  <c r="AE59" i="9"/>
  <c r="AE19" i="9"/>
  <c r="AE58" i="9"/>
  <c r="AE42" i="9"/>
  <c r="AE8" i="9"/>
  <c r="AE13" i="9"/>
  <c r="AE57" i="9"/>
  <c r="AE36" i="9"/>
  <c r="AE41" i="9"/>
  <c r="AE7" i="9"/>
  <c r="AE56" i="9"/>
  <c r="AE12" i="9"/>
  <c r="AE62" i="9"/>
  <c r="AE17" i="9"/>
  <c r="AE55" i="9"/>
  <c r="AE40" i="9"/>
  <c r="AE71" i="9" s="1"/>
  <c r="AE35" i="9"/>
  <c r="AE11" i="9"/>
  <c r="AE5" i="9"/>
  <c r="AE34" i="9"/>
  <c r="AE33" i="9"/>
  <c r="AE60" i="9"/>
  <c r="AE44" i="9"/>
  <c r="AE20" i="9"/>
  <c r="AE61" i="9"/>
  <c r="AE37" i="9"/>
  <c r="AE18" i="9"/>
  <c r="AE16" i="9"/>
  <c r="AE14" i="9"/>
  <c r="AE10" i="9"/>
  <c r="AE48" i="9"/>
  <c r="AF1" i="9"/>
  <c r="AE15" i="9"/>
  <c r="AE53" i="9"/>
  <c r="AE54" i="9"/>
  <c r="AE38" i="9"/>
  <c r="AE4" i="9"/>
  <c r="AE49" i="9"/>
  <c r="AE45" i="9"/>
  <c r="AE21" i="9"/>
  <c r="AE63" i="9"/>
  <c r="AE64" i="9"/>
  <c r="AE46" i="9"/>
  <c r="AE22" i="9"/>
  <c r="AE50" i="9"/>
  <c r="AE47" i="9"/>
  <c r="AE23" i="9"/>
  <c r="AE51" i="9"/>
  <c r="AE24" i="9"/>
  <c r="AE25" i="9"/>
  <c r="AE26" i="9"/>
  <c r="AE27" i="9"/>
  <c r="AE28" i="9"/>
  <c r="AE29" i="9"/>
  <c r="AE30" i="9"/>
  <c r="AE31" i="9"/>
  <c r="N156" i="12"/>
  <c r="N164" i="12" s="1"/>
  <c r="BK53" i="6"/>
  <c r="T52" i="12" a="1"/>
  <c r="S140" i="11" a="1"/>
  <c r="T70" i="12" a="1"/>
  <c r="U110" i="11" a="1"/>
  <c r="T14" i="12" a="1"/>
  <c r="T75" i="12" a="1"/>
  <c r="U55" i="11" a="1"/>
  <c r="R180" i="11" a="1"/>
  <c r="T47" i="12" a="1"/>
  <c r="T77" i="12" a="1"/>
  <c r="U16" i="11" a="1"/>
  <c r="U58" i="11" a="1"/>
  <c r="T65" i="12" a="1"/>
  <c r="U28" i="11" a="1"/>
  <c r="R120" i="11" a="1"/>
  <c r="R151" i="11" a="1"/>
  <c r="Q63" i="12" a="1"/>
  <c r="U36" i="11" a="1"/>
  <c r="U48" i="11" a="1"/>
  <c r="U17" i="11" a="1"/>
  <c r="T79" i="12" a="1"/>
  <c r="U45" i="11" a="1"/>
  <c r="T6" i="11" a="1"/>
  <c r="U147" i="11" a="1"/>
  <c r="U35" i="11" a="1"/>
  <c r="U68" i="11" a="1"/>
  <c r="N165" i="12" a="1"/>
  <c r="T28" i="12" a="1"/>
  <c r="T109" i="12" a="1"/>
  <c r="T115" i="12" a="1"/>
  <c r="U80" i="11" a="1"/>
  <c r="U34" i="11" a="1"/>
  <c r="T147" i="12" a="1"/>
  <c r="Q21" i="12" a="1"/>
  <c r="U33" i="11" a="1"/>
  <c r="T123" i="12" a="1"/>
  <c r="T127" i="12" a="1"/>
  <c r="T58" i="12" a="1"/>
  <c r="T124" i="12" a="1"/>
  <c r="M182" i="12" a="1"/>
  <c r="U129" i="11" a="1"/>
  <c r="T72" i="12" a="1"/>
  <c r="T146" i="12" a="1"/>
  <c r="S118" i="11" a="1"/>
  <c r="T16" i="12" a="1"/>
  <c r="U60" i="11" a="1"/>
  <c r="R132" i="11" a="1"/>
  <c r="U65" i="11" a="1"/>
  <c r="U79" i="11" a="1"/>
  <c r="U50" i="11" a="1"/>
  <c r="T116" i="12" a="1"/>
  <c r="U49" i="11" a="1"/>
  <c r="T26" i="12" a="1"/>
  <c r="S112" i="11" a="1"/>
  <c r="Q142" i="12" a="1"/>
  <c r="R149" i="12" a="1"/>
  <c r="Q85" i="12" a="1"/>
  <c r="T68" i="12" a="1"/>
  <c r="U75" i="11" a="1"/>
  <c r="U77" i="11" a="1"/>
  <c r="T104" i="12" a="1"/>
  <c r="Q98" i="11" a="1"/>
  <c r="U52" i="11" a="1"/>
  <c r="R85" i="11" a="1"/>
  <c r="T59" i="12" a="1"/>
  <c r="Q180" i="12" a="1"/>
  <c r="T69" i="12" a="1"/>
  <c r="U67" i="11" a="1"/>
  <c r="T43" i="12" a="1"/>
  <c r="U115" i="11" a="1"/>
  <c r="U10" i="11" a="1"/>
  <c r="S31" i="11" a="1"/>
  <c r="U135" i="11" a="1"/>
  <c r="T34" i="12" a="1"/>
  <c r="T56" i="12" a="1"/>
  <c r="U134" i="11" a="1"/>
  <c r="U123" i="11" a="1"/>
  <c r="U109" i="11" a="1"/>
  <c r="S149" i="11" a="1"/>
  <c r="U37" i="11" a="1"/>
  <c r="U82" i="11" a="1"/>
  <c r="P98" i="11" a="1"/>
  <c r="R140" i="12" a="1"/>
  <c r="T36" i="12" a="1"/>
  <c r="U47" i="11" a="1"/>
  <c r="T9" i="12" a="1"/>
  <c r="U44" i="11" a="1"/>
  <c r="T82" i="12" a="1"/>
  <c r="U127" i="11" a="1"/>
  <c r="U136" i="11" a="1"/>
  <c r="T8" i="12" a="1"/>
  <c r="T27" i="12" a="1"/>
  <c r="T45" i="12" a="1"/>
  <c r="R31" i="12" a="1"/>
  <c r="T66" i="12" a="1"/>
  <c r="T38" i="12" a="1"/>
  <c r="T55" i="12" a="1"/>
  <c r="R112" i="12" a="1"/>
  <c r="T60" i="12" a="1"/>
  <c r="U133" i="11" a="1"/>
  <c r="U66" i="11" a="1"/>
  <c r="T135" i="12" a="1"/>
  <c r="T54" i="12" a="1"/>
  <c r="U40" i="11" a="1"/>
  <c r="U57" i="11" a="1"/>
  <c r="T67" i="12" a="1"/>
  <c r="T33" i="12" a="1"/>
  <c r="T144" i="12" a="1"/>
  <c r="T40" i="12" a="1"/>
  <c r="T80" i="12" a="1"/>
  <c r="U24" i="11" a="1"/>
  <c r="U78" i="11" a="1"/>
  <c r="U145" i="11" a="1"/>
  <c r="T4" i="12" a="1"/>
  <c r="T76" i="12" a="1"/>
  <c r="U53" i="11" a="1"/>
  <c r="T50" i="12" a="1"/>
  <c r="T17" i="12" a="1"/>
  <c r="T133" i="12" a="1"/>
  <c r="U72" i="11" a="1"/>
  <c r="U144" i="11" a="1"/>
  <c r="R63" i="11" a="1"/>
  <c r="T48" i="12" a="1"/>
  <c r="U26" i="11" a="1"/>
  <c r="U27" i="11" a="1"/>
  <c r="T78" i="12" a="1"/>
  <c r="U114" i="11" a="1"/>
  <c r="T136" i="12" a="1"/>
  <c r="T35" i="12" a="1"/>
  <c r="T110" i="12" a="1"/>
  <c r="T107" i="11" a="1"/>
  <c r="T57" i="12" a="1"/>
  <c r="U8" i="11" a="1"/>
  <c r="T25" i="12" a="1"/>
  <c r="Q151" i="11" a="1"/>
  <c r="T134" i="12" a="1"/>
  <c r="U11" i="11" a="1"/>
  <c r="U59" i="11" a="1"/>
  <c r="R142" i="11" a="1"/>
  <c r="T125" i="12" a="1"/>
  <c r="U54" i="11" a="1"/>
  <c r="P98" i="12" a="1"/>
  <c r="S171" i="11" a="1"/>
  <c r="U41" i="11" a="1"/>
  <c r="T145" i="12" a="1"/>
  <c r="U76" i="11" a="1"/>
  <c r="T73" i="12" a="1"/>
  <c r="T24" i="12" a="1"/>
  <c r="U12" i="11" a="1"/>
  <c r="U70" i="11" a="1"/>
  <c r="U124" i="11" a="1"/>
  <c r="P88" i="12" a="1"/>
  <c r="U104" i="11" a="1"/>
  <c r="U43" i="11" a="1"/>
  <c r="P151" i="12" a="1"/>
  <c r="U69" i="11" a="1"/>
  <c r="Q88" i="11" a="1"/>
  <c r="T49" i="12" a="1"/>
  <c r="R21" i="11" a="1"/>
  <c r="R171" i="12" a="1"/>
  <c r="U73" i="11" a="1"/>
  <c r="O98" i="12" a="1"/>
  <c r="T37" i="12" a="1"/>
  <c r="S107" i="12" a="1"/>
  <c r="O165" i="11" a="1"/>
  <c r="T41" i="12" a="1"/>
  <c r="T44" i="12" a="1"/>
  <c r="U4" i="11" a="1"/>
  <c r="T114" i="12" a="1"/>
  <c r="U25" i="11" a="1"/>
  <c r="T53" i="12" a="1"/>
  <c r="U9" i="11" a="1"/>
  <c r="U56" i="11" a="1"/>
  <c r="Q132" i="12" a="1"/>
  <c r="U146" i="11" a="1"/>
  <c r="U116" i="11" a="1"/>
  <c r="U125" i="11" a="1"/>
  <c r="U38" i="11" a="1"/>
  <c r="Q120" i="12" a="1"/>
  <c r="T11" i="12" a="1"/>
  <c r="S6" i="12" a="1"/>
  <c r="R118" i="12" a="1"/>
  <c r="T10" i="12" a="1"/>
  <c r="T12" i="12" a="1"/>
  <c r="T129" i="12" a="1"/>
  <c r="U14" i="11" a="1"/>
  <c r="AD89" i="9" l="1"/>
  <c r="AD90" i="9" s="1"/>
  <c r="Q88" i="11"/>
  <c r="S19" i="11"/>
  <c r="S20" i="11" s="1"/>
  <c r="Q132" i="12"/>
  <c r="AD73" i="9"/>
  <c r="AD74" i="9" s="1"/>
  <c r="P88" i="12"/>
  <c r="AC81" i="10"/>
  <c r="AC82" i="10" s="1"/>
  <c r="R131" i="12"/>
  <c r="R141" i="12" s="1"/>
  <c r="R150" i="12" s="1"/>
  <c r="R132" i="11"/>
  <c r="S131" i="11"/>
  <c r="S141" i="11" s="1"/>
  <c r="S150" i="11" s="1"/>
  <c r="Q63" i="12"/>
  <c r="S42" i="12"/>
  <c r="R86" i="11"/>
  <c r="R87" i="11" s="1"/>
  <c r="S51" i="12"/>
  <c r="S130" i="12"/>
  <c r="R62" i="12"/>
  <c r="Q21" i="12"/>
  <c r="R63" i="11"/>
  <c r="R163" i="12"/>
  <c r="T148" i="11"/>
  <c r="T170" i="11"/>
  <c r="R85" i="11"/>
  <c r="R31" i="12"/>
  <c r="T29" i="11"/>
  <c r="T30" i="11" s="1"/>
  <c r="S46" i="12"/>
  <c r="S39" i="12"/>
  <c r="R84" i="12"/>
  <c r="S84" i="11"/>
  <c r="T39" i="11"/>
  <c r="R179" i="12"/>
  <c r="T13" i="11"/>
  <c r="T15" i="11" s="1"/>
  <c r="S62" i="11"/>
  <c r="T18" i="11"/>
  <c r="T42" i="11"/>
  <c r="T51" i="11"/>
  <c r="T27" i="12"/>
  <c r="T56" i="12"/>
  <c r="U57" i="11"/>
  <c r="U114" i="11"/>
  <c r="T16" i="12"/>
  <c r="T28" i="12"/>
  <c r="T68" i="12"/>
  <c r="T80" i="12"/>
  <c r="T129" i="12"/>
  <c r="T162" i="12" s="1"/>
  <c r="U4" i="11"/>
  <c r="U5" i="11" s="1"/>
  <c r="U16" i="11"/>
  <c r="U37" i="11"/>
  <c r="U59" i="11"/>
  <c r="U144" i="11"/>
  <c r="U124" i="11"/>
  <c r="T125" i="12"/>
  <c r="T160" i="12" s="1"/>
  <c r="T8" i="12"/>
  <c r="T34" i="12"/>
  <c r="U40" i="11"/>
  <c r="U52" i="11"/>
  <c r="S118" i="11"/>
  <c r="N165" i="12"/>
  <c r="Q85" i="12"/>
  <c r="T45" i="12"/>
  <c r="T12" i="12"/>
  <c r="T44" i="12"/>
  <c r="T77" i="12"/>
  <c r="T147" i="12"/>
  <c r="U11" i="11"/>
  <c r="U72" i="11"/>
  <c r="U70" i="11"/>
  <c r="U60" i="11"/>
  <c r="U136" i="11"/>
  <c r="U135" i="11"/>
  <c r="U174" i="11" s="1"/>
  <c r="T54" i="12"/>
  <c r="U56" i="11"/>
  <c r="T146" i="12"/>
  <c r="U68" i="11"/>
  <c r="R149" i="12"/>
  <c r="R151" i="11"/>
  <c r="T10" i="12"/>
  <c r="T41" i="12"/>
  <c r="T47" i="12"/>
  <c r="T78" i="12"/>
  <c r="T134" i="12"/>
  <c r="T133" i="12"/>
  <c r="U12" i="11"/>
  <c r="U14" i="11"/>
  <c r="U127" i="11"/>
  <c r="S31" i="11"/>
  <c r="T135" i="12"/>
  <c r="T174" i="12" s="1"/>
  <c r="U69" i="11"/>
  <c r="T72" i="12"/>
  <c r="U35" i="11"/>
  <c r="Q142" i="12"/>
  <c r="S149" i="11"/>
  <c r="R118" i="12"/>
  <c r="O165" i="11"/>
  <c r="R180" i="11"/>
  <c r="R142" i="11"/>
  <c r="Q151" i="11"/>
  <c r="T17" i="12"/>
  <c r="T24" i="12"/>
  <c r="T40" i="12"/>
  <c r="T82" i="12"/>
  <c r="U10" i="11"/>
  <c r="U66" i="11"/>
  <c r="U34" i="11"/>
  <c r="U129" i="11"/>
  <c r="U162" i="11" s="1"/>
  <c r="U147" i="11"/>
  <c r="S112" i="11"/>
  <c r="Q98" i="11"/>
  <c r="S6" i="12"/>
  <c r="S107" i="12"/>
  <c r="U55" i="11"/>
  <c r="R120" i="11"/>
  <c r="T25" i="12"/>
  <c r="T50" i="12"/>
  <c r="T73" i="12"/>
  <c r="U9" i="11"/>
  <c r="U44" i="11"/>
  <c r="U115" i="11"/>
  <c r="U168" i="11" s="1"/>
  <c r="U133" i="11"/>
  <c r="P151" i="12"/>
  <c r="M182" i="12"/>
  <c r="T6" i="11"/>
  <c r="T26" i="12"/>
  <c r="U27" i="11"/>
  <c r="T11" i="12"/>
  <c r="T37" i="12"/>
  <c r="T75" i="12"/>
  <c r="T144" i="12"/>
  <c r="U8" i="11"/>
  <c r="U53" i="11"/>
  <c r="U76" i="11"/>
  <c r="U109" i="11"/>
  <c r="T9" i="12"/>
  <c r="T43" i="12"/>
  <c r="T60" i="12"/>
  <c r="T104" i="12"/>
  <c r="T105" i="12" s="1"/>
  <c r="T106" i="12" s="1"/>
  <c r="T124" i="12"/>
  <c r="U45" i="11"/>
  <c r="U49" i="11"/>
  <c r="U80" i="11"/>
  <c r="Q120" i="12"/>
  <c r="O98" i="12"/>
  <c r="T14" i="12"/>
  <c r="T53" i="12"/>
  <c r="T57" i="12"/>
  <c r="T76" i="12"/>
  <c r="T145" i="12"/>
  <c r="U28" i="11"/>
  <c r="U47" i="11"/>
  <c r="U67" i="11"/>
  <c r="R112" i="12"/>
  <c r="U26" i="11"/>
  <c r="T58" i="12"/>
  <c r="T79" i="12"/>
  <c r="T116" i="12"/>
  <c r="T169" i="12" s="1"/>
  <c r="U43" i="11"/>
  <c r="U38" i="11"/>
  <c r="U73" i="11"/>
  <c r="U110" i="11"/>
  <c r="U167" i="11" s="1"/>
  <c r="U123" i="11"/>
  <c r="T107" i="11"/>
  <c r="T4" i="12"/>
  <c r="T5" i="12" s="1"/>
  <c r="U41" i="11"/>
  <c r="T33" i="12"/>
  <c r="T36" i="12"/>
  <c r="T69" i="12"/>
  <c r="T55" i="12"/>
  <c r="T115" i="12"/>
  <c r="T168" i="12" s="1"/>
  <c r="T127" i="12"/>
  <c r="U17" i="11"/>
  <c r="U50" i="11"/>
  <c r="U77" i="11"/>
  <c r="U125" i="11"/>
  <c r="U160" i="11" s="1"/>
  <c r="R171" i="12"/>
  <c r="T70" i="12"/>
  <c r="U25" i="11"/>
  <c r="T110" i="12"/>
  <c r="T167" i="12" s="1"/>
  <c r="U145" i="11"/>
  <c r="S171" i="11"/>
  <c r="T65" i="12"/>
  <c r="R140" i="12"/>
  <c r="Q180" i="12"/>
  <c r="T38" i="12"/>
  <c r="T48" i="12"/>
  <c r="T123" i="12"/>
  <c r="U48" i="11"/>
  <c r="U79" i="11"/>
  <c r="U104" i="11"/>
  <c r="U105" i="11" s="1"/>
  <c r="U106" i="11" s="1"/>
  <c r="U116" i="11"/>
  <c r="U169" i="11" s="1"/>
  <c r="R21" i="11"/>
  <c r="S140" i="11"/>
  <c r="U134" i="11"/>
  <c r="T35" i="12"/>
  <c r="U78" i="11"/>
  <c r="P98" i="12"/>
  <c r="T67" i="12"/>
  <c r="P98" i="11"/>
  <c r="T59" i="12"/>
  <c r="T66" i="12"/>
  <c r="T109" i="12"/>
  <c r="U33" i="11"/>
  <c r="U36" i="11"/>
  <c r="U65" i="11"/>
  <c r="U75" i="11"/>
  <c r="U146" i="11"/>
  <c r="T49" i="12"/>
  <c r="T52" i="12"/>
  <c r="T114" i="12"/>
  <c r="T136" i="12"/>
  <c r="U24" i="11"/>
  <c r="U54" i="11"/>
  <c r="U58" i="11"/>
  <c r="U82" i="11"/>
  <c r="BS38" i="6"/>
  <c r="S7" i="13"/>
  <c r="S8" i="13" s="1"/>
  <c r="W1" i="11"/>
  <c r="T6" i="13"/>
  <c r="T26" i="13"/>
  <c r="U1" i="13"/>
  <c r="R20" i="6"/>
  <c r="S68" i="6"/>
  <c r="BJ47" i="7"/>
  <c r="S163" i="11"/>
  <c r="S61" i="12"/>
  <c r="S119" i="11"/>
  <c r="T55" i="7"/>
  <c r="T37" i="7"/>
  <c r="T52" i="7"/>
  <c r="T21" i="7"/>
  <c r="T18" i="7"/>
  <c r="T19" i="7" s="1"/>
  <c r="T9" i="7"/>
  <c r="T68" i="7"/>
  <c r="U1" i="7"/>
  <c r="T31" i="7" s="1"/>
  <c r="T7" i="7"/>
  <c r="T40" i="7"/>
  <c r="U1" i="15"/>
  <c r="AD65" i="10"/>
  <c r="AD68" i="10"/>
  <c r="AD86" i="10"/>
  <c r="AD88" i="10"/>
  <c r="AD84" i="10"/>
  <c r="AD87" i="10"/>
  <c r="AD85" i="10"/>
  <c r="S81" i="12"/>
  <c r="S83" i="12" s="1"/>
  <c r="S173" i="12"/>
  <c r="S139" i="12"/>
  <c r="N181" i="12"/>
  <c r="AX66" i="11"/>
  <c r="Q86" i="12"/>
  <c r="Q87" i="12" s="1"/>
  <c r="U1" i="6"/>
  <c r="S65" i="7"/>
  <c r="S175" i="12"/>
  <c r="S178" i="12"/>
  <c r="R152" i="11"/>
  <c r="BD44" i="6"/>
  <c r="AC89" i="10"/>
  <c r="AC90" i="10" s="1"/>
  <c r="S39" i="6"/>
  <c r="R54" i="6"/>
  <c r="AW5" i="6"/>
  <c r="AV4" i="6"/>
  <c r="S68" i="7"/>
  <c r="T159" i="11"/>
  <c r="T111" i="11"/>
  <c r="T158" i="11"/>
  <c r="T117" i="11"/>
  <c r="S126" i="12"/>
  <c r="S18" i="12"/>
  <c r="T126" i="11"/>
  <c r="R119" i="12"/>
  <c r="O181" i="11"/>
  <c r="S33" i="6"/>
  <c r="S32" i="6" s="1"/>
  <c r="Q152" i="11"/>
  <c r="BJ44" i="7"/>
  <c r="BK44" i="7" s="1"/>
  <c r="S9" i="7"/>
  <c r="AD72" i="10"/>
  <c r="Q156" i="11"/>
  <c r="Q164" i="11" s="1"/>
  <c r="T178" i="11"/>
  <c r="T175" i="11"/>
  <c r="BE47" i="6"/>
  <c r="S8" i="6"/>
  <c r="R32" i="6"/>
  <c r="BK53" i="7"/>
  <c r="V1" i="12"/>
  <c r="P152" i="12"/>
  <c r="S18" i="7"/>
  <c r="S19" i="7" s="1"/>
  <c r="T71" i="11"/>
  <c r="T74" i="11" s="1"/>
  <c r="AF59" i="9"/>
  <c r="AF14" i="9"/>
  <c r="AF58" i="9"/>
  <c r="AF42" i="9"/>
  <c r="AF8" i="9"/>
  <c r="AF63" i="9"/>
  <c r="AF13" i="9"/>
  <c r="AF57" i="9"/>
  <c r="AF18" i="9"/>
  <c r="AF41" i="9"/>
  <c r="AF56" i="9"/>
  <c r="AF12" i="9"/>
  <c r="AF62" i="9"/>
  <c r="AF17" i="9"/>
  <c r="AF55" i="9"/>
  <c r="AF40" i="9"/>
  <c r="AF35" i="9"/>
  <c r="AF11" i="9"/>
  <c r="AF5" i="9"/>
  <c r="AF61" i="9"/>
  <c r="AF54" i="9"/>
  <c r="AF16" i="9"/>
  <c r="AF44" i="9"/>
  <c r="AF60" i="9"/>
  <c r="AF20" i="9"/>
  <c r="AF43" i="9"/>
  <c r="AF10" i="9"/>
  <c r="AF48" i="9"/>
  <c r="AG1" i="9"/>
  <c r="AF15" i="9"/>
  <c r="AF53" i="9"/>
  <c r="AF19" i="9"/>
  <c r="AF9" i="9"/>
  <c r="AF34" i="9"/>
  <c r="AF7" i="9"/>
  <c r="AF4" i="9"/>
  <c r="AF33" i="9"/>
  <c r="AF36" i="9"/>
  <c r="AF37" i="9"/>
  <c r="AF21" i="9"/>
  <c r="AF64" i="9"/>
  <c r="AF38" i="9"/>
  <c r="AF45" i="9"/>
  <c r="AF49" i="9"/>
  <c r="AF46" i="9"/>
  <c r="AF22" i="9"/>
  <c r="AF50" i="9"/>
  <c r="AF47" i="9"/>
  <c r="AF23" i="9"/>
  <c r="AF51" i="9"/>
  <c r="AF24" i="9"/>
  <c r="AF25" i="9"/>
  <c r="AF26" i="9"/>
  <c r="AF27" i="9"/>
  <c r="AF28" i="9"/>
  <c r="AF29" i="9"/>
  <c r="AF30" i="9"/>
  <c r="AF31" i="9"/>
  <c r="R64" i="6"/>
  <c r="BG46" i="6"/>
  <c r="BF46" i="6"/>
  <c r="R32" i="7"/>
  <c r="S21" i="7"/>
  <c r="S20" i="7" s="1"/>
  <c r="BP19" i="7"/>
  <c r="T81" i="11"/>
  <c r="T83" i="11" s="1"/>
  <c r="R8" i="7"/>
  <c r="R67" i="7"/>
  <c r="S64" i="6"/>
  <c r="R8" i="6"/>
  <c r="BL46" i="7"/>
  <c r="S31" i="7"/>
  <c r="BK46" i="7"/>
  <c r="BM46" i="7" s="1"/>
  <c r="S13" i="12"/>
  <c r="S15" i="12" s="1"/>
  <c r="BM53" i="6"/>
  <c r="O156" i="12"/>
  <c r="O164" i="12" s="1"/>
  <c r="R67" i="6"/>
  <c r="S7" i="7"/>
  <c r="AC73" i="10"/>
  <c r="AC74" i="10" s="1"/>
  <c r="L29" i="13"/>
  <c r="M24" i="13" s="1"/>
  <c r="S37" i="7"/>
  <c r="S38" i="7" s="1"/>
  <c r="AE53" i="10"/>
  <c r="AE42" i="10"/>
  <c r="AE17" i="10"/>
  <c r="AE59" i="10"/>
  <c r="AE22" i="10"/>
  <c r="AE33" i="10"/>
  <c r="AE70" i="10" s="1"/>
  <c r="AE11" i="10"/>
  <c r="AE16" i="10"/>
  <c r="AE21" i="10"/>
  <c r="AE5" i="10"/>
  <c r="AE58" i="10"/>
  <c r="AE56" i="10"/>
  <c r="AE10" i="10"/>
  <c r="AE15" i="10"/>
  <c r="AE20" i="10"/>
  <c r="AE9" i="10"/>
  <c r="AE4" i="10"/>
  <c r="AE54" i="10"/>
  <c r="AE14" i="10"/>
  <c r="AE19" i="10"/>
  <c r="AE61" i="10"/>
  <c r="AE57" i="10"/>
  <c r="AE8" i="10"/>
  <c r="AF1" i="10"/>
  <c r="AE13" i="10"/>
  <c r="AE43" i="10"/>
  <c r="AE41" i="10"/>
  <c r="AE40" i="10"/>
  <c r="AE23" i="10"/>
  <c r="AE55" i="10"/>
  <c r="AE18" i="10"/>
  <c r="AE60" i="10"/>
  <c r="AE34" i="10"/>
  <c r="AE12" i="10"/>
  <c r="AE7" i="10"/>
  <c r="T61" i="11"/>
  <c r="R64" i="7"/>
  <c r="AE70" i="9"/>
  <c r="S52" i="6"/>
  <c r="S53" i="6" s="1"/>
  <c r="S9" i="3" a="1"/>
  <c r="S9" i="3" s="1"/>
  <c r="T1" i="3"/>
  <c r="S55" i="7"/>
  <c r="S54" i="7" s="1"/>
  <c r="S29" i="12"/>
  <c r="S30" i="12" s="1"/>
  <c r="T46" i="11"/>
  <c r="AE69" i="9"/>
  <c r="AE65" i="9"/>
  <c r="AE87" i="9"/>
  <c r="AE68" i="9"/>
  <c r="AE88" i="9"/>
  <c r="AE84" i="9"/>
  <c r="AE86" i="9"/>
  <c r="AE85" i="9"/>
  <c r="T1" i="5"/>
  <c r="S15" i="5" a="1"/>
  <c r="S15" i="5" s="1"/>
  <c r="S5" i="5" a="1"/>
  <c r="S5" i="5" s="1"/>
  <c r="BL38" i="7"/>
  <c r="BM38" i="7" s="1"/>
  <c r="S40" i="7"/>
  <c r="S39" i="7" s="1"/>
  <c r="AD70" i="10"/>
  <c r="T173" i="11"/>
  <c r="T139" i="11"/>
  <c r="S159" i="12"/>
  <c r="S111" i="12"/>
  <c r="BT38" i="6"/>
  <c r="BR38" i="6"/>
  <c r="P156" i="12"/>
  <c r="P164" i="12" s="1"/>
  <c r="S158" i="12"/>
  <c r="S117" i="12"/>
  <c r="BQ19" i="7"/>
  <c r="AX5" i="7"/>
  <c r="AW4" i="7"/>
  <c r="S11" i="13"/>
  <c r="S25" i="13"/>
  <c r="S5" i="13"/>
  <c r="S9" i="13" s="1"/>
  <c r="T4" i="13" s="1"/>
  <c r="T2" i="13"/>
  <c r="AD81" i="9"/>
  <c r="AD82" i="9" s="1"/>
  <c r="P156" i="11"/>
  <c r="P164" i="11" s="1"/>
  <c r="S179" i="11"/>
  <c r="S33" i="7"/>
  <c r="S32" i="7" s="1"/>
  <c r="S71" i="12"/>
  <c r="S74" i="12" s="1"/>
  <c r="T130" i="11"/>
  <c r="AE72" i="9"/>
  <c r="Q150" i="12"/>
  <c r="BJ19" i="6"/>
  <c r="BK19" i="6" s="1"/>
  <c r="R19" i="12"/>
  <c r="R20" i="12" s="1"/>
  <c r="S170" i="12"/>
  <c r="S148" i="12"/>
  <c r="T149" i="11" a="1"/>
  <c r="U17" i="12" a="1"/>
  <c r="R142" i="12" a="1"/>
  <c r="U9" i="12" a="1"/>
  <c r="V75" i="11" a="1"/>
  <c r="U66" i="12" a="1"/>
  <c r="V79" i="11" a="1"/>
  <c r="V78" i="11" a="1"/>
  <c r="U53" i="12" a="1"/>
  <c r="U82" i="12" a="1"/>
  <c r="V16" i="11" a="1"/>
  <c r="U77" i="12" a="1"/>
  <c r="R180" i="12" a="1"/>
  <c r="S151" i="11" a="1"/>
  <c r="V134" i="11" a="1"/>
  <c r="U56" i="12" a="1"/>
  <c r="U114" i="12" a="1"/>
  <c r="V125" i="11" a="1"/>
  <c r="U80" i="12" a="1"/>
  <c r="U48" i="12" a="1"/>
  <c r="U34" i="12" a="1"/>
  <c r="S142" i="11" a="1"/>
  <c r="U12" i="12" a="1"/>
  <c r="S132" i="11" a="1"/>
  <c r="U125" i="12" a="1"/>
  <c r="U40" i="12" a="1"/>
  <c r="U44" i="12" a="1"/>
  <c r="T6" i="12" a="1"/>
  <c r="U145" i="12" a="1"/>
  <c r="U73" i="12" a="1"/>
  <c r="T107" i="12" a="1"/>
  <c r="S140" i="12" a="1"/>
  <c r="V26" i="11" a="1"/>
  <c r="V73" i="11" a="1"/>
  <c r="V41" i="11" a="1"/>
  <c r="V12" i="11" a="1"/>
  <c r="V76" i="11" a="1"/>
  <c r="S85" i="11" a="1"/>
  <c r="V53" i="11" a="1"/>
  <c r="U10" i="12" a="1"/>
  <c r="U52" i="12" a="1"/>
  <c r="U136" i="12" a="1"/>
  <c r="Q151" i="12" a="1"/>
  <c r="U116" i="12" a="1"/>
  <c r="U124" i="12" a="1"/>
  <c r="Q165" i="11" a="1"/>
  <c r="O165" i="12" a="1"/>
  <c r="U57" i="12" a="1"/>
  <c r="R151" i="12" a="1"/>
  <c r="V127" i="11" a="1"/>
  <c r="V68" i="11" a="1"/>
  <c r="V49" i="11" a="1"/>
  <c r="V58" i="11" a="1"/>
  <c r="V123" i="11" a="1"/>
  <c r="T112" i="11" a="1"/>
  <c r="U72" i="12" a="1"/>
  <c r="V116" i="11" a="1"/>
  <c r="V27" i="11" a="1"/>
  <c r="V82" i="11" a="1"/>
  <c r="V37" i="11" a="1"/>
  <c r="T31" i="11" a="1"/>
  <c r="S112" i="12" a="1"/>
  <c r="S180" i="11" a="1"/>
  <c r="S171" i="12" a="1"/>
  <c r="V43" i="11" a="1"/>
  <c r="U36" i="12" a="1"/>
  <c r="V48" i="11" a="1"/>
  <c r="V34" i="11" a="1"/>
  <c r="P165" i="12" a="1"/>
  <c r="U45" i="12" a="1"/>
  <c r="R120" i="12" a="1"/>
  <c r="R63" i="12" a="1"/>
  <c r="U79" i="12" a="1"/>
  <c r="U33" i="12" a="1"/>
  <c r="U27" i="12" a="1"/>
  <c r="V146" i="11" a="1"/>
  <c r="U109" i="12" a="1"/>
  <c r="V114" i="11" a="1"/>
  <c r="V144" i="11" a="1"/>
  <c r="U75" i="12" a="1"/>
  <c r="U115" i="12" a="1"/>
  <c r="V60" i="11" a="1"/>
  <c r="U110" i="12" a="1"/>
  <c r="U43" i="12" a="1"/>
  <c r="U69" i="12" a="1"/>
  <c r="U144" i="12" a="1"/>
  <c r="U25" i="12" a="1"/>
  <c r="V10" i="11" a="1"/>
  <c r="V135" i="11" a="1"/>
  <c r="V136" i="11" a="1"/>
  <c r="V54" i="11" a="1"/>
  <c r="V44" i="11" a="1"/>
  <c r="U41" i="12" a="1"/>
  <c r="V17" i="11" a="1"/>
  <c r="U38" i="12" a="1"/>
  <c r="U59" i="12" a="1"/>
  <c r="V35" i="11" a="1"/>
  <c r="V70" i="11" a="1"/>
  <c r="V59" i="11" a="1"/>
  <c r="R132" i="12" a="1"/>
  <c r="V9" i="11" a="1"/>
  <c r="U55" i="12" a="1"/>
  <c r="U58" i="12" a="1"/>
  <c r="U133" i="12" a="1"/>
  <c r="V11" i="11" a="1"/>
  <c r="U14" i="12" a="1"/>
  <c r="V109" i="11" a="1"/>
  <c r="V28" i="11" a="1"/>
  <c r="V66" i="11" a="1"/>
  <c r="V115" i="11" a="1"/>
  <c r="O182" i="11" a="1"/>
  <c r="S63" i="11" a="1"/>
  <c r="U129" i="12" a="1"/>
  <c r="V133" i="11" a="1"/>
  <c r="U4" i="12" a="1"/>
  <c r="U70" i="12" a="1"/>
  <c r="V69" i="11" a="1"/>
  <c r="U67" i="12" a="1"/>
  <c r="U50" i="12" a="1"/>
  <c r="V80" i="11" a="1"/>
  <c r="S118" i="12" a="1"/>
  <c r="U8" i="12" a="1"/>
  <c r="R85" i="12" a="1"/>
  <c r="U26" i="12" a="1"/>
  <c r="U35" i="12" a="1"/>
  <c r="U135" i="12" a="1"/>
  <c r="V33" i="11" a="1"/>
  <c r="R88" i="11" a="1"/>
  <c r="S120" i="11" a="1"/>
  <c r="T118" i="11" a="1"/>
  <c r="U24" i="12" a="1"/>
  <c r="U16" i="12" a="1"/>
  <c r="U104" i="12" a="1"/>
  <c r="U147" i="12" a="1"/>
  <c r="S21" i="11" a="1"/>
  <c r="V25" i="11" a="1"/>
  <c r="U76" i="12" a="1"/>
  <c r="U123" i="12" a="1"/>
  <c r="S149" i="12" a="1"/>
  <c r="V77" i="11" a="1"/>
  <c r="U60" i="12" a="1"/>
  <c r="U134" i="12" a="1"/>
  <c r="V45" i="11" a="1"/>
  <c r="V67" i="11" a="1"/>
  <c r="V147" i="11" a="1"/>
  <c r="Q88" i="12" a="1"/>
  <c r="T171" i="11" a="1"/>
  <c r="R21" i="12" a="1"/>
  <c r="T140" i="11" a="1"/>
  <c r="S31" i="12" a="1"/>
  <c r="V57" i="11" a="1"/>
  <c r="U37" i="12" a="1"/>
  <c r="V38" i="11" a="1"/>
  <c r="V47" i="11" a="1"/>
  <c r="U11" i="12" a="1"/>
  <c r="U65" i="12" a="1"/>
  <c r="V8" i="11" a="1"/>
  <c r="U47" i="12" a="1"/>
  <c r="V52" i="11" a="1"/>
  <c r="V56" i="11" a="1"/>
  <c r="V4" i="11" a="1"/>
  <c r="V36" i="11" a="1"/>
  <c r="V104" i="11" a="1"/>
  <c r="U127" i="12" a="1"/>
  <c r="P165" i="11" a="1"/>
  <c r="V110" i="11" a="1"/>
  <c r="N182" i="12" a="1"/>
  <c r="V14" i="11" a="1"/>
  <c r="V40" i="11" a="1"/>
  <c r="U107" i="11" a="1"/>
  <c r="V124" i="11" a="1"/>
  <c r="V55" i="11" a="1"/>
  <c r="U6" i="11" a="1"/>
  <c r="U54" i="12" a="1"/>
  <c r="V50" i="11" a="1"/>
  <c r="U49" i="12" a="1"/>
  <c r="U68" i="12" a="1"/>
  <c r="V72" i="11" a="1"/>
  <c r="V145" i="11" a="1"/>
  <c r="V129" i="11" a="1"/>
  <c r="U146" i="12" a="1"/>
  <c r="U28" i="12" a="1"/>
  <c r="V24" i="11" a="1"/>
  <c r="V65" i="11" a="1"/>
  <c r="U78" i="12" a="1"/>
  <c r="T19" i="11" l="1"/>
  <c r="T20" i="11" s="1"/>
  <c r="S131" i="12"/>
  <c r="R86" i="12"/>
  <c r="R87" i="12" s="1"/>
  <c r="S21" i="11"/>
  <c r="AE89" i="9"/>
  <c r="AE90" i="9" s="1"/>
  <c r="AD89" i="10"/>
  <c r="AD90" i="10" s="1"/>
  <c r="R132" i="12"/>
  <c r="S132" i="11"/>
  <c r="T18" i="12"/>
  <c r="T126" i="12"/>
  <c r="R63" i="12"/>
  <c r="S62" i="12"/>
  <c r="T39" i="12"/>
  <c r="S179" i="12"/>
  <c r="U46" i="11"/>
  <c r="T171" i="11"/>
  <c r="T149" i="11"/>
  <c r="T130" i="12"/>
  <c r="T179" i="11"/>
  <c r="T62" i="11"/>
  <c r="S163" i="12"/>
  <c r="T148" i="12"/>
  <c r="S63" i="11"/>
  <c r="R180" i="12"/>
  <c r="S85" i="11"/>
  <c r="R85" i="12"/>
  <c r="T31" i="11"/>
  <c r="T84" i="11"/>
  <c r="U71" i="11"/>
  <c r="U74" i="11" s="1"/>
  <c r="U13" i="11"/>
  <c r="U15" i="11" s="1"/>
  <c r="S84" i="12"/>
  <c r="U29" i="11"/>
  <c r="U30" i="11" s="1"/>
  <c r="S86" i="11"/>
  <c r="S87" i="11" s="1"/>
  <c r="S97" i="11" s="1"/>
  <c r="R151" i="12"/>
  <c r="U16" i="12"/>
  <c r="U28" i="12"/>
  <c r="U47" i="12"/>
  <c r="U77" i="12"/>
  <c r="U110" i="12"/>
  <c r="U167" i="12" s="1"/>
  <c r="U146" i="12"/>
  <c r="O182" i="11"/>
  <c r="Q88" i="12"/>
  <c r="V10" i="11"/>
  <c r="V40" i="11"/>
  <c r="V37" i="11"/>
  <c r="V59" i="11"/>
  <c r="V129" i="11"/>
  <c r="V162" i="11" s="1"/>
  <c r="U8" i="12"/>
  <c r="U12" i="12"/>
  <c r="U57" i="12"/>
  <c r="U69" i="12"/>
  <c r="R120" i="12"/>
  <c r="V8" i="11"/>
  <c r="V16" i="11"/>
  <c r="V60" i="11"/>
  <c r="V73" i="11"/>
  <c r="V115" i="11"/>
  <c r="V168" i="11" s="1"/>
  <c r="V147" i="11"/>
  <c r="U147" i="12"/>
  <c r="V14" i="11"/>
  <c r="V82" i="11"/>
  <c r="V70" i="11"/>
  <c r="V145" i="11"/>
  <c r="S118" i="12"/>
  <c r="S142" i="11"/>
  <c r="O165" i="12"/>
  <c r="U24" i="12"/>
  <c r="U45" i="12"/>
  <c r="U65" i="12"/>
  <c r="U82" i="12"/>
  <c r="U115" i="12"/>
  <c r="U168" i="12" s="1"/>
  <c r="V26" i="11"/>
  <c r="V66" i="11"/>
  <c r="V67" i="11"/>
  <c r="U78" i="12"/>
  <c r="N182" i="12"/>
  <c r="V27" i="11"/>
  <c r="V35" i="11"/>
  <c r="V72" i="11"/>
  <c r="V80" i="11"/>
  <c r="U34" i="12"/>
  <c r="Q165" i="11"/>
  <c r="U43" i="12"/>
  <c r="P165" i="12"/>
  <c r="U11" i="12"/>
  <c r="U53" i="12"/>
  <c r="U75" i="12"/>
  <c r="S140" i="12"/>
  <c r="V28" i="11"/>
  <c r="V45" i="11"/>
  <c r="V76" i="11"/>
  <c r="V110" i="11"/>
  <c r="V167" i="11" s="1"/>
  <c r="V116" i="11"/>
  <c r="V169" i="11" s="1"/>
  <c r="U59" i="12"/>
  <c r="U68" i="12"/>
  <c r="U50" i="12"/>
  <c r="U48" i="12"/>
  <c r="U124" i="12"/>
  <c r="T118" i="11"/>
  <c r="V34" i="11"/>
  <c r="V47" i="11"/>
  <c r="V78" i="11"/>
  <c r="V144" i="11"/>
  <c r="T107" i="12"/>
  <c r="V109" i="11"/>
  <c r="U134" i="12"/>
  <c r="U25" i="12"/>
  <c r="P165" i="11"/>
  <c r="U72" i="12"/>
  <c r="U38" i="12"/>
  <c r="U49" i="12"/>
  <c r="U67" i="12"/>
  <c r="U80" i="12"/>
  <c r="U116" i="12"/>
  <c r="U169" i="12" s="1"/>
  <c r="S120" i="11"/>
  <c r="V48" i="11"/>
  <c r="V38" i="11"/>
  <c r="V79" i="11"/>
  <c r="V114" i="11"/>
  <c r="U73" i="12"/>
  <c r="U14" i="12"/>
  <c r="U60" i="12"/>
  <c r="U104" i="12"/>
  <c r="U105" i="12" s="1"/>
  <c r="U106" i="12" s="1"/>
  <c r="U127" i="12"/>
  <c r="T112" i="11"/>
  <c r="V17" i="11"/>
  <c r="V50" i="11"/>
  <c r="V69" i="11"/>
  <c r="V125" i="11"/>
  <c r="V160" i="11" s="1"/>
  <c r="Q151" i="12"/>
  <c r="R88" i="11"/>
  <c r="U36" i="12"/>
  <c r="U37" i="12"/>
  <c r="U66" i="12"/>
  <c r="U109" i="12"/>
  <c r="U145" i="12"/>
  <c r="V11" i="11"/>
  <c r="V77" i="11"/>
  <c r="V65" i="11"/>
  <c r="V104" i="11"/>
  <c r="V105" i="11" s="1"/>
  <c r="V106" i="11" s="1"/>
  <c r="V123" i="11"/>
  <c r="U41" i="12"/>
  <c r="U54" i="12"/>
  <c r="U70" i="12"/>
  <c r="U114" i="12"/>
  <c r="U136" i="12"/>
  <c r="V33" i="11"/>
  <c r="V43" i="11"/>
  <c r="V57" i="11"/>
  <c r="V75" i="11"/>
  <c r="V146" i="11"/>
  <c r="T6" i="12"/>
  <c r="U133" i="12"/>
  <c r="S149" i="12"/>
  <c r="V12" i="11"/>
  <c r="V36" i="11"/>
  <c r="V58" i="11"/>
  <c r="V44" i="11"/>
  <c r="U6" i="11"/>
  <c r="U4" i="12"/>
  <c r="U5" i="12" s="1"/>
  <c r="U56" i="12"/>
  <c r="U52" i="12"/>
  <c r="U135" i="12"/>
  <c r="U174" i="12" s="1"/>
  <c r="S171" i="12"/>
  <c r="S31" i="12"/>
  <c r="U9" i="12"/>
  <c r="U27" i="12"/>
  <c r="U44" i="12"/>
  <c r="U58" i="12"/>
  <c r="U123" i="12"/>
  <c r="U144" i="12"/>
  <c r="V4" i="11"/>
  <c r="V5" i="11" s="1"/>
  <c r="V49" i="11"/>
  <c r="V54" i="11"/>
  <c r="V55" i="11"/>
  <c r="V133" i="11"/>
  <c r="V134" i="11"/>
  <c r="U10" i="12"/>
  <c r="U35" i="12"/>
  <c r="S180" i="11"/>
  <c r="T140" i="11"/>
  <c r="R142" i="12"/>
  <c r="U33" i="12"/>
  <c r="U40" i="12"/>
  <c r="U55" i="12"/>
  <c r="U76" i="12"/>
  <c r="V24" i="11"/>
  <c r="V56" i="11"/>
  <c r="V68" i="11"/>
  <c r="V136" i="11"/>
  <c r="V124" i="11"/>
  <c r="U129" i="12"/>
  <c r="U162" i="12" s="1"/>
  <c r="S151" i="11"/>
  <c r="V53" i="11"/>
  <c r="U26" i="12"/>
  <c r="S112" i="12"/>
  <c r="R21" i="12"/>
  <c r="U17" i="12"/>
  <c r="U79" i="12"/>
  <c r="U125" i="12"/>
  <c r="U160" i="12" s="1"/>
  <c r="V9" i="11"/>
  <c r="V25" i="11"/>
  <c r="V41" i="11"/>
  <c r="V52" i="11"/>
  <c r="V127" i="11"/>
  <c r="V135" i="11"/>
  <c r="V174" i="11" s="1"/>
  <c r="U107" i="11"/>
  <c r="R152" i="12"/>
  <c r="BL44" i="7"/>
  <c r="BM47" i="7"/>
  <c r="T7" i="13"/>
  <c r="T8" i="13" s="1"/>
  <c r="BG47" i="6"/>
  <c r="Q97" i="12"/>
  <c r="U39" i="11"/>
  <c r="U1" i="3"/>
  <c r="T9" i="3" a="1"/>
  <c r="T9" i="3" s="1"/>
  <c r="AD81" i="10"/>
  <c r="AD82" i="10" s="1"/>
  <c r="T8" i="7"/>
  <c r="T51" i="12"/>
  <c r="T81" i="12"/>
  <c r="T83" i="12" s="1"/>
  <c r="U18" i="11"/>
  <c r="T20" i="7"/>
  <c r="S119" i="12"/>
  <c r="AE73" i="9"/>
  <c r="AE74" i="9" s="1"/>
  <c r="O181" i="12"/>
  <c r="S19" i="12"/>
  <c r="S20" i="12" s="1"/>
  <c r="T37" i="6"/>
  <c r="T38" i="6" s="1"/>
  <c r="S8" i="7"/>
  <c r="S67" i="7"/>
  <c r="T7" i="6"/>
  <c r="T53" i="7"/>
  <c r="T71" i="12"/>
  <c r="T74" i="12" s="1"/>
  <c r="AX4" i="7"/>
  <c r="AY5" i="7"/>
  <c r="M29" i="13"/>
  <c r="N24" i="13" s="1"/>
  <c r="M27" i="13"/>
  <c r="M28" i="13" s="1"/>
  <c r="Q181" i="11"/>
  <c r="P181" i="12"/>
  <c r="BM44" i="7"/>
  <c r="BL19" i="6"/>
  <c r="T9" i="6"/>
  <c r="S141" i="12"/>
  <c r="V1" i="15"/>
  <c r="T38" i="7"/>
  <c r="AE81" i="9"/>
  <c r="AE82" i="9" s="1"/>
  <c r="T119" i="11"/>
  <c r="T40" i="6"/>
  <c r="T39" i="6" s="1"/>
  <c r="T54" i="7"/>
  <c r="AF61" i="10"/>
  <c r="AF60" i="10"/>
  <c r="AF59" i="10"/>
  <c r="AF58" i="10"/>
  <c r="AF57" i="10"/>
  <c r="AF54" i="10"/>
  <c r="AF22" i="10"/>
  <c r="AF33" i="10"/>
  <c r="AF11" i="10"/>
  <c r="AF16" i="10"/>
  <c r="AF21" i="10"/>
  <c r="AF5" i="10"/>
  <c r="AF56" i="10"/>
  <c r="AF10" i="10"/>
  <c r="AF15" i="10"/>
  <c r="AF53" i="10"/>
  <c r="AF20" i="10"/>
  <c r="AF9" i="10"/>
  <c r="AF4" i="10"/>
  <c r="AF14" i="10"/>
  <c r="AF19" i="10"/>
  <c r="AF8" i="10"/>
  <c r="AG1" i="10"/>
  <c r="AF13" i="10"/>
  <c r="AF18" i="10"/>
  <c r="AF55" i="10"/>
  <c r="AF42" i="10"/>
  <c r="AF34" i="10"/>
  <c r="AF12" i="10"/>
  <c r="AF7" i="10"/>
  <c r="AF69" i="10" s="1"/>
  <c r="AF23" i="10"/>
  <c r="AF40" i="10"/>
  <c r="AF43" i="10"/>
  <c r="AF17" i="10"/>
  <c r="AF41" i="10"/>
  <c r="P181" i="11"/>
  <c r="AF70" i="9"/>
  <c r="BU38" i="6"/>
  <c r="AE69" i="10"/>
  <c r="BN53" i="6"/>
  <c r="BO53" i="6" s="1"/>
  <c r="BN46" i="7"/>
  <c r="BP46" i="7" s="1"/>
  <c r="BK47" i="7"/>
  <c r="AF65" i="9"/>
  <c r="AF68" i="9"/>
  <c r="AF87" i="9"/>
  <c r="AF86" i="9"/>
  <c r="AF84" i="9"/>
  <c r="AF88" i="9"/>
  <c r="AF85" i="9"/>
  <c r="BL53" i="7"/>
  <c r="T163" i="11"/>
  <c r="T52" i="6"/>
  <c r="T53" i="6" s="1"/>
  <c r="U61" i="11"/>
  <c r="U158" i="11"/>
  <c r="U117" i="11"/>
  <c r="V1" i="6"/>
  <c r="T131" i="11"/>
  <c r="AF69" i="9"/>
  <c r="T55" i="6"/>
  <c r="BE44" i="6"/>
  <c r="T178" i="12"/>
  <c r="T175" i="12"/>
  <c r="U51" i="11"/>
  <c r="T46" i="12"/>
  <c r="U42" i="11"/>
  <c r="Q152" i="12"/>
  <c r="R97" i="11"/>
  <c r="AE65" i="10"/>
  <c r="AE68" i="10"/>
  <c r="AE88" i="10"/>
  <c r="AE84" i="10"/>
  <c r="AE89" i="10" s="1"/>
  <c r="AE90" i="10" s="1"/>
  <c r="AE87" i="10"/>
  <c r="AE86" i="10"/>
  <c r="AE85" i="10"/>
  <c r="AE72" i="10"/>
  <c r="T21" i="6"/>
  <c r="T20" i="6" s="1"/>
  <c r="S54" i="6"/>
  <c r="T158" i="12"/>
  <c r="T117" i="12"/>
  <c r="T170" i="12"/>
  <c r="T13" i="12"/>
  <c r="T15" i="12" s="1"/>
  <c r="T61" i="12"/>
  <c r="T33" i="6"/>
  <c r="T39" i="7"/>
  <c r="BR19" i="7"/>
  <c r="U173" i="11"/>
  <c r="U139" i="11"/>
  <c r="U130" i="11"/>
  <c r="U178" i="11"/>
  <c r="U175" i="11"/>
  <c r="AY66" i="11"/>
  <c r="T11" i="13"/>
  <c r="T25" i="13"/>
  <c r="T5" i="13"/>
  <c r="T9" i="13" s="1"/>
  <c r="U4" i="13" s="1"/>
  <c r="U2" i="13"/>
  <c r="T65" i="6"/>
  <c r="T64" i="7"/>
  <c r="U26" i="13"/>
  <c r="V1" i="13"/>
  <c r="U6" i="13"/>
  <c r="X1" i="11"/>
  <c r="U159" i="11"/>
  <c r="U111" i="11"/>
  <c r="T42" i="12"/>
  <c r="BM19" i="6"/>
  <c r="BL47" i="7"/>
  <c r="BO46" i="7"/>
  <c r="S64" i="7"/>
  <c r="AF72" i="9"/>
  <c r="S67" i="6"/>
  <c r="AW4" i="6"/>
  <c r="AX5" i="6"/>
  <c r="T68" i="6"/>
  <c r="U52" i="7"/>
  <c r="V1" i="7"/>
  <c r="U21" i="7" s="1"/>
  <c r="U33" i="7"/>
  <c r="U31" i="7"/>
  <c r="U126" i="11"/>
  <c r="AF71" i="9"/>
  <c r="T15" i="5" a="1"/>
  <c r="T15" i="5" s="1"/>
  <c r="U1" i="5"/>
  <c r="T5" i="5" a="1"/>
  <c r="T5" i="5" s="1"/>
  <c r="T18" i="6"/>
  <c r="T19" i="6" s="1"/>
  <c r="T33" i="7"/>
  <c r="T32" i="7" s="1"/>
  <c r="BN38" i="7"/>
  <c r="BO38" i="7" s="1"/>
  <c r="U170" i="11"/>
  <c r="U148" i="11"/>
  <c r="S152" i="11"/>
  <c r="T159" i="12"/>
  <c r="T111" i="12"/>
  <c r="T31" i="6"/>
  <c r="AE71" i="10"/>
  <c r="BF47" i="6"/>
  <c r="AG19" i="9"/>
  <c r="AG58" i="9"/>
  <c r="AG42" i="9"/>
  <c r="AG63" i="9"/>
  <c r="AG13" i="9"/>
  <c r="AG57" i="9"/>
  <c r="AG36" i="9"/>
  <c r="AG18" i="9"/>
  <c r="AG41" i="9"/>
  <c r="AG7" i="9"/>
  <c r="AG69" i="9" s="1"/>
  <c r="AG56" i="9"/>
  <c r="AG62" i="9"/>
  <c r="AG17" i="9"/>
  <c r="AG55" i="9"/>
  <c r="AG40" i="9"/>
  <c r="AG35" i="9"/>
  <c r="AG11" i="9"/>
  <c r="AG5" i="9"/>
  <c r="AG61" i="9"/>
  <c r="AG54" i="9"/>
  <c r="AG16" i="9"/>
  <c r="AG34" i="9"/>
  <c r="AG60" i="9"/>
  <c r="AG53" i="9"/>
  <c r="AG48" i="9"/>
  <c r="AG59" i="9"/>
  <c r="AG44" i="9"/>
  <c r="AG43" i="9"/>
  <c r="AG37" i="9"/>
  <c r="AG14" i="9"/>
  <c r="AG10" i="9"/>
  <c r="AG12" i="9"/>
  <c r="AG8" i="9"/>
  <c r="AH1" i="9"/>
  <c r="AG15" i="9"/>
  <c r="AG9" i="9"/>
  <c r="AG4" i="9"/>
  <c r="AG38" i="9"/>
  <c r="AG33" i="9"/>
  <c r="AG70" i="9" s="1"/>
  <c r="AG20" i="9"/>
  <c r="AG21" i="9"/>
  <c r="AG64" i="9"/>
  <c r="AG49" i="9"/>
  <c r="AG45" i="9"/>
  <c r="AG46" i="9"/>
  <c r="AG50" i="9"/>
  <c r="AG22" i="9"/>
  <c r="AG23" i="9"/>
  <c r="AG47" i="9"/>
  <c r="AG51" i="9"/>
  <c r="AG24" i="9"/>
  <c r="AG25" i="9"/>
  <c r="AG26" i="9"/>
  <c r="AG27" i="9"/>
  <c r="AG28" i="9"/>
  <c r="AG29" i="9"/>
  <c r="AG30" i="9"/>
  <c r="AG31" i="9"/>
  <c r="W1" i="12"/>
  <c r="BH46" i="6"/>
  <c r="BI46" i="6" s="1"/>
  <c r="AD73" i="10"/>
  <c r="AD74" i="10" s="1"/>
  <c r="T65" i="7"/>
  <c r="U81" i="11"/>
  <c r="U83" i="11" s="1"/>
  <c r="T29" i="12"/>
  <c r="T30" i="12" s="1"/>
  <c r="T173" i="12"/>
  <c r="T139" i="12"/>
  <c r="S132" i="12" a="1"/>
  <c r="U112" i="11" a="1"/>
  <c r="V72" i="12" a="1"/>
  <c r="V68" i="12" a="1"/>
  <c r="Q182" i="11" a="1"/>
  <c r="V78" i="12" a="1"/>
  <c r="V145" i="12" a="1"/>
  <c r="V123" i="12" a="1"/>
  <c r="V9" i="12" a="1"/>
  <c r="W146" i="11" a="1"/>
  <c r="W36" i="11" a="1"/>
  <c r="W78" i="11" a="1"/>
  <c r="W38" i="11" a="1"/>
  <c r="W69" i="11" a="1"/>
  <c r="V69" i="12" a="1"/>
  <c r="V17" i="12" a="1"/>
  <c r="W66" i="11" a="1"/>
  <c r="W60" i="11" a="1"/>
  <c r="V77" i="12" a="1"/>
  <c r="V75" i="12" a="1"/>
  <c r="W25" i="11" a="1"/>
  <c r="S120" i="12" a="1"/>
  <c r="V25" i="12" a="1"/>
  <c r="T85" i="11" a="1"/>
  <c r="V50" i="12" a="1"/>
  <c r="Q98" i="12" a="1"/>
  <c r="V107" i="11" a="1"/>
  <c r="V134" i="12" a="1"/>
  <c r="S142" i="12" a="1"/>
  <c r="W124" i="11" a="1"/>
  <c r="U6" i="12" a="1"/>
  <c r="W8" i="11" a="1"/>
  <c r="V14" i="12" a="1"/>
  <c r="V38" i="12" a="1"/>
  <c r="T180" i="11" a="1"/>
  <c r="V58" i="12" a="1"/>
  <c r="V70" i="12" a="1"/>
  <c r="W144" i="11" a="1"/>
  <c r="W35" i="11" a="1"/>
  <c r="V16" i="12" a="1"/>
  <c r="P182" i="11" a="1"/>
  <c r="W4" i="11" a="1"/>
  <c r="T63" i="11" a="1"/>
  <c r="V24" i="12" a="1"/>
  <c r="V48" i="12" a="1"/>
  <c r="T112" i="12" a="1"/>
  <c r="W28" i="11" a="1"/>
  <c r="V49" i="12" a="1"/>
  <c r="V35" i="12" a="1"/>
  <c r="S21" i="12" a="1"/>
  <c r="W115" i="11" a="1"/>
  <c r="W82" i="11" a="1"/>
  <c r="V66" i="12" a="1"/>
  <c r="S63" i="12" a="1"/>
  <c r="V104" i="12" a="1"/>
  <c r="V45" i="12" a="1"/>
  <c r="T31" i="12" a="1"/>
  <c r="T171" i="12" a="1"/>
  <c r="V34" i="12" a="1"/>
  <c r="V110" i="12" a="1"/>
  <c r="V55" i="12" a="1"/>
  <c r="U149" i="11" a="1"/>
  <c r="W104" i="11" a="1"/>
  <c r="W44" i="11" a="1"/>
  <c r="W56" i="11" a="1"/>
  <c r="W127" i="11" a="1"/>
  <c r="W47" i="11" a="1"/>
  <c r="W55" i="11" a="1"/>
  <c r="W67" i="11" a="1"/>
  <c r="W147" i="11" a="1"/>
  <c r="W145" i="11" a="1"/>
  <c r="W70" i="11" a="1"/>
  <c r="W41" i="11" a="1"/>
  <c r="V52" i="12" a="1"/>
  <c r="R88" i="12" a="1"/>
  <c r="U140" i="11" a="1"/>
  <c r="S85" i="12" a="1"/>
  <c r="W58" i="11" a="1"/>
  <c r="W114" i="11" a="1"/>
  <c r="T118" i="12" a="1"/>
  <c r="V65" i="12" a="1"/>
  <c r="W43" i="11" a="1"/>
  <c r="O182" i="12" a="1"/>
  <c r="T120" i="11" a="1"/>
  <c r="V133" i="12" a="1"/>
  <c r="U31" i="11" a="1"/>
  <c r="V47" i="12" a="1"/>
  <c r="W54" i="11" a="1"/>
  <c r="W123" i="11" a="1"/>
  <c r="V40" i="12" a="1"/>
  <c r="W14" i="11" a="1"/>
  <c r="W136" i="11" a="1"/>
  <c r="W134" i="11" a="1"/>
  <c r="V146" i="12" a="1"/>
  <c r="V67" i="12" a="1"/>
  <c r="V114" i="12" a="1"/>
  <c r="T149" i="12" a="1"/>
  <c r="V8" i="12" a="1"/>
  <c r="V57" i="12" a="1"/>
  <c r="V59" i="12" a="1"/>
  <c r="V144" i="12" a="1"/>
  <c r="T140" i="12" a="1"/>
  <c r="V37" i="12" a="1"/>
  <c r="W50" i="11" a="1"/>
  <c r="W33" i="11" a="1"/>
  <c r="W53" i="11" a="1"/>
  <c r="V41" i="12" a="1"/>
  <c r="W12" i="11" a="1"/>
  <c r="W17" i="11" a="1"/>
  <c r="W10" i="11" a="1"/>
  <c r="V28" i="12" a="1"/>
  <c r="V109" i="12" a="1"/>
  <c r="W27" i="11" a="1"/>
  <c r="W49" i="11" a="1"/>
  <c r="V56" i="12" a="1"/>
  <c r="V54" i="12" a="1"/>
  <c r="W11" i="11" a="1"/>
  <c r="W133" i="11" a="1"/>
  <c r="T132" i="11" a="1"/>
  <c r="W116" i="11" a="1"/>
  <c r="U107" i="12" a="1"/>
  <c r="V129" i="12" a="1"/>
  <c r="W45" i="11" a="1"/>
  <c r="W80" i="11" a="1"/>
  <c r="W135" i="11" a="1"/>
  <c r="W48" i="11" a="1"/>
  <c r="W40" i="11" a="1"/>
  <c r="V36" i="12" a="1"/>
  <c r="V43" i="12" a="1"/>
  <c r="W59" i="11" a="1"/>
  <c r="V79" i="12" a="1"/>
  <c r="V115" i="12" a="1"/>
  <c r="W129" i="11" a="1"/>
  <c r="T21" i="11" a="1"/>
  <c r="W65" i="11" a="1"/>
  <c r="W72" i="11" a="1"/>
  <c r="V73" i="12" a="1"/>
  <c r="W34" i="11" a="1"/>
  <c r="W75" i="11" a="1"/>
  <c r="W76" i="11" a="1"/>
  <c r="V125" i="12" a="1"/>
  <c r="V135" i="12" a="1"/>
  <c r="V80" i="12" a="1"/>
  <c r="S98" i="11" a="1"/>
  <c r="V53" i="12" a="1"/>
  <c r="S88" i="11" a="1"/>
  <c r="W24" i="11" a="1"/>
  <c r="W52" i="11" a="1"/>
  <c r="W110" i="11" a="1"/>
  <c r="V4" i="12" a="1"/>
  <c r="P182" i="12" a="1"/>
  <c r="U118" i="11" a="1"/>
  <c r="W109" i="11" a="1"/>
  <c r="V127" i="12" a="1"/>
  <c r="W125" i="11" a="1"/>
  <c r="V136" i="12" a="1"/>
  <c r="S180" i="12" a="1"/>
  <c r="V60" i="12" a="1"/>
  <c r="V12" i="12" a="1"/>
  <c r="V11" i="12" a="1"/>
  <c r="W77" i="11" a="1"/>
  <c r="V27" i="12" a="1"/>
  <c r="V82" i="12" a="1"/>
  <c r="W57" i="11" a="1"/>
  <c r="V33" i="12" a="1"/>
  <c r="W73" i="11" a="1"/>
  <c r="W9" i="11" a="1"/>
  <c r="W16" i="11" a="1"/>
  <c r="W37" i="11" a="1"/>
  <c r="V116" i="12" a="1"/>
  <c r="V10" i="12" a="1"/>
  <c r="V6" i="11" a="1"/>
  <c r="V147" i="12" a="1"/>
  <c r="W26" i="11" a="1"/>
  <c r="V26" i="12" a="1"/>
  <c r="V44" i="12" a="1"/>
  <c r="V124" i="12" a="1"/>
  <c r="W79" i="11" a="1"/>
  <c r="R98" i="11" a="1"/>
  <c r="V76" i="12" a="1"/>
  <c r="W68" i="11" a="1"/>
  <c r="U171" i="11" a="1"/>
  <c r="T21" i="11" l="1"/>
  <c r="S132" i="12"/>
  <c r="T131" i="12"/>
  <c r="T141" i="12" s="1"/>
  <c r="S86" i="12"/>
  <c r="S87" i="12" s="1"/>
  <c r="T19" i="12"/>
  <c r="T20" i="12" s="1"/>
  <c r="T86" i="11"/>
  <c r="T87" i="11" s="1"/>
  <c r="AF81" i="9"/>
  <c r="AF82" i="9" s="1"/>
  <c r="AE81" i="10"/>
  <c r="AE82" i="10" s="1"/>
  <c r="U13" i="12"/>
  <c r="U15" i="12" s="1"/>
  <c r="S180" i="12"/>
  <c r="S63" i="12"/>
  <c r="V126" i="11"/>
  <c r="V42" i="11"/>
  <c r="U42" i="12"/>
  <c r="T179" i="12"/>
  <c r="T149" i="12"/>
  <c r="T63" i="11"/>
  <c r="T180" i="11"/>
  <c r="V51" i="11"/>
  <c r="S88" i="11"/>
  <c r="U31" i="11"/>
  <c r="S85" i="12"/>
  <c r="T85" i="11"/>
  <c r="U62" i="11"/>
  <c r="U39" i="12"/>
  <c r="V18" i="11"/>
  <c r="U61" i="12"/>
  <c r="U51" i="12"/>
  <c r="U46" i="12"/>
  <c r="T62" i="12"/>
  <c r="U179" i="11"/>
  <c r="V130" i="11"/>
  <c r="U126" i="12"/>
  <c r="T84" i="12"/>
  <c r="W12" i="11"/>
  <c r="W4" i="11"/>
  <c r="W5" i="11" s="1"/>
  <c r="W16" i="11"/>
  <c r="W56" i="11"/>
  <c r="W78" i="11"/>
  <c r="R98" i="11"/>
  <c r="T132" i="11"/>
  <c r="V25" i="12"/>
  <c r="V53" i="12"/>
  <c r="W59" i="11"/>
  <c r="U140" i="11"/>
  <c r="V136" i="12"/>
  <c r="V114" i="12"/>
  <c r="V133" i="12"/>
  <c r="V38" i="12"/>
  <c r="V41" i="12"/>
  <c r="V66" i="12"/>
  <c r="V115" i="12"/>
  <c r="V168" i="12" s="1"/>
  <c r="W9" i="11"/>
  <c r="W44" i="11"/>
  <c r="W36" i="11"/>
  <c r="W79" i="11"/>
  <c r="W133" i="11"/>
  <c r="S120" i="12"/>
  <c r="S98" i="11"/>
  <c r="V43" i="12"/>
  <c r="R88" i="12"/>
  <c r="W125" i="11"/>
  <c r="W160" i="11" s="1"/>
  <c r="V67" i="12"/>
  <c r="W129" i="11"/>
  <c r="W162" i="11" s="1"/>
  <c r="V14" i="12"/>
  <c r="W53" i="11"/>
  <c r="W82" i="11"/>
  <c r="W68" i="11"/>
  <c r="W73" i="11"/>
  <c r="W104" i="11"/>
  <c r="W105" i="11" s="1"/>
  <c r="W106" i="11" s="1"/>
  <c r="W146" i="11"/>
  <c r="V124" i="12"/>
  <c r="W11" i="11"/>
  <c r="W25" i="11"/>
  <c r="V80" i="12"/>
  <c r="V36" i="12"/>
  <c r="V52" i="12"/>
  <c r="V127" i="12"/>
  <c r="V146" i="12"/>
  <c r="U171" i="11"/>
  <c r="W8" i="11"/>
  <c r="W33" i="11"/>
  <c r="W115" i="11"/>
  <c r="W168" i="11" s="1"/>
  <c r="P182" i="11"/>
  <c r="V33" i="12"/>
  <c r="U149" i="11"/>
  <c r="V9" i="12"/>
  <c r="V44" i="12"/>
  <c r="V54" i="12"/>
  <c r="V75" i="12"/>
  <c r="V135" i="12"/>
  <c r="V174" i="12" s="1"/>
  <c r="W40" i="11"/>
  <c r="W41" i="11"/>
  <c r="W109" i="11"/>
  <c r="W134" i="11"/>
  <c r="T120" i="11"/>
  <c r="U6" i="12"/>
  <c r="W50" i="11"/>
  <c r="S21" i="12"/>
  <c r="V79" i="12"/>
  <c r="W57" i="11"/>
  <c r="V55" i="12"/>
  <c r="V123" i="12"/>
  <c r="V26" i="12"/>
  <c r="V56" i="12"/>
  <c r="V77" i="12"/>
  <c r="V125" i="12"/>
  <c r="V160" i="12" s="1"/>
  <c r="W48" i="11"/>
  <c r="W70" i="11"/>
  <c r="U118" i="11"/>
  <c r="W136" i="11"/>
  <c r="O182" i="12"/>
  <c r="W124" i="11"/>
  <c r="V37" i="12"/>
  <c r="V35" i="12"/>
  <c r="V76" i="12"/>
  <c r="V82" i="12"/>
  <c r="V110" i="12"/>
  <c r="V167" i="12" s="1"/>
  <c r="V145" i="12"/>
  <c r="W26" i="11"/>
  <c r="W49" i="11"/>
  <c r="W60" i="11"/>
  <c r="W76" i="11"/>
  <c r="W135" i="11"/>
  <c r="W174" i="11" s="1"/>
  <c r="W145" i="11"/>
  <c r="P182" i="12"/>
  <c r="W14" i="11"/>
  <c r="W43" i="11"/>
  <c r="S142" i="12"/>
  <c r="T140" i="12"/>
  <c r="V49" i="12"/>
  <c r="V16" i="12"/>
  <c r="V27" i="12"/>
  <c r="V34" i="12"/>
  <c r="V78" i="12"/>
  <c r="V147" i="12"/>
  <c r="W27" i="11"/>
  <c r="W66" i="11"/>
  <c r="W75" i="11"/>
  <c r="W80" i="11"/>
  <c r="W147" i="11"/>
  <c r="V4" i="12"/>
  <c r="V5" i="12" s="1"/>
  <c r="V40" i="12"/>
  <c r="V65" i="12"/>
  <c r="V134" i="12"/>
  <c r="V144" i="12"/>
  <c r="W28" i="11"/>
  <c r="W35" i="11"/>
  <c r="W77" i="11"/>
  <c r="T171" i="12"/>
  <c r="Q182" i="11"/>
  <c r="V6" i="11"/>
  <c r="V109" i="12"/>
  <c r="V17" i="12"/>
  <c r="W34" i="11"/>
  <c r="W45" i="11"/>
  <c r="W67" i="11"/>
  <c r="W110" i="11"/>
  <c r="W167" i="11" s="1"/>
  <c r="W123" i="11"/>
  <c r="T118" i="12"/>
  <c r="V107" i="11"/>
  <c r="V59" i="12"/>
  <c r="T112" i="12"/>
  <c r="W144" i="11"/>
  <c r="V11" i="12"/>
  <c r="T31" i="12"/>
  <c r="V68" i="12"/>
  <c r="V10" i="12"/>
  <c r="V28" i="12"/>
  <c r="V69" i="12"/>
  <c r="V73" i="12"/>
  <c r="V129" i="12"/>
  <c r="V162" i="12" s="1"/>
  <c r="W55" i="11"/>
  <c r="W52" i="11"/>
  <c r="W54" i="11"/>
  <c r="W114" i="11"/>
  <c r="Q98" i="12"/>
  <c r="V57" i="12"/>
  <c r="V48" i="12"/>
  <c r="V70" i="12"/>
  <c r="V12" i="12"/>
  <c r="V45" i="12"/>
  <c r="V72" i="12"/>
  <c r="V116" i="12"/>
  <c r="V169" i="12" s="1"/>
  <c r="W10" i="11"/>
  <c r="W69" i="11"/>
  <c r="W72" i="11"/>
  <c r="U107" i="12"/>
  <c r="W47" i="11"/>
  <c r="W24" i="11"/>
  <c r="V47" i="12"/>
  <c r="W58" i="11"/>
  <c r="V50" i="12"/>
  <c r="V8" i="12"/>
  <c r="V24" i="12"/>
  <c r="V58" i="12"/>
  <c r="V60" i="12"/>
  <c r="V104" i="12"/>
  <c r="V105" i="12" s="1"/>
  <c r="V106" i="12" s="1"/>
  <c r="U112" i="11"/>
  <c r="W37" i="11"/>
  <c r="W17" i="11"/>
  <c r="W38" i="11"/>
  <c r="W65" i="11"/>
  <c r="W116" i="11"/>
  <c r="W169" i="11" s="1"/>
  <c r="W127" i="11"/>
  <c r="T97" i="11"/>
  <c r="U7" i="13"/>
  <c r="U8" i="13" s="1"/>
  <c r="BP47" i="7"/>
  <c r="BR38" i="7"/>
  <c r="BL46" i="6"/>
  <c r="BI47" i="6"/>
  <c r="BJ46" i="6"/>
  <c r="AG72" i="9"/>
  <c r="AX4" i="6"/>
  <c r="AY5" i="6"/>
  <c r="R156" i="11"/>
  <c r="R164" i="11" s="1"/>
  <c r="U9" i="6"/>
  <c r="AF89" i="9"/>
  <c r="AF90" i="9" s="1"/>
  <c r="T8" i="6"/>
  <c r="T67" i="6"/>
  <c r="T64" i="6"/>
  <c r="BP38" i="7"/>
  <c r="V158" i="11"/>
  <c r="V117" i="11"/>
  <c r="V148" i="11"/>
  <c r="X1" i="12"/>
  <c r="U18" i="6"/>
  <c r="U19" i="6" s="1"/>
  <c r="S156" i="11"/>
  <c r="S164" i="11" s="1"/>
  <c r="BF44" i="6"/>
  <c r="BG44" i="6" s="1"/>
  <c r="V46" i="11"/>
  <c r="R97" i="12"/>
  <c r="U32" i="7"/>
  <c r="T32" i="6"/>
  <c r="U7" i="6"/>
  <c r="U64" i="6" s="1"/>
  <c r="U170" i="12"/>
  <c r="V159" i="11"/>
  <c r="V111" i="11"/>
  <c r="U5" i="5" a="1"/>
  <c r="U5" i="5" s="1"/>
  <c r="U15" i="5" a="1"/>
  <c r="U15" i="5" s="1"/>
  <c r="V1" i="5"/>
  <c r="V55" i="7"/>
  <c r="V54" i="7" s="1"/>
  <c r="V52" i="7"/>
  <c r="V31" i="7"/>
  <c r="V21" i="7"/>
  <c r="V9" i="7"/>
  <c r="V68" i="7"/>
  <c r="V65" i="7"/>
  <c r="W1" i="7"/>
  <c r="V37" i="7" s="1"/>
  <c r="V38" i="7" s="1"/>
  <c r="U25" i="13"/>
  <c r="U11" i="13"/>
  <c r="V2" i="13"/>
  <c r="U5" i="13"/>
  <c r="U9" i="13" s="1"/>
  <c r="V4" i="13" s="1"/>
  <c r="U84" i="11"/>
  <c r="U21" i="6"/>
  <c r="U20" i="6" s="1"/>
  <c r="AF70" i="10"/>
  <c r="V173" i="11"/>
  <c r="V139" i="11"/>
  <c r="U175" i="12"/>
  <c r="U178" i="12"/>
  <c r="U81" i="12"/>
  <c r="U83" i="12" s="1"/>
  <c r="AG65" i="9"/>
  <c r="AG87" i="9"/>
  <c r="AG68" i="9"/>
  <c r="AG88" i="9"/>
  <c r="AG86" i="9"/>
  <c r="AG85" i="9"/>
  <c r="AG84" i="9"/>
  <c r="AG89" i="9" s="1"/>
  <c r="AG90" i="9" s="1"/>
  <c r="BQ38" i="7"/>
  <c r="U65" i="7"/>
  <c r="U31" i="6"/>
  <c r="AG60" i="10"/>
  <c r="AG59" i="10"/>
  <c r="AG58" i="10"/>
  <c r="AG33" i="10"/>
  <c r="AG70" i="10" s="1"/>
  <c r="AG11" i="10"/>
  <c r="AG16" i="10"/>
  <c r="AG21" i="10"/>
  <c r="AG5" i="10"/>
  <c r="AG56" i="10"/>
  <c r="AG10" i="10"/>
  <c r="AG15" i="10"/>
  <c r="AG53" i="10"/>
  <c r="AG20" i="10"/>
  <c r="AG9" i="10"/>
  <c r="AG4" i="10"/>
  <c r="AG14" i="10"/>
  <c r="AG54" i="10"/>
  <c r="AG19" i="10"/>
  <c r="AG8" i="10"/>
  <c r="AH1" i="10"/>
  <c r="AG61" i="10"/>
  <c r="AG57" i="10"/>
  <c r="AG13" i="10"/>
  <c r="AG18" i="10"/>
  <c r="AG43" i="10"/>
  <c r="AG41" i="10"/>
  <c r="AG40" i="10"/>
  <c r="AG71" i="10" s="1"/>
  <c r="AG23" i="10"/>
  <c r="AG17" i="10"/>
  <c r="AG55" i="10"/>
  <c r="AG42" i="10"/>
  <c r="AG34" i="10"/>
  <c r="AG22" i="10"/>
  <c r="AG12" i="10"/>
  <c r="AG7" i="10"/>
  <c r="BP53" i="6"/>
  <c r="BQ53" i="6" s="1"/>
  <c r="BV38" i="6"/>
  <c r="U158" i="12"/>
  <c r="U117" i="12"/>
  <c r="U65" i="6"/>
  <c r="U159" i="12"/>
  <c r="U111" i="12"/>
  <c r="AH58" i="9"/>
  <c r="AH42" i="9"/>
  <c r="AH8" i="9"/>
  <c r="AH63" i="9"/>
  <c r="AH57" i="9"/>
  <c r="AH18" i="9"/>
  <c r="AH41" i="9"/>
  <c r="AH7" i="9"/>
  <c r="AH56" i="9"/>
  <c r="AH12" i="9"/>
  <c r="AH62" i="9"/>
  <c r="AH55" i="9"/>
  <c r="AH40" i="9"/>
  <c r="AH71" i="9" s="1"/>
  <c r="AH35" i="9"/>
  <c r="AH11" i="9"/>
  <c r="AH5" i="9"/>
  <c r="AH61" i="9"/>
  <c r="AH54" i="9"/>
  <c r="AH16" i="9"/>
  <c r="AH34" i="9"/>
  <c r="AH44" i="9"/>
  <c r="AH10" i="9"/>
  <c r="AH4" i="9"/>
  <c r="AH33" i="9"/>
  <c r="AH37" i="9"/>
  <c r="AH14" i="9"/>
  <c r="AI1" i="9"/>
  <c r="AH48" i="9"/>
  <c r="AH15" i="9"/>
  <c r="AH53" i="9"/>
  <c r="AH19" i="9"/>
  <c r="AH9" i="9"/>
  <c r="AH13" i="9"/>
  <c r="AH17" i="9"/>
  <c r="AH20" i="9"/>
  <c r="AH60" i="9"/>
  <c r="AH59" i="9"/>
  <c r="AH43" i="9"/>
  <c r="AH64" i="9"/>
  <c r="AH36" i="9"/>
  <c r="AH49" i="9"/>
  <c r="AH45" i="9"/>
  <c r="AH38" i="9"/>
  <c r="AH21" i="9"/>
  <c r="AH46" i="9"/>
  <c r="AH50" i="9"/>
  <c r="AH22" i="9"/>
  <c r="AH51" i="9"/>
  <c r="AH23" i="9"/>
  <c r="AH47" i="9"/>
  <c r="AH24" i="9"/>
  <c r="AH25" i="9"/>
  <c r="AH26" i="9"/>
  <c r="AH27" i="9"/>
  <c r="AH28" i="9"/>
  <c r="AH29" i="9"/>
  <c r="AH30" i="9"/>
  <c r="AH31" i="9"/>
  <c r="U68" i="7"/>
  <c r="BO47" i="7"/>
  <c r="U119" i="11"/>
  <c r="U9" i="7"/>
  <c r="U163" i="11"/>
  <c r="BS19" i="7"/>
  <c r="BT19" i="7" s="1"/>
  <c r="U19" i="11"/>
  <c r="U20" i="11" s="1"/>
  <c r="U9" i="3" a="1"/>
  <c r="U9" i="3" s="1"/>
  <c r="V1" i="3"/>
  <c r="V178" i="11"/>
  <c r="V175" i="11"/>
  <c r="U18" i="12"/>
  <c r="V33" i="6"/>
  <c r="V7" i="6"/>
  <c r="V31" i="6"/>
  <c r="V21" i="6"/>
  <c r="W1" i="6"/>
  <c r="U18" i="7"/>
  <c r="U19" i="7" s="1"/>
  <c r="S150" i="12"/>
  <c r="BO44" i="7"/>
  <c r="V71" i="11"/>
  <c r="V74" i="11" s="1"/>
  <c r="Y1" i="11"/>
  <c r="AG71" i="9"/>
  <c r="T141" i="11"/>
  <c r="U7" i="7"/>
  <c r="U64" i="7" s="1"/>
  <c r="U52" i="6"/>
  <c r="U53" i="6" s="1"/>
  <c r="AF73" i="9"/>
  <c r="AF74" i="9" s="1"/>
  <c r="AF65" i="10"/>
  <c r="AF68" i="10"/>
  <c r="AF88" i="10"/>
  <c r="AF84" i="10"/>
  <c r="AF87" i="10"/>
  <c r="AF86" i="10"/>
  <c r="AF85" i="10"/>
  <c r="BN44" i="7"/>
  <c r="V29" i="11"/>
  <c r="V30" i="11" s="1"/>
  <c r="V61" i="11"/>
  <c r="U53" i="7"/>
  <c r="T119" i="12"/>
  <c r="U37" i="6"/>
  <c r="U38" i="6" s="1"/>
  <c r="V13" i="11"/>
  <c r="V15" i="11" s="1"/>
  <c r="U148" i="12"/>
  <c r="U71" i="12"/>
  <c r="U74" i="12" s="1"/>
  <c r="U68" i="6"/>
  <c r="U37" i="7"/>
  <c r="U38" i="7" s="1"/>
  <c r="T163" i="12"/>
  <c r="U55" i="6"/>
  <c r="U54" i="6" s="1"/>
  <c r="N27" i="13"/>
  <c r="N28" i="13" s="1"/>
  <c r="Q156" i="12"/>
  <c r="Q164" i="12" s="1"/>
  <c r="U130" i="12"/>
  <c r="U55" i="7"/>
  <c r="U54" i="7" s="1"/>
  <c r="V6" i="13"/>
  <c r="V26" i="13"/>
  <c r="W1" i="13"/>
  <c r="U40" i="6"/>
  <c r="U39" i="6" s="1"/>
  <c r="BM53" i="7"/>
  <c r="AF71" i="10"/>
  <c r="AF72" i="10"/>
  <c r="W1" i="15"/>
  <c r="T67" i="7"/>
  <c r="BN19" i="6"/>
  <c r="BO19" i="6" s="1"/>
  <c r="V81" i="11"/>
  <c r="V83" i="11" s="1"/>
  <c r="U173" i="12"/>
  <c r="U139" i="12"/>
  <c r="BK46" i="6"/>
  <c r="BH47" i="6"/>
  <c r="U40" i="7"/>
  <c r="U39" i="7" s="1"/>
  <c r="U131" i="11"/>
  <c r="U141" i="11" s="1"/>
  <c r="AE73" i="10"/>
  <c r="AE74" i="10" s="1"/>
  <c r="T54" i="6"/>
  <c r="U33" i="6"/>
  <c r="U32" i="6" s="1"/>
  <c r="BQ46" i="7"/>
  <c r="BN47" i="7"/>
  <c r="AZ5" i="7"/>
  <c r="AY4" i="7"/>
  <c r="U29" i="12"/>
  <c r="U30" i="12" s="1"/>
  <c r="V170" i="11"/>
  <c r="V39" i="11"/>
  <c r="T88" i="11" a="1"/>
  <c r="W72" i="12" a="1"/>
  <c r="X145" i="11" a="1"/>
  <c r="X78" i="11" a="1"/>
  <c r="X44" i="11" a="1"/>
  <c r="X146" i="11" a="1"/>
  <c r="W59" i="12" a="1"/>
  <c r="W44" i="12" a="1"/>
  <c r="W125" i="12" a="1"/>
  <c r="X27" i="11" a="1"/>
  <c r="X116" i="11" a="1"/>
  <c r="X80" i="11" a="1"/>
  <c r="W16" i="12" a="1"/>
  <c r="W45" i="12" a="1"/>
  <c r="W109" i="12" a="1"/>
  <c r="W10" i="12" a="1"/>
  <c r="W129" i="12" a="1"/>
  <c r="W115" i="12" a="1"/>
  <c r="W4" i="12" a="1"/>
  <c r="X75" i="11" a="1"/>
  <c r="X36" i="11" a="1"/>
  <c r="W107" i="11" a="1"/>
  <c r="X67" i="11" a="1"/>
  <c r="U63" i="11" a="1"/>
  <c r="W52" i="12" a="1"/>
  <c r="T142" i="11" a="1"/>
  <c r="X28" i="11" a="1"/>
  <c r="X124" i="11" a="1"/>
  <c r="X134" i="11" a="1"/>
  <c r="W8" i="12" a="1"/>
  <c r="W146" i="12" a="1"/>
  <c r="W56" i="12" a="1"/>
  <c r="X35" i="11" a="1"/>
  <c r="X43" i="11" a="1"/>
  <c r="X8" i="11" a="1"/>
  <c r="X72" i="11" a="1"/>
  <c r="X115" i="11" a="1"/>
  <c r="V140" i="11" a="1"/>
  <c r="V31" i="11" a="1"/>
  <c r="X11" i="11" a="1"/>
  <c r="X33" i="11" a="1"/>
  <c r="U180" i="11" a="1"/>
  <c r="X66" i="11" a="1"/>
  <c r="X12" i="11" a="1"/>
  <c r="W53" i="12" a="1"/>
  <c r="S151" i="12" a="1"/>
  <c r="X55" i="11" a="1"/>
  <c r="X73" i="11" a="1"/>
  <c r="W69" i="12" a="1"/>
  <c r="W11" i="12" a="1"/>
  <c r="W127" i="12" a="1"/>
  <c r="X58" i="11" a="1"/>
  <c r="U142" i="11" a="1"/>
  <c r="X26" i="11" a="1"/>
  <c r="X48" i="11" a="1"/>
  <c r="X60" i="11" a="1"/>
  <c r="X127" i="11" a="1"/>
  <c r="W34" i="12" a="1"/>
  <c r="W6" i="11" a="1"/>
  <c r="X41" i="11" a="1"/>
  <c r="X56" i="11" a="1"/>
  <c r="X16" i="11" a="1"/>
  <c r="W55" i="12" a="1"/>
  <c r="W70" i="12" a="1"/>
  <c r="W124" i="12" a="1"/>
  <c r="W38" i="12" a="1"/>
  <c r="U140" i="12" a="1"/>
  <c r="W82" i="12" a="1"/>
  <c r="R165" i="11" a="1"/>
  <c r="T120" i="12" a="1"/>
  <c r="W78" i="12" a="1"/>
  <c r="W40" i="12" a="1"/>
  <c r="X144" i="11" a="1"/>
  <c r="W37" i="12" a="1"/>
  <c r="W136" i="12" a="1"/>
  <c r="T21" i="12" a="1"/>
  <c r="W57" i="12" a="1"/>
  <c r="V171" i="11" a="1"/>
  <c r="X14" i="11" a="1"/>
  <c r="X59" i="11" a="1"/>
  <c r="U21" i="11" a="1"/>
  <c r="W144" i="12" a="1"/>
  <c r="X10" i="11" a="1"/>
  <c r="V118" i="11" a="1"/>
  <c r="W33" i="12" a="1"/>
  <c r="U118" i="12" a="1"/>
  <c r="X147" i="11" a="1"/>
  <c r="X9" i="11" a="1"/>
  <c r="X52" i="11" a="1"/>
  <c r="W110" i="12" a="1"/>
  <c r="V149" i="11" a="1"/>
  <c r="Q165" i="12" a="1"/>
  <c r="W43" i="12" a="1"/>
  <c r="W54" i="12" a="1"/>
  <c r="W135" i="12" a="1"/>
  <c r="W50" i="12" a="1"/>
  <c r="W147" i="12" a="1"/>
  <c r="X110" i="11" a="1"/>
  <c r="W27" i="12" a="1"/>
  <c r="X123" i="11" a="1"/>
  <c r="X57" i="11" a="1"/>
  <c r="W24" i="12" a="1"/>
  <c r="U85" i="11" a="1"/>
  <c r="T180" i="12" a="1"/>
  <c r="W58" i="12" a="1"/>
  <c r="X34" i="11" a="1"/>
  <c r="U132" i="11" a="1"/>
  <c r="X37" i="11" a="1"/>
  <c r="X129" i="11" a="1"/>
  <c r="W28" i="12" a="1"/>
  <c r="X50" i="11" a="1"/>
  <c r="W77" i="12" a="1"/>
  <c r="W9" i="12" a="1"/>
  <c r="X69" i="11" a="1"/>
  <c r="X77" i="11" a="1"/>
  <c r="U112" i="12" a="1"/>
  <c r="W25" i="12" a="1"/>
  <c r="W68" i="12" a="1"/>
  <c r="S165" i="11" a="1"/>
  <c r="W104" i="12" a="1"/>
  <c r="X54" i="11" a="1"/>
  <c r="R98" i="12" a="1"/>
  <c r="X68" i="11" a="1"/>
  <c r="X38" i="11" a="1"/>
  <c r="W114" i="12" a="1"/>
  <c r="W145" i="12" a="1"/>
  <c r="T63" i="12" a="1"/>
  <c r="X109" i="11" a="1"/>
  <c r="X136" i="11" a="1"/>
  <c r="W134" i="12" a="1"/>
  <c r="U120" i="11" a="1"/>
  <c r="W35" i="12" a="1"/>
  <c r="X17" i="11" a="1"/>
  <c r="X47" i="11" a="1"/>
  <c r="X70" i="11" a="1"/>
  <c r="X133" i="11" a="1"/>
  <c r="T142" i="12" a="1"/>
  <c r="W47" i="12" a="1"/>
  <c r="W116" i="12" a="1"/>
  <c r="X82" i="11" a="1"/>
  <c r="X4" i="11" a="1"/>
  <c r="W76" i="12" a="1"/>
  <c r="W49" i="12" a="1"/>
  <c r="W133" i="12" a="1"/>
  <c r="T85" i="12" a="1"/>
  <c r="X49" i="11" a="1"/>
  <c r="W48" i="12" a="1"/>
  <c r="V6" i="12" a="1"/>
  <c r="X65" i="11" a="1"/>
  <c r="X53" i="11" a="1"/>
  <c r="W123" i="12" a="1"/>
  <c r="W67" i="12" a="1"/>
  <c r="V112" i="11" a="1"/>
  <c r="W79" i="12" a="1"/>
  <c r="V107" i="12" a="1"/>
  <c r="T132" i="12" a="1"/>
  <c r="S88" i="12" a="1"/>
  <c r="U31" i="12" a="1"/>
  <c r="X40" i="11" a="1"/>
  <c r="X79" i="11" a="1"/>
  <c r="U171" i="12" a="1"/>
  <c r="T98" i="11" a="1"/>
  <c r="X25" i="11" a="1"/>
  <c r="X104" i="11" a="1"/>
  <c r="U149" i="12" a="1"/>
  <c r="W14" i="12" a="1"/>
  <c r="W36" i="12" a="1"/>
  <c r="W60" i="12" a="1"/>
  <c r="X135" i="11" a="1"/>
  <c r="X76" i="11" a="1"/>
  <c r="W65" i="12" a="1"/>
  <c r="W73" i="12" a="1"/>
  <c r="X45" i="11" a="1"/>
  <c r="W66" i="12" a="1"/>
  <c r="W17" i="12" a="1"/>
  <c r="X125" i="11" a="1"/>
  <c r="W26" i="12" a="1"/>
  <c r="W12" i="12" a="1"/>
  <c r="W41" i="12" a="1"/>
  <c r="W75" i="12" a="1"/>
  <c r="X114" i="11" a="1"/>
  <c r="X24" i="11" a="1"/>
  <c r="W80" i="12" a="1"/>
  <c r="T132" i="12" l="1"/>
  <c r="V131" i="11"/>
  <c r="V19" i="11"/>
  <c r="V20" i="11" s="1"/>
  <c r="U131" i="12"/>
  <c r="U141" i="12" s="1"/>
  <c r="U150" i="12" s="1"/>
  <c r="T21" i="12"/>
  <c r="T88" i="11"/>
  <c r="U19" i="12"/>
  <c r="U20" i="12" s="1"/>
  <c r="W126" i="11"/>
  <c r="V42" i="12"/>
  <c r="V39" i="12"/>
  <c r="V84" i="11"/>
  <c r="U62" i="12"/>
  <c r="T180" i="12"/>
  <c r="W39" i="11"/>
  <c r="V126" i="12"/>
  <c r="V71" i="12"/>
  <c r="V74" i="12" s="1"/>
  <c r="V18" i="12"/>
  <c r="W71" i="11"/>
  <c r="W74" i="11" s="1"/>
  <c r="U179" i="12"/>
  <c r="W130" i="11"/>
  <c r="T85" i="12"/>
  <c r="U180" i="11"/>
  <c r="T63" i="12"/>
  <c r="U63" i="11"/>
  <c r="V81" i="12"/>
  <c r="V83" i="12" s="1"/>
  <c r="V170" i="12"/>
  <c r="V13" i="12"/>
  <c r="V15" i="12" s="1"/>
  <c r="T86" i="12"/>
  <c r="T87" i="12" s="1"/>
  <c r="T97" i="12" s="1"/>
  <c r="W46" i="11"/>
  <c r="V62" i="11"/>
  <c r="W42" i="11"/>
  <c r="U84" i="12"/>
  <c r="U142" i="11"/>
  <c r="Q165" i="12"/>
  <c r="X8" i="11"/>
  <c r="X77" i="11"/>
  <c r="X80" i="11"/>
  <c r="X147" i="11"/>
  <c r="W36" i="12"/>
  <c r="W70" i="12"/>
  <c r="W133" i="12"/>
  <c r="X33" i="11"/>
  <c r="W145" i="12"/>
  <c r="X67" i="11"/>
  <c r="U85" i="11"/>
  <c r="W12" i="12"/>
  <c r="W136" i="12"/>
  <c r="V107" i="12"/>
  <c r="X58" i="11"/>
  <c r="X17" i="11"/>
  <c r="X43" i="11"/>
  <c r="X69" i="11"/>
  <c r="X116" i="11"/>
  <c r="X169" i="11" s="1"/>
  <c r="U118" i="12"/>
  <c r="W14" i="12"/>
  <c r="W55" i="12"/>
  <c r="W49" i="12"/>
  <c r="W80" i="12"/>
  <c r="W114" i="12"/>
  <c r="W107" i="11"/>
  <c r="W24" i="12"/>
  <c r="W26" i="12"/>
  <c r="W37" i="12"/>
  <c r="W79" i="12"/>
  <c r="W127" i="12"/>
  <c r="V149" i="11"/>
  <c r="X35" i="11"/>
  <c r="W9" i="12"/>
  <c r="X27" i="11"/>
  <c r="W33" i="12"/>
  <c r="U149" i="12"/>
  <c r="X16" i="11"/>
  <c r="W76" i="12"/>
  <c r="X11" i="11"/>
  <c r="X38" i="11"/>
  <c r="X36" i="11"/>
  <c r="X57" i="11"/>
  <c r="X125" i="11"/>
  <c r="X160" i="11" s="1"/>
  <c r="X144" i="11"/>
  <c r="V112" i="11"/>
  <c r="W11" i="12"/>
  <c r="W35" i="12"/>
  <c r="W56" i="12"/>
  <c r="W77" i="12"/>
  <c r="W125" i="12"/>
  <c r="W160" i="12" s="1"/>
  <c r="V118" i="11"/>
  <c r="X104" i="11"/>
  <c r="X105" i="11" s="1"/>
  <c r="X106" i="11" s="1"/>
  <c r="X56" i="11"/>
  <c r="X4" i="11"/>
  <c r="X5" i="11" s="1"/>
  <c r="X24" i="11"/>
  <c r="X68" i="11"/>
  <c r="X75" i="11"/>
  <c r="X123" i="11"/>
  <c r="W17" i="12"/>
  <c r="W40" i="12"/>
  <c r="W67" i="12"/>
  <c r="W69" i="12"/>
  <c r="W110" i="12"/>
  <c r="W167" i="12" s="1"/>
  <c r="W146" i="12"/>
  <c r="X50" i="11"/>
  <c r="W44" i="12"/>
  <c r="X10" i="11"/>
  <c r="X25" i="11"/>
  <c r="X41" i="11"/>
  <c r="X82" i="11"/>
  <c r="X114" i="11"/>
  <c r="R98" i="12"/>
  <c r="W4" i="12"/>
  <c r="W5" i="12" s="1"/>
  <c r="W27" i="12"/>
  <c r="W66" i="12"/>
  <c r="W78" i="12"/>
  <c r="W123" i="12"/>
  <c r="X73" i="11"/>
  <c r="U120" i="11"/>
  <c r="W8" i="12"/>
  <c r="W28" i="12"/>
  <c r="W59" i="12"/>
  <c r="W144" i="12"/>
  <c r="T98" i="11"/>
  <c r="W6" i="11"/>
  <c r="W116" i="12"/>
  <c r="W169" i="12" s="1"/>
  <c r="V31" i="11"/>
  <c r="X54" i="11"/>
  <c r="W115" i="12"/>
  <c r="W168" i="12" s="1"/>
  <c r="X110" i="11"/>
  <c r="X167" i="11" s="1"/>
  <c r="X45" i="11"/>
  <c r="T120" i="12"/>
  <c r="X53" i="11"/>
  <c r="X55" i="11"/>
  <c r="X52" i="11"/>
  <c r="X134" i="11"/>
  <c r="X129" i="11"/>
  <c r="X162" i="11" s="1"/>
  <c r="X146" i="11"/>
  <c r="U21" i="11"/>
  <c r="U171" i="12"/>
  <c r="W34" i="12"/>
  <c r="W47" i="12"/>
  <c r="W75" i="12"/>
  <c r="W104" i="12"/>
  <c r="W105" i="12" s="1"/>
  <c r="W106" i="12" s="1"/>
  <c r="W129" i="12"/>
  <c r="W162" i="12" s="1"/>
  <c r="W147" i="12"/>
  <c r="W73" i="12"/>
  <c r="R165" i="11"/>
  <c r="X65" i="11"/>
  <c r="S151" i="12"/>
  <c r="X9" i="11"/>
  <c r="X124" i="11"/>
  <c r="X37" i="11"/>
  <c r="X44" i="11"/>
  <c r="X59" i="11"/>
  <c r="X79" i="11"/>
  <c r="X127" i="11"/>
  <c r="T142" i="12"/>
  <c r="V140" i="11"/>
  <c r="S165" i="11"/>
  <c r="W10" i="12"/>
  <c r="W50" i="12"/>
  <c r="W65" i="12"/>
  <c r="W82" i="12"/>
  <c r="V6" i="12"/>
  <c r="W53" i="12"/>
  <c r="W134" i="12"/>
  <c r="X28" i="11"/>
  <c r="U132" i="11"/>
  <c r="X78" i="11"/>
  <c r="X14" i="11"/>
  <c r="X40" i="11"/>
  <c r="X60" i="11"/>
  <c r="X133" i="11"/>
  <c r="W41" i="12"/>
  <c r="W68" i="12"/>
  <c r="W109" i="12"/>
  <c r="W135" i="12"/>
  <c r="W174" i="12" s="1"/>
  <c r="X76" i="11"/>
  <c r="U140" i="12"/>
  <c r="W48" i="12"/>
  <c r="X12" i="11"/>
  <c r="X136" i="11"/>
  <c r="T142" i="11"/>
  <c r="X34" i="11"/>
  <c r="X145" i="11"/>
  <c r="V171" i="11"/>
  <c r="U31" i="12"/>
  <c r="X48" i="11"/>
  <c r="X70" i="11"/>
  <c r="X115" i="11"/>
  <c r="X168" i="11" s="1"/>
  <c r="W25" i="12"/>
  <c r="W45" i="12"/>
  <c r="W54" i="12"/>
  <c r="X135" i="11"/>
  <c r="X174" i="11" s="1"/>
  <c r="W38" i="12"/>
  <c r="X49" i="11"/>
  <c r="X66" i="11"/>
  <c r="X109" i="11"/>
  <c r="W52" i="12"/>
  <c r="W58" i="12"/>
  <c r="W72" i="12"/>
  <c r="W57" i="12"/>
  <c r="S88" i="12"/>
  <c r="X26" i="11"/>
  <c r="X47" i="11"/>
  <c r="X72" i="11"/>
  <c r="U112" i="12"/>
  <c r="W16" i="12"/>
  <c r="W43" i="12"/>
  <c r="W60" i="12"/>
  <c r="W124" i="12"/>
  <c r="BJ44" i="6"/>
  <c r="BH44" i="6"/>
  <c r="V7" i="13"/>
  <c r="V8" i="13" s="1"/>
  <c r="U150" i="11"/>
  <c r="U67" i="6"/>
  <c r="U8" i="6"/>
  <c r="BL47" i="6"/>
  <c r="V159" i="12"/>
  <c r="V111" i="12"/>
  <c r="W29" i="11"/>
  <c r="W30" i="11" s="1"/>
  <c r="Q181" i="12"/>
  <c r="X1" i="6"/>
  <c r="W40" i="6" s="1"/>
  <c r="W52" i="6"/>
  <c r="W33" i="6"/>
  <c r="W18" i="6"/>
  <c r="W7" i="6"/>
  <c r="W9" i="6"/>
  <c r="AG72" i="10"/>
  <c r="AG81" i="9"/>
  <c r="AG82" i="9" s="1"/>
  <c r="V18" i="7"/>
  <c r="V19" i="7" s="1"/>
  <c r="Y1" i="12"/>
  <c r="V61" i="12"/>
  <c r="U86" i="11"/>
  <c r="U87" i="11" s="1"/>
  <c r="V29" i="12"/>
  <c r="V30" i="12" s="1"/>
  <c r="V37" i="6"/>
  <c r="V38" i="6" s="1"/>
  <c r="U119" i="12"/>
  <c r="V7" i="7"/>
  <c r="V64" i="7" s="1"/>
  <c r="W81" i="11"/>
  <c r="W83" i="11" s="1"/>
  <c r="AH70" i="9"/>
  <c r="AH69" i="9"/>
  <c r="U163" i="12"/>
  <c r="V25" i="13"/>
  <c r="V11" i="13"/>
  <c r="W2" i="13"/>
  <c r="V5" i="13"/>
  <c r="V9" i="13" s="1"/>
  <c r="W4" i="13" s="1"/>
  <c r="V53" i="7"/>
  <c r="BU19" i="7"/>
  <c r="W148" i="11"/>
  <c r="W13" i="11"/>
  <c r="W15" i="11" s="1"/>
  <c r="V52" i="6"/>
  <c r="V53" i="6" s="1"/>
  <c r="AH65" i="9"/>
  <c r="AH68" i="9"/>
  <c r="AH87" i="9"/>
  <c r="AH86" i="9"/>
  <c r="AH85" i="9"/>
  <c r="AH88" i="9"/>
  <c r="AH84" i="9"/>
  <c r="V119" i="11"/>
  <c r="W26" i="13"/>
  <c r="W6" i="13"/>
  <c r="X1" i="13"/>
  <c r="V55" i="6"/>
  <c r="BT38" i="7"/>
  <c r="V163" i="11"/>
  <c r="AY4" i="6"/>
  <c r="AZ5" i="6"/>
  <c r="V148" i="12"/>
  <c r="W61" i="11"/>
  <c r="V40" i="6"/>
  <c r="R156" i="12"/>
  <c r="R164" i="12" s="1"/>
  <c r="BS38" i="7"/>
  <c r="V173" i="12"/>
  <c r="V139" i="12"/>
  <c r="W18" i="11"/>
  <c r="N29" i="13"/>
  <c r="O24" i="13" s="1"/>
  <c r="V32" i="6"/>
  <c r="AH61" i="10"/>
  <c r="AH41" i="10"/>
  <c r="AH59" i="10"/>
  <c r="AH16" i="10"/>
  <c r="AH21" i="10"/>
  <c r="AH5" i="10"/>
  <c r="AH56" i="10"/>
  <c r="AH10" i="10"/>
  <c r="AH15" i="10"/>
  <c r="AH58" i="10"/>
  <c r="AH53" i="10"/>
  <c r="AH20" i="10"/>
  <c r="AH9" i="10"/>
  <c r="AH4" i="10"/>
  <c r="AH14" i="10"/>
  <c r="AH54" i="10"/>
  <c r="AH19" i="10"/>
  <c r="AH8" i="10"/>
  <c r="AI1" i="10"/>
  <c r="AH57" i="10"/>
  <c r="AH13" i="10"/>
  <c r="AH18" i="10"/>
  <c r="AH43" i="10"/>
  <c r="AH40" i="10"/>
  <c r="AH71" i="10" s="1"/>
  <c r="AH23" i="10"/>
  <c r="AH60" i="10"/>
  <c r="AH55" i="10"/>
  <c r="AH42" i="10"/>
  <c r="AH34" i="10"/>
  <c r="AH12" i="10"/>
  <c r="AH7" i="10"/>
  <c r="AH22" i="10"/>
  <c r="AH33" i="10"/>
  <c r="AH11" i="10"/>
  <c r="AH17" i="10"/>
  <c r="V5" i="5" a="1"/>
  <c r="V5" i="5" s="1"/>
  <c r="W1" i="5"/>
  <c r="V15" i="5" a="1"/>
  <c r="V15" i="5" s="1"/>
  <c r="T156" i="11"/>
  <c r="T164" i="11" s="1"/>
  <c r="W158" i="11"/>
  <c r="W117" i="11"/>
  <c r="BU38" i="7"/>
  <c r="BQ47" i="7"/>
  <c r="W1" i="3"/>
  <c r="V9" i="3" a="1"/>
  <c r="V9" i="3" s="1"/>
  <c r="Z1" i="11"/>
  <c r="X1" i="15"/>
  <c r="V65" i="6"/>
  <c r="AG69" i="10"/>
  <c r="V40" i="7"/>
  <c r="V39" i="7" s="1"/>
  <c r="BI44" i="6"/>
  <c r="U20" i="7"/>
  <c r="BR53" i="6"/>
  <c r="V51" i="12"/>
  <c r="W178" i="11"/>
  <c r="W175" i="11"/>
  <c r="BN53" i="7"/>
  <c r="BO53" i="7" s="1"/>
  <c r="V20" i="7"/>
  <c r="R181" i="11"/>
  <c r="S152" i="12"/>
  <c r="AF81" i="10"/>
  <c r="AF82" i="10" s="1"/>
  <c r="T150" i="12"/>
  <c r="V68" i="6"/>
  <c r="V141" i="11"/>
  <c r="V150" i="11" s="1"/>
  <c r="S181" i="11"/>
  <c r="W170" i="11"/>
  <c r="W173" i="11"/>
  <c r="W139" i="11"/>
  <c r="V9" i="6"/>
  <c r="V179" i="11"/>
  <c r="W55" i="7"/>
  <c r="W37" i="7"/>
  <c r="W38" i="7" s="1"/>
  <c r="W52" i="7"/>
  <c r="W53" i="7" s="1"/>
  <c r="W7" i="7"/>
  <c r="W31" i="7"/>
  <c r="W68" i="7"/>
  <c r="X1" i="7"/>
  <c r="W33" i="7"/>
  <c r="W9" i="7"/>
  <c r="W18" i="7"/>
  <c r="W19" i="7" s="1"/>
  <c r="W40" i="7"/>
  <c r="W39" i="7" s="1"/>
  <c r="W51" i="11"/>
  <c r="W159" i="11"/>
  <c r="W111" i="11"/>
  <c r="V130" i="12"/>
  <c r="V158" i="12"/>
  <c r="V117" i="12"/>
  <c r="AF89" i="10"/>
  <c r="AF90" i="10" s="1"/>
  <c r="T150" i="11"/>
  <c r="BP19" i="6"/>
  <c r="V18" i="6"/>
  <c r="V19" i="6" s="1"/>
  <c r="AG73" i="9"/>
  <c r="AG74" i="9" s="1"/>
  <c r="V33" i="7"/>
  <c r="V32" i="7" s="1"/>
  <c r="BK47" i="6"/>
  <c r="AF73" i="10"/>
  <c r="AF74" i="10" s="1"/>
  <c r="AG65" i="10"/>
  <c r="AG68" i="10"/>
  <c r="AG73" i="10" s="1"/>
  <c r="AG74" i="10" s="1"/>
  <c r="AG87" i="10"/>
  <c r="AG86" i="10"/>
  <c r="AG88" i="10"/>
  <c r="AG85" i="10"/>
  <c r="AG84" i="10"/>
  <c r="BP44" i="7"/>
  <c r="BM46" i="6"/>
  <c r="BJ47" i="6"/>
  <c r="V46" i="12"/>
  <c r="V178" i="12"/>
  <c r="V175" i="12"/>
  <c r="U8" i="7"/>
  <c r="U67" i="7"/>
  <c r="AI63" i="9"/>
  <c r="AI13" i="9"/>
  <c r="AI57" i="9"/>
  <c r="AI41" i="9"/>
  <c r="AI7" i="9"/>
  <c r="AI56" i="9"/>
  <c r="AI12" i="9"/>
  <c r="AI62" i="9"/>
  <c r="AI17" i="9"/>
  <c r="AI55" i="9"/>
  <c r="AI40" i="9"/>
  <c r="AI35" i="9"/>
  <c r="AI11" i="9"/>
  <c r="AI5" i="9"/>
  <c r="AI61" i="9"/>
  <c r="AI54" i="9"/>
  <c r="AI16" i="9"/>
  <c r="AI34" i="9"/>
  <c r="AI44" i="9"/>
  <c r="AI10" i="9"/>
  <c r="AI4" i="9"/>
  <c r="AI60" i="9"/>
  <c r="AI53" i="9"/>
  <c r="AI48" i="9"/>
  <c r="AI15" i="9"/>
  <c r="AI43" i="9"/>
  <c r="AI58" i="9"/>
  <c r="AI42" i="9"/>
  <c r="AI18" i="9"/>
  <c r="AJ1" i="9"/>
  <c r="AI8" i="9"/>
  <c r="AI36" i="9"/>
  <c r="AI19" i="9"/>
  <c r="AI9" i="9"/>
  <c r="AI59" i="9"/>
  <c r="AI37" i="9"/>
  <c r="AI14" i="9"/>
  <c r="AI20" i="9"/>
  <c r="AI33" i="9"/>
  <c r="AI38" i="9"/>
  <c r="AI49" i="9"/>
  <c r="AI45" i="9"/>
  <c r="AI64" i="9"/>
  <c r="AI21" i="9"/>
  <c r="AI50" i="9"/>
  <c r="AI22" i="9"/>
  <c r="AI46" i="9"/>
  <c r="AI51" i="9"/>
  <c r="AI23" i="9"/>
  <c r="AI47" i="9"/>
  <c r="AI24" i="9"/>
  <c r="AI25" i="9"/>
  <c r="AI26" i="9"/>
  <c r="AI27" i="9"/>
  <c r="AI28" i="9"/>
  <c r="AI29" i="9"/>
  <c r="AI30" i="9"/>
  <c r="AI31" i="9"/>
  <c r="S97" i="12"/>
  <c r="AZ4" i="7"/>
  <c r="BA5" i="7"/>
  <c r="BR46" i="7"/>
  <c r="AH72" i="9"/>
  <c r="V63" i="11" a="1"/>
  <c r="X129" i="12" a="1"/>
  <c r="Y72" i="11" a="1"/>
  <c r="W6" i="12" a="1"/>
  <c r="Y125" i="11" a="1"/>
  <c r="Y35" i="11" a="1"/>
  <c r="X116" i="12" a="1"/>
  <c r="X68" i="12" a="1"/>
  <c r="Y45" i="11" a="1"/>
  <c r="V31" i="12" a="1"/>
  <c r="X73" i="12" a="1"/>
  <c r="X57" i="12" a="1"/>
  <c r="Y53" i="11" a="1"/>
  <c r="W140" i="11" a="1"/>
  <c r="Y34" i="11" a="1"/>
  <c r="X79" i="12" a="1"/>
  <c r="X41" i="12" a="1"/>
  <c r="Y134" i="11" a="1"/>
  <c r="R165" i="12" a="1"/>
  <c r="X72" i="12" a="1"/>
  <c r="X9" i="12" a="1"/>
  <c r="Y10" i="11" a="1"/>
  <c r="Y66" i="11" a="1"/>
  <c r="X24" i="12" a="1"/>
  <c r="Y26" i="11" a="1"/>
  <c r="V149" i="12" a="1"/>
  <c r="Y123" i="11" a="1"/>
  <c r="Y50" i="11" a="1"/>
  <c r="U21" i="12" a="1"/>
  <c r="Y73" i="11" a="1"/>
  <c r="Y59" i="11" a="1"/>
  <c r="Y52" i="11" a="1"/>
  <c r="X35" i="12" a="1"/>
  <c r="X53" i="12" a="1"/>
  <c r="Y129" i="11" a="1"/>
  <c r="Y12" i="11" a="1"/>
  <c r="X133" i="12" a="1"/>
  <c r="Y80" i="11" a="1"/>
  <c r="X75" i="12" a="1"/>
  <c r="X56" i="12" a="1"/>
  <c r="Y70" i="11" a="1"/>
  <c r="V142" i="11" a="1"/>
  <c r="X110" i="12" a="1"/>
  <c r="V85" i="11" a="1"/>
  <c r="W118" i="11" a="1"/>
  <c r="X36" i="12" a="1"/>
  <c r="U120" i="12" a="1"/>
  <c r="Q182" i="12" a="1"/>
  <c r="R182" i="11" a="1"/>
  <c r="X67" i="12" a="1"/>
  <c r="X28" i="12" a="1"/>
  <c r="Y69" i="11" a="1"/>
  <c r="Y41" i="11" a="1"/>
  <c r="V120" i="11" a="1"/>
  <c r="Y133" i="11" a="1"/>
  <c r="X104" i="12" a="1"/>
  <c r="X55" i="12" a="1"/>
  <c r="X70" i="12" a="1"/>
  <c r="Y38" i="11" a="1"/>
  <c r="Y76" i="11" a="1"/>
  <c r="Y37" i="11" a="1"/>
  <c r="X125" i="12" a="1"/>
  <c r="X134" i="12" a="1"/>
  <c r="X80" i="12" a="1"/>
  <c r="X48" i="12" a="1"/>
  <c r="Y110" i="11" a="1"/>
  <c r="Y25" i="11" a="1"/>
  <c r="X147" i="12" a="1"/>
  <c r="X4" i="12" a="1"/>
  <c r="Y104" i="11" a="1"/>
  <c r="X27" i="12" a="1"/>
  <c r="X66" i="12" a="1"/>
  <c r="T165" i="11" a="1"/>
  <c r="X115" i="12" a="1"/>
  <c r="X127" i="12" a="1"/>
  <c r="X65" i="12" a="1"/>
  <c r="U132" i="12" a="1"/>
  <c r="Y124" i="11" a="1"/>
  <c r="Y79" i="11" a="1"/>
  <c r="S182" i="11" a="1"/>
  <c r="X59" i="12" a="1"/>
  <c r="Y116" i="11" a="1"/>
  <c r="Y17" i="11" a="1"/>
  <c r="U151" i="11" a="1"/>
  <c r="X11" i="12" a="1"/>
  <c r="Y33" i="11" a="1"/>
  <c r="Y44" i="11" a="1"/>
  <c r="V112" i="12" a="1"/>
  <c r="Y56" i="11" a="1"/>
  <c r="X40" i="12" a="1"/>
  <c r="V171" i="12" a="1"/>
  <c r="Y127" i="11" a="1"/>
  <c r="X135" i="12" a="1"/>
  <c r="U142" i="12" a="1"/>
  <c r="X8" i="12" a="1"/>
  <c r="Y115" i="11" a="1"/>
  <c r="Y11" i="11" a="1"/>
  <c r="X146" i="12" a="1"/>
  <c r="Y135" i="11" a="1"/>
  <c r="V180" i="11" a="1"/>
  <c r="T98" i="12" a="1"/>
  <c r="Y60" i="11" a="1"/>
  <c r="Y55" i="11" a="1"/>
  <c r="X43" i="12" a="1"/>
  <c r="Y36" i="11" a="1"/>
  <c r="T88" i="12" a="1"/>
  <c r="X10" i="12" a="1"/>
  <c r="Y136" i="11" a="1"/>
  <c r="U151" i="12" a="1"/>
  <c r="W107" i="12" a="1"/>
  <c r="Y68" i="11" a="1"/>
  <c r="X107" i="11" a="1"/>
  <c r="V151" i="11" a="1"/>
  <c r="X77" i="12" a="1"/>
  <c r="W112" i="11" a="1"/>
  <c r="Y54" i="11" a="1"/>
  <c r="Y77" i="11" a="1"/>
  <c r="T151" i="12" a="1"/>
  <c r="X12" i="12" a="1"/>
  <c r="X54" i="12" a="1"/>
  <c r="X109" i="12" a="1"/>
  <c r="W31" i="11" a="1"/>
  <c r="Y28" i="11" a="1"/>
  <c r="X17" i="12" a="1"/>
  <c r="V21" i="11" a="1"/>
  <c r="X16" i="12" a="1"/>
  <c r="Y114" i="11" a="1"/>
  <c r="Y145" i="11" a="1"/>
  <c r="Y9" i="11" a="1"/>
  <c r="X145" i="12" a="1"/>
  <c r="X38" i="12" a="1"/>
  <c r="Y57" i="11" a="1"/>
  <c r="Y16" i="11" a="1"/>
  <c r="X50" i="12" a="1"/>
  <c r="Y49" i="11" a="1"/>
  <c r="X52" i="12" a="1"/>
  <c r="U88" i="11" a="1"/>
  <c r="X14" i="12" a="1"/>
  <c r="Y67" i="11" a="1"/>
  <c r="U180" i="12" a="1"/>
  <c r="Y14" i="11" a="1"/>
  <c r="V118" i="12" a="1"/>
  <c r="X78" i="12" a="1"/>
  <c r="Y75" i="11" a="1"/>
  <c r="Y4" i="11" a="1"/>
  <c r="X69" i="12" a="1"/>
  <c r="X58" i="12" a="1"/>
  <c r="Y27" i="11" a="1"/>
  <c r="X124" i="12" a="1"/>
  <c r="X47" i="12" a="1"/>
  <c r="X123" i="12" a="1"/>
  <c r="X82" i="12" a="1"/>
  <c r="X136" i="12" a="1"/>
  <c r="X6" i="11" a="1"/>
  <c r="X33" i="12" a="1"/>
  <c r="X45" i="12" a="1"/>
  <c r="X76" i="12" a="1"/>
  <c r="V140" i="12" a="1"/>
  <c r="X26" i="12" a="1"/>
  <c r="U63" i="12" a="1"/>
  <c r="Y65" i="11" a="1"/>
  <c r="Y24" i="11" a="1"/>
  <c r="Y8" i="11" a="1"/>
  <c r="X60" i="12" a="1"/>
  <c r="Y146" i="11" a="1"/>
  <c r="Y43" i="11" a="1"/>
  <c r="S98" i="12" a="1"/>
  <c r="X25" i="12" a="1"/>
  <c r="Y47" i="11" a="1"/>
  <c r="W149" i="11" a="1"/>
  <c r="X34" i="12" a="1"/>
  <c r="X37" i="12" a="1"/>
  <c r="Y109" i="11" a="1"/>
  <c r="Y78" i="11" a="1"/>
  <c r="U85" i="12" a="1"/>
  <c r="Y147" i="11" a="1"/>
  <c r="X44" i="12" a="1"/>
  <c r="Y82" i="11" a="1"/>
  <c r="W171" i="11" a="1"/>
  <c r="X114" i="12" a="1"/>
  <c r="X144" i="12" a="1"/>
  <c r="T151" i="11" a="1"/>
  <c r="X49" i="12" a="1"/>
  <c r="Y58" i="11" a="1"/>
  <c r="Y144" i="11" a="1"/>
  <c r="Y48" i="11" a="1"/>
  <c r="V132" i="11" a="1"/>
  <c r="Y40" i="11" a="1"/>
  <c r="V131" i="12" l="1"/>
  <c r="V141" i="12" s="1"/>
  <c r="V150" i="12" s="1"/>
  <c r="V132" i="11"/>
  <c r="V21" i="11"/>
  <c r="U132" i="12"/>
  <c r="V19" i="12"/>
  <c r="V20" i="12" s="1"/>
  <c r="W131" i="11"/>
  <c r="W141" i="11" s="1"/>
  <c r="W150" i="11" s="1"/>
  <c r="U21" i="12"/>
  <c r="U86" i="12"/>
  <c r="U87" i="12" s="1"/>
  <c r="U97" i="12" s="1"/>
  <c r="W84" i="11"/>
  <c r="X126" i="11"/>
  <c r="X42" i="11"/>
  <c r="U63" i="12"/>
  <c r="V85" i="11"/>
  <c r="W148" i="12"/>
  <c r="X18" i="11"/>
  <c r="U180" i="12"/>
  <c r="V84" i="12"/>
  <c r="W130" i="12"/>
  <c r="W62" i="11"/>
  <c r="X130" i="11"/>
  <c r="X61" i="11"/>
  <c r="U85" i="12"/>
  <c r="V63" i="11"/>
  <c r="T88" i="12"/>
  <c r="V171" i="12"/>
  <c r="X29" i="11"/>
  <c r="X30" i="11" s="1"/>
  <c r="X39" i="11"/>
  <c r="V86" i="11"/>
  <c r="V87" i="11" s="1"/>
  <c r="V97" i="11" s="1"/>
  <c r="W81" i="12"/>
  <c r="W83" i="12" s="1"/>
  <c r="W170" i="12"/>
  <c r="W18" i="12"/>
  <c r="V62" i="12"/>
  <c r="U151" i="12"/>
  <c r="V151" i="11"/>
  <c r="U88" i="11"/>
  <c r="X57" i="12"/>
  <c r="T151" i="12"/>
  <c r="Y60" i="11"/>
  <c r="V149" i="12"/>
  <c r="X34" i="12"/>
  <c r="X77" i="12"/>
  <c r="X56" i="12"/>
  <c r="X115" i="12"/>
  <c r="X168" i="12" s="1"/>
  <c r="X52" i="12"/>
  <c r="Y34" i="11"/>
  <c r="Y48" i="11"/>
  <c r="Y77" i="11"/>
  <c r="T165" i="11"/>
  <c r="U120" i="12"/>
  <c r="X28" i="12"/>
  <c r="X47" i="12"/>
  <c r="X73" i="12"/>
  <c r="X136" i="12"/>
  <c r="T98" i="12"/>
  <c r="Y44" i="11"/>
  <c r="W149" i="11"/>
  <c r="Y36" i="11"/>
  <c r="X75" i="12"/>
  <c r="Y26" i="11"/>
  <c r="Y49" i="11"/>
  <c r="Y78" i="11"/>
  <c r="Y76" i="11"/>
  <c r="Y133" i="11"/>
  <c r="X66" i="12"/>
  <c r="X40" i="12"/>
  <c r="X76" i="12"/>
  <c r="X124" i="12"/>
  <c r="V31" i="12"/>
  <c r="Y40" i="11"/>
  <c r="V180" i="11"/>
  <c r="Y33" i="11"/>
  <c r="Y47" i="11"/>
  <c r="Y67" i="11"/>
  <c r="Y80" i="11"/>
  <c r="X24" i="12"/>
  <c r="X50" i="12"/>
  <c r="X110" i="12"/>
  <c r="X167" i="12" s="1"/>
  <c r="X109" i="12"/>
  <c r="X144" i="12"/>
  <c r="X27" i="12"/>
  <c r="W112" i="11"/>
  <c r="X107" i="11"/>
  <c r="Y27" i="11"/>
  <c r="Y45" i="11"/>
  <c r="Y50" i="11"/>
  <c r="Y135" i="11"/>
  <c r="Y174" i="11" s="1"/>
  <c r="X11" i="12"/>
  <c r="X25" i="12"/>
  <c r="X65" i="12"/>
  <c r="X133" i="12"/>
  <c r="Y66" i="11"/>
  <c r="Y16" i="11"/>
  <c r="Y28" i="11"/>
  <c r="Y38" i="11"/>
  <c r="Y54" i="11"/>
  <c r="Y104" i="11"/>
  <c r="Y105" i="11" s="1"/>
  <c r="Y106" i="11" s="1"/>
  <c r="Y136" i="11"/>
  <c r="X67" i="12"/>
  <c r="X58" i="12"/>
  <c r="X68" i="12"/>
  <c r="X104" i="12"/>
  <c r="X105" i="12" s="1"/>
  <c r="X106" i="12" s="1"/>
  <c r="X146" i="12"/>
  <c r="U151" i="11"/>
  <c r="S98" i="12"/>
  <c r="W140" i="11"/>
  <c r="Y12" i="11"/>
  <c r="Y10" i="11"/>
  <c r="Y57" i="11"/>
  <c r="Y69" i="11"/>
  <c r="Y144" i="11"/>
  <c r="V120" i="11"/>
  <c r="X4" i="12"/>
  <c r="X5" i="12" s="1"/>
  <c r="X36" i="12"/>
  <c r="X45" i="12"/>
  <c r="X69" i="12"/>
  <c r="X116" i="12"/>
  <c r="X169" i="12" s="1"/>
  <c r="X82" i="12"/>
  <c r="Y11" i="11"/>
  <c r="Y17" i="11"/>
  <c r="Y43" i="11"/>
  <c r="Y109" i="11"/>
  <c r="Y129" i="11"/>
  <c r="Y162" i="11" s="1"/>
  <c r="X9" i="12"/>
  <c r="X38" i="12"/>
  <c r="X43" i="12"/>
  <c r="X54" i="12"/>
  <c r="X114" i="12"/>
  <c r="X147" i="12"/>
  <c r="X17" i="12"/>
  <c r="R182" i="11"/>
  <c r="Y4" i="11"/>
  <c r="Y5" i="11" s="1"/>
  <c r="Y35" i="11"/>
  <c r="Y56" i="11"/>
  <c r="Y115" i="11"/>
  <c r="Y168" i="11" s="1"/>
  <c r="Y116" i="11"/>
  <c r="Y169" i="11" s="1"/>
  <c r="Y146" i="11"/>
  <c r="X14" i="12"/>
  <c r="X53" i="12"/>
  <c r="X72" i="12"/>
  <c r="X145" i="12"/>
  <c r="V142" i="11"/>
  <c r="X70" i="12"/>
  <c r="W171" i="11"/>
  <c r="Y25" i="11"/>
  <c r="Y41" i="11"/>
  <c r="Y68" i="11"/>
  <c r="Y75" i="11"/>
  <c r="Y125" i="11"/>
  <c r="Y160" i="11" s="1"/>
  <c r="Y123" i="11"/>
  <c r="X8" i="12"/>
  <c r="X59" i="12"/>
  <c r="X60" i="12"/>
  <c r="X127" i="12"/>
  <c r="X35" i="12"/>
  <c r="R165" i="12"/>
  <c r="Y9" i="11"/>
  <c r="Y37" i="11"/>
  <c r="Y58" i="11"/>
  <c r="Y82" i="11"/>
  <c r="Y110" i="11"/>
  <c r="Y167" i="11" s="1"/>
  <c r="X10" i="12"/>
  <c r="X33" i="12"/>
  <c r="X78" i="12"/>
  <c r="W6" i="12"/>
  <c r="T151" i="11"/>
  <c r="U142" i="12"/>
  <c r="S182" i="11"/>
  <c r="Y8" i="11"/>
  <c r="Y53" i="11"/>
  <c r="Y52" i="11"/>
  <c r="Y134" i="11"/>
  <c r="Y145" i="11"/>
  <c r="V140" i="12"/>
  <c r="X12" i="12"/>
  <c r="X44" i="12"/>
  <c r="X48" i="12"/>
  <c r="X123" i="12"/>
  <c r="W107" i="12"/>
  <c r="Y72" i="11"/>
  <c r="W118" i="11"/>
  <c r="X135" i="12"/>
  <c r="X174" i="12" s="1"/>
  <c r="V118" i="12"/>
  <c r="Y24" i="11"/>
  <c r="Y55" i="11"/>
  <c r="Y59" i="11"/>
  <c r="Y79" i="11"/>
  <c r="Y114" i="11"/>
  <c r="X37" i="12"/>
  <c r="X55" i="12"/>
  <c r="X41" i="12"/>
  <c r="X80" i="12"/>
  <c r="X125" i="12"/>
  <c r="X160" i="12" s="1"/>
  <c r="Q182" i="12"/>
  <c r="Y147" i="11"/>
  <c r="X129" i="12"/>
  <c r="X162" i="12" s="1"/>
  <c r="V112" i="12"/>
  <c r="Y127" i="11"/>
  <c r="Y14" i="11"/>
  <c r="Y65" i="11"/>
  <c r="Y70" i="11"/>
  <c r="Y73" i="11"/>
  <c r="Y124" i="11"/>
  <c r="X16" i="12"/>
  <c r="X26" i="12"/>
  <c r="X49" i="12"/>
  <c r="X79" i="12"/>
  <c r="X134" i="12"/>
  <c r="W31" i="11"/>
  <c r="X6" i="11"/>
  <c r="W7" i="13"/>
  <c r="W8" i="13" s="1"/>
  <c r="U152" i="12"/>
  <c r="BP53" i="7"/>
  <c r="V152" i="11"/>
  <c r="U97" i="11"/>
  <c r="T152" i="12"/>
  <c r="W163" i="11"/>
  <c r="W19" i="6"/>
  <c r="W8" i="6"/>
  <c r="T181" i="11"/>
  <c r="AI60" i="10"/>
  <c r="AI56" i="10"/>
  <c r="AI53" i="10"/>
  <c r="AI57" i="10"/>
  <c r="AI21" i="10"/>
  <c r="AI5" i="10"/>
  <c r="AI10" i="10"/>
  <c r="AI15" i="10"/>
  <c r="AI58" i="10"/>
  <c r="AI20" i="10"/>
  <c r="AI9" i="10"/>
  <c r="AI4" i="10"/>
  <c r="AI14" i="10"/>
  <c r="AI54" i="10"/>
  <c r="AI19" i="10"/>
  <c r="AI8" i="10"/>
  <c r="AJ1" i="10"/>
  <c r="AI13" i="10"/>
  <c r="AI61" i="10"/>
  <c r="AI18" i="10"/>
  <c r="AI43" i="10"/>
  <c r="AI40" i="10"/>
  <c r="AI71" i="10" s="1"/>
  <c r="AI23" i="10"/>
  <c r="AI55" i="10"/>
  <c r="AI42" i="10"/>
  <c r="AI41" i="10"/>
  <c r="AI34" i="10"/>
  <c r="AI12" i="10"/>
  <c r="AI7" i="10"/>
  <c r="AI17" i="10"/>
  <c r="AI33" i="10"/>
  <c r="AI70" i="10" s="1"/>
  <c r="AI11" i="10"/>
  <c r="AI59" i="10"/>
  <c r="AI16" i="10"/>
  <c r="AI22" i="10"/>
  <c r="AZ4" i="6"/>
  <c r="BA5" i="6"/>
  <c r="AH73" i="9"/>
  <c r="AH74" i="9" s="1"/>
  <c r="T156" i="12"/>
  <c r="T164" i="12" s="1"/>
  <c r="BR47" i="7"/>
  <c r="W54" i="7"/>
  <c r="X26" i="13"/>
  <c r="Y1" i="13"/>
  <c r="X6" i="13"/>
  <c r="W53" i="6"/>
  <c r="AJ57" i="9"/>
  <c r="AJ36" i="9"/>
  <c r="AJ18" i="9"/>
  <c r="AJ41" i="9"/>
  <c r="AJ56" i="9"/>
  <c r="AJ12" i="9"/>
  <c r="AJ62" i="9"/>
  <c r="AJ17" i="9"/>
  <c r="AJ55" i="9"/>
  <c r="AJ40" i="9"/>
  <c r="AJ35" i="9"/>
  <c r="AJ61" i="9"/>
  <c r="AJ54" i="9"/>
  <c r="AJ16" i="9"/>
  <c r="AJ34" i="9"/>
  <c r="AJ44" i="9"/>
  <c r="AJ10" i="9"/>
  <c r="AJ4" i="9"/>
  <c r="AJ60" i="9"/>
  <c r="AJ53" i="9"/>
  <c r="AJ48" i="9"/>
  <c r="AJ15" i="9"/>
  <c r="AJ33" i="9"/>
  <c r="AJ20" i="9"/>
  <c r="AK1" i="9"/>
  <c r="AJ59" i="9"/>
  <c r="AJ37" i="9"/>
  <c r="AJ8" i="9"/>
  <c r="AJ63" i="9"/>
  <c r="AJ5" i="9"/>
  <c r="AJ19" i="9"/>
  <c r="AJ9" i="9"/>
  <c r="AJ13" i="9"/>
  <c r="AJ11" i="9"/>
  <c r="AJ7" i="9"/>
  <c r="AJ43" i="9"/>
  <c r="AJ14" i="9"/>
  <c r="AJ58" i="9"/>
  <c r="AJ42" i="9"/>
  <c r="AJ49" i="9"/>
  <c r="AJ45" i="9"/>
  <c r="AJ21" i="9"/>
  <c r="AJ64" i="9"/>
  <c r="AJ38" i="9"/>
  <c r="AJ22" i="9"/>
  <c r="AJ46" i="9"/>
  <c r="AJ50" i="9"/>
  <c r="AJ47" i="9"/>
  <c r="AJ23" i="9"/>
  <c r="AJ51" i="9"/>
  <c r="AJ24" i="9"/>
  <c r="AJ25" i="9"/>
  <c r="AJ26" i="9"/>
  <c r="AJ27" i="9"/>
  <c r="AJ28" i="9"/>
  <c r="AJ29" i="9"/>
  <c r="AJ30" i="9"/>
  <c r="AJ31" i="9"/>
  <c r="AA1" i="11"/>
  <c r="AH70" i="10"/>
  <c r="W25" i="13"/>
  <c r="W5" i="13"/>
  <c r="W9" i="13" s="1"/>
  <c r="X4" i="13" s="1"/>
  <c r="W11" i="13"/>
  <c r="X2" i="13"/>
  <c r="W37" i="6"/>
  <c r="W38" i="6" s="1"/>
  <c r="X159" i="11"/>
  <c r="X111" i="11"/>
  <c r="X178" i="11"/>
  <c r="X175" i="11"/>
  <c r="X173" i="11"/>
  <c r="X139" i="11"/>
  <c r="W13" i="12"/>
  <c r="W15" i="12" s="1"/>
  <c r="BA4" i="7"/>
  <c r="BB5" i="7"/>
  <c r="Y1" i="15"/>
  <c r="W55" i="6"/>
  <c r="W54" i="6" s="1"/>
  <c r="W173" i="12"/>
  <c r="W139" i="12"/>
  <c r="X13" i="11"/>
  <c r="X15" i="11" s="1"/>
  <c r="W61" i="12"/>
  <c r="X46" i="11"/>
  <c r="X81" i="11"/>
  <c r="X83" i="11" s="1"/>
  <c r="V8" i="7"/>
  <c r="AG81" i="10"/>
  <c r="AG82" i="10" s="1"/>
  <c r="BV19" i="7"/>
  <c r="V67" i="7"/>
  <c r="AH69" i="10"/>
  <c r="BS53" i="6"/>
  <c r="Z1" i="12"/>
  <c r="U152" i="11"/>
  <c r="S156" i="12"/>
  <c r="S164" i="12" s="1"/>
  <c r="AH65" i="10"/>
  <c r="AH68" i="10"/>
  <c r="AH86" i="10"/>
  <c r="AH85" i="10"/>
  <c r="AH88" i="10"/>
  <c r="AH84" i="10"/>
  <c r="AH87" i="10"/>
  <c r="X9" i="6"/>
  <c r="X33" i="6"/>
  <c r="X32" i="6" s="1"/>
  <c r="X55" i="6"/>
  <c r="X37" i="6"/>
  <c r="X52" i="6"/>
  <c r="X53" i="6" s="1"/>
  <c r="X7" i="6"/>
  <c r="X64" i="6" s="1"/>
  <c r="X31" i="6"/>
  <c r="X65" i="6"/>
  <c r="X21" i="6"/>
  <c r="Y1" i="6"/>
  <c r="W126" i="12"/>
  <c r="AI71" i="9"/>
  <c r="V8" i="6"/>
  <c r="V67" i="6"/>
  <c r="W179" i="11"/>
  <c r="O29" i="13"/>
  <c r="P24" i="13" s="1"/>
  <c r="O27" i="13"/>
  <c r="O28" i="13" s="1"/>
  <c r="V39" i="6"/>
  <c r="W65" i="6"/>
  <c r="W42" i="12"/>
  <c r="W8" i="7"/>
  <c r="W9" i="3" a="1"/>
  <c r="W9" i="3" s="1"/>
  <c r="X1" i="3"/>
  <c r="W5" i="5" a="1"/>
  <c r="W5" i="5" s="1"/>
  <c r="W15" i="5" a="1"/>
  <c r="W15" i="5" s="1"/>
  <c r="X1" i="5"/>
  <c r="AH89" i="9"/>
  <c r="AH90" i="9" s="1"/>
  <c r="W68" i="6"/>
  <c r="BS46" i="7"/>
  <c r="BU46" i="7" s="1"/>
  <c r="BU47" i="7" s="1"/>
  <c r="W46" i="12"/>
  <c r="X148" i="11"/>
  <c r="W39" i="12"/>
  <c r="W32" i="7"/>
  <c r="BT46" i="7"/>
  <c r="BT47" i="7" s="1"/>
  <c r="AH72" i="10"/>
  <c r="W19" i="11"/>
  <c r="W20" i="11" s="1"/>
  <c r="V64" i="6"/>
  <c r="W159" i="12"/>
  <c r="W111" i="12"/>
  <c r="X170" i="11"/>
  <c r="W175" i="12"/>
  <c r="W178" i="12"/>
  <c r="R181" i="12"/>
  <c r="BM47" i="6"/>
  <c r="AI70" i="9"/>
  <c r="X9" i="7"/>
  <c r="X68" i="7"/>
  <c r="Y1" i="7"/>
  <c r="X55" i="7" s="1"/>
  <c r="X54" i="7" s="1"/>
  <c r="X33" i="7"/>
  <c r="X52" i="7"/>
  <c r="X40" i="7"/>
  <c r="X37" i="7"/>
  <c r="BQ53" i="7"/>
  <c r="W29" i="12"/>
  <c r="W30" i="12" s="1"/>
  <c r="W71" i="12"/>
  <c r="W74" i="12" s="1"/>
  <c r="W64" i="7"/>
  <c r="T152" i="11"/>
  <c r="AI72" i="9"/>
  <c r="BN46" i="6"/>
  <c r="W65" i="7"/>
  <c r="BQ44" i="7"/>
  <c r="BR44" i="7" s="1"/>
  <c r="X71" i="11"/>
  <c r="X74" i="11" s="1"/>
  <c r="W119" i="11"/>
  <c r="AI65" i="9"/>
  <c r="AI68" i="9"/>
  <c r="AI87" i="9"/>
  <c r="AI88" i="9"/>
  <c r="AI84" i="9"/>
  <c r="AI85" i="9"/>
  <c r="AI86" i="9"/>
  <c r="AG89" i="10"/>
  <c r="AG90" i="10" s="1"/>
  <c r="V119" i="12"/>
  <c r="V179" i="12"/>
  <c r="V54" i="6"/>
  <c r="W21" i="6"/>
  <c r="W20" i="6" s="1"/>
  <c r="X51" i="11"/>
  <c r="X158" i="11"/>
  <c r="X117" i="11"/>
  <c r="W158" i="12"/>
  <c r="W117" i="12"/>
  <c r="AI69" i="9"/>
  <c r="V163" i="12"/>
  <c r="W21" i="7"/>
  <c r="W20" i="7" s="1"/>
  <c r="BQ19" i="6"/>
  <c r="BV38" i="7"/>
  <c r="V20" i="6"/>
  <c r="AH81" i="9"/>
  <c r="AH82" i="9" s="1"/>
  <c r="W31" i="6"/>
  <c r="W64" i="6" s="1"/>
  <c r="BK44" i="6"/>
  <c r="W51" i="12"/>
  <c r="V132" i="12" a="1"/>
  <c r="Y123" i="12" a="1"/>
  <c r="Z127" i="11" a="1"/>
  <c r="Y116" i="12" a="1"/>
  <c r="Y73" i="12" a="1"/>
  <c r="Z47" i="11" a="1"/>
  <c r="Z38" i="11" a="1"/>
  <c r="Y45" i="12" a="1"/>
  <c r="X6" i="12" a="1"/>
  <c r="Z77" i="11" a="1"/>
  <c r="Y82" i="12" a="1"/>
  <c r="Z65" i="11" a="1"/>
  <c r="W85" i="11" a="1"/>
  <c r="X118" i="11" a="1"/>
  <c r="Y67" i="12" a="1"/>
  <c r="Z123" i="11" a="1"/>
  <c r="Z69" i="11" a="1"/>
  <c r="Y38" i="12" a="1"/>
  <c r="Y70" i="12" a="1"/>
  <c r="Z76" i="11" a="1"/>
  <c r="Z8" i="11" a="1"/>
  <c r="Y129" i="12" a="1"/>
  <c r="Z44" i="11" a="1"/>
  <c r="V21" i="12" a="1"/>
  <c r="Y11" i="12" a="1"/>
  <c r="Z55" i="11" a="1"/>
  <c r="Y36" i="12" a="1"/>
  <c r="Z110" i="11" a="1"/>
  <c r="Z4" i="11" a="1"/>
  <c r="Y145" i="12" a="1"/>
  <c r="Y17" i="12" a="1"/>
  <c r="Z48" i="11" a="1"/>
  <c r="Z26" i="11" a="1"/>
  <c r="Y57" i="12" a="1"/>
  <c r="Y125" i="12" a="1"/>
  <c r="Z37" i="11" a="1"/>
  <c r="Y40" i="12" a="1"/>
  <c r="Z9" i="11" a="1"/>
  <c r="Y24" i="12" a="1"/>
  <c r="Z50" i="11" a="1"/>
  <c r="Z56" i="11" a="1"/>
  <c r="Y59" i="12" a="1"/>
  <c r="Y107" i="11" a="1"/>
  <c r="Z116" i="11" a="1"/>
  <c r="Y147" i="12" a="1"/>
  <c r="Z72" i="11" a="1"/>
  <c r="Y9" i="12" a="1"/>
  <c r="U88" i="12" a="1"/>
  <c r="V142" i="12" a="1"/>
  <c r="Y133" i="12" a="1"/>
  <c r="Y12" i="12" a="1"/>
  <c r="Z57" i="11" a="1"/>
  <c r="Y68" i="12" a="1"/>
  <c r="Y65" i="12" a="1"/>
  <c r="Y6" i="11" a="1"/>
  <c r="Z33" i="11" a="1"/>
  <c r="X112" i="11" a="1"/>
  <c r="Z135" i="11" a="1"/>
  <c r="Y66" i="12" a="1"/>
  <c r="X31" i="11" a="1"/>
  <c r="Z147" i="11" a="1"/>
  <c r="Y114" i="12" a="1"/>
  <c r="Z41" i="11" a="1"/>
  <c r="Y43" i="12" a="1"/>
  <c r="V120" i="12" a="1"/>
  <c r="Z49" i="11" a="1"/>
  <c r="Y136" i="12" a="1"/>
  <c r="V180" i="12" a="1"/>
  <c r="Y55" i="12" a="1"/>
  <c r="Y52" i="12" a="1"/>
  <c r="W149" i="12" a="1"/>
  <c r="W112" i="12" a="1"/>
  <c r="Y14" i="12" a="1"/>
  <c r="Z145" i="11" a="1"/>
  <c r="Z10" i="11" a="1"/>
  <c r="Y33" i="12" a="1"/>
  <c r="Y34" i="12" a="1"/>
  <c r="Z53" i="11" a="1"/>
  <c r="Y53" i="12" a="1"/>
  <c r="Y110" i="12" a="1"/>
  <c r="Z14" i="11" a="1"/>
  <c r="W132" i="11" a="1"/>
  <c r="W142" i="11" a="1"/>
  <c r="Z17" i="11" a="1"/>
  <c r="Y49" i="12" a="1"/>
  <c r="Z115" i="11" a="1"/>
  <c r="Y109" i="12" a="1"/>
  <c r="Y115" i="12" a="1"/>
  <c r="W120" i="11" a="1"/>
  <c r="Z54" i="11" a="1"/>
  <c r="Z24" i="11" a="1"/>
  <c r="Y41" i="12" a="1"/>
  <c r="Y80" i="12" a="1"/>
  <c r="S165" i="12" a="1"/>
  <c r="W63" i="11" a="1"/>
  <c r="V98" i="11" a="1"/>
  <c r="W118" i="12" a="1"/>
  <c r="Z58" i="11" a="1"/>
  <c r="Y69" i="12" a="1"/>
  <c r="X149" i="11" a="1"/>
  <c r="Z136" i="11" a="1"/>
  <c r="Z27" i="11" a="1"/>
  <c r="Y26" i="12" a="1"/>
  <c r="Y27" i="12" a="1"/>
  <c r="Y58" i="12" a="1"/>
  <c r="V151" i="12" a="1"/>
  <c r="Z70" i="11" a="1"/>
  <c r="Y144" i="12" a="1"/>
  <c r="Z68" i="11" a="1"/>
  <c r="Y60" i="12" a="1"/>
  <c r="Z129" i="11" a="1"/>
  <c r="Z134" i="11" a="1"/>
  <c r="Y135" i="12" a="1"/>
  <c r="Y4" i="12" a="1"/>
  <c r="U98" i="11" a="1"/>
  <c r="Z35" i="11" a="1"/>
  <c r="X107" i="12" a="1"/>
  <c r="V88" i="11" a="1"/>
  <c r="Z73" i="11" a="1"/>
  <c r="U98" i="12" a="1"/>
  <c r="Z25" i="11" a="1"/>
  <c r="Y25" i="12" a="1"/>
  <c r="W140" i="12" a="1"/>
  <c r="Z43" i="11" a="1"/>
  <c r="Y76" i="12" a="1"/>
  <c r="R182" i="12" a="1"/>
  <c r="T182" i="11" a="1"/>
  <c r="Y28" i="12" a="1"/>
  <c r="V85" i="12" a="1"/>
  <c r="W31" i="12" a="1"/>
  <c r="Y10" i="12" a="1"/>
  <c r="Z82" i="11" a="1"/>
  <c r="Y127" i="12" a="1"/>
  <c r="X171" i="11" a="1"/>
  <c r="Y54" i="12" a="1"/>
  <c r="Z59" i="11" a="1"/>
  <c r="Y47" i="12" a="1"/>
  <c r="Y44" i="12" a="1"/>
  <c r="Y134" i="12" a="1"/>
  <c r="V63" i="12" a="1"/>
  <c r="Z16" i="11" a="1"/>
  <c r="Z78" i="11" a="1"/>
  <c r="Y72" i="12" a="1"/>
  <c r="T165" i="12" a="1"/>
  <c r="Z144" i="11" a="1"/>
  <c r="Z12" i="11" a="1"/>
  <c r="Y35" i="12" a="1"/>
  <c r="W21" i="11" a="1"/>
  <c r="Z75" i="11" a="1"/>
  <c r="Z52" i="11" a="1"/>
  <c r="X140" i="11" a="1"/>
  <c r="Y79" i="12" a="1"/>
  <c r="Z79" i="11" a="1"/>
  <c r="Y75" i="12" a="1"/>
  <c r="Z146" i="11" a="1"/>
  <c r="Z40" i="11" a="1"/>
  <c r="Z11" i="11" a="1"/>
  <c r="Y48" i="12" a="1"/>
  <c r="Z109" i="11" a="1"/>
  <c r="Z45" i="11" a="1"/>
  <c r="Y78" i="12" a="1"/>
  <c r="W151" i="11" a="1"/>
  <c r="Z34" i="11" a="1"/>
  <c r="Y77" i="12" a="1"/>
  <c r="Z60" i="11" a="1"/>
  <c r="Y56" i="12" a="1"/>
  <c r="Z125" i="11" a="1"/>
  <c r="Z67" i="11" a="1"/>
  <c r="Y104" i="12" a="1"/>
  <c r="Y16" i="12" a="1"/>
  <c r="Z133" i="11" a="1"/>
  <c r="Z36" i="11" a="1"/>
  <c r="Z124" i="11" a="1"/>
  <c r="W171" i="12" a="1"/>
  <c r="Z104" i="11" a="1"/>
  <c r="Z114" i="11" a="1"/>
  <c r="Y146" i="12" a="1"/>
  <c r="Y8" i="12" a="1"/>
  <c r="Y124" i="12" a="1"/>
  <c r="Z28" i="11" a="1"/>
  <c r="Y50" i="12" a="1"/>
  <c r="Z66" i="11" a="1"/>
  <c r="Z80" i="11" a="1"/>
  <c r="W180" i="11" a="1"/>
  <c r="Y37" i="12" a="1"/>
  <c r="V132" i="12" l="1"/>
  <c r="X19" i="11"/>
  <c r="X20" i="11" s="1"/>
  <c r="W86" i="11"/>
  <c r="W84" i="12"/>
  <c r="W132" i="11"/>
  <c r="V21" i="12"/>
  <c r="X131" i="11"/>
  <c r="W131" i="12"/>
  <c r="AI73" i="9"/>
  <c r="AI74" i="9" s="1"/>
  <c r="AI81" i="9"/>
  <c r="AI82" i="9" s="1"/>
  <c r="AH89" i="10"/>
  <c r="AH90" i="10" s="1"/>
  <c r="U88" i="12"/>
  <c r="Y39" i="11"/>
  <c r="W85" i="11"/>
  <c r="X84" i="11"/>
  <c r="V86" i="12"/>
  <c r="V87" i="12" s="1"/>
  <c r="V97" i="12" s="1"/>
  <c r="Y61" i="11"/>
  <c r="X39" i="12"/>
  <c r="X62" i="11"/>
  <c r="W149" i="12"/>
  <c r="W63" i="11"/>
  <c r="V85" i="12"/>
  <c r="W19" i="12"/>
  <c r="W20" i="12" s="1"/>
  <c r="X163" i="11"/>
  <c r="V63" i="12"/>
  <c r="W171" i="12"/>
  <c r="V88" i="11"/>
  <c r="X31" i="11"/>
  <c r="W62" i="12"/>
  <c r="Y42" i="11"/>
  <c r="Y71" i="11"/>
  <c r="Y74" i="11" s="1"/>
  <c r="Y170" i="11"/>
  <c r="Y13" i="11"/>
  <c r="Y15" i="11" s="1"/>
  <c r="Y18" i="11"/>
  <c r="W151" i="11"/>
  <c r="V151" i="12"/>
  <c r="S165" i="12"/>
  <c r="Y9" i="12"/>
  <c r="Y37" i="12"/>
  <c r="Y66" i="12"/>
  <c r="Y80" i="12"/>
  <c r="Y125" i="12"/>
  <c r="Y160" i="12" s="1"/>
  <c r="X140" i="11"/>
  <c r="Z65" i="11"/>
  <c r="Z72" i="11"/>
  <c r="Z124" i="11"/>
  <c r="X107" i="12"/>
  <c r="Z52" i="11"/>
  <c r="W180" i="11"/>
  <c r="Y28" i="12"/>
  <c r="Y52" i="12"/>
  <c r="Y58" i="12"/>
  <c r="Y134" i="12"/>
  <c r="Z14" i="11"/>
  <c r="Z44" i="11"/>
  <c r="Z135" i="11"/>
  <c r="Z174" i="11" s="1"/>
  <c r="Y41" i="12"/>
  <c r="Y57" i="12"/>
  <c r="Y78" i="12"/>
  <c r="Y82" i="12"/>
  <c r="Y147" i="12"/>
  <c r="Z36" i="11"/>
  <c r="Z35" i="11"/>
  <c r="Z75" i="11"/>
  <c r="Z80" i="11"/>
  <c r="T182" i="11"/>
  <c r="Y55" i="12"/>
  <c r="Y27" i="12"/>
  <c r="Y44" i="12"/>
  <c r="Y110" i="12"/>
  <c r="Y167" i="12" s="1"/>
  <c r="Y129" i="12"/>
  <c r="Y162" i="12" s="1"/>
  <c r="X112" i="11"/>
  <c r="Z24" i="11"/>
  <c r="Z26" i="11"/>
  <c r="Z45" i="11"/>
  <c r="Z77" i="11"/>
  <c r="Z116" i="11"/>
  <c r="Z169" i="11" s="1"/>
  <c r="Z133" i="11"/>
  <c r="U98" i="11"/>
  <c r="W21" i="11"/>
  <c r="Z66" i="11"/>
  <c r="R182" i="12"/>
  <c r="V180" i="12"/>
  <c r="Y26" i="12"/>
  <c r="Y47" i="12"/>
  <c r="Y53" i="12"/>
  <c r="Z8" i="11"/>
  <c r="Z33" i="11"/>
  <c r="Z54" i="11"/>
  <c r="Z48" i="11"/>
  <c r="Z109" i="11"/>
  <c r="X6" i="12"/>
  <c r="Y107" i="11"/>
  <c r="Y16" i="12"/>
  <c r="Y4" i="12"/>
  <c r="Y5" i="12" s="1"/>
  <c r="Y35" i="12"/>
  <c r="Y50" i="12"/>
  <c r="Y76" i="12"/>
  <c r="Y136" i="12"/>
  <c r="Z27" i="11"/>
  <c r="Z59" i="11"/>
  <c r="Z53" i="11"/>
  <c r="Z76" i="11"/>
  <c r="Y6" i="11"/>
  <c r="W120" i="11"/>
  <c r="Y17" i="12"/>
  <c r="Y48" i="12"/>
  <c r="Y45" i="12"/>
  <c r="Y59" i="12"/>
  <c r="Y104" i="12"/>
  <c r="Y105" i="12" s="1"/>
  <c r="Y106" i="12" s="1"/>
  <c r="Y135" i="12"/>
  <c r="Y174" i="12" s="1"/>
  <c r="Z12" i="11"/>
  <c r="Z28" i="11"/>
  <c r="Z43" i="11"/>
  <c r="Z49" i="11"/>
  <c r="Z136" i="11"/>
  <c r="Y54" i="12"/>
  <c r="Y34" i="12"/>
  <c r="Y70" i="12"/>
  <c r="Y65" i="12"/>
  <c r="Y115" i="12"/>
  <c r="Y168" i="12" s="1"/>
  <c r="Y145" i="12"/>
  <c r="Z11" i="11"/>
  <c r="Z38" i="11"/>
  <c r="Z56" i="11"/>
  <c r="Z67" i="11"/>
  <c r="Z134" i="11"/>
  <c r="Z144" i="11"/>
  <c r="Y124" i="12"/>
  <c r="W140" i="12"/>
  <c r="V120" i="12"/>
  <c r="X149" i="11"/>
  <c r="X171" i="11"/>
  <c r="Y33" i="12"/>
  <c r="Y38" i="12"/>
  <c r="Y68" i="12"/>
  <c r="Y109" i="12"/>
  <c r="Z4" i="11"/>
  <c r="Z5" i="11" s="1"/>
  <c r="Z40" i="11"/>
  <c r="Z47" i="11"/>
  <c r="Z50" i="11"/>
  <c r="Z125" i="11"/>
  <c r="Z160" i="11" s="1"/>
  <c r="Z129" i="11"/>
  <c r="Z162" i="11" s="1"/>
  <c r="T165" i="12"/>
  <c r="Y8" i="12"/>
  <c r="Y25" i="12"/>
  <c r="Y43" i="12"/>
  <c r="Y69" i="12"/>
  <c r="Y127" i="12"/>
  <c r="Z10" i="11"/>
  <c r="Z69" i="11"/>
  <c r="Z57" i="11"/>
  <c r="Z115" i="11"/>
  <c r="Z168" i="11" s="1"/>
  <c r="Z110" i="11"/>
  <c r="Z167" i="11" s="1"/>
  <c r="Z146" i="11"/>
  <c r="Y73" i="12"/>
  <c r="Y24" i="12"/>
  <c r="Y56" i="12"/>
  <c r="Y60" i="12"/>
  <c r="Y72" i="12"/>
  <c r="Y146" i="12"/>
  <c r="Z25" i="11"/>
  <c r="Z41" i="11"/>
  <c r="Z58" i="11"/>
  <c r="Z82" i="11"/>
  <c r="Z145" i="11"/>
  <c r="Z123" i="11"/>
  <c r="Y12" i="12"/>
  <c r="Y49" i="12"/>
  <c r="Y36" i="12"/>
  <c r="Y75" i="12"/>
  <c r="Y116" i="12"/>
  <c r="Y169" i="12" s="1"/>
  <c r="Z9" i="11"/>
  <c r="Z60" i="11"/>
  <c r="Z68" i="11"/>
  <c r="Z78" i="11"/>
  <c r="Z114" i="11"/>
  <c r="U98" i="12"/>
  <c r="Y114" i="12"/>
  <c r="W118" i="12"/>
  <c r="Y10" i="12"/>
  <c r="Y14" i="12"/>
  <c r="Y67" i="12"/>
  <c r="Y133" i="12"/>
  <c r="Z17" i="11"/>
  <c r="Z55" i="11"/>
  <c r="Z79" i="11"/>
  <c r="Z127" i="11"/>
  <c r="Y40" i="12"/>
  <c r="Y77" i="12"/>
  <c r="Y144" i="12"/>
  <c r="Z16" i="11"/>
  <c r="Z104" i="11"/>
  <c r="Z105" i="11" s="1"/>
  <c r="Z106" i="11" s="1"/>
  <c r="Z73" i="11"/>
  <c r="Z147" i="11"/>
  <c r="V98" i="11"/>
  <c r="W31" i="12"/>
  <c r="W112" i="12"/>
  <c r="X118" i="11"/>
  <c r="V142" i="12"/>
  <c r="W142" i="11"/>
  <c r="Y11" i="12"/>
  <c r="Y79" i="12"/>
  <c r="Y123" i="12"/>
  <c r="Z37" i="11"/>
  <c r="Z34" i="11"/>
  <c r="Z70" i="11"/>
  <c r="BS44" i="7"/>
  <c r="X7" i="13"/>
  <c r="X8" i="13" s="1"/>
  <c r="BS19" i="6"/>
  <c r="W152" i="11"/>
  <c r="V152" i="12"/>
  <c r="P29" i="13"/>
  <c r="Q24" i="13" s="1"/>
  <c r="P27" i="13"/>
  <c r="P28" i="13" s="1"/>
  <c r="Y37" i="6"/>
  <c r="Y38" i="6" s="1"/>
  <c r="Y52" i="6"/>
  <c r="Y53" i="6" s="1"/>
  <c r="Y31" i="6"/>
  <c r="Y21" i="6"/>
  <c r="Y7" i="6"/>
  <c r="Y40" i="6"/>
  <c r="Z1" i="6"/>
  <c r="Y68" i="6" s="1"/>
  <c r="S181" i="12"/>
  <c r="X141" i="11"/>
  <c r="X150" i="11" s="1"/>
  <c r="AI72" i="10"/>
  <c r="X179" i="11"/>
  <c r="AJ71" i="9"/>
  <c r="X71" i="12"/>
  <c r="X74" i="12" s="1"/>
  <c r="X38" i="7"/>
  <c r="X9" i="3" a="1"/>
  <c r="X9" i="3" s="1"/>
  <c r="Y1" i="3"/>
  <c r="W179" i="12"/>
  <c r="BR19" i="6"/>
  <c r="X81" i="12"/>
  <c r="X83" i="12" s="1"/>
  <c r="AJ61" i="10"/>
  <c r="AJ10" i="10"/>
  <c r="AJ56" i="10"/>
  <c r="AJ15" i="10"/>
  <c r="AJ58" i="10"/>
  <c r="AJ20" i="10"/>
  <c r="AJ53" i="10"/>
  <c r="AJ9" i="10"/>
  <c r="AJ4" i="10"/>
  <c r="AJ14" i="10"/>
  <c r="AJ54" i="10"/>
  <c r="AJ19" i="10"/>
  <c r="AJ8" i="10"/>
  <c r="AK1" i="10"/>
  <c r="AJ13" i="10"/>
  <c r="AJ57" i="10"/>
  <c r="AJ18" i="10"/>
  <c r="AJ43" i="10"/>
  <c r="AJ40" i="10"/>
  <c r="AJ71" i="10" s="1"/>
  <c r="AJ23" i="10"/>
  <c r="AJ55" i="10"/>
  <c r="AJ42" i="10"/>
  <c r="AJ41" i="10"/>
  <c r="AJ34" i="10"/>
  <c r="AJ12" i="10"/>
  <c r="AJ7" i="10"/>
  <c r="AJ60" i="10"/>
  <c r="AJ17" i="10"/>
  <c r="AJ22" i="10"/>
  <c r="AJ59" i="10"/>
  <c r="AJ16" i="10"/>
  <c r="AJ33" i="10"/>
  <c r="AJ70" i="10" s="1"/>
  <c r="AJ21" i="10"/>
  <c r="AJ11" i="10"/>
  <c r="AJ5" i="10"/>
  <c r="BN47" i="6"/>
  <c r="AJ70" i="9"/>
  <c r="U156" i="11"/>
  <c r="U164" i="11" s="1"/>
  <c r="X173" i="12"/>
  <c r="X139" i="12"/>
  <c r="Y178" i="11"/>
  <c r="Y175" i="11"/>
  <c r="X126" i="12"/>
  <c r="W87" i="11"/>
  <c r="X39" i="7"/>
  <c r="X68" i="6"/>
  <c r="AA1" i="12"/>
  <c r="BT53" i="6"/>
  <c r="BU53" i="6"/>
  <c r="Y29" i="11"/>
  <c r="Y30" i="11" s="1"/>
  <c r="X178" i="12"/>
  <c r="X175" i="12"/>
  <c r="AB1" i="11"/>
  <c r="AI69" i="10"/>
  <c r="X158" i="12"/>
  <c r="X117" i="12"/>
  <c r="X42" i="12"/>
  <c r="X38" i="6"/>
  <c r="AJ72" i="9"/>
  <c r="AI65" i="10"/>
  <c r="AI68" i="10"/>
  <c r="AI85" i="10"/>
  <c r="AI88" i="10"/>
  <c r="AI84" i="10"/>
  <c r="AI87" i="10"/>
  <c r="AI86" i="10"/>
  <c r="BO46" i="6"/>
  <c r="Y148" i="11"/>
  <c r="X148" i="12"/>
  <c r="X51" i="12"/>
  <c r="X53" i="7"/>
  <c r="X54" i="6"/>
  <c r="BL44" i="6"/>
  <c r="BM44" i="6" s="1"/>
  <c r="Z1" i="15"/>
  <c r="AJ69" i="9"/>
  <c r="X18" i="12"/>
  <c r="Y158" i="11"/>
  <c r="Y117" i="11"/>
  <c r="X46" i="12"/>
  <c r="X159" i="12"/>
  <c r="X111" i="12"/>
  <c r="W141" i="12"/>
  <c r="Y52" i="7"/>
  <c r="Y53" i="7" s="1"/>
  <c r="Y31" i="7"/>
  <c r="Y21" i="7"/>
  <c r="Y20" i="7" s="1"/>
  <c r="Y18" i="7"/>
  <c r="Y19" i="7" s="1"/>
  <c r="Y9" i="7"/>
  <c r="Y68" i="7"/>
  <c r="Y65" i="7"/>
  <c r="Z1" i="7"/>
  <c r="Y33" i="7" s="1"/>
  <c r="Y32" i="7" s="1"/>
  <c r="Y55" i="7"/>
  <c r="Y7" i="7"/>
  <c r="W67" i="7"/>
  <c r="X65" i="7"/>
  <c r="X40" i="6"/>
  <c r="X39" i="6" s="1"/>
  <c r="AH81" i="10"/>
  <c r="AH82" i="10" s="1"/>
  <c r="X11" i="13"/>
  <c r="Y2" i="13"/>
  <c r="X25" i="13"/>
  <c r="X5" i="13"/>
  <c r="X9" i="13" s="1"/>
  <c r="Y4" i="13" s="1"/>
  <c r="AJ65" i="9"/>
  <c r="AJ68" i="9"/>
  <c r="AJ87" i="9"/>
  <c r="AJ86" i="9"/>
  <c r="AJ84" i="9"/>
  <c r="AJ85" i="9"/>
  <c r="AJ88" i="9"/>
  <c r="T181" i="12"/>
  <c r="W67" i="6"/>
  <c r="Y126" i="11"/>
  <c r="Y173" i="11"/>
  <c r="Y139" i="11"/>
  <c r="X170" i="12"/>
  <c r="W32" i="6"/>
  <c r="X13" i="12"/>
  <c r="X15" i="12" s="1"/>
  <c r="X8" i="6"/>
  <c r="AH73" i="10"/>
  <c r="AH74" i="10" s="1"/>
  <c r="BR53" i="7"/>
  <c r="Y81" i="11"/>
  <c r="Y83" i="11" s="1"/>
  <c r="X61" i="12"/>
  <c r="X18" i="6"/>
  <c r="X19" i="6" s="1"/>
  <c r="BB4" i="7"/>
  <c r="BC5" i="7"/>
  <c r="U156" i="12"/>
  <c r="U164" i="12" s="1"/>
  <c r="W39" i="6"/>
  <c r="X130" i="12"/>
  <c r="Y159" i="11"/>
  <c r="Y111" i="11"/>
  <c r="X15" i="5" a="1"/>
  <c r="X15" i="5" s="1"/>
  <c r="Y1" i="5"/>
  <c r="X5" i="5" a="1"/>
  <c r="X5" i="5" s="1"/>
  <c r="AK41" i="9"/>
  <c r="AK7" i="9"/>
  <c r="AK56" i="9"/>
  <c r="AK62" i="9"/>
  <c r="AK17" i="9"/>
  <c r="AK55" i="9"/>
  <c r="AK40" i="9"/>
  <c r="AK35" i="9"/>
  <c r="AK11" i="9"/>
  <c r="AK5" i="9"/>
  <c r="AK61" i="9"/>
  <c r="AK54" i="9"/>
  <c r="AK34" i="9"/>
  <c r="AK44" i="9"/>
  <c r="AK10" i="9"/>
  <c r="AK4" i="9"/>
  <c r="AK60" i="9"/>
  <c r="AK53" i="9"/>
  <c r="AK48" i="9"/>
  <c r="AK15" i="9"/>
  <c r="AK33" i="9"/>
  <c r="AK20" i="9"/>
  <c r="AL1" i="9"/>
  <c r="AK43" i="9"/>
  <c r="AK9" i="9"/>
  <c r="AK18" i="9"/>
  <c r="AK8" i="9"/>
  <c r="AK16" i="9"/>
  <c r="AK63" i="9"/>
  <c r="AK12" i="9"/>
  <c r="AK36" i="9"/>
  <c r="AK19" i="9"/>
  <c r="AK13" i="9"/>
  <c r="AK58" i="9"/>
  <c r="AK42" i="9"/>
  <c r="AK37" i="9"/>
  <c r="AK57" i="9"/>
  <c r="AK14" i="9"/>
  <c r="AK59" i="9"/>
  <c r="AK45" i="9"/>
  <c r="AK38" i="9"/>
  <c r="AK49" i="9"/>
  <c r="AK64" i="9"/>
  <c r="AK21" i="9"/>
  <c r="AK46" i="9"/>
  <c r="AK22" i="9"/>
  <c r="AK50" i="9"/>
  <c r="AK23" i="9"/>
  <c r="AK51" i="9"/>
  <c r="AK47" i="9"/>
  <c r="AK24" i="9"/>
  <c r="AK25" i="9"/>
  <c r="AK26" i="9"/>
  <c r="AK27" i="9"/>
  <c r="AK28" i="9"/>
  <c r="AK29" i="9"/>
  <c r="AK30" i="9"/>
  <c r="AK31" i="9"/>
  <c r="BS47" i="7"/>
  <c r="BV46" i="7"/>
  <c r="BV47" i="7" s="1"/>
  <c r="AI89" i="9"/>
  <c r="AI90" i="9" s="1"/>
  <c r="X18" i="7"/>
  <c r="X19" i="7" s="1"/>
  <c r="W119" i="12"/>
  <c r="X21" i="7"/>
  <c r="X67" i="7" s="1"/>
  <c r="Y26" i="13"/>
  <c r="Z1" i="13"/>
  <c r="Y6" i="13"/>
  <c r="BB5" i="6"/>
  <c r="BA4" i="6"/>
  <c r="Y46" i="11"/>
  <c r="V156" i="11"/>
  <c r="V164" i="11" s="1"/>
  <c r="Y130" i="11"/>
  <c r="X29" i="12"/>
  <c r="X30" i="12" s="1"/>
  <c r="Y51" i="11"/>
  <c r="BT44" i="7"/>
  <c r="W163" i="12"/>
  <c r="X31" i="7"/>
  <c r="X32" i="7" s="1"/>
  <c r="X119" i="11"/>
  <c r="X7" i="7"/>
  <c r="X64" i="7" s="1"/>
  <c r="W132" i="12" a="1"/>
  <c r="Z52" i="12" a="1"/>
  <c r="X31" i="12" a="1"/>
  <c r="Z54" i="12" a="1"/>
  <c r="Z125" i="12" a="1"/>
  <c r="AA136" i="11" a="1"/>
  <c r="Z14" i="12" a="1"/>
  <c r="AA66" i="11" a="1"/>
  <c r="AA43" i="11" a="1"/>
  <c r="AA35" i="11" a="1"/>
  <c r="Z17" i="12" a="1"/>
  <c r="Z44" i="12" a="1"/>
  <c r="Z77" i="12" a="1"/>
  <c r="AA125" i="11" a="1"/>
  <c r="AA59" i="11" a="1"/>
  <c r="V165" i="11" a="1"/>
  <c r="S182" i="12" a="1"/>
  <c r="X142" i="11" a="1"/>
  <c r="Z82" i="12" a="1"/>
  <c r="Z53" i="12" a="1"/>
  <c r="AA110" i="11" a="1"/>
  <c r="AA16" i="11" a="1"/>
  <c r="AA73" i="11" a="1"/>
  <c r="V88" i="12" a="1"/>
  <c r="AA78" i="11" a="1"/>
  <c r="W88" i="11" a="1"/>
  <c r="Y107" i="12" a="1"/>
  <c r="Z70" i="12" a="1"/>
  <c r="AA52" i="11" a="1"/>
  <c r="AA53" i="11" a="1"/>
  <c r="AA27" i="11" a="1"/>
  <c r="X120" i="11" a="1"/>
  <c r="W120" i="12" a="1"/>
  <c r="Z134" i="12" a="1"/>
  <c r="AA79" i="11" a="1"/>
  <c r="AA116" i="11" a="1"/>
  <c r="AA54" i="11" a="1"/>
  <c r="Z123" i="12" a="1"/>
  <c r="Z33" i="12" a="1"/>
  <c r="AA48" i="11" a="1"/>
  <c r="AA55" i="11" a="1"/>
  <c r="W21" i="12" a="1"/>
  <c r="AA58" i="11" a="1"/>
  <c r="V98" i="12" a="1"/>
  <c r="Z55" i="12" a="1"/>
  <c r="AA144" i="11" a="1"/>
  <c r="X112" i="12" a="1"/>
  <c r="AA28" i="11" a="1"/>
  <c r="X151" i="11" a="1"/>
  <c r="AA65" i="11" a="1"/>
  <c r="Z104" i="12" a="1"/>
  <c r="Z75" i="12" a="1"/>
  <c r="AA104" i="11" a="1"/>
  <c r="AA69" i="11" a="1"/>
  <c r="AA11" i="11" a="1"/>
  <c r="Z68" i="12" a="1"/>
  <c r="Z57" i="12" a="1"/>
  <c r="Z76" i="12" a="1"/>
  <c r="Z43" i="12" a="1"/>
  <c r="AA115" i="11" a="1"/>
  <c r="AA135" i="11" a="1"/>
  <c r="AA44" i="11" a="1"/>
  <c r="Z50" i="12" a="1"/>
  <c r="Z27" i="12" a="1"/>
  <c r="Y171" i="11" a="1"/>
  <c r="T182" i="12" a="1"/>
  <c r="Z67" i="12" a="1"/>
  <c r="AA129" i="11" a="1"/>
  <c r="AA45" i="11" a="1"/>
  <c r="Z10" i="12" a="1"/>
  <c r="W142" i="12" a="1"/>
  <c r="Z65" i="12" a="1"/>
  <c r="Z133" i="12" a="1"/>
  <c r="Z45" i="12" a="1"/>
  <c r="X132" i="11" a="1"/>
  <c r="Z56" i="12" a="1"/>
  <c r="AA4" i="11" a="1"/>
  <c r="Y112" i="11" a="1"/>
  <c r="Y6" i="12" a="1"/>
  <c r="Z40" i="12" a="1"/>
  <c r="Z16" i="12" a="1"/>
  <c r="Z12" i="12" a="1"/>
  <c r="AA26" i="11" a="1"/>
  <c r="AA56" i="11" a="1"/>
  <c r="X180" i="11" a="1"/>
  <c r="AA124" i="11" a="1"/>
  <c r="AA72" i="11" a="1"/>
  <c r="Z41" i="12" a="1"/>
  <c r="AA50" i="11" a="1"/>
  <c r="Z135" i="12" a="1"/>
  <c r="Z47" i="12" a="1"/>
  <c r="Z73" i="12" a="1"/>
  <c r="Z66" i="12" a="1"/>
  <c r="AA145" i="11" a="1"/>
  <c r="AA109" i="11" a="1"/>
  <c r="X149" i="12" a="1"/>
  <c r="Z107" i="11" a="1"/>
  <c r="AA147" i="11" a="1"/>
  <c r="Z109" i="12" a="1"/>
  <c r="Z79" i="12" a="1"/>
  <c r="Z4" i="12" a="1"/>
  <c r="X85" i="11" a="1"/>
  <c r="Z26" i="12" a="1"/>
  <c r="Z37" i="12" a="1"/>
  <c r="Z58" i="12" a="1"/>
  <c r="Z72" i="12" a="1"/>
  <c r="AA49" i="11" a="1"/>
  <c r="AA133" i="11" a="1"/>
  <c r="AA47" i="11" a="1"/>
  <c r="X171" i="12" a="1"/>
  <c r="AA9" i="11" a="1"/>
  <c r="Z124" i="12" a="1"/>
  <c r="AA37" i="11" a="1"/>
  <c r="AA25" i="11" a="1"/>
  <c r="AA146" i="11" a="1"/>
  <c r="Z48" i="12" a="1"/>
  <c r="AA75" i="11" a="1"/>
  <c r="AA36" i="11" a="1"/>
  <c r="Z145" i="12" a="1"/>
  <c r="U165" i="11" a="1"/>
  <c r="Z146" i="12" a="1"/>
  <c r="Z38" i="12" a="1"/>
  <c r="Z34" i="12" a="1"/>
  <c r="AA77" i="11" a="1"/>
  <c r="X63" i="11" a="1"/>
  <c r="AA57" i="11" a="1"/>
  <c r="AA127" i="11" a="1"/>
  <c r="Z114" i="12" a="1"/>
  <c r="AA38" i="11" a="1"/>
  <c r="AA8" i="11" a="1"/>
  <c r="Z144" i="12" a="1"/>
  <c r="X118" i="12" a="1"/>
  <c r="X21" i="11" a="1"/>
  <c r="AA68" i="11" a="1"/>
  <c r="AA82" i="11" a="1"/>
  <c r="AA33" i="11" a="1"/>
  <c r="Y149" i="11" a="1"/>
  <c r="Z80" i="12" a="1"/>
  <c r="Z127" i="12" a="1"/>
  <c r="Z78" i="12" a="1"/>
  <c r="Z24" i="12" a="1"/>
  <c r="Y31" i="11" a="1"/>
  <c r="AA34" i="11" a="1"/>
  <c r="W63" i="12" a="1"/>
  <c r="AA10" i="11" a="1"/>
  <c r="Z147" i="12" a="1"/>
  <c r="Z49" i="12" a="1"/>
  <c r="AA67" i="11" a="1"/>
  <c r="Z35" i="12" a="1"/>
  <c r="AA41" i="11" a="1"/>
  <c r="AA70" i="11" a="1"/>
  <c r="W180" i="12" a="1"/>
  <c r="Z69" i="12" a="1"/>
  <c r="AA114" i="11" a="1"/>
  <c r="Z28" i="12" a="1"/>
  <c r="W85" i="12" a="1"/>
  <c r="AA24" i="11" a="1"/>
  <c r="AA80" i="11" a="1"/>
  <c r="Y118" i="11" a="1"/>
  <c r="AA60" i="11" a="1"/>
  <c r="Z36" i="12" a="1"/>
  <c r="Z60" i="12" a="1"/>
  <c r="Z25" i="12" a="1"/>
  <c r="AA40" i="11" a="1"/>
  <c r="AA123" i="11" a="1"/>
  <c r="Z59" i="12" a="1"/>
  <c r="Z6" i="11" a="1"/>
  <c r="U165" i="12" a="1"/>
  <c r="Z9" i="12" a="1"/>
  <c r="AA134" i="11" a="1"/>
  <c r="AA17" i="11" a="1"/>
  <c r="AA14" i="11" a="1"/>
  <c r="Y140" i="11" a="1"/>
  <c r="X140" i="12" a="1"/>
  <c r="Z115" i="12" a="1"/>
  <c r="Z11" i="12" a="1"/>
  <c r="AA76" i="11" a="1"/>
  <c r="Z136" i="12" a="1"/>
  <c r="AA12" i="11" a="1"/>
  <c r="Z129" i="12" a="1"/>
  <c r="Z116" i="12" a="1"/>
  <c r="Z8" i="12" a="1"/>
  <c r="Z110" i="12" a="1"/>
  <c r="X21" i="11" l="1"/>
  <c r="X86" i="11"/>
  <c r="X87" i="11" s="1"/>
  <c r="W85" i="12"/>
  <c r="X132" i="11"/>
  <c r="W132" i="12"/>
  <c r="AJ81" i="9"/>
  <c r="AJ82" i="9" s="1"/>
  <c r="Y84" i="11"/>
  <c r="X85" i="11"/>
  <c r="Y62" i="11"/>
  <c r="Y86" i="11" s="1"/>
  <c r="V88" i="12"/>
  <c r="Y131" i="11"/>
  <c r="Y141" i="11" s="1"/>
  <c r="Y179" i="11"/>
  <c r="Y19" i="11"/>
  <c r="Y20" i="11" s="1"/>
  <c r="X63" i="11"/>
  <c r="W21" i="12"/>
  <c r="X62" i="12"/>
  <c r="X163" i="12"/>
  <c r="Y148" i="12"/>
  <c r="Y81" i="12"/>
  <c r="Y83" i="12" s="1"/>
  <c r="Y18" i="12"/>
  <c r="Z39" i="11"/>
  <c r="Y171" i="11"/>
  <c r="W63" i="12"/>
  <c r="Y46" i="12"/>
  <c r="Y29" i="12"/>
  <c r="Y30" i="12" s="1"/>
  <c r="W86" i="12"/>
  <c r="W87" i="12" s="1"/>
  <c r="W97" i="12" s="1"/>
  <c r="X118" i="12"/>
  <c r="AA25" i="11"/>
  <c r="AA37" i="11"/>
  <c r="AA72" i="11"/>
  <c r="AA124" i="11"/>
  <c r="Z27" i="12"/>
  <c r="Z50" i="12"/>
  <c r="Z75" i="12"/>
  <c r="Z110" i="12"/>
  <c r="Z167" i="12" s="1"/>
  <c r="Z134" i="12"/>
  <c r="AA16" i="11"/>
  <c r="AA55" i="11"/>
  <c r="AA76" i="11"/>
  <c r="AA73" i="11"/>
  <c r="AA114" i="11"/>
  <c r="Z17" i="12"/>
  <c r="Z47" i="12"/>
  <c r="Z59" i="12"/>
  <c r="Z124" i="12"/>
  <c r="Z136" i="12"/>
  <c r="X180" i="11"/>
  <c r="Z28" i="12"/>
  <c r="AA44" i="11"/>
  <c r="AA34" i="11"/>
  <c r="AA48" i="11"/>
  <c r="AA77" i="11"/>
  <c r="AA110" i="11"/>
  <c r="AA167" i="11" s="1"/>
  <c r="Z4" i="12"/>
  <c r="Z5" i="12" s="1"/>
  <c r="Z11" i="12"/>
  <c r="Z45" i="12"/>
  <c r="Z69" i="12"/>
  <c r="Z104" i="12"/>
  <c r="Z105" i="12" s="1"/>
  <c r="Z106" i="12" s="1"/>
  <c r="Z144" i="12"/>
  <c r="W120" i="12"/>
  <c r="AA9" i="11"/>
  <c r="AA35" i="11"/>
  <c r="AA56" i="11"/>
  <c r="AA123" i="11"/>
  <c r="AA135" i="11"/>
  <c r="AA174" i="11" s="1"/>
  <c r="Y31" i="11"/>
  <c r="Z8" i="12"/>
  <c r="Z34" i="12"/>
  <c r="Z53" i="12"/>
  <c r="Z79" i="12"/>
  <c r="Z115" i="12"/>
  <c r="Z168" i="12" s="1"/>
  <c r="Z133" i="12"/>
  <c r="W180" i="12"/>
  <c r="AA65" i="11"/>
  <c r="Z135" i="12"/>
  <c r="Z174" i="12" s="1"/>
  <c r="X120" i="11"/>
  <c r="X171" i="12"/>
  <c r="AA43" i="11"/>
  <c r="AA26" i="11"/>
  <c r="AA40" i="11"/>
  <c r="AA115" i="11"/>
  <c r="AA168" i="11" s="1"/>
  <c r="Z24" i="12"/>
  <c r="Z33" i="12"/>
  <c r="Z38" i="12"/>
  <c r="Z82" i="12"/>
  <c r="Z109" i="12"/>
  <c r="X140" i="12"/>
  <c r="Z65" i="12"/>
  <c r="AA70" i="11"/>
  <c r="X151" i="11"/>
  <c r="AA8" i="11"/>
  <c r="AA27" i="11"/>
  <c r="AA47" i="11"/>
  <c r="AA66" i="11"/>
  <c r="Z12" i="12"/>
  <c r="Z25" i="12"/>
  <c r="Z43" i="12"/>
  <c r="Z78" i="12"/>
  <c r="Z116" i="12"/>
  <c r="Z169" i="12" s="1"/>
  <c r="Z146" i="12"/>
  <c r="X142" i="11"/>
  <c r="AA147" i="11"/>
  <c r="Y140" i="11"/>
  <c r="W142" i="12"/>
  <c r="AA41" i="11"/>
  <c r="AA28" i="11"/>
  <c r="AA50" i="11"/>
  <c r="AA53" i="11"/>
  <c r="AA133" i="11"/>
  <c r="Z14" i="12"/>
  <c r="Z16" i="12"/>
  <c r="Z60" i="12"/>
  <c r="Z76" i="12"/>
  <c r="Z127" i="12"/>
  <c r="Z129" i="12"/>
  <c r="Z162" i="12" s="1"/>
  <c r="U165" i="11"/>
  <c r="S182" i="12"/>
  <c r="Z107" i="11"/>
  <c r="AA14" i="11"/>
  <c r="Z10" i="12"/>
  <c r="Z35" i="12"/>
  <c r="X112" i="12"/>
  <c r="AA38" i="11"/>
  <c r="AA52" i="11"/>
  <c r="AA49" i="11"/>
  <c r="AA136" i="11"/>
  <c r="Z40" i="12"/>
  <c r="Z36" i="12"/>
  <c r="Z57" i="12"/>
  <c r="Z80" i="12"/>
  <c r="Z123" i="12"/>
  <c r="Z145" i="12"/>
  <c r="V165" i="11"/>
  <c r="X149" i="12"/>
  <c r="AA17" i="11"/>
  <c r="AA45" i="11"/>
  <c r="AA67" i="11"/>
  <c r="AA144" i="11"/>
  <c r="Z41" i="12"/>
  <c r="Z70" i="12"/>
  <c r="Z72" i="12"/>
  <c r="Z125" i="12"/>
  <c r="Z160" i="12" s="1"/>
  <c r="Y6" i="12"/>
  <c r="AA60" i="11"/>
  <c r="Z68" i="12"/>
  <c r="Y149" i="11"/>
  <c r="AA12" i="11"/>
  <c r="AA36" i="11"/>
  <c r="AA59" i="11"/>
  <c r="AA109" i="11"/>
  <c r="AA134" i="11"/>
  <c r="AA129" i="11"/>
  <c r="AA162" i="11" s="1"/>
  <c r="Z49" i="12"/>
  <c r="Z55" i="12"/>
  <c r="Z114" i="12"/>
  <c r="Y107" i="12"/>
  <c r="Z58" i="12"/>
  <c r="Z54" i="12"/>
  <c r="Y112" i="11"/>
  <c r="Y118" i="11"/>
  <c r="AA11" i="11"/>
  <c r="AA33" i="11"/>
  <c r="AA54" i="11"/>
  <c r="AA75" i="11"/>
  <c r="AA125" i="11"/>
  <c r="AA160" i="11" s="1"/>
  <c r="AA145" i="11"/>
  <c r="Z9" i="12"/>
  <c r="Z67" i="12"/>
  <c r="Z147" i="12"/>
  <c r="V98" i="12"/>
  <c r="AA127" i="11"/>
  <c r="W88" i="11"/>
  <c r="Z37" i="12"/>
  <c r="X31" i="12"/>
  <c r="AA4" i="11"/>
  <c r="AA5" i="11" s="1"/>
  <c r="AA80" i="11"/>
  <c r="AA69" i="11"/>
  <c r="AA82" i="11"/>
  <c r="AA116" i="11"/>
  <c r="AA169" i="11" s="1"/>
  <c r="Z48" i="12"/>
  <c r="Z77" i="12"/>
  <c r="Z66" i="12"/>
  <c r="U165" i="12"/>
  <c r="T182" i="12"/>
  <c r="AA10" i="11"/>
  <c r="AA58" i="11"/>
  <c r="AA57" i="11"/>
  <c r="AA78" i="11"/>
  <c r="Z26" i="12"/>
  <c r="Z52" i="12"/>
  <c r="Z56" i="12"/>
  <c r="AA24" i="11"/>
  <c r="AA104" i="11"/>
  <c r="AA105" i="11" s="1"/>
  <c r="AA106" i="11" s="1"/>
  <c r="AA68" i="11"/>
  <c r="AA79" i="11"/>
  <c r="AA146" i="11"/>
  <c r="Z44" i="12"/>
  <c r="Z73" i="12"/>
  <c r="Z6" i="11"/>
  <c r="Y7" i="13"/>
  <c r="Y8" i="13" s="1"/>
  <c r="BN44" i="6"/>
  <c r="Y8" i="7"/>
  <c r="Y67" i="7"/>
  <c r="AA1" i="15"/>
  <c r="X119" i="12"/>
  <c r="Y64" i="6"/>
  <c r="Y159" i="12"/>
  <c r="Y111" i="12"/>
  <c r="BC4" i="7"/>
  <c r="BD5" i="7"/>
  <c r="AJ89" i="9"/>
  <c r="AJ90" i="9" s="1"/>
  <c r="AB1" i="12"/>
  <c r="Y71" i="12"/>
  <c r="Y74" i="12" s="1"/>
  <c r="Y39" i="12"/>
  <c r="AI73" i="10"/>
  <c r="AI74" i="10" s="1"/>
  <c r="BU19" i="6"/>
  <c r="X20" i="6"/>
  <c r="Y130" i="12"/>
  <c r="Y51" i="12"/>
  <c r="Y170" i="12"/>
  <c r="Y13" i="12"/>
  <c r="Y15" i="12" s="1"/>
  <c r="BT19" i="6"/>
  <c r="BV19" i="6" s="1"/>
  <c r="BO44" i="6"/>
  <c r="AI81" i="10"/>
  <c r="AI82" i="10" s="1"/>
  <c r="AK61" i="10"/>
  <c r="AK59" i="10"/>
  <c r="AK58" i="10"/>
  <c r="AK40" i="10"/>
  <c r="AK56" i="10"/>
  <c r="AK15" i="10"/>
  <c r="AK20" i="10"/>
  <c r="AK53" i="10"/>
  <c r="AK9" i="10"/>
  <c r="AK4" i="10"/>
  <c r="AK14" i="10"/>
  <c r="AK54" i="10"/>
  <c r="AK19" i="10"/>
  <c r="AK8" i="10"/>
  <c r="AL1" i="10"/>
  <c r="AK13" i="10"/>
  <c r="AK57" i="10"/>
  <c r="AK18" i="10"/>
  <c r="AK43" i="10"/>
  <c r="AK23" i="10"/>
  <c r="AK55" i="10"/>
  <c r="AK42" i="10"/>
  <c r="AK41" i="10"/>
  <c r="AK34" i="10"/>
  <c r="AK12" i="10"/>
  <c r="AK7" i="10"/>
  <c r="AK60" i="10"/>
  <c r="AK17" i="10"/>
  <c r="AK22" i="10"/>
  <c r="AK33" i="10"/>
  <c r="AK11" i="10"/>
  <c r="AK21" i="10"/>
  <c r="AK5" i="10"/>
  <c r="AK10" i="10"/>
  <c r="AK16" i="10"/>
  <c r="Y55" i="6"/>
  <c r="Y54" i="6" s="1"/>
  <c r="Z178" i="11"/>
  <c r="Z175" i="11"/>
  <c r="Y173" i="12"/>
  <c r="Y139" i="12"/>
  <c r="BB4" i="6"/>
  <c r="BC5" i="6"/>
  <c r="AL56" i="9"/>
  <c r="AL12" i="9"/>
  <c r="AL62" i="9"/>
  <c r="AL55" i="9"/>
  <c r="AL40" i="9"/>
  <c r="AL35" i="9"/>
  <c r="AL11" i="9"/>
  <c r="AL5" i="9"/>
  <c r="AL61" i="9"/>
  <c r="AL54" i="9"/>
  <c r="AL16" i="9"/>
  <c r="AL34" i="9"/>
  <c r="AL44" i="9"/>
  <c r="AL10" i="9"/>
  <c r="AL4" i="9"/>
  <c r="AL60" i="9"/>
  <c r="AL53" i="9"/>
  <c r="AL48" i="9"/>
  <c r="AL15" i="9"/>
  <c r="AL33" i="9"/>
  <c r="AL20" i="9"/>
  <c r="AM1" i="9"/>
  <c r="AL43" i="9"/>
  <c r="AL9" i="9"/>
  <c r="AL59" i="9"/>
  <c r="AL14" i="9"/>
  <c r="AL58" i="9"/>
  <c r="AL42" i="9"/>
  <c r="AL41" i="9"/>
  <c r="AL63" i="9"/>
  <c r="AL36" i="9"/>
  <c r="AL19" i="9"/>
  <c r="AL13" i="9"/>
  <c r="AL17" i="9"/>
  <c r="AL7" i="9"/>
  <c r="AL57" i="9"/>
  <c r="AL18" i="9"/>
  <c r="AL8" i="9"/>
  <c r="AL38" i="9"/>
  <c r="AL64" i="9"/>
  <c r="AL21" i="9"/>
  <c r="AL37" i="9"/>
  <c r="AL45" i="9"/>
  <c r="AL49" i="9"/>
  <c r="AL46" i="9"/>
  <c r="AL50" i="9"/>
  <c r="AL22" i="9"/>
  <c r="AL23" i="9"/>
  <c r="AL47" i="9"/>
  <c r="AL51" i="9"/>
  <c r="AL24" i="9"/>
  <c r="AL25" i="9"/>
  <c r="AL26" i="9"/>
  <c r="AL27" i="9"/>
  <c r="AL28" i="9"/>
  <c r="AL29" i="9"/>
  <c r="AL30" i="9"/>
  <c r="AL31" i="9"/>
  <c r="AK71" i="9"/>
  <c r="AJ73" i="9"/>
  <c r="AJ74" i="9" s="1"/>
  <c r="Y9" i="3" a="1"/>
  <c r="Y9" i="3" s="1"/>
  <c r="Z1" i="3"/>
  <c r="Y33" i="6"/>
  <c r="Y32" i="6" s="1"/>
  <c r="X97" i="11"/>
  <c r="Y158" i="12"/>
  <c r="Y117" i="12"/>
  <c r="Y178" i="12"/>
  <c r="Y175" i="12"/>
  <c r="X8" i="7"/>
  <c r="X152" i="11"/>
  <c r="X179" i="12"/>
  <c r="Y65" i="6"/>
  <c r="Z29" i="11"/>
  <c r="Z30" i="11" s="1"/>
  <c r="Z46" i="11"/>
  <c r="AK70" i="9"/>
  <c r="Y37" i="7"/>
  <c r="Y38" i="7" s="1"/>
  <c r="W150" i="12"/>
  <c r="U181" i="11"/>
  <c r="Z158" i="11"/>
  <c r="Z117" i="11"/>
  <c r="Y126" i="12"/>
  <c r="X84" i="12"/>
  <c r="AC1" i="11"/>
  <c r="AJ69" i="10"/>
  <c r="BU44" i="7"/>
  <c r="BV44" i="7" s="1"/>
  <c r="Z18" i="11"/>
  <c r="Z148" i="11"/>
  <c r="V181" i="11"/>
  <c r="Y54" i="7"/>
  <c r="AJ65" i="10"/>
  <c r="AJ68" i="10"/>
  <c r="AJ88" i="10"/>
  <c r="AJ84" i="10"/>
  <c r="AJ87" i="10"/>
  <c r="AJ86" i="10"/>
  <c r="AJ85" i="10"/>
  <c r="Q27" i="13"/>
  <c r="Q28" i="13" s="1"/>
  <c r="Z71" i="11"/>
  <c r="Z74" i="11" s="1"/>
  <c r="Z173" i="11"/>
  <c r="Z139" i="11"/>
  <c r="AK72" i="9"/>
  <c r="AK69" i="9"/>
  <c r="Y40" i="7"/>
  <c r="BV53" i="6"/>
  <c r="Y61" i="12"/>
  <c r="Z26" i="13"/>
  <c r="AA1" i="13"/>
  <c r="Z6" i="13"/>
  <c r="Y15" i="5" a="1"/>
  <c r="Y15" i="5" s="1"/>
  <c r="Y5" i="5" a="1"/>
  <c r="Y5" i="5" s="1"/>
  <c r="Z1" i="5"/>
  <c r="X131" i="12"/>
  <c r="BS53" i="7"/>
  <c r="Y119" i="11"/>
  <c r="BO47" i="6"/>
  <c r="AJ72" i="10"/>
  <c r="Z33" i="6"/>
  <c r="Z55" i="6"/>
  <c r="Z37" i="6"/>
  <c r="Z38" i="6" s="1"/>
  <c r="Z52" i="6"/>
  <c r="Z53" i="6" s="1"/>
  <c r="AA1" i="6"/>
  <c r="V156" i="12"/>
  <c r="V164" i="12" s="1"/>
  <c r="Y42" i="12"/>
  <c r="Z13" i="11"/>
  <c r="Z15" i="11" s="1"/>
  <c r="Z61" i="11"/>
  <c r="Z126" i="11"/>
  <c r="W97" i="11"/>
  <c r="X20" i="7"/>
  <c r="AK65" i="9"/>
  <c r="AK87" i="9"/>
  <c r="AK68" i="9"/>
  <c r="AK85" i="9"/>
  <c r="AK84" i="9"/>
  <c r="AK86" i="9"/>
  <c r="AK88" i="9"/>
  <c r="Z7" i="7"/>
  <c r="Z64" i="7" s="1"/>
  <c r="Z18" i="7"/>
  <c r="Z19" i="7" s="1"/>
  <c r="Z68" i="7"/>
  <c r="Z65" i="7"/>
  <c r="AA1" i="7"/>
  <c r="Z33" i="7"/>
  <c r="Z52" i="7"/>
  <c r="Z53" i="7" s="1"/>
  <c r="Z55" i="7"/>
  <c r="Z54" i="7" s="1"/>
  <c r="Z40" i="7"/>
  <c r="Z37" i="7"/>
  <c r="Z38" i="7" s="1"/>
  <c r="Z21" i="7"/>
  <c r="Z31" i="7"/>
  <c r="Y163" i="11"/>
  <c r="BP46" i="6"/>
  <c r="Y9" i="6"/>
  <c r="Z130" i="11"/>
  <c r="Z51" i="11"/>
  <c r="U181" i="12"/>
  <c r="X67" i="6"/>
  <c r="Y11" i="13"/>
  <c r="Z2" i="13"/>
  <c r="Y25" i="13"/>
  <c r="Y5" i="13"/>
  <c r="Y9" i="13" s="1"/>
  <c r="Z4" i="13" s="1"/>
  <c r="X19" i="12"/>
  <c r="X20" i="12" s="1"/>
  <c r="Y39" i="6"/>
  <c r="Z42" i="11"/>
  <c r="Z159" i="11"/>
  <c r="Z111" i="11"/>
  <c r="Z81" i="11"/>
  <c r="Z83" i="11" s="1"/>
  <c r="AI89" i="10"/>
  <c r="AI90" i="10" s="1"/>
  <c r="Y18" i="6"/>
  <c r="Y19" i="6" s="1"/>
  <c r="Z170" i="11"/>
  <c r="AA49" i="12" a="1"/>
  <c r="AB80" i="11" a="1"/>
  <c r="AB28" i="11" a="1"/>
  <c r="AA36" i="12" a="1"/>
  <c r="AB48" i="11" a="1"/>
  <c r="X21" i="12" a="1"/>
  <c r="AA58" i="12" a="1"/>
  <c r="Z31" i="11" a="1"/>
  <c r="AB52" i="11" a="1"/>
  <c r="AB58" i="11" a="1"/>
  <c r="AA123" i="12" a="1"/>
  <c r="AA26" i="12" a="1"/>
  <c r="AB47" i="11" a="1"/>
  <c r="Z107" i="12" a="1"/>
  <c r="AA11" i="12" a="1"/>
  <c r="AB36" i="11" a="1"/>
  <c r="AA146" i="12" a="1"/>
  <c r="AA47" i="12" a="1"/>
  <c r="X85" i="12" a="1"/>
  <c r="AB37" i="11" a="1"/>
  <c r="AB24" i="11" a="1"/>
  <c r="AA70" i="12" a="1"/>
  <c r="Y31" i="12" a="1"/>
  <c r="AA76" i="12" a="1"/>
  <c r="AB144" i="11" a="1"/>
  <c r="X132" i="12" a="1"/>
  <c r="AA16" i="12" a="1"/>
  <c r="AA12" i="12" a="1"/>
  <c r="AB34" i="11" a="1"/>
  <c r="AB11" i="11" a="1"/>
  <c r="AA129" i="12" a="1"/>
  <c r="AA67" i="12" a="1"/>
  <c r="AB41" i="11" a="1"/>
  <c r="AB12" i="11" a="1"/>
  <c r="AA72" i="12" a="1"/>
  <c r="AB115" i="11" a="1"/>
  <c r="Z140" i="11" a="1"/>
  <c r="AB56" i="11" a="1"/>
  <c r="AA109" i="12" a="1"/>
  <c r="AB69" i="11" a="1"/>
  <c r="AA6" i="11" a="1"/>
  <c r="Y63" i="11" a="1"/>
  <c r="AB104" i="11" a="1"/>
  <c r="AB43" i="11" a="1"/>
  <c r="AA65" i="12" a="1"/>
  <c r="Z171" i="11" a="1"/>
  <c r="AA57" i="12" a="1"/>
  <c r="AA25" i="12" a="1"/>
  <c r="AB129" i="11" a="1"/>
  <c r="AB59" i="11" a="1"/>
  <c r="V165" i="12" a="1"/>
  <c r="W98" i="11" a="1"/>
  <c r="Y132" i="11" a="1"/>
  <c r="AB50" i="11" a="1"/>
  <c r="AA124" i="12" a="1"/>
  <c r="AA43" i="12" a="1"/>
  <c r="AB109" i="11" a="1"/>
  <c r="AB75" i="11" a="1"/>
  <c r="AA10" i="12" a="1"/>
  <c r="AB114" i="11" a="1"/>
  <c r="AB55" i="11" a="1"/>
  <c r="AB4" i="11" a="1"/>
  <c r="AA104" i="12" a="1"/>
  <c r="AB133" i="11" a="1"/>
  <c r="AA80" i="12" a="1"/>
  <c r="Y140" i="12" a="1"/>
  <c r="AB45" i="11" a="1"/>
  <c r="AA75" i="12" a="1"/>
  <c r="AB73" i="11" a="1"/>
  <c r="AB16" i="11" a="1"/>
  <c r="AA144" i="12" a="1"/>
  <c r="AA33" i="12" a="1"/>
  <c r="AB110" i="11" a="1"/>
  <c r="AB82" i="11" a="1"/>
  <c r="AA55" i="12" a="1"/>
  <c r="Y85" i="11" a="1"/>
  <c r="Y118" i="12" a="1"/>
  <c r="AB38" i="11" a="1"/>
  <c r="AA78" i="12" a="1"/>
  <c r="AB10" i="11" a="1"/>
  <c r="Y120" i="11" a="1"/>
  <c r="AA40" i="12" a="1"/>
  <c r="AA8" i="12" a="1"/>
  <c r="AB78" i="11" a="1"/>
  <c r="V182" i="11" a="1"/>
  <c r="AA127" i="12" a="1"/>
  <c r="AA17" i="12" a="1"/>
  <c r="AB123" i="11" a="1"/>
  <c r="AA79" i="12" a="1"/>
  <c r="AB49" i="11" a="1"/>
  <c r="W98" i="12" a="1"/>
  <c r="AB53" i="11" a="1"/>
  <c r="X63" i="12" a="1"/>
  <c r="Z6" i="12" a="1"/>
  <c r="U182" i="11" a="1"/>
  <c r="AB66" i="11" a="1"/>
  <c r="AA53" i="12" a="1"/>
  <c r="AA59" i="12" a="1"/>
  <c r="AB79" i="11" a="1"/>
  <c r="AA60" i="12" a="1"/>
  <c r="X98" i="11" a="1"/>
  <c r="AA125" i="12" a="1"/>
  <c r="AB125" i="11" a="1"/>
  <c r="Y149" i="12" a="1"/>
  <c r="AA27" i="12" a="1"/>
  <c r="AB135" i="11" a="1"/>
  <c r="AB27" i="11" a="1"/>
  <c r="AA35" i="12" a="1"/>
  <c r="AA38" i="12" a="1"/>
  <c r="AB70" i="11" a="1"/>
  <c r="W151" i="12" a="1"/>
  <c r="AB65" i="11" a="1"/>
  <c r="AA114" i="12" a="1"/>
  <c r="AB77" i="11" a="1"/>
  <c r="X88" i="11" a="1"/>
  <c r="Y171" i="12" a="1"/>
  <c r="AB35" i="11" a="1"/>
  <c r="AA135" i="12" a="1"/>
  <c r="AB14" i="11" a="1"/>
  <c r="AB8" i="11" a="1"/>
  <c r="AA73" i="12" a="1"/>
  <c r="AA24" i="12" a="1"/>
  <c r="AB146" i="11" a="1"/>
  <c r="AB25" i="11" a="1"/>
  <c r="AA134" i="12" a="1"/>
  <c r="AA52" i="12" a="1"/>
  <c r="Y21" i="11" a="1"/>
  <c r="Z112" i="11" a="1"/>
  <c r="AA48" i="12" a="1"/>
  <c r="AA116" i="12" a="1"/>
  <c r="AB145" i="11" a="1"/>
  <c r="Z149" i="11" a="1"/>
  <c r="AA28" i="12" a="1"/>
  <c r="AA107" i="11" a="1"/>
  <c r="AA56" i="12" a="1"/>
  <c r="AB40" i="11" a="1"/>
  <c r="AA110" i="12" a="1"/>
  <c r="Z118" i="11" a="1"/>
  <c r="AB60" i="11" a="1"/>
  <c r="AB54" i="11" a="1"/>
  <c r="AA115" i="12" a="1"/>
  <c r="AA50" i="12" a="1"/>
  <c r="AA37" i="12" a="1"/>
  <c r="AB127" i="11" a="1"/>
  <c r="AA133" i="12" a="1"/>
  <c r="AA9" i="12" a="1"/>
  <c r="AB33" i="11" a="1"/>
  <c r="AA145" i="12" a="1"/>
  <c r="AB147" i="11" a="1"/>
  <c r="AB44" i="11" a="1"/>
  <c r="Y112" i="12" a="1"/>
  <c r="AA82" i="12" a="1"/>
  <c r="AA34" i="12" a="1"/>
  <c r="AB116" i="11" a="1"/>
  <c r="AA41" i="12" a="1"/>
  <c r="Y180" i="11" a="1"/>
  <c r="AB26" i="11" a="1"/>
  <c r="AA68" i="12" a="1"/>
  <c r="AB124" i="11" a="1"/>
  <c r="X120" i="12" a="1"/>
  <c r="AA147" i="12" a="1"/>
  <c r="X180" i="12" a="1"/>
  <c r="AB72" i="11" a="1"/>
  <c r="AB57" i="11" a="1"/>
  <c r="AA54" i="12" a="1"/>
  <c r="AA77" i="12" a="1"/>
  <c r="AB136" i="11" a="1"/>
  <c r="W88" i="12" a="1"/>
  <c r="AA69" i="12" a="1"/>
  <c r="AB76" i="11" a="1"/>
  <c r="U182" i="12" a="1"/>
  <c r="AA14" i="12" a="1"/>
  <c r="AB134" i="11" a="1"/>
  <c r="AB9" i="11" a="1"/>
  <c r="AA136" i="12" a="1"/>
  <c r="AA66" i="12" a="1"/>
  <c r="AA44" i="12" a="1"/>
  <c r="AB67" i="11" a="1"/>
  <c r="Y142" i="11" a="1"/>
  <c r="AA45" i="12" a="1"/>
  <c r="AB17" i="11" a="1"/>
  <c r="AA4" i="12" a="1"/>
  <c r="AB68" i="11" a="1"/>
  <c r="X88" i="11" l="1"/>
  <c r="Y87" i="11"/>
  <c r="Y97" i="11" s="1"/>
  <c r="AK89" i="9"/>
  <c r="AK90" i="9" s="1"/>
  <c r="AJ81" i="10"/>
  <c r="AJ82" i="10" s="1"/>
  <c r="Y85" i="11"/>
  <c r="Z84" i="11"/>
  <c r="Z42" i="12"/>
  <c r="Y19" i="12"/>
  <c r="Y20" i="12" s="1"/>
  <c r="Y63" i="11"/>
  <c r="Y132" i="11"/>
  <c r="Y84" i="12"/>
  <c r="Y180" i="11"/>
  <c r="Y21" i="11"/>
  <c r="Z39" i="12"/>
  <c r="Y149" i="12"/>
  <c r="X63" i="12"/>
  <c r="Z18" i="12"/>
  <c r="AA42" i="11"/>
  <c r="AA126" i="11"/>
  <c r="Z62" i="11"/>
  <c r="AA130" i="11"/>
  <c r="W88" i="12"/>
  <c r="Y31" i="12"/>
  <c r="Z29" i="12"/>
  <c r="Z30" i="12" s="1"/>
  <c r="AA170" i="11"/>
  <c r="AA18" i="11"/>
  <c r="Z71" i="12"/>
  <c r="Z74" i="12" s="1"/>
  <c r="Y62" i="12"/>
  <c r="Y163" i="12"/>
  <c r="Z61" i="12"/>
  <c r="Y131" i="12"/>
  <c r="Y141" i="12" s="1"/>
  <c r="Z46" i="12"/>
  <c r="Z170" i="12"/>
  <c r="AB12" i="11"/>
  <c r="AB53" i="11"/>
  <c r="AB136" i="11"/>
  <c r="AB133" i="11"/>
  <c r="Y142" i="11"/>
  <c r="AA17" i="12"/>
  <c r="AA52" i="12"/>
  <c r="AA70" i="12"/>
  <c r="AA123" i="12"/>
  <c r="AA6" i="11"/>
  <c r="AA55" i="12"/>
  <c r="AA41" i="12"/>
  <c r="AB127" i="11"/>
  <c r="AB67" i="11"/>
  <c r="AB41" i="11"/>
  <c r="AB77" i="11"/>
  <c r="AB125" i="11"/>
  <c r="AB160" i="11" s="1"/>
  <c r="AA28" i="12"/>
  <c r="AA77" i="12"/>
  <c r="AA104" i="12"/>
  <c r="AA105" i="12" s="1"/>
  <c r="AA106" i="12" s="1"/>
  <c r="W98" i="11"/>
  <c r="AA127" i="12"/>
  <c r="AA134" i="12"/>
  <c r="AB24" i="11"/>
  <c r="AB58" i="11"/>
  <c r="AB68" i="11"/>
  <c r="AB82" i="11"/>
  <c r="AB116" i="11"/>
  <c r="AB169" i="11" s="1"/>
  <c r="AA37" i="12"/>
  <c r="AA44" i="12"/>
  <c r="AA67" i="12"/>
  <c r="AA114" i="12"/>
  <c r="AA125" i="12"/>
  <c r="AA160" i="12" s="1"/>
  <c r="W98" i="12"/>
  <c r="AA54" i="12"/>
  <c r="AB4" i="11"/>
  <c r="AB5" i="11" s="1"/>
  <c r="V165" i="12"/>
  <c r="V182" i="11"/>
  <c r="AB25" i="11"/>
  <c r="AB37" i="11"/>
  <c r="AB52" i="11"/>
  <c r="AB69" i="11"/>
  <c r="AB110" i="11"/>
  <c r="AB167" i="11" s="1"/>
  <c r="AA34" i="12"/>
  <c r="AA50" i="12"/>
  <c r="AA66" i="12"/>
  <c r="AA129" i="12"/>
  <c r="AA162" i="12" s="1"/>
  <c r="AB65" i="11"/>
  <c r="X98" i="11"/>
  <c r="Z149" i="11"/>
  <c r="AB57" i="11"/>
  <c r="AB55" i="11"/>
  <c r="AB59" i="11"/>
  <c r="AB78" i="11"/>
  <c r="AB146" i="11"/>
  <c r="X85" i="12"/>
  <c r="Z31" i="11"/>
  <c r="AA4" i="12"/>
  <c r="AA5" i="12" s="1"/>
  <c r="AA33" i="12"/>
  <c r="AA82" i="12"/>
  <c r="AA115" i="12"/>
  <c r="AA168" i="12" s="1"/>
  <c r="AA136" i="12"/>
  <c r="AB11" i="11"/>
  <c r="W151" i="12"/>
  <c r="AA60" i="12"/>
  <c r="AB49" i="11"/>
  <c r="AB72" i="11"/>
  <c r="AB114" i="11"/>
  <c r="AB129" i="11"/>
  <c r="AB162" i="11" s="1"/>
  <c r="AA8" i="12"/>
  <c r="AA24" i="12"/>
  <c r="AA47" i="12"/>
  <c r="AA58" i="12"/>
  <c r="AA109" i="12"/>
  <c r="AA144" i="12"/>
  <c r="Y112" i="12"/>
  <c r="AB54" i="11"/>
  <c r="AB9" i="11"/>
  <c r="AB34" i="11"/>
  <c r="AB70" i="11"/>
  <c r="AB79" i="11"/>
  <c r="AB145" i="11"/>
  <c r="X180" i="12"/>
  <c r="AA10" i="12"/>
  <c r="AA25" i="12"/>
  <c r="AA40" i="12"/>
  <c r="AA73" i="12"/>
  <c r="AA146" i="12"/>
  <c r="X21" i="12"/>
  <c r="AB17" i="11"/>
  <c r="AB16" i="11"/>
  <c r="AB44" i="11"/>
  <c r="AB60" i="11"/>
  <c r="AB134" i="11"/>
  <c r="AA12" i="12"/>
  <c r="AA38" i="12"/>
  <c r="AA59" i="12"/>
  <c r="AA79" i="12"/>
  <c r="AA147" i="12"/>
  <c r="AB75" i="11"/>
  <c r="AA57" i="12"/>
  <c r="Y120" i="11"/>
  <c r="AB8" i="11"/>
  <c r="AB36" i="11"/>
  <c r="AB48" i="11"/>
  <c r="AB56" i="11"/>
  <c r="AB73" i="11"/>
  <c r="AB147" i="11"/>
  <c r="Z118" i="11"/>
  <c r="AA14" i="12"/>
  <c r="AA16" i="12"/>
  <c r="AA35" i="12"/>
  <c r="AA53" i="12"/>
  <c r="AA116" i="12"/>
  <c r="AA169" i="12" s="1"/>
  <c r="X120" i="12"/>
  <c r="AB109" i="11"/>
  <c r="Z171" i="11"/>
  <c r="AB10" i="11"/>
  <c r="AB14" i="11"/>
  <c r="AA11" i="12"/>
  <c r="AA36" i="12"/>
  <c r="AA45" i="12"/>
  <c r="AA75" i="12"/>
  <c r="AA145" i="12"/>
  <c r="AA110" i="12"/>
  <c r="AA167" i="12" s="1"/>
  <c r="U182" i="12"/>
  <c r="X132" i="12"/>
  <c r="AB27" i="11"/>
  <c r="AB66" i="11"/>
  <c r="AB123" i="11"/>
  <c r="AB124" i="11"/>
  <c r="AA43" i="12"/>
  <c r="AA65" i="12"/>
  <c r="AA78" i="12"/>
  <c r="AA135" i="12"/>
  <c r="AA174" i="12" s="1"/>
  <c r="Z107" i="12"/>
  <c r="AB28" i="11"/>
  <c r="Z140" i="11"/>
  <c r="AB45" i="11"/>
  <c r="AB33" i="11"/>
  <c r="AB40" i="11"/>
  <c r="AB76" i="11"/>
  <c r="AB144" i="11"/>
  <c r="AB135" i="11"/>
  <c r="AB174" i="11" s="1"/>
  <c r="U182" i="11"/>
  <c r="AA48" i="12"/>
  <c r="AA68" i="12"/>
  <c r="AA124" i="12"/>
  <c r="AB43" i="11"/>
  <c r="AB38" i="11"/>
  <c r="AB35" i="11"/>
  <c r="AB47" i="11"/>
  <c r="AB80" i="11"/>
  <c r="AB115" i="11"/>
  <c r="AB168" i="11" s="1"/>
  <c r="Y140" i="12"/>
  <c r="AA9" i="12"/>
  <c r="AA56" i="12"/>
  <c r="AA69" i="12"/>
  <c r="AA76" i="12"/>
  <c r="AA27" i="12"/>
  <c r="Z6" i="12"/>
  <c r="Z112" i="11"/>
  <c r="AB26" i="11"/>
  <c r="AB50" i="11"/>
  <c r="AB104" i="11"/>
  <c r="AB105" i="11" s="1"/>
  <c r="Y118" i="12"/>
  <c r="Y171" i="12"/>
  <c r="AA26" i="12"/>
  <c r="AA49" i="12"/>
  <c r="AA72" i="12"/>
  <c r="AA80" i="12"/>
  <c r="AA133" i="12"/>
  <c r="AA107" i="11"/>
  <c r="Z7" i="13"/>
  <c r="Z8" i="13" s="1"/>
  <c r="BR46" i="6"/>
  <c r="Z130" i="12"/>
  <c r="AA81" i="11"/>
  <c r="AA83" i="11" s="1"/>
  <c r="Z54" i="6"/>
  <c r="Q29" i="13"/>
  <c r="R24" i="13" s="1"/>
  <c r="Z40" i="6"/>
  <c r="Z39" i="6" s="1"/>
  <c r="AA1" i="3"/>
  <c r="Z9" i="3" a="1"/>
  <c r="Z9" i="3" s="1"/>
  <c r="AK71" i="10"/>
  <c r="BP44" i="6"/>
  <c r="Z173" i="12"/>
  <c r="Z139" i="12"/>
  <c r="W156" i="11"/>
  <c r="W164" i="11" s="1"/>
  <c r="W156" i="12"/>
  <c r="W164" i="12" s="1"/>
  <c r="BQ46" i="6"/>
  <c r="V181" i="12"/>
  <c r="AC1" i="12"/>
  <c r="BE5" i="7"/>
  <c r="BD4" i="7"/>
  <c r="X156" i="11"/>
  <c r="X164" i="11" s="1"/>
  <c r="Z20" i="7"/>
  <c r="X86" i="12"/>
  <c r="X87" i="12" s="1"/>
  <c r="AM62" i="9"/>
  <c r="AM17" i="9"/>
  <c r="AM55" i="9"/>
  <c r="AM40" i="9"/>
  <c r="AM71" i="9" s="1"/>
  <c r="AM11" i="9"/>
  <c r="AM5" i="9"/>
  <c r="AM61" i="9"/>
  <c r="AM54" i="9"/>
  <c r="AM16" i="9"/>
  <c r="AM34" i="9"/>
  <c r="AM44" i="9"/>
  <c r="AM60" i="9"/>
  <c r="AM53" i="9"/>
  <c r="AM48" i="9"/>
  <c r="AM15" i="9"/>
  <c r="AM33" i="9"/>
  <c r="AM70" i="9" s="1"/>
  <c r="AM20" i="9"/>
  <c r="AN1" i="9"/>
  <c r="AM43" i="9"/>
  <c r="AM9" i="9"/>
  <c r="AM59" i="9"/>
  <c r="AM14" i="9"/>
  <c r="AM19" i="9"/>
  <c r="AM63" i="9"/>
  <c r="AM10" i="9"/>
  <c r="AM12" i="9"/>
  <c r="AM36" i="9"/>
  <c r="AM13" i="9"/>
  <c r="AM7" i="9"/>
  <c r="AM35" i="9"/>
  <c r="AM4" i="9"/>
  <c r="AM56" i="9"/>
  <c r="AM18" i="9"/>
  <c r="AM8" i="9"/>
  <c r="AM41" i="9"/>
  <c r="AM58" i="9"/>
  <c r="AM42" i="9"/>
  <c r="AM57" i="9"/>
  <c r="AM38" i="9"/>
  <c r="AM64" i="9"/>
  <c r="AM21" i="9"/>
  <c r="AM37" i="9"/>
  <c r="AM49" i="9"/>
  <c r="AM45" i="9"/>
  <c r="AM46" i="9"/>
  <c r="AM50" i="9"/>
  <c r="AM22" i="9"/>
  <c r="AM23" i="9"/>
  <c r="AM51" i="9"/>
  <c r="AM47" i="9"/>
  <c r="AM24" i="9"/>
  <c r="AM25" i="9"/>
  <c r="AM26" i="9"/>
  <c r="AM27" i="9"/>
  <c r="AM28" i="9"/>
  <c r="AM29" i="9"/>
  <c r="AM30" i="9"/>
  <c r="AM31" i="9"/>
  <c r="AA178" i="11"/>
  <c r="AA175" i="11"/>
  <c r="W152" i="12"/>
  <c r="AJ89" i="10"/>
  <c r="AJ90" i="10" s="1"/>
  <c r="Z19" i="11"/>
  <c r="Z20" i="11" s="1"/>
  <c r="Y64" i="7"/>
  <c r="AL71" i="9"/>
  <c r="AA61" i="11"/>
  <c r="Z39" i="7"/>
  <c r="AK73" i="9"/>
  <c r="AK74" i="9" s="1"/>
  <c r="Z21" i="6"/>
  <c r="Y150" i="11"/>
  <c r="AL70" i="9"/>
  <c r="AL59" i="10"/>
  <c r="AL55" i="10"/>
  <c r="AL60" i="10"/>
  <c r="AL61" i="10"/>
  <c r="AL56" i="10"/>
  <c r="AL20" i="10"/>
  <c r="AL58" i="10"/>
  <c r="AL53" i="10"/>
  <c r="AL72" i="10" s="1"/>
  <c r="AL9" i="10"/>
  <c r="AL4" i="10"/>
  <c r="AL14" i="10"/>
  <c r="AL54" i="10"/>
  <c r="AL19" i="10"/>
  <c r="AL8" i="10"/>
  <c r="AM1" i="10"/>
  <c r="AL13" i="10"/>
  <c r="AL57" i="10"/>
  <c r="AL18" i="10"/>
  <c r="AL43" i="10"/>
  <c r="AL23" i="10"/>
  <c r="AL42" i="10"/>
  <c r="AL41" i="10"/>
  <c r="AL40" i="10"/>
  <c r="AL34" i="10"/>
  <c r="AL12" i="10"/>
  <c r="AL7" i="10"/>
  <c r="AL17" i="10"/>
  <c r="AL22" i="10"/>
  <c r="AL33" i="10"/>
  <c r="AL11" i="10"/>
  <c r="AL16" i="10"/>
  <c r="AL10" i="10"/>
  <c r="AL15" i="10"/>
  <c r="AL21" i="10"/>
  <c r="AL5" i="10"/>
  <c r="Z158" i="12"/>
  <c r="Z117" i="12"/>
  <c r="AA51" i="11"/>
  <c r="AA46" i="11"/>
  <c r="Z178" i="12"/>
  <c r="Z175" i="12"/>
  <c r="Z25" i="13"/>
  <c r="Z5" i="13"/>
  <c r="Z9" i="13" s="1"/>
  <c r="AA4" i="13" s="1"/>
  <c r="Z11" i="13"/>
  <c r="AA2" i="13"/>
  <c r="AA33" i="6"/>
  <c r="AA40" i="6"/>
  <c r="AA52" i="6"/>
  <c r="AA31" i="6"/>
  <c r="AA68" i="6"/>
  <c r="AA9" i="6"/>
  <c r="AB1" i="6"/>
  <c r="Y39" i="7"/>
  <c r="AJ73" i="10"/>
  <c r="AJ74" i="10" s="1"/>
  <c r="AL69" i="9"/>
  <c r="AK70" i="10"/>
  <c r="AA13" i="11"/>
  <c r="AA15" i="11" s="1"/>
  <c r="Z126" i="12"/>
  <c r="AK81" i="9"/>
  <c r="AK82" i="9" s="1"/>
  <c r="Z65" i="6"/>
  <c r="Z119" i="11"/>
  <c r="AA148" i="11"/>
  <c r="AA39" i="11"/>
  <c r="Z32" i="7"/>
  <c r="Z163" i="11"/>
  <c r="AL72" i="9"/>
  <c r="AB1" i="15"/>
  <c r="Z13" i="12"/>
  <c r="Z15" i="12" s="1"/>
  <c r="Z148" i="12"/>
  <c r="Z51" i="12"/>
  <c r="AA29" i="11"/>
  <c r="AA30" i="11" s="1"/>
  <c r="Z31" i="6"/>
  <c r="Z32" i="6" s="1"/>
  <c r="BT53" i="7"/>
  <c r="AA31" i="7"/>
  <c r="AA21" i="7"/>
  <c r="AA9" i="7"/>
  <c r="AA65" i="7"/>
  <c r="AA40" i="7"/>
  <c r="AA55" i="7"/>
  <c r="AA54" i="7" s="1"/>
  <c r="AA37" i="7"/>
  <c r="AA38" i="7" s="1"/>
  <c r="AA52" i="7"/>
  <c r="AA53" i="7" s="1"/>
  <c r="AB1" i="7"/>
  <c r="AA18" i="7" s="1"/>
  <c r="AA19" i="7" s="1"/>
  <c r="AA7" i="7"/>
  <c r="AA64" i="7" s="1"/>
  <c r="Z9" i="6"/>
  <c r="X141" i="12"/>
  <c r="BC4" i="6"/>
  <c r="BD5" i="6"/>
  <c r="Z81" i="12"/>
  <c r="Z83" i="12" s="1"/>
  <c r="AA173" i="11"/>
  <c r="AA139" i="11"/>
  <c r="Z7" i="6"/>
  <c r="Z64" i="6" s="1"/>
  <c r="Z15" i="5" a="1"/>
  <c r="Z15" i="5" s="1"/>
  <c r="Z5" i="5" a="1"/>
  <c r="Z5" i="5" s="1"/>
  <c r="AA26" i="13"/>
  <c r="AA6" i="13"/>
  <c r="AB1" i="13"/>
  <c r="AL65" i="9"/>
  <c r="AL68" i="9"/>
  <c r="AL87" i="9"/>
  <c r="AL86" i="9"/>
  <c r="AL84" i="9"/>
  <c r="AL85" i="9"/>
  <c r="AL88" i="9"/>
  <c r="AK69" i="10"/>
  <c r="AK65" i="10"/>
  <c r="AK68" i="10"/>
  <c r="AK88" i="10"/>
  <c r="AK84" i="10"/>
  <c r="AK87" i="10"/>
  <c r="AK86" i="10"/>
  <c r="AK85" i="10"/>
  <c r="AA159" i="11"/>
  <c r="AA111" i="11"/>
  <c r="AA158" i="11"/>
  <c r="AA117" i="11"/>
  <c r="BP47" i="6"/>
  <c r="Z159" i="12"/>
  <c r="Z111" i="12"/>
  <c r="Z68" i="6"/>
  <c r="Z179" i="11"/>
  <c r="Y20" i="6"/>
  <c r="AA71" i="11"/>
  <c r="AA74" i="11" s="1"/>
  <c r="Z131" i="11"/>
  <c r="Z141" i="11" s="1"/>
  <c r="Y8" i="6"/>
  <c r="Y67" i="6"/>
  <c r="Z9" i="7"/>
  <c r="Z18" i="6"/>
  <c r="Z19" i="6" s="1"/>
  <c r="AD1" i="11"/>
  <c r="Y119" i="12"/>
  <c r="Y179" i="12"/>
  <c r="AK72" i="10"/>
  <c r="Z63" i="11" a="1"/>
  <c r="AC75" i="11" a="1"/>
  <c r="AB124" i="12" a="1"/>
  <c r="AB36" i="12" a="1"/>
  <c r="AC72" i="11" a="1"/>
  <c r="AC124" i="11" a="1"/>
  <c r="AC145" i="11" a="1"/>
  <c r="AC77" i="11" a="1"/>
  <c r="AA107" i="12" a="1"/>
  <c r="AB104" i="12" a="1"/>
  <c r="AB52" i="12" a="1"/>
  <c r="Z142" i="11" a="1"/>
  <c r="AC76" i="11" a="1"/>
  <c r="Y151" i="11" a="1"/>
  <c r="AB40" i="12" a="1"/>
  <c r="AC58" i="11" a="1"/>
  <c r="AB116" i="12" a="1"/>
  <c r="AB9" i="12" a="1"/>
  <c r="Y142" i="12" a="1"/>
  <c r="AB145" i="12" a="1"/>
  <c r="AC44" i="11" a="1"/>
  <c r="AC59" i="11" a="1"/>
  <c r="AA112" i="11" a="1"/>
  <c r="AB133" i="12" a="1"/>
  <c r="AA118" i="11" a="1"/>
  <c r="AB135" i="12" a="1"/>
  <c r="AB65" i="12" a="1"/>
  <c r="Z21" i="11" a="1"/>
  <c r="AC82" i="11" a="1"/>
  <c r="AA6" i="12" a="1"/>
  <c r="AA31" i="11" a="1"/>
  <c r="AC80" i="11" a="1"/>
  <c r="AB49" i="12" a="1"/>
  <c r="AC125" i="11" a="1"/>
  <c r="AC67" i="11" a="1"/>
  <c r="AC26" i="11" a="1"/>
  <c r="Z31" i="12" a="1"/>
  <c r="AB109" i="12" a="1"/>
  <c r="AB129" i="12" a="1"/>
  <c r="AB82" i="12" a="1"/>
  <c r="AC66" i="11" a="1"/>
  <c r="V182" i="12" a="1"/>
  <c r="Y120" i="12" a="1"/>
  <c r="AB53" i="12" a="1"/>
  <c r="AC134" i="11" a="1"/>
  <c r="AC38" i="11" a="1"/>
  <c r="AC147" i="11" a="1"/>
  <c r="AC49" i="11" a="1"/>
  <c r="Y85" i="12" a="1"/>
  <c r="Z171" i="12" a="1"/>
  <c r="AB48" i="12" a="1"/>
  <c r="AB35" i="12" a="1"/>
  <c r="X142" i="12" a="1"/>
  <c r="AC123" i="11" a="1"/>
  <c r="AC27" i="11" a="1"/>
  <c r="AB10" i="12" a="1"/>
  <c r="W165" i="11" a="1"/>
  <c r="AB4" i="12" a="1"/>
  <c r="AB147" i="12" a="1"/>
  <c r="AB66" i="12" a="1"/>
  <c r="AB134" i="12" a="1"/>
  <c r="Z180" i="11" a="1"/>
  <c r="AC114" i="11" a="1"/>
  <c r="AB47" i="12" a="1"/>
  <c r="Z112" i="12" a="1"/>
  <c r="AC133" i="11" a="1"/>
  <c r="AC129" i="11" a="1"/>
  <c r="AC60" i="11" a="1"/>
  <c r="AB11" i="12" a="1"/>
  <c r="AB144" i="12" a="1"/>
  <c r="AC116" i="11" a="1"/>
  <c r="AB136" i="12" a="1"/>
  <c r="AB8" i="12" a="1"/>
  <c r="AB75" i="12" a="1"/>
  <c r="Z118" i="12" a="1"/>
  <c r="AC104" i="11" a="1"/>
  <c r="AB50" i="12" a="1"/>
  <c r="AB26" i="12" a="1"/>
  <c r="AC34" i="11" a="1"/>
  <c r="AB77" i="12" a="1"/>
  <c r="AB27" i="12" a="1"/>
  <c r="Y21" i="12" a="1"/>
  <c r="AC33" i="11" a="1"/>
  <c r="AC41" i="11" a="1"/>
  <c r="AB57" i="12" a="1"/>
  <c r="AC135" i="11" a="1"/>
  <c r="X165" i="11" a="1"/>
  <c r="AC16" i="11" a="1"/>
  <c r="AC79" i="11" a="1"/>
  <c r="W165" i="12" a="1"/>
  <c r="Y98" i="11" a="1"/>
  <c r="AB16" i="12" a="1"/>
  <c r="AC136" i="11" a="1"/>
  <c r="AC14" i="11" a="1"/>
  <c r="AB38" i="12" a="1"/>
  <c r="AC4" i="11" a="1"/>
  <c r="AC17" i="11" a="1"/>
  <c r="AB146" i="12" a="1"/>
  <c r="AB37" i="12" a="1"/>
  <c r="AB110" i="12" a="1"/>
  <c r="AB45" i="12" a="1"/>
  <c r="AC146" i="11" a="1"/>
  <c r="AB115" i="12" a="1"/>
  <c r="AB54" i="12" a="1"/>
  <c r="AC48" i="11" a="1"/>
  <c r="AB28" i="12" a="1"/>
  <c r="Z85" i="11" a="1"/>
  <c r="AC12" i="11" a="1"/>
  <c r="AC35" i="11" a="1"/>
  <c r="AB73" i="12" a="1"/>
  <c r="AA140" i="11" a="1"/>
  <c r="AB14" i="12" a="1"/>
  <c r="AB24" i="12" a="1"/>
  <c r="AB17" i="12" a="1"/>
  <c r="AC24" i="11" a="1"/>
  <c r="AC55" i="11" a="1"/>
  <c r="AC45" i="11" a="1"/>
  <c r="AB127" i="12" a="1"/>
  <c r="AB44" i="12" a="1"/>
  <c r="AB69" i="12" a="1"/>
  <c r="AB60" i="12" a="1"/>
  <c r="Z140" i="12" a="1"/>
  <c r="AB72" i="12" a="1"/>
  <c r="Y63" i="12" a="1"/>
  <c r="AB79" i="12" a="1"/>
  <c r="AB70" i="12" a="1"/>
  <c r="AC54" i="11" a="1"/>
  <c r="AC8" i="11" a="1"/>
  <c r="AC70" i="11" a="1"/>
  <c r="AB59" i="12" a="1"/>
  <c r="AC25" i="11" a="1"/>
  <c r="AC53" i="11" a="1"/>
  <c r="AB33" i="12" a="1"/>
  <c r="Y88" i="11" a="1"/>
  <c r="AC40" i="11" a="1"/>
  <c r="AC50" i="11" a="1"/>
  <c r="AC28" i="11" a="1"/>
  <c r="AA149" i="11" a="1"/>
  <c r="AB25" i="12" a="1"/>
  <c r="AB68" i="12" a="1"/>
  <c r="AB12" i="12" a="1"/>
  <c r="AC73" i="11" a="1"/>
  <c r="AC69" i="11" a="1"/>
  <c r="AC36" i="11" a="1"/>
  <c r="AC10" i="11" a="1"/>
  <c r="Y132" i="12" a="1"/>
  <c r="AB43" i="12" a="1"/>
  <c r="AC52" i="11" a="1"/>
  <c r="AC11" i="11" a="1"/>
  <c r="AA171" i="11" a="1"/>
  <c r="AC65" i="11" a="1"/>
  <c r="AB76" i="12" a="1"/>
  <c r="Z149" i="12" a="1"/>
  <c r="AC47" i="11" a="1"/>
  <c r="AC144" i="11" a="1"/>
  <c r="AB125" i="12" a="1"/>
  <c r="AC37" i="11" a="1"/>
  <c r="AB56" i="12" a="1"/>
  <c r="AB34" i="12" a="1"/>
  <c r="AB41" i="12" a="1"/>
  <c r="X88" i="12" a="1"/>
  <c r="AB6" i="11" a="1"/>
  <c r="AB67" i="12" a="1"/>
  <c r="Y180" i="12" a="1"/>
  <c r="AC56" i="11" a="1"/>
  <c r="AB114" i="12" a="1"/>
  <c r="AB55" i="12" a="1"/>
  <c r="Z120" i="11" a="1"/>
  <c r="AC127" i="11" a="1"/>
  <c r="AB78" i="12" a="1"/>
  <c r="AC9" i="11" a="1"/>
  <c r="AC57" i="11" a="1"/>
  <c r="Z132" i="11" a="1"/>
  <c r="AB80" i="12" a="1"/>
  <c r="AB58" i="12" a="1"/>
  <c r="AC109" i="11" a="1"/>
  <c r="AC115" i="11" a="1"/>
  <c r="AC110" i="11" a="1"/>
  <c r="AB123" i="12" a="1"/>
  <c r="AC68" i="11" a="1"/>
  <c r="AC43" i="11" a="1"/>
  <c r="AC78" i="11" a="1"/>
  <c r="Y86" i="12" l="1"/>
  <c r="Y87" i="12" s="1"/>
  <c r="Y97" i="12" s="1"/>
  <c r="Y88" i="11"/>
  <c r="AL73" i="9"/>
  <c r="AL74" i="9" s="1"/>
  <c r="Z19" i="12"/>
  <c r="Z20" i="12" s="1"/>
  <c r="Z86" i="11"/>
  <c r="Z87" i="11" s="1"/>
  <c r="Z85" i="11"/>
  <c r="AB106" i="11"/>
  <c r="AA84" i="11"/>
  <c r="AB126" i="11"/>
  <c r="AB42" i="11"/>
  <c r="AA131" i="11"/>
  <c r="AA141" i="11" s="1"/>
  <c r="AA150" i="11" s="1"/>
  <c r="Y21" i="12"/>
  <c r="AA126" i="12"/>
  <c r="AA42" i="12"/>
  <c r="AB46" i="11"/>
  <c r="Y85" i="12"/>
  <c r="AA19" i="11"/>
  <c r="AA20" i="11" s="1"/>
  <c r="Z62" i="12"/>
  <c r="Z63" i="11"/>
  <c r="AA179" i="11"/>
  <c r="Z171" i="12"/>
  <c r="Y132" i="12"/>
  <c r="Y63" i="12"/>
  <c r="AA171" i="11"/>
  <c r="AB29" i="11"/>
  <c r="AB30" i="11" s="1"/>
  <c r="AA29" i="12"/>
  <c r="AA30" i="12" s="1"/>
  <c r="AA46" i="12"/>
  <c r="AA71" i="12"/>
  <c r="AA74" i="12" s="1"/>
  <c r="AA62" i="11"/>
  <c r="AA170" i="12"/>
  <c r="AA163" i="11"/>
  <c r="X88" i="12"/>
  <c r="Z142" i="11"/>
  <c r="AB49" i="12"/>
  <c r="AB115" i="12"/>
  <c r="AB168" i="12" s="1"/>
  <c r="AB127" i="12"/>
  <c r="AC10" i="11"/>
  <c r="AC38" i="11"/>
  <c r="AC79" i="11"/>
  <c r="AC104" i="11"/>
  <c r="AC105" i="11" s="1"/>
  <c r="AC146" i="11"/>
  <c r="Z112" i="12"/>
  <c r="AB26" i="12"/>
  <c r="AB65" i="12"/>
  <c r="AB66" i="12"/>
  <c r="AB114" i="12"/>
  <c r="AB134" i="12"/>
  <c r="AB41" i="12"/>
  <c r="AB52" i="12"/>
  <c r="AB123" i="12"/>
  <c r="V182" i="12"/>
  <c r="AC45" i="11"/>
  <c r="AC36" i="11"/>
  <c r="AC58" i="11"/>
  <c r="AC82" i="11"/>
  <c r="Z118" i="12"/>
  <c r="AB45" i="12"/>
  <c r="AB72" i="12"/>
  <c r="AB58" i="12"/>
  <c r="AB135" i="12"/>
  <c r="AB174" i="12" s="1"/>
  <c r="AB147" i="12"/>
  <c r="Y98" i="11"/>
  <c r="AB6" i="11"/>
  <c r="AB34" i="12"/>
  <c r="AB104" i="12"/>
  <c r="AB105" i="12" s="1"/>
  <c r="AB106" i="12" s="1"/>
  <c r="AC11" i="11"/>
  <c r="AC53" i="11"/>
  <c r="AC55" i="11"/>
  <c r="AC69" i="11"/>
  <c r="AB27" i="12"/>
  <c r="AB44" i="12"/>
  <c r="AB75" i="12"/>
  <c r="AB110" i="12"/>
  <c r="AB167" i="12" s="1"/>
  <c r="W165" i="12"/>
  <c r="AC68" i="11"/>
  <c r="AA118" i="11"/>
  <c r="AB4" i="12"/>
  <c r="AB5" i="12" s="1"/>
  <c r="AB28" i="12"/>
  <c r="AB50" i="12"/>
  <c r="AB56" i="12"/>
  <c r="AA107" i="12"/>
  <c r="AC80" i="11"/>
  <c r="AC66" i="11"/>
  <c r="AC24" i="11"/>
  <c r="AC73" i="11"/>
  <c r="AC134" i="11"/>
  <c r="Z21" i="11"/>
  <c r="AB8" i="12"/>
  <c r="AB37" i="12"/>
  <c r="AB47" i="12"/>
  <c r="AB80" i="12"/>
  <c r="AB133" i="12"/>
  <c r="W165" i="11"/>
  <c r="AC56" i="11"/>
  <c r="AC25" i="11"/>
  <c r="AC37" i="11"/>
  <c r="AC77" i="11"/>
  <c r="AC110" i="11"/>
  <c r="AC167" i="11" s="1"/>
  <c r="AC147" i="11"/>
  <c r="AB17" i="12"/>
  <c r="AB12" i="12"/>
  <c r="AB40" i="12"/>
  <c r="AB82" i="12"/>
  <c r="AB136" i="12"/>
  <c r="AB146" i="12"/>
  <c r="Z140" i="12"/>
  <c r="Z132" i="11"/>
  <c r="AA112" i="11"/>
  <c r="AB10" i="12"/>
  <c r="AB33" i="12"/>
  <c r="AB59" i="12"/>
  <c r="AB125" i="12"/>
  <c r="AB160" i="12" s="1"/>
  <c r="AC145" i="11"/>
  <c r="AC52" i="11"/>
  <c r="AC16" i="11"/>
  <c r="AB24" i="12"/>
  <c r="AB68" i="12"/>
  <c r="AB77" i="12"/>
  <c r="AB129" i="12"/>
  <c r="AB162" i="12" s="1"/>
  <c r="AC116" i="11"/>
  <c r="AC169" i="11" s="1"/>
  <c r="AC17" i="11"/>
  <c r="AC43" i="11"/>
  <c r="AC57" i="11"/>
  <c r="AC59" i="11"/>
  <c r="AC27" i="11"/>
  <c r="AC48" i="11"/>
  <c r="AC70" i="11"/>
  <c r="AC144" i="11"/>
  <c r="AC124" i="11"/>
  <c r="AA31" i="11"/>
  <c r="X165" i="11"/>
  <c r="AB14" i="12"/>
  <c r="AB25" i="12"/>
  <c r="AB53" i="12"/>
  <c r="AB109" i="12"/>
  <c r="AB144" i="12"/>
  <c r="AC4" i="11"/>
  <c r="AC5" i="11" s="1"/>
  <c r="AC114" i="11"/>
  <c r="AC9" i="11"/>
  <c r="AC44" i="11"/>
  <c r="AC123" i="11"/>
  <c r="Y180" i="12"/>
  <c r="AC8" i="11"/>
  <c r="AC47" i="11"/>
  <c r="AC72" i="11"/>
  <c r="AC115" i="11"/>
  <c r="AC168" i="11" s="1"/>
  <c r="AC135" i="11"/>
  <c r="AC174" i="11" s="1"/>
  <c r="AA140" i="11"/>
  <c r="AA149" i="11"/>
  <c r="Y151" i="11"/>
  <c r="Z31" i="12"/>
  <c r="AB11" i="12"/>
  <c r="AB38" i="12"/>
  <c r="AB60" i="12"/>
  <c r="AB78" i="12"/>
  <c r="AB145" i="12"/>
  <c r="X142" i="12"/>
  <c r="AC78" i="11"/>
  <c r="AC54" i="11"/>
  <c r="Z149" i="12"/>
  <c r="AB36" i="12"/>
  <c r="AB43" i="12"/>
  <c r="AB57" i="12"/>
  <c r="AB73" i="12"/>
  <c r="AC28" i="11"/>
  <c r="AC34" i="11"/>
  <c r="AC26" i="11"/>
  <c r="AC60" i="11"/>
  <c r="AC14" i="11"/>
  <c r="AC49" i="11"/>
  <c r="AC127" i="11"/>
  <c r="Y142" i="12"/>
  <c r="AB35" i="12"/>
  <c r="AB54" i="12"/>
  <c r="AB70" i="12"/>
  <c r="AB76" i="12"/>
  <c r="AB124" i="12"/>
  <c r="AA6" i="12"/>
  <c r="AC41" i="11"/>
  <c r="AC35" i="11"/>
  <c r="AC50" i="11"/>
  <c r="Y120" i="12"/>
  <c r="AC67" i="11"/>
  <c r="AC129" i="11"/>
  <c r="AC162" i="11" s="1"/>
  <c r="AC136" i="11"/>
  <c r="Z180" i="11"/>
  <c r="Z120" i="11"/>
  <c r="AB9" i="12"/>
  <c r="AB48" i="12"/>
  <c r="AB67" i="12"/>
  <c r="AB79" i="12"/>
  <c r="AC65" i="11"/>
  <c r="AC75" i="11"/>
  <c r="AC109" i="11"/>
  <c r="AC33" i="11"/>
  <c r="AC12" i="11"/>
  <c r="AC40" i="11"/>
  <c r="AC76" i="11"/>
  <c r="AC125" i="11"/>
  <c r="AC160" i="11" s="1"/>
  <c r="AC133" i="11"/>
  <c r="AB16" i="12"/>
  <c r="AB69" i="12"/>
  <c r="AB55" i="12"/>
  <c r="AB116" i="12"/>
  <c r="AB169" i="12" s="1"/>
  <c r="X97" i="12"/>
  <c r="AA7" i="13"/>
  <c r="AA8" i="13" s="1"/>
  <c r="Z150" i="11"/>
  <c r="AA68" i="7"/>
  <c r="AA55" i="6"/>
  <c r="AA54" i="6" s="1"/>
  <c r="AL71" i="10"/>
  <c r="BU46" i="6"/>
  <c r="BU47" i="6" s="1"/>
  <c r="BR47" i="6"/>
  <c r="AB159" i="11"/>
  <c r="AB111" i="11"/>
  <c r="AB158" i="11"/>
  <c r="AB117" i="11"/>
  <c r="BS46" i="6"/>
  <c r="AK73" i="10"/>
  <c r="AK74" i="10" s="1"/>
  <c r="AA18" i="6"/>
  <c r="AA19" i="6" s="1"/>
  <c r="Z119" i="12"/>
  <c r="AD1" i="12"/>
  <c r="BQ47" i="6"/>
  <c r="BT46" i="6"/>
  <c r="BT47" i="6" s="1"/>
  <c r="Y156" i="11"/>
  <c r="Y164" i="11" s="1"/>
  <c r="AA130" i="12"/>
  <c r="AL81" i="9"/>
  <c r="AL82" i="9" s="1"/>
  <c r="AA173" i="12"/>
  <c r="AA139" i="12"/>
  <c r="AK81" i="10"/>
  <c r="AK82" i="10" s="1"/>
  <c r="AA20" i="7"/>
  <c r="AA7" i="6"/>
  <c r="Z163" i="12"/>
  <c r="AN55" i="9"/>
  <c r="AN40" i="9"/>
  <c r="AN35" i="9"/>
  <c r="AN61" i="9"/>
  <c r="AN54" i="9"/>
  <c r="AN16" i="9"/>
  <c r="AN34" i="9"/>
  <c r="AN44" i="9"/>
  <c r="AN10" i="9"/>
  <c r="AN4" i="9"/>
  <c r="AN60" i="9"/>
  <c r="AN53" i="9"/>
  <c r="AN48" i="9"/>
  <c r="AN33" i="9"/>
  <c r="AN20" i="9"/>
  <c r="AO1" i="9"/>
  <c r="AN43" i="9"/>
  <c r="AN9" i="9"/>
  <c r="AN59" i="9"/>
  <c r="AN14" i="9"/>
  <c r="AN19" i="9"/>
  <c r="AN58" i="9"/>
  <c r="AN42" i="9"/>
  <c r="AN8" i="9"/>
  <c r="AN57" i="9"/>
  <c r="AN36" i="9"/>
  <c r="AN63" i="9"/>
  <c r="AN12" i="9"/>
  <c r="AN62" i="9"/>
  <c r="AN5" i="9"/>
  <c r="AN13" i="9"/>
  <c r="AN15" i="9"/>
  <c r="AN7" i="9"/>
  <c r="AN17" i="9"/>
  <c r="AN11" i="9"/>
  <c r="AN41" i="9"/>
  <c r="AN56" i="9"/>
  <c r="AN18" i="9"/>
  <c r="AN21" i="9"/>
  <c r="AN49" i="9"/>
  <c r="AN38" i="9"/>
  <c r="AN45" i="9"/>
  <c r="AN64" i="9"/>
  <c r="AN37" i="9"/>
  <c r="AN50" i="9"/>
  <c r="AN22" i="9"/>
  <c r="AN46" i="9"/>
  <c r="AN51" i="9"/>
  <c r="AN47" i="9"/>
  <c r="AN23" i="9"/>
  <c r="AN24" i="9"/>
  <c r="AN25" i="9"/>
  <c r="AN26" i="9"/>
  <c r="AN27" i="9"/>
  <c r="AN28" i="9"/>
  <c r="AN29" i="9"/>
  <c r="AN30" i="9"/>
  <c r="AN31" i="9"/>
  <c r="W181" i="12"/>
  <c r="Z67" i="7"/>
  <c r="Z8" i="7"/>
  <c r="AA119" i="11"/>
  <c r="AA21" i="6"/>
  <c r="AB1" i="3"/>
  <c r="AA9" i="3" a="1"/>
  <c r="AA9" i="3" s="1"/>
  <c r="BU53" i="7"/>
  <c r="W181" i="11"/>
  <c r="AA81" i="12"/>
  <c r="AA83" i="12" s="1"/>
  <c r="AB178" i="11"/>
  <c r="AB175" i="11"/>
  <c r="AB26" i="13"/>
  <c r="AB6" i="13"/>
  <c r="AC1" i="13"/>
  <c r="Z67" i="6"/>
  <c r="Z8" i="6"/>
  <c r="BV53" i="7"/>
  <c r="AA53" i="6"/>
  <c r="AM65" i="9"/>
  <c r="AM87" i="9"/>
  <c r="AM68" i="9"/>
  <c r="AM85" i="9"/>
  <c r="AM84" i="9"/>
  <c r="AM88" i="9"/>
  <c r="AM86" i="9"/>
  <c r="AB148" i="11"/>
  <c r="AA18" i="12"/>
  <c r="AA39" i="6"/>
  <c r="Z179" i="12"/>
  <c r="R27" i="13"/>
  <c r="R28" i="13" s="1"/>
  <c r="AB173" i="11"/>
  <c r="AB139" i="11"/>
  <c r="AB13" i="11"/>
  <c r="AB15" i="11" s="1"/>
  <c r="AA158" i="12"/>
  <c r="AA117" i="12"/>
  <c r="AC1" i="15"/>
  <c r="AA32" i="6"/>
  <c r="AM57" i="10"/>
  <c r="AM58" i="10"/>
  <c r="AM53" i="10"/>
  <c r="AM9" i="10"/>
  <c r="AM4" i="10"/>
  <c r="AM14" i="10"/>
  <c r="AM54" i="10"/>
  <c r="AM19" i="10"/>
  <c r="AM8" i="10"/>
  <c r="AN1" i="10"/>
  <c r="AM13" i="10"/>
  <c r="AM18" i="10"/>
  <c r="AM43" i="10"/>
  <c r="AM23" i="10"/>
  <c r="AM42" i="10"/>
  <c r="AM41" i="10"/>
  <c r="AM40" i="10"/>
  <c r="AM34" i="10"/>
  <c r="AM12" i="10"/>
  <c r="AM7" i="10"/>
  <c r="AM61" i="10"/>
  <c r="AM55" i="10"/>
  <c r="AM17" i="10"/>
  <c r="AM60" i="10"/>
  <c r="AM22" i="10"/>
  <c r="AM33" i="10"/>
  <c r="AM70" i="10" s="1"/>
  <c r="AM11" i="10"/>
  <c r="AM16" i="10"/>
  <c r="AM21" i="10"/>
  <c r="AM5" i="10"/>
  <c r="AM15" i="10"/>
  <c r="AM20" i="10"/>
  <c r="AM10" i="10"/>
  <c r="AM59" i="10"/>
  <c r="AM56" i="10"/>
  <c r="AM69" i="9"/>
  <c r="AM72" i="9"/>
  <c r="AA61" i="12"/>
  <c r="AA178" i="12"/>
  <c r="AA175" i="12"/>
  <c r="AB81" i="11"/>
  <c r="AB83" i="11" s="1"/>
  <c r="AC1" i="7"/>
  <c r="AB37" i="7" s="1"/>
  <c r="AB38" i="7" s="1"/>
  <c r="AA25" i="13"/>
  <c r="AA11" i="13"/>
  <c r="AA5" i="13"/>
  <c r="AA9" i="13" s="1"/>
  <c r="AB4" i="13" s="1"/>
  <c r="AB2" i="13"/>
  <c r="X181" i="11"/>
  <c r="AA13" i="12"/>
  <c r="AA15" i="12" s="1"/>
  <c r="AL89" i="9"/>
  <c r="AL90" i="9" s="1"/>
  <c r="AL70" i="10"/>
  <c r="Y152" i="11"/>
  <c r="Z131" i="12"/>
  <c r="Z141" i="12" s="1"/>
  <c r="AB18" i="11"/>
  <c r="AA148" i="12"/>
  <c r="AA39" i="12"/>
  <c r="X150" i="12"/>
  <c r="Z20" i="6"/>
  <c r="AB61" i="11"/>
  <c r="AA159" i="12"/>
  <c r="AA111" i="12"/>
  <c r="AB170" i="11"/>
  <c r="AB130" i="11"/>
  <c r="Y150" i="12"/>
  <c r="AC1" i="6"/>
  <c r="AB21" i="6"/>
  <c r="AB18" i="6"/>
  <c r="AB19" i="6" s="1"/>
  <c r="AB9" i="6"/>
  <c r="AB33" i="6"/>
  <c r="AB7" i="6"/>
  <c r="AB65" i="6"/>
  <c r="BQ44" i="6"/>
  <c r="AA8" i="7"/>
  <c r="AA67" i="7"/>
  <c r="AK89" i="10"/>
  <c r="AK90" i="10" s="1"/>
  <c r="AA39" i="7"/>
  <c r="Z84" i="12"/>
  <c r="AA65" i="6"/>
  <c r="AL69" i="10"/>
  <c r="AL65" i="10"/>
  <c r="AL68" i="10"/>
  <c r="AL84" i="10"/>
  <c r="AL86" i="10"/>
  <c r="AL87" i="10"/>
  <c r="AL85" i="10"/>
  <c r="AL88" i="10"/>
  <c r="AB51" i="11"/>
  <c r="AA51" i="12"/>
  <c r="BD4" i="6"/>
  <c r="BE5" i="6"/>
  <c r="AE1" i="11"/>
  <c r="AA33" i="7"/>
  <c r="AA32" i="7" s="1"/>
  <c r="AA37" i="6"/>
  <c r="AA38" i="6" s="1"/>
  <c r="BE4" i="7"/>
  <c r="BF5" i="7"/>
  <c r="AB39" i="11"/>
  <c r="AB71" i="11"/>
  <c r="AB74" i="11" s="1"/>
  <c r="AA85" i="11" a="1"/>
  <c r="AD127" i="11" a="1"/>
  <c r="AB112" i="11" a="1"/>
  <c r="AD17" i="11" a="1"/>
  <c r="AC6" i="11" a="1"/>
  <c r="AC125" i="12" a="1"/>
  <c r="AC129" i="12" a="1"/>
  <c r="AC79" i="12" a="1"/>
  <c r="AA120" i="11" a="1"/>
  <c r="AD10" i="11" a="1"/>
  <c r="AC16" i="12" a="1"/>
  <c r="AC54" i="12" a="1"/>
  <c r="AC36" i="12" a="1"/>
  <c r="AC12" i="12" a="1"/>
  <c r="Z142" i="12" a="1"/>
  <c r="AA132" i="11" a="1"/>
  <c r="AD58" i="11" a="1"/>
  <c r="AC124" i="12" a="1"/>
  <c r="AD67" i="11" a="1"/>
  <c r="AB118" i="11" a="1"/>
  <c r="AC69" i="12" a="1"/>
  <c r="AC77" i="12" a="1"/>
  <c r="AC17" i="12" a="1"/>
  <c r="AD136" i="11" a="1"/>
  <c r="AB107" i="12" a="1"/>
  <c r="AA142" i="11" a="1"/>
  <c r="AC40" i="12" a="1"/>
  <c r="X98" i="12" a="1"/>
  <c r="AD50" i="11" a="1"/>
  <c r="AC27" i="12" a="1"/>
  <c r="Z21" i="12" a="1"/>
  <c r="Z132" i="12" a="1"/>
  <c r="AB171" i="11" a="1"/>
  <c r="AD75" i="11" a="1"/>
  <c r="AA140" i="12" a="1"/>
  <c r="Z88" i="11" a="1"/>
  <c r="AD37" i="11" a="1"/>
  <c r="AC146" i="12" a="1"/>
  <c r="AC34" i="12" a="1"/>
  <c r="AA118" i="12" a="1"/>
  <c r="AC80" i="12" a="1"/>
  <c r="AD16" i="11" a="1"/>
  <c r="AA63" i="11" a="1"/>
  <c r="AC109" i="12" a="1"/>
  <c r="AA180" i="11" a="1"/>
  <c r="AD14" i="11" a="1"/>
  <c r="AC45" i="12" a="1"/>
  <c r="AD40" i="11" a="1"/>
  <c r="AC75" i="12" a="1"/>
  <c r="AC24" i="12" a="1"/>
  <c r="AD116" i="11" a="1"/>
  <c r="AB140" i="11" a="1"/>
  <c r="AD35" i="11" a="1"/>
  <c r="AC52" i="12" a="1"/>
  <c r="AD76" i="11" a="1"/>
  <c r="AC68" i="12" a="1"/>
  <c r="AC72" i="12" a="1"/>
  <c r="AD45" i="11" a="1"/>
  <c r="AD109" i="11" a="1"/>
  <c r="AB31" i="11" a="1"/>
  <c r="AD78" i="11" a="1"/>
  <c r="AC10" i="12" a="1"/>
  <c r="AD41" i="11" a="1"/>
  <c r="AC60" i="12" a="1"/>
  <c r="X151" i="12" a="1"/>
  <c r="AD65" i="11" a="1"/>
  <c r="AD133" i="11" a="1"/>
  <c r="AD25" i="11" a="1"/>
  <c r="AC49" i="12" a="1"/>
  <c r="AD48" i="11" a="1"/>
  <c r="AC56" i="12" a="1"/>
  <c r="AD115" i="11" a="1"/>
  <c r="AD80" i="11" a="1"/>
  <c r="AC136" i="12" a="1"/>
  <c r="AA21" i="11" a="1"/>
  <c r="AD36" i="11" a="1"/>
  <c r="AC82" i="12" a="1"/>
  <c r="AC104" i="12" a="1"/>
  <c r="AC115" i="12" a="1"/>
  <c r="AC73" i="12" a="1"/>
  <c r="AC47" i="12" a="1"/>
  <c r="AC9" i="12" a="1"/>
  <c r="AD73" i="11" a="1"/>
  <c r="AC145" i="12" a="1"/>
  <c r="Z85" i="12" a="1"/>
  <c r="AC123" i="12" a="1"/>
  <c r="Y151" i="12" a="1"/>
  <c r="AC43" i="12" a="1"/>
  <c r="AA151" i="11" a="1"/>
  <c r="AC28" i="12" a="1"/>
  <c r="AD114" i="11" a="1"/>
  <c r="AD134" i="11" a="1"/>
  <c r="AD12" i="11" a="1"/>
  <c r="AA171" i="12" a="1"/>
  <c r="AD82" i="11" a="1"/>
  <c r="AD129" i="11" a="1"/>
  <c r="AC59" i="12" a="1"/>
  <c r="AD146" i="11" a="1"/>
  <c r="AD110" i="11" a="1"/>
  <c r="AD52" i="11" a="1"/>
  <c r="AD125" i="11" a="1"/>
  <c r="AC135" i="12" a="1"/>
  <c r="AD124" i="11" a="1"/>
  <c r="AC53" i="12" a="1"/>
  <c r="AC57" i="12" a="1"/>
  <c r="AC48" i="12" a="1"/>
  <c r="AD77" i="11" a="1"/>
  <c r="AC116" i="12" a="1"/>
  <c r="AC133" i="12" a="1"/>
  <c r="AD47" i="11" a="1"/>
  <c r="AD79" i="11" a="1"/>
  <c r="AC33" i="12" a="1"/>
  <c r="AD104" i="11" a="1"/>
  <c r="AD43" i="11" a="1"/>
  <c r="AC144" i="12" a="1"/>
  <c r="AD49" i="11" a="1"/>
  <c r="AC110" i="12" a="1"/>
  <c r="AD4" i="11" a="1"/>
  <c r="AB149" i="11" a="1"/>
  <c r="Y98" i="12" a="1"/>
  <c r="AD66" i="11" a="1"/>
  <c r="AD28" i="11" a="1"/>
  <c r="AC14" i="12" a="1"/>
  <c r="AA31" i="12" a="1"/>
  <c r="AD27" i="11" a="1"/>
  <c r="X182" i="11" a="1"/>
  <c r="Z151" i="11" a="1"/>
  <c r="AC4" i="12" a="1"/>
  <c r="AD144" i="11" a="1"/>
  <c r="AD38" i="11" a="1"/>
  <c r="AD26" i="11" a="1"/>
  <c r="AC44" i="12" a="1"/>
  <c r="AC25" i="12" a="1"/>
  <c r="AC147" i="12" a="1"/>
  <c r="AC38" i="12" a="1"/>
  <c r="AB107" i="11" a="1"/>
  <c r="Y165" i="11" a="1"/>
  <c r="AC11" i="12" a="1"/>
  <c r="AC67" i="12" a="1"/>
  <c r="AD9" i="11" a="1"/>
  <c r="AD54" i="11" a="1"/>
  <c r="AD44" i="11" a="1"/>
  <c r="AD145" i="11" a="1"/>
  <c r="AD55" i="11" a="1"/>
  <c r="AC76" i="12" a="1"/>
  <c r="AC41" i="12" a="1"/>
  <c r="AC114" i="12" a="1"/>
  <c r="Z120" i="12" a="1"/>
  <c r="AD34" i="11" a="1"/>
  <c r="AC78" i="12" a="1"/>
  <c r="AC37" i="12" a="1"/>
  <c r="Y88" i="12" a="1"/>
  <c r="Z180" i="12" a="1"/>
  <c r="W182" i="11" a="1"/>
  <c r="AD123" i="11" a="1"/>
  <c r="AD147" i="11" a="1"/>
  <c r="AD59" i="11" a="1"/>
  <c r="AD33" i="11" a="1"/>
  <c r="AB6" i="12" a="1"/>
  <c r="AC50" i="12" a="1"/>
  <c r="AC26" i="12" a="1"/>
  <c r="AC66" i="12" a="1"/>
  <c r="AC127" i="12" a="1"/>
  <c r="AC35" i="12" a="1"/>
  <c r="AD135" i="11" a="1"/>
  <c r="AD11" i="11" a="1"/>
  <c r="AC70" i="12" a="1"/>
  <c r="AC65" i="12" a="1"/>
  <c r="AC55" i="12" a="1"/>
  <c r="AD53" i="11" a="1"/>
  <c r="AC8" i="12" a="1"/>
  <c r="AD57" i="11" a="1"/>
  <c r="AD56" i="11" a="1"/>
  <c r="AC134" i="12" a="1"/>
  <c r="AD68" i="11" a="1"/>
  <c r="AC58" i="12" a="1"/>
  <c r="AA112" i="12" a="1"/>
  <c r="W182" i="12" a="1"/>
  <c r="AD72" i="11" a="1"/>
  <c r="Z63" i="12" a="1"/>
  <c r="AD24" i="11" a="1"/>
  <c r="AA149" i="12" a="1"/>
  <c r="AD69" i="11" a="1"/>
  <c r="AD8" i="11" a="1"/>
  <c r="AD70" i="11" a="1"/>
  <c r="AD60" i="11" a="1"/>
  <c r="AB131" i="11" l="1"/>
  <c r="AB141" i="11" s="1"/>
  <c r="AB150" i="11" s="1"/>
  <c r="Y88" i="12"/>
  <c r="Z21" i="12"/>
  <c r="AA86" i="11"/>
  <c r="AA87" i="11" s="1"/>
  <c r="AA97" i="11" s="1"/>
  <c r="AA131" i="12"/>
  <c r="AA141" i="12" s="1"/>
  <c r="AA150" i="12" s="1"/>
  <c r="AB107" i="11"/>
  <c r="AC106" i="11"/>
  <c r="AA85" i="11"/>
  <c r="AA132" i="11"/>
  <c r="AB42" i="12"/>
  <c r="AB126" i="12"/>
  <c r="AA21" i="11"/>
  <c r="Z63" i="12"/>
  <c r="AB84" i="11"/>
  <c r="AA62" i="12"/>
  <c r="AA180" i="11"/>
  <c r="AB71" i="12"/>
  <c r="AB74" i="12" s="1"/>
  <c r="AA171" i="12"/>
  <c r="AA63" i="11"/>
  <c r="AA31" i="12"/>
  <c r="AB31" i="11"/>
  <c r="AB29" i="12"/>
  <c r="AB30" i="12" s="1"/>
  <c r="AB81" i="12"/>
  <c r="AB83" i="12" s="1"/>
  <c r="AB46" i="12"/>
  <c r="AB148" i="12"/>
  <c r="AC18" i="11"/>
  <c r="AC51" i="11"/>
  <c r="AB130" i="12"/>
  <c r="AB62" i="11"/>
  <c r="AB163" i="11"/>
  <c r="Y151" i="12"/>
  <c r="AC36" i="12"/>
  <c r="AC56" i="12"/>
  <c r="AC68" i="12"/>
  <c r="AC116" i="12"/>
  <c r="AC169" i="12" s="1"/>
  <c r="X98" i="12"/>
  <c r="AC40" i="12"/>
  <c r="AC54" i="12"/>
  <c r="AC70" i="12"/>
  <c r="AC80" i="12"/>
  <c r="AC127" i="12"/>
  <c r="Z120" i="12"/>
  <c r="AD114" i="11"/>
  <c r="AC35" i="12"/>
  <c r="AB149" i="11"/>
  <c r="AC53" i="12"/>
  <c r="AD8" i="11"/>
  <c r="AD34" i="11"/>
  <c r="AD48" i="11"/>
  <c r="AD76" i="11"/>
  <c r="AD109" i="11"/>
  <c r="AA112" i="12"/>
  <c r="AA142" i="11"/>
  <c r="AC16" i="12"/>
  <c r="AC14" i="12"/>
  <c r="AC57" i="12"/>
  <c r="AC66" i="12"/>
  <c r="AC114" i="12"/>
  <c r="AC136" i="12"/>
  <c r="Y98" i="12"/>
  <c r="AD4" i="11"/>
  <c r="AD5" i="11" s="1"/>
  <c r="AD124" i="11"/>
  <c r="Z142" i="12"/>
  <c r="AC25" i="12"/>
  <c r="AC49" i="12"/>
  <c r="AC52" i="12"/>
  <c r="AC109" i="12"/>
  <c r="AC145" i="12"/>
  <c r="AB107" i="12"/>
  <c r="AD10" i="11"/>
  <c r="AD72" i="11"/>
  <c r="AA118" i="12"/>
  <c r="AC26" i="12"/>
  <c r="AC41" i="12"/>
  <c r="AC37" i="12"/>
  <c r="AC58" i="12"/>
  <c r="AC110" i="12"/>
  <c r="AC167" i="12" s="1"/>
  <c r="AC135" i="12"/>
  <c r="AC174" i="12" s="1"/>
  <c r="AC27" i="12"/>
  <c r="AC44" i="12"/>
  <c r="AD25" i="11"/>
  <c r="AD35" i="11"/>
  <c r="AD69" i="11"/>
  <c r="AD73" i="11"/>
  <c r="AD136" i="11"/>
  <c r="AA120" i="11"/>
  <c r="AC38" i="12"/>
  <c r="AC34" i="12"/>
  <c r="AC50" i="12"/>
  <c r="AC76" i="12"/>
  <c r="AD77" i="11"/>
  <c r="AD68" i="11"/>
  <c r="AD49" i="11"/>
  <c r="AD125" i="11"/>
  <c r="AD160" i="11" s="1"/>
  <c r="AD11" i="11"/>
  <c r="AD26" i="11"/>
  <c r="AD133" i="11"/>
  <c r="AB140" i="11"/>
  <c r="Y165" i="11"/>
  <c r="AC9" i="12"/>
  <c r="AC17" i="12"/>
  <c r="AC79" i="12"/>
  <c r="AC123" i="12"/>
  <c r="AC146" i="12"/>
  <c r="AB6" i="12"/>
  <c r="AD55" i="11"/>
  <c r="AC134" i="12"/>
  <c r="AC144" i="12"/>
  <c r="AD52" i="11"/>
  <c r="AD28" i="11"/>
  <c r="AD38" i="11"/>
  <c r="AD65" i="11"/>
  <c r="AD116" i="11"/>
  <c r="AD169" i="11" s="1"/>
  <c r="AC28" i="12"/>
  <c r="AC47" i="12"/>
  <c r="AC77" i="12"/>
  <c r="AC129" i="12"/>
  <c r="AC162" i="12" s="1"/>
  <c r="AD16" i="11"/>
  <c r="AD37" i="11"/>
  <c r="AD33" i="11"/>
  <c r="AD145" i="11"/>
  <c r="AD45" i="11"/>
  <c r="AD56" i="11"/>
  <c r="AD43" i="11"/>
  <c r="AD110" i="11"/>
  <c r="AD167" i="11" s="1"/>
  <c r="AD80" i="11"/>
  <c r="AD144" i="11"/>
  <c r="X151" i="12"/>
  <c r="AC24" i="12"/>
  <c r="AC12" i="12"/>
  <c r="AC73" i="12"/>
  <c r="AC69" i="12"/>
  <c r="AC125" i="12"/>
  <c r="AC160" i="12" s="1"/>
  <c r="AD50" i="11"/>
  <c r="Z88" i="11"/>
  <c r="AD59" i="11"/>
  <c r="AD44" i="11"/>
  <c r="AD60" i="11"/>
  <c r="AD57" i="11"/>
  <c r="AD104" i="11"/>
  <c r="AD105" i="11" s="1"/>
  <c r="AD146" i="11"/>
  <c r="W182" i="12"/>
  <c r="AC4" i="12"/>
  <c r="AC5" i="12" s="1"/>
  <c r="AC60" i="12"/>
  <c r="AC75" i="12"/>
  <c r="AC78" i="12"/>
  <c r="AC115" i="12"/>
  <c r="AC168" i="12" s="1"/>
  <c r="AB118" i="11"/>
  <c r="AC6" i="11"/>
  <c r="AD135" i="11"/>
  <c r="AD174" i="11" s="1"/>
  <c r="AA140" i="12"/>
  <c r="AD147" i="11"/>
  <c r="AD54" i="11"/>
  <c r="AA149" i="12"/>
  <c r="AC8" i="12"/>
  <c r="AC33" i="12"/>
  <c r="AC59" i="12"/>
  <c r="AC147" i="12"/>
  <c r="Z151" i="11"/>
  <c r="AD41" i="11"/>
  <c r="AD40" i="11"/>
  <c r="AC48" i="12"/>
  <c r="AC104" i="12"/>
  <c r="AC105" i="12" s="1"/>
  <c r="AC106" i="12" s="1"/>
  <c r="AD67" i="11"/>
  <c r="AD17" i="11"/>
  <c r="AD66" i="11"/>
  <c r="AD75" i="11"/>
  <c r="AD123" i="11"/>
  <c r="AD9" i="11"/>
  <c r="AD12" i="11"/>
  <c r="AD53" i="11"/>
  <c r="AD79" i="11"/>
  <c r="AD129" i="11"/>
  <c r="AD162" i="11" s="1"/>
  <c r="Z85" i="12"/>
  <c r="X182" i="11"/>
  <c r="AC10" i="12"/>
  <c r="AC45" i="12"/>
  <c r="AC72" i="12"/>
  <c r="AC82" i="12"/>
  <c r="AC124" i="12"/>
  <c r="AB112" i="11"/>
  <c r="AD115" i="11"/>
  <c r="AD168" i="11" s="1"/>
  <c r="AB171" i="11"/>
  <c r="W182" i="11"/>
  <c r="AC67" i="12"/>
  <c r="AA151" i="11"/>
  <c r="AC55" i="12"/>
  <c r="AD47" i="11"/>
  <c r="AD82" i="11"/>
  <c r="AD70" i="11"/>
  <c r="AD27" i="11"/>
  <c r="AD78" i="11"/>
  <c r="AD14" i="11"/>
  <c r="AD24" i="11"/>
  <c r="AD36" i="11"/>
  <c r="AD58" i="11"/>
  <c r="AD127" i="11"/>
  <c r="AD134" i="11"/>
  <c r="Z132" i="12"/>
  <c r="Z180" i="12"/>
  <c r="AC11" i="12"/>
  <c r="AC43" i="12"/>
  <c r="AC65" i="12"/>
  <c r="AC133" i="12"/>
  <c r="AB7" i="13"/>
  <c r="AB8" i="13" s="1"/>
  <c r="Y152" i="12"/>
  <c r="X156" i="12"/>
  <c r="X164" i="12" s="1"/>
  <c r="AC173" i="11"/>
  <c r="AC139" i="11"/>
  <c r="AC159" i="11"/>
  <c r="AC111" i="11"/>
  <c r="AB68" i="6"/>
  <c r="AA179" i="12"/>
  <c r="Y156" i="12"/>
  <c r="Y164" i="12" s="1"/>
  <c r="AC126" i="11"/>
  <c r="AC170" i="11"/>
  <c r="AB65" i="7"/>
  <c r="AB68" i="7"/>
  <c r="AB8" i="6"/>
  <c r="AA20" i="6"/>
  <c r="AN71" i="9"/>
  <c r="AC148" i="11"/>
  <c r="AC81" i="11"/>
  <c r="AC83" i="11" s="1"/>
  <c r="AB31" i="7"/>
  <c r="AA84" i="12"/>
  <c r="AN60" i="10"/>
  <c r="AN14" i="10"/>
  <c r="AN54" i="10"/>
  <c r="AN19" i="10"/>
  <c r="AN8" i="10"/>
  <c r="AO1" i="10"/>
  <c r="AN13" i="10"/>
  <c r="AN18" i="10"/>
  <c r="AN57" i="10"/>
  <c r="AN43" i="10"/>
  <c r="AN23" i="10"/>
  <c r="AN42" i="10"/>
  <c r="AN41" i="10"/>
  <c r="AN40" i="10"/>
  <c r="AN71" i="10" s="1"/>
  <c r="AN34" i="10"/>
  <c r="AN12" i="10"/>
  <c r="AN7" i="10"/>
  <c r="AN61" i="10"/>
  <c r="AN55" i="10"/>
  <c r="AN17" i="10"/>
  <c r="AN22" i="10"/>
  <c r="AN33" i="10"/>
  <c r="AN70" i="10" s="1"/>
  <c r="AN11" i="10"/>
  <c r="AN16" i="10"/>
  <c r="AN21" i="10"/>
  <c r="AN5" i="10"/>
  <c r="AN59" i="10"/>
  <c r="AN10" i="10"/>
  <c r="AN56" i="10"/>
  <c r="AN20" i="10"/>
  <c r="AN53" i="10"/>
  <c r="AN72" i="10" s="1"/>
  <c r="AN15" i="10"/>
  <c r="AN58" i="10"/>
  <c r="AN9" i="10"/>
  <c r="AN4" i="10"/>
  <c r="AA119" i="12"/>
  <c r="AN69" i="9"/>
  <c r="AC39" i="11"/>
  <c r="AB61" i="12"/>
  <c r="AL89" i="10"/>
  <c r="AL90" i="10" s="1"/>
  <c r="AF1" i="11"/>
  <c r="AB20" i="6"/>
  <c r="AB21" i="7"/>
  <c r="AA163" i="12"/>
  <c r="AO11" i="9"/>
  <c r="AO5" i="9"/>
  <c r="AO61" i="9"/>
  <c r="AO54" i="9"/>
  <c r="AO34" i="9"/>
  <c r="AO44" i="9"/>
  <c r="AO10" i="9"/>
  <c r="AO4" i="9"/>
  <c r="AO60" i="9"/>
  <c r="AO53" i="9"/>
  <c r="AO48" i="9"/>
  <c r="AO15" i="9"/>
  <c r="AO33" i="9"/>
  <c r="AO70" i="9" s="1"/>
  <c r="AO43" i="9"/>
  <c r="AO9" i="9"/>
  <c r="AO59" i="9"/>
  <c r="AO14" i="9"/>
  <c r="AO19" i="9"/>
  <c r="AO58" i="9"/>
  <c r="AO42" i="9"/>
  <c r="AO8" i="9"/>
  <c r="AO63" i="9"/>
  <c r="AO13" i="9"/>
  <c r="AO41" i="9"/>
  <c r="AO16" i="9"/>
  <c r="AP1" i="9"/>
  <c r="AO36" i="9"/>
  <c r="AO62" i="9"/>
  <c r="AO45" i="9"/>
  <c r="AO21" i="9"/>
  <c r="AO7" i="9"/>
  <c r="AO17" i="9"/>
  <c r="AO35" i="9"/>
  <c r="AO57" i="9"/>
  <c r="AO56" i="9"/>
  <c r="AO20" i="9"/>
  <c r="AO18" i="9"/>
  <c r="AO40" i="9"/>
  <c r="AO12" i="9"/>
  <c r="AO55" i="9"/>
  <c r="AO49" i="9"/>
  <c r="AO38" i="9"/>
  <c r="AO37" i="9"/>
  <c r="AO64" i="9"/>
  <c r="AO22" i="9"/>
  <c r="AO50" i="9"/>
  <c r="AO46" i="9"/>
  <c r="AO47" i="9"/>
  <c r="AO23" i="9"/>
  <c r="AO51" i="9"/>
  <c r="AO24" i="9"/>
  <c r="AO25" i="9"/>
  <c r="AO26" i="9"/>
  <c r="AO27" i="9"/>
  <c r="AO28" i="9"/>
  <c r="AO29" i="9"/>
  <c r="AO30" i="9"/>
  <c r="AO31" i="9"/>
  <c r="AE1" i="12"/>
  <c r="AC29" i="11"/>
  <c r="AC30" i="11" s="1"/>
  <c r="AB31" i="6"/>
  <c r="AB64" i="6" s="1"/>
  <c r="Z150" i="12"/>
  <c r="AM89" i="9"/>
  <c r="AM90" i="9" s="1"/>
  <c r="AB13" i="12"/>
  <c r="AB15" i="12" s="1"/>
  <c r="AC61" i="11"/>
  <c r="AC65" i="7"/>
  <c r="AD1" i="7"/>
  <c r="AC55" i="7" s="1"/>
  <c r="AC40" i="7"/>
  <c r="AC52" i="7"/>
  <c r="AC53" i="7" s="1"/>
  <c r="AC7" i="7"/>
  <c r="AB9" i="3" a="1"/>
  <c r="AB9" i="3" s="1"/>
  <c r="AC1" i="3"/>
  <c r="AB52" i="6"/>
  <c r="AB53" i="6" s="1"/>
  <c r="AB7" i="7"/>
  <c r="AB64" i="7" s="1"/>
  <c r="AN70" i="9"/>
  <c r="AA64" i="6"/>
  <c r="Y181" i="11"/>
  <c r="BS47" i="6"/>
  <c r="BV46" i="6"/>
  <c r="BV47" i="6" s="1"/>
  <c r="AC130" i="11"/>
  <c r="AB173" i="12"/>
  <c r="AB139" i="12"/>
  <c r="AA19" i="12"/>
  <c r="AA20" i="12" s="1"/>
  <c r="AB37" i="6"/>
  <c r="AB38" i="6" s="1"/>
  <c r="AB18" i="7"/>
  <c r="AB19" i="7" s="1"/>
  <c r="AB179" i="11"/>
  <c r="AC26" i="13"/>
  <c r="AD1" i="13"/>
  <c r="AC6" i="13"/>
  <c r="AC13" i="11"/>
  <c r="AC15" i="11" s="1"/>
  <c r="AB158" i="12"/>
  <c r="AB117" i="12"/>
  <c r="BE4" i="6"/>
  <c r="BF5" i="6"/>
  <c r="AB55" i="6"/>
  <c r="X152" i="12"/>
  <c r="AB9" i="7"/>
  <c r="AM65" i="10"/>
  <c r="AM68" i="10"/>
  <c r="AM85" i="10"/>
  <c r="AM87" i="10"/>
  <c r="AM86" i="10"/>
  <c r="AM88" i="10"/>
  <c r="AM84" i="10"/>
  <c r="AM73" i="9"/>
  <c r="AM74" i="9" s="1"/>
  <c r="AN72" i="9"/>
  <c r="AA67" i="6"/>
  <c r="AB18" i="12"/>
  <c r="AC175" i="11"/>
  <c r="AC178" i="11"/>
  <c r="AC158" i="11"/>
  <c r="AC117" i="11"/>
  <c r="AC46" i="11"/>
  <c r="AC71" i="11"/>
  <c r="AC74" i="11" s="1"/>
  <c r="Z97" i="11"/>
  <c r="AB40" i="6"/>
  <c r="AB67" i="6" s="1"/>
  <c r="AB52" i="7"/>
  <c r="AB53" i="7" s="1"/>
  <c r="AM69" i="10"/>
  <c r="AB119" i="11"/>
  <c r="AA8" i="6"/>
  <c r="AB51" i="12"/>
  <c r="AD1" i="15"/>
  <c r="AB55" i="7"/>
  <c r="AM72" i="10"/>
  <c r="AM81" i="9"/>
  <c r="AM82" i="9" s="1"/>
  <c r="AN65" i="9"/>
  <c r="AN87" i="9"/>
  <c r="AN68" i="9"/>
  <c r="AN85" i="9"/>
  <c r="AN84" i="9"/>
  <c r="AN88" i="9"/>
  <c r="AN86" i="9"/>
  <c r="Z152" i="11"/>
  <c r="AB39" i="12"/>
  <c r="AB170" i="12"/>
  <c r="BF4" i="7"/>
  <c r="BG5" i="7"/>
  <c r="AL81" i="10"/>
  <c r="AL82" i="10" s="1"/>
  <c r="AL73" i="10"/>
  <c r="AL74" i="10" s="1"/>
  <c r="AC33" i="6"/>
  <c r="AC40" i="6"/>
  <c r="AC55" i="6"/>
  <c r="AC65" i="6"/>
  <c r="AD1" i="6"/>
  <c r="AC21" i="6"/>
  <c r="Z86" i="12"/>
  <c r="Z87" i="12" s="1"/>
  <c r="AB19" i="11"/>
  <c r="AB20" i="11" s="1"/>
  <c r="AB40" i="7"/>
  <c r="R29" i="13"/>
  <c r="S24" i="13" s="1"/>
  <c r="AB159" i="12"/>
  <c r="AB111" i="12"/>
  <c r="AB175" i="12"/>
  <c r="AB178" i="12"/>
  <c r="AA152" i="11"/>
  <c r="BR44" i="6"/>
  <c r="BS44" i="6" s="1"/>
  <c r="AB25" i="13"/>
  <c r="AB5" i="13"/>
  <c r="AB9" i="13" s="1"/>
  <c r="AC4" i="13" s="1"/>
  <c r="AB11" i="13"/>
  <c r="AC2" i="13"/>
  <c r="AB33" i="7"/>
  <c r="AB32" i="7" s="1"/>
  <c r="AM71" i="10"/>
  <c r="AC42" i="11"/>
  <c r="AA88" i="11" a="1"/>
  <c r="Z88" i="12" a="1"/>
  <c r="AB118" i="12" a="1"/>
  <c r="AE28" i="11" a="1"/>
  <c r="AD37" i="12" a="1"/>
  <c r="AE50" i="11" a="1"/>
  <c r="AD77" i="12" a="1"/>
  <c r="AE41" i="11" a="1"/>
  <c r="Z151" i="12" a="1"/>
  <c r="AE24" i="11" a="1"/>
  <c r="AD129" i="12" a="1"/>
  <c r="AD123" i="12" a="1"/>
  <c r="AD25" i="12" a="1"/>
  <c r="AE53" i="11" a="1"/>
  <c r="AE45" i="11" a="1"/>
  <c r="AE68" i="11" a="1"/>
  <c r="AE34" i="11" a="1"/>
  <c r="AB171" i="12" a="1"/>
  <c r="AE17" i="11" a="1"/>
  <c r="AE82" i="11" a="1"/>
  <c r="AD11" i="12" a="1"/>
  <c r="AE60" i="11" a="1"/>
  <c r="AD72" i="12" a="1"/>
  <c r="AB180" i="11" a="1"/>
  <c r="AD136" i="12" a="1"/>
  <c r="AE58" i="11" a="1"/>
  <c r="AE14" i="11" a="1"/>
  <c r="AD104" i="12" a="1"/>
  <c r="AD4" i="12" a="1"/>
  <c r="AE114" i="11" a="1"/>
  <c r="AA132" i="12" a="1"/>
  <c r="AD33" i="12" a="1"/>
  <c r="AD14" i="12" a="1"/>
  <c r="AE116" i="11" a="1"/>
  <c r="AD73" i="12" a="1"/>
  <c r="AE104" i="11" a="1"/>
  <c r="AE49" i="11" a="1"/>
  <c r="AD16" i="12" a="1"/>
  <c r="AD48" i="12" a="1"/>
  <c r="AE57" i="11" a="1"/>
  <c r="AE44" i="11" a="1"/>
  <c r="AE52" i="11" a="1"/>
  <c r="AE66" i="11" a="1"/>
  <c r="AD34" i="12" a="1"/>
  <c r="AE16" i="11" a="1"/>
  <c r="AD59" i="12" a="1"/>
  <c r="AD134" i="12" a="1"/>
  <c r="AD43" i="12" a="1"/>
  <c r="AD80" i="12" a="1"/>
  <c r="AD68" i="12" a="1"/>
  <c r="AB63" i="11" a="1"/>
  <c r="AE10" i="11" a="1"/>
  <c r="AE27" i="11" a="1"/>
  <c r="AD10" i="12" a="1"/>
  <c r="AE115" i="11" a="1"/>
  <c r="AD58" i="12" a="1"/>
  <c r="AE123" i="11" a="1"/>
  <c r="AD52" i="12" a="1"/>
  <c r="AE47" i="11" a="1"/>
  <c r="AD40" i="12" a="1"/>
  <c r="AB140" i="12" a="1"/>
  <c r="AB151" i="11" a="1"/>
  <c r="AE11" i="11" a="1"/>
  <c r="AB149" i="12" a="1"/>
  <c r="AE35" i="11" a="1"/>
  <c r="AC171" i="11" a="1"/>
  <c r="AE9" i="11" a="1"/>
  <c r="AA98" i="11" a="1"/>
  <c r="AD45" i="12" a="1"/>
  <c r="AD28" i="12" a="1"/>
  <c r="AE73" i="11" a="1"/>
  <c r="AD116" i="12" a="1"/>
  <c r="AE134" i="11" a="1"/>
  <c r="AE78" i="11" a="1"/>
  <c r="AD50" i="12" a="1"/>
  <c r="AD66" i="12" a="1"/>
  <c r="AE136" i="11" a="1"/>
  <c r="AB142" i="11" a="1"/>
  <c r="Y182" i="11" a="1"/>
  <c r="AE33" i="11" a="1"/>
  <c r="AA63" i="12" a="1"/>
  <c r="AE69" i="11" a="1"/>
  <c r="AE67" i="11" a="1"/>
  <c r="AD65" i="12" a="1"/>
  <c r="AC6" i="12" a="1"/>
  <c r="AD110" i="12" a="1"/>
  <c r="AD24" i="12" a="1"/>
  <c r="AD115" i="12" a="1"/>
  <c r="AD69" i="12" a="1"/>
  <c r="AD147" i="12" a="1"/>
  <c r="AC107" i="11" a="1"/>
  <c r="AE80" i="11" a="1"/>
  <c r="AE43" i="11" a="1"/>
  <c r="AD6" i="11" a="1"/>
  <c r="AD17" i="12" a="1"/>
  <c r="AE79" i="11" a="1"/>
  <c r="AD70" i="12" a="1"/>
  <c r="AA142" i="12" a="1"/>
  <c r="AE8" i="11" a="1"/>
  <c r="AE135" i="11" a="1"/>
  <c r="AD55" i="12" a="1"/>
  <c r="X165" i="12" a="1"/>
  <c r="AA21" i="12" a="1"/>
  <c r="AD56" i="12" a="1"/>
  <c r="AD76" i="12" a="1"/>
  <c r="AB112" i="12" a="1"/>
  <c r="AE145" i="11" a="1"/>
  <c r="AA85" i="12" a="1"/>
  <c r="AD54" i="12" a="1"/>
  <c r="AB85" i="11" a="1"/>
  <c r="AC140" i="11" a="1"/>
  <c r="Z98" i="11" a="1"/>
  <c r="AD127" i="12" a="1"/>
  <c r="AD8" i="12" a="1"/>
  <c r="AE12" i="11" a="1"/>
  <c r="AD49" i="12" a="1"/>
  <c r="AE59" i="11" a="1"/>
  <c r="AA120" i="12" a="1"/>
  <c r="AC118" i="11" a="1"/>
  <c r="AC149" i="11" a="1"/>
  <c r="AD75" i="12" a="1"/>
  <c r="AD36" i="12" a="1"/>
  <c r="AE76" i="11" a="1"/>
  <c r="AD82" i="12" a="1"/>
  <c r="AD79" i="12" a="1"/>
  <c r="AC112" i="11" a="1"/>
  <c r="AE56" i="11" a="1"/>
  <c r="AD12" i="12" a="1"/>
  <c r="AE133" i="11" a="1"/>
  <c r="AD9" i="12" a="1"/>
  <c r="AE37" i="11" a="1"/>
  <c r="AD125" i="12" a="1"/>
  <c r="AB120" i="11" a="1"/>
  <c r="AD53" i="12" a="1"/>
  <c r="AB132" i="11" a="1"/>
  <c r="AD57" i="12" a="1"/>
  <c r="AD60" i="12" a="1"/>
  <c r="AE109" i="11" a="1"/>
  <c r="AD144" i="12" a="1"/>
  <c r="AB21" i="11" a="1"/>
  <c r="AE147" i="11" a="1"/>
  <c r="AD41" i="12" a="1"/>
  <c r="AD135" i="12" a="1"/>
  <c r="AE146" i="11" a="1"/>
  <c r="AE55" i="11" a="1"/>
  <c r="AE65" i="11" a="1"/>
  <c r="AE124" i="11" a="1"/>
  <c r="AB31" i="12" a="1"/>
  <c r="AD44" i="12" a="1"/>
  <c r="Y165" i="12" a="1"/>
  <c r="AE75" i="11" a="1"/>
  <c r="AE110" i="11" a="1"/>
  <c r="AE125" i="11" a="1"/>
  <c r="AD114" i="12" a="1"/>
  <c r="AD146" i="12" a="1"/>
  <c r="AC31" i="11" a="1"/>
  <c r="AE70" i="11" a="1"/>
  <c r="AD47" i="12" a="1"/>
  <c r="AE77" i="11" a="1"/>
  <c r="AD35" i="12" a="1"/>
  <c r="AE36" i="11" a="1"/>
  <c r="AD67" i="12" a="1"/>
  <c r="AE26" i="11" a="1"/>
  <c r="AE129" i="11" a="1"/>
  <c r="AE4" i="11" a="1"/>
  <c r="AD124" i="12" a="1"/>
  <c r="AE38" i="11" a="1"/>
  <c r="AA180" i="12" a="1"/>
  <c r="AE40" i="11" a="1"/>
  <c r="AD26" i="12" a="1"/>
  <c r="AA151" i="12" a="1"/>
  <c r="AD109" i="12" a="1"/>
  <c r="AE25" i="11" a="1"/>
  <c r="AD38" i="12" a="1"/>
  <c r="AE72" i="11" a="1"/>
  <c r="AE127" i="11" a="1"/>
  <c r="AE54" i="11" a="1"/>
  <c r="AD27" i="12" a="1"/>
  <c r="AD145" i="12" a="1"/>
  <c r="AC107" i="12" a="1"/>
  <c r="AE144" i="11" a="1"/>
  <c r="AE48" i="11" a="1"/>
  <c r="AD133" i="12" a="1"/>
  <c r="AD78" i="12" a="1"/>
  <c r="AB132" i="11" l="1"/>
  <c r="AB131" i="12"/>
  <c r="AB141" i="12" s="1"/>
  <c r="AN73" i="9"/>
  <c r="AA132" i="12"/>
  <c r="AM81" i="10"/>
  <c r="AM82" i="10" s="1"/>
  <c r="AC107" i="11"/>
  <c r="AD106" i="11"/>
  <c r="AC84" i="11"/>
  <c r="AD130" i="11"/>
  <c r="AA88" i="11"/>
  <c r="AD39" i="11"/>
  <c r="AB62" i="12"/>
  <c r="AB86" i="11"/>
  <c r="AB87" i="11" s="1"/>
  <c r="AA63" i="12"/>
  <c r="AB85" i="11"/>
  <c r="AB84" i="12"/>
  <c r="AD18" i="11"/>
  <c r="AC19" i="11"/>
  <c r="AC20" i="11" s="1"/>
  <c r="AB63" i="11"/>
  <c r="AB149" i="12"/>
  <c r="AC163" i="11"/>
  <c r="AC126" i="12"/>
  <c r="AC130" i="12"/>
  <c r="AB179" i="12"/>
  <c r="AC131" i="11"/>
  <c r="AC141" i="11" s="1"/>
  <c r="AC150" i="11" s="1"/>
  <c r="AC62" i="11"/>
  <c r="AC86" i="11" s="1"/>
  <c r="AC46" i="12"/>
  <c r="AD46" i="11"/>
  <c r="AB151" i="11"/>
  <c r="AA98" i="11"/>
  <c r="AD43" i="12"/>
  <c r="AD67" i="12"/>
  <c r="AD123" i="12"/>
  <c r="AE4" i="11"/>
  <c r="AE5" i="11" s="1"/>
  <c r="AE52" i="11"/>
  <c r="AE53" i="11"/>
  <c r="AE65" i="11"/>
  <c r="AE80" i="11"/>
  <c r="AE127" i="11"/>
  <c r="AB31" i="12"/>
  <c r="AA21" i="12"/>
  <c r="AB171" i="12"/>
  <c r="AB120" i="11"/>
  <c r="AC118" i="11"/>
  <c r="AB140" i="12"/>
  <c r="AD36" i="12"/>
  <c r="AD69" i="12"/>
  <c r="AD76" i="12"/>
  <c r="AD129" i="12"/>
  <c r="AD162" i="12" s="1"/>
  <c r="AD133" i="12"/>
  <c r="AE44" i="11"/>
  <c r="AE11" i="11"/>
  <c r="AE55" i="11"/>
  <c r="AE110" i="11"/>
  <c r="AE167" i="11" s="1"/>
  <c r="AE72" i="11"/>
  <c r="AE136" i="11"/>
  <c r="X165" i="12"/>
  <c r="AD59" i="12"/>
  <c r="AD125" i="12"/>
  <c r="AD160" i="12" s="1"/>
  <c r="AD25" i="12"/>
  <c r="AD40" i="12"/>
  <c r="AD54" i="12"/>
  <c r="AD134" i="12"/>
  <c r="AE14" i="11"/>
  <c r="AE24" i="11"/>
  <c r="AE33" i="11"/>
  <c r="AE57" i="11"/>
  <c r="AE124" i="11"/>
  <c r="AE146" i="11"/>
  <c r="AC107" i="12"/>
  <c r="AD38" i="12"/>
  <c r="AD56" i="12"/>
  <c r="AD55" i="12"/>
  <c r="AE9" i="11"/>
  <c r="AE37" i="11"/>
  <c r="AE36" i="11"/>
  <c r="AE47" i="11"/>
  <c r="AE114" i="11"/>
  <c r="AE144" i="11"/>
  <c r="AA120" i="12"/>
  <c r="Z151" i="12"/>
  <c r="AD53" i="12"/>
  <c r="AD48" i="12"/>
  <c r="AD66" i="12"/>
  <c r="AD135" i="12"/>
  <c r="AD174" i="12" s="1"/>
  <c r="AE34" i="11"/>
  <c r="AE25" i="11"/>
  <c r="AE58" i="11"/>
  <c r="AE135" i="11"/>
  <c r="AE174" i="11" s="1"/>
  <c r="AE129" i="11"/>
  <c r="AE162" i="11" s="1"/>
  <c r="AD9" i="12"/>
  <c r="AD35" i="12"/>
  <c r="AD52" i="12"/>
  <c r="AD80" i="12"/>
  <c r="AD115" i="12"/>
  <c r="AD168" i="12" s="1"/>
  <c r="AE59" i="11"/>
  <c r="AE41" i="11"/>
  <c r="AE75" i="11"/>
  <c r="AD16" i="12"/>
  <c r="AD50" i="12"/>
  <c r="AD41" i="12"/>
  <c r="AD75" i="12"/>
  <c r="AD109" i="12"/>
  <c r="AD136" i="12"/>
  <c r="AE8" i="11"/>
  <c r="AE16" i="11"/>
  <c r="AE133" i="11"/>
  <c r="AE77" i="11"/>
  <c r="AE123" i="11"/>
  <c r="AA85" i="12"/>
  <c r="AD24" i="12"/>
  <c r="AD49" i="12"/>
  <c r="AD77" i="12"/>
  <c r="AD145" i="12"/>
  <c r="AE49" i="11"/>
  <c r="AE78" i="11"/>
  <c r="AE147" i="11"/>
  <c r="AC171" i="11"/>
  <c r="AA151" i="12"/>
  <c r="AB180" i="11"/>
  <c r="AA142" i="12"/>
  <c r="Y182" i="11"/>
  <c r="AD12" i="12"/>
  <c r="AD47" i="12"/>
  <c r="AD58" i="12"/>
  <c r="AD78" i="12"/>
  <c r="AD110" i="12"/>
  <c r="AD167" i="12" s="1"/>
  <c r="AE12" i="11"/>
  <c r="AE50" i="11"/>
  <c r="AE68" i="11"/>
  <c r="AE104" i="11"/>
  <c r="AE105" i="11" s="1"/>
  <c r="F13" i="5" s="1"/>
  <c r="AE134" i="11"/>
  <c r="AB21" i="11"/>
  <c r="AD4" i="12"/>
  <c r="AD5" i="12" s="1"/>
  <c r="AD26" i="12"/>
  <c r="AD72" i="12"/>
  <c r="AD70" i="12"/>
  <c r="AD147" i="12"/>
  <c r="AE56" i="11"/>
  <c r="AE70" i="11"/>
  <c r="AE115" i="11"/>
  <c r="AE168" i="11" s="1"/>
  <c r="Y165" i="12"/>
  <c r="AC6" i="12"/>
  <c r="AD8" i="12"/>
  <c r="AD37" i="12"/>
  <c r="AD34" i="12"/>
  <c r="AD73" i="12"/>
  <c r="AD116" i="12"/>
  <c r="AD169" i="12" s="1"/>
  <c r="AD144" i="12"/>
  <c r="AE26" i="11"/>
  <c r="AE40" i="11"/>
  <c r="AE60" i="11"/>
  <c r="AE79" i="11"/>
  <c r="AE145" i="11"/>
  <c r="AC112" i="11"/>
  <c r="AC31" i="11"/>
  <c r="AD10" i="12"/>
  <c r="AD27" i="12"/>
  <c r="AD65" i="12"/>
  <c r="AD127" i="12"/>
  <c r="AE28" i="11"/>
  <c r="AE35" i="11"/>
  <c r="AE116" i="11"/>
  <c r="AE169" i="11" s="1"/>
  <c r="AE73" i="11"/>
  <c r="AE109" i="11"/>
  <c r="AC149" i="11"/>
  <c r="AA180" i="12"/>
  <c r="AD11" i="12"/>
  <c r="AD17" i="12"/>
  <c r="AD68" i="12"/>
  <c r="AD79" i="12"/>
  <c r="AD146" i="12"/>
  <c r="AE27" i="11"/>
  <c r="AE45" i="11"/>
  <c r="AE67" i="11"/>
  <c r="Z98" i="11"/>
  <c r="AB118" i="12"/>
  <c r="AB142" i="11"/>
  <c r="AD14" i="12"/>
  <c r="AD28" i="12"/>
  <c r="AD60" i="12"/>
  <c r="AE48" i="11"/>
  <c r="AE38" i="11"/>
  <c r="AE82" i="11"/>
  <c r="AD6" i="11"/>
  <c r="AD44" i="12"/>
  <c r="AD82" i="12"/>
  <c r="AD114" i="12"/>
  <c r="AE10" i="11"/>
  <c r="AE66" i="11"/>
  <c r="AE69" i="11"/>
  <c r="AC140" i="11"/>
  <c r="Z88" i="12"/>
  <c r="AB112" i="12"/>
  <c r="AD33" i="12"/>
  <c r="AD45" i="12"/>
  <c r="AD57" i="12"/>
  <c r="AD104" i="12"/>
  <c r="AD105" i="12" s="1"/>
  <c r="AD106" i="12" s="1"/>
  <c r="AD124" i="12"/>
  <c r="AE17" i="11"/>
  <c r="AE43" i="11"/>
  <c r="AE54" i="11"/>
  <c r="AE76" i="11"/>
  <c r="AE125" i="11"/>
  <c r="AE160" i="11" s="1"/>
  <c r="AC54" i="7"/>
  <c r="AC9" i="13"/>
  <c r="AD4" i="13" s="1"/>
  <c r="AC7" i="13"/>
  <c r="AC8" i="13" s="1"/>
  <c r="AB152" i="11"/>
  <c r="AB39" i="7"/>
  <c r="AC7" i="6"/>
  <c r="AA156" i="11"/>
  <c r="AA164" i="11" s="1"/>
  <c r="AO58" i="10"/>
  <c r="AO55" i="10"/>
  <c r="AO54" i="10"/>
  <c r="AO19" i="10"/>
  <c r="AO8" i="10"/>
  <c r="AP1" i="10"/>
  <c r="AO13" i="10"/>
  <c r="AO18" i="10"/>
  <c r="AO57" i="10"/>
  <c r="AO43" i="10"/>
  <c r="AO23" i="10"/>
  <c r="AO42" i="10"/>
  <c r="AO41" i="10"/>
  <c r="AO40" i="10"/>
  <c r="AO34" i="10"/>
  <c r="AO12" i="10"/>
  <c r="AO7" i="10"/>
  <c r="AO61" i="10"/>
  <c r="AO17" i="10"/>
  <c r="AO22" i="10"/>
  <c r="AO60" i="10"/>
  <c r="AO33" i="10"/>
  <c r="AO70" i="10" s="1"/>
  <c r="AO11" i="10"/>
  <c r="AO16" i="10"/>
  <c r="AO21" i="10"/>
  <c r="AO5" i="10"/>
  <c r="AO59" i="10"/>
  <c r="AO10" i="10"/>
  <c r="AO15" i="10"/>
  <c r="AO53" i="10"/>
  <c r="AO9" i="10"/>
  <c r="AO4" i="10"/>
  <c r="AO56" i="10"/>
  <c r="AO14" i="10"/>
  <c r="AO20" i="10"/>
  <c r="AD173" i="11"/>
  <c r="AD139" i="11"/>
  <c r="AC158" i="12"/>
  <c r="AC117" i="12"/>
  <c r="AD158" i="11"/>
  <c r="AD117" i="11"/>
  <c r="AC52" i="6"/>
  <c r="AC53" i="6" s="1"/>
  <c r="AC119" i="11"/>
  <c r="AC33" i="7"/>
  <c r="AC32" i="7" s="1"/>
  <c r="AF1" i="12"/>
  <c r="AO65" i="9"/>
  <c r="AO87" i="9"/>
  <c r="AO68" i="9"/>
  <c r="AO88" i="9"/>
  <c r="AO86" i="9"/>
  <c r="AO84" i="9"/>
  <c r="AO89" i="9" s="1"/>
  <c r="AO90" i="9" s="1"/>
  <c r="AO85" i="9"/>
  <c r="X181" i="12"/>
  <c r="AC68" i="6"/>
  <c r="AD26" i="13"/>
  <c r="AD6" i="13"/>
  <c r="AE1" i="13"/>
  <c r="AC37" i="7"/>
  <c r="AC38" i="7" s="1"/>
  <c r="AO71" i="9"/>
  <c r="AN65" i="10"/>
  <c r="AN68" i="10"/>
  <c r="AN88" i="10"/>
  <c r="AN85" i="10"/>
  <c r="AN84" i="10"/>
  <c r="AN87" i="10"/>
  <c r="AN86" i="10"/>
  <c r="S29" i="13"/>
  <c r="T24" i="13" s="1"/>
  <c r="S27" i="13"/>
  <c r="S28" i="13" s="1"/>
  <c r="AC37" i="6"/>
  <c r="AC38" i="6" s="1"/>
  <c r="Z152" i="12"/>
  <c r="AC81" i="12"/>
  <c r="AC83" i="12" s="1"/>
  <c r="AD175" i="11"/>
  <c r="AD178" i="11"/>
  <c r="AC18" i="12"/>
  <c r="AF80" i="11" a="1"/>
  <c r="AF80" i="11" s="1"/>
  <c r="AF78" i="11" a="1"/>
  <c r="AF78" i="11" s="1"/>
  <c r="AF69" i="11" a="1"/>
  <c r="AF69" i="11" s="1"/>
  <c r="AF50" i="11" a="1"/>
  <c r="AF50" i="11" s="1"/>
  <c r="AF77" i="11" a="1"/>
  <c r="AF77" i="11" s="1"/>
  <c r="AF48" i="11" a="1"/>
  <c r="AF48" i="11" s="1"/>
  <c r="AF24" i="11" a="1"/>
  <c r="AF24" i="11" s="1"/>
  <c r="AF49" i="11" a="1"/>
  <c r="AF49" i="11" s="1"/>
  <c r="AF12" i="11" a="1"/>
  <c r="AF12" i="11" s="1"/>
  <c r="AF68" i="11" a="1"/>
  <c r="AF68" i="11" s="1"/>
  <c r="AF27" i="11" a="1"/>
  <c r="AF27" i="11" s="1"/>
  <c r="AF28" i="11" a="1"/>
  <c r="AF28" i="11" s="1"/>
  <c r="AF26" i="11" a="1"/>
  <c r="AF26" i="11" s="1"/>
  <c r="AF70" i="11" a="1"/>
  <c r="AF70" i="11" s="1"/>
  <c r="AG1" i="11"/>
  <c r="AF10" i="11" a="1"/>
  <c r="AF10" i="11" s="1"/>
  <c r="AF11" i="11" a="1"/>
  <c r="AF11" i="11" s="1"/>
  <c r="AN69" i="10"/>
  <c r="AC51" i="12"/>
  <c r="AC13" i="12"/>
  <c r="AC15" i="12" s="1"/>
  <c r="AC54" i="6"/>
  <c r="AB54" i="7"/>
  <c r="AB19" i="12"/>
  <c r="AB20" i="12" s="1"/>
  <c r="AM73" i="10"/>
  <c r="AM74" i="10" s="1"/>
  <c r="AC9" i="3" a="1"/>
  <c r="AC9" i="3" s="1"/>
  <c r="AD1" i="3"/>
  <c r="AD65" i="7"/>
  <c r="AE1" i="7"/>
  <c r="AD40" i="7" s="1"/>
  <c r="AD33" i="7"/>
  <c r="AD32" i="7" s="1"/>
  <c r="AD37" i="7"/>
  <c r="AD38" i="7" s="1"/>
  <c r="AD9" i="7"/>
  <c r="AD31" i="7"/>
  <c r="AA86" i="12"/>
  <c r="AA87" i="12" s="1"/>
  <c r="AD42" i="11"/>
  <c r="AC42" i="12"/>
  <c r="AC159" i="12"/>
  <c r="AC111" i="12"/>
  <c r="AD159" i="11"/>
  <c r="AD111" i="11"/>
  <c r="AA152" i="12"/>
  <c r="AC68" i="7"/>
  <c r="AD29" i="11"/>
  <c r="AD30" i="11" s="1"/>
  <c r="AB39" i="6"/>
  <c r="AC25" i="13"/>
  <c r="AC5" i="13"/>
  <c r="AC11" i="13"/>
  <c r="AD2" i="13"/>
  <c r="AN89" i="9"/>
  <c r="AN90" i="9" s="1"/>
  <c r="AC9" i="7"/>
  <c r="Y181" i="12"/>
  <c r="AD148" i="11"/>
  <c r="AE1" i="15"/>
  <c r="AB8" i="7"/>
  <c r="AB67" i="7"/>
  <c r="AC18" i="7"/>
  <c r="AC19" i="7" s="1"/>
  <c r="AB32" i="6"/>
  <c r="AO69" i="9"/>
  <c r="AD51" i="11"/>
  <c r="AC29" i="12"/>
  <c r="AC30" i="12" s="1"/>
  <c r="AC71" i="12"/>
  <c r="AC74" i="12" s="1"/>
  <c r="BT44" i="6"/>
  <c r="AC18" i="6"/>
  <c r="AC19" i="6" s="1"/>
  <c r="AD170" i="11"/>
  <c r="AC61" i="12"/>
  <c r="AB54" i="6"/>
  <c r="AB20" i="7"/>
  <c r="AC148" i="12"/>
  <c r="AD126" i="11"/>
  <c r="Z156" i="11"/>
  <c r="Z164" i="11" s="1"/>
  <c r="AD21" i="6"/>
  <c r="AE1" i="6"/>
  <c r="AN74" i="9"/>
  <c r="AM89" i="10"/>
  <c r="AM90" i="10" s="1"/>
  <c r="AB119" i="12"/>
  <c r="AD13" i="11"/>
  <c r="AD15" i="11" s="1"/>
  <c r="AD61" i="11"/>
  <c r="AC173" i="12"/>
  <c r="AC139" i="12"/>
  <c r="AD71" i="11"/>
  <c r="AD74" i="11" s="1"/>
  <c r="AC170" i="12"/>
  <c r="AC31" i="6"/>
  <c r="AC32" i="6" s="1"/>
  <c r="BG4" i="7"/>
  <c r="BH5" i="7"/>
  <c r="BG5" i="6"/>
  <c r="BF4" i="6"/>
  <c r="AB163" i="12"/>
  <c r="AC31" i="7"/>
  <c r="AC64" i="7" s="1"/>
  <c r="AD81" i="11"/>
  <c r="AD83" i="11" s="1"/>
  <c r="Z97" i="12"/>
  <c r="AC9" i="6"/>
  <c r="AN81" i="9"/>
  <c r="AN82" i="9" s="1"/>
  <c r="AC21" i="7"/>
  <c r="AP61" i="9"/>
  <c r="AP54" i="9"/>
  <c r="AP16" i="9"/>
  <c r="AP44" i="9"/>
  <c r="AP10" i="9"/>
  <c r="AP4" i="9"/>
  <c r="AP60" i="9"/>
  <c r="AP53" i="9"/>
  <c r="AP48" i="9"/>
  <c r="AP15" i="9"/>
  <c r="AP33" i="9"/>
  <c r="AP70" i="9" s="1"/>
  <c r="AP20" i="9"/>
  <c r="AQ1" i="9"/>
  <c r="AP43" i="9"/>
  <c r="AP59" i="9"/>
  <c r="AP14" i="9"/>
  <c r="AP19" i="9"/>
  <c r="AP58" i="9"/>
  <c r="AP42" i="9"/>
  <c r="AP8" i="9"/>
  <c r="AP63" i="9"/>
  <c r="AP13" i="9"/>
  <c r="AP57" i="9"/>
  <c r="AP36" i="9"/>
  <c r="AP18" i="9"/>
  <c r="AP56" i="9"/>
  <c r="AP62" i="9"/>
  <c r="AP5" i="9"/>
  <c r="AP9" i="9"/>
  <c r="AP7" i="9"/>
  <c r="AP17" i="9"/>
  <c r="AP35" i="9"/>
  <c r="AP11" i="9"/>
  <c r="AP34" i="9"/>
  <c r="AP55" i="9"/>
  <c r="AP40" i="9"/>
  <c r="AP71" i="9" s="1"/>
  <c r="AP12" i="9"/>
  <c r="AP41" i="9"/>
  <c r="AP45" i="9"/>
  <c r="AP38" i="9"/>
  <c r="AP64" i="9"/>
  <c r="AP37" i="9"/>
  <c r="AP49" i="9"/>
  <c r="AP21" i="9"/>
  <c r="AP50" i="9"/>
  <c r="AP22" i="9"/>
  <c r="AP46" i="9"/>
  <c r="AP47" i="9"/>
  <c r="AP23" i="9"/>
  <c r="AP51" i="9"/>
  <c r="AP24" i="9"/>
  <c r="AP25" i="9"/>
  <c r="AP26" i="9"/>
  <c r="AP27" i="9"/>
  <c r="AP28" i="9"/>
  <c r="AP29" i="9"/>
  <c r="AP30" i="9"/>
  <c r="AP31" i="9"/>
  <c r="AO72" i="9"/>
  <c r="AC179" i="11"/>
  <c r="AC39" i="12"/>
  <c r="AC178" i="12"/>
  <c r="AC175" i="12"/>
  <c r="AB132" i="12" a="1"/>
  <c r="AE47" i="12" a="1"/>
  <c r="AD118" i="11" a="1"/>
  <c r="AE76" i="12" a="1"/>
  <c r="AC180" i="11" a="1"/>
  <c r="AE104" i="12" a="1"/>
  <c r="AE115" i="12" a="1"/>
  <c r="AD107" i="11" a="1"/>
  <c r="AE10" i="12" a="1"/>
  <c r="AE110" i="12" a="1"/>
  <c r="AE37" i="12" a="1"/>
  <c r="AE6" i="11" a="1"/>
  <c r="AE54" i="12" a="1"/>
  <c r="AE72" i="12" a="1"/>
  <c r="AC132" i="11" a="1"/>
  <c r="AE67" i="12" a="1"/>
  <c r="AE116" i="12" a="1"/>
  <c r="AE25" i="12" a="1"/>
  <c r="AE125" i="12" a="1"/>
  <c r="AE8" i="12" a="1"/>
  <c r="AE80" i="12" a="1"/>
  <c r="AE136" i="12" a="1"/>
  <c r="AD112" i="11" a="1"/>
  <c r="AE4" i="12" a="1"/>
  <c r="AE124" i="12" a="1"/>
  <c r="AB85" i="12" a="1"/>
  <c r="AD107" i="12" a="1"/>
  <c r="AE26" i="12" a="1"/>
  <c r="Y182" i="12" a="1"/>
  <c r="AE60" i="12" a="1"/>
  <c r="AE65" i="12" a="1"/>
  <c r="AC171" i="12" a="1"/>
  <c r="AC21" i="11" a="1"/>
  <c r="AC118" i="12" a="1"/>
  <c r="AE12" i="12" a="1"/>
  <c r="AE135" i="12" a="1"/>
  <c r="AE48" i="12" a="1"/>
  <c r="AB142" i="12" a="1"/>
  <c r="AE56" i="12" a="1"/>
  <c r="AE53" i="12" a="1"/>
  <c r="AE58" i="12" a="1"/>
  <c r="AE44" i="12" a="1"/>
  <c r="AC142" i="11" a="1"/>
  <c r="AE69" i="12" a="1"/>
  <c r="AE27" i="12" a="1"/>
  <c r="AA165" i="11" a="1"/>
  <c r="AE50" i="12" a="1"/>
  <c r="AC151" i="11" a="1"/>
  <c r="AD140" i="11" a="1"/>
  <c r="AB63" i="12" a="1"/>
  <c r="AC149" i="12" a="1"/>
  <c r="AE144" i="12" a="1"/>
  <c r="AE59" i="12" a="1"/>
  <c r="AE43" i="12" a="1"/>
  <c r="AE145" i="12" a="1"/>
  <c r="AC63" i="11" a="1"/>
  <c r="AE66" i="12" a="1"/>
  <c r="AE146" i="12" a="1"/>
  <c r="AD149" i="11" a="1"/>
  <c r="AE70" i="12" a="1"/>
  <c r="AE16" i="12" a="1"/>
  <c r="AE45" i="12" a="1"/>
  <c r="AE78" i="12" a="1"/>
  <c r="AE28" i="12" a="1"/>
  <c r="AE114" i="12" a="1"/>
  <c r="Z165" i="11" a="1"/>
  <c r="AE33" i="12" a="1"/>
  <c r="AB21" i="12" a="1"/>
  <c r="AE14" i="12" a="1"/>
  <c r="AB88" i="11" a="1"/>
  <c r="AE17" i="12" a="1"/>
  <c r="AE133" i="12" a="1"/>
  <c r="AC85" i="11" a="1"/>
  <c r="Z98" i="12" a="1"/>
  <c r="AE79" i="12" a="1"/>
  <c r="AE41" i="12" a="1"/>
  <c r="AE134" i="12" a="1"/>
  <c r="AE36" i="12" a="1"/>
  <c r="AE75" i="12" a="1"/>
  <c r="AC120" i="11" a="1"/>
  <c r="AE11" i="12" a="1"/>
  <c r="AE123" i="12" a="1"/>
  <c r="AE34" i="12" a="1"/>
  <c r="AE57" i="12" a="1"/>
  <c r="AC112" i="12" a="1"/>
  <c r="AC140" i="12" a="1"/>
  <c r="AE38" i="12" a="1"/>
  <c r="AE147" i="12" a="1"/>
  <c r="AE109" i="12" a="1"/>
  <c r="AE24" i="12" a="1"/>
  <c r="AE52" i="12" a="1"/>
  <c r="AC31" i="12" a="1"/>
  <c r="AD6" i="12" a="1"/>
  <c r="AA88" i="12" a="1"/>
  <c r="AD31" i="11" a="1"/>
  <c r="AE127" i="12" a="1"/>
  <c r="AD171" i="11" a="1"/>
  <c r="AB180" i="12" a="1"/>
  <c r="AE129" i="12" a="1"/>
  <c r="AB120" i="12" a="1"/>
  <c r="AE73" i="12" a="1"/>
  <c r="AE35" i="12" a="1"/>
  <c r="AE68" i="12" a="1"/>
  <c r="AE82" i="12" a="1"/>
  <c r="AE77" i="12" a="1"/>
  <c r="AE49" i="12" a="1"/>
  <c r="AE55" i="12" a="1"/>
  <c r="AE40" i="12" a="1"/>
  <c r="X182" i="12" a="1"/>
  <c r="AE9" i="12" a="1"/>
  <c r="AD131" i="11" l="1"/>
  <c r="AD141" i="11" s="1"/>
  <c r="AD150" i="11" s="1"/>
  <c r="AB86" i="12"/>
  <c r="AB87" i="12" s="1"/>
  <c r="AD130" i="12"/>
  <c r="AB132" i="12"/>
  <c r="AF51" i="11"/>
  <c r="AF29" i="11"/>
  <c r="AF30" i="11" s="1"/>
  <c r="AN73" i="10"/>
  <c r="AN74" i="10" s="1"/>
  <c r="AD107" i="11"/>
  <c r="AD19" i="11"/>
  <c r="AD20" i="11" s="1"/>
  <c r="AC85" i="11"/>
  <c r="AC131" i="12"/>
  <c r="AC141" i="12" s="1"/>
  <c r="AC150" i="12" s="1"/>
  <c r="AC87" i="11"/>
  <c r="AC97" i="11" s="1"/>
  <c r="AB63" i="12"/>
  <c r="AD71" i="12"/>
  <c r="AD74" i="12" s="1"/>
  <c r="AB85" i="12"/>
  <c r="AC21" i="11"/>
  <c r="AD126" i="12"/>
  <c r="AC63" i="11"/>
  <c r="AC132" i="11"/>
  <c r="AB180" i="12"/>
  <c r="AC84" i="12"/>
  <c r="AD148" i="12"/>
  <c r="AE130" i="11"/>
  <c r="AE170" i="11"/>
  <c r="AD18" i="12"/>
  <c r="AD62" i="11"/>
  <c r="AD81" i="12"/>
  <c r="AD83" i="12" s="1"/>
  <c r="AD84" i="11"/>
  <c r="AC62" i="12"/>
  <c r="AA88" i="12"/>
  <c r="AE38" i="12"/>
  <c r="AC142" i="11"/>
  <c r="X182" i="12"/>
  <c r="AE14" i="12"/>
  <c r="AE45" i="12"/>
  <c r="AE59" i="12"/>
  <c r="AE82" i="12"/>
  <c r="AE56" i="12"/>
  <c r="AC171" i="12"/>
  <c r="AE25" i="12"/>
  <c r="AE43" i="12"/>
  <c r="AE72" i="12"/>
  <c r="AE115" i="12"/>
  <c r="AE168" i="12" s="1"/>
  <c r="AE124" i="12"/>
  <c r="AD140" i="11"/>
  <c r="AD6" i="12"/>
  <c r="AC140" i="12"/>
  <c r="AD171" i="11"/>
  <c r="AD112" i="11"/>
  <c r="AB21" i="12"/>
  <c r="AE16" i="12"/>
  <c r="AE55" i="12"/>
  <c r="AE68" i="12"/>
  <c r="AB142" i="12"/>
  <c r="AE65" i="12"/>
  <c r="AE133" i="12"/>
  <c r="AE36" i="12"/>
  <c r="AE54" i="12"/>
  <c r="AE104" i="12"/>
  <c r="AE105" i="12" s="1"/>
  <c r="F14" i="5" s="1" a="1"/>
  <c r="F14" i="5" s="1"/>
  <c r="AC120" i="11"/>
  <c r="AC151" i="11"/>
  <c r="AC31" i="12"/>
  <c r="AC112" i="12"/>
  <c r="AE44" i="12"/>
  <c r="AE40" i="12"/>
  <c r="AE33" i="12"/>
  <c r="AE70" i="12"/>
  <c r="AE144" i="12"/>
  <c r="AE35" i="12"/>
  <c r="AE48" i="12"/>
  <c r="AE60" i="12"/>
  <c r="AE116" i="12"/>
  <c r="AE169" i="12" s="1"/>
  <c r="AE134" i="12"/>
  <c r="AE6" i="11"/>
  <c r="AC180" i="11"/>
  <c r="AE9" i="12"/>
  <c r="AE50" i="12"/>
  <c r="AE52" i="12"/>
  <c r="AE57" i="12"/>
  <c r="AE127" i="12"/>
  <c r="AE136" i="12"/>
  <c r="Z165" i="11"/>
  <c r="AD149" i="11"/>
  <c r="AE49" i="12"/>
  <c r="AE73" i="12"/>
  <c r="AE135" i="12"/>
  <c r="AE174" i="12" s="1"/>
  <c r="Y182" i="12"/>
  <c r="AE17" i="12"/>
  <c r="AE41" i="12"/>
  <c r="AE37" i="12"/>
  <c r="AE76" i="12"/>
  <c r="AE145" i="12"/>
  <c r="AA165" i="11"/>
  <c r="AE24" i="12"/>
  <c r="AE34" i="12"/>
  <c r="AE58" i="12"/>
  <c r="AE80" i="12"/>
  <c r="AE114" i="12"/>
  <c r="AE146" i="12"/>
  <c r="AC149" i="12"/>
  <c r="AB120" i="12"/>
  <c r="AE12" i="12"/>
  <c r="AE26" i="12"/>
  <c r="AE67" i="12"/>
  <c r="AE79" i="12"/>
  <c r="AE110" i="12"/>
  <c r="AE167" i="12" s="1"/>
  <c r="AD118" i="11"/>
  <c r="AE4" i="12"/>
  <c r="AE5" i="12" s="1"/>
  <c r="AE27" i="12"/>
  <c r="AE109" i="12"/>
  <c r="AE123" i="12"/>
  <c r="AD31" i="11"/>
  <c r="AE8" i="12"/>
  <c r="AE28" i="12"/>
  <c r="AE66" i="12"/>
  <c r="AE77" i="12"/>
  <c r="AE129" i="12"/>
  <c r="AE162" i="12" s="1"/>
  <c r="AC118" i="12"/>
  <c r="AD107" i="12"/>
  <c r="AB88" i="11"/>
  <c r="Z98" i="12"/>
  <c r="AE10" i="12"/>
  <c r="AE47" i="12"/>
  <c r="AE75" i="12"/>
  <c r="AE69" i="12"/>
  <c r="AE147" i="12"/>
  <c r="AE11" i="12"/>
  <c r="AE53" i="12"/>
  <c r="AE125" i="12"/>
  <c r="AE160" i="12" s="1"/>
  <c r="AE78" i="12"/>
  <c r="AD39" i="7"/>
  <c r="AE39" i="7"/>
  <c r="AA97" i="12"/>
  <c r="AP65" i="9"/>
  <c r="AP68" i="9"/>
  <c r="AP87" i="9"/>
  <c r="AP84" i="9"/>
  <c r="AP85" i="9"/>
  <c r="AP88" i="9"/>
  <c r="AP86" i="9"/>
  <c r="AD18" i="6"/>
  <c r="AD19" i="6" s="1"/>
  <c r="AE19" i="6" s="1"/>
  <c r="AE18" i="6" s="1"/>
  <c r="AC39" i="6"/>
  <c r="AD52" i="7"/>
  <c r="AD53" i="7" s="1"/>
  <c r="AC19" i="12"/>
  <c r="AC20" i="12" s="1"/>
  <c r="AD159" i="12"/>
  <c r="AD111" i="12"/>
  <c r="AE29" i="11"/>
  <c r="AE30" i="11" s="1"/>
  <c r="AD61" i="12"/>
  <c r="AE175" i="11"/>
  <c r="AE178" i="11"/>
  <c r="AQ34" i="9"/>
  <c r="AQ44" i="9"/>
  <c r="AQ60" i="9"/>
  <c r="AQ53" i="9"/>
  <c r="AQ48" i="9"/>
  <c r="AQ15" i="9"/>
  <c r="AQ33" i="9"/>
  <c r="AQ20" i="9"/>
  <c r="AR1" i="9"/>
  <c r="AQ43" i="9"/>
  <c r="AQ9" i="9"/>
  <c r="AQ59" i="9"/>
  <c r="AQ19" i="9"/>
  <c r="AQ58" i="9"/>
  <c r="AQ42" i="9"/>
  <c r="AQ8" i="9"/>
  <c r="AQ13" i="9"/>
  <c r="AQ57" i="9"/>
  <c r="AQ18" i="9"/>
  <c r="AQ41" i="9"/>
  <c r="AQ7" i="9"/>
  <c r="AQ62" i="9"/>
  <c r="AQ61" i="9"/>
  <c r="AQ5" i="9"/>
  <c r="AQ17" i="9"/>
  <c r="AQ35" i="9"/>
  <c r="AQ11" i="9"/>
  <c r="AQ4" i="9"/>
  <c r="AQ56" i="9"/>
  <c r="AQ55" i="9"/>
  <c r="AQ54" i="9"/>
  <c r="AQ14" i="9"/>
  <c r="AQ16" i="9"/>
  <c r="AQ10" i="9"/>
  <c r="AQ12" i="9"/>
  <c r="AQ40" i="9"/>
  <c r="AQ63" i="9"/>
  <c r="AQ45" i="9"/>
  <c r="AQ64" i="9"/>
  <c r="AQ37" i="9"/>
  <c r="AQ21" i="9"/>
  <c r="AQ49" i="9"/>
  <c r="AQ36" i="9"/>
  <c r="AQ38" i="9"/>
  <c r="AQ46" i="9"/>
  <c r="AQ22" i="9"/>
  <c r="AQ50" i="9"/>
  <c r="AQ47" i="9"/>
  <c r="AQ23" i="9"/>
  <c r="AQ51" i="9"/>
  <c r="AQ24" i="9"/>
  <c r="AQ25" i="9"/>
  <c r="AQ26" i="9"/>
  <c r="AQ27" i="9"/>
  <c r="AQ28" i="9"/>
  <c r="AQ29" i="9"/>
  <c r="AQ30" i="9"/>
  <c r="AQ31" i="9"/>
  <c r="AC20" i="6"/>
  <c r="AD9" i="6"/>
  <c r="AD7" i="6"/>
  <c r="AD64" i="6" s="1"/>
  <c r="BU44" i="6"/>
  <c r="BV44" i="6" s="1"/>
  <c r="AF1" i="15"/>
  <c r="AD7" i="7"/>
  <c r="AD64" i="7" s="1"/>
  <c r="AP61" i="10"/>
  <c r="AP56" i="10"/>
  <c r="AP8" i="10"/>
  <c r="AQ1" i="10"/>
  <c r="AP13" i="10"/>
  <c r="AP18" i="10"/>
  <c r="AP57" i="10"/>
  <c r="AP43" i="10"/>
  <c r="AP23" i="10"/>
  <c r="AP42" i="10"/>
  <c r="AP41" i="10"/>
  <c r="AP40" i="10"/>
  <c r="AP71" i="10" s="1"/>
  <c r="AP34" i="10"/>
  <c r="AP12" i="10"/>
  <c r="AP7" i="10"/>
  <c r="AP17" i="10"/>
  <c r="AP55" i="10"/>
  <c r="AP22" i="10"/>
  <c r="AP60" i="10"/>
  <c r="AP33" i="10"/>
  <c r="AP70" i="10" s="1"/>
  <c r="AP11" i="10"/>
  <c r="AP16" i="10"/>
  <c r="AP21" i="10"/>
  <c r="AP5" i="10"/>
  <c r="AP59" i="10"/>
  <c r="AP10" i="10"/>
  <c r="AP15" i="10"/>
  <c r="AP20" i="10"/>
  <c r="AP58" i="10"/>
  <c r="AP14" i="10"/>
  <c r="AP54" i="10"/>
  <c r="AP19" i="10"/>
  <c r="AP9" i="10"/>
  <c r="AP4" i="10"/>
  <c r="AP53" i="10"/>
  <c r="AP72" i="10" s="1"/>
  <c r="AE159" i="11"/>
  <c r="AE111" i="11"/>
  <c r="AD179" i="11"/>
  <c r="AD31" i="6"/>
  <c r="AD55" i="7"/>
  <c r="AB150" i="12"/>
  <c r="AE173" i="11"/>
  <c r="AE139" i="11"/>
  <c r="AC179" i="12"/>
  <c r="AD52" i="6"/>
  <c r="AD53" i="6" s="1"/>
  <c r="AN89" i="10"/>
  <c r="AN90" i="10" s="1"/>
  <c r="AE26" i="13"/>
  <c r="AF1" i="13"/>
  <c r="AE6" i="13"/>
  <c r="AE106" i="11"/>
  <c r="AE126" i="11"/>
  <c r="AD37" i="6"/>
  <c r="AD38" i="6" s="1"/>
  <c r="AC152" i="11"/>
  <c r="AD39" i="12"/>
  <c r="AE71" i="11"/>
  <c r="AE74" i="11" s="1"/>
  <c r="AD55" i="6"/>
  <c r="AD25" i="13"/>
  <c r="AD11" i="13"/>
  <c r="AD5" i="13"/>
  <c r="AD9" i="13" s="1"/>
  <c r="AE4" i="13" s="1"/>
  <c r="AE2" i="13"/>
  <c r="AF1" i="7"/>
  <c r="AE3" i="7" a="1"/>
  <c r="AE3" i="7" s="1"/>
  <c r="AE12" i="7" s="1"/>
  <c r="AD7" i="13"/>
  <c r="AD8" i="13" s="1"/>
  <c r="AF80" i="12" a="1"/>
  <c r="AF80" i="12" s="1"/>
  <c r="AF78" i="12" a="1"/>
  <c r="AF78" i="12" s="1"/>
  <c r="AF70" i="12" a="1"/>
  <c r="AF70" i="12" s="1"/>
  <c r="AF68" i="12" a="1"/>
  <c r="AF68" i="12" s="1"/>
  <c r="AF77" i="12" a="1"/>
  <c r="AF77" i="12" s="1"/>
  <c r="AF69" i="12" a="1"/>
  <c r="AF69" i="12" s="1"/>
  <c r="AF49" i="12" a="1"/>
  <c r="AF49" i="12" s="1"/>
  <c r="AF48" i="12" a="1"/>
  <c r="AF48" i="12" s="1"/>
  <c r="AF50" i="12" a="1"/>
  <c r="AF50" i="12" s="1"/>
  <c r="AF26" i="12" a="1"/>
  <c r="AF26" i="12" s="1"/>
  <c r="AF24" i="12" a="1"/>
  <c r="AF24" i="12" s="1"/>
  <c r="AF28" i="12" a="1"/>
  <c r="AF28" i="12" s="1"/>
  <c r="AF12" i="12" a="1"/>
  <c r="AF12" i="12" s="1"/>
  <c r="AF10" i="12" a="1"/>
  <c r="AF10" i="12" s="1"/>
  <c r="AF27" i="12" a="1"/>
  <c r="AF27" i="12" s="1"/>
  <c r="AG1" i="12"/>
  <c r="AF11" i="12" a="1"/>
  <c r="AF11" i="12" s="1"/>
  <c r="AO69" i="10"/>
  <c r="AE37" i="7"/>
  <c r="AE40" i="7" s="1"/>
  <c r="AE52" i="7"/>
  <c r="AE45" i="7"/>
  <c r="AE18" i="7"/>
  <c r="AO65" i="10"/>
  <c r="AO68" i="10"/>
  <c r="AO87" i="10"/>
  <c r="AO88" i="10"/>
  <c r="AO84" i="10"/>
  <c r="AO86" i="10"/>
  <c r="AO85" i="10"/>
  <c r="AC20" i="7"/>
  <c r="BG4" i="6"/>
  <c r="BH5" i="6"/>
  <c r="Z181" i="11"/>
  <c r="AP69" i="9"/>
  <c r="AD68" i="7"/>
  <c r="AF13" i="11"/>
  <c r="AN81" i="10"/>
  <c r="AN82" i="10" s="1"/>
  <c r="AO73" i="9"/>
  <c r="AO74" i="9" s="1"/>
  <c r="AD158" i="12"/>
  <c r="AD117" i="12"/>
  <c r="AD170" i="12"/>
  <c r="AE1" i="3"/>
  <c r="AD9" i="3" a="1"/>
  <c r="AD9" i="3" s="1"/>
  <c r="AG80" i="11" a="1"/>
  <c r="AG80" i="11" s="1"/>
  <c r="AG78" i="11" a="1"/>
  <c r="AG78" i="11" s="1"/>
  <c r="AG69" i="11" a="1"/>
  <c r="AG69" i="11" s="1"/>
  <c r="AG50" i="11" a="1"/>
  <c r="AG50" i="11" s="1"/>
  <c r="AG70" i="11" a="1"/>
  <c r="AG70" i="11" s="1"/>
  <c r="AG48" i="11" a="1"/>
  <c r="AG48" i="11" s="1"/>
  <c r="AG77" i="11" a="1"/>
  <c r="AG77" i="11" s="1"/>
  <c r="AG49" i="11" a="1"/>
  <c r="AG49" i="11" s="1"/>
  <c r="AG10" i="11" a="1"/>
  <c r="AG10" i="11" s="1"/>
  <c r="AG68" i="11" a="1"/>
  <c r="AG68" i="11" s="1"/>
  <c r="AG27" i="11" a="1"/>
  <c r="AG27" i="11" s="1"/>
  <c r="AG28" i="11" a="1"/>
  <c r="AG28" i="11" s="1"/>
  <c r="AG26" i="11" a="1"/>
  <c r="AG26" i="11" s="1"/>
  <c r="AH1" i="11"/>
  <c r="AG24" i="11" a="1"/>
  <c r="AG24" i="11" s="1"/>
  <c r="AG11" i="11" a="1"/>
  <c r="AG11" i="11" s="1"/>
  <c r="AG12" i="11" a="1"/>
  <c r="AG12" i="11" s="1"/>
  <c r="AO72" i="10"/>
  <c r="AO71" i="10"/>
  <c r="AA181" i="11"/>
  <c r="AE148" i="11"/>
  <c r="AD173" i="12"/>
  <c r="AD139" i="12"/>
  <c r="AD46" i="12"/>
  <c r="AC64" i="6"/>
  <c r="AE46" i="11"/>
  <c r="AE158" i="11"/>
  <c r="AE117" i="11"/>
  <c r="AC8" i="6"/>
  <c r="AC67" i="6"/>
  <c r="AF1" i="6"/>
  <c r="AE3" i="6" a="1"/>
  <c r="AE3" i="6" s="1"/>
  <c r="AE12" i="6" s="1"/>
  <c r="AO81" i="9"/>
  <c r="AO82" i="9" s="1"/>
  <c r="AD119" i="11"/>
  <c r="AD51" i="12"/>
  <c r="AE81" i="11"/>
  <c r="AE83" i="11" s="1"/>
  <c r="AE51" i="11"/>
  <c r="AD42" i="12"/>
  <c r="AD163" i="11"/>
  <c r="AE61" i="11"/>
  <c r="AD13" i="12"/>
  <c r="AD15" i="12" s="1"/>
  <c r="AD29" i="12"/>
  <c r="AD30" i="12" s="1"/>
  <c r="BH4" i="7"/>
  <c r="BI5" i="7"/>
  <c r="AD65" i="6"/>
  <c r="AD40" i="6"/>
  <c r="AD33" i="6"/>
  <c r="AD32" i="6" s="1"/>
  <c r="AC8" i="7"/>
  <c r="AC67" i="7"/>
  <c r="AD18" i="7"/>
  <c r="AD19" i="7" s="1"/>
  <c r="AC119" i="12"/>
  <c r="AE18" i="11"/>
  <c r="AE39" i="11"/>
  <c r="AB97" i="11"/>
  <c r="Z156" i="12"/>
  <c r="Z164" i="12" s="1"/>
  <c r="AP72" i="9"/>
  <c r="AD68" i="6"/>
  <c r="AE8" i="7"/>
  <c r="AE9" i="7" s="1"/>
  <c r="AF8" i="7" s="1"/>
  <c r="AF9" i="7" s="1"/>
  <c r="AD21" i="7"/>
  <c r="AF71" i="11"/>
  <c r="T27" i="13"/>
  <c r="T28" i="13" s="1"/>
  <c r="AC163" i="12"/>
  <c r="AE13" i="11"/>
  <c r="AE15" i="11" s="1"/>
  <c r="AD8" i="7"/>
  <c r="AC39" i="7"/>
  <c r="AE42" i="11"/>
  <c r="AD175" i="12"/>
  <c r="AD178" i="12"/>
  <c r="AD132" i="11" a="1"/>
  <c r="AC120" i="12" a="1"/>
  <c r="AC98" i="11" a="1"/>
  <c r="AE31" i="11" a="1"/>
  <c r="AE149" i="11" a="1"/>
  <c r="AD180" i="11" a="1"/>
  <c r="AC142" i="12" a="1"/>
  <c r="AD149" i="12" a="1"/>
  <c r="AB151" i="12" a="1"/>
  <c r="AC132" i="12" a="1"/>
  <c r="AB98" i="11" a="1"/>
  <c r="AD112" i="12" a="1"/>
  <c r="AD21" i="11" a="1"/>
  <c r="AC88" i="11" a="1"/>
  <c r="Z165" i="12" a="1"/>
  <c r="AD142" i="11" a="1"/>
  <c r="AB88" i="12" a="1"/>
  <c r="AE107" i="11" a="1"/>
  <c r="AD171" i="12" a="1"/>
  <c r="AA98" i="12" a="1"/>
  <c r="AE171" i="11" a="1"/>
  <c r="AE118" i="11" a="1"/>
  <c r="AD31" i="12" a="1"/>
  <c r="AD118" i="12" a="1"/>
  <c r="AD63" i="11" a="1"/>
  <c r="AD120" i="11" a="1"/>
  <c r="AE112" i="11" a="1"/>
  <c r="AD140" i="12" a="1"/>
  <c r="AE140" i="11" a="1"/>
  <c r="AC63" i="12" a="1"/>
  <c r="AD151" i="11" a="1"/>
  <c r="AC180" i="12" a="1"/>
  <c r="Z182" i="11" a="1"/>
  <c r="AC151" i="12" a="1"/>
  <c r="AC21" i="12" a="1"/>
  <c r="AA182" i="11" a="1"/>
  <c r="AC85" i="12" a="1"/>
  <c r="AE6" i="12" a="1"/>
  <c r="AD85" i="11" a="1"/>
  <c r="AD132" i="11" l="1"/>
  <c r="AD131" i="12"/>
  <c r="AG13" i="11"/>
  <c r="AG71" i="11"/>
  <c r="AF51" i="12"/>
  <c r="AD21" i="11"/>
  <c r="AE131" i="11"/>
  <c r="AE141" i="11" s="1"/>
  <c r="AC132" i="12"/>
  <c r="AC88" i="11"/>
  <c r="AE39" i="12"/>
  <c r="AE170" i="12"/>
  <c r="AC86" i="12"/>
  <c r="AC87" i="12" s="1"/>
  <c r="AD86" i="11"/>
  <c r="AD87" i="11" s="1"/>
  <c r="AD97" i="11" s="1"/>
  <c r="AE84" i="11"/>
  <c r="AE18" i="12"/>
  <c r="AE42" i="12"/>
  <c r="AD163" i="12"/>
  <c r="AD84" i="12"/>
  <c r="AD19" i="12"/>
  <c r="AD20" i="12" s="1"/>
  <c r="AC63" i="12"/>
  <c r="AD85" i="11"/>
  <c r="AD63" i="11"/>
  <c r="AE171" i="11"/>
  <c r="AD149" i="12"/>
  <c r="AC85" i="12"/>
  <c r="AE130" i="12"/>
  <c r="AE51" i="12"/>
  <c r="AD62" i="12"/>
  <c r="AE62" i="11"/>
  <c r="AE112" i="11"/>
  <c r="AD31" i="12"/>
  <c r="AD140" i="12"/>
  <c r="AE31" i="11"/>
  <c r="AD142" i="11"/>
  <c r="AD112" i="12"/>
  <c r="AE149" i="11"/>
  <c r="AE6" i="12"/>
  <c r="AC142" i="12"/>
  <c r="AC98" i="11"/>
  <c r="AA98" i="12"/>
  <c r="AC180" i="12"/>
  <c r="AC21" i="12"/>
  <c r="AD151" i="11"/>
  <c r="AB88" i="12"/>
  <c r="AA182" i="11"/>
  <c r="AD120" i="11"/>
  <c r="AE118" i="11"/>
  <c r="Z182" i="11"/>
  <c r="AE140" i="11"/>
  <c r="Z165" i="12"/>
  <c r="AB98" i="11"/>
  <c r="AD171" i="12"/>
  <c r="AE107" i="11"/>
  <c r="AD180" i="11"/>
  <c r="AC120" i="12"/>
  <c r="AD118" i="12"/>
  <c r="AB151" i="12"/>
  <c r="AC151" i="12"/>
  <c r="AE7" i="13"/>
  <c r="AE8" i="13" s="1"/>
  <c r="AE21" i="6"/>
  <c r="AD20" i="7"/>
  <c r="AF26" i="13"/>
  <c r="AG1" i="13"/>
  <c r="AF6" i="13"/>
  <c r="AE148" i="12"/>
  <c r="AE61" i="12"/>
  <c r="BJ5" i="7"/>
  <c r="BI4" i="7"/>
  <c r="AE48" i="7"/>
  <c r="AQ43" i="7"/>
  <c r="AF13" i="12"/>
  <c r="AQ13" i="10"/>
  <c r="AQ18" i="10"/>
  <c r="AQ57" i="10"/>
  <c r="AQ43" i="10"/>
  <c r="AQ23" i="10"/>
  <c r="AQ42" i="10"/>
  <c r="AQ41" i="10"/>
  <c r="AQ40" i="10"/>
  <c r="AQ34" i="10"/>
  <c r="AQ12" i="10"/>
  <c r="AQ7" i="10"/>
  <c r="AQ17" i="10"/>
  <c r="AQ61" i="10"/>
  <c r="AQ55" i="10"/>
  <c r="AQ22" i="10"/>
  <c r="AQ60" i="10"/>
  <c r="AQ33" i="10"/>
  <c r="AQ70" i="10" s="1"/>
  <c r="AQ11" i="10"/>
  <c r="AQ16" i="10"/>
  <c r="AQ21" i="10"/>
  <c r="AQ5" i="10"/>
  <c r="AQ59" i="10"/>
  <c r="AQ10" i="10"/>
  <c r="AQ15" i="10"/>
  <c r="AQ20" i="10"/>
  <c r="AQ56" i="10"/>
  <c r="AQ53" i="10"/>
  <c r="AQ9" i="10"/>
  <c r="AQ4" i="10"/>
  <c r="AQ54" i="10"/>
  <c r="AQ19" i="10"/>
  <c r="AQ8" i="10"/>
  <c r="AQ58" i="10"/>
  <c r="AR1" i="10"/>
  <c r="AQ14" i="10"/>
  <c r="AE20" i="6"/>
  <c r="AE158" i="12"/>
  <c r="AE117" i="12"/>
  <c r="AD8" i="6"/>
  <c r="AD67" i="6"/>
  <c r="AD54" i="7"/>
  <c r="AE54" i="7"/>
  <c r="AD141" i="12"/>
  <c r="AP65" i="10"/>
  <c r="AP68" i="10"/>
  <c r="AP84" i="10"/>
  <c r="AP88" i="10"/>
  <c r="AP86" i="10"/>
  <c r="AP87" i="10"/>
  <c r="AP85" i="10"/>
  <c r="AG8" i="7"/>
  <c r="AG9" i="7" s="1"/>
  <c r="AE14" i="6"/>
  <c r="AD179" i="12"/>
  <c r="AF29" i="12"/>
  <c r="AF30" i="12" s="1"/>
  <c r="AQ65" i="9"/>
  <c r="AQ68" i="9"/>
  <c r="AQ87" i="9"/>
  <c r="AQ85" i="9"/>
  <c r="AQ88" i="9"/>
  <c r="AQ86" i="9"/>
  <c r="AQ84" i="9"/>
  <c r="AE159" i="12"/>
  <c r="AE111" i="12"/>
  <c r="AD20" i="6"/>
  <c r="AE178" i="12"/>
  <c r="AE175" i="12"/>
  <c r="AG1" i="6"/>
  <c r="AF3" i="6" a="1"/>
  <c r="AF3" i="6" s="1"/>
  <c r="AF12" i="6" s="1"/>
  <c r="AG51" i="11"/>
  <c r="AO81" i="10"/>
  <c r="AO82" i="10" s="1"/>
  <c r="AP69" i="10"/>
  <c r="AE64" i="7"/>
  <c r="AE65" i="7" s="1"/>
  <c r="AE14" i="7"/>
  <c r="AP89" i="9"/>
  <c r="AP90" i="9" s="1"/>
  <c r="AE13" i="12"/>
  <c r="AE15" i="12" s="1"/>
  <c r="AF3" i="7" a="1"/>
  <c r="AF3" i="7" s="1"/>
  <c r="AF12" i="7" s="1"/>
  <c r="AG1" i="7"/>
  <c r="AR44" i="9"/>
  <c r="AR10" i="9"/>
  <c r="AR4" i="9"/>
  <c r="AR60" i="9"/>
  <c r="AR53" i="9"/>
  <c r="AR48" i="9"/>
  <c r="AR33" i="9"/>
  <c r="AR20" i="9"/>
  <c r="AS1" i="9"/>
  <c r="AR43" i="9"/>
  <c r="AR9" i="9"/>
  <c r="AR59" i="9"/>
  <c r="AR14" i="9"/>
  <c r="AR58" i="9"/>
  <c r="AR42" i="9"/>
  <c r="AR8" i="9"/>
  <c r="AR63" i="9"/>
  <c r="AR13" i="9"/>
  <c r="AR57" i="9"/>
  <c r="AR18" i="9"/>
  <c r="AR41" i="9"/>
  <c r="AR7" i="9"/>
  <c r="AR56" i="9"/>
  <c r="AR12" i="9"/>
  <c r="AR55" i="9"/>
  <c r="AR40" i="9"/>
  <c r="AR35" i="9"/>
  <c r="AR62" i="9"/>
  <c r="AR61" i="9"/>
  <c r="AR5" i="9"/>
  <c r="AR21" i="9"/>
  <c r="AR19" i="9"/>
  <c r="AR17" i="9"/>
  <c r="AR15" i="9"/>
  <c r="AR11" i="9"/>
  <c r="AR54" i="9"/>
  <c r="AR34" i="9"/>
  <c r="AR16" i="9"/>
  <c r="AR64" i="9"/>
  <c r="AR37" i="9"/>
  <c r="AR38" i="9"/>
  <c r="AR36" i="9"/>
  <c r="AR45" i="9"/>
  <c r="AR49" i="9"/>
  <c r="AR46" i="9"/>
  <c r="AR22" i="9"/>
  <c r="AR50" i="9"/>
  <c r="AR23" i="9"/>
  <c r="AR51" i="9"/>
  <c r="AR47" i="9"/>
  <c r="AR24" i="9"/>
  <c r="AR25" i="9"/>
  <c r="AR26" i="9"/>
  <c r="AR27" i="9"/>
  <c r="AR28" i="9"/>
  <c r="AR29" i="9"/>
  <c r="AR30" i="9"/>
  <c r="AR31" i="9"/>
  <c r="AC156" i="11"/>
  <c r="AC164" i="11" s="1"/>
  <c r="AA156" i="12"/>
  <c r="AA164" i="12" s="1"/>
  <c r="AE25" i="13"/>
  <c r="AE11" i="13"/>
  <c r="AF2" i="13"/>
  <c r="AE5" i="13"/>
  <c r="AE9" i="13" s="1"/>
  <c r="AF4" i="13" s="1"/>
  <c r="AP81" i="9"/>
  <c r="AP82" i="9" s="1"/>
  <c r="AE106" i="12"/>
  <c r="AH8" i="7"/>
  <c r="AD39" i="6"/>
  <c r="AE39" i="6"/>
  <c r="AD152" i="11"/>
  <c r="AO73" i="10"/>
  <c r="AO74" i="10" s="1"/>
  <c r="AQ70" i="9"/>
  <c r="AF39" i="7"/>
  <c r="AE126" i="12"/>
  <c r="AH80" i="11" a="1"/>
  <c r="AH80" i="11" s="1"/>
  <c r="AH78" i="11" a="1"/>
  <c r="AH78" i="11" s="1"/>
  <c r="AH92" i="11"/>
  <c r="AH69" i="11" a="1"/>
  <c r="AH69" i="11" s="1"/>
  <c r="AH50" i="11" a="1"/>
  <c r="AH50" i="11" s="1"/>
  <c r="AH49" i="11" a="1"/>
  <c r="AH49" i="11" s="1"/>
  <c r="AH48" i="11" a="1"/>
  <c r="AH48" i="11" s="1"/>
  <c r="AH96" i="11"/>
  <c r="AH68" i="11" a="1"/>
  <c r="AH68" i="11" s="1"/>
  <c r="AH70" i="11" a="1"/>
  <c r="AH70" i="11" s="1"/>
  <c r="AH77" i="11" a="1"/>
  <c r="AH77" i="11" s="1"/>
  <c r="AH27" i="11" a="1"/>
  <c r="AH27" i="11" s="1"/>
  <c r="AH28" i="11" a="1"/>
  <c r="AH28" i="11" s="1"/>
  <c r="AH26" i="11" a="1"/>
  <c r="AH26" i="11" s="1"/>
  <c r="AI1" i="11"/>
  <c r="AH10" i="11" a="1"/>
  <c r="AH10" i="11" s="1"/>
  <c r="AH12" i="11" a="1"/>
  <c r="AH12" i="11" s="1"/>
  <c r="AH24" i="11" a="1"/>
  <c r="AH24" i="11" s="1"/>
  <c r="AH11" i="11" a="1"/>
  <c r="AH11" i="11" s="1"/>
  <c r="AD67" i="7"/>
  <c r="AB97" i="12"/>
  <c r="AE20" i="7"/>
  <c r="AE21" i="7" s="1"/>
  <c r="AE8" i="6"/>
  <c r="AE9" i="6" s="1"/>
  <c r="T29" i="13"/>
  <c r="U24" i="13" s="1"/>
  <c r="AE119" i="11"/>
  <c r="AG1" i="15"/>
  <c r="AE173" i="12"/>
  <c r="AE139" i="12"/>
  <c r="AE55" i="7"/>
  <c r="AO89" i="10"/>
  <c r="AO90" i="10" s="1"/>
  <c r="Z181" i="12"/>
  <c r="AB156" i="11"/>
  <c r="AB164" i="11" s="1"/>
  <c r="AE9" i="3" a="1"/>
  <c r="AE9" i="3" s="1"/>
  <c r="AF1" i="3"/>
  <c r="AE163" i="11"/>
  <c r="AF71" i="12"/>
  <c r="AE179" i="11"/>
  <c r="AQ69" i="9"/>
  <c r="AP73" i="9"/>
  <c r="AP74" i="9" s="1"/>
  <c r="AE19" i="11"/>
  <c r="AE20" i="11" s="1"/>
  <c r="AE45" i="6"/>
  <c r="AE37" i="6"/>
  <c r="AE40" i="6" s="1"/>
  <c r="AE52" i="6"/>
  <c r="AE55" i="6" s="1"/>
  <c r="AD119" i="12"/>
  <c r="BI5" i="6"/>
  <c r="BH4" i="6"/>
  <c r="AB152" i="12"/>
  <c r="AQ71" i="9"/>
  <c r="AQ72" i="9"/>
  <c r="AE46" i="12"/>
  <c r="AG80" i="12" a="1"/>
  <c r="AG80" i="12" s="1"/>
  <c r="AG78" i="12" a="1"/>
  <c r="AG78" i="12" s="1"/>
  <c r="AG68" i="12" a="1"/>
  <c r="AG68" i="12" s="1"/>
  <c r="AG77" i="12" a="1"/>
  <c r="AG77" i="12" s="1"/>
  <c r="AG69" i="12" a="1"/>
  <c r="AG69" i="12" s="1"/>
  <c r="AG70" i="12" a="1"/>
  <c r="AG70" i="12" s="1"/>
  <c r="AG50" i="12" a="1"/>
  <c r="AG50" i="12" s="1"/>
  <c r="AG48" i="12" a="1"/>
  <c r="AG48" i="12" s="1"/>
  <c r="AG26" i="12" a="1"/>
  <c r="AG26" i="12" s="1"/>
  <c r="AG28" i="12" a="1"/>
  <c r="AG28" i="12" s="1"/>
  <c r="AH1" i="12"/>
  <c r="AG24" i="12" a="1"/>
  <c r="AG24" i="12" s="1"/>
  <c r="AG11" i="12" a="1"/>
  <c r="AG11" i="12" s="1"/>
  <c r="AG49" i="12" a="1"/>
  <c r="AG49" i="12" s="1"/>
  <c r="AG10" i="12" a="1"/>
  <c r="AG10" i="12" s="1"/>
  <c r="AG27" i="12" a="1"/>
  <c r="AG27" i="12" s="1"/>
  <c r="AG12" i="12" a="1"/>
  <c r="AG12" i="12" s="1"/>
  <c r="AD54" i="6"/>
  <c r="AE54" i="6"/>
  <c r="AE81" i="12"/>
  <c r="AE83" i="12" s="1"/>
  <c r="AE29" i="12"/>
  <c r="AE30" i="12" s="1"/>
  <c r="AC152" i="12"/>
  <c r="AG29" i="11"/>
  <c r="AG30" i="11" s="1"/>
  <c r="AE71" i="12"/>
  <c r="AE74" i="12" s="1"/>
  <c r="AD88" i="11" a="1"/>
  <c r="AA165" i="12" a="1"/>
  <c r="AD120" i="12" a="1"/>
  <c r="AE120" i="11" a="1"/>
  <c r="AE112" i="12" a="1"/>
  <c r="AE31" i="12" a="1"/>
  <c r="AE180" i="11" a="1"/>
  <c r="AD63" i="12" a="1"/>
  <c r="AC88" i="12" a="1"/>
  <c r="AD132" i="12" a="1"/>
  <c r="AC165" i="11" a="1"/>
  <c r="AB165" i="11" a="1"/>
  <c r="AE132" i="11" a="1"/>
  <c r="AE118" i="12" a="1"/>
  <c r="AE107" i="12" a="1"/>
  <c r="AE21" i="11" a="1"/>
  <c r="AD142" i="12" a="1"/>
  <c r="AD98" i="11" a="1"/>
  <c r="AE85" i="11" a="1"/>
  <c r="Z182" i="12" a="1"/>
  <c r="AD85" i="12" a="1"/>
  <c r="AE149" i="12" a="1"/>
  <c r="AE171" i="12" a="1"/>
  <c r="AE63" i="11" a="1"/>
  <c r="AE142" i="11" a="1"/>
  <c r="AD180" i="12" a="1"/>
  <c r="AE140" i="12" a="1"/>
  <c r="AD21" i="12" a="1"/>
  <c r="AB98" i="12" a="1"/>
  <c r="AD132" i="12" l="1"/>
  <c r="AE19" i="12"/>
  <c r="AE20" i="12" s="1"/>
  <c r="AH51" i="11"/>
  <c r="AH29" i="11"/>
  <c r="AQ89" i="9"/>
  <c r="AQ90" i="9" s="1"/>
  <c r="AH30" i="11"/>
  <c r="AQ81" i="9"/>
  <c r="AQ82" i="9" s="1"/>
  <c r="AG71" i="12"/>
  <c r="AE132" i="11"/>
  <c r="AE171" i="12"/>
  <c r="AE85" i="11"/>
  <c r="AD88" i="11"/>
  <c r="AD21" i="12"/>
  <c r="AD85" i="12"/>
  <c r="AE62" i="12"/>
  <c r="AE84" i="12"/>
  <c r="AE131" i="12"/>
  <c r="AE141" i="12" s="1"/>
  <c r="AE150" i="12" s="1"/>
  <c r="AE63" i="11"/>
  <c r="AD63" i="12"/>
  <c r="AE163" i="12"/>
  <c r="AE86" i="11"/>
  <c r="AE87" i="11" s="1"/>
  <c r="AE179" i="12"/>
  <c r="AD86" i="12"/>
  <c r="AD87" i="12" s="1"/>
  <c r="AE112" i="12"/>
  <c r="AD98" i="11"/>
  <c r="AB98" i="12"/>
  <c r="AB165" i="11"/>
  <c r="AE142" i="11"/>
  <c r="AC88" i="12"/>
  <c r="AE180" i="11"/>
  <c r="AE21" i="11"/>
  <c r="Z182" i="12"/>
  <c r="AA165" i="12"/>
  <c r="AD180" i="12"/>
  <c r="AE118" i="12"/>
  <c r="AC165" i="11"/>
  <c r="AE149" i="12"/>
  <c r="AD120" i="12"/>
  <c r="AE31" i="12"/>
  <c r="AE120" i="11"/>
  <c r="AD142" i="12"/>
  <c r="AE107" i="12"/>
  <c r="AE140" i="12"/>
  <c r="AF7" i="13"/>
  <c r="AF8" i="13" s="1"/>
  <c r="AF20" i="7"/>
  <c r="AE67" i="7"/>
  <c r="AE68" i="7" s="1"/>
  <c r="AG13" i="12"/>
  <c r="AF25" i="13"/>
  <c r="AF11" i="13"/>
  <c r="AG2" i="13"/>
  <c r="AF5" i="13"/>
  <c r="AF9" i="13" s="1"/>
  <c r="AG4" i="13" s="1"/>
  <c r="AF8" i="6"/>
  <c r="AF9" i="6" s="1"/>
  <c r="AH1" i="7"/>
  <c r="AG3" i="7" a="1"/>
  <c r="AG3" i="7" s="1"/>
  <c r="AG12" i="7" s="1"/>
  <c r="AD156" i="11"/>
  <c r="AD164" i="11" s="1"/>
  <c r="AP73" i="10"/>
  <c r="AP74" i="10" s="1"/>
  <c r="AR54" i="10"/>
  <c r="AR43" i="10"/>
  <c r="AR18" i="10"/>
  <c r="AR57" i="10"/>
  <c r="AR23" i="10"/>
  <c r="AR42" i="10"/>
  <c r="AR41" i="10"/>
  <c r="AR40" i="10"/>
  <c r="AR71" i="10" s="1"/>
  <c r="AR34" i="10"/>
  <c r="AR12" i="10"/>
  <c r="AR7" i="10"/>
  <c r="AR17" i="10"/>
  <c r="AR61" i="10"/>
  <c r="AR55" i="10"/>
  <c r="AR22" i="10"/>
  <c r="AR60" i="10"/>
  <c r="AR33" i="10"/>
  <c r="AR11" i="10"/>
  <c r="AR16" i="10"/>
  <c r="AR21" i="10"/>
  <c r="AR5" i="10"/>
  <c r="AR59" i="10"/>
  <c r="AR10" i="10"/>
  <c r="AR15" i="10"/>
  <c r="AR20" i="10"/>
  <c r="AR56" i="10"/>
  <c r="AR53" i="10"/>
  <c r="AR9" i="10"/>
  <c r="AR4" i="10"/>
  <c r="AR58" i="10"/>
  <c r="AR14" i="10"/>
  <c r="AR8" i="10"/>
  <c r="AS1" i="10"/>
  <c r="AR13" i="10"/>
  <c r="AR19" i="10"/>
  <c r="AP89" i="10"/>
  <c r="AP90" i="10" s="1"/>
  <c r="AF39" i="6"/>
  <c r="AF14" i="7"/>
  <c r="AP81" i="10"/>
  <c r="AP82" i="10" s="1"/>
  <c r="AG26" i="13"/>
  <c r="AG6" i="13"/>
  <c r="AH1" i="13"/>
  <c r="AB156" i="12"/>
  <c r="AB164" i="12" s="1"/>
  <c r="AQ43" i="6"/>
  <c r="AE48" i="6"/>
  <c r="AB181" i="11"/>
  <c r="AH13" i="11"/>
  <c r="AE150" i="11"/>
  <c r="AC97" i="12"/>
  <c r="AR65" i="9"/>
  <c r="AR68" i="9"/>
  <c r="AR87" i="9"/>
  <c r="AR85" i="9"/>
  <c r="AR86" i="9"/>
  <c r="AR88" i="9"/>
  <c r="AR84" i="9"/>
  <c r="AH96" i="12"/>
  <c r="AH80" i="12" a="1"/>
  <c r="AH80" i="12" s="1"/>
  <c r="AH78" i="12" a="1"/>
  <c r="AH78" i="12" s="1"/>
  <c r="AH92" i="12"/>
  <c r="AH68" i="12" a="1"/>
  <c r="AH68" i="12" s="1"/>
  <c r="AH77" i="12" a="1"/>
  <c r="AH77" i="12" s="1"/>
  <c r="AH69" i="12" a="1"/>
  <c r="AH69" i="12" s="1"/>
  <c r="AH70" i="12" a="1"/>
  <c r="AH70" i="12" s="1"/>
  <c r="AH50" i="12" a="1"/>
  <c r="AH50" i="12" s="1"/>
  <c r="AH49" i="12" a="1"/>
  <c r="AH49" i="12" s="1"/>
  <c r="AH48" i="12" a="1"/>
  <c r="AH48" i="12" s="1"/>
  <c r="AH11" i="12" a="1"/>
  <c r="AH11" i="12" s="1"/>
  <c r="AH28" i="12" a="1"/>
  <c r="AH28" i="12" s="1"/>
  <c r="AH27" i="12" a="1"/>
  <c r="AH27" i="12" s="1"/>
  <c r="AI1" i="12"/>
  <c r="AH24" i="12" a="1"/>
  <c r="AH24" i="12" s="1"/>
  <c r="AH26" i="12" a="1"/>
  <c r="AH26" i="12" s="1"/>
  <c r="AH12" i="12" a="1"/>
  <c r="AH12" i="12" s="1"/>
  <c r="AH10" i="12" a="1"/>
  <c r="AH10" i="12" s="1"/>
  <c r="AI176" i="11"/>
  <c r="AI177" i="11"/>
  <c r="AI78" i="11" a="1"/>
  <c r="AI78" i="11" s="1"/>
  <c r="AI92" i="11"/>
  <c r="AI49" i="11" a="1"/>
  <c r="AI49" i="11" s="1"/>
  <c r="AI96" i="11"/>
  <c r="AI68" i="11" a="1"/>
  <c r="AI68" i="11" s="1"/>
  <c r="AI70" i="11" a="1"/>
  <c r="AI70" i="11" s="1"/>
  <c r="AI80" i="11" a="1"/>
  <c r="AI80" i="11" s="1"/>
  <c r="AI50" i="11" a="1"/>
  <c r="AI50" i="11" s="1"/>
  <c r="AI48" i="11" a="1"/>
  <c r="AI48" i="11" s="1"/>
  <c r="AI77" i="11" a="1"/>
  <c r="AI77" i="11" s="1"/>
  <c r="AI69" i="11" a="1"/>
  <c r="AI69" i="11" s="1"/>
  <c r="AI27" i="11" a="1"/>
  <c r="AI27" i="11" s="1"/>
  <c r="AI28" i="11" a="1"/>
  <c r="AI28" i="11" s="1"/>
  <c r="AI26" i="11" a="1"/>
  <c r="AI26" i="11" s="1"/>
  <c r="AI24" i="11" a="1"/>
  <c r="AI24" i="11" s="1"/>
  <c r="AJ1" i="11"/>
  <c r="AI10" i="11" a="1"/>
  <c r="AI10" i="11" s="1"/>
  <c r="AI11" i="11" a="1"/>
  <c r="AI11" i="11" s="1"/>
  <c r="AI12" i="11" a="1"/>
  <c r="AI12" i="11" s="1"/>
  <c r="AA181" i="12"/>
  <c r="AF54" i="7"/>
  <c r="AE119" i="12"/>
  <c r="AC181" i="11"/>
  <c r="AR71" i="9"/>
  <c r="AE64" i="6"/>
  <c r="AE65" i="6" s="1"/>
  <c r="AQ65" i="10"/>
  <c r="AQ68" i="10"/>
  <c r="AQ85" i="10"/>
  <c r="AQ87" i="10"/>
  <c r="AQ86" i="10"/>
  <c r="AQ84" i="10"/>
  <c r="AQ88" i="10"/>
  <c r="AS60" i="9"/>
  <c r="AS53" i="9"/>
  <c r="AS48" i="9"/>
  <c r="AS15" i="9"/>
  <c r="AS43" i="9"/>
  <c r="AS9" i="9"/>
  <c r="AS59" i="9"/>
  <c r="AS14" i="9"/>
  <c r="AS19" i="9"/>
  <c r="AS58" i="9"/>
  <c r="AS42" i="9"/>
  <c r="AS63" i="9"/>
  <c r="AS13" i="9"/>
  <c r="AS57" i="9"/>
  <c r="AS36" i="9"/>
  <c r="AS18" i="9"/>
  <c r="AS41" i="9"/>
  <c r="AS7" i="9"/>
  <c r="AS56" i="9"/>
  <c r="AS12" i="9"/>
  <c r="AS62" i="9"/>
  <c r="AS17" i="9"/>
  <c r="AS5" i="9"/>
  <c r="AS35" i="9"/>
  <c r="AS11" i="9"/>
  <c r="AS4" i="9"/>
  <c r="AS54" i="9"/>
  <c r="AS34" i="9"/>
  <c r="AS55" i="9"/>
  <c r="AS20" i="9"/>
  <c r="AS40" i="9"/>
  <c r="AS33" i="9"/>
  <c r="AS10" i="9"/>
  <c r="AS61" i="9"/>
  <c r="AS45" i="9"/>
  <c r="AS44" i="9"/>
  <c r="AT1" i="9"/>
  <c r="AS38" i="9"/>
  <c r="AS8" i="9"/>
  <c r="AS16" i="9"/>
  <c r="AS64" i="9"/>
  <c r="AS49" i="9"/>
  <c r="AS21" i="9"/>
  <c r="AS37" i="9"/>
  <c r="AS46" i="9"/>
  <c r="AS22" i="9"/>
  <c r="AS50" i="9"/>
  <c r="AS23" i="9"/>
  <c r="AS51" i="9"/>
  <c r="AS47" i="9"/>
  <c r="AS24" i="9"/>
  <c r="AS25" i="9"/>
  <c r="AS26" i="9"/>
  <c r="AS27" i="9"/>
  <c r="AS28" i="9"/>
  <c r="AS29" i="9"/>
  <c r="AS30" i="9"/>
  <c r="AS31" i="9"/>
  <c r="AF14" i="6"/>
  <c r="BJ4" i="7"/>
  <c r="BK5" i="7"/>
  <c r="AG51" i="12"/>
  <c r="AG3" i="6" a="1"/>
  <c r="AG3" i="6" s="1"/>
  <c r="AG12" i="6" s="1"/>
  <c r="AH1" i="6"/>
  <c r="AQ72" i="10"/>
  <c r="AQ69" i="10"/>
  <c r="AD150" i="12"/>
  <c r="AG29" i="12"/>
  <c r="AG30" i="12" s="1"/>
  <c r="AF54" i="6"/>
  <c r="AR70" i="9"/>
  <c r="AQ73" i="9"/>
  <c r="AQ74" i="9" s="1"/>
  <c r="AH71" i="11"/>
  <c r="AR69" i="9"/>
  <c r="AF45" i="7"/>
  <c r="AF37" i="7"/>
  <c r="AF40" i="7" s="1"/>
  <c r="AF52" i="7"/>
  <c r="AF18" i="7"/>
  <c r="AF21" i="7" s="1"/>
  <c r="AF20" i="6"/>
  <c r="AH1" i="15"/>
  <c r="AE67" i="6"/>
  <c r="AE68" i="6" s="1"/>
  <c r="BI4" i="6"/>
  <c r="BJ5" i="6"/>
  <c r="AF9" i="3" a="1"/>
  <c r="AF9" i="3" s="1"/>
  <c r="AG1" i="3"/>
  <c r="U29" i="13"/>
  <c r="V24" i="13" s="1"/>
  <c r="U27" i="13"/>
  <c r="U28" i="13" s="1"/>
  <c r="AR72" i="9"/>
  <c r="AQ71" i="10"/>
  <c r="AD151" i="12" a="1"/>
  <c r="AE142" i="12" a="1"/>
  <c r="AA182" i="12" a="1"/>
  <c r="AC182" i="11" a="1"/>
  <c r="AB182" i="11" a="1"/>
  <c r="AE132" i="12" a="1"/>
  <c r="AD165" i="11" a="1"/>
  <c r="AE88" i="11" a="1"/>
  <c r="AE63" i="12" a="1"/>
  <c r="AE151" i="12" a="1"/>
  <c r="AC98" i="12" a="1"/>
  <c r="AE85" i="12" a="1"/>
  <c r="AB165" i="12" a="1"/>
  <c r="AE21" i="12" a="1"/>
  <c r="AE120" i="12" a="1"/>
  <c r="AD88" i="12" a="1"/>
  <c r="AE151" i="11" a="1"/>
  <c r="AE180" i="12" a="1"/>
  <c r="AH29" i="12" l="1"/>
  <c r="AH30" i="12" s="1"/>
  <c r="AE86" i="12"/>
  <c r="AE87" i="12" s="1"/>
  <c r="AE97" i="12" s="1"/>
  <c r="AE21" i="12"/>
  <c r="AR81" i="9"/>
  <c r="AR82" i="9" s="1"/>
  <c r="AH51" i="12"/>
  <c r="AQ73" i="10"/>
  <c r="AQ74" i="10" s="1"/>
  <c r="AH71" i="12"/>
  <c r="AH13" i="12"/>
  <c r="AE132" i="12"/>
  <c r="AE85" i="12"/>
  <c r="AE63" i="12"/>
  <c r="AD88" i="12"/>
  <c r="AE180" i="12"/>
  <c r="AD97" i="12"/>
  <c r="AD156" i="12" s="1"/>
  <c r="AD164" i="12" s="1"/>
  <c r="AE151" i="12"/>
  <c r="AE120" i="12"/>
  <c r="AD151" i="12"/>
  <c r="AA182" i="12"/>
  <c r="AC182" i="11"/>
  <c r="AE88" i="11"/>
  <c r="AC98" i="12"/>
  <c r="AE151" i="11"/>
  <c r="AB182" i="11"/>
  <c r="AE142" i="12"/>
  <c r="AB165" i="12"/>
  <c r="AD165" i="11"/>
  <c r="AE152" i="12"/>
  <c r="AG7" i="13"/>
  <c r="AG8" i="13" s="1"/>
  <c r="AQ81" i="10"/>
  <c r="AQ82" i="10" s="1"/>
  <c r="AI51" i="11"/>
  <c r="AR72" i="10"/>
  <c r="AR69" i="10"/>
  <c r="AG25" i="13"/>
  <c r="AG11" i="13"/>
  <c r="AG5" i="13"/>
  <c r="AG9" i="13" s="1"/>
  <c r="AH4" i="13" s="1"/>
  <c r="AH2" i="13"/>
  <c r="AD152" i="12"/>
  <c r="AT33" i="9"/>
  <c r="AT20" i="9"/>
  <c r="AU1" i="9"/>
  <c r="AT43" i="9"/>
  <c r="AT59" i="9"/>
  <c r="AT14" i="9"/>
  <c r="AT19" i="9"/>
  <c r="AT58" i="9"/>
  <c r="AT42" i="9"/>
  <c r="AT8" i="9"/>
  <c r="AT63" i="9"/>
  <c r="AT57" i="9"/>
  <c r="AT36" i="9"/>
  <c r="AT18" i="9"/>
  <c r="AT41" i="9"/>
  <c r="AT7" i="9"/>
  <c r="AT56" i="9"/>
  <c r="AT12" i="9"/>
  <c r="AT62" i="9"/>
  <c r="AT17" i="9"/>
  <c r="AT55" i="9"/>
  <c r="AT40" i="9"/>
  <c r="AT35" i="9"/>
  <c r="AT61" i="9"/>
  <c r="AT54" i="9"/>
  <c r="AT48" i="9"/>
  <c r="AT15" i="9"/>
  <c r="AT13" i="9"/>
  <c r="AT11" i="9"/>
  <c r="AT9" i="9"/>
  <c r="AT4" i="9"/>
  <c r="AT53" i="9"/>
  <c r="AT34" i="9"/>
  <c r="AT38" i="9"/>
  <c r="AT16" i="9"/>
  <c r="AT60" i="9"/>
  <c r="AT44" i="9"/>
  <c r="AT5" i="9"/>
  <c r="AT10" i="9"/>
  <c r="AT21" i="9"/>
  <c r="AT37" i="9"/>
  <c r="AT45" i="9"/>
  <c r="AT49" i="9"/>
  <c r="AT64" i="9"/>
  <c r="AT22" i="9"/>
  <c r="AT50" i="9"/>
  <c r="AT46" i="9"/>
  <c r="AT47" i="9"/>
  <c r="AT23" i="9"/>
  <c r="AT51" i="9"/>
  <c r="AT24" i="9"/>
  <c r="AT25" i="9"/>
  <c r="AT26" i="9"/>
  <c r="AT27" i="9"/>
  <c r="AT28" i="9"/>
  <c r="AT29" i="9"/>
  <c r="AT30" i="9"/>
  <c r="AT31" i="9"/>
  <c r="BJ4" i="6"/>
  <c r="BK5" i="6"/>
  <c r="AI176" i="12"/>
  <c r="AI177" i="12"/>
  <c r="AI96" i="12"/>
  <c r="AI92" i="12"/>
  <c r="AI80" i="12" a="1"/>
  <c r="AI80" i="12" s="1"/>
  <c r="AI78" i="12" a="1"/>
  <c r="AI78" i="12" s="1"/>
  <c r="AI77" i="12" a="1"/>
  <c r="AI77" i="12" s="1"/>
  <c r="AI69" i="12" a="1"/>
  <c r="AI69" i="12" s="1"/>
  <c r="AI70" i="12" a="1"/>
  <c r="AI70" i="12" s="1"/>
  <c r="AI68" i="12" a="1"/>
  <c r="AI68" i="12" s="1"/>
  <c r="AI50" i="12" a="1"/>
  <c r="AI50" i="12" s="1"/>
  <c r="AI49" i="12" a="1"/>
  <c r="AI49" i="12" s="1"/>
  <c r="AI48" i="12" a="1"/>
  <c r="AI48" i="12" s="1"/>
  <c r="AI24" i="12" a="1"/>
  <c r="AI24" i="12" s="1"/>
  <c r="AI28" i="12" a="1"/>
  <c r="AI28" i="12" s="1"/>
  <c r="AI27" i="12" a="1"/>
  <c r="AI27" i="12" s="1"/>
  <c r="AI26" i="12" a="1"/>
  <c r="AI26" i="12" s="1"/>
  <c r="AJ1" i="12"/>
  <c r="AI11" i="12" a="1"/>
  <c r="AI11" i="12" s="1"/>
  <c r="AI10" i="12" a="1"/>
  <c r="AI10" i="12" s="1"/>
  <c r="AI12" i="12" a="1"/>
  <c r="AI12" i="12" s="1"/>
  <c r="AS65" i="9"/>
  <c r="AS87" i="9"/>
  <c r="AS68" i="9"/>
  <c r="AS85" i="9"/>
  <c r="AS86" i="9"/>
  <c r="AS88" i="9"/>
  <c r="AS84" i="9"/>
  <c r="AE97" i="11"/>
  <c r="AH3" i="6" a="1"/>
  <c r="AH3" i="6" s="1"/>
  <c r="AI1" i="6"/>
  <c r="AI71" i="11"/>
  <c r="AC156" i="12"/>
  <c r="AC164" i="12" s="1"/>
  <c r="AF64" i="7"/>
  <c r="AF65" i="7" s="1"/>
  <c r="AF55" i="7"/>
  <c r="AG39" i="7"/>
  <c r="AG14" i="6"/>
  <c r="AS69" i="9"/>
  <c r="AS72" i="9"/>
  <c r="AH26" i="13"/>
  <c r="AH6" i="13"/>
  <c r="AI1" i="13"/>
  <c r="V29" i="13"/>
  <c r="W24" i="13" s="1"/>
  <c r="V27" i="13"/>
  <c r="V28" i="13" s="1"/>
  <c r="AF4" i="11" a="1"/>
  <c r="AF4" i="11" s="1"/>
  <c r="AF5" i="11" s="1"/>
  <c r="AR43" i="7"/>
  <c r="AF48" i="7"/>
  <c r="AF52" i="6"/>
  <c r="AF55" i="6" s="1"/>
  <c r="AF37" i="6"/>
  <c r="AF45" i="6"/>
  <c r="AF18" i="6"/>
  <c r="AF21" i="6" s="1"/>
  <c r="AR89" i="9"/>
  <c r="AR90" i="9" s="1"/>
  <c r="AE152" i="11"/>
  <c r="AF4" i="12" a="1"/>
  <c r="AF4" i="12" s="1"/>
  <c r="AF5" i="12" s="1"/>
  <c r="AS70" i="9"/>
  <c r="AR65" i="10"/>
  <c r="AR68" i="10"/>
  <c r="AR87" i="10"/>
  <c r="AR86" i="10"/>
  <c r="AR85" i="10"/>
  <c r="AR84" i="10"/>
  <c r="AR88" i="10"/>
  <c r="AS71" i="9"/>
  <c r="AI13" i="11"/>
  <c r="AG20" i="7"/>
  <c r="AG14" i="7"/>
  <c r="AH3" i="7" a="1"/>
  <c r="AH3" i="7" s="1"/>
  <c r="AI1" i="7"/>
  <c r="AG9" i="3" a="1"/>
  <c r="AG9" i="3" s="1"/>
  <c r="AH1" i="3"/>
  <c r="BL5" i="7"/>
  <c r="BK4" i="7"/>
  <c r="AJ176" i="11"/>
  <c r="AJ177" i="11"/>
  <c r="AJ78" i="11" a="1"/>
  <c r="AJ78" i="11" s="1"/>
  <c r="AJ69" i="11" a="1"/>
  <c r="AJ69" i="11" s="1"/>
  <c r="AJ92" i="11"/>
  <c r="AJ77" i="11" a="1"/>
  <c r="AJ77" i="11" s="1"/>
  <c r="AJ96" i="11"/>
  <c r="AJ80" i="11" a="1"/>
  <c r="AJ80" i="11" s="1"/>
  <c r="AJ68" i="11" a="1"/>
  <c r="AJ68" i="11" s="1"/>
  <c r="AJ70" i="11" a="1"/>
  <c r="AJ70" i="11" s="1"/>
  <c r="AJ50" i="11" a="1"/>
  <c r="AJ50" i="11" s="1"/>
  <c r="AJ48" i="11" a="1"/>
  <c r="AJ48" i="11" s="1"/>
  <c r="AJ49" i="11" a="1"/>
  <c r="AJ49" i="11" s="1"/>
  <c r="AJ26" i="11" a="1"/>
  <c r="AJ26" i="11" s="1"/>
  <c r="AJ28" i="11" a="1"/>
  <c r="AJ28" i="11" s="1"/>
  <c r="AJ24" i="11" a="1"/>
  <c r="AJ24" i="11" s="1"/>
  <c r="AJ12" i="11" a="1"/>
  <c r="AJ12" i="11" s="1"/>
  <c r="AK1" i="11"/>
  <c r="AJ10" i="11" a="1"/>
  <c r="AJ10" i="11" s="1"/>
  <c r="AJ11" i="11" a="1"/>
  <c r="AJ11" i="11" s="1"/>
  <c r="AJ27" i="11" a="1"/>
  <c r="AJ27" i="11" s="1"/>
  <c r="AR73" i="9"/>
  <c r="AR74" i="9" s="1"/>
  <c r="AQ89" i="10"/>
  <c r="AQ90" i="10" s="1"/>
  <c r="AS55" i="10"/>
  <c r="AS57" i="10"/>
  <c r="AS23" i="10"/>
  <c r="AS43" i="10"/>
  <c r="AS42" i="10"/>
  <c r="AS41" i="10"/>
  <c r="AS40" i="10"/>
  <c r="AS34" i="10"/>
  <c r="AS12" i="10"/>
  <c r="AS7" i="10"/>
  <c r="AS17" i="10"/>
  <c r="AS61" i="10"/>
  <c r="AS22" i="10"/>
  <c r="AS60" i="10"/>
  <c r="AS33" i="10"/>
  <c r="AS11" i="10"/>
  <c r="AS16" i="10"/>
  <c r="AS21" i="10"/>
  <c r="AS5" i="10"/>
  <c r="AS59" i="10"/>
  <c r="AS10" i="10"/>
  <c r="AS15" i="10"/>
  <c r="AS20" i="10"/>
  <c r="AS56" i="10"/>
  <c r="AS53" i="10"/>
  <c r="AS9" i="10"/>
  <c r="AS4" i="10"/>
  <c r="AS58" i="10"/>
  <c r="AS14" i="10"/>
  <c r="AS19" i="10"/>
  <c r="AS13" i="10"/>
  <c r="AS18" i="10"/>
  <c r="AS8" i="10"/>
  <c r="AS54" i="10"/>
  <c r="AT1" i="10"/>
  <c r="AR70" i="10"/>
  <c r="AI1" i="15"/>
  <c r="AI29" i="11"/>
  <c r="AI30" i="11" s="1"/>
  <c r="AB181" i="12"/>
  <c r="AD181" i="11"/>
  <c r="AG8" i="6"/>
  <c r="AG9" i="6" s="1"/>
  <c r="AE98" i="12" a="1"/>
  <c r="AC165" i="12" a="1"/>
  <c r="AE98" i="11" a="1"/>
  <c r="AB182" i="12" a="1"/>
  <c r="AD165" i="12" a="1"/>
  <c r="AE88" i="12" a="1"/>
  <c r="AD182" i="11" a="1"/>
  <c r="AD98" i="12" a="1"/>
  <c r="AE88" i="12" l="1"/>
  <c r="AJ13" i="11"/>
  <c r="AI29" i="12"/>
  <c r="AI30" i="12" s="1"/>
  <c r="AI71" i="12"/>
  <c r="AF67" i="7"/>
  <c r="AF68" i="7" s="1"/>
  <c r="AG4" i="12" s="1" a="1"/>
  <c r="AG4" i="12" s="1"/>
  <c r="AG5" i="12" s="1"/>
  <c r="AD98" i="12"/>
  <c r="AE98" i="11"/>
  <c r="AD182" i="11"/>
  <c r="AD165" i="12"/>
  <c r="AC165" i="12"/>
  <c r="AE98" i="12"/>
  <c r="AB182" i="12"/>
  <c r="AH7" i="13"/>
  <c r="AH8" i="13" s="1"/>
  <c r="AT71" i="9"/>
  <c r="AH11" i="13"/>
  <c r="AH5" i="13"/>
  <c r="AH9" i="13" s="1"/>
  <c r="AI4" i="13" s="1"/>
  <c r="AH25" i="13"/>
  <c r="AI2" i="13"/>
  <c r="AS71" i="10"/>
  <c r="AJ29" i="11"/>
  <c r="AJ30" i="11" s="1"/>
  <c r="AE156" i="11"/>
  <c r="AE164" i="11" s="1"/>
  <c r="AI3" i="7" a="1"/>
  <c r="AI3" i="7" s="1"/>
  <c r="AJ1" i="7"/>
  <c r="BM5" i="7"/>
  <c r="BL4" i="7"/>
  <c r="AS89" i="9"/>
  <c r="AS90" i="9" s="1"/>
  <c r="AJ51" i="11"/>
  <c r="AU43" i="9"/>
  <c r="AU9" i="9"/>
  <c r="AU59" i="9"/>
  <c r="AU19" i="9"/>
  <c r="AU58" i="9"/>
  <c r="AU42" i="9"/>
  <c r="AU8" i="9"/>
  <c r="AU13" i="9"/>
  <c r="AU57" i="9"/>
  <c r="AU36" i="9"/>
  <c r="AU41" i="9"/>
  <c r="AU7" i="9"/>
  <c r="AU56" i="9"/>
  <c r="AU12" i="9"/>
  <c r="AU62" i="9"/>
  <c r="AU17" i="9"/>
  <c r="AU55" i="9"/>
  <c r="AU40" i="9"/>
  <c r="AU35" i="9"/>
  <c r="AU11" i="9"/>
  <c r="AU5" i="9"/>
  <c r="AU34" i="9"/>
  <c r="AU48" i="9"/>
  <c r="AU15" i="9"/>
  <c r="AU4" i="9"/>
  <c r="AU53" i="9"/>
  <c r="AU54" i="9"/>
  <c r="AU20" i="9"/>
  <c r="AU38" i="9"/>
  <c r="AU33" i="9"/>
  <c r="AU18" i="9"/>
  <c r="AU16" i="9"/>
  <c r="AU14" i="9"/>
  <c r="AU10" i="9"/>
  <c r="AU61" i="9"/>
  <c r="AV1" i="9"/>
  <c r="AU60" i="9"/>
  <c r="AU44" i="9"/>
  <c r="AU37" i="9"/>
  <c r="AU49" i="9"/>
  <c r="AU45" i="9"/>
  <c r="AU64" i="9"/>
  <c r="AU63" i="9"/>
  <c r="AU21" i="9"/>
  <c r="AU22" i="9"/>
  <c r="AU46" i="9"/>
  <c r="AU50" i="9"/>
  <c r="AU47" i="9"/>
  <c r="AU23" i="9"/>
  <c r="AU51" i="9"/>
  <c r="AU24" i="9"/>
  <c r="AU25" i="9"/>
  <c r="AU26" i="9"/>
  <c r="AU27" i="9"/>
  <c r="AU28" i="9"/>
  <c r="AU29" i="9"/>
  <c r="AU30" i="9"/>
  <c r="AU31" i="9"/>
  <c r="AH12" i="7"/>
  <c r="AH14" i="7" s="1"/>
  <c r="AH7" i="7"/>
  <c r="W29" i="13"/>
  <c r="X24" i="13" s="1"/>
  <c r="W27" i="13"/>
  <c r="W28" i="13" s="1"/>
  <c r="AI13" i="12"/>
  <c r="AD181" i="12"/>
  <c r="AT70" i="9"/>
  <c r="AJ1" i="15"/>
  <c r="AI26" i="13"/>
  <c r="AI6" i="13"/>
  <c r="AJ1" i="13"/>
  <c r="AG54" i="7"/>
  <c r="AJ176" i="12"/>
  <c r="AJ177" i="12"/>
  <c r="AJ96" i="12"/>
  <c r="AJ92" i="12"/>
  <c r="AJ80" i="12" a="1"/>
  <c r="AJ80" i="12" s="1"/>
  <c r="AJ78" i="12" a="1"/>
  <c r="AJ78" i="12" s="1"/>
  <c r="AJ77" i="12" a="1"/>
  <c r="AJ77" i="12" s="1"/>
  <c r="AJ69" i="12" a="1"/>
  <c r="AJ69" i="12" s="1"/>
  <c r="AJ70" i="12" a="1"/>
  <c r="AJ70" i="12" s="1"/>
  <c r="AJ50" i="12" a="1"/>
  <c r="AJ50" i="12" s="1"/>
  <c r="AJ49" i="12" a="1"/>
  <c r="AJ49" i="12" s="1"/>
  <c r="AJ48" i="12" a="1"/>
  <c r="AJ48" i="12" s="1"/>
  <c r="AJ24" i="12" a="1"/>
  <c r="AJ24" i="12" s="1"/>
  <c r="AJ68" i="12" a="1"/>
  <c r="AJ68" i="12" s="1"/>
  <c r="AJ71" i="12" s="1"/>
  <c r="AJ12" i="12" a="1"/>
  <c r="AJ12" i="12" s="1"/>
  <c r="AJ28" i="12" a="1"/>
  <c r="AJ28" i="12" s="1"/>
  <c r="AJ27" i="12" a="1"/>
  <c r="AJ27" i="12" s="1"/>
  <c r="AJ26" i="12" a="1"/>
  <c r="AJ26" i="12" s="1"/>
  <c r="AK1" i="12"/>
  <c r="AJ11" i="12" a="1"/>
  <c r="AJ11" i="12" s="1"/>
  <c r="AJ10" i="12" a="1"/>
  <c r="AJ10" i="12" s="1"/>
  <c r="AT72" i="9"/>
  <c r="AT69" i="9"/>
  <c r="AR89" i="10"/>
  <c r="AR90" i="10" s="1"/>
  <c r="AG45" i="7"/>
  <c r="AG52" i="7"/>
  <c r="AG18" i="7"/>
  <c r="AG21" i="7" s="1"/>
  <c r="AG37" i="7"/>
  <c r="AT65" i="9"/>
  <c r="AT68" i="9"/>
  <c r="AT87" i="9"/>
  <c r="AT86" i="9"/>
  <c r="AT88" i="9"/>
  <c r="AT84" i="9"/>
  <c r="AT85" i="9"/>
  <c r="AR81" i="10"/>
  <c r="AR82" i="10" s="1"/>
  <c r="AI3" i="6" a="1"/>
  <c r="AI3" i="6" s="1"/>
  <c r="AJ1" i="6"/>
  <c r="AH9" i="3" a="1"/>
  <c r="AH9" i="3" s="1"/>
  <c r="AI1" i="3"/>
  <c r="AC181" i="12"/>
  <c r="AS73" i="9"/>
  <c r="AS74" i="9" s="1"/>
  <c r="AE156" i="12"/>
  <c r="AE164" i="12" s="1"/>
  <c r="AK176" i="11"/>
  <c r="AK177" i="11"/>
  <c r="AK78" i="11" a="1"/>
  <c r="AK78" i="11" s="1"/>
  <c r="AK69" i="11" a="1"/>
  <c r="AK69" i="11" s="1"/>
  <c r="AK92" i="11"/>
  <c r="AK96" i="11"/>
  <c r="AK80" i="11" a="1"/>
  <c r="AK80" i="11" s="1"/>
  <c r="AK68" i="11" a="1"/>
  <c r="AK68" i="11" s="1"/>
  <c r="AK70" i="11" a="1"/>
  <c r="AK70" i="11" s="1"/>
  <c r="AK77" i="11" a="1"/>
  <c r="AK77" i="11" s="1"/>
  <c r="AK49" i="11" a="1"/>
  <c r="AK49" i="11" s="1"/>
  <c r="AK48" i="11" a="1"/>
  <c r="AK48" i="11" s="1"/>
  <c r="AK50" i="11" a="1"/>
  <c r="AK50" i="11" s="1"/>
  <c r="AK24" i="11" a="1"/>
  <c r="AK24" i="11" s="1"/>
  <c r="AK11" i="11" a="1"/>
  <c r="AK11" i="11" s="1"/>
  <c r="AK10" i="11" a="1"/>
  <c r="AK10" i="11" s="1"/>
  <c r="AK28" i="11" a="1"/>
  <c r="AK28" i="11" s="1"/>
  <c r="AK26" i="11" a="1"/>
  <c r="AK26" i="11" s="1"/>
  <c r="AK27" i="11" a="1"/>
  <c r="AK27" i="11" s="1"/>
  <c r="AK12" i="11" a="1"/>
  <c r="AK12" i="11" s="1"/>
  <c r="AL1" i="11"/>
  <c r="AS69" i="10"/>
  <c r="AG54" i="6"/>
  <c r="AS65" i="10"/>
  <c r="AS68" i="10"/>
  <c r="AS86" i="10"/>
  <c r="AS85" i="10"/>
  <c r="AS88" i="10"/>
  <c r="AS84" i="10"/>
  <c r="AS87" i="10"/>
  <c r="AS72" i="10"/>
  <c r="AH12" i="6"/>
  <c r="AH14" i="6" s="1"/>
  <c r="AH7" i="6"/>
  <c r="AT43" i="10"/>
  <c r="AT42" i="10"/>
  <c r="AT41" i="10"/>
  <c r="AT40" i="10"/>
  <c r="AT71" i="10" s="1"/>
  <c r="AT34" i="10"/>
  <c r="AT12" i="10"/>
  <c r="AT7" i="10"/>
  <c r="AT17" i="10"/>
  <c r="AT61" i="10"/>
  <c r="AT22" i="10"/>
  <c r="AT60" i="10"/>
  <c r="AT55" i="10"/>
  <c r="AT33" i="10"/>
  <c r="AT70" i="10" s="1"/>
  <c r="AT11" i="10"/>
  <c r="AT16" i="10"/>
  <c r="AT21" i="10"/>
  <c r="AT5" i="10"/>
  <c r="AT59" i="10"/>
  <c r="AT10" i="10"/>
  <c r="AT15" i="10"/>
  <c r="AT20" i="10"/>
  <c r="AT56" i="10"/>
  <c r="AT53" i="10"/>
  <c r="AT9" i="10"/>
  <c r="AT4" i="10"/>
  <c r="AT58" i="10"/>
  <c r="AT14" i="10"/>
  <c r="AT19" i="10"/>
  <c r="AT54" i="10"/>
  <c r="AT8" i="10"/>
  <c r="AU1" i="10"/>
  <c r="AT18" i="10"/>
  <c r="AT23" i="10"/>
  <c r="AT13" i="10"/>
  <c r="AT57" i="10"/>
  <c r="AJ71" i="11"/>
  <c r="AG20" i="6"/>
  <c r="AS81" i="9"/>
  <c r="AS82" i="9" s="1"/>
  <c r="BK4" i="6"/>
  <c r="BL5" i="6"/>
  <c r="AF40" i="6"/>
  <c r="AF64" i="6"/>
  <c r="AF65" i="6" s="1"/>
  <c r="AS70" i="10"/>
  <c r="AR73" i="10"/>
  <c r="AR74" i="10" s="1"/>
  <c r="AF48" i="6"/>
  <c r="AR43" i="6"/>
  <c r="AI51" i="12"/>
  <c r="AH8" i="6"/>
  <c r="AE165" i="12" a="1"/>
  <c r="AE165" i="11" a="1"/>
  <c r="AD182" i="12" a="1"/>
  <c r="AC182" i="12" a="1"/>
  <c r="AK71" i="11" l="1"/>
  <c r="AK51" i="11"/>
  <c r="AT73" i="9"/>
  <c r="AT74" i="9" s="1"/>
  <c r="AS89" i="10"/>
  <c r="AS90" i="10" s="1"/>
  <c r="AJ29" i="12"/>
  <c r="AG55" i="7"/>
  <c r="AH54" i="7" s="1"/>
  <c r="AD182" i="12"/>
  <c r="AE165" i="11"/>
  <c r="AE165" i="12"/>
  <c r="AC182" i="12"/>
  <c r="AI7" i="13"/>
  <c r="AI8" i="13" s="1"/>
  <c r="AT89" i="9"/>
  <c r="AT90" i="9" s="1"/>
  <c r="AG48" i="7"/>
  <c r="AS43" i="7"/>
  <c r="AJ51" i="12"/>
  <c r="AV59" i="9"/>
  <c r="AV14" i="9"/>
  <c r="AV58" i="9"/>
  <c r="AV42" i="9"/>
  <c r="AV8" i="9"/>
  <c r="AV63" i="9"/>
  <c r="AV13" i="9"/>
  <c r="AV57" i="9"/>
  <c r="AV18" i="9"/>
  <c r="AV41" i="9"/>
  <c r="AV56" i="9"/>
  <c r="AV12" i="9"/>
  <c r="AV62" i="9"/>
  <c r="AV17" i="9"/>
  <c r="AV55" i="9"/>
  <c r="AV40" i="9"/>
  <c r="AV35" i="9"/>
  <c r="AV11" i="9"/>
  <c r="AV5" i="9"/>
  <c r="AV61" i="9"/>
  <c r="AV54" i="9"/>
  <c r="AV16" i="9"/>
  <c r="AV44" i="9"/>
  <c r="AV48" i="9"/>
  <c r="AV15" i="9"/>
  <c r="AV19" i="9"/>
  <c r="AV9" i="9"/>
  <c r="AV7" i="9"/>
  <c r="AV4" i="9"/>
  <c r="AV53" i="9"/>
  <c r="AV34" i="9"/>
  <c r="AV20" i="9"/>
  <c r="AV33" i="9"/>
  <c r="AV70" i="9" s="1"/>
  <c r="AV10" i="9"/>
  <c r="AV60" i="9"/>
  <c r="AW1" i="9"/>
  <c r="AV43" i="9"/>
  <c r="AV36" i="9"/>
  <c r="AV21" i="9"/>
  <c r="AV64" i="9"/>
  <c r="AV37" i="9"/>
  <c r="AV38" i="9"/>
  <c r="AV45" i="9"/>
  <c r="AV49" i="9"/>
  <c r="AV46" i="9"/>
  <c r="AV22" i="9"/>
  <c r="AV50" i="9"/>
  <c r="AV47" i="9"/>
  <c r="AV23" i="9"/>
  <c r="AV51" i="9"/>
  <c r="AV24" i="9"/>
  <c r="AV25" i="9"/>
  <c r="AV26" i="9"/>
  <c r="AV27" i="9"/>
  <c r="AV28" i="9"/>
  <c r="AV29" i="9"/>
  <c r="AV30" i="9"/>
  <c r="AV31" i="9"/>
  <c r="AJ3" i="7" a="1"/>
  <c r="AJ3" i="7" s="1"/>
  <c r="AK1" i="7"/>
  <c r="AI7" i="7"/>
  <c r="AI12" i="7"/>
  <c r="AI14" i="7" s="1"/>
  <c r="AL177" i="11"/>
  <c r="AL92" i="11"/>
  <c r="AL176" i="11"/>
  <c r="AL80" i="11" a="1"/>
  <c r="AL80" i="11" s="1"/>
  <c r="AL96" i="11"/>
  <c r="AL68" i="11" a="1"/>
  <c r="AL68" i="11" s="1"/>
  <c r="AL70" i="11" a="1"/>
  <c r="AL70" i="11" s="1"/>
  <c r="AL77" i="11" a="1"/>
  <c r="AL77" i="11" s="1"/>
  <c r="AL69" i="11" a="1"/>
  <c r="AL69" i="11" s="1"/>
  <c r="AL50" i="11" a="1"/>
  <c r="AL50" i="11" s="1"/>
  <c r="AL48" i="11" a="1"/>
  <c r="AL48" i="11" s="1"/>
  <c r="AL49" i="11" a="1"/>
  <c r="AL49" i="11" s="1"/>
  <c r="AL78" i="11" a="1"/>
  <c r="AL78" i="11" s="1"/>
  <c r="AL24" i="11" a="1"/>
  <c r="AL24" i="11" s="1"/>
  <c r="AL12" i="11" a="1"/>
  <c r="AL12" i="11" s="1"/>
  <c r="AL27" i="11" a="1"/>
  <c r="AL27" i="11" s="1"/>
  <c r="AL26" i="11" a="1"/>
  <c r="AL26" i="11" s="1"/>
  <c r="AL10" i="11" a="1"/>
  <c r="AL10" i="11" s="1"/>
  <c r="AL11" i="11" a="1"/>
  <c r="AL11" i="11" s="1"/>
  <c r="AM1" i="11"/>
  <c r="AL28" i="11" a="1"/>
  <c r="AL28" i="11" s="1"/>
  <c r="AT81" i="9"/>
  <c r="AT82" i="9" s="1"/>
  <c r="AS81" i="10"/>
  <c r="AS82" i="10" s="1"/>
  <c r="AG37" i="6"/>
  <c r="AG52" i="6"/>
  <c r="AG55" i="6" s="1"/>
  <c r="AG18" i="6"/>
  <c r="AG21" i="6" s="1"/>
  <c r="AG45" i="6"/>
  <c r="AH9" i="6"/>
  <c r="AE181" i="11"/>
  <c r="AI9" i="3" a="1"/>
  <c r="AI9" i="3" s="1"/>
  <c r="AJ1" i="3"/>
  <c r="X27" i="13"/>
  <c r="X28" i="13" s="1"/>
  <c r="AU70" i="9"/>
  <c r="AK29" i="11"/>
  <c r="AK30" i="11" s="1"/>
  <c r="AJ13" i="12"/>
  <c r="AG39" i="6"/>
  <c r="AF67" i="6"/>
  <c r="AF68" i="6" s="1"/>
  <c r="AK1" i="15"/>
  <c r="AH9" i="7"/>
  <c r="AU69" i="9"/>
  <c r="AJ26" i="13"/>
  <c r="AJ6" i="13"/>
  <c r="AK1" i="13"/>
  <c r="AK177" i="12"/>
  <c r="AK176" i="12"/>
  <c r="AK80" i="12" a="1"/>
  <c r="AK80" i="12" s="1"/>
  <c r="AK92" i="12"/>
  <c r="AK78" i="12" a="1"/>
  <c r="AK78" i="12" s="1"/>
  <c r="AK69" i="12" a="1"/>
  <c r="AK69" i="12" s="1"/>
  <c r="AK77" i="12" a="1"/>
  <c r="AK77" i="12" s="1"/>
  <c r="AK96" i="12"/>
  <c r="AK70" i="12" a="1"/>
  <c r="AK70" i="12" s="1"/>
  <c r="AK68" i="12" a="1"/>
  <c r="AK68" i="12" s="1"/>
  <c r="AK50" i="12" a="1"/>
  <c r="AK50" i="12" s="1"/>
  <c r="AK49" i="12" a="1"/>
  <c r="AK49" i="12" s="1"/>
  <c r="AK48" i="12" a="1"/>
  <c r="AK48" i="12" s="1"/>
  <c r="AK12" i="12" a="1"/>
  <c r="AK12" i="12" s="1"/>
  <c r="AK28" i="12" a="1"/>
  <c r="AK28" i="12" s="1"/>
  <c r="AK27" i="12" a="1"/>
  <c r="AK27" i="12" s="1"/>
  <c r="AK24" i="12" a="1"/>
  <c r="AK24" i="12" s="1"/>
  <c r="AK10" i="12" a="1"/>
  <c r="AK10" i="12" s="1"/>
  <c r="AK11" i="12" a="1"/>
  <c r="AK11" i="12" s="1"/>
  <c r="AL1" i="12"/>
  <c r="AK26" i="12" a="1"/>
  <c r="AK26" i="12" s="1"/>
  <c r="AK13" i="11"/>
  <c r="AJ30" i="12"/>
  <c r="AU72" i="9"/>
  <c r="AU59" i="10"/>
  <c r="AU58" i="10"/>
  <c r="AU53" i="10"/>
  <c r="AU42" i="10"/>
  <c r="AU17" i="10"/>
  <c r="AU61" i="10"/>
  <c r="AU22" i="10"/>
  <c r="AU60" i="10"/>
  <c r="AU55" i="10"/>
  <c r="AU33" i="10"/>
  <c r="AU11" i="10"/>
  <c r="AU16" i="10"/>
  <c r="AU21" i="10"/>
  <c r="AU5" i="10"/>
  <c r="AU10" i="10"/>
  <c r="AU15" i="10"/>
  <c r="AU20" i="10"/>
  <c r="AU56" i="10"/>
  <c r="AU9" i="10"/>
  <c r="AU4" i="10"/>
  <c r="AU14" i="10"/>
  <c r="AU19" i="10"/>
  <c r="AU54" i="10"/>
  <c r="AU8" i="10"/>
  <c r="AV1" i="10"/>
  <c r="AU13" i="10"/>
  <c r="AU57" i="10"/>
  <c r="AU23" i="10"/>
  <c r="AU18" i="10"/>
  <c r="AU40" i="10"/>
  <c r="AU34" i="10"/>
  <c r="AU43" i="10"/>
  <c r="AU41" i="10"/>
  <c r="AU12" i="10"/>
  <c r="AU7" i="10"/>
  <c r="AT65" i="10"/>
  <c r="AT68" i="10"/>
  <c r="AT88" i="10"/>
  <c r="AT84" i="10"/>
  <c r="AT87" i="10"/>
  <c r="AT86" i="10"/>
  <c r="AT85" i="10"/>
  <c r="AT72" i="10"/>
  <c r="AS73" i="10"/>
  <c r="AS74" i="10" s="1"/>
  <c r="AJ3" i="6" a="1"/>
  <c r="AJ3" i="6" s="1"/>
  <c r="AK1" i="6"/>
  <c r="AU65" i="9"/>
  <c r="AU87" i="9"/>
  <c r="AU68" i="9"/>
  <c r="AU88" i="9"/>
  <c r="AU84" i="9"/>
  <c r="AU86" i="9"/>
  <c r="AU85" i="9"/>
  <c r="AH20" i="7"/>
  <c r="AU71" i="9"/>
  <c r="BM5" i="6"/>
  <c r="BL4" i="6"/>
  <c r="AT69" i="10"/>
  <c r="AE181" i="12"/>
  <c r="AI7" i="6"/>
  <c r="AI12" i="6"/>
  <c r="AI14" i="6" s="1"/>
  <c r="AG40" i="7"/>
  <c r="AG64" i="7"/>
  <c r="AG65" i="7" s="1"/>
  <c r="BN5" i="7"/>
  <c r="BM4" i="7"/>
  <c r="AI5" i="13"/>
  <c r="AI9" i="13" s="1"/>
  <c r="AJ4" i="13" s="1"/>
  <c r="AI25" i="13"/>
  <c r="AI11" i="13"/>
  <c r="AJ2" i="13"/>
  <c r="AE182" i="11" a="1"/>
  <c r="AE182" i="12" a="1"/>
  <c r="AL29" i="11" l="1"/>
  <c r="AL30" i="11" s="1"/>
  <c r="AK71" i="12"/>
  <c r="AK51" i="12"/>
  <c r="AG67" i="7"/>
  <c r="AG68" i="7" s="1"/>
  <c r="AE182" i="11"/>
  <c r="AE182" i="12"/>
  <c r="AJ7" i="13"/>
  <c r="AJ8" i="13" s="1"/>
  <c r="AH4" i="12" a="1"/>
  <c r="AH4" i="12" s="1"/>
  <c r="AH5" i="12" s="1"/>
  <c r="AH54" i="6"/>
  <c r="AV71" i="9"/>
  <c r="BN5" i="6"/>
  <c r="BM4" i="6"/>
  <c r="AT89" i="10"/>
  <c r="AT90" i="10" s="1"/>
  <c r="AV65" i="9"/>
  <c r="AV87" i="9"/>
  <c r="AV68" i="9"/>
  <c r="AV84" i="9"/>
  <c r="AV88" i="9"/>
  <c r="AV85" i="9"/>
  <c r="AV86" i="9"/>
  <c r="AJ25" i="13"/>
  <c r="AJ11" i="13"/>
  <c r="AJ5" i="13"/>
  <c r="AK2" i="13"/>
  <c r="AK3" i="7" a="1"/>
  <c r="AK3" i="7" s="1"/>
  <c r="AL1" i="7"/>
  <c r="AV69" i="9"/>
  <c r="AV72" i="9"/>
  <c r="AL51" i="11"/>
  <c r="AJ7" i="7"/>
  <c r="AJ12" i="7"/>
  <c r="AJ14" i="7" s="1"/>
  <c r="AT73" i="10"/>
  <c r="AT74" i="10" s="1"/>
  <c r="AV61" i="10"/>
  <c r="AV60" i="10"/>
  <c r="AV57" i="10"/>
  <c r="AV54" i="10"/>
  <c r="AV22" i="10"/>
  <c r="AV55" i="10"/>
  <c r="AV33" i="10"/>
  <c r="AV70" i="10" s="1"/>
  <c r="AV11" i="10"/>
  <c r="AV16" i="10"/>
  <c r="AV21" i="10"/>
  <c r="AV5" i="10"/>
  <c r="AV10" i="10"/>
  <c r="AV59" i="10"/>
  <c r="AV15" i="10"/>
  <c r="AV20" i="10"/>
  <c r="AV56" i="10"/>
  <c r="AV9" i="10"/>
  <c r="AV4" i="10"/>
  <c r="AV53" i="10"/>
  <c r="AV14" i="10"/>
  <c r="AV58" i="10"/>
  <c r="AV19" i="10"/>
  <c r="AV8" i="10"/>
  <c r="AW1" i="10"/>
  <c r="AV13" i="10"/>
  <c r="AV18" i="10"/>
  <c r="AV43" i="10"/>
  <c r="AV41" i="10"/>
  <c r="AV40" i="10"/>
  <c r="AV34" i="10"/>
  <c r="AV12" i="10"/>
  <c r="AV7" i="10"/>
  <c r="AV42" i="10"/>
  <c r="AV17" i="10"/>
  <c r="AV23" i="10"/>
  <c r="AI8" i="7"/>
  <c r="AI9" i="7" s="1"/>
  <c r="AU71" i="10"/>
  <c r="AG4" i="11" a="1"/>
  <c r="AG4" i="11" s="1"/>
  <c r="AG5" i="11" s="1"/>
  <c r="AT81" i="10"/>
  <c r="AT82" i="10" s="1"/>
  <c r="AK29" i="12"/>
  <c r="AK30" i="12" s="1"/>
  <c r="AU70" i="10"/>
  <c r="BN4" i="7"/>
  <c r="BO5" i="7"/>
  <c r="AL177" i="12"/>
  <c r="AL176" i="12"/>
  <c r="AL92" i="12"/>
  <c r="AL80" i="12" a="1"/>
  <c r="AL80" i="12" s="1"/>
  <c r="AL70" i="12" a="1"/>
  <c r="AL70" i="12" s="1"/>
  <c r="AL78" i="12" a="1"/>
  <c r="AL78" i="12" s="1"/>
  <c r="AL77" i="12" a="1"/>
  <c r="AL77" i="12" s="1"/>
  <c r="AL96" i="12"/>
  <c r="AL68" i="12" a="1"/>
  <c r="AL68" i="12" s="1"/>
  <c r="AL50" i="12" a="1"/>
  <c r="AL50" i="12" s="1"/>
  <c r="AL49" i="12" a="1"/>
  <c r="AL49" i="12" s="1"/>
  <c r="AL48" i="12" a="1"/>
  <c r="AL48" i="12" s="1"/>
  <c r="AL69" i="12" a="1"/>
  <c r="AL69" i="12" s="1"/>
  <c r="AL11" i="12" a="1"/>
  <c r="AL11" i="12" s="1"/>
  <c r="AL28" i="12" a="1"/>
  <c r="AL28" i="12" s="1"/>
  <c r="AL27" i="12" a="1"/>
  <c r="AL27" i="12" s="1"/>
  <c r="AL26" i="12" a="1"/>
  <c r="AL26" i="12" s="1"/>
  <c r="AL24" i="12" a="1"/>
  <c r="AL24" i="12" s="1"/>
  <c r="AL10" i="12" a="1"/>
  <c r="AL10" i="12" s="1"/>
  <c r="AL12" i="12" a="1"/>
  <c r="AL12" i="12" s="1"/>
  <c r="AM1" i="12"/>
  <c r="AL1" i="15"/>
  <c r="AI8" i="6"/>
  <c r="AI9" i="6" s="1"/>
  <c r="AL71" i="11"/>
  <c r="AH20" i="6"/>
  <c r="AK3" i="6" a="1"/>
  <c r="AK3" i="6" s="1"/>
  <c r="AL1" i="6"/>
  <c r="AM177" i="11"/>
  <c r="AM176" i="11"/>
  <c r="AM80" i="11" a="1"/>
  <c r="AM80" i="11" s="1"/>
  <c r="AM96" i="11"/>
  <c r="AM78" i="11" a="1"/>
  <c r="AM78" i="11" s="1"/>
  <c r="AM70" i="11" a="1"/>
  <c r="AM70" i="11" s="1"/>
  <c r="AM92" i="11"/>
  <c r="AM77" i="11" a="1"/>
  <c r="AM77" i="11" s="1"/>
  <c r="AM69" i="11" a="1"/>
  <c r="AM69" i="11" s="1"/>
  <c r="AM50" i="11" a="1"/>
  <c r="AM50" i="11" s="1"/>
  <c r="AM48" i="11" a="1"/>
  <c r="AM48" i="11" s="1"/>
  <c r="AM49" i="11" a="1"/>
  <c r="AM49" i="11" s="1"/>
  <c r="AM68" i="11" a="1"/>
  <c r="AM68" i="11" s="1"/>
  <c r="AM24" i="11" a="1"/>
  <c r="AM24" i="11" s="1"/>
  <c r="AM11" i="11" a="1"/>
  <c r="AM11" i="11" s="1"/>
  <c r="AM10" i="11" a="1"/>
  <c r="AM10" i="11" s="1"/>
  <c r="AM27" i="11" a="1"/>
  <c r="AM27" i="11" s="1"/>
  <c r="AM26" i="11" a="1"/>
  <c r="AM26" i="11" s="1"/>
  <c r="AM28" i="11" a="1"/>
  <c r="AM28" i="11" s="1"/>
  <c r="AM12" i="11" a="1"/>
  <c r="AM12" i="11" s="1"/>
  <c r="AN1" i="11"/>
  <c r="AH45" i="7"/>
  <c r="AH37" i="7"/>
  <c r="AH52" i="7"/>
  <c r="AH55" i="7" s="1"/>
  <c r="AH18" i="7"/>
  <c r="AH21" i="7" s="1"/>
  <c r="AJ12" i="6"/>
  <c r="AJ14" i="6" s="1"/>
  <c r="AJ7" i="6"/>
  <c r="AU65" i="10"/>
  <c r="AU81" i="10"/>
  <c r="AU82" i="10" s="1"/>
  <c r="AU68" i="10"/>
  <c r="AU73" i="10" s="1"/>
  <c r="AU74" i="10" s="1"/>
  <c r="AU88" i="10"/>
  <c r="AU84" i="10"/>
  <c r="AU89" i="10" s="1"/>
  <c r="AU90" i="10" s="1"/>
  <c r="AU87" i="10"/>
  <c r="AU86" i="10"/>
  <c r="AU85" i="10"/>
  <c r="AK13" i="12"/>
  <c r="AW19" i="9"/>
  <c r="AW58" i="9"/>
  <c r="AW42" i="9"/>
  <c r="AW63" i="9"/>
  <c r="AW13" i="9"/>
  <c r="AW57" i="9"/>
  <c r="AW36" i="9"/>
  <c r="AW18" i="9"/>
  <c r="AW41" i="9"/>
  <c r="AW7" i="9"/>
  <c r="AW69" i="9" s="1"/>
  <c r="AW56" i="9"/>
  <c r="AW62" i="9"/>
  <c r="AW17" i="9"/>
  <c r="AW55" i="9"/>
  <c r="AW40" i="9"/>
  <c r="AW35" i="9"/>
  <c r="AW11" i="9"/>
  <c r="AW5" i="9"/>
  <c r="AW61" i="9"/>
  <c r="AW54" i="9"/>
  <c r="AW16" i="9"/>
  <c r="AW34" i="9"/>
  <c r="AW60" i="9"/>
  <c r="AW53" i="9"/>
  <c r="AW48" i="9"/>
  <c r="AW15" i="9"/>
  <c r="AW9" i="9"/>
  <c r="AW4" i="9"/>
  <c r="AW20" i="9"/>
  <c r="AW33" i="9"/>
  <c r="AW38" i="9"/>
  <c r="AW14" i="9"/>
  <c r="AW10" i="9"/>
  <c r="AW59" i="9"/>
  <c r="AW44" i="9"/>
  <c r="AW43" i="9"/>
  <c r="AW37" i="9"/>
  <c r="AW12" i="9"/>
  <c r="AW8" i="9"/>
  <c r="AX1" i="9"/>
  <c r="AW21" i="9"/>
  <c r="AW64" i="9"/>
  <c r="AW49" i="9"/>
  <c r="AW45" i="9"/>
  <c r="AW46" i="9"/>
  <c r="AW22" i="9"/>
  <c r="AW50" i="9"/>
  <c r="AW23" i="9"/>
  <c r="AW47" i="9"/>
  <c r="AW51" i="9"/>
  <c r="AW24" i="9"/>
  <c r="AW25" i="9"/>
  <c r="AW26" i="9"/>
  <c r="AW27" i="9"/>
  <c r="AW28" i="9"/>
  <c r="AW29" i="9"/>
  <c r="AW30" i="9"/>
  <c r="AW31" i="9"/>
  <c r="AK26" i="13"/>
  <c r="AK6" i="13"/>
  <c r="AL1" i="13"/>
  <c r="AU89" i="9"/>
  <c r="AU90" i="9" s="1"/>
  <c r="AH39" i="7"/>
  <c r="AU81" i="9"/>
  <c r="AU82" i="9" s="1"/>
  <c r="AU69" i="10"/>
  <c r="AU72" i="10"/>
  <c r="X29" i="13"/>
  <c r="Y24" i="13" s="1"/>
  <c r="AG48" i="6"/>
  <c r="AS43" i="6"/>
  <c r="AG40" i="6"/>
  <c r="AG64" i="6"/>
  <c r="AG65" i="6" s="1"/>
  <c r="AU73" i="9"/>
  <c r="AU74" i="9" s="1"/>
  <c r="AK1" i="3"/>
  <c r="AJ9" i="3" a="1"/>
  <c r="AJ9" i="3" s="1"/>
  <c r="AL13" i="11"/>
  <c r="AG67" i="6" l="1"/>
  <c r="AG68" i="6" s="1"/>
  <c r="AM71" i="11"/>
  <c r="AL29" i="12"/>
  <c r="AL30" i="12" s="1"/>
  <c r="AJ8" i="7"/>
  <c r="AJ9" i="7" s="1"/>
  <c r="AH4" i="11" a="1"/>
  <c r="AH4" i="11" s="1"/>
  <c r="AH5" i="11" s="1"/>
  <c r="AJ8" i="6"/>
  <c r="AJ9" i="6" s="1"/>
  <c r="Y29" i="13"/>
  <c r="Z24" i="13" s="1"/>
  <c r="Y27" i="13"/>
  <c r="Y28" i="13" s="1"/>
  <c r="AK9" i="3" a="1"/>
  <c r="AK9" i="3" s="1"/>
  <c r="AL1" i="3"/>
  <c r="AL51" i="12"/>
  <c r="AV72" i="10"/>
  <c r="AV89" i="9"/>
  <c r="AV90" i="9" s="1"/>
  <c r="BP5" i="7"/>
  <c r="BO4" i="7"/>
  <c r="AM1" i="15"/>
  <c r="AV65" i="10"/>
  <c r="AV68" i="10"/>
  <c r="AV84" i="10"/>
  <c r="AV87" i="10"/>
  <c r="AV86" i="10"/>
  <c r="AV85" i="10"/>
  <c r="AV88" i="10"/>
  <c r="AV73" i="9"/>
  <c r="AV74" i="9" s="1"/>
  <c r="AL71" i="12"/>
  <c r="AV69" i="10"/>
  <c r="AV81" i="9"/>
  <c r="AV82" i="9" s="1"/>
  <c r="BN4" i="6"/>
  <c r="BO5" i="6"/>
  <c r="AN177" i="11"/>
  <c r="AN176" i="11"/>
  <c r="AN80" i="11" a="1"/>
  <c r="AN80" i="11" s="1"/>
  <c r="AN96" i="11"/>
  <c r="AN78" i="11" a="1"/>
  <c r="AN78" i="11" s="1"/>
  <c r="AN77" i="11" a="1"/>
  <c r="AN77" i="11" s="1"/>
  <c r="AN70" i="11" a="1"/>
  <c r="AN70" i="11" s="1"/>
  <c r="AN92" i="11"/>
  <c r="AN69" i="11" a="1"/>
  <c r="AN69" i="11" s="1"/>
  <c r="AN49" i="11" a="1"/>
  <c r="AN49" i="11" s="1"/>
  <c r="AN68" i="11" a="1"/>
  <c r="AN68" i="11" s="1"/>
  <c r="AN50" i="11" a="1"/>
  <c r="AN50" i="11" s="1"/>
  <c r="AN24" i="11" a="1"/>
  <c r="AN24" i="11" s="1"/>
  <c r="AN12" i="11" a="1"/>
  <c r="AN12" i="11" s="1"/>
  <c r="AN48" i="11" a="1"/>
  <c r="AN48" i="11" s="1"/>
  <c r="AN27" i="11" a="1"/>
  <c r="AN27" i="11" s="1"/>
  <c r="AN26" i="11" a="1"/>
  <c r="AN26" i="11" s="1"/>
  <c r="AN28" i="11" a="1"/>
  <c r="AN28" i="11" s="1"/>
  <c r="AN11" i="11" a="1"/>
  <c r="AN11" i="11" s="1"/>
  <c r="AO1" i="11"/>
  <c r="AN10" i="11" a="1"/>
  <c r="AN10" i="11" s="1"/>
  <c r="AK7" i="7"/>
  <c r="AK12" i="7"/>
  <c r="AK14" i="7" s="1"/>
  <c r="AW71" i="9"/>
  <c r="AM1" i="6"/>
  <c r="AL3" i="6" a="1"/>
  <c r="AL3" i="6" s="1"/>
  <c r="AM177" i="12"/>
  <c r="AM176" i="12"/>
  <c r="AM96" i="12"/>
  <c r="AM78" i="12" a="1"/>
  <c r="AM78" i="12" s="1"/>
  <c r="AM69" i="12" a="1"/>
  <c r="AM69" i="12" s="1"/>
  <c r="AM77" i="12" a="1"/>
  <c r="AM77" i="12" s="1"/>
  <c r="AM80" i="12" a="1"/>
  <c r="AM80" i="12" s="1"/>
  <c r="AM70" i="12" a="1"/>
  <c r="AM70" i="12" s="1"/>
  <c r="AM68" i="12" a="1"/>
  <c r="AM68" i="12" s="1"/>
  <c r="AM49" i="12" a="1"/>
  <c r="AM49" i="12" s="1"/>
  <c r="AM48" i="12" a="1"/>
  <c r="AM48" i="12" s="1"/>
  <c r="AM92" i="12"/>
  <c r="AM28" i="12" a="1"/>
  <c r="AM28" i="12" s="1"/>
  <c r="AM27" i="12" a="1"/>
  <c r="AM27" i="12" s="1"/>
  <c r="AM26" i="12" a="1"/>
  <c r="AM26" i="12" s="1"/>
  <c r="AM50" i="12" a="1"/>
  <c r="AM50" i="12" s="1"/>
  <c r="AM24" i="12" a="1"/>
  <c r="AM24" i="12" s="1"/>
  <c r="AM10" i="12" a="1"/>
  <c r="AM10" i="12" s="1"/>
  <c r="AM11" i="12" a="1"/>
  <c r="AM11" i="12" s="1"/>
  <c r="AM12" i="12" a="1"/>
  <c r="AM12" i="12" s="1"/>
  <c r="AN1" i="12"/>
  <c r="AV71" i="10"/>
  <c r="AW72" i="9"/>
  <c r="AM51" i="11"/>
  <c r="AW70" i="9"/>
  <c r="AK7" i="6"/>
  <c r="AK12" i="6"/>
  <c r="AK14" i="6" s="1"/>
  <c r="AJ9" i="13"/>
  <c r="AK4" i="13" s="1"/>
  <c r="AW59" i="10"/>
  <c r="AW58" i="10"/>
  <c r="AW61" i="10"/>
  <c r="AW55" i="10"/>
  <c r="AW33" i="10"/>
  <c r="AW11" i="10"/>
  <c r="AW60" i="10"/>
  <c r="AW16" i="10"/>
  <c r="AW21" i="10"/>
  <c r="AW5" i="10"/>
  <c r="AW10" i="10"/>
  <c r="AW15" i="10"/>
  <c r="AW20" i="10"/>
  <c r="AW56" i="10"/>
  <c r="AW9" i="10"/>
  <c r="AW4" i="10"/>
  <c r="AW53" i="10"/>
  <c r="AW14" i="10"/>
  <c r="AW19" i="10"/>
  <c r="AW8" i="10"/>
  <c r="AX1" i="10"/>
  <c r="AW54" i="10"/>
  <c r="AW13" i="10"/>
  <c r="AW18" i="10"/>
  <c r="AW23" i="10"/>
  <c r="AW42" i="10"/>
  <c r="AW17" i="10"/>
  <c r="AW40" i="10"/>
  <c r="AW71" i="10" s="1"/>
  <c r="AW34" i="10"/>
  <c r="AW43" i="10"/>
  <c r="AW22" i="10"/>
  <c r="AW41" i="10"/>
  <c r="AW12" i="10"/>
  <c r="AW7" i="10"/>
  <c r="AW57" i="10"/>
  <c r="AH52" i="6"/>
  <c r="AH55" i="6" s="1"/>
  <c r="AH37" i="6"/>
  <c r="AH18" i="6"/>
  <c r="AH21" i="6" s="1"/>
  <c r="AH45" i="6"/>
  <c r="AI20" i="7"/>
  <c r="AM29" i="11"/>
  <c r="AM30" i="11" s="1"/>
  <c r="AT43" i="7"/>
  <c r="AH48" i="7"/>
  <c r="AX58" i="9"/>
  <c r="AX42" i="9"/>
  <c r="AX8" i="9"/>
  <c r="AX63" i="9"/>
  <c r="AX57" i="9"/>
  <c r="AX18" i="9"/>
  <c r="AX41" i="9"/>
  <c r="AX7" i="9"/>
  <c r="AX56" i="9"/>
  <c r="AX12" i="9"/>
  <c r="AX62" i="9"/>
  <c r="AX55" i="9"/>
  <c r="AX40" i="9"/>
  <c r="AX35" i="9"/>
  <c r="AX11" i="9"/>
  <c r="AX5" i="9"/>
  <c r="AX61" i="9"/>
  <c r="AX54" i="9"/>
  <c r="AX16" i="9"/>
  <c r="AX34" i="9"/>
  <c r="AX44" i="9"/>
  <c r="AX10" i="9"/>
  <c r="AX4" i="9"/>
  <c r="AX33" i="9"/>
  <c r="AX15" i="9"/>
  <c r="AX19" i="9"/>
  <c r="AX9" i="9"/>
  <c r="AX13" i="9"/>
  <c r="AX17" i="9"/>
  <c r="AX53" i="9"/>
  <c r="AX72" i="9" s="1"/>
  <c r="AX20" i="9"/>
  <c r="AX14" i="9"/>
  <c r="AX60" i="9"/>
  <c r="AX59" i="9"/>
  <c r="AX43" i="9"/>
  <c r="AX37" i="9"/>
  <c r="AY1" i="9"/>
  <c r="AX64" i="9"/>
  <c r="AX48" i="9"/>
  <c r="AX49" i="9"/>
  <c r="AX21" i="9"/>
  <c r="AX45" i="9"/>
  <c r="AX36" i="9"/>
  <c r="AX38" i="9"/>
  <c r="AX46" i="9"/>
  <c r="AX50" i="9"/>
  <c r="AX22" i="9"/>
  <c r="AX23" i="9"/>
  <c r="AX47" i="9"/>
  <c r="AX51" i="9"/>
  <c r="AX24" i="9"/>
  <c r="AX25" i="9"/>
  <c r="AX26" i="9"/>
  <c r="AX27" i="9"/>
  <c r="AX28" i="9"/>
  <c r="AX29" i="9"/>
  <c r="AX30" i="9"/>
  <c r="AX31" i="9"/>
  <c r="AL26" i="13"/>
  <c r="AM1" i="13"/>
  <c r="AL6" i="13"/>
  <c r="AH39" i="6"/>
  <c r="AW65" i="9"/>
  <c r="AW87" i="9"/>
  <c r="AW68" i="9"/>
  <c r="AW88" i="9"/>
  <c r="AW85" i="9"/>
  <c r="AW86" i="9"/>
  <c r="AW84" i="9"/>
  <c r="AI54" i="7"/>
  <c r="AL13" i="12"/>
  <c r="AK25" i="13"/>
  <c r="AK11" i="13"/>
  <c r="AL2" i="13"/>
  <c r="AK5" i="13"/>
  <c r="AH40" i="7"/>
  <c r="AH64" i="7"/>
  <c r="AH65" i="7" s="1"/>
  <c r="AM13" i="11"/>
  <c r="AL3" i="7" a="1"/>
  <c r="AL3" i="7" s="1"/>
  <c r="AM1" i="7"/>
  <c r="AN71" i="11" l="1"/>
  <c r="AN51" i="11"/>
  <c r="AM13" i="12"/>
  <c r="AV81" i="10"/>
  <c r="AV82" i="10" s="1"/>
  <c r="AM71" i="12"/>
  <c r="AK8" i="6"/>
  <c r="AK9" i="6" s="1"/>
  <c r="AI39" i="7"/>
  <c r="AH67" i="7"/>
  <c r="AH68" i="7" s="1"/>
  <c r="AM51" i="12"/>
  <c r="AM26" i="13"/>
  <c r="AM6" i="13"/>
  <c r="AN1" i="13"/>
  <c r="AO177" i="11"/>
  <c r="AO176" i="11"/>
  <c r="AO80" i="11" a="1"/>
  <c r="AO80" i="11" s="1"/>
  <c r="AO96" i="11"/>
  <c r="AO92" i="11"/>
  <c r="AO70" i="11" a="1"/>
  <c r="AO70" i="11" s="1"/>
  <c r="AO50" i="11" a="1"/>
  <c r="AO50" i="11" s="1"/>
  <c r="AO69" i="11" a="1"/>
  <c r="AO69" i="11" s="1"/>
  <c r="AO77" i="11" a="1"/>
  <c r="AO77" i="11" s="1"/>
  <c r="AO49" i="11" a="1"/>
  <c r="AO49" i="11" s="1"/>
  <c r="AO28" i="11" a="1"/>
  <c r="AO28" i="11" s="1"/>
  <c r="AO78" i="11" a="1"/>
  <c r="AO78" i="11" s="1"/>
  <c r="AO68" i="11" a="1"/>
  <c r="AO68" i="11" s="1"/>
  <c r="AO10" i="11" a="1"/>
  <c r="AO10" i="11" s="1"/>
  <c r="AO48" i="11" a="1"/>
  <c r="AO48" i="11" s="1"/>
  <c r="AO27" i="11" a="1"/>
  <c r="AO27" i="11" s="1"/>
  <c r="AO26" i="11" a="1"/>
  <c r="AO26" i="11" s="1"/>
  <c r="AO11" i="11" a="1"/>
  <c r="AO11" i="11" s="1"/>
  <c r="AO12" i="11" a="1"/>
  <c r="AO12" i="11" s="1"/>
  <c r="AO24" i="11" a="1"/>
  <c r="AO24" i="11" s="1"/>
  <c r="AP1" i="11"/>
  <c r="AH48" i="6"/>
  <c r="AT43" i="6"/>
  <c r="AV89" i="10"/>
  <c r="AV90" i="10" s="1"/>
  <c r="Z27" i="13"/>
  <c r="Z28" i="13" s="1"/>
  <c r="AW73" i="9"/>
  <c r="AW74" i="9" s="1"/>
  <c r="AI20" i="6"/>
  <c r="AX65" i="9"/>
  <c r="AX68" i="9"/>
  <c r="AX87" i="9"/>
  <c r="AX86" i="9"/>
  <c r="AX85" i="9"/>
  <c r="AX88" i="9"/>
  <c r="AX84" i="9"/>
  <c r="AH40" i="6"/>
  <c r="AH64" i="6"/>
  <c r="AH65" i="6" s="1"/>
  <c r="AN177" i="12"/>
  <c r="AN176" i="12"/>
  <c r="AN96" i="12"/>
  <c r="AN92" i="12"/>
  <c r="AN78" i="12" a="1"/>
  <c r="AN78" i="12" s="1"/>
  <c r="AN70" i="12" a="1"/>
  <c r="AN70" i="12" s="1"/>
  <c r="AN68" i="12" a="1"/>
  <c r="AN68" i="12" s="1"/>
  <c r="AN69" i="12" a="1"/>
  <c r="AN69" i="12" s="1"/>
  <c r="AN77" i="12" a="1"/>
  <c r="AN77" i="12" s="1"/>
  <c r="AN49" i="12" a="1"/>
  <c r="AN49" i="12" s="1"/>
  <c r="AN48" i="12" a="1"/>
  <c r="AN48" i="12" s="1"/>
  <c r="AN80" i="12" a="1"/>
  <c r="AN80" i="12" s="1"/>
  <c r="AN26" i="12" a="1"/>
  <c r="AN26" i="12" s="1"/>
  <c r="AN29" i="12" s="1"/>
  <c r="AN30" i="12" s="1"/>
  <c r="AN50" i="12" a="1"/>
  <c r="AN50" i="12" s="1"/>
  <c r="AN24" i="12" a="1"/>
  <c r="AN24" i="12" s="1"/>
  <c r="AN28" i="12" a="1"/>
  <c r="AN28" i="12" s="1"/>
  <c r="AN11" i="12" a="1"/>
  <c r="AN11" i="12" s="1"/>
  <c r="AN12" i="12" a="1"/>
  <c r="AN12" i="12" s="1"/>
  <c r="AN27" i="12" a="1"/>
  <c r="AN27" i="12" s="1"/>
  <c r="AO1" i="12"/>
  <c r="AN10" i="12" a="1"/>
  <c r="AN10" i="12" s="1"/>
  <c r="BP5" i="6"/>
  <c r="BO4" i="6"/>
  <c r="AW81" i="9"/>
  <c r="AW82" i="9" s="1"/>
  <c r="AW70" i="10"/>
  <c r="AN29" i="11"/>
  <c r="AN30" i="11" s="1"/>
  <c r="AX69" i="9"/>
  <c r="AX60" i="10"/>
  <c r="AX57" i="10"/>
  <c r="AX59" i="10"/>
  <c r="AX58" i="10"/>
  <c r="AX41" i="10"/>
  <c r="AX16" i="10"/>
  <c r="AX21" i="10"/>
  <c r="AX5" i="10"/>
  <c r="AX10" i="10"/>
  <c r="AX15" i="10"/>
  <c r="AX20" i="10"/>
  <c r="AX56" i="10"/>
  <c r="AX9" i="10"/>
  <c r="AX4" i="10"/>
  <c r="AX53" i="10"/>
  <c r="AX14" i="10"/>
  <c r="AX19" i="10"/>
  <c r="AX8" i="10"/>
  <c r="AY1" i="10"/>
  <c r="AX54" i="10"/>
  <c r="AX13" i="10"/>
  <c r="AX18" i="10"/>
  <c r="AX23" i="10"/>
  <c r="AX43" i="10"/>
  <c r="AX40" i="10"/>
  <c r="AX34" i="10"/>
  <c r="AX12" i="10"/>
  <c r="AX7" i="10"/>
  <c r="AX22" i="10"/>
  <c r="AX61" i="10"/>
  <c r="AX42" i="10"/>
  <c r="AX33" i="10"/>
  <c r="AX11" i="10"/>
  <c r="AX17" i="10"/>
  <c r="AX55" i="10"/>
  <c r="AY63" i="9"/>
  <c r="AY13" i="9"/>
  <c r="AY57" i="9"/>
  <c r="AY41" i="9"/>
  <c r="AY7" i="9"/>
  <c r="AY56" i="9"/>
  <c r="AY12" i="9"/>
  <c r="AY62" i="9"/>
  <c r="AY17" i="9"/>
  <c r="AY55" i="9"/>
  <c r="AY40" i="9"/>
  <c r="AY71" i="9" s="1"/>
  <c r="AY35" i="9"/>
  <c r="AY11" i="9"/>
  <c r="AY5" i="9"/>
  <c r="AY61" i="9"/>
  <c r="AY54" i="9"/>
  <c r="AY16" i="9"/>
  <c r="AY34" i="9"/>
  <c r="AY44" i="9"/>
  <c r="AY10" i="9"/>
  <c r="AY4" i="9"/>
  <c r="AY60" i="9"/>
  <c r="AY53" i="9"/>
  <c r="AY48" i="9"/>
  <c r="AY15" i="9"/>
  <c r="AY43" i="9"/>
  <c r="AY36" i="9"/>
  <c r="AY19" i="9"/>
  <c r="AY9" i="9"/>
  <c r="AY20" i="9"/>
  <c r="AY33" i="9"/>
  <c r="AY14" i="9"/>
  <c r="AY59" i="9"/>
  <c r="AY37" i="9"/>
  <c r="AY18" i="9"/>
  <c r="AZ1" i="9"/>
  <c r="AY8" i="9"/>
  <c r="AY58" i="9"/>
  <c r="AY42" i="9"/>
  <c r="AY38" i="9"/>
  <c r="AY49" i="9"/>
  <c r="AY45" i="9"/>
  <c r="AY64" i="9"/>
  <c r="AY21" i="9"/>
  <c r="AY50" i="9"/>
  <c r="AY22" i="9"/>
  <c r="AY46" i="9"/>
  <c r="AY47" i="9"/>
  <c r="AY51" i="9"/>
  <c r="AY23" i="9"/>
  <c r="AY24" i="9"/>
  <c r="AY25" i="9"/>
  <c r="AY26" i="9"/>
  <c r="AY27" i="9"/>
  <c r="AY28" i="9"/>
  <c r="AY29" i="9"/>
  <c r="AY30" i="9"/>
  <c r="AY31" i="9"/>
  <c r="AL7" i="6"/>
  <c r="AL12" i="6"/>
  <c r="AL14" i="6" s="1"/>
  <c r="AV73" i="10"/>
  <c r="AV74" i="10" s="1"/>
  <c r="AL9" i="3" a="1"/>
  <c r="AL9" i="3" s="1"/>
  <c r="AN1" i="6"/>
  <c r="AM3" i="6" a="1"/>
  <c r="AM3" i="6" s="1"/>
  <c r="AX71" i="9"/>
  <c r="AK8" i="7"/>
  <c r="AK9" i="7" s="1"/>
  <c r="BP4" i="7"/>
  <c r="BQ5" i="7"/>
  <c r="AW72" i="10"/>
  <c r="AX70" i="9"/>
  <c r="AL25" i="13"/>
  <c r="AL11" i="13"/>
  <c r="AM2" i="13"/>
  <c r="AL5" i="13"/>
  <c r="AI54" i="6"/>
  <c r="AN1" i="7"/>
  <c r="AM3" i="7" a="1"/>
  <c r="AM3" i="7" s="1"/>
  <c r="AW65" i="10"/>
  <c r="AW68" i="10"/>
  <c r="AW87" i="10"/>
  <c r="AW86" i="10"/>
  <c r="AW85" i="10"/>
  <c r="AW88" i="10"/>
  <c r="AW84" i="10"/>
  <c r="AK7" i="13"/>
  <c r="AK8" i="13" s="1"/>
  <c r="AW69" i="10"/>
  <c r="AM29" i="12"/>
  <c r="AM30" i="12" s="1"/>
  <c r="AN1" i="15"/>
  <c r="AI45" i="7"/>
  <c r="AI37" i="7"/>
  <c r="AI18" i="7"/>
  <c r="AI21" i="7" s="1"/>
  <c r="AI52" i="7"/>
  <c r="AI55" i="7" s="1"/>
  <c r="AL7" i="7"/>
  <c r="AL12" i="7"/>
  <c r="AL14" i="7" s="1"/>
  <c r="AW89" i="9"/>
  <c r="AW90" i="9" s="1"/>
  <c r="AN13" i="11"/>
  <c r="AX89" i="9" l="1"/>
  <c r="AX90" i="9" s="1"/>
  <c r="AO71" i="11"/>
  <c r="AW89" i="10"/>
  <c r="AW90" i="10" s="1"/>
  <c r="AW81" i="10"/>
  <c r="AW82" i="10" s="1"/>
  <c r="AH67" i="6"/>
  <c r="AH68" i="6" s="1"/>
  <c r="AI4" i="11" s="1" a="1"/>
  <c r="AI4" i="11" s="1"/>
  <c r="AI5" i="11" s="1"/>
  <c r="AL8" i="7"/>
  <c r="AL9" i="7" s="1"/>
  <c r="AI52" i="6"/>
  <c r="AI55" i="6" s="1"/>
  <c r="AI18" i="6"/>
  <c r="AI21" i="6" s="1"/>
  <c r="AI45" i="6"/>
  <c r="AI37" i="6"/>
  <c r="AO1" i="6"/>
  <c r="AN3" i="6" a="1"/>
  <c r="AN3" i="6" s="1"/>
  <c r="AY72" i="9"/>
  <c r="AX71" i="10"/>
  <c r="BP4" i="6"/>
  <c r="BQ5" i="6"/>
  <c r="AX69" i="10"/>
  <c r="AY65" i="9"/>
  <c r="AY87" i="9"/>
  <c r="AY68" i="9"/>
  <c r="AY88" i="9"/>
  <c r="AY85" i="9"/>
  <c r="AY86" i="9"/>
  <c r="AY84" i="9"/>
  <c r="AY69" i="9"/>
  <c r="AX81" i="9"/>
  <c r="AX82" i="9" s="1"/>
  <c r="AI4" i="12" a="1"/>
  <c r="AI4" i="12" s="1"/>
  <c r="AI5" i="12" s="1"/>
  <c r="AI48" i="7"/>
  <c r="AU43" i="7"/>
  <c r="AN51" i="12"/>
  <c r="AZ57" i="9"/>
  <c r="AZ36" i="9"/>
  <c r="AZ18" i="9"/>
  <c r="AZ41" i="9"/>
  <c r="AZ56" i="9"/>
  <c r="AZ12" i="9"/>
  <c r="AZ62" i="9"/>
  <c r="AZ17" i="9"/>
  <c r="AZ55" i="9"/>
  <c r="AZ40" i="9"/>
  <c r="AZ35" i="9"/>
  <c r="AZ61" i="9"/>
  <c r="AZ54" i="9"/>
  <c r="AZ16" i="9"/>
  <c r="AZ34" i="9"/>
  <c r="AZ44" i="9"/>
  <c r="AZ10" i="9"/>
  <c r="AZ4" i="9"/>
  <c r="AZ60" i="9"/>
  <c r="AZ53" i="9"/>
  <c r="AZ48" i="9"/>
  <c r="AZ15" i="9"/>
  <c r="AZ33" i="9"/>
  <c r="AZ70" i="9" s="1"/>
  <c r="AZ20" i="9"/>
  <c r="BA1" i="9"/>
  <c r="AZ59" i="9"/>
  <c r="AZ37" i="9"/>
  <c r="AZ19" i="9"/>
  <c r="AZ9" i="9"/>
  <c r="AZ13" i="9"/>
  <c r="AZ11" i="9"/>
  <c r="AZ7" i="9"/>
  <c r="AZ14" i="9"/>
  <c r="AZ43" i="9"/>
  <c r="AZ8" i="9"/>
  <c r="AZ58" i="9"/>
  <c r="AZ42" i="9"/>
  <c r="AZ64" i="9"/>
  <c r="AZ5" i="9"/>
  <c r="AZ63" i="9"/>
  <c r="AZ49" i="9"/>
  <c r="AZ45" i="9"/>
  <c r="AZ21" i="9"/>
  <c r="AZ38" i="9"/>
  <c r="AZ22" i="9"/>
  <c r="AZ46" i="9"/>
  <c r="AZ50" i="9"/>
  <c r="AZ23" i="9"/>
  <c r="AZ47" i="9"/>
  <c r="AZ51" i="9"/>
  <c r="AZ24" i="9"/>
  <c r="AZ25" i="9"/>
  <c r="AZ26" i="9"/>
  <c r="AZ27" i="9"/>
  <c r="AZ28" i="9"/>
  <c r="AZ29" i="9"/>
  <c r="AZ30" i="9"/>
  <c r="AZ31" i="9"/>
  <c r="AN71" i="12"/>
  <c r="Z29" i="13"/>
  <c r="AA24" i="13" s="1"/>
  <c r="AP176" i="11"/>
  <c r="AP177" i="11"/>
  <c r="AP80" i="11" a="1"/>
  <c r="AP80" i="11" s="1"/>
  <c r="AP96" i="11"/>
  <c r="AP78" i="11" a="1"/>
  <c r="AP78" i="11" s="1"/>
  <c r="AP92" i="11"/>
  <c r="AP50" i="11" a="1"/>
  <c r="AP50" i="11" s="1"/>
  <c r="AP69" i="11" a="1"/>
  <c r="AP69" i="11" s="1"/>
  <c r="AP49" i="11" a="1"/>
  <c r="AP49" i="11" s="1"/>
  <c r="AP48" i="11" a="1"/>
  <c r="AP48" i="11" s="1"/>
  <c r="AP77" i="11" a="1"/>
  <c r="AP77" i="11" s="1"/>
  <c r="AP68" i="11" a="1"/>
  <c r="AP68" i="11" s="1"/>
  <c r="AP70" i="11" a="1"/>
  <c r="AP70" i="11" s="1"/>
  <c r="AP27" i="11" a="1"/>
  <c r="AP27" i="11" s="1"/>
  <c r="AP26" i="11" a="1"/>
  <c r="AP26" i="11" s="1"/>
  <c r="AP28" i="11" a="1"/>
  <c r="AP28" i="11" s="1"/>
  <c r="AP11" i="11" a="1"/>
  <c r="AP11" i="11" s="1"/>
  <c r="AP12" i="11" a="1"/>
  <c r="AP12" i="11" s="1"/>
  <c r="AP24" i="11" a="1"/>
  <c r="AP24" i="11" s="1"/>
  <c r="AQ1" i="11"/>
  <c r="AP10" i="11" a="1"/>
  <c r="AP10" i="11" s="1"/>
  <c r="AI39" i="6"/>
  <c r="AM12" i="6"/>
  <c r="AM14" i="6" s="1"/>
  <c r="AM7" i="6"/>
  <c r="AN13" i="12"/>
  <c r="AO177" i="12"/>
  <c r="AO176" i="12"/>
  <c r="AO96" i="12"/>
  <c r="AO80" i="12" a="1"/>
  <c r="AO80" i="12" s="1"/>
  <c r="AO70" i="12" a="1"/>
  <c r="AO70" i="12" s="1"/>
  <c r="AO68" i="12" a="1"/>
  <c r="AO68" i="12" s="1"/>
  <c r="AO69" i="12" a="1"/>
  <c r="AO69" i="12" s="1"/>
  <c r="AO92" i="12"/>
  <c r="AO78" i="12" a="1"/>
  <c r="AO78" i="12" s="1"/>
  <c r="AO77" i="12" a="1"/>
  <c r="AO77" i="12" s="1"/>
  <c r="AO50" i="12" a="1"/>
  <c r="AO50" i="12" s="1"/>
  <c r="AO48" i="12" a="1"/>
  <c r="AO48" i="12" s="1"/>
  <c r="AO26" i="12" a="1"/>
  <c r="AO26" i="12" s="1"/>
  <c r="AO24" i="12" a="1"/>
  <c r="AO24" i="12" s="1"/>
  <c r="AO11" i="12" a="1"/>
  <c r="AO11" i="12" s="1"/>
  <c r="AO12" i="12" a="1"/>
  <c r="AO12" i="12" s="1"/>
  <c r="AO10" i="12" a="1"/>
  <c r="AO10" i="12" s="1"/>
  <c r="AP1" i="12"/>
  <c r="AO27" i="12" a="1"/>
  <c r="AO27" i="12" s="1"/>
  <c r="AO49" i="12" a="1"/>
  <c r="AO49" i="12" s="1"/>
  <c r="AO28" i="12" a="1"/>
  <c r="AO28" i="12" s="1"/>
  <c r="AX73" i="9"/>
  <c r="AX74" i="9" s="1"/>
  <c r="AX65" i="10"/>
  <c r="AX68" i="10"/>
  <c r="AX86" i="10"/>
  <c r="AX85" i="10"/>
  <c r="AX88" i="10"/>
  <c r="AX84" i="10"/>
  <c r="AX87" i="10"/>
  <c r="AO1" i="15"/>
  <c r="AY60" i="10"/>
  <c r="AY56" i="10"/>
  <c r="AY53" i="10"/>
  <c r="AY72" i="10" s="1"/>
  <c r="AY57" i="10"/>
  <c r="AY21" i="10"/>
  <c r="AY5" i="10"/>
  <c r="AY10" i="10"/>
  <c r="AY15" i="10"/>
  <c r="AY20" i="10"/>
  <c r="AY59" i="10"/>
  <c r="AY9" i="10"/>
  <c r="AY4" i="10"/>
  <c r="AY14" i="10"/>
  <c r="AY19" i="10"/>
  <c r="AY8" i="10"/>
  <c r="AZ1" i="10"/>
  <c r="AY58" i="10"/>
  <c r="AY54" i="10"/>
  <c r="AY13" i="10"/>
  <c r="AY18" i="10"/>
  <c r="AY23" i="10"/>
  <c r="AY43" i="10"/>
  <c r="AY40" i="10"/>
  <c r="AY71" i="10" s="1"/>
  <c r="AY34" i="10"/>
  <c r="AY12" i="10"/>
  <c r="AY7" i="10"/>
  <c r="AY42" i="10"/>
  <c r="AY41" i="10"/>
  <c r="AY17" i="10"/>
  <c r="AY61" i="10"/>
  <c r="AY55" i="10"/>
  <c r="AY33" i="10"/>
  <c r="AY70" i="10" s="1"/>
  <c r="AY11" i="10"/>
  <c r="AY16" i="10"/>
  <c r="AY22" i="10"/>
  <c r="AM25" i="13"/>
  <c r="AM11" i="13"/>
  <c r="AM5" i="13"/>
  <c r="AN2" i="13"/>
  <c r="AY70" i="9"/>
  <c r="AO29" i="11"/>
  <c r="AO30" i="11" s="1"/>
  <c r="AL8" i="6"/>
  <c r="AL9" i="6" s="1"/>
  <c r="AM12" i="7"/>
  <c r="AM14" i="7" s="1"/>
  <c r="AM7" i="7"/>
  <c r="AX70" i="10"/>
  <c r="AO51" i="11"/>
  <c r="AW73" i="10"/>
  <c r="AW74" i="10" s="1"/>
  <c r="AJ54" i="7"/>
  <c r="AJ20" i="7"/>
  <c r="AN3" i="7" a="1"/>
  <c r="AN3" i="7" s="1"/>
  <c r="AO1" i="7"/>
  <c r="AI40" i="7"/>
  <c r="AI64" i="7"/>
  <c r="AI65" i="7" s="1"/>
  <c r="AK9" i="13"/>
  <c r="AL4" i="13" s="1"/>
  <c r="BQ4" i="7"/>
  <c r="BR5" i="7"/>
  <c r="AX72" i="10"/>
  <c r="AO13" i="11"/>
  <c r="AO1" i="13"/>
  <c r="AN26" i="13"/>
  <c r="AN6" i="13"/>
  <c r="AY89" i="9" l="1"/>
  <c r="AY90" i="9" s="1"/>
  <c r="AP29" i="11"/>
  <c r="AP51" i="11"/>
  <c r="AP13" i="11"/>
  <c r="AO71" i="12"/>
  <c r="AO13" i="12"/>
  <c r="AO29" i="12"/>
  <c r="AL7" i="13"/>
  <c r="AL8" i="13" s="1"/>
  <c r="AO30" i="12"/>
  <c r="AZ72" i="9"/>
  <c r="AX81" i="10"/>
  <c r="AX82" i="10" s="1"/>
  <c r="AZ61" i="10"/>
  <c r="AZ60" i="10"/>
  <c r="AZ10" i="10"/>
  <c r="AZ15" i="10"/>
  <c r="AZ20" i="10"/>
  <c r="AZ59" i="10"/>
  <c r="AZ9" i="10"/>
  <c r="AZ4" i="10"/>
  <c r="AZ56" i="10"/>
  <c r="AZ14" i="10"/>
  <c r="AZ53" i="10"/>
  <c r="AZ19" i="10"/>
  <c r="AZ8" i="10"/>
  <c r="BA1" i="10"/>
  <c r="AZ58" i="10"/>
  <c r="AZ54" i="10"/>
  <c r="AZ13" i="10"/>
  <c r="AZ18" i="10"/>
  <c r="AZ23" i="10"/>
  <c r="AZ43" i="10"/>
  <c r="AZ40" i="10"/>
  <c r="AZ71" i="10" s="1"/>
  <c r="AZ34" i="10"/>
  <c r="AZ12" i="10"/>
  <c r="AZ7" i="10"/>
  <c r="AZ42" i="10"/>
  <c r="AZ41" i="10"/>
  <c r="AZ17" i="10"/>
  <c r="AZ57" i="10"/>
  <c r="AZ22" i="10"/>
  <c r="AZ16" i="10"/>
  <c r="AZ33" i="10"/>
  <c r="AZ21" i="10"/>
  <c r="AZ11" i="10"/>
  <c r="AZ5" i="10"/>
  <c r="AZ55" i="10"/>
  <c r="AO51" i="12"/>
  <c r="AQ176" i="11"/>
  <c r="AQ177" i="11"/>
  <c r="AQ96" i="11"/>
  <c r="AQ78" i="11" a="1"/>
  <c r="AQ78" i="11" s="1"/>
  <c r="AQ92" i="11"/>
  <c r="AQ69" i="11" a="1"/>
  <c r="AQ69" i="11" s="1"/>
  <c r="AQ49" i="11" a="1"/>
  <c r="AQ49" i="11" s="1"/>
  <c r="AQ77" i="11" a="1"/>
  <c r="AQ77" i="11" s="1"/>
  <c r="AQ80" i="11" a="1"/>
  <c r="AQ80" i="11" s="1"/>
  <c r="AQ68" i="11" a="1"/>
  <c r="AQ68" i="11" s="1"/>
  <c r="AQ70" i="11" a="1"/>
  <c r="AQ70" i="11" s="1"/>
  <c r="AQ28" i="11" a="1"/>
  <c r="AQ28" i="11" s="1"/>
  <c r="AQ48" i="11" a="1"/>
  <c r="AQ48" i="11" s="1"/>
  <c r="AQ51" i="11" s="1"/>
  <c r="AQ27" i="11" a="1"/>
  <c r="AQ27" i="11" s="1"/>
  <c r="AQ26" i="11" a="1"/>
  <c r="AQ26" i="11" s="1"/>
  <c r="AQ24" i="11" a="1"/>
  <c r="AQ24" i="11" s="1"/>
  <c r="AQ12" i="11" a="1"/>
  <c r="AQ12" i="11" s="1"/>
  <c r="AQ10" i="11" a="1"/>
  <c r="AQ10" i="11" s="1"/>
  <c r="AR1" i="11"/>
  <c r="AQ50" i="11" a="1"/>
  <c r="AQ50" i="11" s="1"/>
  <c r="AQ11" i="11" a="1"/>
  <c r="AQ11" i="11" s="1"/>
  <c r="AI40" i="6"/>
  <c r="AI64" i="6"/>
  <c r="AI65" i="6" s="1"/>
  <c r="AN7" i="7"/>
  <c r="AN12" i="7"/>
  <c r="AN14" i="7" s="1"/>
  <c r="AX73" i="10"/>
  <c r="AX74" i="10" s="1"/>
  <c r="AZ65" i="9"/>
  <c r="AZ87" i="9"/>
  <c r="AZ68" i="9"/>
  <c r="AZ84" i="9"/>
  <c r="AZ85" i="9"/>
  <c r="AZ88" i="9"/>
  <c r="AZ86" i="9"/>
  <c r="AY73" i="9"/>
  <c r="AY74" i="9" s="1"/>
  <c r="AU43" i="6"/>
  <c r="AI48" i="6"/>
  <c r="AJ20" i="6"/>
  <c r="AO3" i="7" a="1"/>
  <c r="AO3" i="7" s="1"/>
  <c r="AP1" i="7"/>
  <c r="AO26" i="13"/>
  <c r="AO6" i="13"/>
  <c r="AP1" i="13"/>
  <c r="AZ69" i="9"/>
  <c r="AY81" i="9"/>
  <c r="AY82" i="9" s="1"/>
  <c r="AJ54" i="6"/>
  <c r="AP1" i="15"/>
  <c r="AJ37" i="7"/>
  <c r="AJ52" i="7"/>
  <c r="AJ55" i="7" s="1"/>
  <c r="AJ18" i="7"/>
  <c r="AJ21" i="7" s="1"/>
  <c r="AJ45" i="7"/>
  <c r="AJ39" i="7"/>
  <c r="AY65" i="10"/>
  <c r="AY68" i="10"/>
  <c r="AY86" i="10"/>
  <c r="AY88" i="10"/>
  <c r="AY84" i="10"/>
  <c r="AY87" i="10"/>
  <c r="AY85" i="10"/>
  <c r="AM8" i="7"/>
  <c r="AM9" i="7" s="1"/>
  <c r="AP1" i="6"/>
  <c r="AO3" i="6" a="1"/>
  <c r="AO3" i="6" s="1"/>
  <c r="AI67" i="7"/>
  <c r="AI68" i="7" s="1"/>
  <c r="AY69" i="10"/>
  <c r="AP30" i="11"/>
  <c r="AN7" i="6"/>
  <c r="AN12" i="6"/>
  <c r="AN14" i="6" s="1"/>
  <c r="AA27" i="13"/>
  <c r="AA28" i="13" s="1"/>
  <c r="AM8" i="6"/>
  <c r="AM9" i="6" s="1"/>
  <c r="AN25" i="13"/>
  <c r="AN11" i="13"/>
  <c r="AO2" i="13"/>
  <c r="AN5" i="13"/>
  <c r="BR4" i="7"/>
  <c r="BS5" i="7"/>
  <c r="AX89" i="10"/>
  <c r="AX90" i="10" s="1"/>
  <c r="AP71" i="11"/>
  <c r="AZ71" i="9"/>
  <c r="AP177" i="12"/>
  <c r="AP176" i="12"/>
  <c r="AP96" i="12"/>
  <c r="AP92" i="12"/>
  <c r="AP80" i="12" a="1"/>
  <c r="AP80" i="12" s="1"/>
  <c r="AP78" i="12" a="1"/>
  <c r="AP78" i="12" s="1"/>
  <c r="AP70" i="12" a="1"/>
  <c r="AP70" i="12" s="1"/>
  <c r="AP68" i="12" a="1"/>
  <c r="AP68" i="12" s="1"/>
  <c r="AP49" i="12" a="1"/>
  <c r="AP49" i="12" s="1"/>
  <c r="AP69" i="12" a="1"/>
  <c r="AP69" i="12" s="1"/>
  <c r="AP77" i="12" a="1"/>
  <c r="AP77" i="12" s="1"/>
  <c r="AP50" i="12" a="1"/>
  <c r="AP50" i="12" s="1"/>
  <c r="AP24" i="12" a="1"/>
  <c r="AP24" i="12" s="1"/>
  <c r="AP48" i="12" a="1"/>
  <c r="AP48" i="12" s="1"/>
  <c r="AP11" i="12" a="1"/>
  <c r="AP11" i="12" s="1"/>
  <c r="AP28" i="12" a="1"/>
  <c r="AP28" i="12" s="1"/>
  <c r="AP27" i="12" a="1"/>
  <c r="AP27" i="12" s="1"/>
  <c r="AP12" i="12" a="1"/>
  <c r="AP12" i="12" s="1"/>
  <c r="AP26" i="12" a="1"/>
  <c r="AP26" i="12" s="1"/>
  <c r="AP10" i="12" a="1"/>
  <c r="AP10" i="12" s="1"/>
  <c r="AQ1" i="12"/>
  <c r="BA41" i="9"/>
  <c r="BA7" i="9"/>
  <c r="BA56" i="9"/>
  <c r="BA62" i="9"/>
  <c r="BA17" i="9"/>
  <c r="BA55" i="9"/>
  <c r="BA40" i="9"/>
  <c r="BA35" i="9"/>
  <c r="BA11" i="9"/>
  <c r="BA5" i="9"/>
  <c r="BA61" i="9"/>
  <c r="BA54" i="9"/>
  <c r="BA34" i="9"/>
  <c r="BA44" i="9"/>
  <c r="BA10" i="9"/>
  <c r="BA4" i="9"/>
  <c r="BA60" i="9"/>
  <c r="BA53" i="9"/>
  <c r="BA48" i="9"/>
  <c r="BA15" i="9"/>
  <c r="BA33" i="9"/>
  <c r="BA20" i="9"/>
  <c r="BB1" i="9"/>
  <c r="BA43" i="9"/>
  <c r="BA9" i="9"/>
  <c r="BA13" i="9"/>
  <c r="BA14" i="9"/>
  <c r="BA59" i="9"/>
  <c r="BA37" i="9"/>
  <c r="BA18" i="9"/>
  <c r="BA8" i="9"/>
  <c r="BA58" i="9"/>
  <c r="BA42" i="9"/>
  <c r="BA16" i="9"/>
  <c r="BA57" i="9"/>
  <c r="BA12" i="9"/>
  <c r="BA63" i="9"/>
  <c r="BA36" i="9"/>
  <c r="BA21" i="9"/>
  <c r="BA19" i="9"/>
  <c r="BA38" i="9"/>
  <c r="BA64" i="9"/>
  <c r="BA45" i="9"/>
  <c r="BA49" i="9"/>
  <c r="BA22" i="9"/>
  <c r="BA46" i="9"/>
  <c r="BA50" i="9"/>
  <c r="BA51" i="9"/>
  <c r="BA23" i="9"/>
  <c r="BA47" i="9"/>
  <c r="BA24" i="9"/>
  <c r="BA25" i="9"/>
  <c r="BA26" i="9"/>
  <c r="BA27" i="9"/>
  <c r="BA28" i="9"/>
  <c r="BA29" i="9"/>
  <c r="BA30" i="9"/>
  <c r="BA31" i="9"/>
  <c r="BR5" i="6"/>
  <c r="BQ4" i="6"/>
  <c r="AP29" i="12" l="1"/>
  <c r="AZ81" i="9"/>
  <c r="AZ82" i="9" s="1"/>
  <c r="AY89" i="10"/>
  <c r="AY90" i="10" s="1"/>
  <c r="AP51" i="12"/>
  <c r="AI67" i="6"/>
  <c r="AI68" i="6" s="1"/>
  <c r="AZ89" i="9"/>
  <c r="AZ90" i="9" s="1"/>
  <c r="AJ39" i="6"/>
  <c r="AK20" i="7"/>
  <c r="BB56" i="9"/>
  <c r="BB12" i="9"/>
  <c r="BB62" i="9"/>
  <c r="BB55" i="9"/>
  <c r="BB40" i="9"/>
  <c r="BB35" i="9"/>
  <c r="BB11" i="9"/>
  <c r="BB5" i="9"/>
  <c r="BB61" i="9"/>
  <c r="BB54" i="9"/>
  <c r="BB16" i="9"/>
  <c r="BB34" i="9"/>
  <c r="BB44" i="9"/>
  <c r="BB10" i="9"/>
  <c r="BB4" i="9"/>
  <c r="BB60" i="9"/>
  <c r="BB53" i="9"/>
  <c r="BB48" i="9"/>
  <c r="BB15" i="9"/>
  <c r="BB33" i="9"/>
  <c r="BB20" i="9"/>
  <c r="BC1" i="9"/>
  <c r="BB43" i="9"/>
  <c r="BB9" i="9"/>
  <c r="BB59" i="9"/>
  <c r="BB14" i="9"/>
  <c r="BB58" i="9"/>
  <c r="BB42" i="9"/>
  <c r="BB13" i="9"/>
  <c r="BB17" i="9"/>
  <c r="BB7" i="9"/>
  <c r="BB18" i="9"/>
  <c r="BB8" i="9"/>
  <c r="BB57" i="9"/>
  <c r="BB41" i="9"/>
  <c r="BB36" i="9"/>
  <c r="BB19" i="9"/>
  <c r="BB63" i="9"/>
  <c r="BB38" i="9"/>
  <c r="BB64" i="9"/>
  <c r="BB21" i="9"/>
  <c r="BB37" i="9"/>
  <c r="BB49" i="9"/>
  <c r="BB45" i="9"/>
  <c r="BB50" i="9"/>
  <c r="BB22" i="9"/>
  <c r="BB46" i="9"/>
  <c r="BB23" i="9"/>
  <c r="BB51" i="9"/>
  <c r="BB47" i="9"/>
  <c r="BB24" i="9"/>
  <c r="BB25" i="9"/>
  <c r="BB26" i="9"/>
  <c r="BB27" i="9"/>
  <c r="BB28" i="9"/>
  <c r="BB29" i="9"/>
  <c r="BB30" i="9"/>
  <c r="BB31" i="9"/>
  <c r="AQ71" i="11"/>
  <c r="BA72" i="9"/>
  <c r="BA69" i="9"/>
  <c r="BS4" i="7"/>
  <c r="BT5" i="7"/>
  <c r="AA29" i="13"/>
  <c r="AB24" i="13" s="1"/>
  <c r="AP3" i="7" a="1"/>
  <c r="AP3" i="7" s="1"/>
  <c r="AQ1" i="7"/>
  <c r="AZ73" i="9"/>
  <c r="AZ74" i="9" s="1"/>
  <c r="AJ40" i="7"/>
  <c r="AJ64" i="7"/>
  <c r="AJ65" i="7" s="1"/>
  <c r="AP71" i="12"/>
  <c r="AY81" i="10"/>
  <c r="AY82" i="10" s="1"/>
  <c r="AO7" i="7"/>
  <c r="AO12" i="7"/>
  <c r="AO14" i="7" s="1"/>
  <c r="BA70" i="9"/>
  <c r="AQ1" i="15"/>
  <c r="BA65" i="9"/>
  <c r="BA87" i="9"/>
  <c r="BA68" i="9"/>
  <c r="BA85" i="9"/>
  <c r="BA84" i="9"/>
  <c r="BA86" i="9"/>
  <c r="BA88" i="9"/>
  <c r="AO12" i="6"/>
  <c r="AO14" i="6" s="1"/>
  <c r="AO7" i="6"/>
  <c r="AZ70" i="10"/>
  <c r="BA71" i="9"/>
  <c r="AQ177" i="12"/>
  <c r="AQ176" i="12"/>
  <c r="AQ96" i="12"/>
  <c r="AQ92" i="12"/>
  <c r="AQ80" i="12" a="1"/>
  <c r="AQ80" i="12" s="1"/>
  <c r="AQ78" i="12" a="1"/>
  <c r="AQ78" i="12" s="1"/>
  <c r="AQ69" i="12" a="1"/>
  <c r="AQ69" i="12" s="1"/>
  <c r="AQ77" i="12" a="1"/>
  <c r="AQ77" i="12" s="1"/>
  <c r="AQ70" i="12" a="1"/>
  <c r="AQ70" i="12" s="1"/>
  <c r="AQ68" i="12" a="1"/>
  <c r="AQ68" i="12" s="1"/>
  <c r="AQ50" i="12" a="1"/>
  <c r="AQ50" i="12" s="1"/>
  <c r="AQ49" i="12" a="1"/>
  <c r="AQ49" i="12" s="1"/>
  <c r="AQ48" i="12" a="1"/>
  <c r="AQ48" i="12" s="1"/>
  <c r="AQ24" i="12" a="1"/>
  <c r="AQ24" i="12" s="1"/>
  <c r="AQ28" i="12" a="1"/>
  <c r="AQ28" i="12" s="1"/>
  <c r="AQ27" i="12" a="1"/>
  <c r="AQ27" i="12" s="1"/>
  <c r="AQ26" i="12" a="1"/>
  <c r="AQ26" i="12" s="1"/>
  <c r="AQ12" i="12" a="1"/>
  <c r="AQ12" i="12" s="1"/>
  <c r="AQ10" i="12" a="1"/>
  <c r="AQ10" i="12" s="1"/>
  <c r="AQ11" i="12" a="1"/>
  <c r="AQ11" i="12" s="1"/>
  <c r="AR1" i="12"/>
  <c r="AQ1" i="6"/>
  <c r="AP3" i="6" a="1"/>
  <c r="AP3" i="6" s="1"/>
  <c r="BA61" i="10"/>
  <c r="BA40" i="10"/>
  <c r="BA60" i="10"/>
  <c r="BA15" i="10"/>
  <c r="BA20" i="10"/>
  <c r="BA59" i="10"/>
  <c r="BA9" i="10"/>
  <c r="BA4" i="10"/>
  <c r="BA56" i="10"/>
  <c r="BA14" i="10"/>
  <c r="BA53" i="10"/>
  <c r="BA19" i="10"/>
  <c r="BA8" i="10"/>
  <c r="BB1" i="10"/>
  <c r="BA58" i="10"/>
  <c r="BA54" i="10"/>
  <c r="BA13" i="10"/>
  <c r="BA18" i="10"/>
  <c r="BA23" i="10"/>
  <c r="BA43" i="10"/>
  <c r="BA34" i="10"/>
  <c r="BA12" i="10"/>
  <c r="BA7" i="10"/>
  <c r="BA42" i="10"/>
  <c r="BA41" i="10"/>
  <c r="BA17" i="10"/>
  <c r="BA57" i="10"/>
  <c r="BA22" i="10"/>
  <c r="BA55" i="10"/>
  <c r="BA33" i="10"/>
  <c r="BA70" i="10" s="1"/>
  <c r="BA11" i="10"/>
  <c r="BA21" i="10"/>
  <c r="BA5" i="10"/>
  <c r="BA16" i="10"/>
  <c r="BA10" i="10"/>
  <c r="AP13" i="12"/>
  <c r="AJ4" i="11" a="1"/>
  <c r="AJ4" i="11" s="1"/>
  <c r="AJ5" i="11" s="1"/>
  <c r="AR176" i="11"/>
  <c r="AR177" i="11"/>
  <c r="AR78" i="11" a="1"/>
  <c r="AR78" i="11" s="1"/>
  <c r="AR69" i="11" a="1"/>
  <c r="AR69" i="11" s="1"/>
  <c r="AR77" i="11" a="1"/>
  <c r="AR77" i="11" s="1"/>
  <c r="AR92" i="11"/>
  <c r="AR80" i="11" a="1"/>
  <c r="AR80" i="11" s="1"/>
  <c r="AR96" i="11"/>
  <c r="AR68" i="11" a="1"/>
  <c r="AR68" i="11" s="1"/>
  <c r="AR70" i="11" a="1"/>
  <c r="AR70" i="11" s="1"/>
  <c r="AR48" i="11" a="1"/>
  <c r="AR48" i="11" s="1"/>
  <c r="AR50" i="11" a="1"/>
  <c r="AR50" i="11" s="1"/>
  <c r="AR26" i="11" a="1"/>
  <c r="AR26" i="11" s="1"/>
  <c r="AR49" i="11" a="1"/>
  <c r="AR49" i="11" s="1"/>
  <c r="AR28" i="11" a="1"/>
  <c r="AR28" i="11" s="1"/>
  <c r="AR24" i="11" a="1"/>
  <c r="AR24" i="11" s="1"/>
  <c r="AR12" i="11" a="1"/>
  <c r="AR12" i="11" s="1"/>
  <c r="AR10" i="11" a="1"/>
  <c r="AR10" i="11" s="1"/>
  <c r="AR27" i="11" a="1"/>
  <c r="AR27" i="11" s="1"/>
  <c r="AS1" i="11"/>
  <c r="AR11" i="11" a="1"/>
  <c r="AR11" i="11" s="1"/>
  <c r="AJ4" i="12" a="1"/>
  <c r="AJ4" i="12" s="1"/>
  <c r="AJ5" i="12" s="1"/>
  <c r="AN8" i="7"/>
  <c r="AN9" i="7" s="1"/>
  <c r="AQ13" i="11"/>
  <c r="AP30" i="12"/>
  <c r="AZ72" i="10"/>
  <c r="AP26" i="13"/>
  <c r="AP6" i="13"/>
  <c r="AQ1" i="13"/>
  <c r="AJ18" i="6"/>
  <c r="AJ21" i="6" s="1"/>
  <c r="AJ37" i="6"/>
  <c r="AJ45" i="6"/>
  <c r="AJ52" i="6"/>
  <c r="AJ55" i="6" s="1"/>
  <c r="BR4" i="6"/>
  <c r="BS5" i="6"/>
  <c r="AN8" i="6"/>
  <c r="AN9" i="6" s="1"/>
  <c r="AK54" i="7"/>
  <c r="AY73" i="10"/>
  <c r="AY74" i="10" s="1"/>
  <c r="AO25" i="13"/>
  <c r="AO11" i="13"/>
  <c r="AP2" i="13"/>
  <c r="AO5" i="13"/>
  <c r="AV43" i="7"/>
  <c r="AJ48" i="7"/>
  <c r="AL9" i="13"/>
  <c r="AM4" i="13" s="1"/>
  <c r="AQ29" i="11"/>
  <c r="AQ30" i="11" s="1"/>
  <c r="AZ69" i="10"/>
  <c r="AZ65" i="10"/>
  <c r="AZ68" i="10"/>
  <c r="AZ84" i="10"/>
  <c r="AZ87" i="10"/>
  <c r="AZ86" i="10"/>
  <c r="AZ85" i="10"/>
  <c r="AZ88" i="10"/>
  <c r="BA81" i="9" l="1"/>
  <c r="BA82" i="9" s="1"/>
  <c r="AR13" i="11"/>
  <c r="AZ73" i="10"/>
  <c r="AZ74" i="10" s="1"/>
  <c r="AQ71" i="12"/>
  <c r="AQ13" i="12"/>
  <c r="AQ29" i="12"/>
  <c r="AQ30" i="12" s="1"/>
  <c r="AJ67" i="7"/>
  <c r="AJ68" i="7" s="1"/>
  <c r="AK4" i="12" s="1" a="1"/>
  <c r="AK4" i="12" s="1"/>
  <c r="AK5" i="12" s="1"/>
  <c r="AO8" i="7"/>
  <c r="AO9" i="7" s="1"/>
  <c r="BB71" i="9"/>
  <c r="AZ81" i="10"/>
  <c r="AZ82" i="10" s="1"/>
  <c r="BA72" i="10"/>
  <c r="BB70" i="9"/>
  <c r="AK54" i="6"/>
  <c r="AB29" i="13"/>
  <c r="AC24" i="13" s="1"/>
  <c r="AB27" i="13"/>
  <c r="AB28" i="13" s="1"/>
  <c r="AJ40" i="6"/>
  <c r="AJ64" i="6"/>
  <c r="AJ65" i="6" s="1"/>
  <c r="AR29" i="11"/>
  <c r="AR30" i="11" s="1"/>
  <c r="BA65" i="10"/>
  <c r="BA68" i="10"/>
  <c r="BA87" i="10"/>
  <c r="BA84" i="10"/>
  <c r="BA86" i="10"/>
  <c r="BA85" i="10"/>
  <c r="BA88" i="10"/>
  <c r="BU5" i="7"/>
  <c r="BT4" i="7"/>
  <c r="BB72" i="9"/>
  <c r="BA69" i="10"/>
  <c r="BA73" i="9"/>
  <c r="BA74" i="9" s="1"/>
  <c r="AJ48" i="6"/>
  <c r="AV43" i="6"/>
  <c r="AR176" i="12"/>
  <c r="AR177" i="12"/>
  <c r="AR96" i="12"/>
  <c r="AR92" i="12"/>
  <c r="AR78" i="12" a="1"/>
  <c r="AR78" i="12" s="1"/>
  <c r="AR80" i="12" a="1"/>
  <c r="AR80" i="12" s="1"/>
  <c r="AR77" i="12" a="1"/>
  <c r="AR77" i="12" s="1"/>
  <c r="AR69" i="12" a="1"/>
  <c r="AR69" i="12" s="1"/>
  <c r="AR50" i="12" a="1"/>
  <c r="AR50" i="12" s="1"/>
  <c r="AR49" i="12" a="1"/>
  <c r="AR49" i="12" s="1"/>
  <c r="AR48" i="12" a="1"/>
  <c r="AR48" i="12" s="1"/>
  <c r="AR68" i="12" a="1"/>
  <c r="AR68" i="12" s="1"/>
  <c r="AR24" i="12" a="1"/>
  <c r="AR24" i="12" s="1"/>
  <c r="AR12" i="12" a="1"/>
  <c r="AR12" i="12" s="1"/>
  <c r="AR28" i="12" a="1"/>
  <c r="AR28" i="12" s="1"/>
  <c r="AR27" i="12" a="1"/>
  <c r="AR27" i="12" s="1"/>
  <c r="AR26" i="12" a="1"/>
  <c r="AR26" i="12" s="1"/>
  <c r="AR70" i="12" a="1"/>
  <c r="AR70" i="12" s="1"/>
  <c r="AR10" i="12" a="1"/>
  <c r="AR10" i="12" s="1"/>
  <c r="AR11" i="12" a="1"/>
  <c r="AR11" i="12" s="1"/>
  <c r="AS1" i="12"/>
  <c r="BB65" i="9"/>
  <c r="BB68" i="9"/>
  <c r="BB87" i="9"/>
  <c r="BB85" i="9"/>
  <c r="BB88" i="9"/>
  <c r="BB86" i="9"/>
  <c r="BB84" i="9"/>
  <c r="AP12" i="6"/>
  <c r="AP14" i="6" s="1"/>
  <c r="AP7" i="6"/>
  <c r="BS4" i="6"/>
  <c r="BT5" i="6"/>
  <c r="AR71" i="11"/>
  <c r="AK45" i="7"/>
  <c r="AK37" i="7"/>
  <c r="AK52" i="7"/>
  <c r="AK55" i="7" s="1"/>
  <c r="AK18" i="7"/>
  <c r="AK21" i="7" s="1"/>
  <c r="BB59" i="10"/>
  <c r="BB55" i="10"/>
  <c r="BB58" i="10"/>
  <c r="BB56" i="10"/>
  <c r="BB20" i="10"/>
  <c r="BB9" i="10"/>
  <c r="BB4" i="10"/>
  <c r="BB14" i="10"/>
  <c r="BB53" i="10"/>
  <c r="BB19" i="10"/>
  <c r="BB8" i="10"/>
  <c r="BC1" i="10"/>
  <c r="BB54" i="10"/>
  <c r="BB13" i="10"/>
  <c r="BB18" i="10"/>
  <c r="BB23" i="10"/>
  <c r="BB43" i="10"/>
  <c r="BB34" i="10"/>
  <c r="BB12" i="10"/>
  <c r="BB7" i="10"/>
  <c r="BB42" i="10"/>
  <c r="BB41" i="10"/>
  <c r="BB40" i="10"/>
  <c r="BB71" i="10" s="1"/>
  <c r="BB17" i="10"/>
  <c r="BB57" i="10"/>
  <c r="BB22" i="10"/>
  <c r="BB33" i="10"/>
  <c r="BB70" i="10" s="1"/>
  <c r="BB11" i="10"/>
  <c r="BB16" i="10"/>
  <c r="BB10" i="10"/>
  <c r="BB61" i="10"/>
  <c r="BB21" i="10"/>
  <c r="BB5" i="10"/>
  <c r="BB60" i="10"/>
  <c r="BB15" i="10"/>
  <c r="AQ26" i="13"/>
  <c r="AQ6" i="13"/>
  <c r="AR1" i="13"/>
  <c r="AK39" i="7"/>
  <c r="AR1" i="7"/>
  <c r="AQ3" i="7" a="1"/>
  <c r="AQ3" i="7" s="1"/>
  <c r="AP11" i="13"/>
  <c r="AP5" i="13"/>
  <c r="AP25" i="13"/>
  <c r="AQ2" i="13"/>
  <c r="BA71" i="10"/>
  <c r="AZ89" i="10"/>
  <c r="AZ90" i="10" s="1"/>
  <c r="BA89" i="9"/>
  <c r="BA90" i="9" s="1"/>
  <c r="AR51" i="11"/>
  <c r="BB69" i="9"/>
  <c r="BC62" i="9"/>
  <c r="BC17" i="9"/>
  <c r="BC55" i="9"/>
  <c r="BC40" i="9"/>
  <c r="BC11" i="9"/>
  <c r="BC5" i="9"/>
  <c r="BC61" i="9"/>
  <c r="BC54" i="9"/>
  <c r="BC16" i="9"/>
  <c r="BC34" i="9"/>
  <c r="BC44" i="9"/>
  <c r="BC60" i="9"/>
  <c r="BC53" i="9"/>
  <c r="BC48" i="9"/>
  <c r="BC15" i="9"/>
  <c r="BC33" i="9"/>
  <c r="BC70" i="9" s="1"/>
  <c r="BC20" i="9"/>
  <c r="BD1" i="9"/>
  <c r="BC43" i="9"/>
  <c r="BC9" i="9"/>
  <c r="BC59" i="9"/>
  <c r="BC14" i="9"/>
  <c r="BC19" i="9"/>
  <c r="BC63" i="9"/>
  <c r="BC7" i="9"/>
  <c r="BC4" i="9"/>
  <c r="BC35" i="9"/>
  <c r="BC18" i="9"/>
  <c r="BC8" i="9"/>
  <c r="BC58" i="9"/>
  <c r="BC57" i="9"/>
  <c r="BC42" i="9"/>
  <c r="BC10" i="9"/>
  <c r="BC56" i="9"/>
  <c r="BC12" i="9"/>
  <c r="BC41" i="9"/>
  <c r="BC13" i="9"/>
  <c r="BC36" i="9"/>
  <c r="BC64" i="9"/>
  <c r="BC21" i="9"/>
  <c r="BC38" i="9"/>
  <c r="BC37" i="9"/>
  <c r="BC49" i="9"/>
  <c r="BC45" i="9"/>
  <c r="BC50" i="9"/>
  <c r="BC22" i="9"/>
  <c r="BC46" i="9"/>
  <c r="BC47" i="9"/>
  <c r="BC51" i="9"/>
  <c r="BC23" i="9"/>
  <c r="BC24" i="9"/>
  <c r="BC25" i="9"/>
  <c r="BC26" i="9"/>
  <c r="BC27" i="9"/>
  <c r="BC28" i="9"/>
  <c r="BC29" i="9"/>
  <c r="BC30" i="9"/>
  <c r="BC31" i="9"/>
  <c r="AK20" i="6"/>
  <c r="AO8" i="6"/>
  <c r="AO9" i="6" s="1"/>
  <c r="AS176" i="11"/>
  <c r="AS177" i="11"/>
  <c r="AS78" i="11" a="1"/>
  <c r="AS78" i="11" s="1"/>
  <c r="AS69" i="11" a="1"/>
  <c r="AS69" i="11" s="1"/>
  <c r="AS92" i="11"/>
  <c r="AS80" i="11" a="1"/>
  <c r="AS80" i="11" s="1"/>
  <c r="AS77" i="11" a="1"/>
  <c r="AS77" i="11" s="1"/>
  <c r="AS96" i="11"/>
  <c r="AS68" i="11" a="1"/>
  <c r="AS68" i="11" s="1"/>
  <c r="AS70" i="11" a="1"/>
  <c r="AS70" i="11" s="1"/>
  <c r="AS49" i="11" a="1"/>
  <c r="AS49" i="11" s="1"/>
  <c r="AS48" i="11" a="1"/>
  <c r="AS48" i="11" s="1"/>
  <c r="AS50" i="11" a="1"/>
  <c r="AS50" i="11" s="1"/>
  <c r="AS28" i="11" a="1"/>
  <c r="AS28" i="11" s="1"/>
  <c r="AS24" i="11" a="1"/>
  <c r="AS24" i="11" s="1"/>
  <c r="AS11" i="11" a="1"/>
  <c r="AS11" i="11" s="1"/>
  <c r="AS10" i="11" a="1"/>
  <c r="AS10" i="11" s="1"/>
  <c r="AS26" i="11" a="1"/>
  <c r="AS26" i="11" s="1"/>
  <c r="AS27" i="11" a="1"/>
  <c r="AS27" i="11" s="1"/>
  <c r="AT1" i="11"/>
  <c r="AS12" i="11" a="1"/>
  <c r="AS12" i="11" s="1"/>
  <c r="AQ51" i="12"/>
  <c r="AP7" i="7"/>
  <c r="AP12" i="7"/>
  <c r="AP14" i="7" s="1"/>
  <c r="AQ3" i="6" a="1"/>
  <c r="AQ3" i="6" s="1"/>
  <c r="AR1" i="6"/>
  <c r="AM7" i="13"/>
  <c r="AM8" i="13" s="1"/>
  <c r="AR1" i="15"/>
  <c r="AS29" i="11" l="1"/>
  <c r="BB73" i="9"/>
  <c r="BB74" i="9" s="1"/>
  <c r="AR71" i="12"/>
  <c r="AR51" i="12"/>
  <c r="BA73" i="10"/>
  <c r="BA74" i="10" s="1"/>
  <c r="AR29" i="12"/>
  <c r="AR30" i="12" s="1"/>
  <c r="AJ67" i="6"/>
  <c r="AJ68" i="6" s="1"/>
  <c r="AK4" i="11" s="1" a="1"/>
  <c r="AK4" i="11" s="1"/>
  <c r="AK5" i="11" s="1"/>
  <c r="AP8" i="7"/>
  <c r="AP9" i="7" s="1"/>
  <c r="AS51" i="11"/>
  <c r="AL54" i="7"/>
  <c r="BC61" i="10"/>
  <c r="BC59" i="10"/>
  <c r="BC57" i="10"/>
  <c r="BC9" i="10"/>
  <c r="BC4" i="10"/>
  <c r="BC14" i="10"/>
  <c r="BC56" i="10"/>
  <c r="BC53" i="10"/>
  <c r="BC19" i="10"/>
  <c r="BC8" i="10"/>
  <c r="BD1" i="10"/>
  <c r="BC54" i="10"/>
  <c r="BC13" i="10"/>
  <c r="BC58" i="10"/>
  <c r="BC18" i="10"/>
  <c r="BC23" i="10"/>
  <c r="BC43" i="10"/>
  <c r="BC34" i="10"/>
  <c r="BC12" i="10"/>
  <c r="BC7" i="10"/>
  <c r="BC69" i="10" s="1"/>
  <c r="BC42" i="10"/>
  <c r="BC41" i="10"/>
  <c r="BC40" i="10"/>
  <c r="BC17" i="10"/>
  <c r="BC22" i="10"/>
  <c r="BC33" i="10"/>
  <c r="BC11" i="10"/>
  <c r="BC55" i="10"/>
  <c r="BC16" i="10"/>
  <c r="BC21" i="10"/>
  <c r="BC5" i="10"/>
  <c r="BC60" i="10"/>
  <c r="BC15" i="10"/>
  <c r="BC20" i="10"/>
  <c r="BC10" i="10"/>
  <c r="BB81" i="9"/>
  <c r="BB82" i="9" s="1"/>
  <c r="AW43" i="7"/>
  <c r="AK48" i="7"/>
  <c r="AS177" i="12"/>
  <c r="AS176" i="12"/>
  <c r="AS96" i="12"/>
  <c r="AS80" i="12" a="1"/>
  <c r="AS80" i="12" s="1"/>
  <c r="AS92" i="12"/>
  <c r="AS78" i="12" a="1"/>
  <c r="AS78" i="12" s="1"/>
  <c r="AS69" i="12" a="1"/>
  <c r="AS69" i="12" s="1"/>
  <c r="AS77" i="12" a="1"/>
  <c r="AS77" i="12" s="1"/>
  <c r="AS68" i="12" a="1"/>
  <c r="AS68" i="12" s="1"/>
  <c r="AS70" i="12" a="1"/>
  <c r="AS70" i="12" s="1"/>
  <c r="AS50" i="12" a="1"/>
  <c r="AS50" i="12" s="1"/>
  <c r="AS49" i="12" a="1"/>
  <c r="AS49" i="12" s="1"/>
  <c r="AS48" i="12" a="1"/>
  <c r="AS48" i="12" s="1"/>
  <c r="AS12" i="12" a="1"/>
  <c r="AS12" i="12" s="1"/>
  <c r="AS28" i="12" a="1"/>
  <c r="AS28" i="12" s="1"/>
  <c r="AS27" i="12" a="1"/>
  <c r="AS27" i="12" s="1"/>
  <c r="AS10" i="12" a="1"/>
  <c r="AS10" i="12" s="1"/>
  <c r="AS26" i="12" a="1"/>
  <c r="AS26" i="12" s="1"/>
  <c r="AS24" i="12" a="1"/>
  <c r="AS24" i="12" s="1"/>
  <c r="AS11" i="12" a="1"/>
  <c r="AS11" i="12" s="1"/>
  <c r="AT1" i="12"/>
  <c r="AQ12" i="6"/>
  <c r="AQ14" i="6" s="1"/>
  <c r="AQ7" i="6"/>
  <c r="BU4" i="7"/>
  <c r="BV5" i="7"/>
  <c r="BV4" i="7" s="1"/>
  <c r="AS1" i="7"/>
  <c r="AR3" i="7" a="1"/>
  <c r="AR3" i="7" s="1"/>
  <c r="BC72" i="9"/>
  <c r="AS1" i="6"/>
  <c r="AR3" i="6" a="1"/>
  <c r="AR3" i="6" s="1"/>
  <c r="AK18" i="6"/>
  <c r="AK21" i="6" s="1"/>
  <c r="AK45" i="6"/>
  <c r="AK52" i="6"/>
  <c r="AK55" i="6" s="1"/>
  <c r="AK37" i="6"/>
  <c r="BB72" i="10"/>
  <c r="AM9" i="13"/>
  <c r="AN4" i="13" s="1"/>
  <c r="AT177" i="11"/>
  <c r="AT176" i="11"/>
  <c r="AT92" i="11"/>
  <c r="AT80" i="11" a="1"/>
  <c r="AT80" i="11" s="1"/>
  <c r="AT96" i="11"/>
  <c r="AT77" i="11" a="1"/>
  <c r="AT77" i="11" s="1"/>
  <c r="AT68" i="11" a="1"/>
  <c r="AT68" i="11" s="1"/>
  <c r="AT78" i="11" a="1"/>
  <c r="AT78" i="11" s="1"/>
  <c r="AT70" i="11" a="1"/>
  <c r="AT70" i="11" s="1"/>
  <c r="AT69" i="11" a="1"/>
  <c r="AT69" i="11" s="1"/>
  <c r="AT48" i="11" a="1"/>
  <c r="AT48" i="11" s="1"/>
  <c r="AT50" i="11" a="1"/>
  <c r="AT50" i="11" s="1"/>
  <c r="AT49" i="11" a="1"/>
  <c r="AT49" i="11" s="1"/>
  <c r="AT28" i="11" a="1"/>
  <c r="AT28" i="11" s="1"/>
  <c r="AT24" i="11" a="1"/>
  <c r="AT24" i="11" s="1"/>
  <c r="AT12" i="11" a="1"/>
  <c r="AT12" i="11" s="1"/>
  <c r="AT27" i="11" a="1"/>
  <c r="AT27" i="11" s="1"/>
  <c r="AT26" i="11" a="1"/>
  <c r="AT26" i="11" s="1"/>
  <c r="AT10" i="11" a="1"/>
  <c r="AT10" i="11" s="1"/>
  <c r="AU1" i="11"/>
  <c r="AT11" i="11" a="1"/>
  <c r="AT11" i="11" s="1"/>
  <c r="BC69" i="9"/>
  <c r="BB65" i="10"/>
  <c r="BB68" i="10"/>
  <c r="BB87" i="10"/>
  <c r="BB86" i="10"/>
  <c r="BB85" i="10"/>
  <c r="BB88" i="10"/>
  <c r="BB84" i="10"/>
  <c r="AS30" i="11"/>
  <c r="AQ25" i="13"/>
  <c r="AQ11" i="13"/>
  <c r="AQ5" i="13"/>
  <c r="AR2" i="13"/>
  <c r="BB69" i="10"/>
  <c r="BB89" i="9"/>
  <c r="BB90" i="9" s="1"/>
  <c r="AR13" i="12"/>
  <c r="AK39" i="6"/>
  <c r="BA81" i="10"/>
  <c r="BA82" i="10" s="1"/>
  <c r="AP8" i="6"/>
  <c r="AP9" i="6" s="1"/>
  <c r="AQ7" i="7"/>
  <c r="AQ12" i="7"/>
  <c r="AQ14" i="7" s="1"/>
  <c r="AS71" i="11"/>
  <c r="BC71" i="9"/>
  <c r="AC27" i="13"/>
  <c r="AC28" i="13" s="1"/>
  <c r="AL20" i="7"/>
  <c r="AK40" i="7"/>
  <c r="AK64" i="7"/>
  <c r="AK65" i="7" s="1"/>
  <c r="AR26" i="13"/>
  <c r="AR6" i="13"/>
  <c r="AS1" i="13"/>
  <c r="BU5" i="6"/>
  <c r="BT4" i="6"/>
  <c r="AS13" i="11"/>
  <c r="BC65" i="9"/>
  <c r="BC87" i="9"/>
  <c r="BC68" i="9"/>
  <c r="BC85" i="9"/>
  <c r="BC84" i="9"/>
  <c r="BC88" i="9"/>
  <c r="BC86" i="9"/>
  <c r="AS1" i="15"/>
  <c r="BD55" i="9"/>
  <c r="BD40" i="9"/>
  <c r="BD35" i="9"/>
  <c r="BD61" i="9"/>
  <c r="BD54" i="9"/>
  <c r="BD16" i="9"/>
  <c r="BD34" i="9"/>
  <c r="BD44" i="9"/>
  <c r="BD10" i="9"/>
  <c r="BD4" i="9"/>
  <c r="BD60" i="9"/>
  <c r="BD53" i="9"/>
  <c r="BD48" i="9"/>
  <c r="BD33" i="9"/>
  <c r="BD70" i="9" s="1"/>
  <c r="BD20" i="9"/>
  <c r="BE1" i="9"/>
  <c r="BD43" i="9"/>
  <c r="BD9" i="9"/>
  <c r="BD59" i="9"/>
  <c r="BD14" i="9"/>
  <c r="BD19" i="9"/>
  <c r="BD58" i="9"/>
  <c r="BD42" i="9"/>
  <c r="BD8" i="9"/>
  <c r="BD57" i="9"/>
  <c r="BD36" i="9"/>
  <c r="BD7" i="9"/>
  <c r="BD17" i="9"/>
  <c r="BD11" i="9"/>
  <c r="BD18" i="9"/>
  <c r="BD56" i="9"/>
  <c r="BD12" i="9"/>
  <c r="BD41" i="9"/>
  <c r="BD63" i="9"/>
  <c r="BD13" i="9"/>
  <c r="BD62" i="9"/>
  <c r="BD15" i="9"/>
  <c r="BD5" i="9"/>
  <c r="BD49" i="9"/>
  <c r="BD21" i="9"/>
  <c r="BD45" i="9"/>
  <c r="BD38" i="9"/>
  <c r="BD37" i="9"/>
  <c r="BD64" i="9"/>
  <c r="BD50" i="9"/>
  <c r="BD22" i="9"/>
  <c r="BD46" i="9"/>
  <c r="BD51" i="9"/>
  <c r="BD23" i="9"/>
  <c r="BD47" i="9"/>
  <c r="BD24" i="9"/>
  <c r="BD25" i="9"/>
  <c r="BD26" i="9"/>
  <c r="BD27" i="9"/>
  <c r="BD28" i="9"/>
  <c r="BD29" i="9"/>
  <c r="BD30" i="9"/>
  <c r="BD31" i="9"/>
  <c r="BA89" i="10"/>
  <c r="BA90" i="10" s="1"/>
  <c r="AT29" i="11" l="1"/>
  <c r="AT30" i="11" s="1"/>
  <c r="AT71" i="11"/>
  <c r="BC73" i="9"/>
  <c r="BC81" i="9"/>
  <c r="BC82" i="9" s="1"/>
  <c r="BB81" i="10"/>
  <c r="BB82" i="10" s="1"/>
  <c r="AS71" i="12"/>
  <c r="AQ8" i="6"/>
  <c r="AQ9" i="6" s="1"/>
  <c r="BD65" i="9"/>
  <c r="BD87" i="9"/>
  <c r="BD68" i="9"/>
  <c r="BD85" i="9"/>
  <c r="BD88" i="9"/>
  <c r="BD86" i="9"/>
  <c r="BD84" i="9"/>
  <c r="AC29" i="13"/>
  <c r="AD24" i="13" s="1"/>
  <c r="AT1" i="15"/>
  <c r="AR11" i="13"/>
  <c r="AR5" i="13"/>
  <c r="AR25" i="13"/>
  <c r="AS2" i="13"/>
  <c r="BB73" i="10"/>
  <c r="BB74" i="10" s="1"/>
  <c r="AS29" i="12"/>
  <c r="AS30" i="12" s="1"/>
  <c r="AL20" i="6"/>
  <c r="AU177" i="11"/>
  <c r="AU176" i="11"/>
  <c r="AU92" i="11"/>
  <c r="AU80" i="11" a="1"/>
  <c r="AU80" i="11" s="1"/>
  <c r="AU96" i="11"/>
  <c r="AU78" i="11" a="1"/>
  <c r="AU78" i="11" s="1"/>
  <c r="AU70" i="11" a="1"/>
  <c r="AU70" i="11" s="1"/>
  <c r="AU69" i="11" a="1"/>
  <c r="AU69" i="11" s="1"/>
  <c r="AU48" i="11" a="1"/>
  <c r="AU48" i="11" s="1"/>
  <c r="AU50" i="11" a="1"/>
  <c r="AU50" i="11" s="1"/>
  <c r="AU77" i="11" a="1"/>
  <c r="AU77" i="11" s="1"/>
  <c r="AU68" i="11" a="1"/>
  <c r="AU68" i="11" s="1"/>
  <c r="AU49" i="11" a="1"/>
  <c r="AU49" i="11" s="1"/>
  <c r="AU24" i="11" a="1"/>
  <c r="AU24" i="11" s="1"/>
  <c r="AU11" i="11" a="1"/>
  <c r="AU11" i="11" s="1"/>
  <c r="AU10" i="11" a="1"/>
  <c r="AU10" i="11" s="1"/>
  <c r="AU27" i="11" a="1"/>
  <c r="AU27" i="11" s="1"/>
  <c r="AU26" i="11" a="1"/>
  <c r="AU26" i="11" s="1"/>
  <c r="AV1" i="11"/>
  <c r="AU28" i="11" a="1"/>
  <c r="AU28" i="11" s="1"/>
  <c r="AU12" i="11" a="1"/>
  <c r="AU12" i="11" s="1"/>
  <c r="AS13" i="12"/>
  <c r="AT177" i="12"/>
  <c r="AT176" i="12"/>
  <c r="AT92" i="12"/>
  <c r="AT70" i="12" a="1"/>
  <c r="AT70" i="12" s="1"/>
  <c r="AT78" i="12" a="1"/>
  <c r="AT78" i="12" s="1"/>
  <c r="AT77" i="12" a="1"/>
  <c r="AT77" i="12" s="1"/>
  <c r="AT80" i="12" a="1"/>
  <c r="AT80" i="12" s="1"/>
  <c r="AT96" i="12"/>
  <c r="AT69" i="12" a="1"/>
  <c r="AT69" i="12" s="1"/>
  <c r="AT50" i="12" a="1"/>
  <c r="AT50" i="12" s="1"/>
  <c r="AT49" i="12" a="1"/>
  <c r="AT49" i="12" s="1"/>
  <c r="AT48" i="12" a="1"/>
  <c r="AT48" i="12" s="1"/>
  <c r="AT68" i="12" a="1"/>
  <c r="AT68" i="12" s="1"/>
  <c r="AT11" i="12" a="1"/>
  <c r="AT11" i="12" s="1"/>
  <c r="AT28" i="12" a="1"/>
  <c r="AT28" i="12" s="1"/>
  <c r="AT27" i="12" a="1"/>
  <c r="AT27" i="12" s="1"/>
  <c r="AT26" i="12" a="1"/>
  <c r="AT26" i="12" s="1"/>
  <c r="AT10" i="12" a="1"/>
  <c r="AT10" i="12" s="1"/>
  <c r="AT24" i="12" a="1"/>
  <c r="AT24" i="12" s="1"/>
  <c r="AT12" i="12" a="1"/>
  <c r="AT12" i="12" s="1"/>
  <c r="AU1" i="12"/>
  <c r="BU4" i="6"/>
  <c r="BV5" i="6"/>
  <c r="BV4" i="6" s="1"/>
  <c r="AN7" i="13"/>
  <c r="AN8" i="13" s="1"/>
  <c r="AR12" i="6"/>
  <c r="AR14" i="6" s="1"/>
  <c r="AR7" i="6"/>
  <c r="BD72" i="9"/>
  <c r="BC89" i="9"/>
  <c r="BC90" i="9" s="1"/>
  <c r="AS3" i="6" a="1"/>
  <c r="AS3" i="6" s="1"/>
  <c r="AT1" i="6"/>
  <c r="BD60" i="10"/>
  <c r="BD61" i="10"/>
  <c r="BD14" i="10"/>
  <c r="BD59" i="10"/>
  <c r="BD56" i="10"/>
  <c r="BD53" i="10"/>
  <c r="BD19" i="10"/>
  <c r="BD8" i="10"/>
  <c r="BE1" i="10"/>
  <c r="BD54" i="10"/>
  <c r="BD13" i="10"/>
  <c r="BD58" i="10"/>
  <c r="BD18" i="10"/>
  <c r="BD23" i="10"/>
  <c r="BD43" i="10"/>
  <c r="BD34" i="10"/>
  <c r="BD12" i="10"/>
  <c r="BD7" i="10"/>
  <c r="BD42" i="10"/>
  <c r="BD41" i="10"/>
  <c r="BD40" i="10"/>
  <c r="BD17" i="10"/>
  <c r="BD22" i="10"/>
  <c r="BD57" i="10"/>
  <c r="BD33" i="10"/>
  <c r="BD11" i="10"/>
  <c r="BD55" i="10"/>
  <c r="BD16" i="10"/>
  <c r="BD21" i="10"/>
  <c r="BD5" i="10"/>
  <c r="BD10" i="10"/>
  <c r="BD20" i="10"/>
  <c r="BD9" i="10"/>
  <c r="BD15" i="10"/>
  <c r="BD4" i="10"/>
  <c r="AQ8" i="7"/>
  <c r="AQ9" i="7" s="1"/>
  <c r="BC65" i="10"/>
  <c r="BC68" i="10"/>
  <c r="BC86" i="10"/>
  <c r="BC88" i="10"/>
  <c r="BC84" i="10"/>
  <c r="BC87" i="10"/>
  <c r="BC85" i="10"/>
  <c r="AS26" i="13"/>
  <c r="AS6" i="13"/>
  <c r="AT1" i="13"/>
  <c r="BC70" i="10"/>
  <c r="BE11" i="9"/>
  <c r="BE5" i="9"/>
  <c r="BE61" i="9"/>
  <c r="BE54" i="9"/>
  <c r="BE34" i="9"/>
  <c r="BE44" i="9"/>
  <c r="BE10" i="9"/>
  <c r="BE4" i="9"/>
  <c r="BE60" i="9"/>
  <c r="BE53" i="9"/>
  <c r="BE72" i="9" s="1"/>
  <c r="BE48" i="9"/>
  <c r="BE15" i="9"/>
  <c r="BE33" i="9"/>
  <c r="BE43" i="9"/>
  <c r="BE9" i="9"/>
  <c r="BE59" i="9"/>
  <c r="BE14" i="9"/>
  <c r="BE19" i="9"/>
  <c r="BE58" i="9"/>
  <c r="BE42" i="9"/>
  <c r="BE8" i="9"/>
  <c r="BE63" i="9"/>
  <c r="BE13" i="9"/>
  <c r="BE41" i="9"/>
  <c r="BE7" i="9"/>
  <c r="BE17" i="9"/>
  <c r="BE35" i="9"/>
  <c r="BE20" i="9"/>
  <c r="BE18" i="9"/>
  <c r="BE57" i="9"/>
  <c r="BE56" i="9"/>
  <c r="BE12" i="9"/>
  <c r="BE55" i="9"/>
  <c r="BE16" i="9"/>
  <c r="BF1" i="9"/>
  <c r="BE40" i="9"/>
  <c r="BE36" i="9"/>
  <c r="BE62" i="9"/>
  <c r="BE45" i="9"/>
  <c r="BE21" i="9"/>
  <c r="BE49" i="9"/>
  <c r="BE38" i="9"/>
  <c r="BE64" i="9"/>
  <c r="BE37" i="9"/>
  <c r="BE22" i="9"/>
  <c r="BE50" i="9"/>
  <c r="BE46" i="9"/>
  <c r="BE47" i="9"/>
  <c r="BE23" i="9"/>
  <c r="BE51" i="9"/>
  <c r="BE24" i="9"/>
  <c r="BE25" i="9"/>
  <c r="BE26" i="9"/>
  <c r="BE27" i="9"/>
  <c r="BE28" i="9"/>
  <c r="BE29" i="9"/>
  <c r="BE30" i="9"/>
  <c r="BE31" i="9"/>
  <c r="AL39" i="7"/>
  <c r="AT13" i="11"/>
  <c r="AT51" i="11"/>
  <c r="AK40" i="6"/>
  <c r="AK64" i="6"/>
  <c r="AK65" i="6" s="1"/>
  <c r="AS51" i="12"/>
  <c r="AK67" i="7"/>
  <c r="AK68" i="7" s="1"/>
  <c r="BC74" i="9"/>
  <c r="AL54" i="6"/>
  <c r="AR12" i="7"/>
  <c r="AR14" i="7" s="1"/>
  <c r="AR7" i="7"/>
  <c r="BC72" i="10"/>
  <c r="BD69" i="9"/>
  <c r="BD71" i="9"/>
  <c r="AK48" i="6"/>
  <c r="AW43" i="6"/>
  <c r="AT1" i="7"/>
  <c r="AS3" i="7" a="1"/>
  <c r="AS3" i="7" s="1"/>
  <c r="BC71" i="10"/>
  <c r="AL45" i="7"/>
  <c r="AL52" i="7"/>
  <c r="AL55" i="7" s="1"/>
  <c r="AL37" i="7"/>
  <c r="AL18" i="7"/>
  <c r="AL21" i="7" s="1"/>
  <c r="BB89" i="10"/>
  <c r="BB90" i="10" s="1"/>
  <c r="BD81" i="9" l="1"/>
  <c r="BD82" i="9" s="1"/>
  <c r="AU71" i="11"/>
  <c r="AT29" i="12"/>
  <c r="AT51" i="12"/>
  <c r="AR8" i="7"/>
  <c r="AU29" i="11"/>
  <c r="AU30" i="11" s="1"/>
  <c r="AU1" i="15"/>
  <c r="BC89" i="10"/>
  <c r="BC90" i="10" s="1"/>
  <c r="AT13" i="12"/>
  <c r="AU177" i="12"/>
  <c r="AU176" i="12"/>
  <c r="AU92" i="12"/>
  <c r="AU78" i="12" a="1"/>
  <c r="AU78" i="12" s="1"/>
  <c r="AU69" i="12" a="1"/>
  <c r="AU69" i="12" s="1"/>
  <c r="AU77" i="12" a="1"/>
  <c r="AU77" i="12" s="1"/>
  <c r="AU68" i="12" a="1"/>
  <c r="AU68" i="12" s="1"/>
  <c r="AU80" i="12" a="1"/>
  <c r="AU80" i="12" s="1"/>
  <c r="AU96" i="12"/>
  <c r="AU50" i="12" a="1"/>
  <c r="AU50" i="12" s="1"/>
  <c r="AU49" i="12" a="1"/>
  <c r="AU49" i="12" s="1"/>
  <c r="AU48" i="12" a="1"/>
  <c r="AU48" i="12" s="1"/>
  <c r="AU28" i="12" a="1"/>
  <c r="AU28" i="12" s="1"/>
  <c r="AU27" i="12" a="1"/>
  <c r="AU27" i="12" s="1"/>
  <c r="AU26" i="12" a="1"/>
  <c r="AU26" i="12" s="1"/>
  <c r="AU70" i="12" a="1"/>
  <c r="AU70" i="12" s="1"/>
  <c r="AU10" i="12" a="1"/>
  <c r="AU10" i="12" s="1"/>
  <c r="AU11" i="12" a="1"/>
  <c r="AU11" i="12" s="1"/>
  <c r="AU24" i="12" a="1"/>
  <c r="AU24" i="12" s="1"/>
  <c r="AV1" i="12"/>
  <c r="AU12" i="12" a="1"/>
  <c r="AU12" i="12" s="1"/>
  <c r="AT3" i="6" a="1"/>
  <c r="AT3" i="6" s="1"/>
  <c r="AU1" i="6"/>
  <c r="AL4" i="12" a="1"/>
  <c r="AL4" i="12" s="1"/>
  <c r="AL5" i="12" s="1"/>
  <c r="BE71" i="9"/>
  <c r="AS12" i="6"/>
  <c r="AS14" i="6" s="1"/>
  <c r="AS7" i="6"/>
  <c r="AM20" i="7"/>
  <c r="BD65" i="10"/>
  <c r="BD68" i="10"/>
  <c r="BD87" i="10"/>
  <c r="BD84" i="10"/>
  <c r="BD86" i="10"/>
  <c r="BD88" i="10"/>
  <c r="BD85" i="10"/>
  <c r="AL40" i="7"/>
  <c r="AL64" i="7"/>
  <c r="AL65" i="7" s="1"/>
  <c r="AV177" i="11"/>
  <c r="AV176" i="11"/>
  <c r="AV92" i="11"/>
  <c r="AV80" i="11" a="1"/>
  <c r="AV80" i="11" s="1"/>
  <c r="AV96" i="11"/>
  <c r="AV78" i="11" a="1"/>
  <c r="AV78" i="11" s="1"/>
  <c r="AV77" i="11" a="1"/>
  <c r="AV77" i="11" s="1"/>
  <c r="AV70" i="11" a="1"/>
  <c r="AV70" i="11" s="1"/>
  <c r="AV69" i="11" a="1"/>
  <c r="AV69" i="11" s="1"/>
  <c r="AV48" i="11" a="1"/>
  <c r="AV48" i="11" s="1"/>
  <c r="AV50" i="11" a="1"/>
  <c r="AV50" i="11" s="1"/>
  <c r="AV68" i="11" a="1"/>
  <c r="AV68" i="11" s="1"/>
  <c r="AV49" i="11" a="1"/>
  <c r="AV49" i="11" s="1"/>
  <c r="AV24" i="11" a="1"/>
  <c r="AV24" i="11" s="1"/>
  <c r="AV12" i="11" a="1"/>
  <c r="AV12" i="11" s="1"/>
  <c r="AV27" i="11" a="1"/>
  <c r="AV27" i="11" s="1"/>
  <c r="AV26" i="11" a="1"/>
  <c r="AV26" i="11" s="1"/>
  <c r="AV28" i="11" a="1"/>
  <c r="AV28" i="11" s="1"/>
  <c r="AV10" i="11" a="1"/>
  <c r="AV10" i="11" s="1"/>
  <c r="AW1" i="11"/>
  <c r="AV11" i="11" a="1"/>
  <c r="AV11" i="11" s="1"/>
  <c r="AS7" i="7"/>
  <c r="AS12" i="7"/>
  <c r="AS14" i="7" s="1"/>
  <c r="BF61" i="9"/>
  <c r="BF54" i="9"/>
  <c r="BF16" i="9"/>
  <c r="BF44" i="9"/>
  <c r="BF10" i="9"/>
  <c r="BF4" i="9"/>
  <c r="BF60" i="9"/>
  <c r="BF53" i="9"/>
  <c r="BF48" i="9"/>
  <c r="BF15" i="9"/>
  <c r="BF33" i="9"/>
  <c r="BF70" i="9" s="1"/>
  <c r="BF20" i="9"/>
  <c r="BG1" i="9"/>
  <c r="BF43" i="9"/>
  <c r="BF59" i="9"/>
  <c r="BF14" i="9"/>
  <c r="BF19" i="9"/>
  <c r="BF58" i="9"/>
  <c r="BF42" i="9"/>
  <c r="BF8" i="9"/>
  <c r="BF63" i="9"/>
  <c r="BF13" i="9"/>
  <c r="BF57" i="9"/>
  <c r="BF36" i="9"/>
  <c r="BF18" i="9"/>
  <c r="BF56" i="9"/>
  <c r="BF17" i="9"/>
  <c r="BF11" i="9"/>
  <c r="BF35" i="9"/>
  <c r="BF34" i="9"/>
  <c r="BF12" i="9"/>
  <c r="BF55" i="9"/>
  <c r="BF41" i="9"/>
  <c r="BF40" i="9"/>
  <c r="BF5" i="9"/>
  <c r="BF9" i="9"/>
  <c r="BF7" i="9"/>
  <c r="BF45" i="9"/>
  <c r="BF62" i="9"/>
  <c r="BF38" i="9"/>
  <c r="BF37" i="9"/>
  <c r="BF49" i="9"/>
  <c r="BF64" i="9"/>
  <c r="BF21" i="9"/>
  <c r="BF50" i="9"/>
  <c r="BF46" i="9"/>
  <c r="BF22" i="9"/>
  <c r="BF47" i="9"/>
  <c r="BF23" i="9"/>
  <c r="BF51" i="9"/>
  <c r="BF24" i="9"/>
  <c r="BF25" i="9"/>
  <c r="BF26" i="9"/>
  <c r="BF27" i="9"/>
  <c r="BF28" i="9"/>
  <c r="BF29" i="9"/>
  <c r="BF30" i="9"/>
  <c r="BF31" i="9"/>
  <c r="BC81" i="10"/>
  <c r="BC82" i="10" s="1"/>
  <c r="AD29" i="13"/>
  <c r="AE24" i="13" s="1"/>
  <c r="AD27" i="13"/>
  <c r="AD28" i="13" s="1"/>
  <c r="BD89" i="9"/>
  <c r="BD90" i="9" s="1"/>
  <c r="BE65" i="9"/>
  <c r="BE87" i="9"/>
  <c r="BE68" i="9"/>
  <c r="BE88" i="9"/>
  <c r="BE86" i="9"/>
  <c r="BE84" i="9"/>
  <c r="BE85" i="9"/>
  <c r="AL45" i="6"/>
  <c r="AL37" i="6"/>
  <c r="AL52" i="6"/>
  <c r="AL55" i="6" s="1"/>
  <c r="AL18" i="6"/>
  <c r="AL21" i="6" s="1"/>
  <c r="AT71" i="12"/>
  <c r="BE69" i="9"/>
  <c r="AL48" i="7"/>
  <c r="AX43" i="7"/>
  <c r="AL39" i="6"/>
  <c r="BD70" i="10"/>
  <c r="BE58" i="10"/>
  <c r="BE54" i="10"/>
  <c r="BE60" i="10"/>
  <c r="BE55" i="10"/>
  <c r="BE59" i="10"/>
  <c r="BE56" i="10"/>
  <c r="BE53" i="10"/>
  <c r="BE72" i="10" s="1"/>
  <c r="BE19" i="10"/>
  <c r="BE8" i="10"/>
  <c r="BF1" i="10"/>
  <c r="BE13" i="10"/>
  <c r="BE18" i="10"/>
  <c r="BE23" i="10"/>
  <c r="BE43" i="10"/>
  <c r="BE34" i="10"/>
  <c r="BE12" i="10"/>
  <c r="BE7" i="10"/>
  <c r="BE42" i="10"/>
  <c r="BE41" i="10"/>
  <c r="BE40" i="10"/>
  <c r="BE71" i="10" s="1"/>
  <c r="BE17" i="10"/>
  <c r="BE22" i="10"/>
  <c r="BE57" i="10"/>
  <c r="BE33" i="10"/>
  <c r="BE70" i="10" s="1"/>
  <c r="BE11" i="10"/>
  <c r="BE16" i="10"/>
  <c r="BE21" i="10"/>
  <c r="BE5" i="10"/>
  <c r="BE10" i="10"/>
  <c r="BE61" i="10"/>
  <c r="BE15" i="10"/>
  <c r="BE9" i="10"/>
  <c r="BE4" i="10"/>
  <c r="BE14" i="10"/>
  <c r="BE20" i="10"/>
  <c r="AK67" i="6"/>
  <c r="AK68" i="6" s="1"/>
  <c r="AM54" i="7"/>
  <c r="AT30" i="12"/>
  <c r="AU13" i="11"/>
  <c r="AU1" i="7"/>
  <c r="AT3" i="7" a="1"/>
  <c r="AT3" i="7" s="1"/>
  <c r="BC73" i="10"/>
  <c r="BC74" i="10" s="1"/>
  <c r="AN9" i="13"/>
  <c r="AO4" i="13" s="1"/>
  <c r="AU51" i="11"/>
  <c r="AR8" i="6"/>
  <c r="AR9" i="6" s="1"/>
  <c r="AS8" i="6" s="1"/>
  <c r="BE70" i="9"/>
  <c r="AT26" i="13"/>
  <c r="AT6" i="13"/>
  <c r="AU1" i="13"/>
  <c r="BD72" i="10"/>
  <c r="BD73" i="9"/>
  <c r="BD74" i="9" s="1"/>
  <c r="BD69" i="10"/>
  <c r="AR9" i="7"/>
  <c r="BD71" i="10"/>
  <c r="AS25" i="13"/>
  <c r="AS5" i="13"/>
  <c r="AT2" i="13"/>
  <c r="AS11" i="13"/>
  <c r="AU71" i="12" l="1"/>
  <c r="AV71" i="11"/>
  <c r="AV13" i="11"/>
  <c r="BD73" i="10"/>
  <c r="BD74" i="10" s="1"/>
  <c r="AU29" i="12"/>
  <c r="AU30" i="12" s="1"/>
  <c r="BE73" i="9"/>
  <c r="BE74" i="9" s="1"/>
  <c r="BE81" i="9"/>
  <c r="BE82" i="9" s="1"/>
  <c r="AV29" i="11"/>
  <c r="AV30" i="11" s="1"/>
  <c r="AU51" i="12"/>
  <c r="AV1" i="15"/>
  <c r="AO9" i="13"/>
  <c r="AP4" i="13" s="1"/>
  <c r="AO7" i="13"/>
  <c r="AO8" i="13" s="1"/>
  <c r="BF65" i="9"/>
  <c r="BF87" i="9"/>
  <c r="BF68" i="9"/>
  <c r="BF84" i="9"/>
  <c r="BF85" i="9"/>
  <c r="BF88" i="9"/>
  <c r="BF86" i="9"/>
  <c r="AM45" i="7"/>
  <c r="AM52" i="7"/>
  <c r="AM55" i="7" s="1"/>
  <c r="AM37" i="7"/>
  <c r="AM18" i="7"/>
  <c r="AM21" i="7" s="1"/>
  <c r="AL4" i="11" a="1"/>
  <c r="AL4" i="11" s="1"/>
  <c r="AL5" i="11" s="1"/>
  <c r="AM20" i="6"/>
  <c r="BF69" i="9"/>
  <c r="AM39" i="7"/>
  <c r="AL67" i="7"/>
  <c r="AL68" i="7" s="1"/>
  <c r="AU3" i="6" a="1"/>
  <c r="AU3" i="6" s="1"/>
  <c r="AV1" i="6"/>
  <c r="BE69" i="10"/>
  <c r="AM54" i="6"/>
  <c r="AT7" i="6"/>
  <c r="AT12" i="6"/>
  <c r="AT14" i="6" s="1"/>
  <c r="AW177" i="11"/>
  <c r="AW176" i="11"/>
  <c r="AW80" i="11" a="1"/>
  <c r="AW80" i="11" s="1"/>
  <c r="AW96" i="11"/>
  <c r="AW92" i="11"/>
  <c r="AW50" i="11" a="1"/>
  <c r="AW50" i="11" s="1"/>
  <c r="AW70" i="11" a="1"/>
  <c r="AW70" i="11" s="1"/>
  <c r="AW78" i="11" a="1"/>
  <c r="AW78" i="11" s="1"/>
  <c r="AW69" i="11" a="1"/>
  <c r="AW69" i="11" s="1"/>
  <c r="AW48" i="11" a="1"/>
  <c r="AW48" i="11" s="1"/>
  <c r="AW68" i="11" a="1"/>
  <c r="AW68" i="11" s="1"/>
  <c r="AW49" i="11" a="1"/>
  <c r="AW49" i="11" s="1"/>
  <c r="AW77" i="11" a="1"/>
  <c r="AW77" i="11" s="1"/>
  <c r="AW28" i="11" a="1"/>
  <c r="AW28" i="11" s="1"/>
  <c r="AW10" i="11" a="1"/>
  <c r="AW10" i="11" s="1"/>
  <c r="AW27" i="11" a="1"/>
  <c r="AW27" i="11" s="1"/>
  <c r="AW26" i="11" a="1"/>
  <c r="AW26" i="11" s="1"/>
  <c r="AX1" i="11"/>
  <c r="AW24" i="11" a="1"/>
  <c r="AW24" i="11" s="1"/>
  <c r="AW11" i="11" a="1"/>
  <c r="AW11" i="11" s="1"/>
  <c r="AW12" i="11" a="1"/>
  <c r="AW12" i="11" s="1"/>
  <c r="AL40" i="6"/>
  <c r="AL64" i="6"/>
  <c r="AL65" i="6" s="1"/>
  <c r="AV1" i="7"/>
  <c r="AU3" i="7" a="1"/>
  <c r="AU3" i="7" s="1"/>
  <c r="AL48" i="6"/>
  <c r="AX43" i="6"/>
  <c r="BF71" i="9"/>
  <c r="AV51" i="11"/>
  <c r="AS9" i="6"/>
  <c r="AT8" i="6" s="1"/>
  <c r="AV177" i="12"/>
  <c r="AV176" i="12"/>
  <c r="AV96" i="12"/>
  <c r="AV92" i="12"/>
  <c r="AV80" i="12" a="1"/>
  <c r="AV80" i="12" s="1"/>
  <c r="AV78" i="12" a="1"/>
  <c r="AV78" i="12" s="1"/>
  <c r="AV68" i="12" a="1"/>
  <c r="AV68" i="12" s="1"/>
  <c r="AV77" i="12" a="1"/>
  <c r="AV77" i="12" s="1"/>
  <c r="AV70" i="12" a="1"/>
  <c r="AV70" i="12" s="1"/>
  <c r="AV49" i="12" a="1"/>
  <c r="AV49" i="12" s="1"/>
  <c r="AV48" i="12" a="1"/>
  <c r="AV48" i="12" s="1"/>
  <c r="AV69" i="12" a="1"/>
  <c r="AV69" i="12" s="1"/>
  <c r="AV26" i="12" a="1"/>
  <c r="AV26" i="12" s="1"/>
  <c r="AV29" i="12" s="1"/>
  <c r="AV30" i="12" s="1"/>
  <c r="AV50" i="12" a="1"/>
  <c r="AV50" i="12" s="1"/>
  <c r="AV24" i="12" a="1"/>
  <c r="AV24" i="12" s="1"/>
  <c r="AV28" i="12" a="1"/>
  <c r="AV28" i="12" s="1"/>
  <c r="AV11" i="12" a="1"/>
  <c r="AV11" i="12" s="1"/>
  <c r="AV27" i="12" a="1"/>
  <c r="AV27" i="12" s="1"/>
  <c r="AV12" i="12" a="1"/>
  <c r="AV12" i="12" s="1"/>
  <c r="AV10" i="12" a="1"/>
  <c r="AV10" i="12" s="1"/>
  <c r="AW1" i="12"/>
  <c r="BE65" i="10"/>
  <c r="BE68" i="10"/>
  <c r="BE73" i="10" s="1"/>
  <c r="BE74" i="10" s="1"/>
  <c r="BE88" i="10"/>
  <c r="BE86" i="10"/>
  <c r="BE85" i="10"/>
  <c r="BE84" i="10"/>
  <c r="BE87" i="10"/>
  <c r="BD89" i="10"/>
  <c r="BD90" i="10" s="1"/>
  <c r="AS8" i="7"/>
  <c r="AS9" i="7" s="1"/>
  <c r="AT8" i="7" s="1"/>
  <c r="BF72" i="9"/>
  <c r="BD81" i="10"/>
  <c r="BD82" i="10" s="1"/>
  <c r="AT12" i="7"/>
  <c r="AT14" i="7" s="1"/>
  <c r="AT7" i="7"/>
  <c r="AU26" i="13"/>
  <c r="AU6" i="13"/>
  <c r="AV1" i="13"/>
  <c r="BE89" i="9"/>
  <c r="BE90" i="9" s="1"/>
  <c r="AU13" i="12"/>
  <c r="AT25" i="13"/>
  <c r="AT5" i="13"/>
  <c r="AU2" i="13"/>
  <c r="AT11" i="13"/>
  <c r="BF56" i="10"/>
  <c r="BF8" i="10"/>
  <c r="BG1" i="10"/>
  <c r="BF13" i="10"/>
  <c r="BF54" i="10"/>
  <c r="BF18" i="10"/>
  <c r="BF58" i="10"/>
  <c r="BF23" i="10"/>
  <c r="BF43" i="10"/>
  <c r="BF34" i="10"/>
  <c r="BF12" i="10"/>
  <c r="BF7" i="10"/>
  <c r="BF42" i="10"/>
  <c r="BF41" i="10"/>
  <c r="BF40" i="10"/>
  <c r="BF71" i="10" s="1"/>
  <c r="BF17" i="10"/>
  <c r="BF22" i="10"/>
  <c r="BF57" i="10"/>
  <c r="BF33" i="10"/>
  <c r="BF11" i="10"/>
  <c r="BF16" i="10"/>
  <c r="BF55" i="10"/>
  <c r="BF21" i="10"/>
  <c r="BF5" i="10"/>
  <c r="BF10" i="10"/>
  <c r="BF61" i="10"/>
  <c r="BF15" i="10"/>
  <c r="BF20" i="10"/>
  <c r="BF14" i="10"/>
  <c r="BF59" i="10"/>
  <c r="BF60" i="10"/>
  <c r="BF19" i="10"/>
  <c r="BF9" i="10"/>
  <c r="BF4" i="10"/>
  <c r="BF53" i="10"/>
  <c r="AE29" i="13"/>
  <c r="AF24" i="13" s="1"/>
  <c r="AE27" i="13"/>
  <c r="AE28" i="13" s="1"/>
  <c r="BG34" i="9"/>
  <c r="BG44" i="9"/>
  <c r="BG60" i="9"/>
  <c r="BG53" i="9"/>
  <c r="BG48" i="9"/>
  <c r="BG15" i="9"/>
  <c r="BG33" i="9"/>
  <c r="BG20" i="9"/>
  <c r="BH1" i="9"/>
  <c r="BG43" i="9"/>
  <c r="BG9" i="9"/>
  <c r="BG59" i="9"/>
  <c r="BG19" i="9"/>
  <c r="BG58" i="9"/>
  <c r="BG42" i="9"/>
  <c r="BG8" i="9"/>
  <c r="BG13" i="9"/>
  <c r="BG57" i="9"/>
  <c r="BG18" i="9"/>
  <c r="BG41" i="9"/>
  <c r="BG7" i="9"/>
  <c r="BG62" i="9"/>
  <c r="BG11" i="9"/>
  <c r="BG35" i="9"/>
  <c r="BG4" i="9"/>
  <c r="BG14" i="9"/>
  <c r="BG12" i="9"/>
  <c r="BG56" i="9"/>
  <c r="BG55" i="9"/>
  <c r="BG54" i="9"/>
  <c r="BG16" i="9"/>
  <c r="BG10" i="9"/>
  <c r="BG40" i="9"/>
  <c r="BG5" i="9"/>
  <c r="BG17" i="9"/>
  <c r="BG61" i="9"/>
  <c r="BG21" i="9"/>
  <c r="BG63" i="9"/>
  <c r="BG64" i="9"/>
  <c r="BG38" i="9"/>
  <c r="BG49" i="9"/>
  <c r="BG37" i="9"/>
  <c r="BG36" i="9"/>
  <c r="BG45" i="9"/>
  <c r="BG46" i="9"/>
  <c r="BG50" i="9"/>
  <c r="BG22" i="9"/>
  <c r="BG23" i="9"/>
  <c r="BG51" i="9"/>
  <c r="BG47" i="9"/>
  <c r="BG24" i="9"/>
  <c r="BG25" i="9"/>
  <c r="BG26" i="9"/>
  <c r="BG27" i="9"/>
  <c r="BG28" i="9"/>
  <c r="BG29" i="9"/>
  <c r="BG30" i="9"/>
  <c r="BG31" i="9"/>
  <c r="AW29" i="11" l="1"/>
  <c r="AW30" i="11" s="1"/>
  <c r="AW13" i="11"/>
  <c r="AW71" i="11"/>
  <c r="AV51" i="12"/>
  <c r="AL67" i="6"/>
  <c r="AL68" i="6" s="1"/>
  <c r="AM4" i="11" a="1"/>
  <c r="AM4" i="11" s="1"/>
  <c r="AM5" i="11" s="1"/>
  <c r="AM4" i="12" a="1"/>
  <c r="AM4" i="12" s="1"/>
  <c r="AM5" i="12" s="1"/>
  <c r="BF89" i="9"/>
  <c r="BF90" i="9" s="1"/>
  <c r="BH44" i="9"/>
  <c r="BH10" i="9"/>
  <c r="BH4" i="9"/>
  <c r="BH60" i="9"/>
  <c r="BH53" i="9"/>
  <c r="BH48" i="9"/>
  <c r="BH33" i="9"/>
  <c r="BH70" i="9" s="1"/>
  <c r="BH20" i="9"/>
  <c r="BI1" i="9"/>
  <c r="BH43" i="9"/>
  <c r="BH9" i="9"/>
  <c r="BH59" i="9"/>
  <c r="BH14" i="9"/>
  <c r="BH58" i="9"/>
  <c r="BH42" i="9"/>
  <c r="BH8" i="9"/>
  <c r="BH63" i="9"/>
  <c r="BH13" i="9"/>
  <c r="BH57" i="9"/>
  <c r="BH18" i="9"/>
  <c r="BH41" i="9"/>
  <c r="BH7" i="9"/>
  <c r="BH56" i="9"/>
  <c r="BH12" i="9"/>
  <c r="BH55" i="9"/>
  <c r="BH40" i="9"/>
  <c r="BH35" i="9"/>
  <c r="BH11" i="9"/>
  <c r="BH34" i="9"/>
  <c r="BH54" i="9"/>
  <c r="BH16" i="9"/>
  <c r="BH5" i="9"/>
  <c r="BH62" i="9"/>
  <c r="BH61" i="9"/>
  <c r="BH17" i="9"/>
  <c r="BH15" i="9"/>
  <c r="BH19" i="9"/>
  <c r="BH38" i="9"/>
  <c r="BH64" i="9"/>
  <c r="BH37" i="9"/>
  <c r="BH49" i="9"/>
  <c r="BH36" i="9"/>
  <c r="BH45" i="9"/>
  <c r="BH21" i="9"/>
  <c r="BH46" i="9"/>
  <c r="BH22" i="9"/>
  <c r="BH50" i="9"/>
  <c r="BH23" i="9"/>
  <c r="BH51" i="9"/>
  <c r="BH47" i="9"/>
  <c r="BH24" i="9"/>
  <c r="BH25" i="9"/>
  <c r="BH26" i="9"/>
  <c r="BH27" i="9"/>
  <c r="BH28" i="9"/>
  <c r="BH29" i="9"/>
  <c r="BH30" i="9"/>
  <c r="BH31" i="9"/>
  <c r="AU5" i="13"/>
  <c r="AV2" i="13"/>
  <c r="AU25" i="13"/>
  <c r="AU11" i="13"/>
  <c r="AV71" i="12"/>
  <c r="BG69" i="9"/>
  <c r="BG72" i="9"/>
  <c r="AW177" i="12"/>
  <c r="AW176" i="12"/>
  <c r="AW92" i="12"/>
  <c r="AW80" i="12" a="1"/>
  <c r="AW80" i="12" s="1"/>
  <c r="AW96" i="12"/>
  <c r="AW68" i="12" a="1"/>
  <c r="AW68" i="12" s="1"/>
  <c r="AW70" i="12" a="1"/>
  <c r="AW70" i="12" s="1"/>
  <c r="AW77" i="12" a="1"/>
  <c r="AW77" i="12" s="1"/>
  <c r="AW69" i="12" a="1"/>
  <c r="AW69" i="12" s="1"/>
  <c r="AW50" i="12" a="1"/>
  <c r="AW50" i="12" s="1"/>
  <c r="AW48" i="12" a="1"/>
  <c r="AW48" i="12" s="1"/>
  <c r="AW49" i="12" a="1"/>
  <c r="AW49" i="12" s="1"/>
  <c r="AW26" i="12" a="1"/>
  <c r="AW26" i="12" s="1"/>
  <c r="AW11" i="12" a="1"/>
  <c r="AW11" i="12" s="1"/>
  <c r="AX1" i="12"/>
  <c r="AW78" i="12" a="1"/>
  <c r="AW78" i="12" s="1"/>
  <c r="AW12" i="12" a="1"/>
  <c r="AW12" i="12" s="1"/>
  <c r="AW27" i="12" a="1"/>
  <c r="AW27" i="12" s="1"/>
  <c r="AW24" i="12" a="1"/>
  <c r="AW24" i="12" s="1"/>
  <c r="AW28" i="12" a="1"/>
  <c r="AW28" i="12" s="1"/>
  <c r="AW10" i="12" a="1"/>
  <c r="AW10" i="12" s="1"/>
  <c r="AT9" i="7"/>
  <c r="AU12" i="7"/>
  <c r="AU14" i="7" s="1"/>
  <c r="AU7" i="7"/>
  <c r="AV13" i="12"/>
  <c r="AM45" i="6"/>
  <c r="AM18" i="6"/>
  <c r="AM21" i="6" s="1"/>
  <c r="AM37" i="6"/>
  <c r="AM52" i="6"/>
  <c r="AM55" i="6" s="1"/>
  <c r="AW1" i="6"/>
  <c r="AV3" i="6" a="1"/>
  <c r="AV3" i="6" s="1"/>
  <c r="AU12" i="6"/>
  <c r="AU14" i="6" s="1"/>
  <c r="AU7" i="6"/>
  <c r="AW51" i="11"/>
  <c r="BF81" i="9"/>
  <c r="BF82" i="9" s="1"/>
  <c r="AV3" i="7" a="1"/>
  <c r="AV3" i="7" s="1"/>
  <c r="AW1" i="7"/>
  <c r="AT9" i="6"/>
  <c r="BE89" i="10"/>
  <c r="BE90" i="10" s="1"/>
  <c r="AV26" i="13"/>
  <c r="AW1" i="13"/>
  <c r="AV6" i="13"/>
  <c r="BG65" i="9"/>
  <c r="BG87" i="9"/>
  <c r="BG68" i="9"/>
  <c r="BG85" i="9"/>
  <c r="BG88" i="9"/>
  <c r="BG86" i="9"/>
  <c r="BG84" i="9"/>
  <c r="AN20" i="7"/>
  <c r="AM48" i="7"/>
  <c r="AY43" i="7"/>
  <c r="AW1" i="15"/>
  <c r="BG70" i="9"/>
  <c r="AM39" i="6"/>
  <c r="BF70" i="10"/>
  <c r="BG13" i="10"/>
  <c r="BG54" i="10"/>
  <c r="BG18" i="10"/>
  <c r="BG58" i="10"/>
  <c r="BG23" i="10"/>
  <c r="BG43" i="10"/>
  <c r="BG34" i="10"/>
  <c r="BG12" i="10"/>
  <c r="BG7" i="10"/>
  <c r="BG42" i="10"/>
  <c r="BG41" i="10"/>
  <c r="BG40" i="10"/>
  <c r="BG71" i="10" s="1"/>
  <c r="BG17" i="10"/>
  <c r="BG22" i="10"/>
  <c r="BG57" i="10"/>
  <c r="BG33" i="10"/>
  <c r="BG11" i="10"/>
  <c r="BG16" i="10"/>
  <c r="BG55" i="10"/>
  <c r="BG21" i="10"/>
  <c r="BG5" i="10"/>
  <c r="BG10" i="10"/>
  <c r="BG61" i="10"/>
  <c r="BG15" i="10"/>
  <c r="BG20" i="10"/>
  <c r="BG60" i="10"/>
  <c r="BG9" i="10"/>
  <c r="BG4" i="10"/>
  <c r="BG59" i="10"/>
  <c r="BG53" i="10"/>
  <c r="BG72" i="10" s="1"/>
  <c r="BG19" i="10"/>
  <c r="BG8" i="10"/>
  <c r="BG56" i="10"/>
  <c r="BH1" i="10"/>
  <c r="BG14" i="10"/>
  <c r="AM40" i="7"/>
  <c r="AM64" i="7"/>
  <c r="AM65" i="7" s="1"/>
  <c r="AP7" i="13"/>
  <c r="AP8" i="13" s="1"/>
  <c r="BF69" i="10"/>
  <c r="BF73" i="9"/>
  <c r="BF74" i="9" s="1"/>
  <c r="BG71" i="9"/>
  <c r="AF27" i="13"/>
  <c r="AF28" i="13" s="1"/>
  <c r="BF72" i="10"/>
  <c r="BF65" i="10"/>
  <c r="BF68" i="10"/>
  <c r="BF84" i="10"/>
  <c r="BF86" i="10"/>
  <c r="BF88" i="10"/>
  <c r="BF87" i="10"/>
  <c r="BF85" i="10"/>
  <c r="BE81" i="10"/>
  <c r="BE82" i="10" s="1"/>
  <c r="AX176" i="11"/>
  <c r="AX177" i="11"/>
  <c r="AX80" i="11" a="1"/>
  <c r="AX80" i="11" s="1"/>
  <c r="AX96" i="11"/>
  <c r="AX78" i="11" a="1"/>
  <c r="AX78" i="11" s="1"/>
  <c r="AX77" i="11" a="1"/>
  <c r="AX77" i="11" s="1"/>
  <c r="AX92" i="11"/>
  <c r="AX50" i="11" a="1"/>
  <c r="AX50" i="11" s="1"/>
  <c r="AX70" i="11" a="1"/>
  <c r="AX70" i="11" s="1"/>
  <c r="AX49" i="11" a="1"/>
  <c r="AX49" i="11" s="1"/>
  <c r="AX48" i="11" a="1"/>
  <c r="AX48" i="11" s="1"/>
  <c r="AX69" i="11" a="1"/>
  <c r="AX69" i="11" s="1"/>
  <c r="AX68" i="11" a="1"/>
  <c r="AX68" i="11" s="1"/>
  <c r="AX27" i="11" a="1"/>
  <c r="AX27" i="11" s="1"/>
  <c r="AX26" i="11" a="1"/>
  <c r="AX26" i="11" s="1"/>
  <c r="AX28" i="11" a="1"/>
  <c r="AX28" i="11" s="1"/>
  <c r="AY1" i="11"/>
  <c r="AX24" i="11" a="1"/>
  <c r="AX24" i="11" s="1"/>
  <c r="AX11" i="11" a="1"/>
  <c r="AX11" i="11" s="1"/>
  <c r="AX12" i="11" a="1"/>
  <c r="AX12" i="11" s="1"/>
  <c r="AX10" i="11" a="1"/>
  <c r="AX10" i="11" s="1"/>
  <c r="AN54" i="7"/>
  <c r="BG89" i="9" l="1"/>
  <c r="BG90" i="9" s="1"/>
  <c r="AX71" i="11"/>
  <c r="AW3" i="6" a="1"/>
  <c r="AW3" i="6" s="1"/>
  <c r="AX1" i="6"/>
  <c r="AX176" i="12"/>
  <c r="AX177" i="12"/>
  <c r="AX96" i="12"/>
  <c r="AX92" i="12"/>
  <c r="AX78" i="12" a="1"/>
  <c r="AX78" i="12" s="1"/>
  <c r="AX80" i="12" a="1"/>
  <c r="AX80" i="12" s="1"/>
  <c r="AX49" i="12" a="1"/>
  <c r="AX49" i="12" s="1"/>
  <c r="AX68" i="12" a="1"/>
  <c r="AX68" i="12" s="1"/>
  <c r="AX70" i="12" a="1"/>
  <c r="AX70" i="12" s="1"/>
  <c r="AX77" i="12" a="1"/>
  <c r="AX77" i="12" s="1"/>
  <c r="AX69" i="12" a="1"/>
  <c r="AX69" i="12" s="1"/>
  <c r="AX50" i="12" a="1"/>
  <c r="AX50" i="12" s="1"/>
  <c r="AX48" i="12" a="1"/>
  <c r="AX48" i="12" s="1"/>
  <c r="AX24" i="12" a="1"/>
  <c r="AX24" i="12" s="1"/>
  <c r="AX11" i="12" a="1"/>
  <c r="AX11" i="12" s="1"/>
  <c r="AX28" i="12" a="1"/>
  <c r="AX28" i="12" s="1"/>
  <c r="AX27" i="12" a="1"/>
  <c r="AX27" i="12" s="1"/>
  <c r="AY1" i="12"/>
  <c r="AX26" i="12" a="1"/>
  <c r="AX26" i="12" s="1"/>
  <c r="AX12" i="12" a="1"/>
  <c r="AX12" i="12" s="1"/>
  <c r="AX10" i="12" a="1"/>
  <c r="AX10" i="12" s="1"/>
  <c r="BH65" i="9"/>
  <c r="BH68" i="9"/>
  <c r="BH73" i="9" s="1"/>
  <c r="BH74" i="9" s="1"/>
  <c r="BH87" i="9"/>
  <c r="BH85" i="9"/>
  <c r="BH86" i="9"/>
  <c r="BH88" i="9"/>
  <c r="BH84" i="9"/>
  <c r="AX51" i="11"/>
  <c r="BG69" i="10"/>
  <c r="AM48" i="6"/>
  <c r="AY43" i="6"/>
  <c r="AW29" i="12"/>
  <c r="AW30" i="12" s="1"/>
  <c r="AW26" i="13"/>
  <c r="AX1" i="13"/>
  <c r="AW6" i="13"/>
  <c r="AW51" i="12"/>
  <c r="AV12" i="6"/>
  <c r="AV14" i="6" s="1"/>
  <c r="AV7" i="6"/>
  <c r="AM40" i="6"/>
  <c r="AM64" i="6"/>
  <c r="AM65" i="6" s="1"/>
  <c r="AP9" i="13"/>
  <c r="AQ4" i="13" s="1"/>
  <c r="BH69" i="9"/>
  <c r="BG65" i="10"/>
  <c r="BG68" i="10"/>
  <c r="BG87" i="10"/>
  <c r="BG86" i="10"/>
  <c r="BG84" i="10"/>
  <c r="BG85" i="10"/>
  <c r="BG88" i="10"/>
  <c r="AN54" i="6"/>
  <c r="AF29" i="13"/>
  <c r="AG24" i="13" s="1"/>
  <c r="BF89" i="10"/>
  <c r="BF90" i="10" s="1"/>
  <c r="AN39" i="7"/>
  <c r="BG73" i="9"/>
  <c r="BG74" i="9" s="1"/>
  <c r="AU8" i="6"/>
  <c r="AU9" i="6" s="1"/>
  <c r="AU8" i="7"/>
  <c r="AU9" i="7" s="1"/>
  <c r="BH72" i="9"/>
  <c r="AX13" i="11"/>
  <c r="AW2" i="13"/>
  <c r="AV25" i="13"/>
  <c r="AV11" i="13"/>
  <c r="AV5" i="13"/>
  <c r="AX29" i="11"/>
  <c r="AX30" i="11" s="1"/>
  <c r="BF81" i="10"/>
  <c r="BF82" i="10" s="1"/>
  <c r="BH61" i="10"/>
  <c r="BH54" i="10"/>
  <c r="BH43" i="10"/>
  <c r="BH18" i="10"/>
  <c r="BH58" i="10"/>
  <c r="BH23" i="10"/>
  <c r="BH34" i="10"/>
  <c r="BH12" i="10"/>
  <c r="BH7" i="10"/>
  <c r="BH42" i="10"/>
  <c r="BH41" i="10"/>
  <c r="BH40" i="10"/>
  <c r="BH17" i="10"/>
  <c r="BH22" i="10"/>
  <c r="BH57" i="10"/>
  <c r="BH33" i="10"/>
  <c r="BH70" i="10" s="1"/>
  <c r="BH11" i="10"/>
  <c r="BH16" i="10"/>
  <c r="BH55" i="10"/>
  <c r="BH21" i="10"/>
  <c r="BH5" i="10"/>
  <c r="BH10" i="10"/>
  <c r="BH15" i="10"/>
  <c r="BH20" i="10"/>
  <c r="BH60" i="10"/>
  <c r="BH9" i="10"/>
  <c r="BH4" i="10"/>
  <c r="BH14" i="10"/>
  <c r="BH56" i="10"/>
  <c r="BH8" i="10"/>
  <c r="BI1" i="10"/>
  <c r="BH13" i="10"/>
  <c r="BH19" i="10"/>
  <c r="BH59" i="10"/>
  <c r="BH53" i="10"/>
  <c r="AX1" i="7"/>
  <c r="AW3" i="7" a="1"/>
  <c r="AW3" i="7" s="1"/>
  <c r="AW71" i="12"/>
  <c r="BG81" i="9"/>
  <c r="BG82" i="9" s="1"/>
  <c r="AV7" i="7"/>
  <c r="AV12" i="7"/>
  <c r="AV14" i="7" s="1"/>
  <c r="AW13" i="12"/>
  <c r="BH71" i="9"/>
  <c r="AN45" i="7"/>
  <c r="AN52" i="7"/>
  <c r="AN55" i="7" s="1"/>
  <c r="AN37" i="7"/>
  <c r="AN18" i="7"/>
  <c r="AN21" i="7" s="1"/>
  <c r="BF73" i="10"/>
  <c r="BF74" i="10" s="1"/>
  <c r="AM67" i="7"/>
  <c r="AM68" i="7" s="1"/>
  <c r="BI60" i="9"/>
  <c r="BI53" i="9"/>
  <c r="BI48" i="9"/>
  <c r="BI15" i="9"/>
  <c r="BI43" i="9"/>
  <c r="BI9" i="9"/>
  <c r="BI59" i="9"/>
  <c r="BI14" i="9"/>
  <c r="BI19" i="9"/>
  <c r="BI58" i="9"/>
  <c r="BI42" i="9"/>
  <c r="BI63" i="9"/>
  <c r="BI13" i="9"/>
  <c r="BI57" i="9"/>
  <c r="BI36" i="9"/>
  <c r="BI18" i="9"/>
  <c r="BI41" i="9"/>
  <c r="BI7" i="9"/>
  <c r="BI56" i="9"/>
  <c r="BI12" i="9"/>
  <c r="BI62" i="9"/>
  <c r="BI17" i="9"/>
  <c r="BI35" i="9"/>
  <c r="BI4" i="9"/>
  <c r="BI34" i="9"/>
  <c r="BI20" i="9"/>
  <c r="BI54" i="9"/>
  <c r="BI55" i="9"/>
  <c r="BI16" i="9"/>
  <c r="BI8" i="9"/>
  <c r="BI33" i="9"/>
  <c r="BI10" i="9"/>
  <c r="BI40" i="9"/>
  <c r="BI38" i="9"/>
  <c r="BI5" i="9"/>
  <c r="BI61" i="9"/>
  <c r="BI45" i="9"/>
  <c r="BI44" i="9"/>
  <c r="BI21" i="9"/>
  <c r="BI11" i="9"/>
  <c r="BI49" i="9"/>
  <c r="BI64" i="9"/>
  <c r="BI37" i="9"/>
  <c r="BI46" i="9"/>
  <c r="BI22" i="9"/>
  <c r="BI50" i="9"/>
  <c r="BI51" i="9"/>
  <c r="BI47" i="9"/>
  <c r="BI23" i="9"/>
  <c r="BI24" i="9"/>
  <c r="BI25" i="9"/>
  <c r="BI26" i="9"/>
  <c r="BI27" i="9"/>
  <c r="BI28" i="9"/>
  <c r="BI29" i="9"/>
  <c r="BI30" i="9"/>
  <c r="BI31" i="9"/>
  <c r="AN20" i="6"/>
  <c r="BG70" i="10"/>
  <c r="AY176" i="11"/>
  <c r="AY177" i="11"/>
  <c r="AY96" i="11"/>
  <c r="AY70" i="11" a="1"/>
  <c r="AY70" i="11" s="1"/>
  <c r="AY78" i="11" a="1"/>
  <c r="AY78" i="11" s="1"/>
  <c r="AY92" i="11"/>
  <c r="AY49" i="11" a="1"/>
  <c r="AY49" i="11" s="1"/>
  <c r="AY80" i="11" a="1"/>
  <c r="AY80" i="11" s="1"/>
  <c r="AY69" i="11" a="1"/>
  <c r="AY69" i="11" s="1"/>
  <c r="AY68" i="11" a="1"/>
  <c r="AY68" i="11" s="1"/>
  <c r="AY77" i="11" a="1"/>
  <c r="AY77" i="11" s="1"/>
  <c r="AY50" i="11" a="1"/>
  <c r="AY50" i="11" s="1"/>
  <c r="AY28" i="11" a="1"/>
  <c r="AY28" i="11" s="1"/>
  <c r="AY27" i="11" a="1"/>
  <c r="AY27" i="11" s="1"/>
  <c r="AY26" i="11" a="1"/>
  <c r="AY26" i="11" s="1"/>
  <c r="AY48" i="11" a="1"/>
  <c r="AY48" i="11" s="1"/>
  <c r="AY24" i="11" a="1"/>
  <c r="AY24" i="11" s="1"/>
  <c r="AZ1" i="11"/>
  <c r="AY11" i="11" a="1"/>
  <c r="AY11" i="11" s="1"/>
  <c r="AY12" i="11" a="1"/>
  <c r="AY12" i="11" s="1"/>
  <c r="AY10" i="11" a="1"/>
  <c r="AY10" i="11" s="1"/>
  <c r="AM67" i="6" l="1"/>
  <c r="AM68" i="6" s="1"/>
  <c r="AN4" i="11" s="1" a="1"/>
  <c r="AN4" i="11" s="1"/>
  <c r="AN5" i="11" s="1"/>
  <c r="AY29" i="11"/>
  <c r="AY30" i="11" s="1"/>
  <c r="AY71" i="11"/>
  <c r="BG81" i="10"/>
  <c r="BG82" i="10" s="1"/>
  <c r="BG73" i="10"/>
  <c r="BG74" i="10" s="1"/>
  <c r="AX29" i="12"/>
  <c r="AX30" i="12" s="1"/>
  <c r="BH72" i="10"/>
  <c r="AO54" i="7"/>
  <c r="AX13" i="12"/>
  <c r="AN48" i="7"/>
  <c r="AZ43" i="7"/>
  <c r="AY13" i="11"/>
  <c r="BI65" i="9"/>
  <c r="BI87" i="9"/>
  <c r="BI68" i="9"/>
  <c r="BI85" i="9"/>
  <c r="BI86" i="9"/>
  <c r="BI88" i="9"/>
  <c r="BI84" i="9"/>
  <c r="BI55" i="10"/>
  <c r="BI58" i="10"/>
  <c r="BI54" i="10"/>
  <c r="BI23" i="10"/>
  <c r="BI34" i="10"/>
  <c r="BI12" i="10"/>
  <c r="BI7" i="10"/>
  <c r="BI43" i="10"/>
  <c r="BI42" i="10"/>
  <c r="BI41" i="10"/>
  <c r="BI40" i="10"/>
  <c r="BI17" i="10"/>
  <c r="BI22" i="10"/>
  <c r="BI57" i="10"/>
  <c r="BI33" i="10"/>
  <c r="BI11" i="10"/>
  <c r="BI16" i="10"/>
  <c r="BI21" i="10"/>
  <c r="BI5" i="10"/>
  <c r="BI10" i="10"/>
  <c r="BI15" i="10"/>
  <c r="BI61" i="10"/>
  <c r="BI20" i="10"/>
  <c r="BI60" i="10"/>
  <c r="BI9" i="10"/>
  <c r="BI4" i="10"/>
  <c r="BI14" i="10"/>
  <c r="BI59" i="10"/>
  <c r="BI53" i="10"/>
  <c r="BI19" i="10"/>
  <c r="BI13" i="10"/>
  <c r="BI18" i="10"/>
  <c r="BI8" i="10"/>
  <c r="BI56" i="10"/>
  <c r="AG27" i="13"/>
  <c r="AG28" i="13" s="1"/>
  <c r="AO20" i="7"/>
  <c r="AX26" i="13"/>
  <c r="AX6" i="13"/>
  <c r="AY1" i="13"/>
  <c r="BH89" i="9"/>
  <c r="BH90" i="9" s="1"/>
  <c r="AX3" i="7" a="1"/>
  <c r="AX3" i="7" s="1"/>
  <c r="AY1" i="7"/>
  <c r="BH71" i="10"/>
  <c r="AV8" i="7"/>
  <c r="AV9" i="7" s="1"/>
  <c r="AY177" i="12"/>
  <c r="AY176" i="12"/>
  <c r="AY96" i="12"/>
  <c r="AY92" i="12"/>
  <c r="AY78" i="12" a="1"/>
  <c r="AY78" i="12" s="1"/>
  <c r="AY68" i="12" a="1"/>
  <c r="AY68" i="12" s="1"/>
  <c r="AY70" i="12" a="1"/>
  <c r="AY70" i="12" s="1"/>
  <c r="AY77" i="12" a="1"/>
  <c r="AY77" i="12" s="1"/>
  <c r="AY69" i="12" a="1"/>
  <c r="AY69" i="12" s="1"/>
  <c r="AY80" i="12" a="1"/>
  <c r="AY80" i="12" s="1"/>
  <c r="AY50" i="12" a="1"/>
  <c r="AY50" i="12" s="1"/>
  <c r="AY48" i="12" a="1"/>
  <c r="AY48" i="12" s="1"/>
  <c r="AY49" i="12" a="1"/>
  <c r="AY49" i="12" s="1"/>
  <c r="AY24" i="12" a="1"/>
  <c r="AY24" i="12" s="1"/>
  <c r="AY28" i="12" a="1"/>
  <c r="AY28" i="12" s="1"/>
  <c r="AY27" i="12" a="1"/>
  <c r="AY27" i="12" s="1"/>
  <c r="AY26" i="12" a="1"/>
  <c r="AY26" i="12" s="1"/>
  <c r="AY11" i="12" a="1"/>
  <c r="AY11" i="12" s="1"/>
  <c r="AZ1" i="12"/>
  <c r="AY12" i="12" a="1"/>
  <c r="AY12" i="12" s="1"/>
  <c r="AY10" i="12" a="1"/>
  <c r="AY10" i="12" s="1"/>
  <c r="BH65" i="10"/>
  <c r="BH68" i="10"/>
  <c r="BH87" i="10"/>
  <c r="BH86" i="10"/>
  <c r="BH85" i="10"/>
  <c r="BH84" i="10"/>
  <c r="BH88" i="10"/>
  <c r="AZ176" i="11"/>
  <c r="AZ177" i="11"/>
  <c r="AZ96" i="11"/>
  <c r="AZ78" i="11" a="1"/>
  <c r="AZ78" i="11" s="1"/>
  <c r="AZ69" i="11" a="1"/>
  <c r="AZ69" i="11" s="1"/>
  <c r="AZ77" i="11" a="1"/>
  <c r="AZ77" i="11" s="1"/>
  <c r="AZ92" i="11"/>
  <c r="AZ80" i="11" a="1"/>
  <c r="AZ80" i="11" s="1"/>
  <c r="AZ70" i="11" a="1"/>
  <c r="AZ70" i="11" s="1"/>
  <c r="AZ68" i="11" a="1"/>
  <c r="AZ68" i="11" s="1"/>
  <c r="AZ50" i="11" a="1"/>
  <c r="AZ50" i="11" s="1"/>
  <c r="AZ49" i="11" a="1"/>
  <c r="AZ49" i="11" s="1"/>
  <c r="AZ48" i="11" a="1"/>
  <c r="AZ48" i="11" s="1"/>
  <c r="AZ26" i="11" a="1"/>
  <c r="AZ26" i="11" s="1"/>
  <c r="AZ28" i="11" a="1"/>
  <c r="AZ28" i="11" s="1"/>
  <c r="BA1" i="11"/>
  <c r="AZ24" i="11" a="1"/>
  <c r="AZ24" i="11" s="1"/>
  <c r="AZ12" i="11" a="1"/>
  <c r="AZ12" i="11" s="1"/>
  <c r="AZ11" i="11" a="1"/>
  <c r="AZ11" i="11" s="1"/>
  <c r="AZ27" i="11" a="1"/>
  <c r="AZ27" i="11" s="1"/>
  <c r="AZ10" i="11" a="1"/>
  <c r="AZ10" i="11" s="1"/>
  <c r="AN40" i="7"/>
  <c r="AN64" i="7"/>
  <c r="AN65" i="7" s="1"/>
  <c r="AV8" i="6"/>
  <c r="AV9" i="6" s="1"/>
  <c r="AX71" i="12"/>
  <c r="BI72" i="9"/>
  <c r="BH69" i="10"/>
  <c r="BG89" i="10"/>
  <c r="BG90" i="10" s="1"/>
  <c r="AY51" i="11"/>
  <c r="BI71" i="9"/>
  <c r="AW25" i="13"/>
  <c r="AX2" i="13"/>
  <c r="AW11" i="13"/>
  <c r="AW5" i="13"/>
  <c r="AQ9" i="13"/>
  <c r="AR4" i="13" s="1"/>
  <c r="AQ7" i="13"/>
  <c r="AQ8" i="13" s="1"/>
  <c r="AN45" i="6"/>
  <c r="AN37" i="6"/>
  <c r="AN18" i="6"/>
  <c r="AN21" i="6" s="1"/>
  <c r="AN52" i="6"/>
  <c r="AN55" i="6" s="1"/>
  <c r="AX51" i="12"/>
  <c r="AY1" i="6"/>
  <c r="AX3" i="6" a="1"/>
  <c r="AX3" i="6" s="1"/>
  <c r="AW12" i="7"/>
  <c r="AW14" i="7" s="1"/>
  <c r="AW7" i="7"/>
  <c r="BI69" i="9"/>
  <c r="BI70" i="9"/>
  <c r="AN4" i="12" a="1"/>
  <c r="AN4" i="12" s="1"/>
  <c r="AN5" i="12" s="1"/>
  <c r="AN39" i="6"/>
  <c r="BH81" i="9"/>
  <c r="BH82" i="9" s="1"/>
  <c r="AW7" i="6"/>
  <c r="AW12" i="6"/>
  <c r="AW14" i="6" s="1"/>
  <c r="AN67" i="7" l="1"/>
  <c r="AN68" i="7" s="1"/>
  <c r="AZ13" i="11"/>
  <c r="AZ51" i="11"/>
  <c r="AY71" i="12"/>
  <c r="AY13" i="12"/>
  <c r="BH73" i="10"/>
  <c r="BH74" i="10" s="1"/>
  <c r="AY29" i="12"/>
  <c r="AY30" i="12" s="1"/>
  <c r="AW8" i="6"/>
  <c r="AW9" i="6" s="1"/>
  <c r="AO4" i="12" a="1"/>
  <c r="AO4" i="12" s="1"/>
  <c r="AO5" i="12" s="1"/>
  <c r="AZ1" i="6"/>
  <c r="AY3" i="6" a="1"/>
  <c r="AY3" i="6" s="1"/>
  <c r="BH81" i="10"/>
  <c r="BH82" i="10" s="1"/>
  <c r="AX7" i="7"/>
  <c r="AX12" i="7"/>
  <c r="AX14" i="7" s="1"/>
  <c r="BI70" i="10"/>
  <c r="AG29" i="13"/>
  <c r="AH24" i="13" s="1"/>
  <c r="AY3" i="7" a="1"/>
  <c r="AY3" i="7" s="1"/>
  <c r="AZ1" i="7"/>
  <c r="AY26" i="13"/>
  <c r="AY6" i="13"/>
  <c r="AZ1" i="13"/>
  <c r="BI72" i="10"/>
  <c r="AR7" i="13"/>
  <c r="AR8" i="13" s="1"/>
  <c r="AZ29" i="11"/>
  <c r="AZ30" i="11" s="1"/>
  <c r="AX11" i="13"/>
  <c r="AX25" i="13"/>
  <c r="AY2" i="13"/>
  <c r="AX5" i="13"/>
  <c r="BH89" i="10"/>
  <c r="BH90" i="10" s="1"/>
  <c r="AZ176" i="12"/>
  <c r="AZ177" i="12"/>
  <c r="AZ96" i="12"/>
  <c r="AZ92" i="12"/>
  <c r="AZ78" i="12" a="1"/>
  <c r="AZ78" i="12" s="1"/>
  <c r="AZ77" i="12" a="1"/>
  <c r="AZ77" i="12" s="1"/>
  <c r="AZ80" i="12" a="1"/>
  <c r="AZ80" i="12" s="1"/>
  <c r="AZ69" i="12" a="1"/>
  <c r="AZ69" i="12" s="1"/>
  <c r="AZ68" i="12" a="1"/>
  <c r="AZ68" i="12" s="1"/>
  <c r="AZ70" i="12" a="1"/>
  <c r="AZ70" i="12" s="1"/>
  <c r="AZ50" i="12" a="1"/>
  <c r="AZ50" i="12" s="1"/>
  <c r="AZ48" i="12" a="1"/>
  <c r="AZ48" i="12" s="1"/>
  <c r="AZ49" i="12" a="1"/>
  <c r="AZ49" i="12" s="1"/>
  <c r="AZ24" i="12" a="1"/>
  <c r="AZ24" i="12" s="1"/>
  <c r="AZ12" i="12" a="1"/>
  <c r="AZ12" i="12" s="1"/>
  <c r="AZ28" i="12" a="1"/>
  <c r="AZ28" i="12" s="1"/>
  <c r="AZ27" i="12" a="1"/>
  <c r="AZ27" i="12" s="1"/>
  <c r="AZ26" i="12" a="1"/>
  <c r="AZ26" i="12" s="1"/>
  <c r="BA1" i="12"/>
  <c r="AZ10" i="12" a="1"/>
  <c r="AZ10" i="12" s="1"/>
  <c r="AZ11" i="12" a="1"/>
  <c r="AZ11" i="12" s="1"/>
  <c r="BI71" i="10"/>
  <c r="BI73" i="9"/>
  <c r="BI74" i="9" s="1"/>
  <c r="BI89" i="9"/>
  <c r="BI90" i="9" s="1"/>
  <c r="BI65" i="10"/>
  <c r="BI68" i="10"/>
  <c r="BI85" i="10"/>
  <c r="BI88" i="10"/>
  <c r="BI84" i="10"/>
  <c r="BI87" i="10"/>
  <c r="BI86" i="10"/>
  <c r="AY51" i="12"/>
  <c r="BA176" i="11"/>
  <c r="BA177" i="11"/>
  <c r="BA96" i="11"/>
  <c r="BA78" i="11" a="1"/>
  <c r="BA78" i="11" s="1"/>
  <c r="BA69" i="11" a="1"/>
  <c r="BA69" i="11" s="1"/>
  <c r="BA92" i="11"/>
  <c r="BA80" i="11" a="1"/>
  <c r="BA80" i="11" s="1"/>
  <c r="BA68" i="11" a="1"/>
  <c r="BA68" i="11" s="1"/>
  <c r="BA49" i="11" a="1"/>
  <c r="BA49" i="11" s="1"/>
  <c r="BA77" i="11" a="1"/>
  <c r="BA77" i="11" s="1"/>
  <c r="BA70" i="11" a="1"/>
  <c r="BA70" i="11" s="1"/>
  <c r="BA48" i="11" a="1"/>
  <c r="BA48" i="11" s="1"/>
  <c r="BA28" i="11" a="1"/>
  <c r="BA28" i="11" s="1"/>
  <c r="BA24" i="11" a="1"/>
  <c r="BA24" i="11" s="1"/>
  <c r="BA12" i="11" a="1"/>
  <c r="BA12" i="11" s="1"/>
  <c r="BA11" i="11" a="1"/>
  <c r="BA11" i="11" s="1"/>
  <c r="BA10" i="11" a="1"/>
  <c r="BA10" i="11" s="1"/>
  <c r="BB1" i="11"/>
  <c r="BA27" i="11" a="1"/>
  <c r="BA27" i="11" s="1"/>
  <c r="BA50" i="11" a="1"/>
  <c r="BA50" i="11" s="1"/>
  <c r="BA26" i="11" a="1"/>
  <c r="BA26" i="11" s="1"/>
  <c r="AO45" i="7"/>
  <c r="AO52" i="7"/>
  <c r="AO55" i="7" s="1"/>
  <c r="AO37" i="7"/>
  <c r="AO18" i="7"/>
  <c r="AO21" i="7" s="1"/>
  <c r="AZ71" i="11"/>
  <c r="AX12" i="6"/>
  <c r="AX14" i="6" s="1"/>
  <c r="AX7" i="6"/>
  <c r="AO54" i="6"/>
  <c r="AO20" i="6"/>
  <c r="AN40" i="6"/>
  <c r="AN64" i="6"/>
  <c r="AN65" i="6" s="1"/>
  <c r="AN48" i="6"/>
  <c r="AZ43" i="6"/>
  <c r="AO39" i="7"/>
  <c r="BI69" i="10"/>
  <c r="BI81" i="9"/>
  <c r="BI82" i="9" s="1"/>
  <c r="AW8" i="7"/>
  <c r="AW9" i="7" s="1"/>
  <c r="BA29" i="11" l="1"/>
  <c r="BA30" i="11" s="1"/>
  <c r="BA13" i="11"/>
  <c r="AZ29" i="12"/>
  <c r="AZ30" i="12" s="1"/>
  <c r="AZ71" i="12"/>
  <c r="BI73" i="10"/>
  <c r="BI74" i="10" s="1"/>
  <c r="AN67" i="6"/>
  <c r="AN68" i="6" s="1"/>
  <c r="AX8" i="7"/>
  <c r="AX9" i="7" s="1"/>
  <c r="AZ26" i="13"/>
  <c r="AZ6" i="13"/>
  <c r="BA1" i="13"/>
  <c r="AZ3" i="7" a="1"/>
  <c r="AZ3" i="7" s="1"/>
  <c r="BA1" i="7"/>
  <c r="AY7" i="6"/>
  <c r="AY12" i="6"/>
  <c r="AY14" i="6" s="1"/>
  <c r="AY7" i="7"/>
  <c r="AY12" i="7"/>
  <c r="AY14" i="7" s="1"/>
  <c r="AZ51" i="12"/>
  <c r="AY25" i="13"/>
  <c r="AY11" i="13"/>
  <c r="AY5" i="13"/>
  <c r="AZ2" i="13"/>
  <c r="AH27" i="13"/>
  <c r="AH28" i="13" s="1"/>
  <c r="BI81" i="10"/>
  <c r="BI82" i="10" s="1"/>
  <c r="AZ3" i="6" a="1"/>
  <c r="AZ3" i="6" s="1"/>
  <c r="BA1" i="6"/>
  <c r="BA176" i="12"/>
  <c r="BA177" i="12"/>
  <c r="BA80" i="12" a="1"/>
  <c r="BA80" i="12" s="1"/>
  <c r="BA96" i="12"/>
  <c r="BA92" i="12"/>
  <c r="BA78" i="12" a="1"/>
  <c r="BA78" i="12" s="1"/>
  <c r="BA69" i="12" a="1"/>
  <c r="BA69" i="12" s="1"/>
  <c r="BA77" i="12" a="1"/>
  <c r="BA77" i="12" s="1"/>
  <c r="BA70" i="12" a="1"/>
  <c r="BA70" i="12" s="1"/>
  <c r="BA50" i="12" a="1"/>
  <c r="BA50" i="12" s="1"/>
  <c r="BA48" i="12" a="1"/>
  <c r="BA48" i="12" s="1"/>
  <c r="BA68" i="12" a="1"/>
  <c r="BA68" i="12" s="1"/>
  <c r="BA49" i="12" a="1"/>
  <c r="BA49" i="12" s="1"/>
  <c r="BA12" i="12" a="1"/>
  <c r="BA12" i="12" s="1"/>
  <c r="BA28" i="12" a="1"/>
  <c r="BA28" i="12" s="1"/>
  <c r="BA10" i="12" a="1"/>
  <c r="BA10" i="12" s="1"/>
  <c r="BA27" i="12" a="1"/>
  <c r="BA27" i="12" s="1"/>
  <c r="BA26" i="12" a="1"/>
  <c r="BA26" i="12" s="1"/>
  <c r="BA24" i="12" a="1"/>
  <c r="BA24" i="12" s="1"/>
  <c r="BA11" i="12" a="1"/>
  <c r="BA11" i="12" s="1"/>
  <c r="BB1" i="12"/>
  <c r="AP20" i="7"/>
  <c r="BA51" i="11"/>
  <c r="AO40" i="7"/>
  <c r="AO64" i="7"/>
  <c r="AO65" i="7" s="1"/>
  <c r="BB177" i="11"/>
  <c r="BB176" i="11"/>
  <c r="BB92" i="11"/>
  <c r="BB80" i="11" a="1"/>
  <c r="BB80" i="11" s="1"/>
  <c r="BB96" i="11"/>
  <c r="BB78" i="11" a="1"/>
  <c r="BB78" i="11" s="1"/>
  <c r="BB68" i="11" a="1"/>
  <c r="BB68" i="11" s="1"/>
  <c r="BB77" i="11" a="1"/>
  <c r="BB77" i="11" s="1"/>
  <c r="BB49" i="11" a="1"/>
  <c r="BB49" i="11" s="1"/>
  <c r="BB69" i="11" a="1"/>
  <c r="BB69" i="11" s="1"/>
  <c r="BB70" i="11" a="1"/>
  <c r="BB70" i="11" s="1"/>
  <c r="BB48" i="11" a="1"/>
  <c r="BB48" i="11" s="1"/>
  <c r="BB28" i="11" a="1"/>
  <c r="BB28" i="11" s="1"/>
  <c r="BB24" i="11" a="1"/>
  <c r="BB24" i="11" s="1"/>
  <c r="BB12" i="11" a="1"/>
  <c r="BB12" i="11" s="1"/>
  <c r="BB50" i="11" a="1"/>
  <c r="BB50" i="11" s="1"/>
  <c r="BB27" i="11" a="1"/>
  <c r="BB27" i="11" s="1"/>
  <c r="BB26" i="11" a="1"/>
  <c r="BB26" i="11" s="1"/>
  <c r="BB10" i="11" a="1"/>
  <c r="BB10" i="11" s="1"/>
  <c r="BB11" i="11" a="1"/>
  <c r="BB11" i="11" s="1"/>
  <c r="BC1" i="11"/>
  <c r="AX8" i="6"/>
  <c r="AX9" i="6" s="1"/>
  <c r="AO4" i="11" a="1"/>
  <c r="AO4" i="11" s="1"/>
  <c r="AO5" i="11" s="1"/>
  <c r="AP54" i="7"/>
  <c r="BA43" i="7"/>
  <c r="AO48" i="7"/>
  <c r="AO45" i="6"/>
  <c r="AO18" i="6"/>
  <c r="AO21" i="6" s="1"/>
  <c r="AO37" i="6"/>
  <c r="AO52" i="6"/>
  <c r="AO55" i="6" s="1"/>
  <c r="BA71" i="11"/>
  <c r="BI89" i="10"/>
  <c r="BI90" i="10" s="1"/>
  <c r="AR9" i="13"/>
  <c r="AS4" i="13" s="1"/>
  <c r="AO39" i="6"/>
  <c r="AZ13" i="12"/>
  <c r="BB29" i="11" l="1"/>
  <c r="BB30" i="11" s="1"/>
  <c r="BB71" i="11"/>
  <c r="AO67" i="7"/>
  <c r="AO68" i="7" s="1"/>
  <c r="AP4" i="12" s="1" a="1"/>
  <c r="AP4" i="12" s="1"/>
  <c r="AP5" i="12" s="1"/>
  <c r="BA71" i="12"/>
  <c r="AY8" i="6"/>
  <c r="AY9" i="6" s="1"/>
  <c r="BB13" i="11"/>
  <c r="AZ7" i="6"/>
  <c r="AZ12" i="6"/>
  <c r="AZ14" i="6" s="1"/>
  <c r="AO40" i="6"/>
  <c r="AO64" i="6"/>
  <c r="AO65" i="6" s="1"/>
  <c r="AH29" i="13"/>
  <c r="AI24" i="13" s="1"/>
  <c r="AZ7" i="7"/>
  <c r="AZ12" i="7"/>
  <c r="AZ14" i="7" s="1"/>
  <c r="AO48" i="6"/>
  <c r="BA43" i="6"/>
  <c r="BB176" i="12"/>
  <c r="BB177" i="12"/>
  <c r="BB96" i="12"/>
  <c r="BB92" i="12"/>
  <c r="BB70" i="12" a="1"/>
  <c r="BB70" i="12" s="1"/>
  <c r="BB78" i="12" a="1"/>
  <c r="BB78" i="12" s="1"/>
  <c r="BB77" i="12" a="1"/>
  <c r="BB77" i="12" s="1"/>
  <c r="BB80" i="12" a="1"/>
  <c r="BB80" i="12" s="1"/>
  <c r="BB69" i="12" a="1"/>
  <c r="BB69" i="12" s="1"/>
  <c r="BB68" i="12" a="1"/>
  <c r="BB68" i="12" s="1"/>
  <c r="BB50" i="12" a="1"/>
  <c r="BB50" i="12" s="1"/>
  <c r="BB48" i="12" a="1"/>
  <c r="BB48" i="12" s="1"/>
  <c r="BB49" i="12" a="1"/>
  <c r="BB49" i="12" s="1"/>
  <c r="BB11" i="12" a="1"/>
  <c r="BB11" i="12" s="1"/>
  <c r="BB28" i="12" a="1"/>
  <c r="BB28" i="12" s="1"/>
  <c r="BB27" i="12" a="1"/>
  <c r="BB27" i="12" s="1"/>
  <c r="BB26" i="12" a="1"/>
  <c r="BB26" i="12" s="1"/>
  <c r="BB12" i="12" a="1"/>
  <c r="BB12" i="12" s="1"/>
  <c r="BB10" i="12" a="1"/>
  <c r="BB10" i="12" s="1"/>
  <c r="BB24" i="12" a="1"/>
  <c r="BB24" i="12" s="1"/>
  <c r="BC1" i="12"/>
  <c r="AZ25" i="13"/>
  <c r="AZ11" i="13"/>
  <c r="AZ5" i="13"/>
  <c r="BA2" i="13"/>
  <c r="AS7" i="13"/>
  <c r="AS8" i="13" s="1"/>
  <c r="BA51" i="12"/>
  <c r="BC177" i="11"/>
  <c r="BC176" i="11"/>
  <c r="BC92" i="11"/>
  <c r="BC80" i="11" a="1"/>
  <c r="BC80" i="11" s="1"/>
  <c r="BC78" i="11" a="1"/>
  <c r="BC78" i="11" s="1"/>
  <c r="BC96" i="11"/>
  <c r="BC68" i="11" a="1"/>
  <c r="BC68" i="11" s="1"/>
  <c r="BC77" i="11" a="1"/>
  <c r="BC77" i="11" s="1"/>
  <c r="BC70" i="11" a="1"/>
  <c r="BC70" i="11" s="1"/>
  <c r="BC69" i="11" a="1"/>
  <c r="BC69" i="11" s="1"/>
  <c r="BC48" i="11" a="1"/>
  <c r="BC48" i="11" s="1"/>
  <c r="BC50" i="11" a="1"/>
  <c r="BC50" i="11" s="1"/>
  <c r="BC28" i="11" a="1"/>
  <c r="BC28" i="11" s="1"/>
  <c r="BC24" i="11" a="1"/>
  <c r="BC24" i="11" s="1"/>
  <c r="BC11" i="11" a="1"/>
  <c r="BC11" i="11" s="1"/>
  <c r="BC10" i="11" a="1"/>
  <c r="BC10" i="11" s="1"/>
  <c r="BC27" i="11" a="1"/>
  <c r="BC27" i="11" s="1"/>
  <c r="BC26" i="11" a="1"/>
  <c r="BC26" i="11" s="1"/>
  <c r="BC12" i="11" a="1"/>
  <c r="BC12" i="11" s="1"/>
  <c r="BC49" i="11" a="1"/>
  <c r="BC49" i="11" s="1"/>
  <c r="BD1" i="11"/>
  <c r="BA3" i="6" a="1"/>
  <c r="BA3" i="6" s="1"/>
  <c r="BB1" i="6"/>
  <c r="AP20" i="6"/>
  <c r="BB51" i="11"/>
  <c r="AP45" i="7"/>
  <c r="AP52" i="7"/>
  <c r="AP55" i="7" s="1"/>
  <c r="AP18" i="7"/>
  <c r="AP21" i="7" s="1"/>
  <c r="AP37" i="7"/>
  <c r="BA29" i="12"/>
  <c r="BA30" i="12" s="1"/>
  <c r="AY8" i="7"/>
  <c r="AY9" i="7" s="1"/>
  <c r="AZ8" i="7" s="1"/>
  <c r="BA3" i="7" a="1"/>
  <c r="BA3" i="7" s="1"/>
  <c r="BB1" i="7"/>
  <c r="AP39" i="7"/>
  <c r="AP54" i="6"/>
  <c r="BA26" i="13"/>
  <c r="BA6" i="13"/>
  <c r="BB1" i="13"/>
  <c r="BA13" i="12"/>
  <c r="AO67" i="6" l="1"/>
  <c r="AO68" i="6" s="1"/>
  <c r="BC29" i="11"/>
  <c r="BC30" i="11" s="1"/>
  <c r="BC51" i="11"/>
  <c r="BB13" i="12"/>
  <c r="BC177" i="12"/>
  <c r="BC176" i="12"/>
  <c r="BC92" i="12"/>
  <c r="BC78" i="12" a="1"/>
  <c r="BC78" i="12" s="1"/>
  <c r="BC69" i="12" a="1"/>
  <c r="BC69" i="12" s="1"/>
  <c r="BC77" i="12" a="1"/>
  <c r="BC77" i="12" s="1"/>
  <c r="BC68" i="12" a="1"/>
  <c r="BC68" i="12" s="1"/>
  <c r="BC80" i="12" a="1"/>
  <c r="BC80" i="12" s="1"/>
  <c r="BC96" i="12"/>
  <c r="BC50" i="12" a="1"/>
  <c r="BC50" i="12" s="1"/>
  <c r="BC48" i="12" a="1"/>
  <c r="BC48" i="12" s="1"/>
  <c r="BC49" i="12" a="1"/>
  <c r="BC49" i="12" s="1"/>
  <c r="BC70" i="12" a="1"/>
  <c r="BC70" i="12" s="1"/>
  <c r="BC28" i="12" a="1"/>
  <c r="BC28" i="12" s="1"/>
  <c r="BC27" i="12" a="1"/>
  <c r="BC27" i="12" s="1"/>
  <c r="BC26" i="12" a="1"/>
  <c r="BC26" i="12" s="1"/>
  <c r="BC10" i="12" a="1"/>
  <c r="BC10" i="12" s="1"/>
  <c r="BC24" i="12" a="1"/>
  <c r="BC24" i="12" s="1"/>
  <c r="BC11" i="12" a="1"/>
  <c r="BC11" i="12" s="1"/>
  <c r="BD1" i="12"/>
  <c r="BC12" i="12" a="1"/>
  <c r="BC12" i="12" s="1"/>
  <c r="AQ54" i="7"/>
  <c r="BB29" i="12"/>
  <c r="BB30" i="12" s="1"/>
  <c r="AP4" i="11" a="1"/>
  <c r="AP4" i="11" s="1"/>
  <c r="AP5" i="11" s="1"/>
  <c r="BC13" i="11"/>
  <c r="AS9" i="13"/>
  <c r="AT4" i="13" s="1"/>
  <c r="BB51" i="12"/>
  <c r="BB3" i="7" a="1"/>
  <c r="BB3" i="7" s="1"/>
  <c r="BC1" i="7"/>
  <c r="AP48" i="7"/>
  <c r="BB43" i="7"/>
  <c r="BA7" i="7"/>
  <c r="BA12" i="7"/>
  <c r="BA14" i="7" s="1"/>
  <c r="BC1" i="6"/>
  <c r="BB3" i="6" a="1"/>
  <c r="BB3" i="6" s="1"/>
  <c r="BA25" i="13"/>
  <c r="BB2" i="13"/>
  <c r="BA11" i="13"/>
  <c r="BA5" i="13"/>
  <c r="BB71" i="12"/>
  <c r="AZ9" i="7"/>
  <c r="BA8" i="7" s="1"/>
  <c r="AZ8" i="6"/>
  <c r="AZ9" i="6" s="1"/>
  <c r="BA8" i="6" s="1"/>
  <c r="AQ20" i="7"/>
  <c r="BA7" i="6"/>
  <c r="BA12" i="6"/>
  <c r="BA14" i="6" s="1"/>
  <c r="BC71" i="11"/>
  <c r="AI29" i="13"/>
  <c r="AJ24" i="13" s="1"/>
  <c r="AI27" i="13"/>
  <c r="AI28" i="13" s="1"/>
  <c r="AP45" i="6"/>
  <c r="AP18" i="6"/>
  <c r="AP21" i="6" s="1"/>
  <c r="AP37" i="6"/>
  <c r="AP52" i="6"/>
  <c r="AP55" i="6" s="1"/>
  <c r="BD177" i="11"/>
  <c r="BD176" i="11"/>
  <c r="BD92" i="11"/>
  <c r="BD80" i="11" a="1"/>
  <c r="BD80" i="11" s="1"/>
  <c r="BD78" i="11" a="1"/>
  <c r="BD78" i="11" s="1"/>
  <c r="BD96" i="11"/>
  <c r="BD77" i="11" a="1"/>
  <c r="BD77" i="11" s="1"/>
  <c r="BD69" i="11" a="1"/>
  <c r="BD69" i="11" s="1"/>
  <c r="BD68" i="11" a="1"/>
  <c r="BD68" i="11" s="1"/>
  <c r="BD70" i="11" a="1"/>
  <c r="BD70" i="11" s="1"/>
  <c r="BD48" i="11" a="1"/>
  <c r="BD48" i="11" s="1"/>
  <c r="BD50" i="11" a="1"/>
  <c r="BD50" i="11" s="1"/>
  <c r="BD24" i="11" a="1"/>
  <c r="BD24" i="11" s="1"/>
  <c r="BD12" i="11" a="1"/>
  <c r="BD12" i="11" s="1"/>
  <c r="BE1" i="11"/>
  <c r="BD27" i="11" a="1"/>
  <c r="BD27" i="11" s="1"/>
  <c r="BD26" i="11" a="1"/>
  <c r="BD26" i="11" s="1"/>
  <c r="BD10" i="11" a="1"/>
  <c r="BD10" i="11" s="1"/>
  <c r="BD28" i="11" a="1"/>
  <c r="BD28" i="11" s="1"/>
  <c r="BD49" i="11" a="1"/>
  <c r="BD49" i="11" s="1"/>
  <c r="BD11" i="11" a="1"/>
  <c r="BD11" i="11" s="1"/>
  <c r="BB6" i="13"/>
  <c r="BB26" i="13"/>
  <c r="BC1" i="13"/>
  <c r="AP40" i="7"/>
  <c r="AP64" i="7"/>
  <c r="AP65" i="7" s="1"/>
  <c r="AP39" i="6"/>
  <c r="BD13" i="11" l="1"/>
  <c r="AP67" i="7"/>
  <c r="AP68" i="7" s="1"/>
  <c r="AQ4" i="12" s="1" a="1"/>
  <c r="AQ4" i="12" s="1"/>
  <c r="AQ5" i="12" s="1"/>
  <c r="BE177" i="11"/>
  <c r="BE176" i="11"/>
  <c r="BE92" i="11"/>
  <c r="BE80" i="11" a="1"/>
  <c r="BE80" i="11" s="1"/>
  <c r="BE96" i="11"/>
  <c r="BE50" i="11" a="1"/>
  <c r="BE50" i="11" s="1"/>
  <c r="BE77" i="11" a="1"/>
  <c r="BE77" i="11" s="1"/>
  <c r="BE69" i="11" a="1"/>
  <c r="BE69" i="11" s="1"/>
  <c r="BE70" i="11" a="1"/>
  <c r="BE70" i="11" s="1"/>
  <c r="BE68" i="11" a="1"/>
  <c r="BE68" i="11" s="1"/>
  <c r="BE48" i="11" a="1"/>
  <c r="BE48" i="11" s="1"/>
  <c r="BE78" i="11" a="1"/>
  <c r="BE78" i="11" s="1"/>
  <c r="BE28" i="11" a="1"/>
  <c r="BE28" i="11" s="1"/>
  <c r="BE49" i="11" a="1"/>
  <c r="BE49" i="11" s="1"/>
  <c r="BE10" i="11" a="1"/>
  <c r="BE10" i="11" s="1"/>
  <c r="BE27" i="11" a="1"/>
  <c r="BE27" i="11" s="1"/>
  <c r="BE26" i="11" a="1"/>
  <c r="BE26" i="11" s="1"/>
  <c r="BE12" i="11" a="1"/>
  <c r="BE12" i="11" s="1"/>
  <c r="BE24" i="11" a="1"/>
  <c r="BE24" i="11" s="1"/>
  <c r="BE11" i="11" a="1"/>
  <c r="BE11" i="11" s="1"/>
  <c r="BF1" i="11"/>
  <c r="BA9" i="7"/>
  <c r="BD29" i="11"/>
  <c r="BD30" i="11" s="1"/>
  <c r="BD1" i="6"/>
  <c r="BC3" i="6" a="1"/>
  <c r="BC3" i="6" s="1"/>
  <c r="BC71" i="12"/>
  <c r="AQ39" i="7"/>
  <c r="AP40" i="6"/>
  <c r="AP64" i="6"/>
  <c r="AP65" i="6" s="1"/>
  <c r="BD177" i="12"/>
  <c r="BD176" i="12"/>
  <c r="BD96" i="12"/>
  <c r="BD92" i="12"/>
  <c r="BD80" i="12" a="1"/>
  <c r="BD80" i="12" s="1"/>
  <c r="BD78" i="12" a="1"/>
  <c r="BD78" i="12" s="1"/>
  <c r="BD77" i="12" a="1"/>
  <c r="BD77" i="12" s="1"/>
  <c r="BD69" i="12" a="1"/>
  <c r="BD69" i="12" s="1"/>
  <c r="BD68" i="12" a="1"/>
  <c r="BD68" i="12" s="1"/>
  <c r="BD70" i="12" a="1"/>
  <c r="BD70" i="12" s="1"/>
  <c r="BD50" i="12" a="1"/>
  <c r="BD50" i="12" s="1"/>
  <c r="BD48" i="12" a="1"/>
  <c r="BD48" i="12" s="1"/>
  <c r="BD49" i="12" a="1"/>
  <c r="BD49" i="12" s="1"/>
  <c r="BD26" i="12" a="1"/>
  <c r="BD26" i="12" s="1"/>
  <c r="BD24" i="12" a="1"/>
  <c r="BD24" i="12" s="1"/>
  <c r="BD28" i="12" a="1"/>
  <c r="BD28" i="12" s="1"/>
  <c r="BD10" i="12" a="1"/>
  <c r="BD10" i="12" s="1"/>
  <c r="BD27" i="12" a="1"/>
  <c r="BD27" i="12" s="1"/>
  <c r="BD12" i="12" a="1"/>
  <c r="BD12" i="12" s="1"/>
  <c r="BD11" i="12" a="1"/>
  <c r="BD11" i="12" s="1"/>
  <c r="BE1" i="12"/>
  <c r="AJ27" i="13"/>
  <c r="AJ28" i="13" s="1"/>
  <c r="AJ29" i="13" s="1"/>
  <c r="AK24" i="13" s="1"/>
  <c r="BC26" i="13"/>
  <c r="BC6" i="13"/>
  <c r="BD1" i="13"/>
  <c r="BD1" i="7"/>
  <c r="BC3" i="7" a="1"/>
  <c r="BC3" i="7" s="1"/>
  <c r="BC51" i="12"/>
  <c r="BD51" i="11"/>
  <c r="BB7" i="7"/>
  <c r="BB12" i="7"/>
  <c r="BB14" i="7" s="1"/>
  <c r="AQ45" i="7"/>
  <c r="AQ52" i="7"/>
  <c r="AQ55" i="7" s="1"/>
  <c r="AQ18" i="7"/>
  <c r="AQ21" i="7" s="1"/>
  <c r="AQ37" i="7"/>
  <c r="AQ20" i="6"/>
  <c r="BD71" i="11"/>
  <c r="BB43" i="6"/>
  <c r="AP48" i="6"/>
  <c r="BB7" i="6"/>
  <c r="BB12" i="6"/>
  <c r="BB14" i="6" s="1"/>
  <c r="AQ54" i="6"/>
  <c r="AT7" i="13"/>
  <c r="AT8" i="13" s="1"/>
  <c r="AT9" i="13" s="1"/>
  <c r="AU4" i="13" s="1"/>
  <c r="BC13" i="12"/>
  <c r="BC29" i="12"/>
  <c r="BC30" i="12" s="1"/>
  <c r="BA9" i="6"/>
  <c r="BC2" i="13"/>
  <c r="BB25" i="13"/>
  <c r="BB11" i="13"/>
  <c r="BB5" i="13"/>
  <c r="BE29" i="11" l="1"/>
  <c r="BE30" i="11" s="1"/>
  <c r="BE51" i="11"/>
  <c r="BE71" i="11"/>
  <c r="AP67" i="6"/>
  <c r="AP68" i="6" s="1"/>
  <c r="AQ4" i="11" s="1" a="1"/>
  <c r="AQ4" i="11" s="1"/>
  <c r="AQ5" i="11" s="1"/>
  <c r="AU7" i="13"/>
  <c r="AU8" i="13" s="1"/>
  <c r="AK27" i="13"/>
  <c r="AK28" i="13" s="1"/>
  <c r="BE1" i="6"/>
  <c r="BD3" i="6" a="1"/>
  <c r="BD3" i="6" s="1"/>
  <c r="BD51" i="12"/>
  <c r="BD13" i="12"/>
  <c r="BD29" i="12"/>
  <c r="BD30" i="12" s="1"/>
  <c r="AQ40" i="7"/>
  <c r="AQ64" i="7"/>
  <c r="AQ65" i="7" s="1"/>
  <c r="BC25" i="13"/>
  <c r="BC11" i="13"/>
  <c r="BC5" i="13"/>
  <c r="BD2" i="13"/>
  <c r="AR20" i="7"/>
  <c r="BD71" i="12"/>
  <c r="BC12" i="7"/>
  <c r="BC14" i="7" s="1"/>
  <c r="BC7" i="7"/>
  <c r="BD26" i="13"/>
  <c r="BE1" i="13"/>
  <c r="BD6" i="13"/>
  <c r="BE13" i="11"/>
  <c r="BC12" i="6"/>
  <c r="BC14" i="6" s="1"/>
  <c r="BC7" i="6"/>
  <c r="AQ45" i="6"/>
  <c r="AQ37" i="6"/>
  <c r="AQ18" i="6"/>
  <c r="AQ21" i="6" s="1"/>
  <c r="AQ52" i="6"/>
  <c r="AQ55" i="6" s="1"/>
  <c r="AQ39" i="6"/>
  <c r="AR54" i="7"/>
  <c r="AQ48" i="7"/>
  <c r="BC43" i="7"/>
  <c r="BD3" i="7" a="1"/>
  <c r="BD3" i="7" s="1"/>
  <c r="BE1" i="7"/>
  <c r="BF176" i="11"/>
  <c r="BF92" i="11"/>
  <c r="BF80" i="11" a="1"/>
  <c r="BF80" i="11" s="1"/>
  <c r="BF78" i="11" a="1"/>
  <c r="BF78" i="11" s="1"/>
  <c r="BF77" i="11" a="1"/>
  <c r="BF77" i="11" s="1"/>
  <c r="BF96" i="11"/>
  <c r="BF50" i="11" a="1"/>
  <c r="BF50" i="11" s="1"/>
  <c r="BF49" i="11" a="1"/>
  <c r="BF49" i="11" s="1"/>
  <c r="BF48" i="11" a="1"/>
  <c r="BF48" i="11" s="1"/>
  <c r="BF69" i="11" a="1"/>
  <c r="BF69" i="11" s="1"/>
  <c r="BF70" i="11" a="1"/>
  <c r="BF70" i="11" s="1"/>
  <c r="BF177" i="11"/>
  <c r="BF68" i="11" a="1"/>
  <c r="BF68" i="11" s="1"/>
  <c r="BF27" i="11" a="1"/>
  <c r="BF27" i="11" s="1"/>
  <c r="BF26" i="11" a="1"/>
  <c r="BF26" i="11" s="1"/>
  <c r="BF28" i="11" a="1"/>
  <c r="BF28" i="11" s="1"/>
  <c r="BF12" i="11" a="1"/>
  <c r="BF12" i="11" s="1"/>
  <c r="BF24" i="11" a="1"/>
  <c r="BF24" i="11" s="1"/>
  <c r="BF10" i="11" a="1"/>
  <c r="BF10" i="11" s="1"/>
  <c r="BF11" i="11" a="1"/>
  <c r="BF11" i="11" s="1"/>
  <c r="BG1" i="11"/>
  <c r="BB8" i="6"/>
  <c r="BB9" i="6" s="1"/>
  <c r="BE177" i="12"/>
  <c r="BE176" i="12"/>
  <c r="BE92" i="12"/>
  <c r="BE80" i="12" a="1"/>
  <c r="BE80" i="12" s="1"/>
  <c r="BE96" i="12"/>
  <c r="BE78" i="12" a="1"/>
  <c r="BE78" i="12" s="1"/>
  <c r="BE68" i="12" a="1"/>
  <c r="BE68" i="12" s="1"/>
  <c r="BE70" i="12" a="1"/>
  <c r="BE70" i="12" s="1"/>
  <c r="BE69" i="12" a="1"/>
  <c r="BE69" i="12" s="1"/>
  <c r="BE77" i="12" a="1"/>
  <c r="BE77" i="12" s="1"/>
  <c r="BE50" i="12" a="1"/>
  <c r="BE50" i="12" s="1"/>
  <c r="BE49" i="12" a="1"/>
  <c r="BE49" i="12" s="1"/>
  <c r="BE48" i="12" a="1"/>
  <c r="BE48" i="12" s="1"/>
  <c r="BE24" i="12" a="1"/>
  <c r="BE24" i="12" s="1"/>
  <c r="BE26" i="12" a="1"/>
  <c r="BE26" i="12" s="1"/>
  <c r="BE27" i="12" a="1"/>
  <c r="BE27" i="12" s="1"/>
  <c r="BE11" i="12" a="1"/>
  <c r="BE11" i="12" s="1"/>
  <c r="BE28" i="12" a="1"/>
  <c r="BE28" i="12" s="1"/>
  <c r="BE10" i="12" a="1"/>
  <c r="BE10" i="12" s="1"/>
  <c r="BF1" i="12"/>
  <c r="BE12" i="12" a="1"/>
  <c r="BE12" i="12" s="1"/>
  <c r="BB8" i="7"/>
  <c r="BB9" i="7" s="1"/>
  <c r="AQ67" i="7" l="1"/>
  <c r="AQ68" i="7" s="1"/>
  <c r="AR4" i="12" s="1" a="1"/>
  <c r="AR4" i="12" s="1"/>
  <c r="AR5" i="12" s="1"/>
  <c r="BF71" i="11"/>
  <c r="BE51" i="12"/>
  <c r="BC8" i="6"/>
  <c r="BC9" i="6" s="1"/>
  <c r="BC8" i="7"/>
  <c r="BC9" i="7" s="1"/>
  <c r="BF29" i="11"/>
  <c r="BF30" i="11" s="1"/>
  <c r="BD7" i="7"/>
  <c r="BD12" i="7"/>
  <c r="BD14" i="7" s="1"/>
  <c r="BE71" i="12"/>
  <c r="AQ48" i="6"/>
  <c r="BC43" i="6"/>
  <c r="BE3" i="7" a="1"/>
  <c r="BE3" i="7" s="1"/>
  <c r="BF1" i="7"/>
  <c r="BF51" i="11"/>
  <c r="BD11" i="13"/>
  <c r="BD25" i="13"/>
  <c r="BE2" i="13"/>
  <c r="BD5" i="13"/>
  <c r="AR20" i="6"/>
  <c r="AK29" i="13"/>
  <c r="AL24" i="13" s="1"/>
  <c r="BF177" i="12"/>
  <c r="BF176" i="12"/>
  <c r="BF96" i="12"/>
  <c r="BF92" i="12"/>
  <c r="BF80" i="12" a="1"/>
  <c r="BF80" i="12" s="1"/>
  <c r="BF78" i="12" a="1"/>
  <c r="BF78" i="12" s="1"/>
  <c r="BF49" i="12" a="1"/>
  <c r="BF49" i="12" s="1"/>
  <c r="BF68" i="12" a="1"/>
  <c r="BF68" i="12" s="1"/>
  <c r="BF70" i="12" a="1"/>
  <c r="BF70" i="12" s="1"/>
  <c r="BF69" i="12" a="1"/>
  <c r="BF69" i="12" s="1"/>
  <c r="BF77" i="12" a="1"/>
  <c r="BF77" i="12" s="1"/>
  <c r="BF48" i="12" a="1"/>
  <c r="BF48" i="12" s="1"/>
  <c r="BF24" i="12" a="1"/>
  <c r="BF24" i="12" s="1"/>
  <c r="BF11" i="12" a="1"/>
  <c r="BF11" i="12" s="1"/>
  <c r="BF28" i="12" a="1"/>
  <c r="BF28" i="12" s="1"/>
  <c r="BF27" i="12" a="1"/>
  <c r="BF27" i="12" s="1"/>
  <c r="BF26" i="12" a="1"/>
  <c r="BF26" i="12" s="1"/>
  <c r="BF50" i="12" a="1"/>
  <c r="BF50" i="12" s="1"/>
  <c r="BF12" i="12" a="1"/>
  <c r="BF12" i="12" s="1"/>
  <c r="BF10" i="12" a="1"/>
  <c r="BF10" i="12" s="1"/>
  <c r="BG1" i="12"/>
  <c r="AQ40" i="6"/>
  <c r="AQ64" i="6"/>
  <c r="AQ65" i="6" s="1"/>
  <c r="BE29" i="12"/>
  <c r="BE30" i="12" s="1"/>
  <c r="AR54" i="6"/>
  <c r="BE13" i="12"/>
  <c r="BE26" i="13"/>
  <c r="BE6" i="13"/>
  <c r="BF1" i="13"/>
  <c r="AR45" i="7"/>
  <c r="AR52" i="7"/>
  <c r="AR55" i="7" s="1"/>
  <c r="AR18" i="7"/>
  <c r="AR21" i="7" s="1"/>
  <c r="AR37" i="7"/>
  <c r="BD7" i="6"/>
  <c r="BD12" i="6"/>
  <c r="BD14" i="6" s="1"/>
  <c r="BG176" i="11"/>
  <c r="BG177" i="11"/>
  <c r="BG70" i="11" a="1"/>
  <c r="BG70" i="11" s="1"/>
  <c r="BG78" i="11" a="1"/>
  <c r="BG78" i="11" s="1"/>
  <c r="BG96" i="11"/>
  <c r="BG49" i="11" a="1"/>
  <c r="BG49" i="11" s="1"/>
  <c r="BG69" i="11" a="1"/>
  <c r="BG69" i="11" s="1"/>
  <c r="BG77" i="11" a="1"/>
  <c r="BG77" i="11" s="1"/>
  <c r="BG68" i="11" a="1"/>
  <c r="BG68" i="11" s="1"/>
  <c r="BG48" i="11" a="1"/>
  <c r="BG48" i="11" s="1"/>
  <c r="BG28" i="11" a="1"/>
  <c r="BG28" i="11" s="1"/>
  <c r="BG80" i="11" a="1"/>
  <c r="BG80" i="11" s="1"/>
  <c r="BG50" i="11" a="1"/>
  <c r="BG50" i="11" s="1"/>
  <c r="BG92" i="11"/>
  <c r="BG27" i="11" a="1"/>
  <c r="BG27" i="11" s="1"/>
  <c r="BG26" i="11" a="1"/>
  <c r="BG26" i="11" s="1"/>
  <c r="BG24" i="11" a="1"/>
  <c r="BG24" i="11" s="1"/>
  <c r="BG10" i="11" a="1"/>
  <c r="BG10" i="11" s="1"/>
  <c r="BG11" i="11" a="1"/>
  <c r="BG11" i="11" s="1"/>
  <c r="BG12" i="11" a="1"/>
  <c r="BG12" i="11" s="1"/>
  <c r="BH1" i="11"/>
  <c r="BF13" i="11"/>
  <c r="AR39" i="7"/>
  <c r="BE3" i="6" a="1"/>
  <c r="BE3" i="6" s="1"/>
  <c r="BF1" i="6"/>
  <c r="AU9" i="13"/>
  <c r="AV4" i="13" s="1"/>
  <c r="BG29" i="11" l="1"/>
  <c r="BG13" i="11"/>
  <c r="BG71" i="11"/>
  <c r="BF29" i="12"/>
  <c r="BF51" i="12"/>
  <c r="AQ67" i="6"/>
  <c r="AQ68" i="6" s="1"/>
  <c r="AR4" i="11" s="1" a="1"/>
  <c r="AR4" i="11" s="1"/>
  <c r="AR5" i="11" s="1"/>
  <c r="BG1" i="6"/>
  <c r="BF3" i="6" a="1"/>
  <c r="BF3" i="6" s="1"/>
  <c r="BE12" i="6"/>
  <c r="BE14" i="6" s="1"/>
  <c r="BE7" i="6"/>
  <c r="AR40" i="7"/>
  <c r="AR64" i="7"/>
  <c r="AR65" i="7" s="1"/>
  <c r="AR45" i="6"/>
  <c r="AR37" i="6"/>
  <c r="AR18" i="6"/>
  <c r="AR21" i="6" s="1"/>
  <c r="AR52" i="6"/>
  <c r="AR55" i="6" s="1"/>
  <c r="BF71" i="12"/>
  <c r="BE11" i="13"/>
  <c r="BF2" i="13"/>
  <c r="BE5" i="13"/>
  <c r="BE25" i="13"/>
  <c r="BG177" i="12"/>
  <c r="BG176" i="12"/>
  <c r="BG96" i="12"/>
  <c r="BG92" i="12"/>
  <c r="BG80" i="12" a="1"/>
  <c r="BG80" i="12" s="1"/>
  <c r="BG78" i="12" a="1"/>
  <c r="BG78" i="12" s="1"/>
  <c r="BG68" i="12" a="1"/>
  <c r="BG68" i="12" s="1"/>
  <c r="BG70" i="12" a="1"/>
  <c r="BG70" i="12" s="1"/>
  <c r="BG69" i="12" a="1"/>
  <c r="BG69" i="12" s="1"/>
  <c r="BG77" i="12" a="1"/>
  <c r="BG77" i="12" s="1"/>
  <c r="BG48" i="12" a="1"/>
  <c r="BG48" i="12" s="1"/>
  <c r="BG24" i="12" a="1"/>
  <c r="BG24" i="12" s="1"/>
  <c r="BG49" i="12" a="1"/>
  <c r="BG49" i="12" s="1"/>
  <c r="BG28" i="12" a="1"/>
  <c r="BG28" i="12" s="1"/>
  <c r="BG27" i="12" a="1"/>
  <c r="BG27" i="12" s="1"/>
  <c r="BG26" i="12" a="1"/>
  <c r="BG26" i="12" s="1"/>
  <c r="BG11" i="12" a="1"/>
  <c r="BG11" i="12" s="1"/>
  <c r="BG50" i="12" a="1"/>
  <c r="BG50" i="12" s="1"/>
  <c r="BG12" i="12" a="1"/>
  <c r="BG12" i="12" s="1"/>
  <c r="BH1" i="12"/>
  <c r="BG10" i="12" a="1"/>
  <c r="BG10" i="12" s="1"/>
  <c r="AL27" i="13"/>
  <c r="AL28" i="13" s="1"/>
  <c r="BG51" i="11"/>
  <c r="AR48" i="7"/>
  <c r="BD43" i="7"/>
  <c r="BG30" i="11"/>
  <c r="BF13" i="12"/>
  <c r="BD8" i="7"/>
  <c r="BD9" i="7" s="1"/>
  <c r="AV7" i="13"/>
  <c r="AV8" i="13" s="1"/>
  <c r="BF26" i="13"/>
  <c r="BG1" i="13"/>
  <c r="BF6" i="13"/>
  <c r="AR39" i="6"/>
  <c r="BF3" i="7" a="1"/>
  <c r="BF3" i="7" s="1"/>
  <c r="BG1" i="7"/>
  <c r="BF30" i="12"/>
  <c r="BE7" i="7"/>
  <c r="BE12" i="7"/>
  <c r="BE14" i="7" s="1"/>
  <c r="BD8" i="6"/>
  <c r="BD9" i="6" s="1"/>
  <c r="AS20" i="7"/>
  <c r="BH176" i="11"/>
  <c r="BH177" i="11"/>
  <c r="BH78" i="11" a="1"/>
  <c r="BH78" i="11" s="1"/>
  <c r="BH69" i="11" a="1"/>
  <c r="BH69" i="11" s="1"/>
  <c r="BH77" i="11" a="1"/>
  <c r="BH77" i="11" s="1"/>
  <c r="BH96" i="11"/>
  <c r="BH92" i="11"/>
  <c r="BH80" i="11" a="1"/>
  <c r="BH80" i="11" s="1"/>
  <c r="BH70" i="11" a="1"/>
  <c r="BH70" i="11" s="1"/>
  <c r="BH68" i="11" a="1"/>
  <c r="BH68" i="11" s="1"/>
  <c r="BH50" i="11" a="1"/>
  <c r="BH50" i="11" s="1"/>
  <c r="BH49" i="11" a="1"/>
  <c r="BH49" i="11" s="1"/>
  <c r="BH26" i="11" a="1"/>
  <c r="BH26" i="11" s="1"/>
  <c r="BH48" i="11" a="1"/>
  <c r="BH48" i="11" s="1"/>
  <c r="BH24" i="11" a="1"/>
  <c r="BH24" i="11" s="1"/>
  <c r="BH28" i="11" a="1"/>
  <c r="BH28" i="11" s="1"/>
  <c r="BH12" i="11" a="1"/>
  <c r="BH12" i="11" s="1"/>
  <c r="BH27" i="11" a="1"/>
  <c r="BH27" i="11" s="1"/>
  <c r="BH11" i="11" a="1"/>
  <c r="BH11" i="11" s="1"/>
  <c r="BI1" i="11"/>
  <c r="BH10" i="11" a="1"/>
  <c r="BH10" i="11" s="1"/>
  <c r="AS54" i="7"/>
  <c r="AR67" i="7" l="1"/>
  <c r="AR68" i="7" s="1"/>
  <c r="AS4" i="12" s="1" a="1"/>
  <c r="AS4" i="12" s="1"/>
  <c r="AS5" i="12" s="1"/>
  <c r="BH13" i="11"/>
  <c r="BH51" i="11"/>
  <c r="BH29" i="11"/>
  <c r="BH30" i="11" s="1"/>
  <c r="BH71" i="11"/>
  <c r="BE8" i="7"/>
  <c r="BE9" i="7" s="1"/>
  <c r="BE8" i="6"/>
  <c r="BE9" i="6" s="1"/>
  <c r="BG71" i="12"/>
  <c r="BG13" i="12"/>
  <c r="AS54" i="6"/>
  <c r="AV9" i="13"/>
  <c r="AW4" i="13" s="1"/>
  <c r="BH177" i="12"/>
  <c r="BH176" i="12"/>
  <c r="BH96" i="12"/>
  <c r="BH92" i="12"/>
  <c r="BH78" i="12" a="1"/>
  <c r="BH78" i="12" s="1"/>
  <c r="BH77" i="12" a="1"/>
  <c r="BH77" i="12" s="1"/>
  <c r="BH80" i="12" a="1"/>
  <c r="BH80" i="12" s="1"/>
  <c r="BH68" i="12" a="1"/>
  <c r="BH68" i="12" s="1"/>
  <c r="BH70" i="12" a="1"/>
  <c r="BH70" i="12" s="1"/>
  <c r="BH69" i="12" a="1"/>
  <c r="BH69" i="12" s="1"/>
  <c r="BH48" i="12" a="1"/>
  <c r="BH48" i="12" s="1"/>
  <c r="BH50" i="12" a="1"/>
  <c r="BH50" i="12" s="1"/>
  <c r="BH49" i="12" a="1"/>
  <c r="BH49" i="12" s="1"/>
  <c r="BH24" i="12" a="1"/>
  <c r="BH24" i="12" s="1"/>
  <c r="BH12" i="12" a="1"/>
  <c r="BH12" i="12" s="1"/>
  <c r="BH28" i="12" a="1"/>
  <c r="BH28" i="12" s="1"/>
  <c r="BH27" i="12" a="1"/>
  <c r="BH27" i="12" s="1"/>
  <c r="BH26" i="12" a="1"/>
  <c r="BH26" i="12" s="1"/>
  <c r="BH11" i="12" a="1"/>
  <c r="BH11" i="12" s="1"/>
  <c r="BI1" i="12"/>
  <c r="BH10" i="12" a="1"/>
  <c r="BH10" i="12" s="1"/>
  <c r="AR40" i="6"/>
  <c r="AR64" i="6"/>
  <c r="AR65" i="6" s="1"/>
  <c r="AR48" i="6"/>
  <c r="BD43" i="6"/>
  <c r="BG3" i="7" a="1"/>
  <c r="BG3" i="7" s="1"/>
  <c r="BH1" i="7"/>
  <c r="AS45" i="7"/>
  <c r="AS18" i="7"/>
  <c r="AS21" i="7" s="1"/>
  <c r="AS52" i="7"/>
  <c r="AS55" i="7" s="1"/>
  <c r="AS37" i="7"/>
  <c r="BF5" i="13"/>
  <c r="BF25" i="13"/>
  <c r="BF11" i="13"/>
  <c r="BG2" i="13"/>
  <c r="BF7" i="7"/>
  <c r="BF12" i="7"/>
  <c r="BF14" i="7" s="1"/>
  <c r="BG29" i="12"/>
  <c r="BG30" i="12" s="1"/>
  <c r="AS39" i="7"/>
  <c r="AL29" i="13"/>
  <c r="AM24" i="13" s="1"/>
  <c r="BF12" i="6"/>
  <c r="BF14" i="6" s="1"/>
  <c r="BF7" i="6"/>
  <c r="BI176" i="11"/>
  <c r="BI177" i="11"/>
  <c r="BI78" i="11" a="1"/>
  <c r="BI78" i="11" s="1"/>
  <c r="BI69" i="11" a="1"/>
  <c r="BI69" i="11" s="1"/>
  <c r="BI96" i="11"/>
  <c r="BI80" i="11" a="1"/>
  <c r="BI80" i="11" s="1"/>
  <c r="BI92" i="11"/>
  <c r="BI77" i="11" a="1"/>
  <c r="BI77" i="11" s="1"/>
  <c r="BI70" i="11" a="1"/>
  <c r="BI70" i="11" s="1"/>
  <c r="BI68" i="11" a="1"/>
  <c r="BI68" i="11" s="1"/>
  <c r="BI49" i="11" a="1"/>
  <c r="BI49" i="11" s="1"/>
  <c r="BI50" i="11" a="1"/>
  <c r="BI50" i="11" s="1"/>
  <c r="BI24" i="11" a="1"/>
  <c r="BI24" i="11" s="1"/>
  <c r="BI28" i="11" a="1"/>
  <c r="BI28" i="11" s="1"/>
  <c r="BI12" i="11" a="1"/>
  <c r="BI12" i="11" s="1"/>
  <c r="BI11" i="11" a="1"/>
  <c r="BI11" i="11" s="1"/>
  <c r="BI10" i="11" a="1"/>
  <c r="BI10" i="11" s="1"/>
  <c r="BI27" i="11" a="1"/>
  <c r="BI27" i="11" s="1"/>
  <c r="BI48" i="11" a="1"/>
  <c r="BI48" i="11" s="1"/>
  <c r="BJ1" i="11"/>
  <c r="BI26" i="11" a="1"/>
  <c r="BI26" i="11" s="1"/>
  <c r="BG3" i="6" a="1"/>
  <c r="BG3" i="6" s="1"/>
  <c r="BH1" i="6"/>
  <c r="BG51" i="12"/>
  <c r="AS20" i="6"/>
  <c r="BG26" i="13"/>
  <c r="BG6" i="13"/>
  <c r="BH1" i="13"/>
  <c r="BI51" i="11" l="1"/>
  <c r="BI29" i="11"/>
  <c r="BI30" i="11" s="1"/>
  <c r="BI13" i="11"/>
  <c r="BI71" i="11"/>
  <c r="AR67" i="6"/>
  <c r="AR68" i="6" s="1"/>
  <c r="AS4" i="11" s="1" a="1"/>
  <c r="AS4" i="11" s="1"/>
  <c r="AS5" i="11" s="1"/>
  <c r="BH29" i="12"/>
  <c r="BH30" i="12" s="1"/>
  <c r="BG7" i="7"/>
  <c r="BG12" i="7"/>
  <c r="BG14" i="7" s="1"/>
  <c r="BI1" i="6"/>
  <c r="BH3" i="6" a="1"/>
  <c r="BH3" i="6" s="1"/>
  <c r="AS48" i="7"/>
  <c r="BE43" i="7"/>
  <c r="BH51" i="12"/>
  <c r="BG7" i="6"/>
  <c r="BG12" i="6"/>
  <c r="BG14" i="6" s="1"/>
  <c r="AW7" i="13"/>
  <c r="AW8" i="13" s="1"/>
  <c r="AS45" i="6"/>
  <c r="AS37" i="6"/>
  <c r="AS18" i="6"/>
  <c r="AS21" i="6" s="1"/>
  <c r="AS52" i="6"/>
  <c r="AS55" i="6" s="1"/>
  <c r="BH71" i="12"/>
  <c r="BG25" i="13"/>
  <c r="BG11" i="13"/>
  <c r="BG5" i="13"/>
  <c r="BH2" i="13"/>
  <c r="AS39" i="6"/>
  <c r="BF8" i="6"/>
  <c r="BF9" i="6" s="1"/>
  <c r="BI1" i="7"/>
  <c r="BH3" i="7" a="1"/>
  <c r="BH3" i="7" s="1"/>
  <c r="BH13" i="12"/>
  <c r="AT20" i="7"/>
  <c r="BJ177" i="11"/>
  <c r="BJ176" i="11"/>
  <c r="BJ96" i="11"/>
  <c r="BJ80" i="11" a="1"/>
  <c r="BJ80" i="11" s="1"/>
  <c r="BJ92" i="11"/>
  <c r="BJ69" i="11" a="1"/>
  <c r="BJ69" i="11" s="1"/>
  <c r="BJ70" i="11" a="1"/>
  <c r="BJ70" i="11" s="1"/>
  <c r="BJ77" i="11" a="1"/>
  <c r="BJ77" i="11" s="1"/>
  <c r="BJ68" i="11" a="1"/>
  <c r="BJ68" i="11" s="1"/>
  <c r="BJ78" i="11" a="1"/>
  <c r="BJ78" i="11" s="1"/>
  <c r="BJ50" i="11" a="1"/>
  <c r="BJ50" i="11" s="1"/>
  <c r="BJ49" i="11" a="1"/>
  <c r="BJ49" i="11" s="1"/>
  <c r="BJ48" i="11" a="1"/>
  <c r="BJ48" i="11" s="1"/>
  <c r="BJ24" i="11" a="1"/>
  <c r="BJ24" i="11" s="1"/>
  <c r="BJ28" i="11" a="1"/>
  <c r="BJ28" i="11" s="1"/>
  <c r="BJ12" i="11" a="1"/>
  <c r="BJ12" i="11" s="1"/>
  <c r="BJ11" i="11" a="1"/>
  <c r="BJ11" i="11" s="1"/>
  <c r="BJ27" i="11" a="1"/>
  <c r="BJ27" i="11" s="1"/>
  <c r="BJ26" i="11" a="1"/>
  <c r="BJ26" i="11" s="1"/>
  <c r="BK1" i="11"/>
  <c r="BJ10" i="11" a="1"/>
  <c r="BJ10" i="11" s="1"/>
  <c r="BH26" i="13"/>
  <c r="BI1" i="13"/>
  <c r="BH6" i="13"/>
  <c r="BI176" i="12"/>
  <c r="BI177" i="12"/>
  <c r="BI80" i="12" a="1"/>
  <c r="BI80" i="12" s="1"/>
  <c r="BI96" i="12"/>
  <c r="BI92" i="12"/>
  <c r="BI78" i="12" a="1"/>
  <c r="BI78" i="12" s="1"/>
  <c r="BI69" i="12" a="1"/>
  <c r="BI69" i="12" s="1"/>
  <c r="BI77" i="12" a="1"/>
  <c r="BI77" i="12" s="1"/>
  <c r="BI70" i="12" a="1"/>
  <c r="BI70" i="12" s="1"/>
  <c r="BI68" i="12" a="1"/>
  <c r="BI68" i="12" s="1"/>
  <c r="BI48" i="12" a="1"/>
  <c r="BI48" i="12" s="1"/>
  <c r="BI49" i="12" a="1"/>
  <c r="BI49" i="12" s="1"/>
  <c r="BI50" i="12" a="1"/>
  <c r="BI50" i="12" s="1"/>
  <c r="BI12" i="12" a="1"/>
  <c r="BI12" i="12" s="1"/>
  <c r="BI28" i="12" a="1"/>
  <c r="BI28" i="12" s="1"/>
  <c r="BI10" i="12" a="1"/>
  <c r="BI10" i="12" s="1"/>
  <c r="BI27" i="12" a="1"/>
  <c r="BI27" i="12" s="1"/>
  <c r="BI11" i="12" a="1"/>
  <c r="BI11" i="12" s="1"/>
  <c r="BI24" i="12" a="1"/>
  <c r="BI24" i="12" s="1"/>
  <c r="BJ1" i="12"/>
  <c r="BI26" i="12" a="1"/>
  <c r="BI26" i="12" s="1"/>
  <c r="BF8" i="7"/>
  <c r="BF9" i="7" s="1"/>
  <c r="BG8" i="7" s="1"/>
  <c r="AT54" i="7"/>
  <c r="AM27" i="13"/>
  <c r="AM28" i="13" s="1"/>
  <c r="AS40" i="7"/>
  <c r="AS64" i="7"/>
  <c r="AS65" i="7" s="1"/>
  <c r="AS67" i="7" l="1"/>
  <c r="AS68" i="7" s="1"/>
  <c r="AT4" i="12" s="1" a="1"/>
  <c r="AT4" i="12" s="1"/>
  <c r="AT5" i="12" s="1"/>
  <c r="BJ71" i="11"/>
  <c r="BI71" i="12"/>
  <c r="BJ51" i="11"/>
  <c r="AT54" i="6"/>
  <c r="BH12" i="6"/>
  <c r="BH14" i="6" s="1"/>
  <c r="BH7" i="6"/>
  <c r="AT39" i="7"/>
  <c r="AT20" i="6"/>
  <c r="BI3" i="6" a="1"/>
  <c r="BI3" i="6" s="1"/>
  <c r="BJ1" i="6"/>
  <c r="AS40" i="6"/>
  <c r="AS64" i="6"/>
  <c r="AS65" i="6" s="1"/>
  <c r="BK177" i="11"/>
  <c r="BK176" i="11"/>
  <c r="BK96" i="11"/>
  <c r="BK80" i="11" a="1"/>
  <c r="BK80" i="11" s="1"/>
  <c r="BK92" i="11"/>
  <c r="BK78" i="11" a="1"/>
  <c r="BK78" i="11" s="1"/>
  <c r="BK77" i="11" a="1"/>
  <c r="BK77" i="11" s="1"/>
  <c r="BK70" i="11" a="1"/>
  <c r="BK70" i="11" s="1"/>
  <c r="BK68" i="11" a="1"/>
  <c r="BK68" i="11" s="1"/>
  <c r="BK50" i="11" a="1"/>
  <c r="BK50" i="11" s="1"/>
  <c r="BK49" i="11" a="1"/>
  <c r="BK49" i="11" s="1"/>
  <c r="BK48" i="11" a="1"/>
  <c r="BK48" i="11" s="1"/>
  <c r="BK24" i="11" a="1"/>
  <c r="BK24" i="11" s="1"/>
  <c r="BK28" i="11" a="1"/>
  <c r="BK28" i="11" s="1"/>
  <c r="BK11" i="11" a="1"/>
  <c r="BK11" i="11" s="1"/>
  <c r="BK10" i="11" a="1"/>
  <c r="BK10" i="11" s="1"/>
  <c r="BK27" i="11" a="1"/>
  <c r="BK27" i="11" s="1"/>
  <c r="BK26" i="11" a="1"/>
  <c r="BK26" i="11" s="1"/>
  <c r="BL1" i="11"/>
  <c r="BK12" i="11" a="1"/>
  <c r="BK12" i="11" s="1"/>
  <c r="BK69" i="11" a="1"/>
  <c r="BK69" i="11" s="1"/>
  <c r="BI13" i="12"/>
  <c r="BH12" i="7"/>
  <c r="BH14" i="7" s="1"/>
  <c r="BH7" i="7"/>
  <c r="AS48" i="6"/>
  <c r="BE43" i="6"/>
  <c r="BG9" i="7"/>
  <c r="BJ13" i="11"/>
  <c r="BJ29" i="11"/>
  <c r="BJ30" i="11" s="1"/>
  <c r="BJ1" i="7"/>
  <c r="BI3" i="7" a="1"/>
  <c r="BI3" i="7" s="1"/>
  <c r="BH8" i="7"/>
  <c r="BG8" i="6"/>
  <c r="BG9" i="6" s="1"/>
  <c r="BI51" i="12"/>
  <c r="BI29" i="12"/>
  <c r="BI30" i="12" s="1"/>
  <c r="BH25" i="13"/>
  <c r="BH11" i="13"/>
  <c r="BH5" i="13"/>
  <c r="BI2" i="13"/>
  <c r="AT45" i="7"/>
  <c r="AT52" i="7"/>
  <c r="AT55" i="7" s="1"/>
  <c r="AT18" i="7"/>
  <c r="AT21" i="7" s="1"/>
  <c r="AT37" i="7"/>
  <c r="BI26" i="13"/>
  <c r="BJ1" i="13"/>
  <c r="BI6" i="13"/>
  <c r="AM29" i="13"/>
  <c r="AN24" i="13" s="1"/>
  <c r="BJ177" i="12"/>
  <c r="BJ96" i="12"/>
  <c r="BJ176" i="12"/>
  <c r="BJ92" i="12"/>
  <c r="BJ70" i="12" a="1"/>
  <c r="BJ70" i="12" s="1"/>
  <c r="BJ78" i="12" a="1"/>
  <c r="BJ78" i="12" s="1"/>
  <c r="BJ77" i="12" a="1"/>
  <c r="BJ77" i="12" s="1"/>
  <c r="BJ69" i="12" a="1"/>
  <c r="BJ69" i="12" s="1"/>
  <c r="BJ80" i="12" a="1"/>
  <c r="BJ80" i="12" s="1"/>
  <c r="BJ48" i="12" a="1"/>
  <c r="BJ48" i="12" s="1"/>
  <c r="BJ68" i="12" a="1"/>
  <c r="BJ68" i="12" s="1"/>
  <c r="BJ49" i="12" a="1"/>
  <c r="BJ49" i="12" s="1"/>
  <c r="BJ50" i="12" a="1"/>
  <c r="BJ50" i="12" s="1"/>
  <c r="BJ11" i="12" a="1"/>
  <c r="BJ11" i="12" s="1"/>
  <c r="BJ28" i="12" a="1"/>
  <c r="BJ28" i="12" s="1"/>
  <c r="BJ10" i="12" a="1"/>
  <c r="BJ10" i="12" s="1"/>
  <c r="BJ27" i="12" a="1"/>
  <c r="BJ27" i="12" s="1"/>
  <c r="BJ26" i="12" a="1"/>
  <c r="BJ26" i="12" s="1"/>
  <c r="BJ24" i="12" a="1"/>
  <c r="BJ24" i="12" s="1"/>
  <c r="BJ12" i="12" a="1"/>
  <c r="BJ12" i="12" s="1"/>
  <c r="BK1" i="12"/>
  <c r="AW9" i="13"/>
  <c r="AX4" i="13" s="1"/>
  <c r="AS67" i="6" l="1"/>
  <c r="AS68" i="6" s="1"/>
  <c r="BK29" i="11"/>
  <c r="BK30" i="11" s="1"/>
  <c r="BJ71" i="12"/>
  <c r="BJ29" i="12"/>
  <c r="BH8" i="6"/>
  <c r="BI7" i="7"/>
  <c r="BI12" i="7"/>
  <c r="BI14" i="7" s="1"/>
  <c r="BL177" i="11"/>
  <c r="BL176" i="11"/>
  <c r="BL80" i="11" a="1"/>
  <c r="BL80" i="11" s="1"/>
  <c r="BL92" i="11"/>
  <c r="BL78" i="11" a="1"/>
  <c r="BL78" i="11" s="1"/>
  <c r="BL77" i="11" a="1"/>
  <c r="BL77" i="11" s="1"/>
  <c r="BL70" i="11" a="1"/>
  <c r="BL70" i="11" s="1"/>
  <c r="BL69" i="11" a="1"/>
  <c r="BL69" i="11" s="1"/>
  <c r="BL68" i="11" a="1"/>
  <c r="BL68" i="11" s="1"/>
  <c r="BL49" i="11" a="1"/>
  <c r="BL49" i="11" s="1"/>
  <c r="BL96" i="11"/>
  <c r="BL48" i="11" a="1"/>
  <c r="BL48" i="11" s="1"/>
  <c r="BL24" i="11" a="1"/>
  <c r="BL24" i="11" s="1"/>
  <c r="BL28" i="11" a="1"/>
  <c r="BL28" i="11" s="1"/>
  <c r="BL12" i="11" a="1"/>
  <c r="BL12" i="11" s="1"/>
  <c r="BL27" i="11" a="1"/>
  <c r="BL27" i="11" s="1"/>
  <c r="BL26" i="11" a="1"/>
  <c r="BL26" i="11" s="1"/>
  <c r="BL50" i="11" a="1"/>
  <c r="BL50" i="11" s="1"/>
  <c r="BL11" i="11" a="1"/>
  <c r="BL11" i="11" s="1"/>
  <c r="BM1" i="11"/>
  <c r="BL10" i="11" a="1"/>
  <c r="BL10" i="11" s="1"/>
  <c r="AT4" i="11" a="1"/>
  <c r="AT4" i="11" s="1"/>
  <c r="AT5" i="11" s="1"/>
  <c r="BK13" i="11"/>
  <c r="AT48" i="7"/>
  <c r="BF43" i="7"/>
  <c r="BH9" i="6"/>
  <c r="BJ26" i="13"/>
  <c r="BJ6" i="13"/>
  <c r="BK1" i="13"/>
  <c r="AT45" i="6"/>
  <c r="AT37" i="6"/>
  <c r="AT52" i="6"/>
  <c r="AT55" i="6" s="1"/>
  <c r="AT18" i="6"/>
  <c r="AT21" i="6" s="1"/>
  <c r="BK1" i="7"/>
  <c r="BJ3" i="7" a="1"/>
  <c r="BJ3" i="7" s="1"/>
  <c r="BK51" i="11"/>
  <c r="AT39" i="6"/>
  <c r="BK176" i="12"/>
  <c r="BK177" i="12"/>
  <c r="BK96" i="12"/>
  <c r="BK92" i="12"/>
  <c r="BK78" i="12" a="1"/>
  <c r="BK78" i="12" s="1"/>
  <c r="BK69" i="12" a="1"/>
  <c r="BK69" i="12" s="1"/>
  <c r="BK77" i="12" a="1"/>
  <c r="BK77" i="12" s="1"/>
  <c r="BK68" i="12" a="1"/>
  <c r="BK68" i="12" s="1"/>
  <c r="BK80" i="12" a="1"/>
  <c r="BK80" i="12" s="1"/>
  <c r="BK70" i="12" a="1"/>
  <c r="BK70" i="12" s="1"/>
  <c r="BK48" i="12" a="1"/>
  <c r="BK48" i="12" s="1"/>
  <c r="BK49" i="12" a="1"/>
  <c r="BK49" i="12" s="1"/>
  <c r="BK50" i="12" a="1"/>
  <c r="BK50" i="12" s="1"/>
  <c r="BK28" i="12" a="1"/>
  <c r="BK28" i="12" s="1"/>
  <c r="BK27" i="12" a="1"/>
  <c r="BK27" i="12" s="1"/>
  <c r="BK26" i="12" a="1"/>
  <c r="BK26" i="12" s="1"/>
  <c r="BK24" i="12" a="1"/>
  <c r="BK24" i="12" s="1"/>
  <c r="BK11" i="12" a="1"/>
  <c r="BK11" i="12" s="1"/>
  <c r="BK12" i="12" a="1"/>
  <c r="BK12" i="12" s="1"/>
  <c r="BK10" i="12" a="1"/>
  <c r="BK10" i="12" s="1"/>
  <c r="BL1" i="12"/>
  <c r="BI25" i="13"/>
  <c r="BI5" i="13"/>
  <c r="BI11" i="13"/>
  <c r="BJ2" i="13"/>
  <c r="BI7" i="6"/>
  <c r="BI12" i="6"/>
  <c r="BI14" i="6" s="1"/>
  <c r="AX7" i="13"/>
  <c r="AX8" i="13" s="1"/>
  <c r="BJ30" i="12"/>
  <c r="BH9" i="7"/>
  <c r="BJ51" i="12"/>
  <c r="AT40" i="7"/>
  <c r="AT64" i="7"/>
  <c r="AT65" i="7" s="1"/>
  <c r="AU20" i="7"/>
  <c r="AU54" i="7"/>
  <c r="BJ13" i="12"/>
  <c r="BK71" i="11"/>
  <c r="AN27" i="13"/>
  <c r="AN28" i="13" s="1"/>
  <c r="BJ3" i="6" a="1"/>
  <c r="BJ3" i="6" s="1"/>
  <c r="BK1" i="6"/>
  <c r="BL13" i="11" l="1"/>
  <c r="BK13" i="12"/>
  <c r="BK29" i="12"/>
  <c r="BK30" i="12" s="1"/>
  <c r="AU45" i="7"/>
  <c r="AU18" i="7"/>
  <c r="AU21" i="7" s="1"/>
  <c r="AU37" i="7"/>
  <c r="AU52" i="7"/>
  <c r="AU55" i="7" s="1"/>
  <c r="AU39" i="7"/>
  <c r="AT40" i="6"/>
  <c r="AT64" i="6"/>
  <c r="AT65" i="6" s="1"/>
  <c r="BK26" i="13"/>
  <c r="BL1" i="13"/>
  <c r="BK6" i="13"/>
  <c r="BL1" i="6"/>
  <c r="BK3" i="6" a="1"/>
  <c r="BK3" i="6" s="1"/>
  <c r="BL29" i="11"/>
  <c r="BL30" i="11" s="1"/>
  <c r="BM177" i="11"/>
  <c r="BM176" i="11"/>
  <c r="BM80" i="11" a="1"/>
  <c r="BM80" i="11" s="1"/>
  <c r="BM92" i="11"/>
  <c r="BM78" i="11" a="1"/>
  <c r="BM78" i="11" s="1"/>
  <c r="BM77" i="11" a="1"/>
  <c r="BM77" i="11" s="1"/>
  <c r="BM50" i="11" a="1"/>
  <c r="BM50" i="11" s="1"/>
  <c r="BM69" i="11" a="1"/>
  <c r="BM69" i="11" s="1"/>
  <c r="BM49" i="11" a="1"/>
  <c r="BM49" i="11" s="1"/>
  <c r="BM96" i="11"/>
  <c r="BM70" i="11" a="1"/>
  <c r="BM70" i="11" s="1"/>
  <c r="BM48" i="11" a="1"/>
  <c r="BM48" i="11" s="1"/>
  <c r="BM28" i="11" a="1"/>
  <c r="BM28" i="11" s="1"/>
  <c r="BM68" i="11" a="1"/>
  <c r="BM68" i="11" s="1"/>
  <c r="BM10" i="11" a="1"/>
  <c r="BM10" i="11" s="1"/>
  <c r="BM27" i="11" a="1"/>
  <c r="BM27" i="11" s="1"/>
  <c r="BM26" i="11" a="1"/>
  <c r="BM26" i="11" s="1"/>
  <c r="BM24" i="11" a="1"/>
  <c r="BM24" i="11" s="1"/>
  <c r="BM11" i="11" a="1"/>
  <c r="BM11" i="11" s="1"/>
  <c r="BN1" i="11"/>
  <c r="BM12" i="11" a="1"/>
  <c r="BM12" i="11" s="1"/>
  <c r="BJ7" i="6"/>
  <c r="BJ12" i="6"/>
  <c r="BJ14" i="6" s="1"/>
  <c r="BK51" i="12"/>
  <c r="AT48" i="6"/>
  <c r="AT67" i="6" s="1"/>
  <c r="AT68" i="6" s="1"/>
  <c r="BF43" i="6"/>
  <c r="AX9" i="13"/>
  <c r="AY4" i="13" s="1"/>
  <c r="BJ25" i="13"/>
  <c r="BJ5" i="13"/>
  <c r="BJ11" i="13"/>
  <c r="BK2" i="13"/>
  <c r="BL51" i="11"/>
  <c r="BI8" i="7"/>
  <c r="BI9" i="7" s="1"/>
  <c r="BL177" i="12"/>
  <c r="BL96" i="12"/>
  <c r="BL176" i="12"/>
  <c r="BL92" i="12"/>
  <c r="BL80" i="12" a="1"/>
  <c r="BL80" i="12" s="1"/>
  <c r="BL78" i="12" a="1"/>
  <c r="BL78" i="12" s="1"/>
  <c r="BL69" i="12" a="1"/>
  <c r="BL69" i="12" s="1"/>
  <c r="BL68" i="12" a="1"/>
  <c r="BL68" i="12" s="1"/>
  <c r="BL48" i="12" a="1"/>
  <c r="BL48" i="12" s="1"/>
  <c r="BL49" i="12" a="1"/>
  <c r="BL49" i="12" s="1"/>
  <c r="BL50" i="12" a="1"/>
  <c r="BL50" i="12" s="1"/>
  <c r="BL77" i="12" a="1"/>
  <c r="BL77" i="12" s="1"/>
  <c r="BL70" i="12" a="1"/>
  <c r="BL70" i="12" s="1"/>
  <c r="BL26" i="12" a="1"/>
  <c r="BL26" i="12" s="1"/>
  <c r="BL24" i="12" a="1"/>
  <c r="BL24" i="12" s="1"/>
  <c r="BL28" i="12" a="1"/>
  <c r="BL28" i="12" s="1"/>
  <c r="BL12" i="12" a="1"/>
  <c r="BL12" i="12" s="1"/>
  <c r="BL10" i="12" a="1"/>
  <c r="BL10" i="12" s="1"/>
  <c r="BL27" i="12" a="1"/>
  <c r="BL27" i="12" s="1"/>
  <c r="BL11" i="12" a="1"/>
  <c r="BL11" i="12" s="1"/>
  <c r="BM1" i="12"/>
  <c r="AU20" i="6"/>
  <c r="AU54" i="6"/>
  <c r="BI8" i="6"/>
  <c r="BI9" i="6" s="1"/>
  <c r="AN29" i="13"/>
  <c r="AO24" i="13" s="1"/>
  <c r="BK71" i="12"/>
  <c r="BJ12" i="7"/>
  <c r="BJ14" i="7" s="1"/>
  <c r="BJ7" i="7"/>
  <c r="AT67" i="7"/>
  <c r="AT68" i="7" s="1"/>
  <c r="BL1" i="7"/>
  <c r="BK3" i="7" a="1"/>
  <c r="BK3" i="7" s="1"/>
  <c r="BL71" i="11"/>
  <c r="BM29" i="11" l="1"/>
  <c r="BM30" i="11" s="1"/>
  <c r="BL29" i="12"/>
  <c r="BL30" i="12" s="1"/>
  <c r="BJ8" i="7"/>
  <c r="BJ8" i="6"/>
  <c r="BJ9" i="6" s="1"/>
  <c r="BK25" i="13"/>
  <c r="BK11" i="13"/>
  <c r="BK5" i="13"/>
  <c r="BL2" i="13"/>
  <c r="BN176" i="11"/>
  <c r="BN177" i="11"/>
  <c r="BN80" i="11" a="1"/>
  <c r="BN80" i="11" s="1"/>
  <c r="BN92" i="11"/>
  <c r="BN78" i="11" a="1"/>
  <c r="BN78" i="11" s="1"/>
  <c r="BN77" i="11" a="1"/>
  <c r="BN77" i="11" s="1"/>
  <c r="BN96" i="11"/>
  <c r="BN50" i="11" a="1"/>
  <c r="BN50" i="11" s="1"/>
  <c r="BN49" i="11" a="1"/>
  <c r="BN49" i="11" s="1"/>
  <c r="BN48" i="11" a="1"/>
  <c r="BN48" i="11" s="1"/>
  <c r="BN69" i="11" a="1"/>
  <c r="BN69" i="11" s="1"/>
  <c r="BN70" i="11" a="1"/>
  <c r="BN70" i="11" s="1"/>
  <c r="BN68" i="11" a="1"/>
  <c r="BN68" i="11" s="1"/>
  <c r="BN27" i="11" a="1"/>
  <c r="BN27" i="11" s="1"/>
  <c r="BN26" i="11" a="1"/>
  <c r="BN26" i="11" s="1"/>
  <c r="BN11" i="11" a="1"/>
  <c r="BN11" i="11" s="1"/>
  <c r="BO1" i="11"/>
  <c r="BN28" i="11" a="1"/>
  <c r="BN28" i="11" s="1"/>
  <c r="BN12" i="11" a="1"/>
  <c r="BN12" i="11" s="1"/>
  <c r="BN10" i="11" a="1"/>
  <c r="BN10" i="11" s="1"/>
  <c r="BN24" i="11" a="1"/>
  <c r="BN24" i="11" s="1"/>
  <c r="AU45" i="6"/>
  <c r="AU37" i="6"/>
  <c r="AU52" i="6"/>
  <c r="AU55" i="6" s="1"/>
  <c r="AU18" i="6"/>
  <c r="AU21" i="6" s="1"/>
  <c r="AU39" i="6"/>
  <c r="BL71" i="12"/>
  <c r="AY7" i="13"/>
  <c r="AY8" i="13" s="1"/>
  <c r="BL51" i="12"/>
  <c r="AU4" i="12" a="1"/>
  <c r="AU4" i="12" s="1"/>
  <c r="AU5" i="12" s="1"/>
  <c r="AV54" i="7"/>
  <c r="BK12" i="7"/>
  <c r="BK14" i="7" s="1"/>
  <c r="BK7" i="7"/>
  <c r="BM177" i="12"/>
  <c r="BM176" i="12"/>
  <c r="BM96" i="12"/>
  <c r="BM80" i="12" a="1"/>
  <c r="BM80" i="12" s="1"/>
  <c r="BM92" i="12"/>
  <c r="BM78" i="12" a="1"/>
  <c r="BM78" i="12" s="1"/>
  <c r="BM69" i="12" a="1"/>
  <c r="BM69" i="12" s="1"/>
  <c r="BM77" i="12" a="1"/>
  <c r="BM77" i="12" s="1"/>
  <c r="BM68" i="12" a="1"/>
  <c r="BM68" i="12" s="1"/>
  <c r="BM70" i="12" a="1"/>
  <c r="BM70" i="12" s="1"/>
  <c r="BM49" i="12" a="1"/>
  <c r="BM49" i="12" s="1"/>
  <c r="BM50" i="12" a="1"/>
  <c r="BM50" i="12" s="1"/>
  <c r="BM24" i="12" a="1"/>
  <c r="BM24" i="12" s="1"/>
  <c r="BM26" i="12" a="1"/>
  <c r="BM26" i="12" s="1"/>
  <c r="BM48" i="12" a="1"/>
  <c r="BM48" i="12" s="1"/>
  <c r="BM10" i="12" a="1"/>
  <c r="BM10" i="12" s="1"/>
  <c r="BM27" i="12" a="1"/>
  <c r="BM27" i="12" s="1"/>
  <c r="BN1" i="12"/>
  <c r="BM28" i="12" a="1"/>
  <c r="BM28" i="12" s="1"/>
  <c r="BM11" i="12" a="1"/>
  <c r="BM11" i="12" s="1"/>
  <c r="BM12" i="12" a="1"/>
  <c r="BM12" i="12" s="1"/>
  <c r="BM13" i="11"/>
  <c r="AU40" i="7"/>
  <c r="AU64" i="7"/>
  <c r="AU65" i="7" s="1"/>
  <c r="AU4" i="11" a="1"/>
  <c r="AU4" i="11" s="1"/>
  <c r="AU5" i="11" s="1"/>
  <c r="BM71" i="11"/>
  <c r="AV20" i="7"/>
  <c r="BM1" i="13"/>
  <c r="BL26" i="13"/>
  <c r="BL6" i="13"/>
  <c r="BL13" i="12"/>
  <c r="BK7" i="6"/>
  <c r="BK12" i="6"/>
  <c r="BK14" i="6" s="1"/>
  <c r="AU48" i="7"/>
  <c r="BG43" i="7"/>
  <c r="AO27" i="13"/>
  <c r="AO28" i="13" s="1"/>
  <c r="BM51" i="11"/>
  <c r="BM1" i="6"/>
  <c r="BL3" i="6" a="1"/>
  <c r="BL3" i="6" s="1"/>
  <c r="BL3" i="7" a="1"/>
  <c r="BL3" i="7" s="1"/>
  <c r="BM1" i="7"/>
  <c r="BJ9" i="7"/>
  <c r="BK8" i="7" s="1"/>
  <c r="BN29" i="11" l="1"/>
  <c r="BN30" i="11" s="1"/>
  <c r="BN71" i="11"/>
  <c r="BM51" i="12"/>
  <c r="BM71" i="12"/>
  <c r="AU67" i="7"/>
  <c r="AU68" i="7" s="1"/>
  <c r="AV4" i="12" s="1" a="1"/>
  <c r="AV4" i="12" s="1"/>
  <c r="AV5" i="12" s="1"/>
  <c r="BM26" i="13"/>
  <c r="BM6" i="13"/>
  <c r="BN1" i="13"/>
  <c r="BL25" i="13"/>
  <c r="BL11" i="13"/>
  <c r="BM2" i="13"/>
  <c r="BL5" i="13"/>
  <c r="BN51" i="11"/>
  <c r="AY9" i="13"/>
  <c r="AZ4" i="13" s="1"/>
  <c r="BL12" i="7"/>
  <c r="BL14" i="7" s="1"/>
  <c r="BL7" i="7"/>
  <c r="BK9" i="7"/>
  <c r="BL8" i="7" s="1"/>
  <c r="AU40" i="6"/>
  <c r="AU64" i="6"/>
  <c r="AU65" i="6" s="1"/>
  <c r="AO29" i="13"/>
  <c r="AP24" i="13" s="1"/>
  <c r="AU48" i="6"/>
  <c r="BG43" i="6"/>
  <c r="BM29" i="12"/>
  <c r="BM30" i="12" s="1"/>
  <c r="BK8" i="6"/>
  <c r="BK9" i="6" s="1"/>
  <c r="BL12" i="6"/>
  <c r="BL14" i="6" s="1"/>
  <c r="BL7" i="6"/>
  <c r="BO176" i="11"/>
  <c r="BO177" i="11"/>
  <c r="BO92" i="11"/>
  <c r="BO70" i="11" a="1"/>
  <c r="BO70" i="11" s="1"/>
  <c r="BO78" i="11" a="1"/>
  <c r="BO78" i="11" s="1"/>
  <c r="BO96" i="11"/>
  <c r="BO49" i="11" a="1"/>
  <c r="BO49" i="11" s="1"/>
  <c r="BO69" i="11" a="1"/>
  <c r="BO69" i="11" s="1"/>
  <c r="BO80" i="11" a="1"/>
  <c r="BO80" i="11" s="1"/>
  <c r="BO68" i="11" a="1"/>
  <c r="BO68" i="11" s="1"/>
  <c r="BO77" i="11" a="1"/>
  <c r="BO77" i="11" s="1"/>
  <c r="BO48" i="11" a="1"/>
  <c r="BO48" i="11" s="1"/>
  <c r="BO28" i="11" a="1"/>
  <c r="BO28" i="11" s="1"/>
  <c r="BO50" i="11" a="1"/>
  <c r="BO50" i="11" s="1"/>
  <c r="BO27" i="11" a="1"/>
  <c r="BO27" i="11" s="1"/>
  <c r="BO26" i="11" a="1"/>
  <c r="BO26" i="11" s="1"/>
  <c r="BO24" i="11" a="1"/>
  <c r="BO24" i="11" s="1"/>
  <c r="BP1" i="11"/>
  <c r="BO12" i="11" a="1"/>
  <c r="BO12" i="11" s="1"/>
  <c r="BO10" i="11" a="1"/>
  <c r="BO10" i="11" s="1"/>
  <c r="BO11" i="11" a="1"/>
  <c r="BO11" i="11" s="1"/>
  <c r="BN1" i="6"/>
  <c r="BM3" i="6" a="1"/>
  <c r="BM3" i="6" s="1"/>
  <c r="AV54" i="6"/>
  <c r="AV45" i="7"/>
  <c r="AV18" i="7"/>
  <c r="AV21" i="7" s="1"/>
  <c r="AV37" i="7"/>
  <c r="AV52" i="7"/>
  <c r="AV55" i="7" s="1"/>
  <c r="AV39" i="7"/>
  <c r="BN13" i="11"/>
  <c r="BN177" i="12"/>
  <c r="BN176" i="12"/>
  <c r="BN92" i="12"/>
  <c r="BN96" i="12"/>
  <c r="BN80" i="12" a="1"/>
  <c r="BN80" i="12" s="1"/>
  <c r="BN78" i="12" a="1"/>
  <c r="BN78" i="12" s="1"/>
  <c r="BN49" i="12" a="1"/>
  <c r="BN49" i="12" s="1"/>
  <c r="BN77" i="12" a="1"/>
  <c r="BN77" i="12" s="1"/>
  <c r="BN68" i="12" a="1"/>
  <c r="BN68" i="12" s="1"/>
  <c r="BN69" i="12" a="1"/>
  <c r="BN69" i="12" s="1"/>
  <c r="BN50" i="12" a="1"/>
  <c r="BN50" i="12" s="1"/>
  <c r="BN70" i="12" a="1"/>
  <c r="BN70" i="12" s="1"/>
  <c r="BN24" i="12" a="1"/>
  <c r="BN24" i="12" s="1"/>
  <c r="BN11" i="12" a="1"/>
  <c r="BN11" i="12" s="1"/>
  <c r="BN28" i="12" a="1"/>
  <c r="BN28" i="12" s="1"/>
  <c r="BN27" i="12" a="1"/>
  <c r="BN27" i="12" s="1"/>
  <c r="BO1" i="12"/>
  <c r="BN26" i="12" a="1"/>
  <c r="BN26" i="12" s="1"/>
  <c r="BN12" i="12" a="1"/>
  <c r="BN12" i="12" s="1"/>
  <c r="BN10" i="12" a="1"/>
  <c r="BN10" i="12" s="1"/>
  <c r="BN48" i="12" a="1"/>
  <c r="BN48" i="12" s="1"/>
  <c r="BM13" i="12"/>
  <c r="AV20" i="6"/>
  <c r="BN1" i="7"/>
  <c r="BM3" i="7" a="1"/>
  <c r="BM3" i="7" s="1"/>
  <c r="BO51" i="11" l="1"/>
  <c r="BO71" i="11"/>
  <c r="BN13" i="12"/>
  <c r="BN29" i="12"/>
  <c r="BN30" i="12" s="1"/>
  <c r="AU67" i="6"/>
  <c r="AU68" i="6" s="1"/>
  <c r="AV4" i="11" s="1" a="1"/>
  <c r="AV4" i="11" s="1"/>
  <c r="AV5" i="11" s="1"/>
  <c r="BL8" i="6"/>
  <c r="BL9" i="6" s="1"/>
  <c r="AZ7" i="13"/>
  <c r="AZ8" i="13" s="1"/>
  <c r="BO1" i="13"/>
  <c r="BN6" i="13"/>
  <c r="BN26" i="13"/>
  <c r="BO176" i="12"/>
  <c r="BO177" i="12"/>
  <c r="BO96" i="12"/>
  <c r="BO80" i="12" a="1"/>
  <c r="BO80" i="12" s="1"/>
  <c r="BO78" i="12" a="1"/>
  <c r="BO78" i="12" s="1"/>
  <c r="BO68" i="12" a="1"/>
  <c r="BO68" i="12" s="1"/>
  <c r="BO77" i="12" a="1"/>
  <c r="BO77" i="12" s="1"/>
  <c r="BO70" i="12" a="1"/>
  <c r="BO70" i="12" s="1"/>
  <c r="BO92" i="12"/>
  <c r="BO50" i="12" a="1"/>
  <c r="BO50" i="12" s="1"/>
  <c r="BO48" i="12" a="1"/>
  <c r="BO48" i="12" s="1"/>
  <c r="BO49" i="12" a="1"/>
  <c r="BO49" i="12" s="1"/>
  <c r="BO24" i="12" a="1"/>
  <c r="BO24" i="12" s="1"/>
  <c r="BO28" i="12" a="1"/>
  <c r="BO28" i="12" s="1"/>
  <c r="BO27" i="12" a="1"/>
  <c r="BO27" i="12" s="1"/>
  <c r="BO26" i="12" a="1"/>
  <c r="BO26" i="12" s="1"/>
  <c r="BO69" i="12" a="1"/>
  <c r="BO69" i="12" s="1"/>
  <c r="BP1" i="12"/>
  <c r="BO11" i="12" a="1"/>
  <c r="BO11" i="12" s="1"/>
  <c r="BO12" i="12" a="1"/>
  <c r="BO12" i="12" s="1"/>
  <c r="BO10" i="12" a="1"/>
  <c r="BO10" i="12" s="1"/>
  <c r="BO13" i="11"/>
  <c r="AV48" i="7"/>
  <c r="BH43" i="7"/>
  <c r="BM12" i="7"/>
  <c r="BM14" i="7" s="1"/>
  <c r="BM7" i="7"/>
  <c r="AP27" i="13"/>
  <c r="AP28" i="13" s="1"/>
  <c r="BM25" i="13"/>
  <c r="BM5" i="13"/>
  <c r="BN2" i="13"/>
  <c r="BM11" i="13"/>
  <c r="BN3" i="6" a="1"/>
  <c r="BN3" i="6" s="1"/>
  <c r="BO1" i="6"/>
  <c r="BP176" i="11"/>
  <c r="BP177" i="11"/>
  <c r="BP128" i="11" a="1"/>
  <c r="BP128" i="11" s="1"/>
  <c r="BP78" i="11" a="1"/>
  <c r="BP78" i="11" s="1"/>
  <c r="BP69" i="11" a="1"/>
  <c r="BP69" i="11" s="1"/>
  <c r="BP77" i="11" a="1"/>
  <c r="BP77" i="11" s="1"/>
  <c r="BP96" i="11"/>
  <c r="BP80" i="11" a="1"/>
  <c r="BP80" i="11" s="1"/>
  <c r="BP68" i="11" a="1"/>
  <c r="BP68" i="11" s="1"/>
  <c r="BP70" i="11" a="1"/>
  <c r="BP70" i="11" s="1"/>
  <c r="BP48" i="11" a="1"/>
  <c r="BP48" i="11" s="1"/>
  <c r="BP28" i="11" a="1"/>
  <c r="BP28" i="11" s="1"/>
  <c r="BP92" i="11"/>
  <c r="BP50" i="11" a="1"/>
  <c r="BP50" i="11" s="1"/>
  <c r="BP26" i="11" a="1"/>
  <c r="BP26" i="11" s="1"/>
  <c r="BQ1" i="11"/>
  <c r="BP24" i="11" a="1"/>
  <c r="BP24" i="11" s="1"/>
  <c r="BP49" i="11" a="1"/>
  <c r="BP49" i="11" s="1"/>
  <c r="BP12" i="11" a="1"/>
  <c r="BP12" i="11" s="1"/>
  <c r="BP10" i="11" a="1"/>
  <c r="BP10" i="11" s="1"/>
  <c r="BP11" i="11" a="1"/>
  <c r="BP11" i="11" s="1"/>
  <c r="BP27" i="11" a="1"/>
  <c r="BP27" i="11" s="1"/>
  <c r="AV45" i="6"/>
  <c r="AV37" i="6"/>
  <c r="AV52" i="6"/>
  <c r="AV55" i="6" s="1"/>
  <c r="AV18" i="6"/>
  <c r="AV21" i="6" s="1"/>
  <c r="BN3" i="7" a="1"/>
  <c r="BN3" i="7" s="1"/>
  <c r="BO1" i="7"/>
  <c r="BN71" i="12"/>
  <c r="AV39" i="6"/>
  <c r="BO29" i="11"/>
  <c r="BO30" i="11" s="1"/>
  <c r="BM7" i="6"/>
  <c r="BM12" i="6"/>
  <c r="BM14" i="6" s="1"/>
  <c r="AV40" i="7"/>
  <c r="AV64" i="7"/>
  <c r="AV65" i="7" s="1"/>
  <c r="AW54" i="7"/>
  <c r="BN51" i="12"/>
  <c r="AW20" i="7"/>
  <c r="BL9" i="7"/>
  <c r="BP51" i="11" l="1"/>
  <c r="BO13" i="12"/>
  <c r="AW54" i="6"/>
  <c r="BP71" i="11"/>
  <c r="AP29" i="13"/>
  <c r="AQ24" i="13" s="1"/>
  <c r="BP130" i="11"/>
  <c r="BP131" i="11" s="1"/>
  <c r="BO71" i="12"/>
  <c r="BO6" i="13"/>
  <c r="BO26" i="13"/>
  <c r="BP1" i="13"/>
  <c r="BP13" i="11"/>
  <c r="AW45" i="7"/>
  <c r="AW18" i="7"/>
  <c r="AW21" i="7" s="1"/>
  <c r="AW52" i="7"/>
  <c r="AW55" i="7" s="1"/>
  <c r="AW37" i="7"/>
  <c r="AV40" i="6"/>
  <c r="AV64" i="6"/>
  <c r="AV65" i="6" s="1"/>
  <c r="BQ176" i="11"/>
  <c r="BQ177" i="11"/>
  <c r="BQ128" i="11" a="1"/>
  <c r="BQ128" i="11" s="1"/>
  <c r="BQ78" i="11" a="1"/>
  <c r="BQ78" i="11" s="1"/>
  <c r="BQ69" i="11" a="1"/>
  <c r="BQ69" i="11" s="1"/>
  <c r="BQ77" i="11" a="1"/>
  <c r="BQ77" i="11" s="1"/>
  <c r="BQ96" i="11"/>
  <c r="BQ80" i="11" a="1"/>
  <c r="BQ80" i="11" s="1"/>
  <c r="BQ68" i="11" a="1"/>
  <c r="BQ68" i="11" s="1"/>
  <c r="BQ70" i="11" a="1"/>
  <c r="BQ70" i="11" s="1"/>
  <c r="BQ92" i="11"/>
  <c r="BQ49" i="11" a="1"/>
  <c r="BQ49" i="11" s="1"/>
  <c r="BQ48" i="11" a="1"/>
  <c r="BQ48" i="11" s="1"/>
  <c r="BQ50" i="11" a="1"/>
  <c r="BQ50" i="11" s="1"/>
  <c r="BQ24" i="11" a="1"/>
  <c r="BQ24" i="11" s="1"/>
  <c r="BQ12" i="11" a="1"/>
  <c r="BQ12" i="11" s="1"/>
  <c r="BQ11" i="11" a="1"/>
  <c r="BQ11" i="11" s="1"/>
  <c r="BQ28" i="11" a="1"/>
  <c r="BQ28" i="11" s="1"/>
  <c r="BQ10" i="11" a="1"/>
  <c r="BQ10" i="11" s="1"/>
  <c r="BR1" i="11"/>
  <c r="BQ26" i="11" a="1"/>
  <c r="BQ26" i="11" s="1"/>
  <c r="BQ27" i="11" a="1"/>
  <c r="BQ27" i="11" s="1"/>
  <c r="AZ9" i="13"/>
  <c r="BA4" i="13" s="1"/>
  <c r="AW39" i="7"/>
  <c r="BO51" i="12"/>
  <c r="BP29" i="11"/>
  <c r="BP30" i="11" s="1"/>
  <c r="BO3" i="6" a="1"/>
  <c r="BO3" i="6" s="1"/>
  <c r="BP1" i="6"/>
  <c r="BM8" i="6"/>
  <c r="BM9" i="6" s="1"/>
  <c r="BM8" i="7"/>
  <c r="BM9" i="7" s="1"/>
  <c r="BN12" i="6"/>
  <c r="BN14" i="6" s="1"/>
  <c r="BN7" i="6"/>
  <c r="BP177" i="12"/>
  <c r="BP176" i="12"/>
  <c r="BP128" i="12" a="1"/>
  <c r="BP128" i="12" s="1"/>
  <c r="BP96" i="12"/>
  <c r="BP80" i="12" a="1"/>
  <c r="BP80" i="12" s="1"/>
  <c r="BP78" i="12" a="1"/>
  <c r="BP78" i="12" s="1"/>
  <c r="BP77" i="12" a="1"/>
  <c r="BP77" i="12" s="1"/>
  <c r="BP92" i="12"/>
  <c r="BP68" i="12" a="1"/>
  <c r="BP68" i="12" s="1"/>
  <c r="BP70" i="12" a="1"/>
  <c r="BP70" i="12" s="1"/>
  <c r="BP69" i="12" a="1"/>
  <c r="BP69" i="12" s="1"/>
  <c r="BP48" i="12" a="1"/>
  <c r="BP48" i="12" s="1"/>
  <c r="BP49" i="12" a="1"/>
  <c r="BP49" i="12" s="1"/>
  <c r="BP24" i="12" a="1"/>
  <c r="BP24" i="12" s="1"/>
  <c r="BP12" i="12" a="1"/>
  <c r="BP12" i="12" s="1"/>
  <c r="BP28" i="12" a="1"/>
  <c r="BP28" i="12" s="1"/>
  <c r="BP27" i="12" a="1"/>
  <c r="BP27" i="12" s="1"/>
  <c r="BP26" i="12" a="1"/>
  <c r="BP26" i="12" s="1"/>
  <c r="BP50" i="12" a="1"/>
  <c r="BP50" i="12" s="1"/>
  <c r="BQ1" i="12"/>
  <c r="BP11" i="12" a="1"/>
  <c r="BP11" i="12" s="1"/>
  <c r="BP10" i="12" a="1"/>
  <c r="BP10" i="12" s="1"/>
  <c r="AV67" i="7"/>
  <c r="AV68" i="7" s="1"/>
  <c r="BP1" i="7"/>
  <c r="BO3" i="7" a="1"/>
  <c r="BO3" i="7" s="1"/>
  <c r="BN12" i="7"/>
  <c r="BN14" i="7" s="1"/>
  <c r="BN7" i="7"/>
  <c r="AV48" i="6"/>
  <c r="BH43" i="6"/>
  <c r="AW20" i="6"/>
  <c r="BN11" i="13"/>
  <c r="BN25" i="13"/>
  <c r="BN5" i="13"/>
  <c r="BO2" i="13"/>
  <c r="BO29" i="12"/>
  <c r="BO30" i="12" s="1"/>
  <c r="BQ51" i="11" l="1"/>
  <c r="BQ13" i="11"/>
  <c r="BP29" i="12"/>
  <c r="AV67" i="6"/>
  <c r="AV68" i="6" s="1"/>
  <c r="AW4" i="11" s="1" a="1"/>
  <c r="AW4" i="11" s="1"/>
  <c r="AW5" i="11" s="1"/>
  <c r="BN8" i="7"/>
  <c r="BN9" i="7" s="1"/>
  <c r="BO8" i="7" s="1"/>
  <c r="BN8" i="6"/>
  <c r="BN9" i="6" s="1"/>
  <c r="BO8" i="6" s="1"/>
  <c r="BR177" i="11"/>
  <c r="BR128" i="11" a="1"/>
  <c r="BR128" i="11" s="1"/>
  <c r="BR176" i="11"/>
  <c r="BR96" i="11"/>
  <c r="BR80" i="11" a="1"/>
  <c r="BR80" i="11" s="1"/>
  <c r="BR69" i="11" a="1"/>
  <c r="BR69" i="11" s="1"/>
  <c r="BR68" i="11" a="1"/>
  <c r="BR68" i="11" s="1"/>
  <c r="BR78" i="11" a="1"/>
  <c r="BR78" i="11" s="1"/>
  <c r="BR70" i="11" a="1"/>
  <c r="BR70" i="11" s="1"/>
  <c r="BR77" i="11" a="1"/>
  <c r="BR77" i="11" s="1"/>
  <c r="BR92" i="11"/>
  <c r="BR50" i="11" a="1"/>
  <c r="BR50" i="11" s="1"/>
  <c r="BR49" i="11" a="1"/>
  <c r="BR49" i="11" s="1"/>
  <c r="BR24" i="11" a="1"/>
  <c r="BR24" i="11" s="1"/>
  <c r="BR12" i="11" a="1"/>
  <c r="BR12" i="11" s="1"/>
  <c r="BR11" i="11" a="1"/>
  <c r="BR11" i="11" s="1"/>
  <c r="BR28" i="11" a="1"/>
  <c r="BR28" i="11" s="1"/>
  <c r="BR27" i="11" a="1"/>
  <c r="BR27" i="11" s="1"/>
  <c r="BR26" i="11" a="1"/>
  <c r="BR26" i="11" s="1"/>
  <c r="BR10" i="11" a="1"/>
  <c r="BR10" i="11" s="1"/>
  <c r="BR48" i="11" a="1"/>
  <c r="BR48" i="11" s="1"/>
  <c r="BR51" i="11" s="1"/>
  <c r="BS1" i="11"/>
  <c r="BP51" i="12"/>
  <c r="BQ161" i="11"/>
  <c r="BQ130" i="11"/>
  <c r="BQ131" i="11" s="1"/>
  <c r="BO7" i="6"/>
  <c r="BO12" i="6"/>
  <c r="BO14" i="6" s="1"/>
  <c r="BP3" i="6" a="1"/>
  <c r="BP3" i="6" s="1"/>
  <c r="BQ1" i="6"/>
  <c r="BP3" i="7" a="1"/>
  <c r="BP3" i="7" s="1"/>
  <c r="BQ1" i="7"/>
  <c r="BP13" i="12"/>
  <c r="AW45" i="6"/>
  <c r="AW37" i="6"/>
  <c r="AW52" i="6"/>
  <c r="AW55" i="6" s="1"/>
  <c r="AW18" i="6"/>
  <c r="AW21" i="6" s="1"/>
  <c r="BO25" i="13"/>
  <c r="BO5" i="13"/>
  <c r="BP2" i="13"/>
  <c r="BO11" i="13"/>
  <c r="AW39" i="6"/>
  <c r="AQ27" i="13"/>
  <c r="AQ28" i="13" s="1"/>
  <c r="BP6" i="13"/>
  <c r="BP26" i="13"/>
  <c r="BQ1" i="13"/>
  <c r="BO7" i="7"/>
  <c r="BO12" i="7"/>
  <c r="BO14" i="7" s="1"/>
  <c r="BQ177" i="12"/>
  <c r="BQ176" i="12"/>
  <c r="BQ128" i="12" a="1"/>
  <c r="BQ128" i="12" s="1"/>
  <c r="BQ80" i="12" a="1"/>
  <c r="BQ80" i="12" s="1"/>
  <c r="BQ96" i="12"/>
  <c r="BQ92" i="12"/>
  <c r="BQ78" i="12" a="1"/>
  <c r="BQ78" i="12" s="1"/>
  <c r="BQ69" i="12" a="1"/>
  <c r="BQ69" i="12" s="1"/>
  <c r="BQ77" i="12" a="1"/>
  <c r="BQ77" i="12" s="1"/>
  <c r="BQ68" i="12" a="1"/>
  <c r="BQ68" i="12" s="1"/>
  <c r="BQ70" i="12" a="1"/>
  <c r="BQ70" i="12" s="1"/>
  <c r="BQ48" i="12" a="1"/>
  <c r="BQ48" i="12" s="1"/>
  <c r="BQ49" i="12" a="1"/>
  <c r="BQ49" i="12" s="1"/>
  <c r="BQ12" i="12" a="1"/>
  <c r="BQ12" i="12" s="1"/>
  <c r="BQ10" i="12" a="1"/>
  <c r="BQ10" i="12" s="1"/>
  <c r="BQ28" i="12" a="1"/>
  <c r="BQ28" i="12" s="1"/>
  <c r="BQ27" i="12" a="1"/>
  <c r="BQ27" i="12" s="1"/>
  <c r="BQ26" i="12" a="1"/>
  <c r="BQ26" i="12" s="1"/>
  <c r="BQ50" i="12" a="1"/>
  <c r="BQ50" i="12" s="1"/>
  <c r="BQ11" i="12" a="1"/>
  <c r="BQ11" i="12" s="1"/>
  <c r="BQ24" i="12" a="1"/>
  <c r="BQ24" i="12" s="1"/>
  <c r="BR1" i="12"/>
  <c r="BQ71" i="11"/>
  <c r="AW40" i="7"/>
  <c r="AW64" i="7"/>
  <c r="AW65" i="7" s="1"/>
  <c r="BP71" i="12"/>
  <c r="BA7" i="13"/>
  <c r="BA8" i="13" s="1"/>
  <c r="AX54" i="7"/>
  <c r="BP30" i="12"/>
  <c r="BP130" i="12"/>
  <c r="BP131" i="12" s="1"/>
  <c r="AX20" i="7"/>
  <c r="AW4" i="12" a="1"/>
  <c r="AW4" i="12" s="1"/>
  <c r="AW5" i="12" s="1"/>
  <c r="BQ29" i="11"/>
  <c r="BQ30" i="11" s="1"/>
  <c r="AW48" i="7"/>
  <c r="BI43" i="7"/>
  <c r="BR29" i="11" l="1"/>
  <c r="BR30" i="11" s="1"/>
  <c r="BR13" i="11"/>
  <c r="BR71" i="11"/>
  <c r="BQ29" i="12"/>
  <c r="AX54" i="6"/>
  <c r="BQ71" i="12"/>
  <c r="BQ51" i="12"/>
  <c r="BQ3" i="7" a="1"/>
  <c r="BQ3" i="7" s="1"/>
  <c r="BR1" i="7"/>
  <c r="BP7" i="7"/>
  <c r="BP12" i="7"/>
  <c r="BP14" i="7" s="1"/>
  <c r="BR161" i="11"/>
  <c r="BR130" i="11"/>
  <c r="BR131" i="11" s="1"/>
  <c r="AQ29" i="13"/>
  <c r="AR24" i="13" s="1"/>
  <c r="BQ3" i="6" a="1"/>
  <c r="BQ3" i="6" s="1"/>
  <c r="BR1" i="6"/>
  <c r="BS177" i="11"/>
  <c r="BS128" i="11" a="1"/>
  <c r="BS128" i="11" s="1"/>
  <c r="BS176" i="11"/>
  <c r="BS96" i="11"/>
  <c r="BS80" i="11" a="1"/>
  <c r="BS80" i="11" s="1"/>
  <c r="BS92" i="11"/>
  <c r="BS78" i="11" a="1"/>
  <c r="BS78" i="11" s="1"/>
  <c r="BS69" i="11" a="1"/>
  <c r="BS69" i="11" s="1"/>
  <c r="BS68" i="11" a="1"/>
  <c r="BS68" i="11" s="1"/>
  <c r="BS70" i="11" a="1"/>
  <c r="BS70" i="11" s="1"/>
  <c r="BS77" i="11" a="1"/>
  <c r="BS77" i="11" s="1"/>
  <c r="BS50" i="11" a="1"/>
  <c r="BS50" i="11" s="1"/>
  <c r="BS49" i="11" a="1"/>
  <c r="BS49" i="11" s="1"/>
  <c r="BS24" i="11" a="1"/>
  <c r="BS24" i="11" s="1"/>
  <c r="BS11" i="11" a="1"/>
  <c r="BS11" i="11" s="1"/>
  <c r="BS28" i="11" a="1"/>
  <c r="BS28" i="11" s="1"/>
  <c r="BS10" i="11" a="1"/>
  <c r="BS10" i="11" s="1"/>
  <c r="BS27" i="11" a="1"/>
  <c r="BS27" i="11" s="1"/>
  <c r="BS26" i="11" a="1"/>
  <c r="BS26" i="11" s="1"/>
  <c r="BS48" i="11" a="1"/>
  <c r="BS48" i="11" s="1"/>
  <c r="BT1" i="11"/>
  <c r="BS12" i="11" a="1"/>
  <c r="BS12" i="11" s="1"/>
  <c r="AX39" i="7"/>
  <c r="BP12" i="6"/>
  <c r="BP14" i="6" s="1"/>
  <c r="BP7" i="6"/>
  <c r="BO9" i="6"/>
  <c r="BP8" i="6" s="1"/>
  <c r="BQ161" i="12"/>
  <c r="BQ130" i="12"/>
  <c r="BQ131" i="12" s="1"/>
  <c r="BA9" i="13"/>
  <c r="BB4" i="13" s="1"/>
  <c r="BQ26" i="13"/>
  <c r="BR1" i="13"/>
  <c r="BQ6" i="13"/>
  <c r="AW48" i="6"/>
  <c r="BI43" i="6"/>
  <c r="BR176" i="12"/>
  <c r="BR128" i="12" a="1"/>
  <c r="BR128" i="12" s="1"/>
  <c r="BR177" i="12"/>
  <c r="BR96" i="12"/>
  <c r="BR92" i="12"/>
  <c r="BR80" i="12" a="1"/>
  <c r="BR80" i="12" s="1"/>
  <c r="BR70" i="12" a="1"/>
  <c r="BR70" i="12" s="1"/>
  <c r="BR78" i="12" a="1"/>
  <c r="BR78" i="12" s="1"/>
  <c r="BR77" i="12" a="1"/>
  <c r="BR77" i="12" s="1"/>
  <c r="BR69" i="12" a="1"/>
  <c r="BR69" i="12" s="1"/>
  <c r="BR68" i="12" a="1"/>
  <c r="BR68" i="12" s="1"/>
  <c r="BR48" i="12" a="1"/>
  <c r="BR48" i="12" s="1"/>
  <c r="BR49" i="12" a="1"/>
  <c r="BR49" i="12" s="1"/>
  <c r="BR50" i="12" a="1"/>
  <c r="BR50" i="12" s="1"/>
  <c r="BR11" i="12" a="1"/>
  <c r="BR11" i="12" s="1"/>
  <c r="BR10" i="12" a="1"/>
  <c r="BR10" i="12" s="1"/>
  <c r="BR28" i="12" a="1"/>
  <c r="BR28" i="12" s="1"/>
  <c r="BR27" i="12" a="1"/>
  <c r="BR27" i="12" s="1"/>
  <c r="BR26" i="12" a="1"/>
  <c r="BR26" i="12" s="1"/>
  <c r="BR12" i="12" a="1"/>
  <c r="BR12" i="12" s="1"/>
  <c r="BR24" i="12" a="1"/>
  <c r="BR24" i="12" s="1"/>
  <c r="BS1" i="12"/>
  <c r="BP25" i="13"/>
  <c r="BP5" i="13"/>
  <c r="BQ2" i="13"/>
  <c r="BP11" i="13"/>
  <c r="BO9" i="7"/>
  <c r="BP8" i="7" s="1"/>
  <c r="AW40" i="6"/>
  <c r="AW64" i="6"/>
  <c r="AW65" i="6" s="1"/>
  <c r="AX45" i="7"/>
  <c r="AX18" i="7"/>
  <c r="AX21" i="7" s="1"/>
  <c r="AX52" i="7"/>
  <c r="AX55" i="7" s="1"/>
  <c r="AX37" i="7"/>
  <c r="AW67" i="7"/>
  <c r="AW68" i="7" s="1"/>
  <c r="BQ13" i="12"/>
  <c r="BQ30" i="12"/>
  <c r="AX20" i="6"/>
  <c r="BR71" i="12" l="1"/>
  <c r="BR13" i="12"/>
  <c r="BR29" i="12"/>
  <c r="BR30" i="12" s="1"/>
  <c r="BQ7" i="6"/>
  <c r="BQ12" i="6"/>
  <c r="BQ14" i="6" s="1"/>
  <c r="BR3" i="6" a="1"/>
  <c r="BR3" i="6" s="1"/>
  <c r="BS1" i="6"/>
  <c r="AR27" i="13"/>
  <c r="AR28" i="13" s="1"/>
  <c r="BS71" i="11"/>
  <c r="BP9" i="7"/>
  <c r="BQ8" i="7" s="1"/>
  <c r="BR3" i="7" a="1"/>
  <c r="BR3" i="7" s="1"/>
  <c r="BS1" i="7"/>
  <c r="AX39" i="6"/>
  <c r="BR26" i="13"/>
  <c r="BR6" i="13"/>
  <c r="BS1" i="13"/>
  <c r="BQ7" i="7"/>
  <c r="BQ12" i="7"/>
  <c r="BQ14" i="7" s="1"/>
  <c r="BP9" i="6"/>
  <c r="AW67" i="6"/>
  <c r="AW68" i="6" s="1"/>
  <c r="BB7" i="13"/>
  <c r="BB8" i="13" s="1"/>
  <c r="BT177" i="11"/>
  <c r="BT128" i="11" a="1"/>
  <c r="BT128" i="11" s="1"/>
  <c r="BT176" i="11"/>
  <c r="BT96" i="11"/>
  <c r="BT80" i="11" a="1"/>
  <c r="BT80" i="11" s="1"/>
  <c r="BT92" i="11"/>
  <c r="BT78" i="11" a="1"/>
  <c r="BT78" i="11" s="1"/>
  <c r="BT77" i="11" a="1"/>
  <c r="BT77" i="11" s="1"/>
  <c r="BT68" i="11" a="1"/>
  <c r="BT68" i="11" s="1"/>
  <c r="BT70" i="11" a="1"/>
  <c r="BT70" i="11" s="1"/>
  <c r="BT50" i="11" a="1"/>
  <c r="BT50" i="11" s="1"/>
  <c r="BT49" i="11" a="1"/>
  <c r="BT49" i="11" s="1"/>
  <c r="BT48" i="11" a="1"/>
  <c r="BT48" i="11" s="1"/>
  <c r="BT69" i="11" a="1"/>
  <c r="BT69" i="11" s="1"/>
  <c r="BT24" i="11" a="1"/>
  <c r="BT24" i="11" s="1"/>
  <c r="BT12" i="11" a="1"/>
  <c r="BT12" i="11" s="1"/>
  <c r="BU1" i="11"/>
  <c r="BT28" i="11" a="1"/>
  <c r="BT28" i="11" s="1"/>
  <c r="BT27" i="11" a="1"/>
  <c r="BT27" i="11" s="1"/>
  <c r="BT26" i="11" a="1"/>
  <c r="BT26" i="11" s="1"/>
  <c r="BT11" i="11" a="1"/>
  <c r="BT11" i="11" s="1"/>
  <c r="BT10" i="11" a="1"/>
  <c r="BT10" i="11" s="1"/>
  <c r="BS128" i="12" a="1"/>
  <c r="BS128" i="12" s="1"/>
  <c r="BS177" i="12"/>
  <c r="BS176" i="12"/>
  <c r="BS96" i="12"/>
  <c r="BS92" i="12"/>
  <c r="BS78" i="12" a="1"/>
  <c r="BS78" i="12" s="1"/>
  <c r="BS69" i="12" a="1"/>
  <c r="BS69" i="12" s="1"/>
  <c r="BS77" i="12" a="1"/>
  <c r="BS77" i="12" s="1"/>
  <c r="BS68" i="12" a="1"/>
  <c r="BS68" i="12" s="1"/>
  <c r="BS80" i="12" a="1"/>
  <c r="BS80" i="12" s="1"/>
  <c r="BS70" i="12" a="1"/>
  <c r="BS70" i="12" s="1"/>
  <c r="BS48" i="12" a="1"/>
  <c r="BS48" i="12" s="1"/>
  <c r="BS49" i="12" a="1"/>
  <c r="BS49" i="12" s="1"/>
  <c r="BS50" i="12" a="1"/>
  <c r="BS50" i="12" s="1"/>
  <c r="BS28" i="12" a="1"/>
  <c r="BS28" i="12" s="1"/>
  <c r="BS27" i="12" a="1"/>
  <c r="BS27" i="12" s="1"/>
  <c r="BS26" i="12" a="1"/>
  <c r="BS26" i="12" s="1"/>
  <c r="BS24" i="12" a="1"/>
  <c r="BS24" i="12" s="1"/>
  <c r="BS11" i="12" a="1"/>
  <c r="BS11" i="12" s="1"/>
  <c r="BS10" i="12" a="1"/>
  <c r="BS10" i="12" s="1"/>
  <c r="BS12" i="12" a="1"/>
  <c r="BS12" i="12" s="1"/>
  <c r="BT1" i="12"/>
  <c r="BS51" i="11"/>
  <c r="AY20" i="7"/>
  <c r="BR161" i="12"/>
  <c r="BR130" i="12"/>
  <c r="BR131" i="12" s="1"/>
  <c r="BS29" i="11"/>
  <c r="BS30" i="11" s="1"/>
  <c r="AX48" i="7"/>
  <c r="BJ43" i="7"/>
  <c r="AX45" i="6"/>
  <c r="AX37" i="6"/>
  <c r="AX18" i="6"/>
  <c r="AX21" i="6" s="1"/>
  <c r="AX52" i="6"/>
  <c r="AX55" i="6" s="1"/>
  <c r="BR51" i="12"/>
  <c r="BQ25" i="13"/>
  <c r="BR2" i="13"/>
  <c r="BQ5" i="13"/>
  <c r="BQ11" i="13"/>
  <c r="AX4" i="12" a="1"/>
  <c r="AX4" i="12" s="1"/>
  <c r="AX5" i="12" s="1"/>
  <c r="AX40" i="7"/>
  <c r="AX64" i="7"/>
  <c r="AX65" i="7" s="1"/>
  <c r="AY54" i="7"/>
  <c r="BS13" i="11"/>
  <c r="BS161" i="11"/>
  <c r="BS130" i="11"/>
  <c r="BS131" i="11" s="1"/>
  <c r="BT29" i="11" l="1"/>
  <c r="BT51" i="11"/>
  <c r="BS51" i="12"/>
  <c r="BS29" i="12"/>
  <c r="BS30" i="12" s="1"/>
  <c r="BT161" i="11"/>
  <c r="BT130" i="11"/>
  <c r="BT131" i="11" s="1"/>
  <c r="AY54" i="6"/>
  <c r="AX48" i="6"/>
  <c r="BJ43" i="6"/>
  <c r="AX4" i="11" a="1"/>
  <c r="AX4" i="11" s="1"/>
  <c r="AX5" i="11" s="1"/>
  <c r="BU177" i="11"/>
  <c r="BU176" i="11"/>
  <c r="BU128" i="11" a="1"/>
  <c r="BU128" i="11" s="1"/>
  <c r="BU96" i="11"/>
  <c r="BU80" i="11" a="1"/>
  <c r="BU80" i="11" s="1"/>
  <c r="BU92" i="11"/>
  <c r="BU78" i="11" a="1"/>
  <c r="BU78" i="11" s="1"/>
  <c r="BU70" i="11" a="1"/>
  <c r="BU70" i="11" s="1"/>
  <c r="BU50" i="11" a="1"/>
  <c r="BU50" i="11" s="1"/>
  <c r="BU77" i="11" a="1"/>
  <c r="BU77" i="11" s="1"/>
  <c r="BU49" i="11" a="1"/>
  <c r="BU49" i="11" s="1"/>
  <c r="BU28" i="11" a="1"/>
  <c r="BU28" i="11" s="1"/>
  <c r="BU48" i="11" a="1"/>
  <c r="BU48" i="11" s="1"/>
  <c r="BU69" i="11" a="1"/>
  <c r="BU69" i="11" s="1"/>
  <c r="BU68" i="11" a="1"/>
  <c r="BU68" i="11" s="1"/>
  <c r="BU10" i="11" a="1"/>
  <c r="BU10" i="11" s="1"/>
  <c r="BU27" i="11" a="1"/>
  <c r="BU27" i="11" s="1"/>
  <c r="BU26" i="11" a="1"/>
  <c r="BU26" i="11" s="1"/>
  <c r="BU12" i="11" a="1"/>
  <c r="BU12" i="11" s="1"/>
  <c r="BU11" i="11" a="1"/>
  <c r="BU11" i="11" s="1"/>
  <c r="BV1" i="11"/>
  <c r="BU24" i="11" a="1"/>
  <c r="BU24" i="11" s="1"/>
  <c r="BS13" i="12"/>
  <c r="BS161" i="12"/>
  <c r="BS130" i="12"/>
  <c r="BS131" i="12" s="1"/>
  <c r="AX40" i="6"/>
  <c r="AX64" i="6"/>
  <c r="AX65" i="6" s="1"/>
  <c r="BB9" i="13"/>
  <c r="BC4" i="13" s="1"/>
  <c r="BT71" i="11"/>
  <c r="BQ9" i="7"/>
  <c r="AR29" i="13"/>
  <c r="AS24" i="13" s="1"/>
  <c r="BT177" i="12"/>
  <c r="BT176" i="12"/>
  <c r="BT96" i="12"/>
  <c r="BT128" i="12" a="1"/>
  <c r="BT128" i="12" s="1"/>
  <c r="BT92" i="12"/>
  <c r="BT78" i="12" a="1"/>
  <c r="BT78" i="12" s="1"/>
  <c r="BT77" i="12" a="1"/>
  <c r="BT77" i="12" s="1"/>
  <c r="BT70" i="12" a="1"/>
  <c r="BT70" i="12" s="1"/>
  <c r="BT80" i="12" a="1"/>
  <c r="BT80" i="12" s="1"/>
  <c r="BT69" i="12" a="1"/>
  <c r="BT69" i="12" s="1"/>
  <c r="BT48" i="12" a="1"/>
  <c r="BT48" i="12" s="1"/>
  <c r="BT68" i="12" a="1"/>
  <c r="BT68" i="12" s="1"/>
  <c r="BT49" i="12" a="1"/>
  <c r="BT49" i="12" s="1"/>
  <c r="BT50" i="12" a="1"/>
  <c r="BT50" i="12" s="1"/>
  <c r="BT26" i="12" a="1"/>
  <c r="BT26" i="12" s="1"/>
  <c r="BT24" i="12" a="1"/>
  <c r="BT24" i="12" s="1"/>
  <c r="BT27" i="12" a="1"/>
  <c r="BT27" i="12" s="1"/>
  <c r="BT11" i="12" a="1"/>
  <c r="BT11" i="12" s="1"/>
  <c r="BT10" i="12" a="1"/>
  <c r="BT10" i="12" s="1"/>
  <c r="BT28" i="12" a="1"/>
  <c r="BT28" i="12" s="1"/>
  <c r="BT12" i="12" a="1"/>
  <c r="BT12" i="12" s="1"/>
  <c r="BU1" i="12"/>
  <c r="BR7" i="7"/>
  <c r="BR12" i="7"/>
  <c r="BR14" i="7" s="1"/>
  <c r="BT13" i="11"/>
  <c r="BT1" i="6"/>
  <c r="BS3" i="6" a="1"/>
  <c r="BS3" i="6" s="1"/>
  <c r="BS26" i="13"/>
  <c r="BS6" i="13"/>
  <c r="BT1" i="13"/>
  <c r="BR7" i="6"/>
  <c r="BR12" i="6"/>
  <c r="BR14" i="6" s="1"/>
  <c r="BT1" i="7"/>
  <c r="BS3" i="7" a="1"/>
  <c r="BS3" i="7" s="1"/>
  <c r="AY45" i="7"/>
  <c r="AY18" i="7"/>
  <c r="AY21" i="7" s="1"/>
  <c r="AY52" i="7"/>
  <c r="AY55" i="7" s="1"/>
  <c r="AY37" i="7"/>
  <c r="BT30" i="11"/>
  <c r="AY39" i="7"/>
  <c r="BR25" i="13"/>
  <c r="BS2" i="13"/>
  <c r="BR5" i="13"/>
  <c r="BR11" i="13"/>
  <c r="AY20" i="6"/>
  <c r="AX67" i="7"/>
  <c r="AX68" i="7" s="1"/>
  <c r="BS71" i="12"/>
  <c r="BQ8" i="6"/>
  <c r="BQ9" i="6" s="1"/>
  <c r="BU51" i="11" l="1"/>
  <c r="BT29" i="12"/>
  <c r="BT71" i="12"/>
  <c r="AX67" i="6"/>
  <c r="AX68" i="6" s="1"/>
  <c r="AY67" i="6" s="1"/>
  <c r="AY68" i="6" s="1"/>
  <c r="BR8" i="6"/>
  <c r="BR9" i="6" s="1"/>
  <c r="AS27" i="13"/>
  <c r="AS28" i="13" s="1"/>
  <c r="BS12" i="6"/>
  <c r="BS14" i="6" s="1"/>
  <c r="BS7" i="6"/>
  <c r="BU29" i="11"/>
  <c r="BU30" i="11" s="1"/>
  <c r="BU161" i="11"/>
  <c r="BU130" i="11"/>
  <c r="BU131" i="11" s="1"/>
  <c r="BT3" i="6" a="1"/>
  <c r="BT3" i="6" s="1"/>
  <c r="BU1" i="6"/>
  <c r="BC7" i="13"/>
  <c r="BC8" i="13" s="1"/>
  <c r="BU71" i="11"/>
  <c r="AY39" i="6"/>
  <c r="BU13" i="11"/>
  <c r="AY48" i="7"/>
  <c r="BK43" i="7"/>
  <c r="BU177" i="12"/>
  <c r="BU176" i="12"/>
  <c r="BU128" i="12" a="1"/>
  <c r="BU128" i="12" s="1"/>
  <c r="BU96" i="12"/>
  <c r="BU92" i="12"/>
  <c r="BU80" i="12" a="1"/>
  <c r="BU80" i="12" s="1"/>
  <c r="BU77" i="12" a="1"/>
  <c r="BU77" i="12" s="1"/>
  <c r="BU49" i="12" a="1"/>
  <c r="BU49" i="12" s="1"/>
  <c r="BU69" i="12" a="1"/>
  <c r="BU69" i="12" s="1"/>
  <c r="BU68" i="12" a="1"/>
  <c r="BU68" i="12" s="1"/>
  <c r="BU70" i="12" a="1"/>
  <c r="BU70" i="12" s="1"/>
  <c r="BU50" i="12" a="1"/>
  <c r="BU50" i="12" s="1"/>
  <c r="BU24" i="12" a="1"/>
  <c r="BU24" i="12" s="1"/>
  <c r="BU26" i="12" a="1"/>
  <c r="BU26" i="12" s="1"/>
  <c r="BU11" i="12" a="1"/>
  <c r="BU11" i="12" s="1"/>
  <c r="BU10" i="12" a="1"/>
  <c r="BU10" i="12" s="1"/>
  <c r="BU12" i="12" a="1"/>
  <c r="BU12" i="12" s="1"/>
  <c r="BU28" i="12" a="1"/>
  <c r="BU28" i="12" s="1"/>
  <c r="BU78" i="12" a="1"/>
  <c r="BU78" i="12" s="1"/>
  <c r="BV1" i="12"/>
  <c r="BU27" i="12" a="1"/>
  <c r="BU27" i="12" s="1"/>
  <c r="BU48" i="12" a="1"/>
  <c r="BU48" i="12" s="1"/>
  <c r="BR8" i="7"/>
  <c r="BR9" i="7" s="1"/>
  <c r="AZ20" i="7"/>
  <c r="BS12" i="7"/>
  <c r="BS14" i="7" s="1"/>
  <c r="BS7" i="7"/>
  <c r="BT51" i="12"/>
  <c r="AY45" i="6"/>
  <c r="AY37" i="6"/>
  <c r="AY52" i="6"/>
  <c r="AY55" i="6" s="1"/>
  <c r="AY18" i="6"/>
  <c r="AY21" i="6" s="1"/>
  <c r="BT3" i="7" a="1"/>
  <c r="BT3" i="7" s="1"/>
  <c r="BU1" i="7"/>
  <c r="BT30" i="12"/>
  <c r="AY40" i="7"/>
  <c r="AY64" i="7"/>
  <c r="AY65" i="7" s="1"/>
  <c r="BT13" i="12"/>
  <c r="BT161" i="12"/>
  <c r="BT130" i="12"/>
  <c r="BT131" i="12" s="1"/>
  <c r="AY67" i="7"/>
  <c r="AY68" i="7" s="1"/>
  <c r="AY4" i="12" a="1"/>
  <c r="AY4" i="12" s="1"/>
  <c r="AY5" i="12" s="1"/>
  <c r="AZ54" i="7"/>
  <c r="BT6" i="13"/>
  <c r="BT26" i="13"/>
  <c r="BU1" i="13"/>
  <c r="BS25" i="13"/>
  <c r="BS11" i="13"/>
  <c r="BT2" i="13"/>
  <c r="BS5" i="13"/>
  <c r="BV176" i="11"/>
  <c r="BV128" i="11" a="1"/>
  <c r="BV128" i="11" s="1"/>
  <c r="BV177" i="11"/>
  <c r="BV80" i="11" a="1"/>
  <c r="BV80" i="11" s="1"/>
  <c r="BV92" i="11"/>
  <c r="BV78" i="11" a="1"/>
  <c r="BV78" i="11" s="1"/>
  <c r="BV77" i="11" a="1"/>
  <c r="BV77" i="11" s="1"/>
  <c r="BV70" i="11" a="1"/>
  <c r="BV70" i="11" s="1"/>
  <c r="BV50" i="11" a="1"/>
  <c r="BV50" i="11" s="1"/>
  <c r="BV49" i="11" a="1"/>
  <c r="BV49" i="11" s="1"/>
  <c r="BV48" i="11" a="1"/>
  <c r="BV48" i="11" s="1"/>
  <c r="BV68" i="11" a="1"/>
  <c r="BV68" i="11" s="1"/>
  <c r="BV96" i="11"/>
  <c r="BV69" i="11" a="1"/>
  <c r="BV69" i="11" s="1"/>
  <c r="BV12" i="11" a="1"/>
  <c r="BV12" i="11" s="1"/>
  <c r="BV28" i="11" a="1"/>
  <c r="BV28" i="11" s="1"/>
  <c r="BV27" i="11" a="1"/>
  <c r="BV27" i="11" s="1"/>
  <c r="BV26" i="11" a="1"/>
  <c r="BV26" i="11" s="1"/>
  <c r="BV11" i="11" a="1"/>
  <c r="BV11" i="11" s="1"/>
  <c r="BV24" i="11" a="1"/>
  <c r="BV24" i="11" s="1"/>
  <c r="BV10" i="11" a="1"/>
  <c r="BV10" i="11" s="1"/>
  <c r="BW1" i="11"/>
  <c r="AY4" i="11" l="1" a="1"/>
  <c r="AY4" i="11" s="1"/>
  <c r="AY5" i="11" s="1"/>
  <c r="AZ66" i="11" s="1"/>
  <c r="BV51" i="11"/>
  <c r="BV29" i="11"/>
  <c r="BV30" i="11" s="1"/>
  <c r="BU71" i="12"/>
  <c r="BS8" i="7"/>
  <c r="BS9" i="7" s="1"/>
  <c r="AZ67" i="6"/>
  <c r="AZ68" i="6" s="1"/>
  <c r="AZ4" i="11" a="1"/>
  <c r="AZ4" i="11" s="1"/>
  <c r="AZ5" i="11" s="1"/>
  <c r="AY40" i="6"/>
  <c r="AY64" i="6"/>
  <c r="AY65" i="6" s="1"/>
  <c r="BV176" i="12"/>
  <c r="BV177" i="12"/>
  <c r="BV128" i="12" a="1"/>
  <c r="BV128" i="12" s="1"/>
  <c r="BV96" i="12"/>
  <c r="BV92" i="12"/>
  <c r="BV80" i="12" a="1"/>
  <c r="BV80" i="12" s="1"/>
  <c r="BV78" i="12" a="1"/>
  <c r="BV78" i="12" s="1"/>
  <c r="BV77" i="12" a="1"/>
  <c r="BV77" i="12" s="1"/>
  <c r="BV50" i="12" a="1"/>
  <c r="BV50" i="12" s="1"/>
  <c r="BV49" i="12" a="1"/>
  <c r="BV49" i="12" s="1"/>
  <c r="BV69" i="12" a="1"/>
  <c r="BV69" i="12" s="1"/>
  <c r="BV68" i="12" a="1"/>
  <c r="BV68" i="12" s="1"/>
  <c r="BV70" i="12" a="1"/>
  <c r="BV70" i="12" s="1"/>
  <c r="BV24" i="12" a="1"/>
  <c r="BV24" i="12" s="1"/>
  <c r="BV11" i="12" a="1"/>
  <c r="BV11" i="12" s="1"/>
  <c r="BV48" i="12" a="1"/>
  <c r="BV48" i="12" s="1"/>
  <c r="BV28" i="12" a="1"/>
  <c r="BV28" i="12" s="1"/>
  <c r="BV27" i="12" a="1"/>
  <c r="BV27" i="12" s="1"/>
  <c r="BV10" i="12" a="1"/>
  <c r="BV10" i="12" s="1"/>
  <c r="BV12" i="12" a="1"/>
  <c r="BV12" i="12" s="1"/>
  <c r="BV26" i="12" a="1"/>
  <c r="BV26" i="12" s="1"/>
  <c r="BV29" i="12" s="1"/>
  <c r="BV30" i="12" s="1"/>
  <c r="BW1" i="12"/>
  <c r="BU13" i="12"/>
  <c r="AZ67" i="7"/>
  <c r="AZ68" i="7" s="1"/>
  <c r="AZ4" i="12" a="1"/>
  <c r="AZ4" i="12" s="1"/>
  <c r="AZ5" i="12" s="1"/>
  <c r="BV71" i="11"/>
  <c r="AZ66" i="12"/>
  <c r="AY48" i="6"/>
  <c r="BK43" i="6"/>
  <c r="BU29" i="12"/>
  <c r="BU30" i="12" s="1"/>
  <c r="BT7" i="6"/>
  <c r="BT12" i="6"/>
  <c r="BT14" i="6" s="1"/>
  <c r="AS29" i="13"/>
  <c r="AT24" i="13" s="1"/>
  <c r="BU3" i="6" a="1"/>
  <c r="BU3" i="6" s="1"/>
  <c r="BV1" i="6"/>
  <c r="BU26" i="13"/>
  <c r="BU6" i="13"/>
  <c r="BV1" i="13"/>
  <c r="BT11" i="13"/>
  <c r="BT25" i="13"/>
  <c r="BU2" i="13"/>
  <c r="BT5" i="13"/>
  <c r="AZ45" i="7"/>
  <c r="AZ18" i="7"/>
  <c r="AZ21" i="7" s="1"/>
  <c r="AZ52" i="7"/>
  <c r="AZ55" i="7" s="1"/>
  <c r="AZ37" i="7"/>
  <c r="AZ39" i="7"/>
  <c r="BV13" i="11"/>
  <c r="BU3" i="7" a="1"/>
  <c r="BU3" i="7" s="1"/>
  <c r="BV1" i="7"/>
  <c r="BS8" i="6"/>
  <c r="BS9" i="6" s="1"/>
  <c r="BT7" i="7"/>
  <c r="BT12" i="7"/>
  <c r="BT14" i="7" s="1"/>
  <c r="BV161" i="11"/>
  <c r="BV130" i="11"/>
  <c r="BV131" i="11" s="1"/>
  <c r="BU161" i="12"/>
  <c r="BU130" i="12"/>
  <c r="BU131" i="12" s="1"/>
  <c r="BW176" i="11"/>
  <c r="BW128" i="11" a="1"/>
  <c r="BW128" i="11" s="1"/>
  <c r="BW177" i="11"/>
  <c r="BW70" i="11" a="1"/>
  <c r="BW70" i="11" s="1"/>
  <c r="BW92" i="11"/>
  <c r="BW78" i="11" a="1"/>
  <c r="BW78" i="11" s="1"/>
  <c r="BW96" i="11"/>
  <c r="BW49" i="11" a="1"/>
  <c r="BW49" i="11" s="1"/>
  <c r="BW48" i="11" a="1"/>
  <c r="BW48" i="11" s="1"/>
  <c r="BW80" i="11" a="1"/>
  <c r="BW80" i="11" s="1"/>
  <c r="BW77" i="11" a="1"/>
  <c r="BW77" i="11" s="1"/>
  <c r="BW69" i="11" a="1"/>
  <c r="BW69" i="11" s="1"/>
  <c r="BW68" i="11" a="1"/>
  <c r="BW68" i="11" s="1"/>
  <c r="BW50" i="11" a="1"/>
  <c r="BW50" i="11" s="1"/>
  <c r="BW28" i="11" a="1"/>
  <c r="BW28" i="11" s="1"/>
  <c r="BW27" i="11" a="1"/>
  <c r="BW27" i="11" s="1"/>
  <c r="BW26" i="11" a="1"/>
  <c r="BW26" i="11" s="1"/>
  <c r="BW24" i="11" a="1"/>
  <c r="BW24" i="11" s="1"/>
  <c r="BW11" i="11" a="1"/>
  <c r="BW11" i="11" s="1"/>
  <c r="BW10" i="11" a="1"/>
  <c r="BW10" i="11" s="1"/>
  <c r="BW12" i="11" a="1"/>
  <c r="BW12" i="11" s="1"/>
  <c r="Q48" i="2" a="1"/>
  <c r="Q48" i="2" s="1"/>
  <c r="D24" i="5" a="1"/>
  <c r="D24" i="5" s="1"/>
  <c r="D28" i="5" a="1"/>
  <c r="D28" i="5" s="1"/>
  <c r="B60" i="11"/>
  <c r="B27" i="11"/>
  <c r="B24" i="11"/>
  <c r="D10" i="5" a="1"/>
  <c r="D10" i="5" s="1"/>
  <c r="Q46" i="2" a="1"/>
  <c r="Q46" i="2" s="1"/>
  <c r="D25" i="5" a="1"/>
  <c r="D25" i="5" s="1"/>
  <c r="F125" i="4"/>
  <c r="E31" i="5" a="1"/>
  <c r="E31" i="5" s="1"/>
  <c r="F31" i="5" a="1"/>
  <c r="F31" i="5" s="1"/>
  <c r="B79" i="11"/>
  <c r="Q41" i="2" a="1"/>
  <c r="Q41" i="2" s="1"/>
  <c r="B136" i="11"/>
  <c r="F27" i="5" a="1"/>
  <c r="F27" i="5" s="1"/>
  <c r="C37" i="3"/>
  <c r="B68" i="11"/>
  <c r="G47" i="3"/>
  <c r="D74" i="4"/>
  <c r="Q13" i="2" a="1"/>
  <c r="Q13" i="2" s="1"/>
  <c r="B110" i="11"/>
  <c r="D126" i="4"/>
  <c r="D79" i="4"/>
  <c r="D3" i="3" a="1"/>
  <c r="D3" i="3" s="1"/>
  <c r="B116" i="11"/>
  <c r="D14" i="3" a="1"/>
  <c r="D14" i="3" s="1"/>
  <c r="D2" i="5" a="1"/>
  <c r="D2" i="5" s="1"/>
  <c r="Q40" i="2" a="1"/>
  <c r="Q40" i="2" s="1"/>
  <c r="E14" i="3" a="1"/>
  <c r="E14" i="3" s="1"/>
  <c r="D71" i="4"/>
  <c r="Q54" i="2" a="1"/>
  <c r="Q54" i="2" s="1"/>
  <c r="B55" i="11"/>
  <c r="D80" i="4"/>
  <c r="B115" i="11"/>
  <c r="B125" i="11"/>
  <c r="D33" i="5" a="1"/>
  <c r="D33" i="5" s="1"/>
  <c r="E37" i="3"/>
  <c r="E21" i="5" a="1"/>
  <c r="E21" i="5" s="1"/>
  <c r="Q47" i="2" a="1"/>
  <c r="Q47" i="2" s="1"/>
  <c r="B135" i="11"/>
  <c r="B54" i="11"/>
  <c r="E42" i="3"/>
  <c r="E44" i="3" s="1"/>
  <c r="B82" i="11"/>
  <c r="D27" i="5" a="1"/>
  <c r="D27" i="5" s="1"/>
  <c r="D29" i="5" s="1"/>
  <c r="E47" i="3"/>
  <c r="D131" i="4" a="1"/>
  <c r="D131" i="4" s="1"/>
  <c r="E25" i="5" a="1"/>
  <c r="E25" i="5" s="1"/>
  <c r="D119" i="4"/>
  <c r="B145" i="11"/>
  <c r="B44" i="11"/>
  <c r="E33" i="5" a="1"/>
  <c r="E33" i="5" s="1"/>
  <c r="B146" i="11"/>
  <c r="D34" i="5" a="1"/>
  <c r="D34" i="5" s="1"/>
  <c r="F117" i="4"/>
  <c r="B11" i="11"/>
  <c r="D23" i="5" a="1"/>
  <c r="D23" i="5" s="1"/>
  <c r="E34" i="5" a="1"/>
  <c r="E34" i="5" s="1"/>
  <c r="R10" i="4"/>
  <c r="B52" i="11"/>
  <c r="E94" i="4"/>
  <c r="G42" i="3"/>
  <c r="G44" i="3" s="1"/>
  <c r="D33" i="4"/>
  <c r="D41" i="4"/>
  <c r="B17" i="11"/>
  <c r="F31" i="4"/>
  <c r="F23" i="5" a="1"/>
  <c r="F23" i="5" s="1"/>
  <c r="B78" i="11"/>
  <c r="B14" i="11"/>
  <c r="B73" i="11"/>
  <c r="F47" i="3"/>
  <c r="B33" i="11"/>
  <c r="D120" i="4"/>
  <c r="B80" i="11"/>
  <c r="C35" i="5" a="1"/>
  <c r="C35" i="5" s="1"/>
  <c r="F37" i="3"/>
  <c r="Q55" i="2" a="1"/>
  <c r="Q55" i="2" s="1"/>
  <c r="B77" i="11"/>
  <c r="E32" i="5" a="1"/>
  <c r="E32" i="5" s="1"/>
  <c r="F32" i="5" a="1"/>
  <c r="F32" i="5" s="1"/>
  <c r="D47" i="3"/>
  <c r="G31" i="4"/>
  <c r="B57" i="11"/>
  <c r="F25" i="5" a="1"/>
  <c r="F25" i="5" s="1"/>
  <c r="E13" i="3" a="1"/>
  <c r="E13" i="3" s="1"/>
  <c r="D12" i="5" a="1"/>
  <c r="D12" i="5" s="1"/>
  <c r="D81" i="4"/>
  <c r="B69" i="11"/>
  <c r="D22" i="5" a="1"/>
  <c r="D22" i="5" s="1"/>
  <c r="B38" i="11"/>
  <c r="E28" i="5" a="1"/>
  <c r="E28" i="5" s="1"/>
  <c r="D10" i="4"/>
  <c r="B26" i="11"/>
  <c r="P48" i="2" a="1"/>
  <c r="P48" i="2" s="1"/>
  <c r="C27" i="5" a="1"/>
  <c r="C27" i="5" s="1"/>
  <c r="D13" i="3" a="1"/>
  <c r="D13" i="3" s="1"/>
  <c r="E7" i="5" a="1"/>
  <c r="E7" i="5" s="1"/>
  <c r="E9" i="5" a="1"/>
  <c r="E9" i="5" s="1"/>
  <c r="Q53" i="2" a="1"/>
  <c r="Q53" i="2" s="1"/>
  <c r="E71" i="4"/>
  <c r="D7" i="5" a="1"/>
  <c r="D7" i="5" s="1"/>
  <c r="E79" i="4"/>
  <c r="C12" i="5" a="1"/>
  <c r="C12" i="5" s="1"/>
  <c r="B4" i="11"/>
  <c r="F9" i="5" a="1"/>
  <c r="F9" i="5" s="1"/>
  <c r="D31" i="5" a="1"/>
  <c r="D31" i="5" s="1"/>
  <c r="D17" i="4"/>
  <c r="Q31" i="2" a="1"/>
  <c r="Q31" i="2" s="1"/>
  <c r="F24" i="5" a="1"/>
  <c r="F24" i="5" s="1"/>
  <c r="B10" i="11"/>
  <c r="P59" i="2" a="1"/>
  <c r="P59" i="2" s="1"/>
  <c r="D9" i="5" a="1"/>
  <c r="D9" i="5" s="1"/>
  <c r="E8" i="5" a="1"/>
  <c r="E8" i="5" s="1"/>
  <c r="C3" i="3" a="1"/>
  <c r="C3" i="3" s="1"/>
  <c r="D35" i="5" a="1"/>
  <c r="D35" i="5" s="1"/>
  <c r="D21" i="5" a="1"/>
  <c r="D21" i="5" s="1"/>
  <c r="E27" i="5" a="1"/>
  <c r="E27" i="5" s="1"/>
  <c r="E29" i="5" s="1"/>
  <c r="B59" i="11"/>
  <c r="C31" i="5" a="1"/>
  <c r="C31" i="5" s="1"/>
  <c r="E35" i="5" a="1"/>
  <c r="E35" i="5" s="1"/>
  <c r="C14" i="3" a="1"/>
  <c r="C14" i="3" s="1"/>
  <c r="D8" i="4"/>
  <c r="Q26" i="2" a="1"/>
  <c r="Q26" i="2" s="1"/>
  <c r="F34" i="5" a="1"/>
  <c r="F34" i="5" s="1"/>
  <c r="F35" i="5" a="1"/>
  <c r="F35" i="5" s="1"/>
  <c r="B109" i="11"/>
  <c r="B28" i="11"/>
  <c r="R46" i="2" a="1"/>
  <c r="R46" i="2" s="1"/>
  <c r="B129" i="11"/>
  <c r="F28" i="5" a="1"/>
  <c r="F28" i="5" s="1"/>
  <c r="E23" i="5" a="1"/>
  <c r="E23" i="5" s="1"/>
  <c r="E125" i="4"/>
  <c r="C42" i="3"/>
  <c r="C44" i="3" s="1"/>
  <c r="B58" i="11"/>
  <c r="B49" i="11"/>
  <c r="G37" i="3"/>
  <c r="D34" i="4"/>
  <c r="E3" i="3" a="1"/>
  <c r="E3" i="3" s="1"/>
  <c r="B41" i="11"/>
  <c r="D85" i="4" a="1"/>
  <c r="D85" i="4" s="1"/>
  <c r="B34" i="11"/>
  <c r="B50" i="11"/>
  <c r="B12" i="11"/>
  <c r="E8" i="3" a="1"/>
  <c r="E8" i="3" s="1"/>
  <c r="E10" i="3" s="1"/>
  <c r="E2" i="5" a="1"/>
  <c r="E2" i="5" s="1"/>
  <c r="D73" i="4"/>
  <c r="D75" i="4" s="1"/>
  <c r="B36" i="11"/>
  <c r="E24" i="5" a="1"/>
  <c r="E24" i="5" s="1"/>
  <c r="C24" i="5" a="1"/>
  <c r="C24" i="5" s="1"/>
  <c r="R38" i="2" a="1"/>
  <c r="R38" i="2" s="1"/>
  <c r="D117" i="4"/>
  <c r="E12" i="5" a="1"/>
  <c r="E12" i="5" s="1"/>
  <c r="B48" i="11"/>
  <c r="B53" i="11"/>
  <c r="B45" i="11"/>
  <c r="C47" i="3"/>
  <c r="F21" i="5" a="1"/>
  <c r="F21" i="5" s="1"/>
  <c r="B134" i="11"/>
  <c r="D18" i="4"/>
  <c r="P53" i="2" a="1"/>
  <c r="P53" i="2" s="1"/>
  <c r="P54" i="2" a="1"/>
  <c r="P54" i="2" s="1"/>
  <c r="F8" i="5" a="1"/>
  <c r="F8" i="5" s="1"/>
  <c r="C25" i="5" a="1"/>
  <c r="C25" i="5" s="1"/>
  <c r="P55" i="2" a="1"/>
  <c r="P55" i="2" s="1"/>
  <c r="D45" i="4" a="1"/>
  <c r="D45" i="4" s="1"/>
  <c r="F42" i="3"/>
  <c r="F44" i="3" s="1"/>
  <c r="C8" i="3" a="1"/>
  <c r="C8" i="3" s="1"/>
  <c r="C10" i="3" s="1"/>
  <c r="G39" i="4"/>
  <c r="G13" i="3" a="1"/>
  <c r="G13" i="3" s="1"/>
  <c r="E16" i="4"/>
  <c r="E117" i="4"/>
  <c r="C34" i="5" a="1"/>
  <c r="C34" i="5" s="1"/>
  <c r="G9" i="5" a="1"/>
  <c r="G9" i="5" s="1"/>
  <c r="F22" i="5" a="1"/>
  <c r="F22" i="5" s="1"/>
  <c r="G31" i="5" a="1"/>
  <c r="G31" i="5" s="1"/>
  <c r="D42" i="3"/>
  <c r="D44" i="3" s="1"/>
  <c r="F10" i="5" a="1"/>
  <c r="F10" i="5" s="1"/>
  <c r="D16" i="4"/>
  <c r="D40" i="4"/>
  <c r="R8" i="4"/>
  <c r="F2" i="5" a="1"/>
  <c r="F2" i="5" s="1"/>
  <c r="F8" i="3" a="1"/>
  <c r="F8" i="3" s="1"/>
  <c r="F10" i="3" s="1"/>
  <c r="R17" i="4"/>
  <c r="F12" i="5" a="1"/>
  <c r="F12" i="5" s="1"/>
  <c r="B144" i="11"/>
  <c r="D37" i="3"/>
  <c r="D32" i="5" a="1"/>
  <c r="D32" i="5" s="1"/>
  <c r="B35" i="11"/>
  <c r="F33" i="5" a="1"/>
  <c r="F33" i="5" s="1"/>
  <c r="G14" i="3" a="1"/>
  <c r="G14" i="3" s="1"/>
  <c r="F39" i="4"/>
  <c r="C8" i="5" a="1"/>
  <c r="C8" i="5" s="1"/>
  <c r="D8" i="3" a="1"/>
  <c r="D8" i="3" s="1"/>
  <c r="D10" i="3" s="1"/>
  <c r="E22" i="5" a="1"/>
  <c r="E22" i="5" s="1"/>
  <c r="C33" i="5" a="1"/>
  <c r="C33" i="5" s="1"/>
  <c r="C10" i="5" a="1"/>
  <c r="C10" i="5" s="1"/>
  <c r="Q14" i="2" a="1"/>
  <c r="Q14" i="2" s="1"/>
  <c r="E102" i="4"/>
  <c r="Q11" i="2" a="1"/>
  <c r="Q11" i="2" s="1"/>
  <c r="G8" i="3" a="1"/>
  <c r="G8" i="3" s="1"/>
  <c r="G10" i="3" s="1"/>
  <c r="P38" i="2" a="1"/>
  <c r="P38" i="2" s="1"/>
  <c r="Q28" i="2" a="1"/>
  <c r="Q28" i="2" s="1"/>
  <c r="S38" i="2" a="1"/>
  <c r="S38" i="2" s="1"/>
  <c r="H31" i="5" a="1"/>
  <c r="H31" i="5" s="1"/>
  <c r="H42" i="3"/>
  <c r="H44" i="3" s="1"/>
  <c r="R22" i="4" a="1"/>
  <c r="R22" i="4" s="1"/>
  <c r="E8" i="4"/>
  <c r="B114" i="11"/>
  <c r="F13" i="3" a="1"/>
  <c r="F13" i="3" s="1"/>
  <c r="E39" i="4"/>
  <c r="C32" i="5" a="1"/>
  <c r="C32" i="5" s="1"/>
  <c r="C22" i="5" a="1"/>
  <c r="C22" i="5" s="1"/>
  <c r="F3" i="3" a="1"/>
  <c r="F3" i="3" s="1"/>
  <c r="E10" i="5" a="1"/>
  <c r="E10" i="5" s="1"/>
  <c r="Q19" i="2" a="1"/>
  <c r="Q19" i="2" s="1"/>
  <c r="E31" i="4"/>
  <c r="C2" i="5" a="1"/>
  <c r="C2" i="5" s="1"/>
  <c r="B70" i="11"/>
  <c r="P41" i="2" a="1"/>
  <c r="P41" i="2" s="1"/>
  <c r="Q27" i="2" a="1"/>
  <c r="Q27" i="2" s="1"/>
  <c r="C23" i="5" a="1"/>
  <c r="C23" i="5" s="1"/>
  <c r="D8" i="5" a="1"/>
  <c r="D8" i="5" s="1"/>
  <c r="C9" i="5" a="1"/>
  <c r="C9" i="5" s="1"/>
  <c r="Q21" i="2" a="1"/>
  <c r="Q21" i="2" s="1"/>
  <c r="S46" i="2" a="1"/>
  <c r="S46" i="2" s="1"/>
  <c r="Q20" i="2" a="1"/>
  <c r="Q20" i="2" s="1"/>
  <c r="C21" i="5" a="1"/>
  <c r="C21" i="5" s="1"/>
  <c r="F3" i="5" a="1"/>
  <c r="F3" i="5" s="1"/>
  <c r="G3" i="3" a="1"/>
  <c r="G3" i="3" s="1"/>
  <c r="C28" i="5" a="1"/>
  <c r="C28" i="5" s="1"/>
  <c r="D39" i="4"/>
  <c r="Q59" i="2" a="1"/>
  <c r="Q59" i="2" s="1"/>
  <c r="C7" i="5" a="1"/>
  <c r="C7" i="5" s="1"/>
  <c r="F14" i="3" a="1"/>
  <c r="F14" i="3" s="1"/>
  <c r="P40" i="2" a="1"/>
  <c r="P40" i="2" s="1"/>
  <c r="D22" i="4" a="1"/>
  <c r="D22" i="4" s="1"/>
  <c r="G125" i="4"/>
  <c r="P47" i="2" a="1"/>
  <c r="P47" i="2" s="1"/>
  <c r="F7" i="5" a="1"/>
  <c r="F7" i="5" s="1"/>
  <c r="Q38" i="2" a="1"/>
  <c r="Q38" i="2" s="1"/>
  <c r="P46" i="2" a="1"/>
  <c r="P46" i="2" s="1"/>
  <c r="D31" i="4"/>
  <c r="G27" i="5" a="1"/>
  <c r="G27" i="5" s="1"/>
  <c r="H8" i="3" a="1"/>
  <c r="H8" i="3" s="1"/>
  <c r="H10" i="3" s="1"/>
  <c r="J3" i="3" a="1"/>
  <c r="J3" i="3" s="1"/>
  <c r="I9" i="5" a="1"/>
  <c r="I9" i="5" s="1"/>
  <c r="H13" i="3" a="1"/>
  <c r="H13" i="3" s="1"/>
  <c r="J31" i="5" a="1"/>
  <c r="J31" i="5" s="1"/>
  <c r="H3" i="5" a="1"/>
  <c r="H3" i="5" s="1"/>
  <c r="H27" i="5" a="1"/>
  <c r="H27" i="5" s="1"/>
  <c r="I42" i="3"/>
  <c r="I44" i="3" s="1"/>
  <c r="G3" i="5" a="1"/>
  <c r="G3" i="5" s="1"/>
  <c r="H3" i="3" a="1"/>
  <c r="H3" i="3" s="1"/>
  <c r="H9" i="5" a="1"/>
  <c r="H9" i="5" s="1"/>
  <c r="I27" i="5" a="1"/>
  <c r="I27" i="5" s="1"/>
  <c r="H14" i="3" a="1"/>
  <c r="H14" i="3" s="1"/>
  <c r="K3" i="5" a="1"/>
  <c r="K3" i="5" s="1"/>
  <c r="J13" i="3" a="1"/>
  <c r="J13" i="3" s="1"/>
  <c r="J8" i="3" a="1"/>
  <c r="J8" i="3" s="1"/>
  <c r="J10" i="3" s="1"/>
  <c r="K3" i="3" a="1"/>
  <c r="K3" i="3" s="1"/>
  <c r="J27" i="5" a="1"/>
  <c r="J27" i="5" s="1"/>
  <c r="J9" i="5" a="1"/>
  <c r="J9" i="5" s="1"/>
  <c r="I14" i="3" a="1"/>
  <c r="I14" i="3" s="1"/>
  <c r="K13" i="3" a="1"/>
  <c r="K13" i="3" s="1"/>
  <c r="L42" i="3"/>
  <c r="L44" i="3" s="1"/>
  <c r="I3" i="3" a="1"/>
  <c r="I3" i="3" s="1"/>
  <c r="K27" i="5" a="1"/>
  <c r="K27" i="5" s="1"/>
  <c r="J42" i="3"/>
  <c r="J44" i="3" s="1"/>
  <c r="I13" i="3" a="1"/>
  <c r="I13" i="3" s="1"/>
  <c r="K9" i="5" a="1"/>
  <c r="K9" i="5" s="1"/>
  <c r="I3" i="5" a="1"/>
  <c r="I3" i="5" s="1"/>
  <c r="I8" i="3" a="1"/>
  <c r="I8" i="3" s="1"/>
  <c r="I10" i="3" s="1"/>
  <c r="I31" i="5" a="1"/>
  <c r="I31" i="5" s="1"/>
  <c r="M42" i="3"/>
  <c r="M44" i="3" s="1"/>
  <c r="M8" i="3" a="1"/>
  <c r="M8" i="3" s="1"/>
  <c r="M10" i="3" s="1"/>
  <c r="J3" i="5" a="1"/>
  <c r="J3" i="5" s="1"/>
  <c r="O27" i="5" a="1"/>
  <c r="O27" i="5" s="1"/>
  <c r="K42" i="3"/>
  <c r="K44" i="3" s="1"/>
  <c r="M14" i="3" a="1"/>
  <c r="M14" i="3" s="1"/>
  <c r="K31" i="5" a="1"/>
  <c r="K31" i="5" s="1"/>
  <c r="M31" i="5" a="1"/>
  <c r="M31" i="5" s="1"/>
  <c r="L14" i="3" a="1"/>
  <c r="L14" i="3" s="1"/>
  <c r="K8" i="3" a="1"/>
  <c r="K8" i="3" s="1"/>
  <c r="K10" i="3" s="1"/>
  <c r="J14" i="3" a="1"/>
  <c r="J14" i="3" s="1"/>
  <c r="L31" i="5" a="1"/>
  <c r="L31" i="5" s="1"/>
  <c r="K14" i="3" a="1"/>
  <c r="K14" i="3" s="1"/>
  <c r="L27" i="5" a="1"/>
  <c r="L27" i="5" s="1"/>
  <c r="L8" i="3" a="1"/>
  <c r="L8" i="3" s="1"/>
  <c r="L10" i="3" s="1"/>
  <c r="M9" i="5" a="1"/>
  <c r="M9" i="5" s="1"/>
  <c r="M13" i="3" a="1"/>
  <c r="M13" i="3" s="1"/>
  <c r="M27" i="5" a="1"/>
  <c r="M27" i="5" s="1"/>
  <c r="M3" i="3" a="1"/>
  <c r="M3" i="3" s="1"/>
  <c r="N13" i="3" a="1"/>
  <c r="N13" i="3" s="1"/>
  <c r="L3" i="3" a="1"/>
  <c r="L3" i="3" s="1"/>
  <c r="N42" i="3"/>
  <c r="N44" i="3" s="1"/>
  <c r="L3" i="5" a="1"/>
  <c r="L3" i="5" s="1"/>
  <c r="M3" i="5" a="1"/>
  <c r="M3" i="5" s="1"/>
  <c r="L13" i="3" a="1"/>
  <c r="L13" i="3" s="1"/>
  <c r="O14" i="3" a="1"/>
  <c r="O14" i="3" s="1"/>
  <c r="N9" i="5" a="1"/>
  <c r="N9" i="5" s="1"/>
  <c r="O3" i="3" a="1"/>
  <c r="O3" i="3" s="1"/>
  <c r="L9" i="5" a="1"/>
  <c r="L9" i="5" s="1"/>
  <c r="O8" i="3" a="1"/>
  <c r="O8" i="3" s="1"/>
  <c r="O10" i="3" s="1"/>
  <c r="N8" i="3" a="1"/>
  <c r="N8" i="3" s="1"/>
  <c r="N10" i="3" s="1"/>
  <c r="N14" i="3" a="1"/>
  <c r="N14" i="3" s="1"/>
  <c r="Q9" i="5" a="1"/>
  <c r="Q9" i="5" s="1"/>
  <c r="N27" i="5" a="1"/>
  <c r="N27" i="5" s="1"/>
  <c r="N31" i="5" a="1"/>
  <c r="N31" i="5" s="1"/>
  <c r="P27" i="5" a="1"/>
  <c r="P27" i="5" s="1"/>
  <c r="O9" i="5" a="1"/>
  <c r="O9" i="5" s="1"/>
  <c r="N3" i="3" a="1"/>
  <c r="N3" i="3" s="1"/>
  <c r="O13" i="3" a="1"/>
  <c r="O13" i="3" s="1"/>
  <c r="N3" i="5" a="1"/>
  <c r="N3" i="5" s="1"/>
  <c r="O3" i="5" a="1"/>
  <c r="O3" i="5" s="1"/>
  <c r="O31" i="5" a="1"/>
  <c r="O31" i="5" s="1"/>
  <c r="P31" i="5" a="1"/>
  <c r="P31" i="5" s="1"/>
  <c r="P13" i="3" a="1"/>
  <c r="P13" i="3" s="1"/>
  <c r="P3" i="3" a="1"/>
  <c r="P3" i="3" s="1"/>
  <c r="Q8" i="3" a="1"/>
  <c r="Q8" i="3" s="1"/>
  <c r="Q10" i="3" s="1"/>
  <c r="Q13" i="3" a="1"/>
  <c r="Q13" i="3" s="1"/>
  <c r="Q27" i="5" a="1"/>
  <c r="Q27" i="5" s="1"/>
  <c r="Q3" i="3" a="1"/>
  <c r="Q3" i="3" s="1"/>
  <c r="Q3" i="5" a="1"/>
  <c r="Q3" i="5" s="1"/>
  <c r="Q31" i="5" a="1"/>
  <c r="Q31" i="5" s="1"/>
  <c r="P14" i="3" a="1"/>
  <c r="P14" i="3" s="1"/>
  <c r="P3" i="5" a="1"/>
  <c r="P3" i="5" s="1"/>
  <c r="R13" i="3" a="1"/>
  <c r="R13" i="3" s="1"/>
  <c r="R9" i="5" a="1"/>
  <c r="R9" i="5" s="1"/>
  <c r="Q14" i="3" a="1"/>
  <c r="Q14" i="3" s="1"/>
  <c r="P8" i="3" a="1"/>
  <c r="P8" i="3" s="1"/>
  <c r="P10" i="3" s="1"/>
  <c r="R27" i="5" a="1"/>
  <c r="R27" i="5" s="1"/>
  <c r="R31" i="5" a="1"/>
  <c r="R31" i="5" s="1"/>
  <c r="P9" i="5" a="1"/>
  <c r="P9" i="5" s="1"/>
  <c r="U3" i="5" a="1"/>
  <c r="U3" i="5" s="1"/>
  <c r="U9" i="5" a="1"/>
  <c r="U9" i="5" s="1"/>
  <c r="T3" i="5" a="1"/>
  <c r="T3" i="5" s="1"/>
  <c r="R3" i="3" a="1"/>
  <c r="R3" i="3" s="1"/>
  <c r="T8" i="3" a="1"/>
  <c r="T8" i="3" s="1"/>
  <c r="T10" i="3" s="1"/>
  <c r="R14" i="3" a="1"/>
  <c r="R14" i="3" s="1"/>
  <c r="R3" i="5" a="1"/>
  <c r="R3" i="5" s="1"/>
  <c r="S27" i="5" a="1"/>
  <c r="S27" i="5" s="1"/>
  <c r="S8" i="3" a="1"/>
  <c r="S8" i="3" s="1"/>
  <c r="S10" i="3" s="1"/>
  <c r="T13" i="3" a="1"/>
  <c r="T13" i="3" s="1"/>
  <c r="R8" i="3" a="1"/>
  <c r="R8" i="3" s="1"/>
  <c r="R10" i="3" s="1"/>
  <c r="V3" i="5" a="1"/>
  <c r="V3" i="5" s="1"/>
  <c r="S31" i="5" a="1"/>
  <c r="S31" i="5" s="1"/>
  <c r="S13" i="3" a="1"/>
  <c r="S13" i="3" s="1"/>
  <c r="T27" i="5" a="1"/>
  <c r="T27" i="5" s="1"/>
  <c r="T31" i="5" a="1"/>
  <c r="T31" i="5" s="1"/>
  <c r="U13" i="3" a="1"/>
  <c r="U13" i="3" s="1"/>
  <c r="X13" i="3" a="1"/>
  <c r="X13" i="3" s="1"/>
  <c r="U31" i="5" a="1"/>
  <c r="U31" i="5" s="1"/>
  <c r="S9" i="5" a="1"/>
  <c r="S9" i="5" s="1"/>
  <c r="T9" i="5" a="1"/>
  <c r="T9" i="5" s="1"/>
  <c r="S3" i="5" a="1"/>
  <c r="S3" i="5" s="1"/>
  <c r="U8" i="3" a="1"/>
  <c r="U8" i="3" s="1"/>
  <c r="U10" i="3" s="1"/>
  <c r="V31" i="5" a="1"/>
  <c r="V31" i="5" s="1"/>
  <c r="U27" i="5" a="1"/>
  <c r="U27" i="5" s="1"/>
  <c r="V13" i="3" a="1"/>
  <c r="V13" i="3" s="1"/>
  <c r="V9" i="5" a="1"/>
  <c r="V9" i="5" s="1"/>
  <c r="Y13" i="3" a="1"/>
  <c r="Y13" i="3" s="1"/>
  <c r="V27" i="5" a="1"/>
  <c r="V27" i="5" s="1"/>
  <c r="Y9" i="5" a="1"/>
  <c r="Y9" i="5" s="1"/>
  <c r="W31" i="5" a="1"/>
  <c r="W31" i="5" s="1"/>
  <c r="Z8" i="3" a="1"/>
  <c r="Z8" i="3" s="1"/>
  <c r="Z10" i="3" s="1"/>
  <c r="W8" i="3" a="1"/>
  <c r="W8" i="3" s="1"/>
  <c r="W10" i="3" s="1"/>
  <c r="Z3" i="5" a="1"/>
  <c r="Z3" i="5" s="1"/>
  <c r="X27" i="5" a="1"/>
  <c r="X27" i="5" s="1"/>
  <c r="Y8" i="3" a="1"/>
  <c r="Y8" i="3" s="1"/>
  <c r="Y10" i="3" s="1"/>
  <c r="W9" i="5" a="1"/>
  <c r="W9" i="5" s="1"/>
  <c r="V8" i="3" a="1"/>
  <c r="V8" i="3" s="1"/>
  <c r="V10" i="3" s="1"/>
  <c r="Y27" i="5" a="1"/>
  <c r="Y27" i="5" s="1"/>
  <c r="W27" i="5" a="1"/>
  <c r="W27" i="5" s="1"/>
  <c r="X3" i="5" a="1"/>
  <c r="X3" i="5" s="1"/>
  <c r="X8" i="3" a="1"/>
  <c r="X8" i="3" s="1"/>
  <c r="X10" i="3" s="1"/>
  <c r="Z31" i="5" a="1"/>
  <c r="Z31" i="5" s="1"/>
  <c r="W3" i="5" a="1"/>
  <c r="W3" i="5" s="1"/>
  <c r="Z9" i="5" a="1"/>
  <c r="Z9" i="5" s="1"/>
  <c r="Y31" i="5" a="1"/>
  <c r="Y31" i="5" s="1"/>
  <c r="W13" i="3" a="1"/>
  <c r="W13" i="3" s="1"/>
  <c r="Z27" i="5" a="1"/>
  <c r="Z27" i="5" s="1"/>
  <c r="Y3" i="5" a="1"/>
  <c r="Y3" i="5" s="1"/>
  <c r="X31" i="5" a="1"/>
  <c r="X31" i="5" s="1"/>
  <c r="X9" i="5" a="1"/>
  <c r="X9" i="5" s="1"/>
  <c r="Z13" i="3" a="1"/>
  <c r="Z13" i="3" s="1"/>
  <c r="AB13" i="3" a="1"/>
  <c r="AB13" i="3" s="1"/>
  <c r="AB8" i="3" a="1"/>
  <c r="AB8" i="3" s="1"/>
  <c r="AB10" i="3" s="1"/>
  <c r="AA8" i="3" a="1"/>
  <c r="AA8" i="3" s="1"/>
  <c r="AA10" i="3" s="1"/>
  <c r="AA13" i="3" a="1"/>
  <c r="AA13" i="3" s="1"/>
  <c r="AC13" i="3" a="1"/>
  <c r="AC13" i="3" s="1"/>
  <c r="AC8" i="3" a="1"/>
  <c r="AC8" i="3" s="1"/>
  <c r="AC10" i="3" s="1"/>
  <c r="AD8" i="3" a="1"/>
  <c r="AD8" i="3" s="1"/>
  <c r="AD10" i="3" s="1"/>
  <c r="AD13" i="3" a="1"/>
  <c r="AD13" i="3" s="1"/>
  <c r="AE8" i="3" a="1"/>
  <c r="AE8" i="3" s="1"/>
  <c r="AE10" i="3" s="1"/>
  <c r="AG8" i="3" a="1"/>
  <c r="AG8" i="3" s="1"/>
  <c r="AG10" i="3" s="1"/>
  <c r="AG13" i="3" a="1"/>
  <c r="AG13" i="3" s="1"/>
  <c r="AE13" i="3" a="1"/>
  <c r="AE13" i="3" s="1"/>
  <c r="AF13" i="3" a="1"/>
  <c r="AF13" i="3" s="1"/>
  <c r="AF8" i="3" a="1"/>
  <c r="AF8" i="3" s="1"/>
  <c r="AF10" i="3" s="1"/>
  <c r="AH13" i="3" a="1"/>
  <c r="AH13" i="3" s="1"/>
  <c r="AH8" i="3" a="1"/>
  <c r="AH8" i="3" s="1"/>
  <c r="AH10" i="3" s="1"/>
  <c r="AI13" i="3" a="1"/>
  <c r="AI13" i="3" s="1"/>
  <c r="AI8" i="3" a="1"/>
  <c r="AI8" i="3" s="1"/>
  <c r="AI10" i="3" s="1"/>
  <c r="AJ8" i="3" a="1"/>
  <c r="AJ8" i="3" s="1"/>
  <c r="AJ10" i="3" s="1"/>
  <c r="AJ13" i="3" a="1"/>
  <c r="AJ13" i="3" s="1"/>
  <c r="AK8" i="3" a="1"/>
  <c r="AK8" i="3" s="1"/>
  <c r="AK10" i="3" s="1"/>
  <c r="AK13" i="3" a="1"/>
  <c r="AK13" i="3" s="1"/>
  <c r="AL8" i="3" a="1"/>
  <c r="AL8" i="3" s="1"/>
  <c r="AL10" i="3" s="1"/>
  <c r="AL13" i="3" a="1"/>
  <c r="AL13" i="3" s="1"/>
  <c r="AZ20" i="6"/>
  <c r="BU51" i="12"/>
  <c r="AZ54" i="6"/>
  <c r="BC9" i="13"/>
  <c r="BD4" i="13" s="1"/>
  <c r="BW71" i="11" l="1"/>
  <c r="BW51" i="11"/>
  <c r="BV51" i="12"/>
  <c r="C36" i="5"/>
  <c r="C38" i="5" s="1"/>
  <c r="F36" i="5"/>
  <c r="F38" i="5" s="1"/>
  <c r="P72" i="2"/>
  <c r="D59" i="4"/>
  <c r="D76" i="4"/>
  <c r="D77" i="4" s="1"/>
  <c r="P66" i="2"/>
  <c r="D53" i="4"/>
  <c r="D139" i="4"/>
  <c r="BT8" i="6"/>
  <c r="BT9" i="6" s="1"/>
  <c r="BA67" i="6"/>
  <c r="BA68" i="6" s="1"/>
  <c r="BA4" i="11" a="1"/>
  <c r="BA4" i="11" s="1"/>
  <c r="BA5" i="11" s="1"/>
  <c r="BA79" i="11" s="1"/>
  <c r="BA81" i="11" s="1"/>
  <c r="BR35" i="11"/>
  <c r="BB35" i="11"/>
  <c r="AL35" i="11"/>
  <c r="BQ35" i="11"/>
  <c r="BA35" i="11"/>
  <c r="AK35" i="11"/>
  <c r="BP35" i="11"/>
  <c r="AZ35" i="11"/>
  <c r="AJ35" i="11"/>
  <c r="BN35" i="11"/>
  <c r="AX35" i="11"/>
  <c r="AH35" i="11"/>
  <c r="BM35" i="11"/>
  <c r="AW35" i="11"/>
  <c r="AG35" i="11"/>
  <c r="BL35" i="11"/>
  <c r="AV35" i="11"/>
  <c r="AF35" i="11"/>
  <c r="BK35" i="11"/>
  <c r="AU35" i="11"/>
  <c r="BI35" i="11"/>
  <c r="AS35" i="11"/>
  <c r="BH35" i="11"/>
  <c r="AR35" i="11"/>
  <c r="BJ35" i="11"/>
  <c r="BG35" i="11"/>
  <c r="BF35" i="11"/>
  <c r="BE35" i="11"/>
  <c r="BD35" i="11"/>
  <c r="BC35" i="11"/>
  <c r="AY35" i="11"/>
  <c r="AT35" i="11"/>
  <c r="AQ35" i="11"/>
  <c r="AP35" i="11"/>
  <c r="BW35" i="11"/>
  <c r="AO35" i="11"/>
  <c r="BV35" i="11"/>
  <c r="AN35" i="11"/>
  <c r="BU35" i="11"/>
  <c r="AM35" i="11"/>
  <c r="BT35" i="11"/>
  <c r="BS35" i="11"/>
  <c r="AI35" i="11"/>
  <c r="BO35" i="11"/>
  <c r="N15" i="3"/>
  <c r="N16" i="3" s="1"/>
  <c r="BL59" i="11"/>
  <c r="AV59" i="11"/>
  <c r="BK59" i="11"/>
  <c r="AU59" i="11"/>
  <c r="BJ59" i="11"/>
  <c r="AT59" i="11"/>
  <c r="BI59" i="11"/>
  <c r="AS59" i="11"/>
  <c r="BH59" i="11"/>
  <c r="AR59" i="11"/>
  <c r="BR59" i="11"/>
  <c r="BB59" i="11"/>
  <c r="AL59" i="11"/>
  <c r="BP59" i="11"/>
  <c r="AZ59" i="11"/>
  <c r="AJ59" i="11"/>
  <c r="BE59" i="11"/>
  <c r="BD59" i="11"/>
  <c r="BC59" i="11"/>
  <c r="BA59" i="11"/>
  <c r="AY59" i="11"/>
  <c r="BW59" i="11"/>
  <c r="AX59" i="11"/>
  <c r="BV59" i="11"/>
  <c r="AW59" i="11"/>
  <c r="BU59" i="11"/>
  <c r="AQ59" i="11"/>
  <c r="BT59" i="11"/>
  <c r="AP59" i="11"/>
  <c r="BS59" i="11"/>
  <c r="AO59" i="11"/>
  <c r="BQ59" i="11"/>
  <c r="AN59" i="11"/>
  <c r="BO59" i="11"/>
  <c r="AM59" i="11"/>
  <c r="BN59" i="11"/>
  <c r="AK59" i="11"/>
  <c r="BF59" i="11"/>
  <c r="AI59" i="11"/>
  <c r="BM59" i="11"/>
  <c r="BG59" i="11"/>
  <c r="AR14" i="11"/>
  <c r="AR15" i="11" s="1"/>
  <c r="AQ14" i="11"/>
  <c r="AQ15" i="11" s="1"/>
  <c r="AO14" i="11"/>
  <c r="AO15" i="11" s="1"/>
  <c r="AN14" i="11"/>
  <c r="AN15" i="11" s="1"/>
  <c r="AM14" i="11"/>
  <c r="AM15" i="11" s="1"/>
  <c r="AK14" i="11"/>
  <c r="AK15" i="11" s="1"/>
  <c r="AZ14" i="11"/>
  <c r="AZ15" i="11" s="1"/>
  <c r="AJ14" i="11"/>
  <c r="AJ15" i="11" s="1"/>
  <c r="AY14" i="11"/>
  <c r="AY15" i="11" s="1"/>
  <c r="AI14" i="11"/>
  <c r="AI15" i="11" s="1"/>
  <c r="AX14" i="11"/>
  <c r="AX15" i="11" s="1"/>
  <c r="AH14" i="11"/>
  <c r="AH15" i="11" s="1"/>
  <c r="AW14" i="11"/>
  <c r="AW15" i="11" s="1"/>
  <c r="AG14" i="11"/>
  <c r="AG15" i="11" s="1"/>
  <c r="S40" i="2" s="1" a="1"/>
  <c r="S40" i="2" s="1"/>
  <c r="AV14" i="11"/>
  <c r="AV15" i="11" s="1"/>
  <c r="AF14" i="11"/>
  <c r="AF15" i="11" s="1"/>
  <c r="AU14" i="11"/>
  <c r="AU15" i="11" s="1"/>
  <c r="AT14" i="11"/>
  <c r="AT15" i="11" s="1"/>
  <c r="AS14" i="11"/>
  <c r="AS15" i="11" s="1"/>
  <c r="AP14" i="11"/>
  <c r="AP15" i="11" s="1"/>
  <c r="AL14" i="11"/>
  <c r="AL15" i="11" s="1"/>
  <c r="BT136" i="11"/>
  <c r="BD136" i="11"/>
  <c r="AN136" i="11"/>
  <c r="BS136" i="11"/>
  <c r="BC136" i="11"/>
  <c r="AM136" i="11"/>
  <c r="BR136" i="11"/>
  <c r="BB136" i="11"/>
  <c r="AL136" i="11"/>
  <c r="BQ136" i="11"/>
  <c r="BA136" i="11"/>
  <c r="AK136" i="11"/>
  <c r="BP136" i="11"/>
  <c r="AZ136" i="11"/>
  <c r="AJ136" i="11"/>
  <c r="BO136" i="11"/>
  <c r="AY136" i="11"/>
  <c r="AI136" i="11"/>
  <c r="BN136" i="11"/>
  <c r="AX136" i="11"/>
  <c r="AH136" i="11"/>
  <c r="BM136" i="11"/>
  <c r="AW136" i="11"/>
  <c r="AG136" i="11"/>
  <c r="BL136" i="11"/>
  <c r="AV136" i="11"/>
  <c r="AF136" i="11"/>
  <c r="BK136" i="11"/>
  <c r="AU136" i="11"/>
  <c r="AO136" i="11"/>
  <c r="BW136" i="11"/>
  <c r="BV136" i="11"/>
  <c r="BU136" i="11"/>
  <c r="BJ136" i="11"/>
  <c r="BI136" i="11"/>
  <c r="BH136" i="11"/>
  <c r="BG136" i="11"/>
  <c r="BF136" i="11"/>
  <c r="BE136" i="11"/>
  <c r="AT136" i="11"/>
  <c r="AS136" i="11"/>
  <c r="AR136" i="11"/>
  <c r="AQ136" i="11"/>
  <c r="AP136" i="11"/>
  <c r="BV13" i="12"/>
  <c r="BV161" i="12"/>
  <c r="BV130" i="12"/>
  <c r="BV131" i="12" s="1"/>
  <c r="BW45" i="11"/>
  <c r="BG45" i="11"/>
  <c r="AQ45" i="11"/>
  <c r="BV45" i="11"/>
  <c r="BF45" i="11"/>
  <c r="BM45" i="11"/>
  <c r="AW45" i="11"/>
  <c r="AG45" i="11"/>
  <c r="BI45" i="11"/>
  <c r="AO45" i="11"/>
  <c r="BH45" i="11"/>
  <c r="AN45" i="11"/>
  <c r="BE45" i="11"/>
  <c r="AM45" i="11"/>
  <c r="BD45" i="11"/>
  <c r="AL45" i="11"/>
  <c r="BC45" i="11"/>
  <c r="AK45" i="11"/>
  <c r="BU45" i="11"/>
  <c r="BB45" i="11"/>
  <c r="AJ45" i="11"/>
  <c r="BT45" i="11"/>
  <c r="BA45" i="11"/>
  <c r="AI45" i="11"/>
  <c r="BS45" i="11"/>
  <c r="AZ45" i="11"/>
  <c r="AH45" i="11"/>
  <c r="BR45" i="11"/>
  <c r="AY45" i="11"/>
  <c r="AF45" i="11"/>
  <c r="BQ45" i="11"/>
  <c r="AX45" i="11"/>
  <c r="BP45" i="11"/>
  <c r="AV45" i="11"/>
  <c r="BO45" i="11"/>
  <c r="AU45" i="11"/>
  <c r="BN45" i="11"/>
  <c r="AT45" i="11"/>
  <c r="BL45" i="11"/>
  <c r="BK45" i="11"/>
  <c r="BJ45" i="11"/>
  <c r="AS45" i="11"/>
  <c r="AR45" i="11"/>
  <c r="AP45" i="11"/>
  <c r="BW34" i="11"/>
  <c r="BG34" i="11"/>
  <c r="AQ34" i="11"/>
  <c r="BV34" i="11"/>
  <c r="BF34" i="11"/>
  <c r="AP34" i="11"/>
  <c r="BU34" i="11"/>
  <c r="BE34" i="11"/>
  <c r="AO34" i="11"/>
  <c r="BS34" i="11"/>
  <c r="BC34" i="11"/>
  <c r="BR34" i="11"/>
  <c r="BQ34" i="11"/>
  <c r="BA34" i="11"/>
  <c r="AK34" i="11"/>
  <c r="BP34" i="11"/>
  <c r="BN34" i="11"/>
  <c r="AX34" i="11"/>
  <c r="AH34" i="11"/>
  <c r="BM34" i="11"/>
  <c r="AW34" i="11"/>
  <c r="AG34" i="11"/>
  <c r="BD34" i="11"/>
  <c r="BB34" i="11"/>
  <c r="AZ34" i="11"/>
  <c r="AY34" i="11"/>
  <c r="AV34" i="11"/>
  <c r="AU34" i="11"/>
  <c r="AT34" i="11"/>
  <c r="AS34" i="11"/>
  <c r="AR34" i="11"/>
  <c r="BT34" i="11"/>
  <c r="AN34" i="11"/>
  <c r="BO34" i="11"/>
  <c r="AM34" i="11"/>
  <c r="BL34" i="11"/>
  <c r="AL34" i="11"/>
  <c r="BK34" i="11"/>
  <c r="AJ34" i="11"/>
  <c r="BJ34" i="11"/>
  <c r="BI34" i="11"/>
  <c r="BH34" i="11"/>
  <c r="AI34" i="11"/>
  <c r="AF34" i="11"/>
  <c r="P42" i="2"/>
  <c r="P67" i="2" s="1"/>
  <c r="P65" i="2"/>
  <c r="S14" i="2"/>
  <c r="R14" i="2"/>
  <c r="E19" i="3"/>
  <c r="E15" i="3"/>
  <c r="E16" i="3" s="1"/>
  <c r="R19" i="2"/>
  <c r="Q22" i="2"/>
  <c r="S19" i="2"/>
  <c r="R71" i="2"/>
  <c r="G71" i="4"/>
  <c r="F71" i="4"/>
  <c r="BO54" i="11"/>
  <c r="AY54" i="11"/>
  <c r="AI54" i="11"/>
  <c r="BN54" i="11"/>
  <c r="AX54" i="11"/>
  <c r="AH54" i="11"/>
  <c r="BM54" i="11"/>
  <c r="AW54" i="11"/>
  <c r="AG54" i="11"/>
  <c r="BL54" i="11"/>
  <c r="AV54" i="11"/>
  <c r="AF54" i="11"/>
  <c r="BK54" i="11"/>
  <c r="AU54" i="11"/>
  <c r="BU54" i="11"/>
  <c r="BE54" i="11"/>
  <c r="AO54" i="11"/>
  <c r="BS54" i="11"/>
  <c r="BC54" i="11"/>
  <c r="AM54" i="11"/>
  <c r="BB54" i="11"/>
  <c r="BA54" i="11"/>
  <c r="AZ54" i="11"/>
  <c r="AT54" i="11"/>
  <c r="BW54" i="11"/>
  <c r="AS54" i="11"/>
  <c r="BV54" i="11"/>
  <c r="AR54" i="11"/>
  <c r="BT54" i="11"/>
  <c r="AQ54" i="11"/>
  <c r="BR54" i="11"/>
  <c r="AP54" i="11"/>
  <c r="BQ54" i="11"/>
  <c r="AN54" i="11"/>
  <c r="BP54" i="11"/>
  <c r="AL54" i="11"/>
  <c r="BJ54" i="11"/>
  <c r="AK54" i="11"/>
  <c r="BI54" i="11"/>
  <c r="AJ54" i="11"/>
  <c r="BH54" i="11"/>
  <c r="BD54" i="11"/>
  <c r="BG54" i="11"/>
  <c r="BF54" i="11"/>
  <c r="Q66" i="2"/>
  <c r="BV3" i="7" a="1"/>
  <c r="BV3" i="7" s="1"/>
  <c r="L115" i="4" a="1"/>
  <c r="L115" i="4" s="1"/>
  <c r="N29" i="4" a="1"/>
  <c r="N29" i="4" s="1"/>
  <c r="M115" i="4" a="1"/>
  <c r="M115" i="4" s="1"/>
  <c r="L29" i="4" a="1"/>
  <c r="L29" i="4" s="1"/>
  <c r="K115" i="4" a="1"/>
  <c r="K115" i="4" s="1"/>
  <c r="L92" i="4" a="1"/>
  <c r="L92" i="4" s="1"/>
  <c r="K69" i="4" a="1"/>
  <c r="K69" i="4" s="1"/>
  <c r="L69" i="4" a="1"/>
  <c r="L69" i="4" s="1"/>
  <c r="M29" i="4" a="1"/>
  <c r="M29" i="4" s="1"/>
  <c r="L6" i="4" a="1"/>
  <c r="L6" i="4" s="1"/>
  <c r="K29" i="4" a="1"/>
  <c r="K29" i="4" s="1"/>
  <c r="K6" i="4" a="1"/>
  <c r="K6" i="4" s="1"/>
  <c r="O15" i="3"/>
  <c r="O16" i="3" s="1"/>
  <c r="E144" i="4"/>
  <c r="S20" i="2"/>
  <c r="R20" i="2"/>
  <c r="S71" i="2"/>
  <c r="U17" i="4"/>
  <c r="T17" i="4"/>
  <c r="Q56" i="2"/>
  <c r="BP57" i="11"/>
  <c r="AZ57" i="11"/>
  <c r="AJ57" i="11"/>
  <c r="BO57" i="11"/>
  <c r="AY57" i="11"/>
  <c r="AI57" i="11"/>
  <c r="BN57" i="11"/>
  <c r="AX57" i="11"/>
  <c r="BM57" i="11"/>
  <c r="AW57" i="11"/>
  <c r="BL57" i="11"/>
  <c r="AV57" i="11"/>
  <c r="BV57" i="11"/>
  <c r="BF57" i="11"/>
  <c r="AP57" i="11"/>
  <c r="BT57" i="11"/>
  <c r="BD57" i="11"/>
  <c r="AN57" i="11"/>
  <c r="BC57" i="11"/>
  <c r="BB57" i="11"/>
  <c r="BA57" i="11"/>
  <c r="AU57" i="11"/>
  <c r="AT57" i="11"/>
  <c r="BW57" i="11"/>
  <c r="AS57" i="11"/>
  <c r="BU57" i="11"/>
  <c r="AR57" i="11"/>
  <c r="BS57" i="11"/>
  <c r="AQ57" i="11"/>
  <c r="BR57" i="11"/>
  <c r="AO57" i="11"/>
  <c r="BQ57" i="11"/>
  <c r="AM57" i="11"/>
  <c r="BK57" i="11"/>
  <c r="AL57" i="11"/>
  <c r="BJ57" i="11"/>
  <c r="AK57" i="11"/>
  <c r="BI57" i="11"/>
  <c r="BH57" i="11"/>
  <c r="BG57" i="11"/>
  <c r="BE57" i="11"/>
  <c r="BI135" i="11"/>
  <c r="AS135" i="11"/>
  <c r="BW135" i="11"/>
  <c r="BG135" i="11"/>
  <c r="AQ135" i="11"/>
  <c r="BV135" i="11"/>
  <c r="BF135" i="11"/>
  <c r="AP135" i="11"/>
  <c r="BU135" i="11"/>
  <c r="BE135" i="11"/>
  <c r="AO135" i="11"/>
  <c r="BT135" i="11"/>
  <c r="BD135" i="11"/>
  <c r="AN135" i="11"/>
  <c r="BS135" i="11"/>
  <c r="BC135" i="11"/>
  <c r="AM135" i="11"/>
  <c r="BR135" i="11"/>
  <c r="BB135" i="11"/>
  <c r="AL135" i="11"/>
  <c r="BQ135" i="11"/>
  <c r="BA135" i="11"/>
  <c r="AK135" i="11"/>
  <c r="BP135" i="11"/>
  <c r="AZ135" i="11"/>
  <c r="AJ135" i="11"/>
  <c r="AY135" i="11"/>
  <c r="AX135" i="11"/>
  <c r="AW135" i="11"/>
  <c r="AV135" i="11"/>
  <c r="AU135" i="11"/>
  <c r="AT135" i="11"/>
  <c r="AR135" i="11"/>
  <c r="AI135" i="11"/>
  <c r="AH135" i="11"/>
  <c r="BO135" i="11"/>
  <c r="AG135" i="11"/>
  <c r="BN135" i="11"/>
  <c r="AF135" i="11"/>
  <c r="AF174" i="11" s="1"/>
  <c r="BM135" i="11"/>
  <c r="BL135" i="11"/>
  <c r="BK135" i="11"/>
  <c r="BH135" i="11"/>
  <c r="BJ135" i="11"/>
  <c r="AP79" i="11"/>
  <c r="AP81" i="11" s="1"/>
  <c r="AO79" i="11"/>
  <c r="AO81" i="11" s="1"/>
  <c r="AN79" i="11"/>
  <c r="AN81" i="11" s="1"/>
  <c r="AM79" i="11"/>
  <c r="AM81" i="11" s="1"/>
  <c r="AL79" i="11"/>
  <c r="AL81" i="11" s="1"/>
  <c r="AZ79" i="11"/>
  <c r="AZ81" i="11" s="1"/>
  <c r="AJ79" i="11"/>
  <c r="AJ81" i="11" s="1"/>
  <c r="AY79" i="11"/>
  <c r="AY81" i="11" s="1"/>
  <c r="AI79" i="11"/>
  <c r="AI81" i="11" s="1"/>
  <c r="AX79" i="11"/>
  <c r="AX81" i="11" s="1"/>
  <c r="AH79" i="11"/>
  <c r="AH81" i="11" s="1"/>
  <c r="AW79" i="11"/>
  <c r="AW81" i="11" s="1"/>
  <c r="AG79" i="11"/>
  <c r="AG81" i="11" s="1"/>
  <c r="AV79" i="11"/>
  <c r="AV81" i="11" s="1"/>
  <c r="AF79" i="11"/>
  <c r="AF81" i="11" s="1"/>
  <c r="AU79" i="11"/>
  <c r="AU81" i="11" s="1"/>
  <c r="AT79" i="11"/>
  <c r="AT81" i="11" s="1"/>
  <c r="AS79" i="11"/>
  <c r="AS81" i="11" s="1"/>
  <c r="AR79" i="11"/>
  <c r="AR81" i="11" s="1"/>
  <c r="AQ79" i="11"/>
  <c r="AQ81" i="11" s="1"/>
  <c r="AK79" i="11"/>
  <c r="AK81" i="11" s="1"/>
  <c r="Q73" i="2"/>
  <c r="BU7" i="7"/>
  <c r="BU12" i="7"/>
  <c r="BU14" i="7" s="1"/>
  <c r="BT53" i="11"/>
  <c r="BD53" i="11"/>
  <c r="AN53" i="11"/>
  <c r="BS53" i="11"/>
  <c r="BC53" i="11"/>
  <c r="AM53" i="11"/>
  <c r="BR53" i="11"/>
  <c r="BB53" i="11"/>
  <c r="AL53" i="11"/>
  <c r="BQ53" i="11"/>
  <c r="BA53" i="11"/>
  <c r="AK53" i="11"/>
  <c r="BP53" i="11"/>
  <c r="AZ53" i="11"/>
  <c r="AJ53" i="11"/>
  <c r="BJ53" i="11"/>
  <c r="AT53" i="11"/>
  <c r="BH53" i="11"/>
  <c r="AR53" i="11"/>
  <c r="BO53" i="11"/>
  <c r="AP53" i="11"/>
  <c r="BN53" i="11"/>
  <c r="AO53" i="11"/>
  <c r="BM53" i="11"/>
  <c r="AI53" i="11"/>
  <c r="BL53" i="11"/>
  <c r="AH53" i="11"/>
  <c r="BK53" i="11"/>
  <c r="AG53" i="11"/>
  <c r="BI53" i="11"/>
  <c r="AF53" i="11"/>
  <c r="BG53" i="11"/>
  <c r="BF53" i="11"/>
  <c r="BE53" i="11"/>
  <c r="AY53" i="11"/>
  <c r="AX53" i="11"/>
  <c r="AW53" i="11"/>
  <c r="AV53" i="11"/>
  <c r="BW53" i="11"/>
  <c r="BV53" i="11"/>
  <c r="BU53" i="11"/>
  <c r="AU53" i="11"/>
  <c r="AS53" i="11"/>
  <c r="AQ53" i="11"/>
  <c r="BU73" i="11"/>
  <c r="BE73" i="11"/>
  <c r="AO73" i="11"/>
  <c r="AO74" i="11" s="1"/>
  <c r="BS73" i="11"/>
  <c r="BC73" i="11"/>
  <c r="AM73" i="11"/>
  <c r="AM74" i="11" s="1"/>
  <c r="BR73" i="11"/>
  <c r="BB73" i="11"/>
  <c r="AL73" i="11"/>
  <c r="AL74" i="11" s="1"/>
  <c r="BQ73" i="11"/>
  <c r="BA73" i="11"/>
  <c r="AK73" i="11"/>
  <c r="AK74" i="11" s="1"/>
  <c r="BO73" i="11"/>
  <c r="AY73" i="11"/>
  <c r="AY74" i="11" s="1"/>
  <c r="AI73" i="11"/>
  <c r="AI74" i="11" s="1"/>
  <c r="BK73" i="11"/>
  <c r="AU73" i="11"/>
  <c r="AU74" i="11" s="1"/>
  <c r="BI73" i="11"/>
  <c r="AS73" i="11"/>
  <c r="AS74" i="11" s="1"/>
  <c r="BH73" i="11"/>
  <c r="AF73" i="11"/>
  <c r="AF74" i="11" s="1"/>
  <c r="BG73" i="11"/>
  <c r="BF73" i="11"/>
  <c r="BD73" i="11"/>
  <c r="AZ73" i="11"/>
  <c r="AZ74" i="11" s="1"/>
  <c r="AX73" i="11"/>
  <c r="AX74" i="11" s="1"/>
  <c r="AW73" i="11"/>
  <c r="AW74" i="11" s="1"/>
  <c r="AV73" i="11"/>
  <c r="AV74" i="11" s="1"/>
  <c r="BW73" i="11"/>
  <c r="AT73" i="11"/>
  <c r="AT74" i="11" s="1"/>
  <c r="BV73" i="11"/>
  <c r="AR73" i="11"/>
  <c r="AR74" i="11" s="1"/>
  <c r="BT73" i="11"/>
  <c r="AQ73" i="11"/>
  <c r="AQ74" i="11" s="1"/>
  <c r="BN73" i="11"/>
  <c r="AN73" i="11"/>
  <c r="AN74" i="11" s="1"/>
  <c r="BJ73" i="11"/>
  <c r="AP73" i="11"/>
  <c r="AP74" i="11" s="1"/>
  <c r="AJ73" i="11"/>
  <c r="AJ74" i="11" s="1"/>
  <c r="AH73" i="11"/>
  <c r="AH74" i="11" s="1"/>
  <c r="AG73" i="11"/>
  <c r="AG74" i="11" s="1"/>
  <c r="BP73" i="11"/>
  <c r="BM73" i="11"/>
  <c r="BL73" i="11"/>
  <c r="BD9" i="13"/>
  <c r="BE4" i="13" s="1"/>
  <c r="BD7" i="13"/>
  <c r="BD8" i="13" s="1"/>
  <c r="P49" i="2"/>
  <c r="P74" i="2" s="1"/>
  <c r="P71" i="2"/>
  <c r="R21" i="2"/>
  <c r="S21" i="2"/>
  <c r="E5" i="3"/>
  <c r="Q72" i="2"/>
  <c r="BI116" i="11"/>
  <c r="AS116" i="11"/>
  <c r="BH116" i="11"/>
  <c r="AR116" i="11"/>
  <c r="BW116" i="11"/>
  <c r="BG116" i="11"/>
  <c r="AQ116" i="11"/>
  <c r="BV116" i="11"/>
  <c r="BF116" i="11"/>
  <c r="AP116" i="11"/>
  <c r="BU116" i="11"/>
  <c r="BE116" i="11"/>
  <c r="AO116" i="11"/>
  <c r="BT116" i="11"/>
  <c r="BD116" i="11"/>
  <c r="AN116" i="11"/>
  <c r="BS116" i="11"/>
  <c r="BC116" i="11"/>
  <c r="AM116" i="11"/>
  <c r="BR116" i="11"/>
  <c r="BB116" i="11"/>
  <c r="AL116" i="11"/>
  <c r="BP116" i="11"/>
  <c r="AZ116" i="11"/>
  <c r="AJ116" i="11"/>
  <c r="BO116" i="11"/>
  <c r="AY116" i="11"/>
  <c r="AI116" i="11"/>
  <c r="BN116" i="11"/>
  <c r="AX116" i="11"/>
  <c r="AH116" i="11"/>
  <c r="BM116" i="11"/>
  <c r="AW116" i="11"/>
  <c r="AG116" i="11"/>
  <c r="BQ116" i="11"/>
  <c r="BL116" i="11"/>
  <c r="BK116" i="11"/>
  <c r="BJ116" i="11"/>
  <c r="BA116" i="11"/>
  <c r="AV116" i="11"/>
  <c r="AU116" i="11"/>
  <c r="AT116" i="11"/>
  <c r="AK116" i="11"/>
  <c r="AF116" i="11"/>
  <c r="AF169" i="11" s="1"/>
  <c r="BV26" i="13"/>
  <c r="BV6" i="13"/>
  <c r="BW1" i="13"/>
  <c r="BI52" i="11"/>
  <c r="AS52" i="11"/>
  <c r="BH52" i="11"/>
  <c r="AR52" i="11"/>
  <c r="BW52" i="11"/>
  <c r="BG52" i="11"/>
  <c r="AQ52" i="11"/>
  <c r="BV52" i="11"/>
  <c r="BF52" i="11"/>
  <c r="AP52" i="11"/>
  <c r="BU52" i="11"/>
  <c r="BE52" i="11"/>
  <c r="AO52" i="11"/>
  <c r="BO52" i="11"/>
  <c r="AY52" i="11"/>
  <c r="AI52" i="11"/>
  <c r="BM52" i="11"/>
  <c r="AW52" i="11"/>
  <c r="AG52" i="11"/>
  <c r="BC52" i="11"/>
  <c r="BB52" i="11"/>
  <c r="BA52" i="11"/>
  <c r="AZ52" i="11"/>
  <c r="AX52" i="11"/>
  <c r="AV52" i="11"/>
  <c r="BT52" i="11"/>
  <c r="AU52" i="11"/>
  <c r="BS52" i="11"/>
  <c r="AT52" i="11"/>
  <c r="BR52" i="11"/>
  <c r="AN52" i="11"/>
  <c r="BQ52" i="11"/>
  <c r="AM52" i="11"/>
  <c r="BP52" i="11"/>
  <c r="AL52" i="11"/>
  <c r="BN52" i="11"/>
  <c r="AK52" i="11"/>
  <c r="BL52" i="11"/>
  <c r="AJ52" i="11"/>
  <c r="BK52" i="11"/>
  <c r="BJ52" i="11"/>
  <c r="BD52" i="11"/>
  <c r="AH52" i="11"/>
  <c r="AF52" i="11"/>
  <c r="Q5" i="3"/>
  <c r="BH82" i="11"/>
  <c r="AR82" i="11"/>
  <c r="BW82" i="11"/>
  <c r="BG82" i="11"/>
  <c r="AQ82" i="11"/>
  <c r="BV82" i="11"/>
  <c r="BF82" i="11"/>
  <c r="AP82" i="11"/>
  <c r="BU82" i="11"/>
  <c r="BE82" i="11"/>
  <c r="AO82" i="11"/>
  <c r="BT82" i="11"/>
  <c r="BD82" i="11"/>
  <c r="AN82" i="11"/>
  <c r="BS82" i="11"/>
  <c r="BC82" i="11"/>
  <c r="AM82" i="11"/>
  <c r="BR82" i="11"/>
  <c r="BB82" i="11"/>
  <c r="AL82" i="11"/>
  <c r="BQ82" i="11"/>
  <c r="BA82" i="11"/>
  <c r="AK82" i="11"/>
  <c r="BP82" i="11"/>
  <c r="AZ82" i="11"/>
  <c r="AJ82" i="11"/>
  <c r="BO82" i="11"/>
  <c r="AY82" i="11"/>
  <c r="AI82" i="11"/>
  <c r="BN82" i="11"/>
  <c r="AX82" i="11"/>
  <c r="AH82" i="11"/>
  <c r="BM82" i="11"/>
  <c r="AW82" i="11"/>
  <c r="AG82" i="11"/>
  <c r="BL82" i="11"/>
  <c r="AV82" i="11"/>
  <c r="AF82" i="11"/>
  <c r="BK82" i="11"/>
  <c r="BJ82" i="11"/>
  <c r="BI82" i="11"/>
  <c r="AU82" i="11"/>
  <c r="AT82" i="11"/>
  <c r="AS82" i="11"/>
  <c r="Q15" i="3"/>
  <c r="Q16" i="3" s="1"/>
  <c r="U22" i="4"/>
  <c r="T22" i="4"/>
  <c r="P15" i="3"/>
  <c r="P16" i="3" s="1"/>
  <c r="BM109" i="11"/>
  <c r="AW109" i="11"/>
  <c r="AG109" i="11"/>
  <c r="BK109" i="11"/>
  <c r="AU109" i="11"/>
  <c r="BJ109" i="11"/>
  <c r="AT109" i="11"/>
  <c r="BI109" i="11"/>
  <c r="AS109" i="11"/>
  <c r="BW109" i="11"/>
  <c r="BG109" i="11"/>
  <c r="AQ109" i="11"/>
  <c r="BQ109" i="11"/>
  <c r="BA109" i="11"/>
  <c r="AK109" i="11"/>
  <c r="BO109" i="11"/>
  <c r="AN109" i="11"/>
  <c r="BN109" i="11"/>
  <c r="AM109" i="11"/>
  <c r="BL109" i="11"/>
  <c r="AL109" i="11"/>
  <c r="BH109" i="11"/>
  <c r="AJ109" i="11"/>
  <c r="BF109" i="11"/>
  <c r="AI109" i="11"/>
  <c r="BE109" i="11"/>
  <c r="AH109" i="11"/>
  <c r="BD109" i="11"/>
  <c r="AF109" i="11"/>
  <c r="BC109" i="11"/>
  <c r="BB109" i="11"/>
  <c r="AZ109" i="11"/>
  <c r="BV109" i="11"/>
  <c r="AY109" i="11"/>
  <c r="BU109" i="11"/>
  <c r="AX109" i="11"/>
  <c r="BT109" i="11"/>
  <c r="AV109" i="11"/>
  <c r="BS109" i="11"/>
  <c r="BR109" i="11"/>
  <c r="AR109" i="11"/>
  <c r="BP109" i="11"/>
  <c r="AP109" i="11"/>
  <c r="AO109" i="11"/>
  <c r="BV146" i="11"/>
  <c r="BF146" i="11"/>
  <c r="AP146" i="11"/>
  <c r="BT146" i="11"/>
  <c r="BD146" i="11"/>
  <c r="AN146" i="11"/>
  <c r="BS146" i="11"/>
  <c r="BC146" i="11"/>
  <c r="BN146" i="11"/>
  <c r="AX146" i="11"/>
  <c r="AH146" i="11"/>
  <c r="BM146" i="11"/>
  <c r="AW146" i="11"/>
  <c r="AG146" i="11"/>
  <c r="BO146" i="11"/>
  <c r="AR146" i="11"/>
  <c r="BL146" i="11"/>
  <c r="AQ146" i="11"/>
  <c r="BK146" i="11"/>
  <c r="AO146" i="11"/>
  <c r="BJ146" i="11"/>
  <c r="AM146" i="11"/>
  <c r="BI146" i="11"/>
  <c r="AL146" i="11"/>
  <c r="BH146" i="11"/>
  <c r="AK146" i="11"/>
  <c r="BG146" i="11"/>
  <c r="AJ146" i="11"/>
  <c r="BE146" i="11"/>
  <c r="AI146" i="11"/>
  <c r="BB146" i="11"/>
  <c r="AF146" i="11"/>
  <c r="BA146" i="11"/>
  <c r="AZ146" i="11"/>
  <c r="BW146" i="11"/>
  <c r="AY146" i="11"/>
  <c r="BU146" i="11"/>
  <c r="BR146" i="11"/>
  <c r="BQ146" i="11"/>
  <c r="BP146" i="11"/>
  <c r="AV146" i="11"/>
  <c r="AU146" i="11"/>
  <c r="AT146" i="11"/>
  <c r="AS146" i="11"/>
  <c r="AZ45" i="6"/>
  <c r="AZ37" i="6"/>
  <c r="AZ18" i="6"/>
  <c r="AZ21" i="6" s="1"/>
  <c r="AZ52" i="6"/>
  <c r="AZ55" i="6" s="1"/>
  <c r="BL33" i="11"/>
  <c r="AV33" i="11"/>
  <c r="AF33" i="11"/>
  <c r="BK33" i="11"/>
  <c r="AU33" i="11"/>
  <c r="BJ33" i="11"/>
  <c r="AT33" i="11"/>
  <c r="BV33" i="11"/>
  <c r="BF33" i="11"/>
  <c r="AP33" i="11"/>
  <c r="BS33" i="11"/>
  <c r="BC33" i="11"/>
  <c r="AM33" i="11"/>
  <c r="BR33" i="11"/>
  <c r="BB33" i="11"/>
  <c r="AL33" i="11"/>
  <c r="BA33" i="11"/>
  <c r="AZ33" i="11"/>
  <c r="AY33" i="11"/>
  <c r="BW33" i="11"/>
  <c r="AX33" i="11"/>
  <c r="BU33" i="11"/>
  <c r="AW33" i="11"/>
  <c r="BT33" i="11"/>
  <c r="AS33" i="11"/>
  <c r="BQ33" i="11"/>
  <c r="AR33" i="11"/>
  <c r="BP33" i="11"/>
  <c r="AQ33" i="11"/>
  <c r="BO33" i="11"/>
  <c r="AO33" i="11"/>
  <c r="BN33" i="11"/>
  <c r="AN33" i="11"/>
  <c r="BM33" i="11"/>
  <c r="AK33" i="11"/>
  <c r="BI33" i="11"/>
  <c r="AJ33" i="11"/>
  <c r="BH33" i="11"/>
  <c r="AI33" i="11"/>
  <c r="BD33" i="11"/>
  <c r="AH33" i="11"/>
  <c r="AG33" i="11"/>
  <c r="BG33" i="11"/>
  <c r="BE33" i="11"/>
  <c r="G79" i="4"/>
  <c r="F79" i="4"/>
  <c r="BP144" i="11"/>
  <c r="AZ144" i="11"/>
  <c r="AJ144" i="11"/>
  <c r="BN144" i="11"/>
  <c r="AX144" i="11"/>
  <c r="AH144" i="11"/>
  <c r="BH144" i="11"/>
  <c r="AP144" i="11"/>
  <c r="BG144" i="11"/>
  <c r="AO144" i="11"/>
  <c r="BF144" i="11"/>
  <c r="AN144" i="11"/>
  <c r="BW144" i="11"/>
  <c r="BE144" i="11"/>
  <c r="AM144" i="11"/>
  <c r="BV144" i="11"/>
  <c r="BD144" i="11"/>
  <c r="AL144" i="11"/>
  <c r="BU144" i="11"/>
  <c r="BC144" i="11"/>
  <c r="AK144" i="11"/>
  <c r="BT144" i="11"/>
  <c r="BB144" i="11"/>
  <c r="AI144" i="11"/>
  <c r="BS144" i="11"/>
  <c r="BA144" i="11"/>
  <c r="AG144" i="11"/>
  <c r="BR144" i="11"/>
  <c r="AY144" i="11"/>
  <c r="AF144" i="11"/>
  <c r="BQ144" i="11"/>
  <c r="AW144" i="11"/>
  <c r="BO144" i="11"/>
  <c r="AV144" i="11"/>
  <c r="BM144" i="11"/>
  <c r="AU144" i="11"/>
  <c r="BK144" i="11"/>
  <c r="BJ144" i="11"/>
  <c r="BI144" i="11"/>
  <c r="AT144" i="11"/>
  <c r="AS144" i="11"/>
  <c r="AR144" i="11"/>
  <c r="AQ144" i="11"/>
  <c r="BL144" i="11"/>
  <c r="J15" i="3"/>
  <c r="J16" i="3" s="1"/>
  <c r="H15" i="3"/>
  <c r="H16" i="3" s="1"/>
  <c r="F16" i="4"/>
  <c r="G16" i="4"/>
  <c r="P56" i="2"/>
  <c r="BM36" i="11"/>
  <c r="AW36" i="11"/>
  <c r="AG36" i="11"/>
  <c r="BL36" i="11"/>
  <c r="AV36" i="11"/>
  <c r="AF36" i="11"/>
  <c r="BK36" i="11"/>
  <c r="AU36" i="11"/>
  <c r="BI36" i="11"/>
  <c r="AS36" i="11"/>
  <c r="BH36" i="11"/>
  <c r="AR36" i="11"/>
  <c r="BW36" i="11"/>
  <c r="BG36" i="11"/>
  <c r="AQ36" i="11"/>
  <c r="BV36" i="11"/>
  <c r="BF36" i="11"/>
  <c r="AP36" i="11"/>
  <c r="BT36" i="11"/>
  <c r="BD36" i="11"/>
  <c r="AN36" i="11"/>
  <c r="BS36" i="11"/>
  <c r="BC36" i="11"/>
  <c r="AM36" i="11"/>
  <c r="BR36" i="11"/>
  <c r="AJ36" i="11"/>
  <c r="BQ36" i="11"/>
  <c r="AI36" i="11"/>
  <c r="BP36" i="11"/>
  <c r="AH36" i="11"/>
  <c r="BO36" i="11"/>
  <c r="BN36" i="11"/>
  <c r="BJ36" i="11"/>
  <c r="BE36" i="11"/>
  <c r="BB36" i="11"/>
  <c r="BA36" i="11"/>
  <c r="AZ36" i="11"/>
  <c r="AY36" i="11"/>
  <c r="AX36" i="11"/>
  <c r="AT36" i="11"/>
  <c r="BU36" i="11"/>
  <c r="AO36" i="11"/>
  <c r="AL36" i="11"/>
  <c r="AK36" i="11"/>
  <c r="D15" i="3"/>
  <c r="D16" i="3" s="1"/>
  <c r="D19" i="3"/>
  <c r="E36" i="5"/>
  <c r="E38" i="5" s="1"/>
  <c r="BW13" i="11"/>
  <c r="AZ39" i="6"/>
  <c r="BS114" i="11"/>
  <c r="BC114" i="11"/>
  <c r="AM114" i="11"/>
  <c r="BR114" i="11"/>
  <c r="BB114" i="11"/>
  <c r="AL114" i="11"/>
  <c r="BQ114" i="11"/>
  <c r="BA114" i="11"/>
  <c r="AK114" i="11"/>
  <c r="BP114" i="11"/>
  <c r="AZ114" i="11"/>
  <c r="AJ114" i="11"/>
  <c r="BO114" i="11"/>
  <c r="AY114" i="11"/>
  <c r="AI114" i="11"/>
  <c r="BN114" i="11"/>
  <c r="AX114" i="11"/>
  <c r="AH114" i="11"/>
  <c r="BM114" i="11"/>
  <c r="AW114" i="11"/>
  <c r="AG114" i="11"/>
  <c r="BL114" i="11"/>
  <c r="AV114" i="11"/>
  <c r="AF114" i="11"/>
  <c r="BJ114" i="11"/>
  <c r="AT114" i="11"/>
  <c r="BI114" i="11"/>
  <c r="AS114" i="11"/>
  <c r="BH114" i="11"/>
  <c r="AR114" i="11"/>
  <c r="BW114" i="11"/>
  <c r="BG114" i="11"/>
  <c r="AQ114" i="11"/>
  <c r="BV114" i="11"/>
  <c r="BU114" i="11"/>
  <c r="BT114" i="11"/>
  <c r="BK114" i="11"/>
  <c r="BF114" i="11"/>
  <c r="BE114" i="11"/>
  <c r="BD114" i="11"/>
  <c r="AU114" i="11"/>
  <c r="AP114" i="11"/>
  <c r="AO114" i="11"/>
  <c r="AN114" i="11"/>
  <c r="BW177" i="12"/>
  <c r="BW176" i="12"/>
  <c r="BW128" i="12" a="1"/>
  <c r="BW128" i="12" s="1"/>
  <c r="BW92" i="12"/>
  <c r="BW80" i="12" a="1"/>
  <c r="BW80" i="12" s="1"/>
  <c r="BW78" i="12" a="1"/>
  <c r="BW78" i="12" s="1"/>
  <c r="BW96" i="12"/>
  <c r="BW69" i="12" a="1"/>
  <c r="BW69" i="12" s="1"/>
  <c r="BW68" i="12" a="1"/>
  <c r="BW68" i="12" s="1"/>
  <c r="BW70" i="12" a="1"/>
  <c r="BW70" i="12" s="1"/>
  <c r="BW77" i="12" a="1"/>
  <c r="BW77" i="12" s="1"/>
  <c r="BW49" i="12" a="1"/>
  <c r="BW49" i="12" s="1"/>
  <c r="BW50" i="12" a="1"/>
  <c r="BW50" i="12" s="1"/>
  <c r="BW48" i="12" a="1"/>
  <c r="BW48" i="12" s="1"/>
  <c r="BW24" i="12" a="1"/>
  <c r="BW24" i="12" s="1"/>
  <c r="BW28" i="12" a="1"/>
  <c r="BW28" i="12" s="1"/>
  <c r="BW27" i="12" a="1"/>
  <c r="BW27" i="12" s="1"/>
  <c r="BW26" i="12" a="1"/>
  <c r="BW26" i="12" s="1"/>
  <c r="BW12" i="12" a="1"/>
  <c r="BW12" i="12" s="1"/>
  <c r="BW11" i="12" a="1"/>
  <c r="BW11" i="12" s="1"/>
  <c r="BW10" i="12" a="1"/>
  <c r="BW10" i="12" s="1"/>
  <c r="K126" i="4"/>
  <c r="N125" i="4"/>
  <c r="B59" i="12"/>
  <c r="L117" i="4"/>
  <c r="B54" i="12"/>
  <c r="B49" i="12"/>
  <c r="K119" i="4"/>
  <c r="B129" i="12"/>
  <c r="B24" i="12"/>
  <c r="B58" i="12"/>
  <c r="B116" i="12"/>
  <c r="B4" i="12"/>
  <c r="B60" i="12"/>
  <c r="M117" i="4"/>
  <c r="B77" i="12"/>
  <c r="B26" i="12"/>
  <c r="B78" i="12"/>
  <c r="B136" i="12"/>
  <c r="B28" i="12"/>
  <c r="B41" i="12"/>
  <c r="B115" i="12"/>
  <c r="B55" i="12"/>
  <c r="B14" i="12"/>
  <c r="B79" i="12"/>
  <c r="B57" i="12"/>
  <c r="B69" i="12"/>
  <c r="K31" i="4"/>
  <c r="L125" i="4"/>
  <c r="B44" i="12"/>
  <c r="B34" i="12"/>
  <c r="B135" i="12"/>
  <c r="B146" i="12"/>
  <c r="B33" i="12"/>
  <c r="B45" i="12"/>
  <c r="B52" i="12"/>
  <c r="B70" i="12"/>
  <c r="B73" i="12"/>
  <c r="B27" i="12"/>
  <c r="B114" i="12"/>
  <c r="B38" i="12"/>
  <c r="B145" i="12"/>
  <c r="B11" i="12"/>
  <c r="B110" i="12"/>
  <c r="B125" i="12"/>
  <c r="B50" i="12"/>
  <c r="B48" i="12"/>
  <c r="B82" i="12"/>
  <c r="B134" i="12"/>
  <c r="B109" i="12"/>
  <c r="B10" i="12"/>
  <c r="B53" i="12"/>
  <c r="B80" i="12"/>
  <c r="B35" i="12"/>
  <c r="B68" i="12"/>
  <c r="B36" i="12"/>
  <c r="B12" i="12"/>
  <c r="H4" i="5" a="1"/>
  <c r="H4" i="5" s="1"/>
  <c r="B17" i="12"/>
  <c r="K117" i="4"/>
  <c r="B144" i="12"/>
  <c r="N39" i="4"/>
  <c r="L16" i="4"/>
  <c r="K74" i="4"/>
  <c r="K45" i="4" a="1"/>
  <c r="K45" i="4" s="1"/>
  <c r="L8" i="4"/>
  <c r="K8" i="4"/>
  <c r="F4" i="5" a="1"/>
  <c r="F4" i="5" s="1"/>
  <c r="K81" i="4"/>
  <c r="K79" i="4"/>
  <c r="L94" i="4"/>
  <c r="K71" i="4"/>
  <c r="K22" i="4" a="1"/>
  <c r="K22" i="4" s="1"/>
  <c r="L79" i="4"/>
  <c r="K73" i="4"/>
  <c r="K17" i="4"/>
  <c r="J4" i="5" a="1"/>
  <c r="J4" i="5" s="1"/>
  <c r="K40" i="4"/>
  <c r="K85" i="4" a="1"/>
  <c r="K85" i="4" s="1"/>
  <c r="K80" i="4"/>
  <c r="K39" i="4"/>
  <c r="M31" i="4"/>
  <c r="N31" i="4"/>
  <c r="K131" i="4" a="1"/>
  <c r="K131" i="4" s="1"/>
  <c r="L71" i="4"/>
  <c r="K34" i="4"/>
  <c r="L102" i="4"/>
  <c r="K33" i="4"/>
  <c r="L39" i="4"/>
  <c r="L31" i="4"/>
  <c r="M39" i="4"/>
  <c r="M125" i="4"/>
  <c r="K41" i="4"/>
  <c r="G4" i="5" a="1"/>
  <c r="G4" i="5" s="1"/>
  <c r="I4" i="5" a="1"/>
  <c r="I4" i="5" s="1"/>
  <c r="K4" i="5" a="1"/>
  <c r="K4" i="5" s="1"/>
  <c r="L4" i="5" a="1"/>
  <c r="L4" i="5" s="1"/>
  <c r="N4" i="5" a="1"/>
  <c r="N4" i="5" s="1"/>
  <c r="M4" i="5" a="1"/>
  <c r="M4" i="5" s="1"/>
  <c r="O4" i="5" a="1"/>
  <c r="O4" i="5" s="1"/>
  <c r="P4" i="5" a="1"/>
  <c r="P4" i="5" s="1"/>
  <c r="Q4" i="5" a="1"/>
  <c r="Q4" i="5" s="1"/>
  <c r="R4" i="5" a="1"/>
  <c r="R4" i="5" s="1"/>
  <c r="S4" i="5" a="1"/>
  <c r="S4" i="5" s="1"/>
  <c r="T4" i="5" a="1"/>
  <c r="T4" i="5" s="1"/>
  <c r="X4" i="5" a="1"/>
  <c r="X4" i="5" s="1"/>
  <c r="U4" i="5" a="1"/>
  <c r="U4" i="5" s="1"/>
  <c r="V4" i="5" a="1"/>
  <c r="V4" i="5" s="1"/>
  <c r="W4" i="5" a="1"/>
  <c r="W4" i="5" s="1"/>
  <c r="Z4" i="5" a="1"/>
  <c r="Z4" i="5" s="1"/>
  <c r="Y4" i="5" a="1"/>
  <c r="Y4" i="5" s="1"/>
  <c r="G102" i="4"/>
  <c r="F102" i="4"/>
  <c r="BU11" i="13"/>
  <c r="BV2" i="13"/>
  <c r="BU25" i="13"/>
  <c r="BU5" i="13"/>
  <c r="G15" i="3"/>
  <c r="G16" i="3" s="1"/>
  <c r="C29" i="5"/>
  <c r="AM17" i="11"/>
  <c r="AM18" i="11" s="1"/>
  <c r="AM19" i="11" s="1"/>
  <c r="AL17" i="11"/>
  <c r="AL18" i="11" s="1"/>
  <c r="AL19" i="11" s="1"/>
  <c r="AZ17" i="11"/>
  <c r="AZ18" i="11" s="1"/>
  <c r="AJ17" i="11"/>
  <c r="AJ18" i="11" s="1"/>
  <c r="AY17" i="11"/>
  <c r="AY18" i="11" s="1"/>
  <c r="AI17" i="11"/>
  <c r="AI18" i="11" s="1"/>
  <c r="AX17" i="11"/>
  <c r="AX18" i="11" s="1"/>
  <c r="AH17" i="11"/>
  <c r="AH18" i="11" s="1"/>
  <c r="AW17" i="11"/>
  <c r="AW18" i="11" s="1"/>
  <c r="AW19" i="11" s="1"/>
  <c r="AG17" i="11"/>
  <c r="AG18" i="11" s="1"/>
  <c r="AV17" i="11"/>
  <c r="AV18" i="11" s="1"/>
  <c r="AF17" i="11"/>
  <c r="AF18" i="11" s="1"/>
  <c r="AU17" i="11"/>
  <c r="AU18" i="11" s="1"/>
  <c r="AT17" i="11"/>
  <c r="AT18" i="11" s="1"/>
  <c r="AT19" i="11" s="1"/>
  <c r="AS17" i="11"/>
  <c r="AS18" i="11" s="1"/>
  <c r="AS19" i="11" s="1"/>
  <c r="AR17" i="11"/>
  <c r="AR18" i="11" s="1"/>
  <c r="AQ17" i="11"/>
  <c r="AQ18" i="11" s="1"/>
  <c r="AQ19" i="11" s="1"/>
  <c r="AP17" i="11"/>
  <c r="AP18" i="11" s="1"/>
  <c r="AO17" i="11"/>
  <c r="AO18" i="11" s="1"/>
  <c r="AO19" i="11" s="1"/>
  <c r="AK17" i="11"/>
  <c r="AK18" i="11" s="1"/>
  <c r="AN17" i="11"/>
  <c r="AN18" i="11" s="1"/>
  <c r="D36" i="5"/>
  <c r="D38" i="5" s="1"/>
  <c r="D82" i="4"/>
  <c r="F144" i="4"/>
  <c r="BA66" i="12"/>
  <c r="BA66" i="11"/>
  <c r="S28" i="2"/>
  <c r="R28" i="2"/>
  <c r="F58" i="4"/>
  <c r="U8" i="4"/>
  <c r="T8" i="4"/>
  <c r="G39" i="3"/>
  <c r="R26" i="2"/>
  <c r="S26" i="2"/>
  <c r="Q29" i="2"/>
  <c r="P73" i="2"/>
  <c r="BH44" i="11"/>
  <c r="AR44" i="11"/>
  <c r="AR46" i="11" s="1"/>
  <c r="BW44" i="11"/>
  <c r="BG44" i="11"/>
  <c r="AQ44" i="11"/>
  <c r="BV44" i="11"/>
  <c r="BF44" i="11"/>
  <c r="AP44" i="11"/>
  <c r="BU44" i="11"/>
  <c r="BE44" i="11"/>
  <c r="AO44" i="11"/>
  <c r="BT44" i="11"/>
  <c r="BD44" i="11"/>
  <c r="BD46" i="11" s="1"/>
  <c r="AN44" i="11"/>
  <c r="BS44" i="11"/>
  <c r="BS46" i="11" s="1"/>
  <c r="BC44" i="11"/>
  <c r="BC46" i="11" s="1"/>
  <c r="AM44" i="11"/>
  <c r="AM46" i="11" s="1"/>
  <c r="BR44" i="11"/>
  <c r="BB44" i="11"/>
  <c r="AL44" i="11"/>
  <c r="BQ44" i="11"/>
  <c r="BA44" i="11"/>
  <c r="AK44" i="11"/>
  <c r="BP44" i="11"/>
  <c r="AZ44" i="11"/>
  <c r="AJ44" i="11"/>
  <c r="BO44" i="11"/>
  <c r="AY44" i="11"/>
  <c r="AI44" i="11"/>
  <c r="BN44" i="11"/>
  <c r="BN46" i="11" s="1"/>
  <c r="AX44" i="11"/>
  <c r="AH44" i="11"/>
  <c r="AH46" i="11" s="1"/>
  <c r="BM44" i="11"/>
  <c r="AW44" i="11"/>
  <c r="AG44" i="11"/>
  <c r="BL44" i="11"/>
  <c r="AV44" i="11"/>
  <c r="AF44" i="11"/>
  <c r="AF46" i="11" s="1"/>
  <c r="BK44" i="11"/>
  <c r="BJ44" i="11"/>
  <c r="BJ46" i="11" s="1"/>
  <c r="BI44" i="11"/>
  <c r="BI46" i="11" s="1"/>
  <c r="AU44" i="11"/>
  <c r="AT44" i="11"/>
  <c r="AS44" i="11"/>
  <c r="BP125" i="11"/>
  <c r="AZ125" i="11"/>
  <c r="AJ125" i="11"/>
  <c r="BN125" i="11"/>
  <c r="AX125" i="11"/>
  <c r="AH125" i="11"/>
  <c r="BL125" i="11"/>
  <c r="AV125" i="11"/>
  <c r="AF125" i="11"/>
  <c r="BH125" i="11"/>
  <c r="AR125" i="11"/>
  <c r="BW125" i="11"/>
  <c r="BG125" i="11"/>
  <c r="AQ125" i="11"/>
  <c r="BC125" i="11"/>
  <c r="BB125" i="11"/>
  <c r="BV125" i="11"/>
  <c r="BA125" i="11"/>
  <c r="BU125" i="11"/>
  <c r="AY125" i="11"/>
  <c r="BT125" i="11"/>
  <c r="AW125" i="11"/>
  <c r="BS125" i="11"/>
  <c r="AU125" i="11"/>
  <c r="BR125" i="11"/>
  <c r="AT125" i="11"/>
  <c r="BQ125" i="11"/>
  <c r="AS125" i="11"/>
  <c r="BO125" i="11"/>
  <c r="AP125" i="11"/>
  <c r="BM125" i="11"/>
  <c r="AO125" i="11"/>
  <c r="BK125" i="11"/>
  <c r="AN125" i="11"/>
  <c r="BJ125" i="11"/>
  <c r="AM125" i="11"/>
  <c r="BI125" i="11"/>
  <c r="AL125" i="11"/>
  <c r="BD125" i="11"/>
  <c r="AK125" i="11"/>
  <c r="AI125" i="11"/>
  <c r="AG125" i="11"/>
  <c r="BF125" i="11"/>
  <c r="BE125" i="11"/>
  <c r="D145" i="4"/>
  <c r="BA67" i="7"/>
  <c r="BA68" i="7" s="1"/>
  <c r="BA4" i="12" a="1"/>
  <c r="BA4" i="12" s="1"/>
  <c r="BA5" i="12" s="1"/>
  <c r="BV71" i="12"/>
  <c r="BJ60" i="11"/>
  <c r="AT60" i="11"/>
  <c r="BI60" i="11"/>
  <c r="AS60" i="11"/>
  <c r="BH60" i="11"/>
  <c r="AR60" i="11"/>
  <c r="BW60" i="11"/>
  <c r="BG60" i="11"/>
  <c r="AQ60" i="11"/>
  <c r="BV60" i="11"/>
  <c r="BF60" i="11"/>
  <c r="AP60" i="11"/>
  <c r="BP60" i="11"/>
  <c r="AZ60" i="11"/>
  <c r="AJ60" i="11"/>
  <c r="BN60" i="11"/>
  <c r="AX60" i="11"/>
  <c r="BT60" i="11"/>
  <c r="AU60" i="11"/>
  <c r="BS60" i="11"/>
  <c r="AO60" i="11"/>
  <c r="BR60" i="11"/>
  <c r="AN60" i="11"/>
  <c r="BQ60" i="11"/>
  <c r="AM60" i="11"/>
  <c r="BO60" i="11"/>
  <c r="AL60" i="11"/>
  <c r="BM60" i="11"/>
  <c r="AK60" i="11"/>
  <c r="BL60" i="11"/>
  <c r="AI60" i="11"/>
  <c r="BK60" i="11"/>
  <c r="BE60" i="11"/>
  <c r="BD60" i="11"/>
  <c r="BC60" i="11"/>
  <c r="BB60" i="11"/>
  <c r="BA60" i="11"/>
  <c r="BU60" i="11"/>
  <c r="AY60" i="11"/>
  <c r="AW60" i="11"/>
  <c r="AV60" i="11"/>
  <c r="R19" i="3"/>
  <c r="R15" i="3"/>
  <c r="R16" i="3" s="1"/>
  <c r="L15" i="3"/>
  <c r="L16" i="3" s="1"/>
  <c r="K15" i="3"/>
  <c r="K16" i="3" s="1"/>
  <c r="K19" i="3"/>
  <c r="BN134" i="11"/>
  <c r="AX134" i="11"/>
  <c r="AH134" i="11"/>
  <c r="BL134" i="11"/>
  <c r="AV134" i="11"/>
  <c r="AF134" i="11"/>
  <c r="BK134" i="11"/>
  <c r="AU134" i="11"/>
  <c r="BJ134" i="11"/>
  <c r="AT134" i="11"/>
  <c r="BI134" i="11"/>
  <c r="AS134" i="11"/>
  <c r="BH134" i="11"/>
  <c r="AR134" i="11"/>
  <c r="BW134" i="11"/>
  <c r="BG134" i="11"/>
  <c r="AQ134" i="11"/>
  <c r="BV134" i="11"/>
  <c r="BF134" i="11"/>
  <c r="AP134" i="11"/>
  <c r="BU134" i="11"/>
  <c r="BE134" i="11"/>
  <c r="AO134" i="11"/>
  <c r="AW134" i="11"/>
  <c r="AN134" i="11"/>
  <c r="AM134" i="11"/>
  <c r="BT134" i="11"/>
  <c r="AL134" i="11"/>
  <c r="BS134" i="11"/>
  <c r="AK134" i="11"/>
  <c r="BR134" i="11"/>
  <c r="AJ134" i="11"/>
  <c r="BQ134" i="11"/>
  <c r="AI134" i="11"/>
  <c r="BP134" i="11"/>
  <c r="AG134" i="11"/>
  <c r="BO134" i="11"/>
  <c r="BM134" i="11"/>
  <c r="BD134" i="11"/>
  <c r="BC134" i="11"/>
  <c r="BB134" i="11"/>
  <c r="BA134" i="11"/>
  <c r="AZ134" i="11"/>
  <c r="AY134" i="11"/>
  <c r="D60" i="4"/>
  <c r="BK145" i="11"/>
  <c r="AU145" i="11"/>
  <c r="BI145" i="11"/>
  <c r="AS145" i="11"/>
  <c r="BS145" i="11"/>
  <c r="BC145" i="11"/>
  <c r="AM145" i="11"/>
  <c r="BR145" i="11"/>
  <c r="BB145" i="11"/>
  <c r="AL145" i="11"/>
  <c r="BG145" i="11"/>
  <c r="AK145" i="11"/>
  <c r="BF145" i="11"/>
  <c r="AJ145" i="11"/>
  <c r="BE145" i="11"/>
  <c r="AI145" i="11"/>
  <c r="BD145" i="11"/>
  <c r="AH145" i="11"/>
  <c r="BW145" i="11"/>
  <c r="BA145" i="11"/>
  <c r="AG145" i="11"/>
  <c r="BV145" i="11"/>
  <c r="AZ145" i="11"/>
  <c r="AF145" i="11"/>
  <c r="BU145" i="11"/>
  <c r="AY145" i="11"/>
  <c r="BT145" i="11"/>
  <c r="AX145" i="11"/>
  <c r="BQ145" i="11"/>
  <c r="AW145" i="11"/>
  <c r="BP145" i="11"/>
  <c r="AV145" i="11"/>
  <c r="BO145" i="11"/>
  <c r="AT145" i="11"/>
  <c r="BN145" i="11"/>
  <c r="AR145" i="11"/>
  <c r="AP145" i="11"/>
  <c r="AO145" i="11"/>
  <c r="AN145" i="11"/>
  <c r="BM145" i="11"/>
  <c r="BL145" i="11"/>
  <c r="BJ145" i="11"/>
  <c r="BH145" i="11"/>
  <c r="AQ145" i="11"/>
  <c r="BH110" i="11"/>
  <c r="AR110" i="11"/>
  <c r="BW110" i="11"/>
  <c r="BG110" i="11"/>
  <c r="BV110" i="11"/>
  <c r="BF110" i="11"/>
  <c r="AP110" i="11"/>
  <c r="BU110" i="11"/>
  <c r="BE110" i="11"/>
  <c r="AO110" i="11"/>
  <c r="BT110" i="11"/>
  <c r="BD110" i="11"/>
  <c r="AN110" i="11"/>
  <c r="BR110" i="11"/>
  <c r="BB110" i="11"/>
  <c r="AL110" i="11"/>
  <c r="BQ110" i="11"/>
  <c r="BA110" i="11"/>
  <c r="AK110" i="11"/>
  <c r="BO110" i="11"/>
  <c r="AY110" i="11"/>
  <c r="AI110" i="11"/>
  <c r="BM110" i="11"/>
  <c r="AW110" i="11"/>
  <c r="AG110" i="11"/>
  <c r="BL110" i="11"/>
  <c r="AV110" i="11"/>
  <c r="AF110" i="11"/>
  <c r="AF167" i="11" s="1"/>
  <c r="BK110" i="11"/>
  <c r="BJ110" i="11"/>
  <c r="BI110" i="11"/>
  <c r="BC110" i="11"/>
  <c r="AZ110" i="11"/>
  <c r="AX110" i="11"/>
  <c r="AU110" i="11"/>
  <c r="AT110" i="11"/>
  <c r="AS110" i="11"/>
  <c r="AQ110" i="11"/>
  <c r="AM110" i="11"/>
  <c r="AJ110" i="11"/>
  <c r="AH110" i="11"/>
  <c r="AH167" i="11" s="1"/>
  <c r="BS110" i="11"/>
  <c r="BP110" i="11"/>
  <c r="BN110" i="11"/>
  <c r="Q49" i="2"/>
  <c r="Q74" i="2" s="1"/>
  <c r="Q71" i="2"/>
  <c r="BW29" i="11"/>
  <c r="BW30" i="11" s="1"/>
  <c r="BW161" i="11"/>
  <c r="BW130" i="11"/>
  <c r="BW131" i="11" s="1"/>
  <c r="AZ40" i="7"/>
  <c r="AZ64" i="7"/>
  <c r="AZ65" i="7" s="1"/>
  <c r="BV3" i="6" a="1"/>
  <c r="BV3" i="6" s="1"/>
  <c r="E38" i="3"/>
  <c r="E39" i="3" s="1"/>
  <c r="C43" i="5" a="1"/>
  <c r="C43" i="5" s="1"/>
  <c r="E115" i="4" a="1"/>
  <c r="E115" i="4" s="1"/>
  <c r="E18" i="3" a="1"/>
  <c r="E18" i="3" s="1"/>
  <c r="F41" i="5" a="1"/>
  <c r="F41" i="5" s="1"/>
  <c r="B18" i="3" a="1"/>
  <c r="B18" i="3" s="1"/>
  <c r="D18" i="3" a="1"/>
  <c r="D18" i="3" s="1"/>
  <c r="D48" i="3" a="1"/>
  <c r="D48" i="3" s="1"/>
  <c r="D49" i="3" s="1"/>
  <c r="D4" i="3" a="1"/>
  <c r="D4" i="3" s="1"/>
  <c r="D5" i="3" s="1"/>
  <c r="E22" i="3" a="1"/>
  <c r="E22" i="3" s="1"/>
  <c r="E23" i="3" s="1"/>
  <c r="E24" i="3" s="1"/>
  <c r="G29" i="4" a="1"/>
  <c r="G29" i="4" s="1"/>
  <c r="B22" i="3" a="1"/>
  <c r="B22" i="3" s="1"/>
  <c r="C22" i="3" a="1"/>
  <c r="C22" i="3" s="1"/>
  <c r="C23" i="3" s="1"/>
  <c r="C24" i="3" s="1"/>
  <c r="D42" i="5" a="1"/>
  <c r="D42" i="5" s="1"/>
  <c r="E17" i="15" a="1"/>
  <c r="E17" i="15" s="1"/>
  <c r="E29" i="4" a="1"/>
  <c r="E29" i="4" s="1"/>
  <c r="D24" i="15" a="1"/>
  <c r="D24" i="15" s="1"/>
  <c r="E11" i="15" a="1"/>
  <c r="E11" i="15" s="1"/>
  <c r="C41" i="5" a="1"/>
  <c r="C41" i="5" s="1"/>
  <c r="D41" i="5" a="1"/>
  <c r="D41" i="5" s="1"/>
  <c r="E48" i="3" a="1"/>
  <c r="E48" i="3" s="1"/>
  <c r="E49" i="3" s="1"/>
  <c r="H38" i="3"/>
  <c r="D6" i="4" a="1"/>
  <c r="D6" i="4" s="1"/>
  <c r="D45" i="5" a="1"/>
  <c r="D45" i="5" s="1"/>
  <c r="C44" i="5" a="1"/>
  <c r="C44" i="5" s="1"/>
  <c r="D44" i="5" a="1"/>
  <c r="D44" i="5" s="1"/>
  <c r="D115" i="4" a="1"/>
  <c r="D115" i="4" s="1"/>
  <c r="D43" i="5" a="1"/>
  <c r="D43" i="5" s="1"/>
  <c r="F29" i="4" a="1"/>
  <c r="F29" i="4" s="1"/>
  <c r="F115" i="4" a="1"/>
  <c r="F115" i="4" s="1"/>
  <c r="D22" i="3" a="1"/>
  <c r="D22" i="3" s="1"/>
  <c r="E24" i="15" a="1"/>
  <c r="E24" i="15" s="1"/>
  <c r="C18" i="3" a="1"/>
  <c r="C18" i="3" s="1"/>
  <c r="D38" i="3"/>
  <c r="D39" i="3" s="1"/>
  <c r="C38" i="3"/>
  <c r="C39" i="3" s="1"/>
  <c r="E92" i="4" a="1"/>
  <c r="E92" i="4" s="1"/>
  <c r="C42" i="5" a="1"/>
  <c r="C42" i="5" s="1"/>
  <c r="F51" i="3"/>
  <c r="D51" i="3"/>
  <c r="R6" i="4" a="1"/>
  <c r="R6" i="4" s="1"/>
  <c r="E51" i="3"/>
  <c r="E52" i="3" s="1"/>
  <c r="E53" i="3" s="1"/>
  <c r="E42" i="5" a="1"/>
  <c r="E42" i="5" s="1"/>
  <c r="D69" i="4" a="1"/>
  <c r="D69" i="4" s="1"/>
  <c r="F48" i="3" a="1"/>
  <c r="F48" i="3" s="1"/>
  <c r="F49" i="3" s="1"/>
  <c r="C51" i="3"/>
  <c r="C52" i="3" s="1"/>
  <c r="C53" i="3" s="1"/>
  <c r="F38" i="3"/>
  <c r="E10" i="15" a="1"/>
  <c r="E10" i="15" s="1"/>
  <c r="E43" i="5" a="1"/>
  <c r="E43" i="5" s="1"/>
  <c r="E69" i="4" a="1"/>
  <c r="E69" i="4" s="1"/>
  <c r="Q36" i="2" a="1"/>
  <c r="Q36" i="2" s="1"/>
  <c r="E4" i="3" a="1"/>
  <c r="E4" i="3" s="1"/>
  <c r="C45" i="5" a="1"/>
  <c r="C45" i="5" s="1"/>
  <c r="F44" i="5" a="1"/>
  <c r="F44" i="5" s="1"/>
  <c r="C48" i="3" a="1"/>
  <c r="C48" i="3" s="1"/>
  <c r="G48" i="3" a="1"/>
  <c r="G48" i="3" s="1"/>
  <c r="G49" i="3" s="1"/>
  <c r="H10" i="15" a="1"/>
  <c r="H10" i="15" s="1"/>
  <c r="D29" i="4" a="1"/>
  <c r="D29" i="4" s="1"/>
  <c r="G51" i="3"/>
  <c r="F42" i="5" a="1"/>
  <c r="F42" i="5" s="1"/>
  <c r="F17" i="15" a="1"/>
  <c r="F17" i="15" s="1"/>
  <c r="F31" i="15" s="1"/>
  <c r="G31" i="15" s="1"/>
  <c r="H31" i="15" s="1"/>
  <c r="I31" i="15" s="1"/>
  <c r="J31" i="15" s="1"/>
  <c r="K31" i="15" s="1"/>
  <c r="L31" i="15" s="1"/>
  <c r="M31" i="15" s="1"/>
  <c r="N31" i="15" s="1"/>
  <c r="O31" i="15" s="1"/>
  <c r="P31" i="15" s="1"/>
  <c r="Q31" i="15" s="1"/>
  <c r="F11" i="15" a="1"/>
  <c r="F11" i="15" s="1"/>
  <c r="Q9" i="2" a="1"/>
  <c r="Q9" i="2" s="1"/>
  <c r="G38" i="3"/>
  <c r="F10" i="15" a="1"/>
  <c r="F10" i="15" s="1"/>
  <c r="S36" i="2" a="1"/>
  <c r="S36" i="2" s="1"/>
  <c r="E44" i="5" a="1"/>
  <c r="E44" i="5" s="1"/>
  <c r="R36" i="2" a="1"/>
  <c r="R36" i="2" s="1"/>
  <c r="C4" i="3" a="1"/>
  <c r="C4" i="3" s="1"/>
  <c r="C5" i="3" s="1"/>
  <c r="G10" i="15" a="1"/>
  <c r="G10" i="15" s="1"/>
  <c r="I38" i="3"/>
  <c r="I51" i="3"/>
  <c r="I11" i="15" a="1"/>
  <c r="I11" i="15" s="1"/>
  <c r="H51" i="3"/>
  <c r="H52" i="3" s="1"/>
  <c r="H53" i="3" s="1"/>
  <c r="F4" i="3" a="1"/>
  <c r="F4" i="3" s="1"/>
  <c r="F5" i="3" s="1"/>
  <c r="I45" i="5" a="1"/>
  <c r="I45" i="5" s="1"/>
  <c r="P36" i="2" a="1"/>
  <c r="P36" i="2" s="1"/>
  <c r="E41" i="5" a="1"/>
  <c r="E41" i="5" s="1"/>
  <c r="J17" i="15" a="1"/>
  <c r="J17" i="15" s="1"/>
  <c r="J35" i="15" s="1"/>
  <c r="K35" i="15" s="1"/>
  <c r="L35" i="15" s="1"/>
  <c r="M35" i="15" s="1"/>
  <c r="N35" i="15" s="1"/>
  <c r="O35" i="15" s="1"/>
  <c r="P35" i="15" s="1"/>
  <c r="Q35" i="15" s="1"/>
  <c r="R35" i="15" s="1"/>
  <c r="S35" i="15" s="1"/>
  <c r="T35" i="15" s="1"/>
  <c r="U35" i="15" s="1"/>
  <c r="F45" i="5" a="1"/>
  <c r="F45" i="5" s="1"/>
  <c r="E45" i="5" a="1"/>
  <c r="E45" i="5" s="1"/>
  <c r="H43" i="5" a="1"/>
  <c r="H43" i="5" s="1"/>
  <c r="E6" i="4" a="1"/>
  <c r="E6" i="4" s="1"/>
  <c r="G11" i="15" a="1"/>
  <c r="G11" i="15" s="1"/>
  <c r="J51" i="3"/>
  <c r="G17" i="15" a="1"/>
  <c r="G17" i="15" s="1"/>
  <c r="G32" i="15" s="1"/>
  <c r="H32" i="15" s="1"/>
  <c r="I32" i="15" s="1"/>
  <c r="J32" i="15" s="1"/>
  <c r="K32" i="15" s="1"/>
  <c r="L32" i="15" s="1"/>
  <c r="M32" i="15" s="1"/>
  <c r="N32" i="15" s="1"/>
  <c r="O32" i="15" s="1"/>
  <c r="P32" i="15" s="1"/>
  <c r="Q32" i="15" s="1"/>
  <c r="R32" i="15" s="1"/>
  <c r="H24" i="15" a="1"/>
  <c r="H24" i="15" s="1"/>
  <c r="F24" i="15" a="1"/>
  <c r="F24" i="15" s="1"/>
  <c r="F22" i="3" a="1"/>
  <c r="F22" i="3" s="1"/>
  <c r="F23" i="3" s="1"/>
  <c r="F24" i="3" s="1"/>
  <c r="F43" i="5" a="1"/>
  <c r="F43" i="5" s="1"/>
  <c r="F18" i="3" a="1"/>
  <c r="F18" i="3" s="1"/>
  <c r="F19" i="3" s="1"/>
  <c r="J10" i="15" a="1"/>
  <c r="J10" i="15" s="1"/>
  <c r="G45" i="5" a="1"/>
  <c r="G45" i="5" s="1"/>
  <c r="G4" i="3" a="1"/>
  <c r="G4" i="3" s="1"/>
  <c r="G24" i="15" a="1"/>
  <c r="G24" i="15" s="1"/>
  <c r="H18" i="3" a="1"/>
  <c r="H18" i="3" s="1"/>
  <c r="H19" i="3" s="1"/>
  <c r="J48" i="3" a="1"/>
  <c r="J48" i="3" s="1"/>
  <c r="H44" i="5" a="1"/>
  <c r="H44" i="5" s="1"/>
  <c r="H11" i="15" a="1"/>
  <c r="H11" i="15" s="1"/>
  <c r="J24" i="15" a="1"/>
  <c r="J24" i="15" s="1"/>
  <c r="H48" i="3" a="1"/>
  <c r="H48" i="3" s="1"/>
  <c r="I41" i="5" a="1"/>
  <c r="I41" i="5" s="1"/>
  <c r="L17" i="15" a="1"/>
  <c r="L17" i="15" s="1"/>
  <c r="L37" i="15" s="1"/>
  <c r="M37" i="15" s="1"/>
  <c r="N37" i="15" s="1"/>
  <c r="O37" i="15" s="1"/>
  <c r="P37" i="15" s="1"/>
  <c r="Q37" i="15" s="1"/>
  <c r="R37" i="15" s="1"/>
  <c r="S37" i="15" s="1"/>
  <c r="T37" i="15" s="1"/>
  <c r="U37" i="15" s="1"/>
  <c r="V37" i="15" s="1"/>
  <c r="W37" i="15" s="1"/>
  <c r="H22" i="3" a="1"/>
  <c r="H22" i="3" s="1"/>
  <c r="H23" i="3" s="1"/>
  <c r="H24" i="3" s="1"/>
  <c r="K51" i="3"/>
  <c r="J11" i="15" a="1"/>
  <c r="J11" i="15" s="1"/>
  <c r="K11" i="15" a="1"/>
  <c r="K11" i="15" s="1"/>
  <c r="H4" i="3" a="1"/>
  <c r="H4" i="3" s="1"/>
  <c r="H5" i="3" s="1"/>
  <c r="K22" i="3" a="1"/>
  <c r="K22" i="3" s="1"/>
  <c r="L48" i="3" a="1"/>
  <c r="L48" i="3" s="1"/>
  <c r="H41" i="5" a="1"/>
  <c r="H41" i="5" s="1"/>
  <c r="I22" i="3" a="1"/>
  <c r="I22" i="3" s="1"/>
  <c r="I23" i="3" s="1"/>
  <c r="I24" i="3" s="1"/>
  <c r="H45" i="5" a="1"/>
  <c r="H45" i="5" s="1"/>
  <c r="G22" i="3" a="1"/>
  <c r="G22" i="3" s="1"/>
  <c r="K10" i="15" a="1"/>
  <c r="K10" i="15" s="1"/>
  <c r="I24" i="15" a="1"/>
  <c r="I24" i="15" s="1"/>
  <c r="H42" i="5" a="1"/>
  <c r="H42" i="5" s="1"/>
  <c r="I48" i="3" a="1"/>
  <c r="I48" i="3" s="1"/>
  <c r="I10" i="15" a="1"/>
  <c r="I10" i="15" s="1"/>
  <c r="H17" i="15" a="1"/>
  <c r="H17" i="15" s="1"/>
  <c r="H33" i="15" s="1"/>
  <c r="I33" i="15" s="1"/>
  <c r="J33" i="15" s="1"/>
  <c r="K33" i="15" s="1"/>
  <c r="L33" i="15" s="1"/>
  <c r="M33" i="15" s="1"/>
  <c r="N33" i="15" s="1"/>
  <c r="O33" i="15" s="1"/>
  <c r="P33" i="15" s="1"/>
  <c r="Q33" i="15" s="1"/>
  <c r="R33" i="15" s="1"/>
  <c r="S33" i="15" s="1"/>
  <c r="I17" i="15" a="1"/>
  <c r="I17" i="15" s="1"/>
  <c r="I34" i="15" s="1"/>
  <c r="J34" i="15" s="1"/>
  <c r="K34" i="15" s="1"/>
  <c r="L34" i="15" s="1"/>
  <c r="M34" i="15" s="1"/>
  <c r="N34" i="15" s="1"/>
  <c r="O34" i="15" s="1"/>
  <c r="P34" i="15" s="1"/>
  <c r="Q34" i="15" s="1"/>
  <c r="R34" i="15" s="1"/>
  <c r="S34" i="15" s="1"/>
  <c r="T34" i="15" s="1"/>
  <c r="G41" i="5" a="1"/>
  <c r="G41" i="5" s="1"/>
  <c r="G43" i="5" a="1"/>
  <c r="G43" i="5" s="1"/>
  <c r="I44" i="5" a="1"/>
  <c r="I44" i="5" s="1"/>
  <c r="G42" i="5" a="1"/>
  <c r="G42" i="5" s="1"/>
  <c r="G44" i="5" a="1"/>
  <c r="G44" i="5" s="1"/>
  <c r="J44" i="5" a="1"/>
  <c r="J44" i="5" s="1"/>
  <c r="J43" i="5" a="1"/>
  <c r="J43" i="5" s="1"/>
  <c r="K41" i="5" a="1"/>
  <c r="K41" i="5" s="1"/>
  <c r="G18" i="3" a="1"/>
  <c r="G18" i="3" s="1"/>
  <c r="G19" i="3" s="1"/>
  <c r="L24" i="15" a="1"/>
  <c r="L24" i="15" s="1"/>
  <c r="K48" i="3" a="1"/>
  <c r="K48" i="3" s="1"/>
  <c r="L11" i="15" a="1"/>
  <c r="L11" i="15" s="1"/>
  <c r="M22" i="3" a="1"/>
  <c r="M22" i="3" s="1"/>
  <c r="J38" i="3"/>
  <c r="K17" i="15" a="1"/>
  <c r="K17" i="15" s="1"/>
  <c r="K36" i="15" s="1"/>
  <c r="L36" i="15" s="1"/>
  <c r="M36" i="15" s="1"/>
  <c r="N36" i="15" s="1"/>
  <c r="O36" i="15" s="1"/>
  <c r="P36" i="15" s="1"/>
  <c r="Q36" i="15" s="1"/>
  <c r="R36" i="15" s="1"/>
  <c r="S36" i="15" s="1"/>
  <c r="T36" i="15" s="1"/>
  <c r="U36" i="15" s="1"/>
  <c r="V36" i="15" s="1"/>
  <c r="I4" i="3" a="1"/>
  <c r="I4" i="3" s="1"/>
  <c r="I5" i="3" s="1"/>
  <c r="K24" i="15" a="1"/>
  <c r="K24" i="15" s="1"/>
  <c r="K4" i="3" a="1"/>
  <c r="K4" i="3" s="1"/>
  <c r="K5" i="3" s="1"/>
  <c r="M38" i="3"/>
  <c r="K42" i="5" a="1"/>
  <c r="K42" i="5" s="1"/>
  <c r="J18" i="3" a="1"/>
  <c r="J18" i="3" s="1"/>
  <c r="J19" i="3" s="1"/>
  <c r="K43" i="5" a="1"/>
  <c r="K43" i="5" s="1"/>
  <c r="J22" i="3" a="1"/>
  <c r="J22" i="3" s="1"/>
  <c r="J4" i="3" a="1"/>
  <c r="J4" i="3" s="1"/>
  <c r="K44" i="5" a="1"/>
  <c r="K44" i="5" s="1"/>
  <c r="I42" i="5" a="1"/>
  <c r="I42" i="5" s="1"/>
  <c r="K45" i="5" a="1"/>
  <c r="K45" i="5" s="1"/>
  <c r="I18" i="3" a="1"/>
  <c r="I18" i="3" s="1"/>
  <c r="K38" i="3"/>
  <c r="L44" i="5" a="1"/>
  <c r="L44" i="5" s="1"/>
  <c r="L4" i="3" a="1"/>
  <c r="L4" i="3" s="1"/>
  <c r="L5" i="3" s="1"/>
  <c r="M10" i="15" a="1"/>
  <c r="M10" i="15" s="1"/>
  <c r="M17" i="15" a="1"/>
  <c r="M17" i="15" s="1"/>
  <c r="M38" i="15" s="1"/>
  <c r="N38" i="15" s="1"/>
  <c r="O38" i="15" s="1"/>
  <c r="P38" i="15" s="1"/>
  <c r="Q38" i="15" s="1"/>
  <c r="R38" i="15" s="1"/>
  <c r="S38" i="15" s="1"/>
  <c r="T38" i="15" s="1"/>
  <c r="U38" i="15" s="1"/>
  <c r="V38" i="15" s="1"/>
  <c r="W38" i="15" s="1"/>
  <c r="X38" i="15" s="1"/>
  <c r="L51" i="3"/>
  <c r="N51" i="3"/>
  <c r="J45" i="5" a="1"/>
  <c r="J45" i="5" s="1"/>
  <c r="L38" i="3"/>
  <c r="L10" i="15" a="1"/>
  <c r="L10" i="15" s="1"/>
  <c r="N17" i="15" a="1"/>
  <c r="N17" i="15" s="1"/>
  <c r="N39" i="15" s="1"/>
  <c r="O39" i="15" s="1"/>
  <c r="P39" i="15" s="1"/>
  <c r="Q39" i="15" s="1"/>
  <c r="R39" i="15" s="1"/>
  <c r="S39" i="15" s="1"/>
  <c r="T39" i="15" s="1"/>
  <c r="U39" i="15" s="1"/>
  <c r="V39" i="15" s="1"/>
  <c r="W39" i="15" s="1"/>
  <c r="X39" i="15" s="1"/>
  <c r="Y39" i="15" s="1"/>
  <c r="M11" i="15" a="1"/>
  <c r="M11" i="15" s="1"/>
  <c r="J42" i="5" a="1"/>
  <c r="J42" i="5" s="1"/>
  <c r="J41" i="5" a="1"/>
  <c r="J41" i="5" s="1"/>
  <c r="L22" i="3" a="1"/>
  <c r="L22" i="3" s="1"/>
  <c r="I43" i="5" a="1"/>
  <c r="I43" i="5" s="1"/>
  <c r="K18" i="3" a="1"/>
  <c r="K18" i="3" s="1"/>
  <c r="L41" i="5" a="1"/>
  <c r="L41" i="5" s="1"/>
  <c r="M24" i="15" a="1"/>
  <c r="M24" i="15" s="1"/>
  <c r="L45" i="5" a="1"/>
  <c r="L45" i="5" s="1"/>
  <c r="M45" i="5" a="1"/>
  <c r="M45" i="5" s="1"/>
  <c r="M48" i="3" a="1"/>
  <c r="M48" i="3" s="1"/>
  <c r="N10" i="15" a="1"/>
  <c r="N10" i="15" s="1"/>
  <c r="M18" i="3" a="1"/>
  <c r="M18" i="3" s="1"/>
  <c r="L42" i="5" a="1"/>
  <c r="L42" i="5" s="1"/>
  <c r="N48" i="3" a="1"/>
  <c r="N48" i="3" s="1"/>
  <c r="M44" i="5" a="1"/>
  <c r="M44" i="5" s="1"/>
  <c r="L18" i="3" a="1"/>
  <c r="L18" i="3" s="1"/>
  <c r="L19" i="3" s="1"/>
  <c r="Q24" i="15" a="1"/>
  <c r="Q24" i="15" s="1"/>
  <c r="L43" i="5" a="1"/>
  <c r="L43" i="5" s="1"/>
  <c r="N38" i="3"/>
  <c r="N11" i="15" a="1"/>
  <c r="N11" i="15" s="1"/>
  <c r="O10" i="15" a="1"/>
  <c r="O10" i="15" s="1"/>
  <c r="N24" i="15" a="1"/>
  <c r="N24" i="15" s="1"/>
  <c r="N18" i="3" a="1"/>
  <c r="N18" i="3" s="1"/>
  <c r="N19" i="3" s="1"/>
  <c r="N20" i="3" s="1"/>
  <c r="M41" i="5" a="1"/>
  <c r="M41" i="5" s="1"/>
  <c r="P10" i="15" a="1"/>
  <c r="P10" i="15" s="1"/>
  <c r="M51" i="3"/>
  <c r="N4" i="3" a="1"/>
  <c r="N4" i="3" s="1"/>
  <c r="N5" i="3" s="1"/>
  <c r="O42" i="5" a="1"/>
  <c r="O42" i="5" s="1"/>
  <c r="P17" i="15" a="1"/>
  <c r="P17" i="15" s="1"/>
  <c r="P41" i="15" s="1"/>
  <c r="Q41" i="15" s="1"/>
  <c r="R41" i="15" s="1"/>
  <c r="S41" i="15" s="1"/>
  <c r="T41" i="15" s="1"/>
  <c r="U41" i="15" s="1"/>
  <c r="V41" i="15" s="1"/>
  <c r="W41" i="15" s="1"/>
  <c r="X41" i="15" s="1"/>
  <c r="Y41" i="15" s="1"/>
  <c r="Z41" i="15" s="1"/>
  <c r="AA41" i="15" s="1"/>
  <c r="N43" i="5" a="1"/>
  <c r="N43" i="5" s="1"/>
  <c r="Q10" i="15" a="1"/>
  <c r="Q10" i="15" s="1"/>
  <c r="M42" i="5" a="1"/>
  <c r="M42" i="5" s="1"/>
  <c r="N42" i="5" a="1"/>
  <c r="N42" i="5" s="1"/>
  <c r="N41" i="5" a="1"/>
  <c r="N41" i="5" s="1"/>
  <c r="M43" i="5" a="1"/>
  <c r="M43" i="5" s="1"/>
  <c r="O11" i="15" a="1"/>
  <c r="O11" i="15" s="1"/>
  <c r="O17" i="15" a="1"/>
  <c r="O17" i="15" s="1"/>
  <c r="O40" i="15" s="1"/>
  <c r="P40" i="15" s="1"/>
  <c r="Q40" i="15" s="1"/>
  <c r="R40" i="15" s="1"/>
  <c r="S40" i="15" s="1"/>
  <c r="T40" i="15" s="1"/>
  <c r="U40" i="15" s="1"/>
  <c r="V40" i="15" s="1"/>
  <c r="W40" i="15" s="1"/>
  <c r="X40" i="15" s="1"/>
  <c r="Y40" i="15" s="1"/>
  <c r="Z40" i="15" s="1"/>
  <c r="N22" i="3" a="1"/>
  <c r="N22" i="3" s="1"/>
  <c r="N23" i="3" s="1"/>
  <c r="N24" i="3" s="1"/>
  <c r="O24" i="15" a="1"/>
  <c r="O24" i="15" s="1"/>
  <c r="M4" i="3" a="1"/>
  <c r="M4" i="3" s="1"/>
  <c r="M5" i="3" s="1"/>
  <c r="N44" i="5" a="1"/>
  <c r="N44" i="5" s="1"/>
  <c r="N45" i="5" a="1"/>
  <c r="N45" i="5" s="1"/>
  <c r="P18" i="3" a="1"/>
  <c r="P18" i="3" s="1"/>
  <c r="P19" i="3" s="1"/>
  <c r="P11" i="15" a="1"/>
  <c r="P11" i="15" s="1"/>
  <c r="O18" i="3" a="1"/>
  <c r="O18" i="3" s="1"/>
  <c r="O19" i="3" s="1"/>
  <c r="O20" i="3" s="1"/>
  <c r="O22" i="3" a="1"/>
  <c r="O22" i="3" s="1"/>
  <c r="O43" i="5" a="1"/>
  <c r="O43" i="5" s="1"/>
  <c r="O4" i="3" a="1"/>
  <c r="O4" i="3" s="1"/>
  <c r="O5" i="3" s="1"/>
  <c r="P4" i="3" a="1"/>
  <c r="P4" i="3" s="1"/>
  <c r="P5" i="3" s="1"/>
  <c r="R10" i="15" a="1"/>
  <c r="R10" i="15" s="1"/>
  <c r="O45" i="5" a="1"/>
  <c r="O45" i="5" s="1"/>
  <c r="P42" i="5" a="1"/>
  <c r="P42" i="5" s="1"/>
  <c r="P41" i="5" a="1"/>
  <c r="P41" i="5" s="1"/>
  <c r="O41" i="5" a="1"/>
  <c r="O41" i="5" s="1"/>
  <c r="S24" i="15" a="1"/>
  <c r="S24" i="15" s="1"/>
  <c r="R11" i="15" a="1"/>
  <c r="R11" i="15" s="1"/>
  <c r="P24" i="15" a="1"/>
  <c r="P24" i="15" s="1"/>
  <c r="P45" i="5" a="1"/>
  <c r="P45" i="5" s="1"/>
  <c r="Q17" i="15" a="1"/>
  <c r="Q17" i="15" s="1"/>
  <c r="Q42" i="15" s="1"/>
  <c r="R42" i="15" s="1"/>
  <c r="S42" i="15" s="1"/>
  <c r="T42" i="15" s="1"/>
  <c r="U42" i="15" s="1"/>
  <c r="V42" i="15" s="1"/>
  <c r="W42" i="15" s="1"/>
  <c r="X42" i="15" s="1"/>
  <c r="Y42" i="15" s="1"/>
  <c r="Z42" i="15" s="1"/>
  <c r="AA42" i="15" s="1"/>
  <c r="AB42" i="15" s="1"/>
  <c r="P44" i="5" a="1"/>
  <c r="P44" i="5" s="1"/>
  <c r="O44" i="5" a="1"/>
  <c r="O44" i="5" s="1"/>
  <c r="Q11" i="15" a="1"/>
  <c r="Q11" i="15" s="1"/>
  <c r="P22" i="3" a="1"/>
  <c r="P22" i="3" s="1"/>
  <c r="R24" i="15" a="1"/>
  <c r="R24" i="15" s="1"/>
  <c r="Q42" i="5" a="1"/>
  <c r="Q42" i="5" s="1"/>
  <c r="P43" i="5" a="1"/>
  <c r="P43" i="5" s="1"/>
  <c r="Q41" i="5" a="1"/>
  <c r="Q41" i="5" s="1"/>
  <c r="R17" i="15" a="1"/>
  <c r="R17" i="15" s="1"/>
  <c r="R43" i="15" s="1"/>
  <c r="S43" i="15" s="1"/>
  <c r="T43" i="15" s="1"/>
  <c r="U43" i="15" s="1"/>
  <c r="V43" i="15" s="1"/>
  <c r="W43" i="15" s="1"/>
  <c r="X43" i="15" s="1"/>
  <c r="Y43" i="15" s="1"/>
  <c r="Z43" i="15" s="1"/>
  <c r="AA43" i="15" s="1"/>
  <c r="AB43" i="15" s="1"/>
  <c r="AC43" i="15" s="1"/>
  <c r="S10" i="15" a="1"/>
  <c r="S10" i="15" s="1"/>
  <c r="Q43" i="5" a="1"/>
  <c r="Q43" i="5" s="1"/>
  <c r="Q44" i="5" a="1"/>
  <c r="Q44" i="5" s="1"/>
  <c r="R22" i="3" a="1"/>
  <c r="R22" i="3" s="1"/>
  <c r="Q4" i="3" a="1"/>
  <c r="Q4" i="3" s="1"/>
  <c r="Q18" i="3" a="1"/>
  <c r="Q18" i="3" s="1"/>
  <c r="Q19" i="3" s="1"/>
  <c r="Q20" i="3" s="1"/>
  <c r="Q22" i="3" a="1"/>
  <c r="Q22" i="3" s="1"/>
  <c r="Q23" i="3" s="1"/>
  <c r="Q24" i="3" s="1"/>
  <c r="Q45" i="5" a="1"/>
  <c r="Q45" i="5" s="1"/>
  <c r="R45" i="5" a="1"/>
  <c r="R45" i="5" s="1"/>
  <c r="T24" i="15" a="1"/>
  <c r="T24" i="15" s="1"/>
  <c r="S18" i="3" a="1"/>
  <c r="S18" i="3" s="1"/>
  <c r="S19" i="3" s="1"/>
  <c r="R41" i="5" a="1"/>
  <c r="R41" i="5" s="1"/>
  <c r="R18" i="3" a="1"/>
  <c r="R18" i="3" s="1"/>
  <c r="R4" i="3" a="1"/>
  <c r="R4" i="3" s="1"/>
  <c r="T17" i="15" a="1"/>
  <c r="T17" i="15" s="1"/>
  <c r="T45" i="15" s="1"/>
  <c r="U45" i="15" s="1"/>
  <c r="V45" i="15" s="1"/>
  <c r="W45" i="15" s="1"/>
  <c r="X45" i="15" s="1"/>
  <c r="Y45" i="15" s="1"/>
  <c r="Z45" i="15" s="1"/>
  <c r="AA45" i="15" s="1"/>
  <c r="AB45" i="15" s="1"/>
  <c r="AC45" i="15" s="1"/>
  <c r="AD45" i="15" s="1"/>
  <c r="AE45" i="15" s="1"/>
  <c r="R44" i="5" a="1"/>
  <c r="R44" i="5" s="1"/>
  <c r="R42" i="5" a="1"/>
  <c r="R42" i="5" s="1"/>
  <c r="R43" i="5" a="1"/>
  <c r="R43" i="5" s="1"/>
  <c r="S42" i="5" a="1"/>
  <c r="S42" i="5" s="1"/>
  <c r="S17" i="15" a="1"/>
  <c r="S17" i="15" s="1"/>
  <c r="S44" i="15" s="1"/>
  <c r="T44" i="15" s="1"/>
  <c r="U44" i="15" s="1"/>
  <c r="V44" i="15" s="1"/>
  <c r="W44" i="15" s="1"/>
  <c r="X44" i="15" s="1"/>
  <c r="Y44" i="15" s="1"/>
  <c r="Z44" i="15" s="1"/>
  <c r="AA44" i="15" s="1"/>
  <c r="AB44" i="15" s="1"/>
  <c r="AC44" i="15" s="1"/>
  <c r="AD44" i="15" s="1"/>
  <c r="S41" i="5" a="1"/>
  <c r="S41" i="5" s="1"/>
  <c r="S43" i="5" a="1"/>
  <c r="S43" i="5" s="1"/>
  <c r="S45" i="5" a="1"/>
  <c r="S45" i="5" s="1"/>
  <c r="S44" i="5" a="1"/>
  <c r="S44" i="5" s="1"/>
  <c r="S11" i="15" a="1"/>
  <c r="S11" i="15" s="1"/>
  <c r="S22" i="3" a="1"/>
  <c r="S22" i="3" s="1"/>
  <c r="T11" i="15" a="1"/>
  <c r="T11" i="15" s="1"/>
  <c r="T10" i="15" a="1"/>
  <c r="T10" i="15" s="1"/>
  <c r="T44" i="5" a="1"/>
  <c r="T44" i="5" s="1"/>
  <c r="S4" i="3" a="1"/>
  <c r="S4" i="3" s="1"/>
  <c r="T18" i="3" a="1"/>
  <c r="T18" i="3" s="1"/>
  <c r="T19" i="3" s="1"/>
  <c r="T41" i="5" a="1"/>
  <c r="T41" i="5" s="1"/>
  <c r="T45" i="5" a="1"/>
  <c r="T45" i="5" s="1"/>
  <c r="U17" i="15" a="1"/>
  <c r="U17" i="15" s="1"/>
  <c r="U46" i="15" s="1"/>
  <c r="V46" i="15" s="1"/>
  <c r="W46" i="15" s="1"/>
  <c r="X46" i="15" s="1"/>
  <c r="Y46" i="15" s="1"/>
  <c r="Z46" i="15" s="1"/>
  <c r="AA46" i="15" s="1"/>
  <c r="AB46" i="15" s="1"/>
  <c r="AC46" i="15" s="1"/>
  <c r="AD46" i="15" s="1"/>
  <c r="AE46" i="15" s="1"/>
  <c r="AF46" i="15" s="1"/>
  <c r="T4" i="3" a="1"/>
  <c r="T4" i="3" s="1"/>
  <c r="U24" i="15" a="1"/>
  <c r="U24" i="15" s="1"/>
  <c r="T22" i="3" a="1"/>
  <c r="T22" i="3" s="1"/>
  <c r="U10" i="15" a="1"/>
  <c r="U10" i="15" s="1"/>
  <c r="T42" i="5" a="1"/>
  <c r="T42" i="5" s="1"/>
  <c r="V10" i="15" a="1"/>
  <c r="V10" i="15" s="1"/>
  <c r="U18" i="3" a="1"/>
  <c r="U18" i="3" s="1"/>
  <c r="U19" i="3" s="1"/>
  <c r="U11" i="15" a="1"/>
  <c r="U11" i="15" s="1"/>
  <c r="T43" i="5" a="1"/>
  <c r="T43" i="5" s="1"/>
  <c r="V24" i="15" a="1"/>
  <c r="V24" i="15" s="1"/>
  <c r="W41" i="5" a="1"/>
  <c r="W41" i="5" s="1"/>
  <c r="U44" i="5" a="1"/>
  <c r="U44" i="5" s="1"/>
  <c r="U41" i="5" a="1"/>
  <c r="U41" i="5" s="1"/>
  <c r="U4" i="3" a="1"/>
  <c r="U4" i="3" s="1"/>
  <c r="W42" i="5" a="1"/>
  <c r="W42" i="5" s="1"/>
  <c r="W45" i="5" a="1"/>
  <c r="W45" i="5" s="1"/>
  <c r="V17" i="15" a="1"/>
  <c r="V17" i="15" s="1"/>
  <c r="V47" i="15" s="1"/>
  <c r="W47" i="15" s="1"/>
  <c r="X47" i="15" s="1"/>
  <c r="Y47" i="15" s="1"/>
  <c r="Z47" i="15" s="1"/>
  <c r="AA47" i="15" s="1"/>
  <c r="AB47" i="15" s="1"/>
  <c r="AC47" i="15" s="1"/>
  <c r="AD47" i="15" s="1"/>
  <c r="AE47" i="15" s="1"/>
  <c r="AF47" i="15" s="1"/>
  <c r="AG47" i="15" s="1"/>
  <c r="U43" i="5" a="1"/>
  <c r="U43" i="5" s="1"/>
  <c r="V11" i="15" a="1"/>
  <c r="V11" i="15" s="1"/>
  <c r="V43" i="5" a="1"/>
  <c r="V43" i="5" s="1"/>
  <c r="W10" i="15" a="1"/>
  <c r="W10" i="15" s="1"/>
  <c r="U45" i="5" a="1"/>
  <c r="U45" i="5" s="1"/>
  <c r="Y45" i="5" a="1"/>
  <c r="Y45" i="5" s="1"/>
  <c r="U42" i="5" a="1"/>
  <c r="U42" i="5" s="1"/>
  <c r="U22" i="3" a="1"/>
  <c r="U22" i="3" s="1"/>
  <c r="V18" i="3" a="1"/>
  <c r="V18" i="3" s="1"/>
  <c r="V19" i="3" s="1"/>
  <c r="V44" i="5" a="1"/>
  <c r="V44" i="5" s="1"/>
  <c r="W4" i="3" a="1"/>
  <c r="W4" i="3" s="1"/>
  <c r="V42" i="5" a="1"/>
  <c r="V42" i="5" s="1"/>
  <c r="V22" i="3" a="1"/>
  <c r="V22" i="3" s="1"/>
  <c r="X11" i="15" a="1"/>
  <c r="X11" i="15" s="1"/>
  <c r="V41" i="5" a="1"/>
  <c r="V41" i="5" s="1"/>
  <c r="W43" i="5" a="1"/>
  <c r="W43" i="5" s="1"/>
  <c r="Y17" i="15" a="1"/>
  <c r="Y17" i="15" s="1"/>
  <c r="Y50" i="15" s="1"/>
  <c r="Z50" i="15" s="1"/>
  <c r="AA50" i="15" s="1"/>
  <c r="AB50" i="15" s="1"/>
  <c r="AC50" i="15" s="1"/>
  <c r="AD50" i="15" s="1"/>
  <c r="AE50" i="15" s="1"/>
  <c r="AF50" i="15" s="1"/>
  <c r="AG50" i="15" s="1"/>
  <c r="AH50" i="15" s="1"/>
  <c r="AI50" i="15" s="1"/>
  <c r="AJ50" i="15" s="1"/>
  <c r="W22" i="3" a="1"/>
  <c r="W22" i="3" s="1"/>
  <c r="W44" i="5" a="1"/>
  <c r="W44" i="5" s="1"/>
  <c r="X10" i="15" a="1"/>
  <c r="X10" i="15" s="1"/>
  <c r="W18" i="3" a="1"/>
  <c r="W18" i="3" s="1"/>
  <c r="W19" i="3" s="1"/>
  <c r="X24" i="15" a="1"/>
  <c r="X24" i="15" s="1"/>
  <c r="X41" i="5" a="1"/>
  <c r="X41" i="5" s="1"/>
  <c r="W17" i="15" a="1"/>
  <c r="W17" i="15" s="1"/>
  <c r="W48" i="15" s="1"/>
  <c r="X48" i="15" s="1"/>
  <c r="Y48" i="15" s="1"/>
  <c r="Z48" i="15" s="1"/>
  <c r="AA48" i="15" s="1"/>
  <c r="AB48" i="15" s="1"/>
  <c r="AC48" i="15" s="1"/>
  <c r="AD48" i="15" s="1"/>
  <c r="AE48" i="15" s="1"/>
  <c r="AF48" i="15" s="1"/>
  <c r="AG48" i="15" s="1"/>
  <c r="AH48" i="15" s="1"/>
  <c r="Y44" i="5" a="1"/>
  <c r="Y44" i="5" s="1"/>
  <c r="Z17" i="15" a="1"/>
  <c r="Z17" i="15" s="1"/>
  <c r="Z51" i="15" s="1"/>
  <c r="AA51" i="15" s="1"/>
  <c r="AB51" i="15" s="1"/>
  <c r="AC51" i="15" s="1"/>
  <c r="AD51" i="15" s="1"/>
  <c r="AE51" i="15" s="1"/>
  <c r="AF51" i="15" s="1"/>
  <c r="AG51" i="15" s="1"/>
  <c r="AH51" i="15" s="1"/>
  <c r="AI51" i="15" s="1"/>
  <c r="AJ51" i="15" s="1"/>
  <c r="AK51" i="15" s="1"/>
  <c r="AA22" i="3" a="1"/>
  <c r="AA22" i="3" s="1"/>
  <c r="V4" i="3" a="1"/>
  <c r="V4" i="3" s="1"/>
  <c r="X18" i="3" a="1"/>
  <c r="X18" i="3" s="1"/>
  <c r="X19" i="3" s="1"/>
  <c r="X4" i="3" a="1"/>
  <c r="X4" i="3" s="1"/>
  <c r="X45" i="5" a="1"/>
  <c r="X45" i="5" s="1"/>
  <c r="Y42" i="5" a="1"/>
  <c r="Y42" i="5" s="1"/>
  <c r="Y43" i="5" a="1"/>
  <c r="Y43" i="5" s="1"/>
  <c r="W11" i="15" a="1"/>
  <c r="W11" i="15" s="1"/>
  <c r="Y11" i="15" a="1"/>
  <c r="Y11" i="15" s="1"/>
  <c r="AA18" i="3" a="1"/>
  <c r="AA18" i="3" s="1"/>
  <c r="AA19" i="3" s="1"/>
  <c r="Z11" i="15" a="1"/>
  <c r="Z11" i="15" s="1"/>
  <c r="Y22" i="3" a="1"/>
  <c r="Y22" i="3" s="1"/>
  <c r="V45" i="5" a="1"/>
  <c r="V45" i="5" s="1"/>
  <c r="Z18" i="3" a="1"/>
  <c r="Z18" i="3" s="1"/>
  <c r="Z19" i="3" s="1"/>
  <c r="X44" i="5" a="1"/>
  <c r="X44" i="5" s="1"/>
  <c r="Y10" i="15" a="1"/>
  <c r="Y10" i="15" s="1"/>
  <c r="AA4" i="3" a="1"/>
  <c r="AA4" i="3" s="1"/>
  <c r="W24" i="15" a="1"/>
  <c r="W24" i="15" s="1"/>
  <c r="X17" i="15" a="1"/>
  <c r="X17" i="15" s="1"/>
  <c r="X49" i="15" s="1"/>
  <c r="Y49" i="15" s="1"/>
  <c r="Z49" i="15" s="1"/>
  <c r="AA49" i="15" s="1"/>
  <c r="AB49" i="15" s="1"/>
  <c r="AC49" i="15" s="1"/>
  <c r="AD49" i="15" s="1"/>
  <c r="AE49" i="15" s="1"/>
  <c r="AF49" i="15" s="1"/>
  <c r="AG49" i="15" s="1"/>
  <c r="AH49" i="15" s="1"/>
  <c r="AI49" i="15" s="1"/>
  <c r="Z24" i="15" a="1"/>
  <c r="Z24" i="15" s="1"/>
  <c r="Z22" i="3" a="1"/>
  <c r="Z22" i="3" s="1"/>
  <c r="Z10" i="15" a="1"/>
  <c r="Z10" i="15" s="1"/>
  <c r="AB11" i="15" a="1"/>
  <c r="AB11" i="15" s="1"/>
  <c r="Z4" i="3" a="1"/>
  <c r="Z4" i="3" s="1"/>
  <c r="AA11" i="15" a="1"/>
  <c r="AA11" i="15" s="1"/>
  <c r="Z41" i="5" a="1"/>
  <c r="Z41" i="5" s="1"/>
  <c r="Y41" i="5" a="1"/>
  <c r="Y41" i="5" s="1"/>
  <c r="X22" i="3" a="1"/>
  <c r="X22" i="3" s="1"/>
  <c r="Z45" i="5" a="1"/>
  <c r="Z45" i="5" s="1"/>
  <c r="Z42" i="5" a="1"/>
  <c r="Z42" i="5" s="1"/>
  <c r="X42" i="5" a="1"/>
  <c r="X42" i="5" s="1"/>
  <c r="Z43" i="5" a="1"/>
  <c r="Z43" i="5" s="1"/>
  <c r="Y24" i="15" a="1"/>
  <c r="Y24" i="15" s="1"/>
  <c r="AD11" i="15" a="1"/>
  <c r="AD11" i="15" s="1"/>
  <c r="AA17" i="15" a="1"/>
  <c r="AA17" i="15" s="1"/>
  <c r="AA52" i="15" s="1"/>
  <c r="AB52" i="15" s="1"/>
  <c r="AC52" i="15" s="1"/>
  <c r="AD52" i="15" s="1"/>
  <c r="AE52" i="15" s="1"/>
  <c r="AF52" i="15" s="1"/>
  <c r="AG52" i="15" s="1"/>
  <c r="AH52" i="15" s="1"/>
  <c r="AI52" i="15" s="1"/>
  <c r="AJ52" i="15" s="1"/>
  <c r="AK52" i="15" s="1"/>
  <c r="AL52" i="15" s="1"/>
  <c r="Y4" i="3" a="1"/>
  <c r="Y4" i="3" s="1"/>
  <c r="AC17" i="15" a="1"/>
  <c r="AC17" i="15" s="1"/>
  <c r="AC54" i="15" s="1"/>
  <c r="AD54" i="15" s="1"/>
  <c r="AE54" i="15" s="1"/>
  <c r="AF54" i="15" s="1"/>
  <c r="AG54" i="15" s="1"/>
  <c r="AH54" i="15" s="1"/>
  <c r="AI54" i="15" s="1"/>
  <c r="AJ54" i="15" s="1"/>
  <c r="AK54" i="15" s="1"/>
  <c r="AL54" i="15" s="1"/>
  <c r="AM54" i="15" s="1"/>
  <c r="AN54" i="15" s="1"/>
  <c r="AB18" i="3" a="1"/>
  <c r="AB18" i="3" s="1"/>
  <c r="AB19" i="3" s="1"/>
  <c r="X43" i="5" a="1"/>
  <c r="X43" i="5" s="1"/>
  <c r="AC24" i="15" a="1"/>
  <c r="AC24" i="15" s="1"/>
  <c r="Y18" i="3" a="1"/>
  <c r="Y18" i="3" s="1"/>
  <c r="Y19" i="3" s="1"/>
  <c r="AC10" i="15" a="1"/>
  <c r="AC10" i="15" s="1"/>
  <c r="AB10" i="15" a="1"/>
  <c r="AB10" i="15" s="1"/>
  <c r="AB24" i="15" a="1"/>
  <c r="AB24" i="15" s="1"/>
  <c r="AB17" i="15" a="1"/>
  <c r="AB17" i="15" s="1"/>
  <c r="AB53" i="15" s="1"/>
  <c r="AC53" i="15" s="1"/>
  <c r="AD53" i="15" s="1"/>
  <c r="AE53" i="15" s="1"/>
  <c r="AF53" i="15" s="1"/>
  <c r="AG53" i="15" s="1"/>
  <c r="AH53" i="15" s="1"/>
  <c r="AI53" i="15" s="1"/>
  <c r="AJ53" i="15" s="1"/>
  <c r="AK53" i="15" s="1"/>
  <c r="AL53" i="15" s="1"/>
  <c r="AM53" i="15" s="1"/>
  <c r="AA24" i="15" a="1"/>
  <c r="AA24" i="15" s="1"/>
  <c r="AB4" i="3" a="1"/>
  <c r="AB4" i="3" s="1"/>
  <c r="AA10" i="15" a="1"/>
  <c r="AA10" i="15" s="1"/>
  <c r="Z44" i="5" a="1"/>
  <c r="Z44" i="5" s="1"/>
  <c r="AD10" i="15" a="1"/>
  <c r="AD10" i="15" s="1"/>
  <c r="AD24" i="15" a="1"/>
  <c r="AD24" i="15" s="1"/>
  <c r="AD17" i="15" a="1"/>
  <c r="AD17" i="15" s="1"/>
  <c r="AD55" i="15" s="1"/>
  <c r="AE55" i="15" s="1"/>
  <c r="AF55" i="15" s="1"/>
  <c r="AG55" i="15" s="1"/>
  <c r="AH55" i="15" s="1"/>
  <c r="AI55" i="15" s="1"/>
  <c r="AJ55" i="15" s="1"/>
  <c r="AK55" i="15" s="1"/>
  <c r="AL55" i="15" s="1"/>
  <c r="AM55" i="15" s="1"/>
  <c r="AN55" i="15" s="1"/>
  <c r="AO55" i="15" s="1"/>
  <c r="AC18" i="3" a="1"/>
  <c r="AC18" i="3" s="1"/>
  <c r="AC19" i="3" s="1"/>
  <c r="AD22" i="3" a="1"/>
  <c r="AD22" i="3" s="1"/>
  <c r="AE11" i="15" a="1"/>
  <c r="AE11" i="15" s="1"/>
  <c r="AE18" i="3" a="1"/>
  <c r="AE18" i="3" s="1"/>
  <c r="AE19" i="3" s="1"/>
  <c r="AC4" i="3" a="1"/>
  <c r="AC4" i="3" s="1"/>
  <c r="AI11" i="15" a="1"/>
  <c r="AI11" i="15" s="1"/>
  <c r="AC11" i="15" a="1"/>
  <c r="AC11" i="15" s="1"/>
  <c r="AD18" i="3" a="1"/>
  <c r="AD18" i="3" s="1"/>
  <c r="AD19" i="3" s="1"/>
  <c r="AC22" i="3" a="1"/>
  <c r="AC22" i="3" s="1"/>
  <c r="AE10" i="15" a="1"/>
  <c r="AE10" i="15" s="1"/>
  <c r="AB22" i="3" a="1"/>
  <c r="AB22" i="3" s="1"/>
  <c r="AE22" i="3" a="1"/>
  <c r="AE22" i="3" s="1"/>
  <c r="AE17" i="15" a="1"/>
  <c r="AE17" i="15" s="1"/>
  <c r="AE56" i="15" s="1"/>
  <c r="AF56" i="15" s="1"/>
  <c r="AG56" i="15" s="1"/>
  <c r="AH56" i="15" s="1"/>
  <c r="AI56" i="15" s="1"/>
  <c r="AJ56" i="15" s="1"/>
  <c r="AK56" i="15" s="1"/>
  <c r="AL56" i="15" s="1"/>
  <c r="AM56" i="15" s="1"/>
  <c r="AN56" i="15" s="1"/>
  <c r="AO56" i="15" s="1"/>
  <c r="AP56" i="15" s="1"/>
  <c r="AF24" i="15" a="1"/>
  <c r="AF24" i="15" s="1"/>
  <c r="AF11" i="15" a="1"/>
  <c r="AF11" i="15" s="1"/>
  <c r="AE24" i="15" a="1"/>
  <c r="AE24" i="15" s="1"/>
  <c r="AD4" i="3" a="1"/>
  <c r="AD4" i="3" s="1"/>
  <c r="AF17" i="15" a="1"/>
  <c r="AF17" i="15" s="1"/>
  <c r="AF57" i="15" s="1"/>
  <c r="AG57" i="15" s="1"/>
  <c r="AH57" i="15" s="1"/>
  <c r="AI57" i="15" s="1"/>
  <c r="AJ57" i="15" s="1"/>
  <c r="AK57" i="15" s="1"/>
  <c r="AL57" i="15" s="1"/>
  <c r="AM57" i="15" s="1"/>
  <c r="AN57" i="15" s="1"/>
  <c r="AO57" i="15" s="1"/>
  <c r="AP57" i="15" s="1"/>
  <c r="AQ57" i="15" s="1"/>
  <c r="AF10" i="15" a="1"/>
  <c r="AF10" i="15" s="1"/>
  <c r="AI22" i="3" a="1"/>
  <c r="AI22" i="3" s="1"/>
  <c r="AE4" i="3" a="1"/>
  <c r="AE4" i="3" s="1"/>
  <c r="AG11" i="15" a="1"/>
  <c r="AG11" i="15" s="1"/>
  <c r="AI17" i="15" a="1"/>
  <c r="AI17" i="15" s="1"/>
  <c r="AI60" i="15" s="1"/>
  <c r="AJ60" i="15" s="1"/>
  <c r="AK60" i="15" s="1"/>
  <c r="AL60" i="15" s="1"/>
  <c r="AM60" i="15" s="1"/>
  <c r="AN60" i="15" s="1"/>
  <c r="AO60" i="15" s="1"/>
  <c r="AP60" i="15" s="1"/>
  <c r="AQ60" i="15" s="1"/>
  <c r="AR60" i="15" s="1"/>
  <c r="AS60" i="15" s="1"/>
  <c r="AT60" i="15" s="1"/>
  <c r="AH10" i="15" a="1"/>
  <c r="AH10" i="15" s="1"/>
  <c r="AG22" i="3" a="1"/>
  <c r="AG22" i="3" s="1"/>
  <c r="AF22" i="3" a="1"/>
  <c r="AF22" i="3" s="1"/>
  <c r="AG24" i="15" a="1"/>
  <c r="AG24" i="15" s="1"/>
  <c r="AF18" i="3" a="1"/>
  <c r="AF18" i="3" s="1"/>
  <c r="AF19" i="3" s="1"/>
  <c r="AI24" i="15" a="1"/>
  <c r="AI24" i="15" s="1"/>
  <c r="AG10" i="15" a="1"/>
  <c r="AG10" i="15" s="1"/>
  <c r="AH18" i="3" a="1"/>
  <c r="AH18" i="3" s="1"/>
  <c r="AH19" i="3" s="1"/>
  <c r="AG18" i="3" a="1"/>
  <c r="AG18" i="3" s="1"/>
  <c r="AG19" i="3" s="1"/>
  <c r="AH4" i="3" a="1"/>
  <c r="AH4" i="3" s="1"/>
  <c r="AH24" i="15" a="1"/>
  <c r="AH24" i="15" s="1"/>
  <c r="AH11" i="15" a="1"/>
  <c r="AH11" i="15" s="1"/>
  <c r="AF4" i="3" a="1"/>
  <c r="AF4" i="3" s="1"/>
  <c r="AH22" i="3" a="1"/>
  <c r="AH22" i="3" s="1"/>
  <c r="AG17" i="15" a="1"/>
  <c r="AG17" i="15" s="1"/>
  <c r="AG58" i="15" s="1"/>
  <c r="AH58" i="15" s="1"/>
  <c r="AI58" i="15" s="1"/>
  <c r="AJ58" i="15" s="1"/>
  <c r="AK58" i="15" s="1"/>
  <c r="AL58" i="15" s="1"/>
  <c r="AM58" i="15" s="1"/>
  <c r="AN58" i="15" s="1"/>
  <c r="AO58" i="15" s="1"/>
  <c r="AP58" i="15" s="1"/>
  <c r="AQ58" i="15" s="1"/>
  <c r="AR58" i="15" s="1"/>
  <c r="AH17" i="15" a="1"/>
  <c r="AH17" i="15" s="1"/>
  <c r="AH59" i="15" s="1"/>
  <c r="AI59" i="15" s="1"/>
  <c r="AJ59" i="15" s="1"/>
  <c r="AK59" i="15" s="1"/>
  <c r="AL59" i="15" s="1"/>
  <c r="AM59" i="15" s="1"/>
  <c r="AN59" i="15" s="1"/>
  <c r="AO59" i="15" s="1"/>
  <c r="AP59" i="15" s="1"/>
  <c r="AQ59" i="15" s="1"/>
  <c r="AR59" i="15" s="1"/>
  <c r="AS59" i="15" s="1"/>
  <c r="AJ11" i="15" a="1"/>
  <c r="AJ11" i="15" s="1"/>
  <c r="AG4" i="3" a="1"/>
  <c r="AG4" i="3" s="1"/>
  <c r="AK4" i="3" a="1"/>
  <c r="AK4" i="3" s="1"/>
  <c r="AK11" i="15" a="1"/>
  <c r="AK11" i="15" s="1"/>
  <c r="AI18" i="3" a="1"/>
  <c r="AI18" i="3" s="1"/>
  <c r="AI19" i="3" s="1"/>
  <c r="AJ18" i="3" a="1"/>
  <c r="AJ18" i="3" s="1"/>
  <c r="AJ19" i="3" s="1"/>
  <c r="AI4" i="3" a="1"/>
  <c r="AI4" i="3" s="1"/>
  <c r="AJ17" i="15" a="1"/>
  <c r="AJ17" i="15" s="1"/>
  <c r="AJ61" i="15" s="1"/>
  <c r="AK61" i="15" s="1"/>
  <c r="AL61" i="15" s="1"/>
  <c r="AM61" i="15" s="1"/>
  <c r="AN61" i="15" s="1"/>
  <c r="AO61" i="15" s="1"/>
  <c r="AP61" i="15" s="1"/>
  <c r="AQ61" i="15" s="1"/>
  <c r="AR61" i="15" s="1"/>
  <c r="AS61" i="15" s="1"/>
  <c r="AT61" i="15" s="1"/>
  <c r="AU61" i="15" s="1"/>
  <c r="AL4" i="3" a="1"/>
  <c r="AL4" i="3" s="1"/>
  <c r="AJ4" i="3" a="1"/>
  <c r="AJ4" i="3" s="1"/>
  <c r="AK22" i="3" a="1"/>
  <c r="AK22" i="3" s="1"/>
  <c r="AL18" i="3" a="1"/>
  <c r="AL18" i="3" s="1"/>
  <c r="AL19" i="3" s="1"/>
  <c r="AK18" i="3" a="1"/>
  <c r="AK18" i="3" s="1"/>
  <c r="AK19" i="3" s="1"/>
  <c r="AM11" i="15" a="1"/>
  <c r="AM11" i="15" s="1"/>
  <c r="AK17" i="15" a="1"/>
  <c r="AK17" i="15" s="1"/>
  <c r="AK62" i="15" s="1"/>
  <c r="AL62" i="15" s="1"/>
  <c r="AM62" i="15" s="1"/>
  <c r="AN62" i="15" s="1"/>
  <c r="AO62" i="15" s="1"/>
  <c r="AP62" i="15" s="1"/>
  <c r="AQ62" i="15" s="1"/>
  <c r="AR62" i="15" s="1"/>
  <c r="AS62" i="15" s="1"/>
  <c r="AT62" i="15" s="1"/>
  <c r="AU62" i="15" s="1"/>
  <c r="AV62" i="15" s="1"/>
  <c r="AJ22" i="3" a="1"/>
  <c r="AJ22" i="3" s="1"/>
  <c r="AN11" i="15" a="1"/>
  <c r="AN11" i="15" s="1"/>
  <c r="AL17" i="15" a="1"/>
  <c r="AL17" i="15" s="1"/>
  <c r="AL63" i="15" s="1"/>
  <c r="AM63" i="15" s="1"/>
  <c r="AN63" i="15" s="1"/>
  <c r="AO63" i="15" s="1"/>
  <c r="AP63" i="15" s="1"/>
  <c r="AQ63" i="15" s="1"/>
  <c r="AR63" i="15" s="1"/>
  <c r="AS63" i="15" s="1"/>
  <c r="AT63" i="15" s="1"/>
  <c r="AU63" i="15" s="1"/>
  <c r="AV63" i="15" s="1"/>
  <c r="AW63" i="15" s="1"/>
  <c r="AL22" i="3" a="1"/>
  <c r="AL22" i="3" s="1"/>
  <c r="AL11" i="15" a="1"/>
  <c r="AL11" i="15" s="1"/>
  <c r="AN17" i="15" a="1"/>
  <c r="AN17" i="15" s="1"/>
  <c r="AN65" i="15" s="1"/>
  <c r="AO65" i="15" s="1"/>
  <c r="AP65" i="15" s="1"/>
  <c r="AQ65" i="15" s="1"/>
  <c r="AR65" i="15" s="1"/>
  <c r="AS65" i="15" s="1"/>
  <c r="AT65" i="15" s="1"/>
  <c r="AU65" i="15" s="1"/>
  <c r="AV65" i="15" s="1"/>
  <c r="AW65" i="15" s="1"/>
  <c r="AX65" i="15" s="1"/>
  <c r="AY65" i="15" s="1"/>
  <c r="AM17" i="15" a="1"/>
  <c r="AM17" i="15" s="1"/>
  <c r="AM64" i="15" s="1"/>
  <c r="AN64" i="15" s="1"/>
  <c r="AO64" i="15" s="1"/>
  <c r="AP64" i="15" s="1"/>
  <c r="AQ64" i="15" s="1"/>
  <c r="AR64" i="15" s="1"/>
  <c r="AS64" i="15" s="1"/>
  <c r="AT64" i="15" s="1"/>
  <c r="AU64" i="15" s="1"/>
  <c r="AV64" i="15" s="1"/>
  <c r="AW64" i="15" s="1"/>
  <c r="AX64" i="15" s="1"/>
  <c r="AP11" i="15" a="1"/>
  <c r="AP11" i="15" s="1"/>
  <c r="AO11" i="15" a="1"/>
  <c r="AO11" i="15" s="1"/>
  <c r="AO17" i="15" a="1"/>
  <c r="AO17" i="15" s="1"/>
  <c r="AO66" i="15" s="1"/>
  <c r="AP66" i="15" s="1"/>
  <c r="AQ66" i="15" s="1"/>
  <c r="AR66" i="15" s="1"/>
  <c r="AS66" i="15" s="1"/>
  <c r="AT66" i="15" s="1"/>
  <c r="AU66" i="15" s="1"/>
  <c r="AV66" i="15" s="1"/>
  <c r="AW66" i="15" s="1"/>
  <c r="AX66" i="15" s="1"/>
  <c r="AY66" i="15" s="1"/>
  <c r="AZ66" i="15" s="1"/>
  <c r="AP17" i="15" a="1"/>
  <c r="AP17" i="15" s="1"/>
  <c r="AP67" i="15" s="1"/>
  <c r="AQ67" i="15" s="1"/>
  <c r="AR67" i="15" s="1"/>
  <c r="AS67" i="15" s="1"/>
  <c r="AT67" i="15" s="1"/>
  <c r="AU67" i="15" s="1"/>
  <c r="AV67" i="15" s="1"/>
  <c r="AW67" i="15" s="1"/>
  <c r="AX67" i="15" s="1"/>
  <c r="AY67" i="15" s="1"/>
  <c r="AZ67" i="15" s="1"/>
  <c r="BA67" i="15" s="1"/>
  <c r="AQ11" i="15" a="1"/>
  <c r="AQ11" i="15" s="1"/>
  <c r="AS17" i="15" a="1"/>
  <c r="AS17" i="15" s="1"/>
  <c r="AS70" i="15" s="1"/>
  <c r="AT70" i="15" s="1"/>
  <c r="AU70" i="15" s="1"/>
  <c r="AV70" i="15" s="1"/>
  <c r="AW70" i="15" s="1"/>
  <c r="AX70" i="15" s="1"/>
  <c r="AY70" i="15" s="1"/>
  <c r="AZ70" i="15" s="1"/>
  <c r="BA70" i="15" s="1"/>
  <c r="BB70" i="15" s="1"/>
  <c r="BC70" i="15" s="1"/>
  <c r="BD70" i="15" s="1"/>
  <c r="AQ17" i="15" a="1"/>
  <c r="AQ17" i="15" s="1"/>
  <c r="AQ68" i="15" s="1"/>
  <c r="AR68" i="15" s="1"/>
  <c r="AS68" i="15" s="1"/>
  <c r="AT68" i="15" s="1"/>
  <c r="AU68" i="15" s="1"/>
  <c r="AV68" i="15" s="1"/>
  <c r="AW68" i="15" s="1"/>
  <c r="AX68" i="15" s="1"/>
  <c r="AY68" i="15" s="1"/>
  <c r="AZ68" i="15" s="1"/>
  <c r="BA68" i="15" s="1"/>
  <c r="BB68" i="15" s="1"/>
  <c r="AT17" i="15" a="1"/>
  <c r="AT17" i="15" s="1"/>
  <c r="AT71" i="15" s="1"/>
  <c r="AU71" i="15" s="1"/>
  <c r="AV71" i="15" s="1"/>
  <c r="AW71" i="15" s="1"/>
  <c r="AX71" i="15" s="1"/>
  <c r="AY71" i="15" s="1"/>
  <c r="AZ71" i="15" s="1"/>
  <c r="BA71" i="15" s="1"/>
  <c r="BB71" i="15" s="1"/>
  <c r="BC71" i="15" s="1"/>
  <c r="BD71" i="15" s="1"/>
  <c r="BE71" i="15" s="1"/>
  <c r="AR17" i="15" a="1"/>
  <c r="AR17" i="15" s="1"/>
  <c r="AR69" i="15" s="1"/>
  <c r="AS69" i="15" s="1"/>
  <c r="AT69" i="15" s="1"/>
  <c r="AU69" i="15" s="1"/>
  <c r="AV69" i="15" s="1"/>
  <c r="AW69" i="15" s="1"/>
  <c r="AX69" i="15" s="1"/>
  <c r="AY69" i="15" s="1"/>
  <c r="AZ69" i="15" s="1"/>
  <c r="BA69" i="15" s="1"/>
  <c r="BB69" i="15" s="1"/>
  <c r="BC69" i="15" s="1"/>
  <c r="AU17" i="15" a="1"/>
  <c r="AU17" i="15" s="1"/>
  <c r="AU72" i="15" s="1"/>
  <c r="AV72" i="15" s="1"/>
  <c r="AW72" i="15" s="1"/>
  <c r="AX72" i="15" s="1"/>
  <c r="AY72" i="15" s="1"/>
  <c r="AZ72" i="15" s="1"/>
  <c r="BA72" i="15" s="1"/>
  <c r="BB72" i="15" s="1"/>
  <c r="BC72" i="15" s="1"/>
  <c r="BD72" i="15" s="1"/>
  <c r="BE72" i="15" s="1"/>
  <c r="BF72" i="15" s="1"/>
  <c r="AT11" i="15" a="1"/>
  <c r="AT11" i="15" s="1"/>
  <c r="AR11" i="15" a="1"/>
  <c r="AR11" i="15" s="1"/>
  <c r="AS11" i="15" a="1"/>
  <c r="AS11" i="15" s="1"/>
  <c r="AU11" i="15" a="1"/>
  <c r="AU11" i="15" s="1"/>
  <c r="AV17" i="15" a="1"/>
  <c r="AV17" i="15" s="1"/>
  <c r="AV73" i="15" s="1"/>
  <c r="AW73" i="15" s="1"/>
  <c r="AX73" i="15" s="1"/>
  <c r="AY73" i="15" s="1"/>
  <c r="AZ73" i="15" s="1"/>
  <c r="BA73" i="15" s="1"/>
  <c r="BB73" i="15" s="1"/>
  <c r="BC73" i="15" s="1"/>
  <c r="BD73" i="15" s="1"/>
  <c r="BE73" i="15" s="1"/>
  <c r="BF73" i="15" s="1"/>
  <c r="BG73" i="15" s="1"/>
  <c r="AW17" i="15" a="1"/>
  <c r="AW17" i="15" s="1"/>
  <c r="AW74" i="15" s="1"/>
  <c r="AX74" i="15" s="1"/>
  <c r="AY74" i="15" s="1"/>
  <c r="AZ74" i="15" s="1"/>
  <c r="BA74" i="15" s="1"/>
  <c r="BB74" i="15" s="1"/>
  <c r="BC74" i="15" s="1"/>
  <c r="BD74" i="15" s="1"/>
  <c r="BE74" i="15" s="1"/>
  <c r="BF74" i="15" s="1"/>
  <c r="BG74" i="15" s="1"/>
  <c r="BH74" i="15" s="1"/>
  <c r="AV11" i="15" a="1"/>
  <c r="AV11" i="15" s="1"/>
  <c r="AW11" i="15" a="1"/>
  <c r="AW11" i="15" s="1"/>
  <c r="S11" i="2"/>
  <c r="R11" i="2"/>
  <c r="T10" i="4"/>
  <c r="U10" i="4"/>
  <c r="BM41" i="11"/>
  <c r="BM42" i="11" s="1"/>
  <c r="AW41" i="11"/>
  <c r="AW42" i="11" s="1"/>
  <c r="AG41" i="11"/>
  <c r="AG42" i="11" s="1"/>
  <c r="BL41" i="11"/>
  <c r="BL42" i="11" s="1"/>
  <c r="AV41" i="11"/>
  <c r="AV42" i="11" s="1"/>
  <c r="AF41" i="11"/>
  <c r="AF42" i="11" s="1"/>
  <c r="BK41" i="11"/>
  <c r="BK42" i="11" s="1"/>
  <c r="AU41" i="11"/>
  <c r="AU42" i="11" s="1"/>
  <c r="BJ41" i="11"/>
  <c r="BJ42" i="11" s="1"/>
  <c r="AT41" i="11"/>
  <c r="AT42" i="11" s="1"/>
  <c r="BI41" i="11"/>
  <c r="BI42" i="11" s="1"/>
  <c r="AS41" i="11"/>
  <c r="AS42" i="11" s="1"/>
  <c r="BW41" i="11"/>
  <c r="BW42" i="11" s="1"/>
  <c r="BG41" i="11"/>
  <c r="BG42" i="11" s="1"/>
  <c r="AQ41" i="11"/>
  <c r="AQ42" i="11" s="1"/>
  <c r="BV41" i="11"/>
  <c r="BV42" i="11" s="1"/>
  <c r="BF41" i="11"/>
  <c r="BF42" i="11" s="1"/>
  <c r="AP41" i="11"/>
  <c r="AP42" i="11" s="1"/>
  <c r="BU41" i="11"/>
  <c r="BU42" i="11" s="1"/>
  <c r="BE41" i="11"/>
  <c r="BE42" i="11" s="1"/>
  <c r="AO41" i="11"/>
  <c r="AO42" i="11" s="1"/>
  <c r="BT41" i="11"/>
  <c r="BT42" i="11" s="1"/>
  <c r="BD41" i="11"/>
  <c r="BD42" i="11" s="1"/>
  <c r="AN41" i="11"/>
  <c r="AN42" i="11" s="1"/>
  <c r="BR41" i="11"/>
  <c r="BR42" i="11" s="1"/>
  <c r="BB41" i="11"/>
  <c r="BB42" i="11" s="1"/>
  <c r="AL41" i="11"/>
  <c r="AL42" i="11" s="1"/>
  <c r="BQ41" i="11"/>
  <c r="BQ42" i="11" s="1"/>
  <c r="BA41" i="11"/>
  <c r="BA42" i="11" s="1"/>
  <c r="AK41" i="11"/>
  <c r="AK42" i="11" s="1"/>
  <c r="BS41" i="11"/>
  <c r="BS42" i="11" s="1"/>
  <c r="BP41" i="11"/>
  <c r="BP42" i="11" s="1"/>
  <c r="BO41" i="11"/>
  <c r="BO42" i="11" s="1"/>
  <c r="BN41" i="11"/>
  <c r="BN42" i="11" s="1"/>
  <c r="BH41" i="11"/>
  <c r="BH42" i="11" s="1"/>
  <c r="BC41" i="11"/>
  <c r="BC42" i="11" s="1"/>
  <c r="AZ41" i="11"/>
  <c r="AZ42" i="11" s="1"/>
  <c r="AY41" i="11"/>
  <c r="AY42" i="11" s="1"/>
  <c r="AX41" i="11"/>
  <c r="AX42" i="11" s="1"/>
  <c r="AR41" i="11"/>
  <c r="AR42" i="11" s="1"/>
  <c r="AM41" i="11"/>
  <c r="AM42" i="11" s="1"/>
  <c r="AJ41" i="11"/>
  <c r="AJ42" i="11" s="1"/>
  <c r="AI41" i="11"/>
  <c r="AI42" i="11" s="1"/>
  <c r="AH41" i="11"/>
  <c r="AH42" i="11" s="1"/>
  <c r="Q42" i="2"/>
  <c r="Q67" i="2" s="1"/>
  <c r="Q65" i="2"/>
  <c r="M19" i="3"/>
  <c r="M15" i="3"/>
  <c r="M16" i="3" s="1"/>
  <c r="D58" i="4"/>
  <c r="D42" i="4"/>
  <c r="D61" i="4" s="1"/>
  <c r="S27" i="2"/>
  <c r="R27" i="2"/>
  <c r="P43" i="2"/>
  <c r="BN58" i="11"/>
  <c r="AX58" i="11"/>
  <c r="BM58" i="11"/>
  <c r="AW58" i="11"/>
  <c r="BL58" i="11"/>
  <c r="AV58" i="11"/>
  <c r="BK58" i="11"/>
  <c r="AU58" i="11"/>
  <c r="BJ58" i="11"/>
  <c r="AT58" i="11"/>
  <c r="BT58" i="11"/>
  <c r="BD58" i="11"/>
  <c r="AN58" i="11"/>
  <c r="BR58" i="11"/>
  <c r="BB58" i="11"/>
  <c r="AL58" i="11"/>
  <c r="BS58" i="11"/>
  <c r="AP58" i="11"/>
  <c r="BQ58" i="11"/>
  <c r="AO58" i="11"/>
  <c r="BP58" i="11"/>
  <c r="AM58" i="11"/>
  <c r="BO58" i="11"/>
  <c r="AK58" i="11"/>
  <c r="BI58" i="11"/>
  <c r="AJ58" i="11"/>
  <c r="BH58" i="11"/>
  <c r="AI58" i="11"/>
  <c r="BG58" i="11"/>
  <c r="BF58" i="11"/>
  <c r="BE58" i="11"/>
  <c r="BC58" i="11"/>
  <c r="BA58" i="11"/>
  <c r="AZ58" i="11"/>
  <c r="AY58" i="11"/>
  <c r="BW58" i="11"/>
  <c r="BV58" i="11"/>
  <c r="BU58" i="11"/>
  <c r="AS58" i="11"/>
  <c r="AR58" i="11"/>
  <c r="AQ58" i="11"/>
  <c r="S31" i="2"/>
  <c r="R31" i="2"/>
  <c r="F39" i="3"/>
  <c r="D35" i="4"/>
  <c r="D54" i="4" s="1"/>
  <c r="D52" i="4"/>
  <c r="BN115" i="11"/>
  <c r="AX115" i="11"/>
  <c r="AH115" i="11"/>
  <c r="BM115" i="11"/>
  <c r="AW115" i="11"/>
  <c r="AG115" i="11"/>
  <c r="BL115" i="11"/>
  <c r="AV115" i="11"/>
  <c r="AF115" i="11"/>
  <c r="AF168" i="11" s="1"/>
  <c r="BK115" i="11"/>
  <c r="AU115" i="11"/>
  <c r="BJ115" i="11"/>
  <c r="AT115" i="11"/>
  <c r="BI115" i="11"/>
  <c r="AS115" i="11"/>
  <c r="BH115" i="11"/>
  <c r="AR115" i="11"/>
  <c r="BW115" i="11"/>
  <c r="BG115" i="11"/>
  <c r="AQ115" i="11"/>
  <c r="BU115" i="11"/>
  <c r="BE115" i="11"/>
  <c r="AO115" i="11"/>
  <c r="BT115" i="11"/>
  <c r="BD115" i="11"/>
  <c r="AN115" i="11"/>
  <c r="BS115" i="11"/>
  <c r="BC115" i="11"/>
  <c r="AM115" i="11"/>
  <c r="BR115" i="11"/>
  <c r="BB115" i="11"/>
  <c r="AL115" i="11"/>
  <c r="BF115" i="11"/>
  <c r="BA115" i="11"/>
  <c r="AZ115" i="11"/>
  <c r="AY115" i="11"/>
  <c r="AP115" i="11"/>
  <c r="AK115" i="11"/>
  <c r="AJ115" i="11"/>
  <c r="AI115" i="11"/>
  <c r="BV115" i="11"/>
  <c r="BO115" i="11"/>
  <c r="BQ115" i="11"/>
  <c r="BP115" i="11"/>
  <c r="Q15" i="2"/>
  <c r="Q16" i="2" s="1"/>
  <c r="R13" i="2"/>
  <c r="S13" i="2"/>
  <c r="BA54" i="7"/>
  <c r="BU12" i="6"/>
  <c r="BU14" i="6" s="1"/>
  <c r="BU7" i="6"/>
  <c r="BT8" i="7"/>
  <c r="BT9" i="7" s="1"/>
  <c r="G8" i="4"/>
  <c r="F8" i="4"/>
  <c r="BS129" i="11"/>
  <c r="BC129" i="11"/>
  <c r="AM129" i="11"/>
  <c r="BQ129" i="11"/>
  <c r="BA129" i="11"/>
  <c r="AK129" i="11"/>
  <c r="BO129" i="11"/>
  <c r="AY129" i="11"/>
  <c r="AI129" i="11"/>
  <c r="BL129" i="11"/>
  <c r="AV129" i="11"/>
  <c r="AF129" i="11"/>
  <c r="AF162" i="11" s="1"/>
  <c r="BK129" i="11"/>
  <c r="AU129" i="11"/>
  <c r="BJ129" i="11"/>
  <c r="AT129" i="11"/>
  <c r="BW129" i="11"/>
  <c r="AX129" i="11"/>
  <c r="BV129" i="11"/>
  <c r="AW129" i="11"/>
  <c r="BU129" i="11"/>
  <c r="AS129" i="11"/>
  <c r="BT129" i="11"/>
  <c r="AR129" i="11"/>
  <c r="BR129" i="11"/>
  <c r="AQ129" i="11"/>
  <c r="BP129" i="11"/>
  <c r="AP129" i="11"/>
  <c r="BN129" i="11"/>
  <c r="AO129" i="11"/>
  <c r="BM129" i="11"/>
  <c r="AN129" i="11"/>
  <c r="BI129" i="11"/>
  <c r="AL129" i="11"/>
  <c r="BH129" i="11"/>
  <c r="AJ129" i="11"/>
  <c r="BG129" i="11"/>
  <c r="AH129" i="11"/>
  <c r="BF129" i="11"/>
  <c r="AG129" i="11"/>
  <c r="BE129" i="11"/>
  <c r="BD129" i="11"/>
  <c r="BB129" i="11"/>
  <c r="AZ129" i="11"/>
  <c r="F29" i="5"/>
  <c r="I19" i="3"/>
  <c r="I15" i="3"/>
  <c r="I16" i="3" s="1"/>
  <c r="E58" i="4"/>
  <c r="G58" i="4"/>
  <c r="D138" i="4"/>
  <c r="D121" i="4"/>
  <c r="D140" i="4" s="1"/>
  <c r="BA20" i="7"/>
  <c r="AT29" i="13"/>
  <c r="AU24" i="13" s="1"/>
  <c r="AT27" i="13"/>
  <c r="AT28" i="13" s="1"/>
  <c r="R5" i="3"/>
  <c r="J5" i="3"/>
  <c r="G5" i="3"/>
  <c r="F15" i="3"/>
  <c r="F16" i="3" s="1"/>
  <c r="D19" i="4"/>
  <c r="C49" i="3"/>
  <c r="C54" i="3" s="1"/>
  <c r="BP38" i="11"/>
  <c r="BP39" i="11" s="1"/>
  <c r="AZ38" i="11"/>
  <c r="AZ39" i="11" s="1"/>
  <c r="AJ38" i="11"/>
  <c r="AJ39" i="11" s="1"/>
  <c r="BO38" i="11"/>
  <c r="BO39" i="11" s="1"/>
  <c r="AY38" i="11"/>
  <c r="AY39" i="11" s="1"/>
  <c r="AI38" i="11"/>
  <c r="AI39" i="11" s="1"/>
  <c r="BN38" i="11"/>
  <c r="BN39" i="11" s="1"/>
  <c r="AX38" i="11"/>
  <c r="AX39" i="11" s="1"/>
  <c r="AH38" i="11"/>
  <c r="AH39" i="11" s="1"/>
  <c r="BL38" i="11"/>
  <c r="BL39" i="11" s="1"/>
  <c r="AV38" i="11"/>
  <c r="AV39" i="11" s="1"/>
  <c r="AF38" i="11"/>
  <c r="AF39" i="11" s="1"/>
  <c r="BK38" i="11"/>
  <c r="BK39" i="11" s="1"/>
  <c r="AU38" i="11"/>
  <c r="AU39" i="11" s="1"/>
  <c r="BJ38" i="11"/>
  <c r="BJ39" i="11" s="1"/>
  <c r="AT38" i="11"/>
  <c r="AT39" i="11" s="1"/>
  <c r="BI38" i="11"/>
  <c r="BI39" i="11" s="1"/>
  <c r="AS38" i="11"/>
  <c r="AS39" i="11" s="1"/>
  <c r="BW38" i="11"/>
  <c r="BW39" i="11" s="1"/>
  <c r="BG38" i="11"/>
  <c r="BG39" i="11" s="1"/>
  <c r="AQ38" i="11"/>
  <c r="AQ39" i="11" s="1"/>
  <c r="BV38" i="11"/>
  <c r="BV39" i="11" s="1"/>
  <c r="BF38" i="11"/>
  <c r="BF39" i="11" s="1"/>
  <c r="AP38" i="11"/>
  <c r="AP39" i="11" s="1"/>
  <c r="BH38" i="11"/>
  <c r="BH39" i="11" s="1"/>
  <c r="BE38" i="11"/>
  <c r="BE39" i="11" s="1"/>
  <c r="BD38" i="11"/>
  <c r="BD39" i="11" s="1"/>
  <c r="BC38" i="11"/>
  <c r="BC39" i="11" s="1"/>
  <c r="BB38" i="11"/>
  <c r="BB39" i="11" s="1"/>
  <c r="BA38" i="11"/>
  <c r="BA39" i="11" s="1"/>
  <c r="AW38" i="11"/>
  <c r="AW39" i="11" s="1"/>
  <c r="AR38" i="11"/>
  <c r="AR39" i="11" s="1"/>
  <c r="AO38" i="11"/>
  <c r="AO39" i="11" s="1"/>
  <c r="AN38" i="11"/>
  <c r="AN39" i="11" s="1"/>
  <c r="BU38" i="11"/>
  <c r="BU39" i="11" s="1"/>
  <c r="AM38" i="11"/>
  <c r="AM39" i="11" s="1"/>
  <c r="BT38" i="11"/>
  <c r="BT39" i="11" s="1"/>
  <c r="AL38" i="11"/>
  <c r="AL39" i="11" s="1"/>
  <c r="BS38" i="11"/>
  <c r="BS39" i="11" s="1"/>
  <c r="AK38" i="11"/>
  <c r="AK39" i="11" s="1"/>
  <c r="BR38" i="11"/>
  <c r="BR39" i="11" s="1"/>
  <c r="BQ38" i="11"/>
  <c r="BQ39" i="11" s="1"/>
  <c r="BM38" i="11"/>
  <c r="BM39" i="11" s="1"/>
  <c r="AG38" i="11"/>
  <c r="AG39" i="11" s="1"/>
  <c r="G94" i="4"/>
  <c r="F94" i="4"/>
  <c r="BJ55" i="11"/>
  <c r="AT55" i="11"/>
  <c r="BI55" i="11"/>
  <c r="AS55" i="11"/>
  <c r="BH55" i="11"/>
  <c r="AR55" i="11"/>
  <c r="BW55" i="11"/>
  <c r="BG55" i="11"/>
  <c r="AQ55" i="11"/>
  <c r="BV55" i="11"/>
  <c r="BF55" i="11"/>
  <c r="AP55" i="11"/>
  <c r="BP55" i="11"/>
  <c r="AZ55" i="11"/>
  <c r="AJ55" i="11"/>
  <c r="BN55" i="11"/>
  <c r="AX55" i="11"/>
  <c r="AH55" i="11"/>
  <c r="BO55" i="11"/>
  <c r="AL55" i="11"/>
  <c r="BM55" i="11"/>
  <c r="AK55" i="11"/>
  <c r="BL55" i="11"/>
  <c r="AI55" i="11"/>
  <c r="BK55" i="11"/>
  <c r="AG55" i="11"/>
  <c r="BE55" i="11"/>
  <c r="AF55" i="11"/>
  <c r="BD55" i="11"/>
  <c r="BC55" i="11"/>
  <c r="BB55" i="11"/>
  <c r="BA55" i="11"/>
  <c r="AY55" i="11"/>
  <c r="AW55" i="11"/>
  <c r="BU55" i="11"/>
  <c r="AV55" i="11"/>
  <c r="BT55" i="11"/>
  <c r="AU55" i="11"/>
  <c r="BS55" i="11"/>
  <c r="BR55" i="11"/>
  <c r="BQ55" i="11"/>
  <c r="AO55" i="11"/>
  <c r="AN55" i="11"/>
  <c r="AM55" i="11"/>
  <c r="AZ48" i="7"/>
  <c r="BL43" i="7"/>
  <c r="AJ19" i="11" l="1"/>
  <c r="K75" i="4"/>
  <c r="AX46" i="11"/>
  <c r="BB46" i="11"/>
  <c r="D83" i="4"/>
  <c r="P20" i="3"/>
  <c r="AU46" i="11"/>
  <c r="BR46" i="11"/>
  <c r="BV46" i="11"/>
  <c r="AP19" i="11"/>
  <c r="BW13" i="12"/>
  <c r="AY19" i="11"/>
  <c r="AL14" i="3" s="1" a="1"/>
  <c r="AL14" i="3" s="1"/>
  <c r="AL15" i="3" s="1"/>
  <c r="AL16" i="3" s="1"/>
  <c r="AL20" i="3" s="1"/>
  <c r="AJ46" i="11"/>
  <c r="BF46" i="11"/>
  <c r="BA17" i="11"/>
  <c r="BA18" i="11" s="1"/>
  <c r="BT46" i="11"/>
  <c r="AT46" i="11"/>
  <c r="BA46" i="11"/>
  <c r="J20" i="3"/>
  <c r="BL46" i="11"/>
  <c r="AW46" i="11"/>
  <c r="AX19" i="11"/>
  <c r="BM46" i="11"/>
  <c r="AI19" i="11"/>
  <c r="AI20" i="11" s="1"/>
  <c r="BH174" i="11"/>
  <c r="AI46" i="11"/>
  <c r="BK46" i="11"/>
  <c r="H20" i="3"/>
  <c r="H28" i="3" s="1"/>
  <c r="AG46" i="11"/>
  <c r="AJ174" i="11"/>
  <c r="BW29" i="12"/>
  <c r="BW30" i="12" s="1"/>
  <c r="V23" i="3"/>
  <c r="V24" i="3" s="1"/>
  <c r="J52" i="3"/>
  <c r="J53" i="3" s="1"/>
  <c r="K59" i="4"/>
  <c r="K60" i="4"/>
  <c r="K53" i="4"/>
  <c r="BA167" i="11"/>
  <c r="BA74" i="11"/>
  <c r="T23" i="3"/>
  <c r="T24" i="3" s="1"/>
  <c r="D20" i="3"/>
  <c r="D29" i="3" s="1"/>
  <c r="M52" i="3"/>
  <c r="M53" i="3" s="1"/>
  <c r="BH46" i="11"/>
  <c r="BI169" i="11"/>
  <c r="AV19" i="11"/>
  <c r="AV20" i="11" s="1"/>
  <c r="BL169" i="11"/>
  <c r="AR169" i="11"/>
  <c r="AN46" i="11"/>
  <c r="F33" i="4"/>
  <c r="F52" i="4" s="1"/>
  <c r="AP46" i="11"/>
  <c r="L20" i="3"/>
  <c r="L28" i="3" s="1"/>
  <c r="AS46" i="11"/>
  <c r="AO46" i="11"/>
  <c r="AZ46" i="11"/>
  <c r="X23" i="3"/>
  <c r="X24" i="3" s="1"/>
  <c r="K82" i="4"/>
  <c r="N52" i="3"/>
  <c r="N53" i="3" s="1"/>
  <c r="AM162" i="11"/>
  <c r="W23" i="3"/>
  <c r="W24" i="3" s="1"/>
  <c r="AY46" i="11"/>
  <c r="AR19" i="11"/>
  <c r="S10" i="5" s="1" a="1"/>
  <c r="S10" i="5" s="1"/>
  <c r="BE46" i="11"/>
  <c r="AU19" i="11"/>
  <c r="AU20" i="11" s="1"/>
  <c r="BC167" i="11"/>
  <c r="AJ167" i="11"/>
  <c r="G20" i="3"/>
  <c r="G29" i="3" s="1"/>
  <c r="AS167" i="11"/>
  <c r="AY167" i="11"/>
  <c r="AH174" i="11"/>
  <c r="BR162" i="11"/>
  <c r="L52" i="3"/>
  <c r="L53" i="3" s="1"/>
  <c r="BP168" i="11"/>
  <c r="M20" i="3"/>
  <c r="M28" i="3" s="1"/>
  <c r="AN167" i="11"/>
  <c r="BS168" i="11"/>
  <c r="AU168" i="11"/>
  <c r="BN167" i="11"/>
  <c r="BQ169" i="11"/>
  <c r="BM174" i="11"/>
  <c r="BP174" i="11"/>
  <c r="AP174" i="11"/>
  <c r="BL168" i="11"/>
  <c r="AW167" i="11"/>
  <c r="BU167" i="11"/>
  <c r="AO168" i="11"/>
  <c r="AW169" i="11"/>
  <c r="BS169" i="11"/>
  <c r="AG174" i="11"/>
  <c r="AG168" i="11"/>
  <c r="P28" i="3"/>
  <c r="AO162" i="11"/>
  <c r="AU162" i="11"/>
  <c r="BG168" i="11"/>
  <c r="AJ83" i="11"/>
  <c r="AJ84" i="11" s="1"/>
  <c r="BB174" i="11"/>
  <c r="BW174" i="11"/>
  <c r="BE168" i="11"/>
  <c r="BN162" i="11"/>
  <c r="BK162" i="11"/>
  <c r="BW168" i="11"/>
  <c r="AL23" i="3"/>
  <c r="AL24" i="3" s="1"/>
  <c r="AZ162" i="11"/>
  <c r="AR167" i="11"/>
  <c r="BB162" i="11"/>
  <c r="BP162" i="11"/>
  <c r="AK169" i="11"/>
  <c r="BW162" i="11"/>
  <c r="C57" i="3"/>
  <c r="BM167" i="11"/>
  <c r="AP167" i="11"/>
  <c r="K20" i="3"/>
  <c r="K28" i="3" s="1"/>
  <c r="AS83" i="11"/>
  <c r="AT61" i="11"/>
  <c r="AT62" i="11" s="1"/>
  <c r="U7" i="5" s="1" a="1"/>
  <c r="U7" i="5" s="1"/>
  <c r="BN61" i="11"/>
  <c r="BN62" i="11" s="1"/>
  <c r="BI162" i="11"/>
  <c r="AK168" i="11"/>
  <c r="AP168" i="11"/>
  <c r="BU168" i="11"/>
  <c r="AW168" i="11"/>
  <c r="C58" i="3"/>
  <c r="AY168" i="11"/>
  <c r="BM168" i="11"/>
  <c r="AA23" i="3"/>
  <c r="AA24" i="3" s="1"/>
  <c r="AT83" i="11"/>
  <c r="AT84" i="11" s="1"/>
  <c r="AP83" i="11"/>
  <c r="AP84" i="11" s="1"/>
  <c r="AU61" i="11"/>
  <c r="AU62" i="11" s="1"/>
  <c r="V7" i="5" s="1" a="1"/>
  <c r="V7" i="5" s="1"/>
  <c r="BV167" i="11"/>
  <c r="O28" i="3"/>
  <c r="BR169" i="11"/>
  <c r="AV83" i="11"/>
  <c r="AV84" i="11" s="1"/>
  <c r="AG169" i="11"/>
  <c r="BC169" i="11"/>
  <c r="AS169" i="11"/>
  <c r="BL174" i="11"/>
  <c r="AZ174" i="11"/>
  <c r="AV162" i="11"/>
  <c r="AP162" i="11"/>
  <c r="BD162" i="11"/>
  <c r="AS168" i="11"/>
  <c r="AI162" i="11"/>
  <c r="BI168" i="11"/>
  <c r="AL167" i="11"/>
  <c r="BM169" i="11"/>
  <c r="AN169" i="11"/>
  <c r="BL162" i="11"/>
  <c r="AY162" i="11"/>
  <c r="AM168" i="11"/>
  <c r="AB28" i="15"/>
  <c r="AB18" i="15" s="1"/>
  <c r="BI167" i="11"/>
  <c r="BB167" i="11"/>
  <c r="F20" i="3"/>
  <c r="F25" i="3" s="1"/>
  <c r="BR167" i="11"/>
  <c r="AF62" i="11"/>
  <c r="R47" i="2" s="1" a="1"/>
  <c r="R47" i="2" s="1"/>
  <c r="AI83" i="11"/>
  <c r="AI84" i="11" s="1"/>
  <c r="AY83" i="11"/>
  <c r="AY84" i="11" s="1"/>
  <c r="BO162" i="11"/>
  <c r="AJ28" i="15"/>
  <c r="AJ18" i="15" s="1"/>
  <c r="AD28" i="15"/>
  <c r="AD18" i="15" s="1"/>
  <c r="K52" i="3"/>
  <c r="K53" i="3" s="1"/>
  <c r="AF170" i="11"/>
  <c r="G22" i="5" s="1" a="1"/>
  <c r="G22" i="5" s="1"/>
  <c r="BQ168" i="11"/>
  <c r="AI23" i="3"/>
  <c r="AI24" i="3" s="1"/>
  <c r="BG162" i="11"/>
  <c r="BU162" i="11"/>
  <c r="AD23" i="3"/>
  <c r="AD24" i="3" s="1"/>
  <c r="I52" i="3"/>
  <c r="I53" i="3" s="1"/>
  <c r="BP167" i="11"/>
  <c r="AV167" i="11"/>
  <c r="BT167" i="11"/>
  <c r="AZ83" i="11"/>
  <c r="AZ84" i="11" s="1"/>
  <c r="AR174" i="11"/>
  <c r="AM174" i="11"/>
  <c r="BI174" i="11"/>
  <c r="BU61" i="11"/>
  <c r="AW61" i="11"/>
  <c r="S22" i="2"/>
  <c r="S29" i="2"/>
  <c r="AU169" i="11"/>
  <c r="AJ169" i="11"/>
  <c r="BF169" i="11"/>
  <c r="AQ83" i="11"/>
  <c r="AQ84" i="11" s="1"/>
  <c r="AT174" i="11"/>
  <c r="BC174" i="11"/>
  <c r="BE61" i="11"/>
  <c r="AS61" i="11"/>
  <c r="AS62" i="11" s="1"/>
  <c r="T7" i="5" s="1" a="1"/>
  <c r="T7" i="5" s="1"/>
  <c r="R29" i="2"/>
  <c r="AR83" i="11"/>
  <c r="AR84" i="11" s="1"/>
  <c r="BS174" i="11"/>
  <c r="AX61" i="11"/>
  <c r="AX62" i="11" s="1"/>
  <c r="Y7" i="5" s="1" a="1"/>
  <c r="Y7" i="5" s="1"/>
  <c r="N25" i="3"/>
  <c r="N29" i="3"/>
  <c r="D57" i="3"/>
  <c r="BU8" i="7"/>
  <c r="BU9" i="7" s="1"/>
  <c r="BV8" i="7" s="1"/>
  <c r="E57" i="3"/>
  <c r="E54" i="3"/>
  <c r="E58" i="3"/>
  <c r="O29" i="3"/>
  <c r="J29" i="3"/>
  <c r="F54" i="3"/>
  <c r="F58" i="3"/>
  <c r="D58" i="3"/>
  <c r="P25" i="3"/>
  <c r="P29" i="3"/>
  <c r="N28" i="3"/>
  <c r="Q25" i="3"/>
  <c r="Q29" i="3"/>
  <c r="BB67" i="6"/>
  <c r="BB68" i="6" s="1"/>
  <c r="BB4" i="11" a="1"/>
  <c r="BB4" i="11" s="1"/>
  <c r="BB5" i="11" s="1"/>
  <c r="AJ24" i="15" a="1"/>
  <c r="AJ24" i="15" s="1"/>
  <c r="G54" i="3"/>
  <c r="G58" i="3"/>
  <c r="BV25" i="13"/>
  <c r="BV5" i="13"/>
  <c r="BV11" i="13"/>
  <c r="BW2" i="13"/>
  <c r="N6" i="4"/>
  <c r="M6" i="4"/>
  <c r="G52" i="3"/>
  <c r="G53" i="3" s="1"/>
  <c r="R20" i="3"/>
  <c r="R28" i="3" s="1"/>
  <c r="BJ158" i="11"/>
  <c r="BJ117" i="11"/>
  <c r="BJ159" i="11"/>
  <c r="BJ111" i="11"/>
  <c r="AQ162" i="11"/>
  <c r="BJ173" i="11"/>
  <c r="BJ139" i="11"/>
  <c r="AZ126" i="11"/>
  <c r="AZ160" i="11"/>
  <c r="BA158" i="11"/>
  <c r="BA117" i="11"/>
  <c r="BG61" i="11"/>
  <c r="AZ168" i="11"/>
  <c r="M58" i="4"/>
  <c r="AO173" i="11"/>
  <c r="AO139" i="11"/>
  <c r="BU111" i="11"/>
  <c r="BU159" i="11"/>
  <c r="AX169" i="11"/>
  <c r="N69" i="4"/>
  <c r="M69" i="4"/>
  <c r="C62" i="3"/>
  <c r="C61" i="3"/>
  <c r="BF162" i="11"/>
  <c r="BF168" i="11"/>
  <c r="BN168" i="11"/>
  <c r="P68" i="2"/>
  <c r="P50" i="2"/>
  <c r="P75" i="2" s="1"/>
  <c r="P44" i="2"/>
  <c r="S16" i="2"/>
  <c r="R16" i="2"/>
  <c r="Q17" i="2"/>
  <c r="Q23" i="2"/>
  <c r="AN28" i="15"/>
  <c r="AN18" i="15" s="1"/>
  <c r="Z23" i="3"/>
  <c r="Z24" i="3" s="1"/>
  <c r="AF28" i="15"/>
  <c r="AF18" i="15" s="1"/>
  <c r="U9" i="15"/>
  <c r="I86" i="15"/>
  <c r="J86" i="15" s="1"/>
  <c r="K86" i="15" s="1"/>
  <c r="L86" i="15" s="1"/>
  <c r="M86" i="15" s="1"/>
  <c r="N86" i="15" s="1"/>
  <c r="O86" i="15" s="1"/>
  <c r="P86" i="15" s="1"/>
  <c r="Q86" i="15" s="1"/>
  <c r="R86" i="15" s="1"/>
  <c r="S86" i="15" s="1"/>
  <c r="T86" i="15" s="1"/>
  <c r="W28" i="15"/>
  <c r="W18" i="15" s="1"/>
  <c r="D52" i="3"/>
  <c r="D53" i="3" s="1"/>
  <c r="D54" i="3" s="1"/>
  <c r="BM173" i="11"/>
  <c r="BM139" i="11"/>
  <c r="BE173" i="11"/>
  <c r="BE139" i="11"/>
  <c r="AF173" i="11"/>
  <c r="BB67" i="7"/>
  <c r="BB68" i="7" s="1"/>
  <c r="BB4" i="12" a="1"/>
  <c r="BB4" i="12" s="1"/>
  <c r="BB5" i="12" s="1"/>
  <c r="BB17" i="12" s="1"/>
  <c r="BB18" i="12" s="1"/>
  <c r="BM160" i="11"/>
  <c r="BM126" i="11"/>
  <c r="BC160" i="11"/>
  <c r="BC126" i="11"/>
  <c r="BO46" i="11"/>
  <c r="AH19" i="11"/>
  <c r="F34" i="4"/>
  <c r="F53" i="4" s="1"/>
  <c r="BU145" i="12"/>
  <c r="BE145" i="12"/>
  <c r="AO145" i="12"/>
  <c r="BT145" i="12"/>
  <c r="BD145" i="12"/>
  <c r="AN145" i="12"/>
  <c r="BS145" i="12"/>
  <c r="BC145" i="12"/>
  <c r="AM145" i="12"/>
  <c r="BQ145" i="12"/>
  <c r="BA145" i="12"/>
  <c r="AK145" i="12"/>
  <c r="BP145" i="12"/>
  <c r="AZ145" i="12"/>
  <c r="AJ145" i="12"/>
  <c r="BO145" i="12"/>
  <c r="AY145" i="12"/>
  <c r="AI145" i="12"/>
  <c r="BM145" i="12"/>
  <c r="AW145" i="12"/>
  <c r="AG145" i="12"/>
  <c r="BL145" i="12"/>
  <c r="AV145" i="12"/>
  <c r="AF145" i="12"/>
  <c r="BK145" i="12"/>
  <c r="AU145" i="12"/>
  <c r="BI145" i="12"/>
  <c r="AS145" i="12"/>
  <c r="AQ145" i="12"/>
  <c r="AP145" i="12"/>
  <c r="AL145" i="12"/>
  <c r="AH145" i="12"/>
  <c r="BW145" i="12"/>
  <c r="BV145" i="12"/>
  <c r="BR145" i="12"/>
  <c r="BN145" i="12"/>
  <c r="BJ145" i="12"/>
  <c r="BH145" i="12"/>
  <c r="BG145" i="12"/>
  <c r="BB145" i="12"/>
  <c r="AX145" i="12"/>
  <c r="BF145" i="12"/>
  <c r="AR145" i="12"/>
  <c r="AT145" i="12"/>
  <c r="L144" i="4"/>
  <c r="BK158" i="11"/>
  <c r="BK117" i="11"/>
  <c r="AG158" i="11"/>
  <c r="AG117" i="11"/>
  <c r="BB158" i="11"/>
  <c r="BB117" i="11"/>
  <c r="AY159" i="11"/>
  <c r="AY111" i="11"/>
  <c r="BN159" i="11"/>
  <c r="BN111" i="11"/>
  <c r="AW159" i="11"/>
  <c r="AW111" i="11"/>
  <c r="BN169" i="11"/>
  <c r="AO169" i="11"/>
  <c r="AU83" i="11"/>
  <c r="AU84" i="11" s="1"/>
  <c r="BJ174" i="11"/>
  <c r="AX174" i="11"/>
  <c r="BT174" i="11"/>
  <c r="AK61" i="11"/>
  <c r="BA61" i="11"/>
  <c r="BA62" i="11" s="1"/>
  <c r="AY61" i="11"/>
  <c r="R22" i="2"/>
  <c r="AU175" i="11"/>
  <c r="AU178" i="11"/>
  <c r="BP178" i="11"/>
  <c r="BP175" i="11"/>
  <c r="J87" i="15"/>
  <c r="K87" i="15" s="1"/>
  <c r="L87" i="15" s="1"/>
  <c r="M87" i="15" s="1"/>
  <c r="N87" i="15" s="1"/>
  <c r="O87" i="15" s="1"/>
  <c r="P87" i="15" s="1"/>
  <c r="Q87" i="15" s="1"/>
  <c r="R87" i="15" s="1"/>
  <c r="S87" i="15" s="1"/>
  <c r="T87" i="15" s="1"/>
  <c r="U87" i="15" s="1"/>
  <c r="V9" i="15"/>
  <c r="BT173" i="11"/>
  <c r="BT139" i="11"/>
  <c r="BT141" i="11" s="1"/>
  <c r="AM160" i="11"/>
  <c r="AM126" i="11"/>
  <c r="BP158" i="11"/>
  <c r="BP117" i="11"/>
  <c r="BJ167" i="11"/>
  <c r="AG19" i="11"/>
  <c r="S41" i="2" a="1"/>
  <c r="S41" i="2" s="1"/>
  <c r="S66" i="2" s="1"/>
  <c r="BD158" i="11"/>
  <c r="BD117" i="11"/>
  <c r="S65" i="2"/>
  <c r="T28" i="15"/>
  <c r="T18" i="15" s="1"/>
  <c r="BK167" i="11"/>
  <c r="AW173" i="11"/>
  <c r="AW139" i="11"/>
  <c r="BP160" i="11"/>
  <c r="BP126" i="11"/>
  <c r="BH61" i="11"/>
  <c r="AX168" i="11"/>
  <c r="BH44" i="12"/>
  <c r="AR44" i="12"/>
  <c r="BW44" i="12"/>
  <c r="BG44" i="12"/>
  <c r="AQ44" i="12"/>
  <c r="BV44" i="12"/>
  <c r="BF44" i="12"/>
  <c r="AP44" i="12"/>
  <c r="BU44" i="12"/>
  <c r="BE44" i="12"/>
  <c r="AO44" i="12"/>
  <c r="BT44" i="12"/>
  <c r="BD44" i="12"/>
  <c r="AN44" i="12"/>
  <c r="BS44" i="12"/>
  <c r="BC44" i="12"/>
  <c r="AM44" i="12"/>
  <c r="BR44" i="12"/>
  <c r="BB44" i="12"/>
  <c r="AL44" i="12"/>
  <c r="BQ44" i="12"/>
  <c r="BA44" i="12"/>
  <c r="AK44" i="12"/>
  <c r="BP44" i="12"/>
  <c r="AZ44" i="12"/>
  <c r="AJ44" i="12"/>
  <c r="BO44" i="12"/>
  <c r="AY44" i="12"/>
  <c r="AI44" i="12"/>
  <c r="BN44" i="12"/>
  <c r="AX44" i="12"/>
  <c r="AH44" i="12"/>
  <c r="BL44" i="12"/>
  <c r="AV44" i="12"/>
  <c r="AF44" i="12"/>
  <c r="BM44" i="12"/>
  <c r="BK44" i="12"/>
  <c r="BJ44" i="12"/>
  <c r="BI44" i="12"/>
  <c r="AW44" i="12"/>
  <c r="AU44" i="12"/>
  <c r="AG44" i="12"/>
  <c r="AT44" i="12"/>
  <c r="AS44" i="12"/>
  <c r="AW174" i="11"/>
  <c r="BD174" i="11"/>
  <c r="BI61" i="11"/>
  <c r="BI62" i="11" s="1"/>
  <c r="AI61" i="11"/>
  <c r="AO175" i="11"/>
  <c r="AO178" i="11"/>
  <c r="BT162" i="11"/>
  <c r="AR168" i="11"/>
  <c r="AH162" i="11"/>
  <c r="AS162" i="11"/>
  <c r="AK162" i="11"/>
  <c r="AL168" i="11"/>
  <c r="BH168" i="11"/>
  <c r="AO28" i="15"/>
  <c r="AO18" i="15" s="1"/>
  <c r="Z28" i="15"/>
  <c r="Z18" i="15" s="1"/>
  <c r="AA9" i="15"/>
  <c r="O92" i="15"/>
  <c r="P92" i="15" s="1"/>
  <c r="Q92" i="15" s="1"/>
  <c r="R92" i="15" s="1"/>
  <c r="S92" i="15" s="1"/>
  <c r="T92" i="15" s="1"/>
  <c r="U92" i="15" s="1"/>
  <c r="V92" i="15" s="1"/>
  <c r="W92" i="15" s="1"/>
  <c r="X92" i="15" s="1"/>
  <c r="Y92" i="15" s="1"/>
  <c r="Z92" i="15" s="1"/>
  <c r="M23" i="3"/>
  <c r="M24" i="3" s="1"/>
  <c r="R28" i="15"/>
  <c r="R18" i="15" s="1"/>
  <c r="G84" i="15"/>
  <c r="H84" i="15" s="1"/>
  <c r="I84" i="15" s="1"/>
  <c r="J84" i="15" s="1"/>
  <c r="K84" i="15" s="1"/>
  <c r="L84" i="15" s="1"/>
  <c r="M84" i="15" s="1"/>
  <c r="N84" i="15" s="1"/>
  <c r="O84" i="15" s="1"/>
  <c r="P84" i="15" s="1"/>
  <c r="Q84" i="15" s="1"/>
  <c r="R84" i="15" s="1"/>
  <c r="S9" i="15"/>
  <c r="F52" i="3"/>
  <c r="F53" i="3" s="1"/>
  <c r="BS167" i="11"/>
  <c r="BL167" i="11"/>
  <c r="AO167" i="11"/>
  <c r="BO139" i="11"/>
  <c r="BO173" i="11"/>
  <c r="BU173" i="11"/>
  <c r="BU139" i="11"/>
  <c r="BU141" i="11" s="1"/>
  <c r="AV173" i="11"/>
  <c r="AV139" i="11"/>
  <c r="AP160" i="11"/>
  <c r="AP126" i="11"/>
  <c r="AQ160" i="11"/>
  <c r="AQ126" i="11"/>
  <c r="AX20" i="11"/>
  <c r="AK14" i="3" a="1"/>
  <c r="AK14" i="3" s="1"/>
  <c r="AK15" i="3" s="1"/>
  <c r="AK16" i="3" s="1"/>
  <c r="AK20" i="3" s="1"/>
  <c r="Y10" i="5" a="1"/>
  <c r="Y10" i="5" s="1"/>
  <c r="N79" i="4"/>
  <c r="M79" i="4"/>
  <c r="BO36" i="12"/>
  <c r="AY36" i="12"/>
  <c r="AI36" i="12"/>
  <c r="BN36" i="12"/>
  <c r="AX36" i="12"/>
  <c r="AH36" i="12"/>
  <c r="BL36" i="12"/>
  <c r="AV36" i="12"/>
  <c r="AF36" i="12"/>
  <c r="BK36" i="12"/>
  <c r="AU36" i="12"/>
  <c r="BP36" i="12"/>
  <c r="AR36" i="12"/>
  <c r="BM36" i="12"/>
  <c r="AQ36" i="12"/>
  <c r="BJ36" i="12"/>
  <c r="AP36" i="12"/>
  <c r="BI36" i="12"/>
  <c r="AO36" i="12"/>
  <c r="BH36" i="12"/>
  <c r="AN36" i="12"/>
  <c r="BG36" i="12"/>
  <c r="AM36" i="12"/>
  <c r="BF36" i="12"/>
  <c r="AL36" i="12"/>
  <c r="BE36" i="12"/>
  <c r="AK36" i="12"/>
  <c r="BD36" i="12"/>
  <c r="AJ36" i="12"/>
  <c r="BW36" i="12"/>
  <c r="BC36" i="12"/>
  <c r="AG36" i="12"/>
  <c r="BV36" i="12"/>
  <c r="BB36" i="12"/>
  <c r="BU36" i="12"/>
  <c r="BA36" i="12"/>
  <c r="BR36" i="12"/>
  <c r="AT36" i="12"/>
  <c r="AW36" i="12"/>
  <c r="AS36" i="12"/>
  <c r="BT36" i="12"/>
  <c r="BS36" i="12"/>
  <c r="BQ36" i="12"/>
  <c r="AZ36" i="12"/>
  <c r="BR38" i="12"/>
  <c r="BR39" i="12" s="1"/>
  <c r="BB38" i="12"/>
  <c r="BB39" i="12" s="1"/>
  <c r="AL38" i="12"/>
  <c r="AL39" i="12" s="1"/>
  <c r="BQ38" i="12"/>
  <c r="BQ39" i="12" s="1"/>
  <c r="BA38" i="12"/>
  <c r="BA39" i="12" s="1"/>
  <c r="AK38" i="12"/>
  <c r="AK39" i="12" s="1"/>
  <c r="BO38" i="12"/>
  <c r="BO39" i="12" s="1"/>
  <c r="AY38" i="12"/>
  <c r="AY39" i="12" s="1"/>
  <c r="AI38" i="12"/>
  <c r="AI39" i="12" s="1"/>
  <c r="BN38" i="12"/>
  <c r="BN39" i="12" s="1"/>
  <c r="AX38" i="12"/>
  <c r="AX39" i="12" s="1"/>
  <c r="AH38" i="12"/>
  <c r="AH39" i="12" s="1"/>
  <c r="BV38" i="12"/>
  <c r="BV39" i="12" s="1"/>
  <c r="BF38" i="12"/>
  <c r="BF39" i="12" s="1"/>
  <c r="AP38" i="12"/>
  <c r="AP39" i="12" s="1"/>
  <c r="BT38" i="12"/>
  <c r="BT39" i="12" s="1"/>
  <c r="AU38" i="12"/>
  <c r="AU39" i="12" s="1"/>
  <c r="BS38" i="12"/>
  <c r="BS39" i="12" s="1"/>
  <c r="AT38" i="12"/>
  <c r="AT39" i="12" s="1"/>
  <c r="BP38" i="12"/>
  <c r="BP39" i="12" s="1"/>
  <c r="AS38" i="12"/>
  <c r="AS39" i="12" s="1"/>
  <c r="BM38" i="12"/>
  <c r="BM39" i="12" s="1"/>
  <c r="AR38" i="12"/>
  <c r="AR39" i="12" s="1"/>
  <c r="BL38" i="12"/>
  <c r="BL39" i="12" s="1"/>
  <c r="AQ38" i="12"/>
  <c r="AQ39" i="12" s="1"/>
  <c r="BK38" i="12"/>
  <c r="BK39" i="12" s="1"/>
  <c r="AO38" i="12"/>
  <c r="AO39" i="12" s="1"/>
  <c r="BJ38" i="12"/>
  <c r="BJ39" i="12" s="1"/>
  <c r="AN38" i="12"/>
  <c r="AN39" i="12" s="1"/>
  <c r="BI38" i="12"/>
  <c r="BI39" i="12" s="1"/>
  <c r="AM38" i="12"/>
  <c r="AM39" i="12" s="1"/>
  <c r="BH38" i="12"/>
  <c r="BH39" i="12" s="1"/>
  <c r="AJ38" i="12"/>
  <c r="AJ39" i="12" s="1"/>
  <c r="BG38" i="12"/>
  <c r="BG39" i="12" s="1"/>
  <c r="AG38" i="12"/>
  <c r="AG39" i="12" s="1"/>
  <c r="BE38" i="12"/>
  <c r="BE39" i="12" s="1"/>
  <c r="AF38" i="12"/>
  <c r="AF39" i="12" s="1"/>
  <c r="BD38" i="12"/>
  <c r="BD39" i="12" s="1"/>
  <c r="BW38" i="12"/>
  <c r="BW39" i="12" s="1"/>
  <c r="AW38" i="12"/>
  <c r="AW39" i="12" s="1"/>
  <c r="BU38" i="12"/>
  <c r="BU39" i="12" s="1"/>
  <c r="BC38" i="12"/>
  <c r="BC39" i="12" s="1"/>
  <c r="AV38" i="12"/>
  <c r="AV39" i="12" s="1"/>
  <c r="AZ38" i="12"/>
  <c r="AZ39" i="12" s="1"/>
  <c r="BT158" i="11"/>
  <c r="BT117" i="11"/>
  <c r="AW158" i="11"/>
  <c r="AW117" i="11"/>
  <c r="BR158" i="11"/>
  <c r="BR117" i="11"/>
  <c r="BV159" i="11"/>
  <c r="BV111" i="11"/>
  <c r="AN159" i="11"/>
  <c r="AN111" i="11"/>
  <c r="BM159" i="11"/>
  <c r="BM111" i="11"/>
  <c r="AI169" i="11"/>
  <c r="BE169" i="11"/>
  <c r="AL83" i="11"/>
  <c r="AL84" i="11" s="1"/>
  <c r="AY174" i="11"/>
  <c r="AO174" i="11"/>
  <c r="BJ61" i="11"/>
  <c r="BJ62" i="11" s="1"/>
  <c r="BB61" i="11"/>
  <c r="BO61" i="11"/>
  <c r="N92" i="4"/>
  <c r="M92" i="4"/>
  <c r="D36" i="4"/>
  <c r="AP178" i="11"/>
  <c r="AP175" i="11"/>
  <c r="BK175" i="11"/>
  <c r="BK178" i="11"/>
  <c r="AK178" i="11"/>
  <c r="AK175" i="11"/>
  <c r="BD178" i="11"/>
  <c r="BD175" i="11"/>
  <c r="AM173" i="11"/>
  <c r="AM139" i="11"/>
  <c r="AJ160" i="11"/>
  <c r="AJ126" i="11"/>
  <c r="AY178" i="11"/>
  <c r="AY175" i="11"/>
  <c r="BT159" i="11"/>
  <c r="BT111" i="11"/>
  <c r="R23" i="3"/>
  <c r="R24" i="3" s="1"/>
  <c r="BI34" i="12"/>
  <c r="AS34" i="12"/>
  <c r="BH34" i="12"/>
  <c r="AR34" i="12"/>
  <c r="BV34" i="12"/>
  <c r="BF34" i="12"/>
  <c r="AP34" i="12"/>
  <c r="BU34" i="12"/>
  <c r="BE34" i="12"/>
  <c r="AO34" i="12"/>
  <c r="BB34" i="12"/>
  <c r="AH34" i="12"/>
  <c r="BW34" i="12"/>
  <c r="BA34" i="12"/>
  <c r="AG34" i="12"/>
  <c r="BT34" i="12"/>
  <c r="AZ34" i="12"/>
  <c r="AF34" i="12"/>
  <c r="BS34" i="12"/>
  <c r="AY34" i="12"/>
  <c r="BR34" i="12"/>
  <c r="AX34" i="12"/>
  <c r="BQ34" i="12"/>
  <c r="AW34" i="12"/>
  <c r="BP34" i="12"/>
  <c r="AV34" i="12"/>
  <c r="BO34" i="12"/>
  <c r="AU34" i="12"/>
  <c r="BN34" i="12"/>
  <c r="AT34" i="12"/>
  <c r="BM34" i="12"/>
  <c r="AQ34" i="12"/>
  <c r="BL34" i="12"/>
  <c r="AN34" i="12"/>
  <c r="BK34" i="12"/>
  <c r="AM34" i="12"/>
  <c r="BD34" i="12"/>
  <c r="AJ34" i="12"/>
  <c r="BJ34" i="12"/>
  <c r="BC34" i="12"/>
  <c r="AL34" i="12"/>
  <c r="AK34" i="12"/>
  <c r="AI34" i="12"/>
  <c r="BG34" i="12"/>
  <c r="AJ178" i="11"/>
  <c r="AJ175" i="11"/>
  <c r="AG162" i="11"/>
  <c r="F119" i="4"/>
  <c r="BB168" i="11"/>
  <c r="AL28" i="15"/>
  <c r="AL18" i="15" s="1"/>
  <c r="AI28" i="15"/>
  <c r="AI18" i="15" s="1"/>
  <c r="AC28" i="15"/>
  <c r="AC18" i="15" s="1"/>
  <c r="AG167" i="11"/>
  <c r="BE167" i="11"/>
  <c r="AG173" i="11"/>
  <c r="AP173" i="11"/>
  <c r="AP139" i="11"/>
  <c r="BL173" i="11"/>
  <c r="BL139" i="11"/>
  <c r="BO160" i="11"/>
  <c r="BO126" i="11"/>
  <c r="BG160" i="11"/>
  <c r="BG126" i="11"/>
  <c r="BU46" i="11"/>
  <c r="Q43" i="2"/>
  <c r="BQ114" i="12"/>
  <c r="BA114" i="12"/>
  <c r="AK114" i="12"/>
  <c r="BO114" i="12"/>
  <c r="AY114" i="12"/>
  <c r="AI114" i="12"/>
  <c r="BL114" i="12"/>
  <c r="AV114" i="12"/>
  <c r="AF114" i="12"/>
  <c r="BH114" i="12"/>
  <c r="AO114" i="12"/>
  <c r="BG114" i="12"/>
  <c r="AN114" i="12"/>
  <c r="BF114" i="12"/>
  <c r="AM114" i="12"/>
  <c r="BE114" i="12"/>
  <c r="AL114" i="12"/>
  <c r="BW114" i="12"/>
  <c r="BD114" i="12"/>
  <c r="AJ114" i="12"/>
  <c r="BV114" i="12"/>
  <c r="BC114" i="12"/>
  <c r="AH114" i="12"/>
  <c r="BU114" i="12"/>
  <c r="BB114" i="12"/>
  <c r="AG114" i="12"/>
  <c r="BT114" i="12"/>
  <c r="AZ114" i="12"/>
  <c r="BS114" i="12"/>
  <c r="AX114" i="12"/>
  <c r="BP114" i="12"/>
  <c r="AU114" i="12"/>
  <c r="BN114" i="12"/>
  <c r="AT114" i="12"/>
  <c r="BJ114" i="12"/>
  <c r="AQ114" i="12"/>
  <c r="BI114" i="12"/>
  <c r="AP114" i="12"/>
  <c r="AW114" i="12"/>
  <c r="AS114" i="12"/>
  <c r="AR114" i="12"/>
  <c r="BM114" i="12"/>
  <c r="BK114" i="12"/>
  <c r="BR114" i="12"/>
  <c r="BH116" i="12"/>
  <c r="AR116" i="12"/>
  <c r="BW116" i="12"/>
  <c r="BG116" i="12"/>
  <c r="AQ116" i="12"/>
  <c r="BU116" i="12"/>
  <c r="BE116" i="12"/>
  <c r="AO116" i="12"/>
  <c r="BT116" i="12"/>
  <c r="BD116" i="12"/>
  <c r="AN116" i="12"/>
  <c r="BR116" i="12"/>
  <c r="BB116" i="12"/>
  <c r="AL116" i="12"/>
  <c r="BQ116" i="12"/>
  <c r="BA116" i="12"/>
  <c r="AK116" i="12"/>
  <c r="BO116" i="12"/>
  <c r="AY116" i="12"/>
  <c r="AI116" i="12"/>
  <c r="BC116" i="12"/>
  <c r="AZ116" i="12"/>
  <c r="AX116" i="12"/>
  <c r="AW116" i="12"/>
  <c r="AV116" i="12"/>
  <c r="AU116" i="12"/>
  <c r="BV116" i="12"/>
  <c r="AT116" i="12"/>
  <c r="BS116" i="12"/>
  <c r="AS116" i="12"/>
  <c r="BP116" i="12"/>
  <c r="AP116" i="12"/>
  <c r="BM116" i="12"/>
  <c r="AJ116" i="12"/>
  <c r="BL116" i="12"/>
  <c r="AH116" i="12"/>
  <c r="BI116" i="12"/>
  <c r="BF116" i="12"/>
  <c r="BN116" i="12"/>
  <c r="BK116" i="12"/>
  <c r="BJ116" i="12"/>
  <c r="AM116" i="12"/>
  <c r="AG116" i="12"/>
  <c r="AF116" i="12"/>
  <c r="AF169" i="12" s="1"/>
  <c r="BU158" i="11"/>
  <c r="BU117" i="11"/>
  <c r="BM117" i="11"/>
  <c r="BM158" i="11"/>
  <c r="AM158" i="11"/>
  <c r="AM117" i="11"/>
  <c r="AZ159" i="11"/>
  <c r="AZ111" i="11"/>
  <c r="BO159" i="11"/>
  <c r="BO111" i="11"/>
  <c r="AY169" i="11"/>
  <c r="BU169" i="11"/>
  <c r="AF83" i="11"/>
  <c r="AF84" i="11" s="1"/>
  <c r="BK174" i="11"/>
  <c r="BE174" i="11"/>
  <c r="AL61" i="11"/>
  <c r="BC61" i="11"/>
  <c r="BC62" i="11" s="1"/>
  <c r="AJ61" i="11"/>
  <c r="AJ62" i="11" s="1"/>
  <c r="AQ178" i="11"/>
  <c r="AQ175" i="11"/>
  <c r="AF175" i="11"/>
  <c r="AF178" i="11"/>
  <c r="BA178" i="11"/>
  <c r="BA175" i="11"/>
  <c r="D125" i="4"/>
  <c r="R16" i="4"/>
  <c r="AT173" i="11"/>
  <c r="AT139" i="11"/>
  <c r="AK158" i="11"/>
  <c r="AK117" i="11"/>
  <c r="BT125" i="12"/>
  <c r="BD125" i="12"/>
  <c r="AN125" i="12"/>
  <c r="BS125" i="12"/>
  <c r="BC125" i="12"/>
  <c r="AM125" i="12"/>
  <c r="BR125" i="12"/>
  <c r="BB125" i="12"/>
  <c r="AL125" i="12"/>
  <c r="BQ125" i="12"/>
  <c r="BA125" i="12"/>
  <c r="AK125" i="12"/>
  <c r="BP125" i="12"/>
  <c r="AZ125" i="12"/>
  <c r="AJ125" i="12"/>
  <c r="BO125" i="12"/>
  <c r="AY125" i="12"/>
  <c r="AI125" i="12"/>
  <c r="BN125" i="12"/>
  <c r="AX125" i="12"/>
  <c r="AH125" i="12"/>
  <c r="BM125" i="12"/>
  <c r="AW125" i="12"/>
  <c r="AG125" i="12"/>
  <c r="BL125" i="12"/>
  <c r="AV125" i="12"/>
  <c r="AF125" i="12"/>
  <c r="BJ125" i="12"/>
  <c r="AT125" i="12"/>
  <c r="BU125" i="12"/>
  <c r="BK125" i="12"/>
  <c r="BI125" i="12"/>
  <c r="BH125" i="12"/>
  <c r="BG125" i="12"/>
  <c r="BF125" i="12"/>
  <c r="BE125" i="12"/>
  <c r="AU125" i="12"/>
  <c r="AS125" i="12"/>
  <c r="AQ125" i="12"/>
  <c r="AP125" i="12"/>
  <c r="BW125" i="12"/>
  <c r="BV125" i="12"/>
  <c r="AR125" i="12"/>
  <c r="AO125" i="12"/>
  <c r="M71" i="4"/>
  <c r="N71" i="4"/>
  <c r="I20" i="3"/>
  <c r="I28" i="3" s="1"/>
  <c r="BQ162" i="11"/>
  <c r="F57" i="3"/>
  <c r="AE28" i="15"/>
  <c r="AE18" i="15" s="1"/>
  <c r="L23" i="3"/>
  <c r="L24" i="3" s="1"/>
  <c r="G92" i="4"/>
  <c r="F92" i="4"/>
  <c r="BP173" i="11"/>
  <c r="BP139" i="11"/>
  <c r="BP141" i="11" s="1"/>
  <c r="BF173" i="11"/>
  <c r="BF139" i="11"/>
  <c r="AH173" i="11"/>
  <c r="AH139" i="11"/>
  <c r="BE160" i="11"/>
  <c r="BE126" i="11"/>
  <c r="AS160" i="11"/>
  <c r="AS126" i="11"/>
  <c r="BW160" i="11"/>
  <c r="BW126" i="11"/>
  <c r="BP46" i="11"/>
  <c r="AN19" i="11"/>
  <c r="F120" i="4"/>
  <c r="F139" i="4" s="1"/>
  <c r="BT35" i="12"/>
  <c r="BD35" i="12"/>
  <c r="AN35" i="12"/>
  <c r="BS35" i="12"/>
  <c r="BC35" i="12"/>
  <c r="AM35" i="12"/>
  <c r="BQ35" i="12"/>
  <c r="BA35" i="12"/>
  <c r="AK35" i="12"/>
  <c r="BP35" i="12"/>
  <c r="AZ35" i="12"/>
  <c r="AJ35" i="12"/>
  <c r="BI35" i="12"/>
  <c r="AO35" i="12"/>
  <c r="BH35" i="12"/>
  <c r="AL35" i="12"/>
  <c r="BG35" i="12"/>
  <c r="AI35" i="12"/>
  <c r="BF35" i="12"/>
  <c r="AH35" i="12"/>
  <c r="BE35" i="12"/>
  <c r="AG35" i="12"/>
  <c r="BB35" i="12"/>
  <c r="AF35" i="12"/>
  <c r="BW35" i="12"/>
  <c r="AY35" i="12"/>
  <c r="BV35" i="12"/>
  <c r="AX35" i="12"/>
  <c r="BU35" i="12"/>
  <c r="AW35" i="12"/>
  <c r="BR35" i="12"/>
  <c r="AV35" i="12"/>
  <c r="BO35" i="12"/>
  <c r="AU35" i="12"/>
  <c r="BN35" i="12"/>
  <c r="AT35" i="12"/>
  <c r="BK35" i="12"/>
  <c r="AQ35" i="12"/>
  <c r="AP35" i="12"/>
  <c r="BL35" i="12"/>
  <c r="BJ35" i="12"/>
  <c r="AR35" i="12"/>
  <c r="BM35" i="12"/>
  <c r="AS35" i="12"/>
  <c r="BL57" i="12"/>
  <c r="AV57" i="12"/>
  <c r="AF57" i="12"/>
  <c r="BK57" i="12"/>
  <c r="AU57" i="12"/>
  <c r="BI57" i="12"/>
  <c r="AS57" i="12"/>
  <c r="BH57" i="12"/>
  <c r="AR57" i="12"/>
  <c r="BU57" i="12"/>
  <c r="BE57" i="12"/>
  <c r="AO57" i="12"/>
  <c r="BT57" i="12"/>
  <c r="BD57" i="12"/>
  <c r="AN57" i="12"/>
  <c r="BQ57" i="12"/>
  <c r="BA57" i="12"/>
  <c r="AK57" i="12"/>
  <c r="BP57" i="12"/>
  <c r="AM57" i="12"/>
  <c r="BO57" i="12"/>
  <c r="AL57" i="12"/>
  <c r="BN57" i="12"/>
  <c r="AJ57" i="12"/>
  <c r="BM57" i="12"/>
  <c r="AI57" i="12"/>
  <c r="BJ57" i="12"/>
  <c r="AH57" i="12"/>
  <c r="BG57" i="12"/>
  <c r="AG57" i="12"/>
  <c r="BF57" i="12"/>
  <c r="BC57" i="12"/>
  <c r="BB57" i="12"/>
  <c r="AZ57" i="12"/>
  <c r="AY57" i="12"/>
  <c r="AX57" i="12"/>
  <c r="BW57" i="12"/>
  <c r="AW57" i="12"/>
  <c r="BV57" i="12"/>
  <c r="BS57" i="12"/>
  <c r="BR57" i="12"/>
  <c r="AP57" i="12"/>
  <c r="AT57" i="12"/>
  <c r="AQ57" i="12"/>
  <c r="BW58" i="12"/>
  <c r="BG58" i="12"/>
  <c r="AQ58" i="12"/>
  <c r="BV58" i="12"/>
  <c r="BF58" i="12"/>
  <c r="AP58" i="12"/>
  <c r="BU58" i="12"/>
  <c r="BE58" i="12"/>
  <c r="AO58" i="12"/>
  <c r="BT58" i="12"/>
  <c r="BD58" i="12"/>
  <c r="AN58" i="12"/>
  <c r="BS58" i="12"/>
  <c r="BC58" i="12"/>
  <c r="AM58" i="12"/>
  <c r="BP58" i="12"/>
  <c r="AZ58" i="12"/>
  <c r="AJ58" i="12"/>
  <c r="BO58" i="12"/>
  <c r="AY58" i="12"/>
  <c r="AI58" i="12"/>
  <c r="BL58" i="12"/>
  <c r="AV58" i="12"/>
  <c r="AF58" i="12"/>
  <c r="BK58" i="12"/>
  <c r="BJ58" i="12"/>
  <c r="BI58" i="12"/>
  <c r="BH58" i="12"/>
  <c r="BB58" i="12"/>
  <c r="BA58" i="12"/>
  <c r="AX58" i="12"/>
  <c r="AW58" i="12"/>
  <c r="AU58" i="12"/>
  <c r="AT58" i="12"/>
  <c r="AS58" i="12"/>
  <c r="AR58" i="12"/>
  <c r="BR58" i="12"/>
  <c r="AL58" i="12"/>
  <c r="BQ58" i="12"/>
  <c r="BN58" i="12"/>
  <c r="BM58" i="12"/>
  <c r="AK58" i="12"/>
  <c r="AH58" i="12"/>
  <c r="AG58" i="12"/>
  <c r="BV158" i="11"/>
  <c r="BV117" i="11"/>
  <c r="AH158" i="11"/>
  <c r="AH117" i="11"/>
  <c r="BC158" i="11"/>
  <c r="BC117" i="11"/>
  <c r="BB159" i="11"/>
  <c r="BB111" i="11"/>
  <c r="AK159" i="11"/>
  <c r="AK111" i="11"/>
  <c r="AT169" i="11"/>
  <c r="BO169" i="11"/>
  <c r="AP169" i="11"/>
  <c r="BU174" i="11"/>
  <c r="BK61" i="11"/>
  <c r="AN61" i="11"/>
  <c r="AN62" i="11" s="1"/>
  <c r="AZ61" i="11"/>
  <c r="AR178" i="11"/>
  <c r="AR175" i="11"/>
  <c r="AV175" i="11"/>
  <c r="AV178" i="11"/>
  <c r="BQ178" i="11"/>
  <c r="BQ175" i="11"/>
  <c r="AI178" i="11"/>
  <c r="AI175" i="11"/>
  <c r="BT178" i="11"/>
  <c r="BT175" i="11"/>
  <c r="AT17" i="12"/>
  <c r="AT18" i="12" s="1"/>
  <c r="AS17" i="12"/>
  <c r="AS18" i="12" s="1"/>
  <c r="AR17" i="12"/>
  <c r="AR18" i="12" s="1"/>
  <c r="AQ17" i="12"/>
  <c r="AQ18" i="12" s="1"/>
  <c r="AM17" i="12"/>
  <c r="AM18" i="12" s="1"/>
  <c r="AL17" i="12"/>
  <c r="AL18" i="12" s="1"/>
  <c r="BA17" i="12"/>
  <c r="BA18" i="12" s="1"/>
  <c r="AK17" i="12"/>
  <c r="AK18" i="12" s="1"/>
  <c r="AV17" i="12"/>
  <c r="AV18" i="12" s="1"/>
  <c r="AU17" i="12"/>
  <c r="AU18" i="12" s="1"/>
  <c r="AP17" i="12"/>
  <c r="AP18" i="12" s="1"/>
  <c r="AO17" i="12"/>
  <c r="AO18" i="12" s="1"/>
  <c r="AN17" i="12"/>
  <c r="AN18" i="12" s="1"/>
  <c r="AJ17" i="12"/>
  <c r="AJ18" i="12" s="1"/>
  <c r="AI17" i="12"/>
  <c r="AI18" i="12" s="1"/>
  <c r="AH17" i="12"/>
  <c r="AH18" i="12" s="1"/>
  <c r="AG17" i="12"/>
  <c r="AG18" i="12" s="1"/>
  <c r="AF17" i="12"/>
  <c r="AF18" i="12" s="1"/>
  <c r="AZ17" i="12"/>
  <c r="AZ18" i="12" s="1"/>
  <c r="AY17" i="12"/>
  <c r="AY18" i="12" s="1"/>
  <c r="AX17" i="12"/>
  <c r="AX18" i="12" s="1"/>
  <c r="AW17" i="12"/>
  <c r="AW18" i="12" s="1"/>
  <c r="BA162" i="11"/>
  <c r="BH162" i="11"/>
  <c r="AP28" i="15"/>
  <c r="AP18" i="15" s="1"/>
  <c r="K88" i="15"/>
  <c r="L88" i="15" s="1"/>
  <c r="M88" i="15" s="1"/>
  <c r="N88" i="15" s="1"/>
  <c r="O88" i="15" s="1"/>
  <c r="P88" i="15" s="1"/>
  <c r="Q88" i="15" s="1"/>
  <c r="R88" i="15" s="1"/>
  <c r="S88" i="15" s="1"/>
  <c r="T88" i="15" s="1"/>
  <c r="U88" i="15" s="1"/>
  <c r="V88" i="15" s="1"/>
  <c r="W9" i="15"/>
  <c r="G6" i="4"/>
  <c r="F6" i="4"/>
  <c r="AM167" i="11"/>
  <c r="AI173" i="11"/>
  <c r="AI139" i="11"/>
  <c r="BV173" i="11"/>
  <c r="BV139" i="11"/>
  <c r="BV141" i="11" s="1"/>
  <c r="AX173" i="11"/>
  <c r="AX139" i="11"/>
  <c r="BF160" i="11"/>
  <c r="BF126" i="11"/>
  <c r="BQ160" i="11"/>
  <c r="BQ126" i="11"/>
  <c r="AR160" i="11"/>
  <c r="AR126" i="11"/>
  <c r="AK46" i="11"/>
  <c r="AK19" i="11"/>
  <c r="G34" i="4"/>
  <c r="G53" i="4" s="1"/>
  <c r="AS20" i="11"/>
  <c r="AF14" i="3" a="1"/>
  <c r="AF14" i="3" s="1"/>
  <c r="AF15" i="3" s="1"/>
  <c r="AF16" i="3" s="1"/>
  <c r="AF20" i="3" s="1"/>
  <c r="T10" i="5" a="1"/>
  <c r="T10" i="5" s="1"/>
  <c r="BI73" i="12"/>
  <c r="AS73" i="12"/>
  <c r="AS74" i="12" s="1"/>
  <c r="BH73" i="12"/>
  <c r="AR73" i="12"/>
  <c r="AR74" i="12" s="1"/>
  <c r="BV73" i="12"/>
  <c r="BF73" i="12"/>
  <c r="AP73" i="12"/>
  <c r="AP74" i="12" s="1"/>
  <c r="BU73" i="12"/>
  <c r="BE73" i="12"/>
  <c r="AO73" i="12"/>
  <c r="AO74" i="12" s="1"/>
  <c r="BK73" i="12"/>
  <c r="AU73" i="12"/>
  <c r="AU74" i="12" s="1"/>
  <c r="BS73" i="12"/>
  <c r="AX73" i="12"/>
  <c r="AX74" i="12" s="1"/>
  <c r="BR73" i="12"/>
  <c r="AW73" i="12"/>
  <c r="AW74" i="12" s="1"/>
  <c r="BQ73" i="12"/>
  <c r="AV73" i="12"/>
  <c r="AV74" i="12" s="1"/>
  <c r="BP73" i="12"/>
  <c r="AT73" i="12"/>
  <c r="AT74" i="12" s="1"/>
  <c r="BO73" i="12"/>
  <c r="AQ73" i="12"/>
  <c r="AQ74" i="12" s="1"/>
  <c r="BN73" i="12"/>
  <c r="AN73" i="12"/>
  <c r="AN74" i="12" s="1"/>
  <c r="BM73" i="12"/>
  <c r="AM73" i="12"/>
  <c r="AM74" i="12" s="1"/>
  <c r="BL73" i="12"/>
  <c r="AL73" i="12"/>
  <c r="AL74" i="12" s="1"/>
  <c r="BJ73" i="12"/>
  <c r="AK73" i="12"/>
  <c r="AK74" i="12" s="1"/>
  <c r="BD73" i="12"/>
  <c r="AI73" i="12"/>
  <c r="AI74" i="12" s="1"/>
  <c r="BC73" i="12"/>
  <c r="AH73" i="12"/>
  <c r="AH74" i="12" s="1"/>
  <c r="BW73" i="12"/>
  <c r="AZ73" i="12"/>
  <c r="AZ74" i="12" s="1"/>
  <c r="BT73" i="12"/>
  <c r="AY73" i="12"/>
  <c r="AY74" i="12" s="1"/>
  <c r="BG73" i="12"/>
  <c r="BB73" i="12"/>
  <c r="BA73" i="12"/>
  <c r="BA74" i="12" s="1"/>
  <c r="AJ73" i="12"/>
  <c r="AJ74" i="12" s="1"/>
  <c r="AG73" i="12"/>
  <c r="AG74" i="12" s="1"/>
  <c r="AF73" i="12"/>
  <c r="AF74" i="12" s="1"/>
  <c r="BL79" i="12"/>
  <c r="BL81" i="12" s="1"/>
  <c r="AV79" i="12"/>
  <c r="AV81" i="12" s="1"/>
  <c r="BI79" i="12"/>
  <c r="BI81" i="12" s="1"/>
  <c r="AS79" i="12"/>
  <c r="AS81" i="12" s="1"/>
  <c r="BU79" i="12"/>
  <c r="BU81" i="12" s="1"/>
  <c r="BE79" i="12"/>
  <c r="BE81" i="12" s="1"/>
  <c r="AO79" i="12"/>
  <c r="AO81" i="12" s="1"/>
  <c r="BT79" i="12"/>
  <c r="BT81" i="12" s="1"/>
  <c r="BD79" i="12"/>
  <c r="BD81" i="12" s="1"/>
  <c r="AN79" i="12"/>
  <c r="AN81" i="12" s="1"/>
  <c r="BH79" i="12"/>
  <c r="BH81" i="12" s="1"/>
  <c r="AL79" i="12"/>
  <c r="AL81" i="12" s="1"/>
  <c r="BG79" i="12"/>
  <c r="BG81" i="12" s="1"/>
  <c r="AK79" i="12"/>
  <c r="AK81" i="12" s="1"/>
  <c r="BF79" i="12"/>
  <c r="BF81" i="12" s="1"/>
  <c r="AJ79" i="12"/>
  <c r="AJ81" i="12" s="1"/>
  <c r="BC79" i="12"/>
  <c r="BC81" i="12" s="1"/>
  <c r="AI79" i="12"/>
  <c r="AI81" i="12" s="1"/>
  <c r="BB79" i="12"/>
  <c r="BB81" i="12" s="1"/>
  <c r="AH79" i="12"/>
  <c r="AH81" i="12" s="1"/>
  <c r="BW79" i="12"/>
  <c r="BW81" i="12" s="1"/>
  <c r="BA79" i="12"/>
  <c r="BA81" i="12" s="1"/>
  <c r="AG79" i="12"/>
  <c r="AG81" i="12" s="1"/>
  <c r="BV79" i="12"/>
  <c r="BV81" i="12" s="1"/>
  <c r="AZ79" i="12"/>
  <c r="AZ81" i="12" s="1"/>
  <c r="AF79" i="12"/>
  <c r="AF81" i="12" s="1"/>
  <c r="BS79" i="12"/>
  <c r="BS81" i="12" s="1"/>
  <c r="AY79" i="12"/>
  <c r="AY81" i="12" s="1"/>
  <c r="BR79" i="12"/>
  <c r="BR81" i="12" s="1"/>
  <c r="AX79" i="12"/>
  <c r="AX81" i="12" s="1"/>
  <c r="BP79" i="12"/>
  <c r="BP81" i="12" s="1"/>
  <c r="AU79" i="12"/>
  <c r="AU81" i="12" s="1"/>
  <c r="BO79" i="12"/>
  <c r="BO81" i="12" s="1"/>
  <c r="BK79" i="12"/>
  <c r="BK81" i="12" s="1"/>
  <c r="AP79" i="12"/>
  <c r="AP81" i="12" s="1"/>
  <c r="BJ79" i="12"/>
  <c r="BJ81" i="12" s="1"/>
  <c r="AM79" i="12"/>
  <c r="AM81" i="12" s="1"/>
  <c r="BQ79" i="12"/>
  <c r="BQ81" i="12" s="1"/>
  <c r="BM79" i="12"/>
  <c r="BM81" i="12" s="1"/>
  <c r="AW79" i="12"/>
  <c r="AW81" i="12" s="1"/>
  <c r="AQ79" i="12"/>
  <c r="AQ81" i="12" s="1"/>
  <c r="BN79" i="12"/>
  <c r="BN81" i="12" s="1"/>
  <c r="AT79" i="12"/>
  <c r="AT81" i="12" s="1"/>
  <c r="AR79" i="12"/>
  <c r="AR81" i="12" s="1"/>
  <c r="AQ158" i="11"/>
  <c r="AQ117" i="11"/>
  <c r="AX158" i="11"/>
  <c r="AX117" i="11"/>
  <c r="BS158" i="11"/>
  <c r="BS117" i="11"/>
  <c r="BA54" i="6"/>
  <c r="BC159" i="11"/>
  <c r="BC111" i="11"/>
  <c r="BA159" i="11"/>
  <c r="BA111" i="11"/>
  <c r="BE7" i="13"/>
  <c r="BE8" i="13" s="1"/>
  <c r="AM83" i="11"/>
  <c r="AM84" i="11" s="1"/>
  <c r="AM61" i="11"/>
  <c r="AM62" i="11" s="1"/>
  <c r="N7" i="5" s="1" a="1"/>
  <c r="N7" i="5" s="1"/>
  <c r="BD61" i="11"/>
  <c r="BD62" i="11" s="1"/>
  <c r="BP61" i="11"/>
  <c r="AS175" i="11"/>
  <c r="AS178" i="11"/>
  <c r="BL175" i="11"/>
  <c r="BL178" i="11"/>
  <c r="AL178" i="11"/>
  <c r="AL175" i="11"/>
  <c r="AZ173" i="11"/>
  <c r="AZ139" i="11"/>
  <c r="AY160" i="11"/>
  <c r="AY126" i="11"/>
  <c r="BJ175" i="11"/>
  <c r="BJ178" i="11"/>
  <c r="BB139" i="11"/>
  <c r="BB173" i="11"/>
  <c r="AN160" i="11"/>
  <c r="AN126" i="11"/>
  <c r="AU159" i="11"/>
  <c r="AU111" i="11"/>
  <c r="BE162" i="11"/>
  <c r="BL110" i="12"/>
  <c r="AV110" i="12"/>
  <c r="AF110" i="12"/>
  <c r="AF167" i="12" s="1"/>
  <c r="BK110" i="12"/>
  <c r="AU110" i="12"/>
  <c r="BJ110" i="12"/>
  <c r="AT110" i="12"/>
  <c r="BI110" i="12"/>
  <c r="AS110" i="12"/>
  <c r="BW110" i="12"/>
  <c r="BG110" i="12"/>
  <c r="AQ110" i="12"/>
  <c r="BU110" i="12"/>
  <c r="BE110" i="12"/>
  <c r="AO110" i="12"/>
  <c r="BT110" i="12"/>
  <c r="BD110" i="12"/>
  <c r="AN110" i="12"/>
  <c r="BR110" i="12"/>
  <c r="BB110" i="12"/>
  <c r="AL110" i="12"/>
  <c r="BQ110" i="12"/>
  <c r="BA110" i="12"/>
  <c r="AK110" i="12"/>
  <c r="BN110" i="12"/>
  <c r="AX110" i="12"/>
  <c r="AH110" i="12"/>
  <c r="AY110" i="12"/>
  <c r="AW110" i="12"/>
  <c r="AR110" i="12"/>
  <c r="AP110" i="12"/>
  <c r="AP167" i="12" s="1"/>
  <c r="AM110" i="12"/>
  <c r="AJ110" i="12"/>
  <c r="AI110" i="12"/>
  <c r="BV110" i="12"/>
  <c r="AG110" i="12"/>
  <c r="BS110" i="12"/>
  <c r="BP110" i="12"/>
  <c r="BO110" i="12"/>
  <c r="BM110" i="12"/>
  <c r="BH110" i="12"/>
  <c r="BC110" i="12"/>
  <c r="AZ110" i="12"/>
  <c r="BF110" i="12"/>
  <c r="BD169" i="11"/>
  <c r="BW178" i="11"/>
  <c r="BW175" i="11"/>
  <c r="AR162" i="11"/>
  <c r="BB66" i="12"/>
  <c r="AQ20" i="11"/>
  <c r="R10" i="5" a="1"/>
  <c r="R10" i="5" s="1"/>
  <c r="AD14" i="3" a="1"/>
  <c r="AD14" i="3" s="1"/>
  <c r="AD15" i="3" s="1"/>
  <c r="AD16" i="3" s="1"/>
  <c r="AD20" i="3" s="1"/>
  <c r="BF158" i="11"/>
  <c r="BF117" i="11"/>
  <c r="AS84" i="11"/>
  <c r="S15" i="2"/>
  <c r="AJ162" i="11"/>
  <c r="AW162" i="11"/>
  <c r="R15" i="2"/>
  <c r="BR168" i="11"/>
  <c r="BV162" i="11"/>
  <c r="AT168" i="11"/>
  <c r="AJ23" i="3"/>
  <c r="AJ24" i="3" s="1"/>
  <c r="AL162" i="11"/>
  <c r="AX162" i="11"/>
  <c r="BC162" i="11"/>
  <c r="BC168" i="11"/>
  <c r="BC170" i="11" s="1"/>
  <c r="BJ168" i="11"/>
  <c r="AV28" i="15"/>
  <c r="AV18" i="15" s="1"/>
  <c r="AE23" i="3"/>
  <c r="AE24" i="3" s="1"/>
  <c r="AK28" i="15"/>
  <c r="AK18" i="15" s="1"/>
  <c r="G23" i="3"/>
  <c r="G24" i="3" s="1"/>
  <c r="AQ167" i="11"/>
  <c r="AI167" i="11"/>
  <c r="BF167" i="11"/>
  <c r="BQ173" i="11"/>
  <c r="BQ139" i="11"/>
  <c r="BQ141" i="11" s="1"/>
  <c r="AQ173" i="11"/>
  <c r="AQ139" i="11"/>
  <c r="BN173" i="11"/>
  <c r="BN139" i="11"/>
  <c r="AG160" i="11"/>
  <c r="AG126" i="11"/>
  <c r="AT160" i="11"/>
  <c r="AT126" i="11"/>
  <c r="BH160" i="11"/>
  <c r="BH126" i="11"/>
  <c r="AO20" i="11"/>
  <c r="P10" i="5" a="1"/>
  <c r="P10" i="5" s="1"/>
  <c r="AB14" i="3" a="1"/>
  <c r="AB14" i="3" s="1"/>
  <c r="AB15" i="3" s="1"/>
  <c r="AB16" i="3" s="1"/>
  <c r="AB20" i="3" s="1"/>
  <c r="AY14" i="12"/>
  <c r="AY15" i="12" s="1"/>
  <c r="AI14" i="12"/>
  <c r="AI15" i="12" s="1"/>
  <c r="AX14" i="12"/>
  <c r="AX15" i="12" s="1"/>
  <c r="AH14" i="12"/>
  <c r="AH15" i="12" s="1"/>
  <c r="AW14" i="12"/>
  <c r="AW15" i="12" s="1"/>
  <c r="AG14" i="12"/>
  <c r="AG15" i="12" s="1"/>
  <c r="AV14" i="12"/>
  <c r="AV15" i="12" s="1"/>
  <c r="AF14" i="12"/>
  <c r="AF15" i="12" s="1"/>
  <c r="AQ14" i="12"/>
  <c r="AQ15" i="12" s="1"/>
  <c r="BA14" i="12"/>
  <c r="BA15" i="12" s="1"/>
  <c r="AZ14" i="12"/>
  <c r="AZ15" i="12" s="1"/>
  <c r="AU14" i="12"/>
  <c r="AU15" i="12" s="1"/>
  <c r="AT14" i="12"/>
  <c r="AT15" i="12" s="1"/>
  <c r="AS14" i="12"/>
  <c r="AS15" i="12" s="1"/>
  <c r="AR14" i="12"/>
  <c r="AR15" i="12" s="1"/>
  <c r="AP14" i="12"/>
  <c r="AP15" i="12" s="1"/>
  <c r="AO14" i="12"/>
  <c r="AO15" i="12" s="1"/>
  <c r="AM14" i="12"/>
  <c r="AM15" i="12" s="1"/>
  <c r="AL14" i="12"/>
  <c r="AL15" i="12" s="1"/>
  <c r="AN14" i="12"/>
  <c r="AN15" i="12" s="1"/>
  <c r="AK14" i="12"/>
  <c r="AK15" i="12" s="1"/>
  <c r="AJ14" i="12"/>
  <c r="AJ15" i="12" s="1"/>
  <c r="BQ129" i="12"/>
  <c r="BA129" i="12"/>
  <c r="AK129" i="12"/>
  <c r="BP129" i="12"/>
  <c r="AZ129" i="12"/>
  <c r="AJ129" i="12"/>
  <c r="BV129" i="12"/>
  <c r="BF129" i="12"/>
  <c r="AP129" i="12"/>
  <c r="BJ129" i="12"/>
  <c r="AQ129" i="12"/>
  <c r="BI129" i="12"/>
  <c r="AO129" i="12"/>
  <c r="BH129" i="12"/>
  <c r="AN129" i="12"/>
  <c r="BG129" i="12"/>
  <c r="AM129" i="12"/>
  <c r="BE129" i="12"/>
  <c r="AL129" i="12"/>
  <c r="BD129" i="12"/>
  <c r="AI129" i="12"/>
  <c r="BW129" i="12"/>
  <c r="BC129" i="12"/>
  <c r="AH129" i="12"/>
  <c r="BU129" i="12"/>
  <c r="BB129" i="12"/>
  <c r="AG129" i="12"/>
  <c r="BT129" i="12"/>
  <c r="AY129" i="12"/>
  <c r="AF129" i="12"/>
  <c r="AF162" i="12" s="1"/>
  <c r="BS129" i="12"/>
  <c r="AX129" i="12"/>
  <c r="BR129" i="12"/>
  <c r="BR162" i="12" s="1"/>
  <c r="AW129" i="12"/>
  <c r="BO129" i="12"/>
  <c r="BN129" i="12"/>
  <c r="BM129" i="12"/>
  <c r="BL129" i="12"/>
  <c r="AV129" i="12"/>
  <c r="AU129" i="12"/>
  <c r="AR129" i="12"/>
  <c r="BK129" i="12"/>
  <c r="BK162" i="12" s="1"/>
  <c r="AT129" i="12"/>
  <c r="AS129" i="12"/>
  <c r="BG158" i="11"/>
  <c r="BG117" i="11"/>
  <c r="BN117" i="11"/>
  <c r="BN158" i="11"/>
  <c r="BA20" i="6"/>
  <c r="AF159" i="11"/>
  <c r="AF111" i="11"/>
  <c r="BQ159" i="11"/>
  <c r="BQ111" i="11"/>
  <c r="AV169" i="11"/>
  <c r="AZ169" i="11"/>
  <c r="BV169" i="11"/>
  <c r="D122" i="4"/>
  <c r="AG83" i="11"/>
  <c r="AG84" i="11" s="1"/>
  <c r="AK174" i="11"/>
  <c r="BF174" i="11"/>
  <c r="BQ61" i="11"/>
  <c r="BT61" i="11"/>
  <c r="BT62" i="11" s="1"/>
  <c r="AT175" i="11"/>
  <c r="AT178" i="11"/>
  <c r="AG175" i="11"/>
  <c r="AG178" i="11"/>
  <c r="BB178" i="11"/>
  <c r="BB175" i="11"/>
  <c r="BB66" i="11"/>
  <c r="BB74" i="11" s="1"/>
  <c r="BR59" i="12"/>
  <c r="BB59" i="12"/>
  <c r="AL59" i="12"/>
  <c r="BQ59" i="12"/>
  <c r="BA59" i="12"/>
  <c r="AK59" i="12"/>
  <c r="BP59" i="12"/>
  <c r="AZ59" i="12"/>
  <c r="AJ59" i="12"/>
  <c r="BO59" i="12"/>
  <c r="AY59" i="12"/>
  <c r="AI59" i="12"/>
  <c r="BN59" i="12"/>
  <c r="AX59" i="12"/>
  <c r="AH59" i="12"/>
  <c r="BK59" i="12"/>
  <c r="AU59" i="12"/>
  <c r="BJ59" i="12"/>
  <c r="AT59" i="12"/>
  <c r="BW59" i="12"/>
  <c r="BG59" i="12"/>
  <c r="AQ59" i="12"/>
  <c r="BF59" i="12"/>
  <c r="BE59" i="12"/>
  <c r="BD59" i="12"/>
  <c r="BC59" i="12"/>
  <c r="AW59" i="12"/>
  <c r="AV59" i="12"/>
  <c r="AS59" i="12"/>
  <c r="AR59" i="12"/>
  <c r="BV59" i="12"/>
  <c r="AP59" i="12"/>
  <c r="BU59" i="12"/>
  <c r="AO59" i="12"/>
  <c r="BT59" i="12"/>
  <c r="AN59" i="12"/>
  <c r="BS59" i="12"/>
  <c r="AM59" i="12"/>
  <c r="BM59" i="12"/>
  <c r="AG59" i="12"/>
  <c r="BL59" i="12"/>
  <c r="BI59" i="12"/>
  <c r="BH59" i="12"/>
  <c r="AF59" i="12"/>
  <c r="AT159" i="11"/>
  <c r="AT111" i="11"/>
  <c r="BJ144" i="12"/>
  <c r="AT144" i="12"/>
  <c r="BI144" i="12"/>
  <c r="AS144" i="12"/>
  <c r="BV144" i="12"/>
  <c r="BF144" i="12"/>
  <c r="AP144" i="12"/>
  <c r="BU144" i="12"/>
  <c r="BE144" i="12"/>
  <c r="AO144" i="12"/>
  <c r="BT144" i="12"/>
  <c r="BD144" i="12"/>
  <c r="AN144" i="12"/>
  <c r="BR144" i="12"/>
  <c r="BB144" i="12"/>
  <c r="AL144" i="12"/>
  <c r="BQ144" i="12"/>
  <c r="BN144" i="12"/>
  <c r="AX144" i="12"/>
  <c r="AH144" i="12"/>
  <c r="BO144" i="12"/>
  <c r="AK144" i="12"/>
  <c r="BM144" i="12"/>
  <c r="AJ144" i="12"/>
  <c r="BL144" i="12"/>
  <c r="AI144" i="12"/>
  <c r="BK144" i="12"/>
  <c r="AG144" i="12"/>
  <c r="BH144" i="12"/>
  <c r="AF144" i="12"/>
  <c r="BG144" i="12"/>
  <c r="BC144" i="12"/>
  <c r="BA144" i="12"/>
  <c r="AZ144" i="12"/>
  <c r="AY144" i="12"/>
  <c r="AW144" i="12"/>
  <c r="AU144" i="12"/>
  <c r="BW144" i="12"/>
  <c r="AR144" i="12"/>
  <c r="BS144" i="12"/>
  <c r="BP144" i="12"/>
  <c r="AV144" i="12"/>
  <c r="AQ144" i="12"/>
  <c r="AM144" i="12"/>
  <c r="AU158" i="11"/>
  <c r="AU117" i="11"/>
  <c r="BH159" i="11"/>
  <c r="BH111" i="11"/>
  <c r="BW26" i="13"/>
  <c r="BW6" i="13"/>
  <c r="BX1" i="13"/>
  <c r="X28" i="15"/>
  <c r="X18" i="15" s="1"/>
  <c r="AN173" i="11"/>
  <c r="AN139" i="11"/>
  <c r="BA160" i="11"/>
  <c r="BA126" i="11"/>
  <c r="BW61" i="11"/>
  <c r="AV158" i="11"/>
  <c r="AV117" i="11"/>
  <c r="AH169" i="11"/>
  <c r="AV174" i="11"/>
  <c r="H85" i="15"/>
  <c r="I85" i="15" s="1"/>
  <c r="J85" i="15" s="1"/>
  <c r="K85" i="15" s="1"/>
  <c r="L85" i="15" s="1"/>
  <c r="M85" i="15" s="1"/>
  <c r="N85" i="15" s="1"/>
  <c r="O85" i="15" s="1"/>
  <c r="P85" i="15" s="1"/>
  <c r="Q85" i="15" s="1"/>
  <c r="R85" i="15" s="1"/>
  <c r="S85" i="15" s="1"/>
  <c r="T9" i="15"/>
  <c r="BD173" i="11"/>
  <c r="BD139" i="11"/>
  <c r="BW71" i="12"/>
  <c r="AG159" i="11"/>
  <c r="AG111" i="11"/>
  <c r="BT169" i="11"/>
  <c r="AQ46" i="11"/>
  <c r="K58" i="4"/>
  <c r="K42" i="4"/>
  <c r="K61" i="4" s="1"/>
  <c r="BI55" i="12"/>
  <c r="AS55" i="12"/>
  <c r="BH55" i="12"/>
  <c r="AR55" i="12"/>
  <c r="BV55" i="12"/>
  <c r="BF55" i="12"/>
  <c r="AP55" i="12"/>
  <c r="BU55" i="12"/>
  <c r="BE55" i="12"/>
  <c r="AO55" i="12"/>
  <c r="BQ55" i="12"/>
  <c r="BA55" i="12"/>
  <c r="AK55" i="12"/>
  <c r="BN55" i="12"/>
  <c r="AX55" i="12"/>
  <c r="AH55" i="12"/>
  <c r="BL55" i="12"/>
  <c r="AL55" i="12"/>
  <c r="BK55" i="12"/>
  <c r="AJ55" i="12"/>
  <c r="BJ55" i="12"/>
  <c r="AI55" i="12"/>
  <c r="BG55" i="12"/>
  <c r="AG55" i="12"/>
  <c r="BD55" i="12"/>
  <c r="AF55" i="12"/>
  <c r="BC55" i="12"/>
  <c r="BB55" i="12"/>
  <c r="AZ55" i="12"/>
  <c r="AY55" i="12"/>
  <c r="BW55" i="12"/>
  <c r="AW55" i="12"/>
  <c r="BT55" i="12"/>
  <c r="AV55" i="12"/>
  <c r="BS55" i="12"/>
  <c r="AU55" i="12"/>
  <c r="BR55" i="12"/>
  <c r="AT55" i="12"/>
  <c r="AM55" i="12"/>
  <c r="BP55" i="12"/>
  <c r="AQ55" i="12"/>
  <c r="BO55" i="12"/>
  <c r="BM55" i="12"/>
  <c r="AN55" i="12"/>
  <c r="K138" i="4"/>
  <c r="K125" i="4"/>
  <c r="K16" i="4"/>
  <c r="M16" i="4" s="1"/>
  <c r="BW161" i="12"/>
  <c r="BW130" i="12"/>
  <c r="BW131" i="12" s="1"/>
  <c r="BW158" i="11"/>
  <c r="BW117" i="11"/>
  <c r="AI158" i="11"/>
  <c r="AI117" i="11"/>
  <c r="AZ40" i="6"/>
  <c r="AZ64" i="6"/>
  <c r="AZ65" i="6" s="1"/>
  <c r="AO159" i="11"/>
  <c r="AO111" i="11"/>
  <c r="BD159" i="11"/>
  <c r="BD111" i="11"/>
  <c r="AQ159" i="11"/>
  <c r="AQ111" i="11"/>
  <c r="BA169" i="11"/>
  <c r="BP169" i="11"/>
  <c r="AQ169" i="11"/>
  <c r="AW83" i="11"/>
  <c r="AW84" i="11" s="1"/>
  <c r="BN174" i="11"/>
  <c r="BA174" i="11"/>
  <c r="BV174" i="11"/>
  <c r="AO61" i="11"/>
  <c r="AP61" i="11"/>
  <c r="BE175" i="11"/>
  <c r="BE178" i="11"/>
  <c r="AW175" i="11"/>
  <c r="AW178" i="11"/>
  <c r="BR178" i="11"/>
  <c r="BR175" i="11"/>
  <c r="BP146" i="12"/>
  <c r="AZ146" i="12"/>
  <c r="AJ146" i="12"/>
  <c r="BO146" i="12"/>
  <c r="AY146" i="12"/>
  <c r="AI146" i="12"/>
  <c r="BN146" i="12"/>
  <c r="AX146" i="12"/>
  <c r="AH146" i="12"/>
  <c r="BL146" i="12"/>
  <c r="AV146" i="12"/>
  <c r="AF146" i="12"/>
  <c r="BK146" i="12"/>
  <c r="AU146" i="12"/>
  <c r="BJ146" i="12"/>
  <c r="AT146" i="12"/>
  <c r="BH146" i="12"/>
  <c r="AR146" i="12"/>
  <c r="BW146" i="12"/>
  <c r="BG146" i="12"/>
  <c r="AQ146" i="12"/>
  <c r="BV146" i="12"/>
  <c r="BF146" i="12"/>
  <c r="AP146" i="12"/>
  <c r="BT146" i="12"/>
  <c r="BD146" i="12"/>
  <c r="AN146" i="12"/>
  <c r="BR146" i="12"/>
  <c r="BQ146" i="12"/>
  <c r="BM146" i="12"/>
  <c r="BI146" i="12"/>
  <c r="BE146" i="12"/>
  <c r="BC146" i="12"/>
  <c r="BB146" i="12"/>
  <c r="BA146" i="12"/>
  <c r="AW146" i="12"/>
  <c r="AS146" i="12"/>
  <c r="AO146" i="12"/>
  <c r="AL146" i="12"/>
  <c r="AK146" i="12"/>
  <c r="BU146" i="12"/>
  <c r="BS146" i="12"/>
  <c r="AM146" i="12"/>
  <c r="AG146" i="12"/>
  <c r="BS159" i="11"/>
  <c r="BS111" i="11"/>
  <c r="BA139" i="11"/>
  <c r="BA173" i="11"/>
  <c r="BJ160" i="11"/>
  <c r="BJ126" i="11"/>
  <c r="Q28" i="3"/>
  <c r="BO178" i="11"/>
  <c r="BO175" i="11"/>
  <c r="AH168" i="11"/>
  <c r="K145" i="4"/>
  <c r="BK159" i="11"/>
  <c r="BK111" i="11"/>
  <c r="AG28" i="15"/>
  <c r="AG18" i="15" s="1"/>
  <c r="S28" i="15"/>
  <c r="S18" i="15" s="1"/>
  <c r="T6" i="4"/>
  <c r="U6" i="4"/>
  <c r="BD167" i="11"/>
  <c r="BK173" i="11"/>
  <c r="BK139" i="11"/>
  <c r="AO160" i="11"/>
  <c r="AO126" i="11"/>
  <c r="BB160" i="11"/>
  <c r="BB126" i="11"/>
  <c r="G57" i="3"/>
  <c r="BL117" i="11"/>
  <c r="BL158" i="11"/>
  <c r="AM159" i="11"/>
  <c r="AM111" i="11"/>
  <c r="AB23" i="3"/>
  <c r="AB24" i="3" s="1"/>
  <c r="G69" i="4"/>
  <c r="F69" i="4"/>
  <c r="AJ173" i="11"/>
  <c r="AJ139" i="11"/>
  <c r="AF160" i="11"/>
  <c r="AF126" i="11"/>
  <c r="L58" i="4"/>
  <c r="N8" i="4"/>
  <c r="M8" i="4"/>
  <c r="AN162" i="11"/>
  <c r="AT162" i="11"/>
  <c r="BO168" i="11"/>
  <c r="AN168" i="11"/>
  <c r="BK168" i="11"/>
  <c r="AF23" i="3"/>
  <c r="AF24" i="3" s="1"/>
  <c r="AH28" i="15"/>
  <c r="AH18" i="15" s="1"/>
  <c r="U23" i="3"/>
  <c r="U24" i="3" s="1"/>
  <c r="P23" i="3"/>
  <c r="P24" i="3" s="1"/>
  <c r="Y28" i="15"/>
  <c r="Y18" i="15" s="1"/>
  <c r="J23" i="3"/>
  <c r="J24" i="3" s="1"/>
  <c r="J25" i="3" s="1"/>
  <c r="BV12" i="6"/>
  <c r="BV14" i="6" s="1"/>
  <c r="BV7" i="6"/>
  <c r="AT167" i="11"/>
  <c r="BO167" i="11"/>
  <c r="BG167" i="11"/>
  <c r="BR173" i="11"/>
  <c r="BR139" i="11"/>
  <c r="BR141" i="11" s="1"/>
  <c r="BW173" i="11"/>
  <c r="BW139" i="11"/>
  <c r="BW141" i="11" s="1"/>
  <c r="AK160" i="11"/>
  <c r="AK126" i="11"/>
  <c r="AU160" i="11"/>
  <c r="AU126" i="11"/>
  <c r="AV160" i="11"/>
  <c r="AV126" i="11"/>
  <c r="AL46" i="11"/>
  <c r="BG46" i="11"/>
  <c r="AZ19" i="11"/>
  <c r="AZ20" i="11" s="1"/>
  <c r="BH52" i="12"/>
  <c r="AR52" i="12"/>
  <c r="BW52" i="12"/>
  <c r="BG52" i="12"/>
  <c r="AQ52" i="12"/>
  <c r="BU52" i="12"/>
  <c r="BE52" i="12"/>
  <c r="AO52" i="12"/>
  <c r="BT52" i="12"/>
  <c r="BM52" i="12"/>
  <c r="AW52" i="12"/>
  <c r="AG52" i="12"/>
  <c r="BC52" i="12"/>
  <c r="AI52" i="12"/>
  <c r="BB52" i="12"/>
  <c r="AH52" i="12"/>
  <c r="BA52" i="12"/>
  <c r="AF52" i="12"/>
  <c r="BV52" i="12"/>
  <c r="AZ52" i="12"/>
  <c r="BS52" i="12"/>
  <c r="AY52" i="12"/>
  <c r="BR52" i="12"/>
  <c r="AX52" i="12"/>
  <c r="BQ52" i="12"/>
  <c r="AV52" i="12"/>
  <c r="BP52" i="12"/>
  <c r="AU52" i="12"/>
  <c r="BO52" i="12"/>
  <c r="AT52" i="12"/>
  <c r="BN52" i="12"/>
  <c r="AS52" i="12"/>
  <c r="BL52" i="12"/>
  <c r="AP52" i="12"/>
  <c r="BK52" i="12"/>
  <c r="AN52" i="12"/>
  <c r="BJ52" i="12"/>
  <c r="AM52" i="12"/>
  <c r="BI52" i="12"/>
  <c r="BF52" i="12"/>
  <c r="BD52" i="12"/>
  <c r="AL52" i="12"/>
  <c r="AK52" i="12"/>
  <c r="AJ52" i="12"/>
  <c r="BM115" i="12"/>
  <c r="AW115" i="12"/>
  <c r="AG115" i="12"/>
  <c r="BL115" i="12"/>
  <c r="AV115" i="12"/>
  <c r="AF115" i="12"/>
  <c r="AF168" i="12" s="1"/>
  <c r="BJ115" i="12"/>
  <c r="AT115" i="12"/>
  <c r="BI115" i="12"/>
  <c r="AS115" i="12"/>
  <c r="BW115" i="12"/>
  <c r="BG115" i="12"/>
  <c r="AQ115" i="12"/>
  <c r="BV115" i="12"/>
  <c r="BF115" i="12"/>
  <c r="AP115" i="12"/>
  <c r="BT115" i="12"/>
  <c r="BR115" i="12"/>
  <c r="AR115" i="12"/>
  <c r="BQ115" i="12"/>
  <c r="AO115" i="12"/>
  <c r="BP115" i="12"/>
  <c r="AN115" i="12"/>
  <c r="BO115" i="12"/>
  <c r="AM115" i="12"/>
  <c r="BN115" i="12"/>
  <c r="AL115" i="12"/>
  <c r="BK115" i="12"/>
  <c r="AK115" i="12"/>
  <c r="BH115" i="12"/>
  <c r="AJ115" i="12"/>
  <c r="BE115" i="12"/>
  <c r="AI115" i="12"/>
  <c r="BD115" i="12"/>
  <c r="AH115" i="12"/>
  <c r="BB115" i="12"/>
  <c r="BA115" i="12"/>
  <c r="BU115" i="12"/>
  <c r="AX115" i="12"/>
  <c r="BS115" i="12"/>
  <c r="AU115" i="12"/>
  <c r="BC115" i="12"/>
  <c r="AZ115" i="12"/>
  <c r="AY115" i="12"/>
  <c r="AR158" i="11"/>
  <c r="AR117" i="11"/>
  <c r="AY158" i="11"/>
  <c r="AY117" i="11"/>
  <c r="AG62" i="11"/>
  <c r="AZ48" i="6"/>
  <c r="AI10" i="15" s="1" a="1"/>
  <c r="AI10" i="15" s="1"/>
  <c r="BL43" i="6"/>
  <c r="AP159" i="11"/>
  <c r="AP111" i="11"/>
  <c r="AH159" i="11"/>
  <c r="AH111" i="11"/>
  <c r="BG159" i="11"/>
  <c r="BG111" i="11"/>
  <c r="BJ169" i="11"/>
  <c r="AL169" i="11"/>
  <c r="BG169" i="11"/>
  <c r="BA83" i="11"/>
  <c r="BA84" i="11" s="1"/>
  <c r="AN83" i="11"/>
  <c r="AN84" i="11" s="1"/>
  <c r="BQ174" i="11"/>
  <c r="AQ174" i="11"/>
  <c r="BR61" i="11"/>
  <c r="BF61" i="11"/>
  <c r="BF62" i="11" s="1"/>
  <c r="BV7" i="7"/>
  <c r="BV12" i="7"/>
  <c r="BV14" i="7" s="1"/>
  <c r="BF178" i="11"/>
  <c r="BF175" i="11"/>
  <c r="BM175" i="11"/>
  <c r="BM178" i="11"/>
  <c r="AM175" i="11"/>
  <c r="AM178" i="11"/>
  <c r="N91" i="15"/>
  <c r="O91" i="15" s="1"/>
  <c r="P91" i="15" s="1"/>
  <c r="Q91" i="15" s="1"/>
  <c r="R91" i="15" s="1"/>
  <c r="S91" i="15" s="1"/>
  <c r="T91" i="15" s="1"/>
  <c r="U91" i="15" s="1"/>
  <c r="V91" i="15" s="1"/>
  <c r="W91" i="15" s="1"/>
  <c r="X91" i="15" s="1"/>
  <c r="Y91" i="15" s="1"/>
  <c r="Z9" i="15"/>
  <c r="BI173" i="11"/>
  <c r="BI139" i="11"/>
  <c r="BN160" i="11"/>
  <c r="BN126" i="11"/>
  <c r="AT158" i="11"/>
  <c r="AT117" i="11"/>
  <c r="BU160" i="11"/>
  <c r="BU126" i="11"/>
  <c r="AM20" i="11"/>
  <c r="N10" i="5" a="1"/>
  <c r="N10" i="5" s="1"/>
  <c r="Z14" i="3" a="1"/>
  <c r="Z14" i="3" s="1"/>
  <c r="Z15" i="3" s="1"/>
  <c r="Z16" i="3" s="1"/>
  <c r="Z20" i="3" s="1"/>
  <c r="AV159" i="11"/>
  <c r="AV111" i="11"/>
  <c r="BM61" i="11"/>
  <c r="BM62" i="11" s="1"/>
  <c r="AL159" i="11"/>
  <c r="AL111" i="11"/>
  <c r="BV178" i="11"/>
  <c r="BV175" i="11"/>
  <c r="M90" i="15"/>
  <c r="N90" i="15" s="1"/>
  <c r="O90" i="15" s="1"/>
  <c r="P90" i="15" s="1"/>
  <c r="Q90" i="15" s="1"/>
  <c r="R90" i="15" s="1"/>
  <c r="S90" i="15" s="1"/>
  <c r="T90" i="15" s="1"/>
  <c r="U90" i="15" s="1"/>
  <c r="V90" i="15" s="1"/>
  <c r="W90" i="15" s="1"/>
  <c r="X90" i="15" s="1"/>
  <c r="Y9" i="15"/>
  <c r="BE158" i="11"/>
  <c r="BE117" i="11"/>
  <c r="BQ158" i="11"/>
  <c r="BQ117" i="11"/>
  <c r="AX159" i="11"/>
  <c r="AX111" i="11"/>
  <c r="BA168" i="11"/>
  <c r="AW28" i="15"/>
  <c r="AW18" i="15" s="1"/>
  <c r="AZ178" i="11"/>
  <c r="AZ175" i="11"/>
  <c r="BR160" i="11"/>
  <c r="BR126" i="11"/>
  <c r="BQ46" i="11"/>
  <c r="AP20" i="11"/>
  <c r="AC14" i="3" a="1"/>
  <c r="AC14" i="3" s="1"/>
  <c r="AC15" i="3" s="1"/>
  <c r="AC16" i="3" s="1"/>
  <c r="AC20" i="3" s="1"/>
  <c r="Q10" i="5" a="1"/>
  <c r="Q10" i="5" s="1"/>
  <c r="AT20" i="11"/>
  <c r="U10" i="5" a="1"/>
  <c r="U10" i="5" s="1"/>
  <c r="AG14" i="3" a="1"/>
  <c r="AG14" i="3" s="1"/>
  <c r="AG15" i="3" s="1"/>
  <c r="AG16" i="3" s="1"/>
  <c r="AG20" i="3" s="1"/>
  <c r="AJ20" i="11"/>
  <c r="K10" i="5" a="1"/>
  <c r="K10" i="5" s="1"/>
  <c r="W14" i="3" a="1"/>
  <c r="W14" i="3" s="1"/>
  <c r="W15" i="3" s="1"/>
  <c r="W16" i="3" s="1"/>
  <c r="W20" i="3" s="1"/>
  <c r="BS53" i="12"/>
  <c r="BC53" i="12"/>
  <c r="AM53" i="12"/>
  <c r="BR53" i="12"/>
  <c r="BB53" i="12"/>
  <c r="AL53" i="12"/>
  <c r="BP53" i="12"/>
  <c r="AZ53" i="12"/>
  <c r="AJ53" i="12"/>
  <c r="BO53" i="12"/>
  <c r="AY53" i="12"/>
  <c r="AI53" i="12"/>
  <c r="BH53" i="12"/>
  <c r="AR53" i="12"/>
  <c r="BT53" i="12"/>
  <c r="AU53" i="12"/>
  <c r="BQ53" i="12"/>
  <c r="AT53" i="12"/>
  <c r="BN53" i="12"/>
  <c r="AS53" i="12"/>
  <c r="BM53" i="12"/>
  <c r="AQ53" i="12"/>
  <c r="BL53" i="12"/>
  <c r="AP53" i="12"/>
  <c r="BK53" i="12"/>
  <c r="AO53" i="12"/>
  <c r="BJ53" i="12"/>
  <c r="AN53" i="12"/>
  <c r="BI53" i="12"/>
  <c r="AK53" i="12"/>
  <c r="BG53" i="12"/>
  <c r="AH53" i="12"/>
  <c r="BF53" i="12"/>
  <c r="AG53" i="12"/>
  <c r="BE53" i="12"/>
  <c r="AF53" i="12"/>
  <c r="BD53" i="12"/>
  <c r="BA53" i="12"/>
  <c r="BW53" i="12"/>
  <c r="BV53" i="12"/>
  <c r="BU53" i="12"/>
  <c r="AX53" i="12"/>
  <c r="AW53" i="12"/>
  <c r="AV53" i="12"/>
  <c r="BM162" i="11"/>
  <c r="BJ162" i="11"/>
  <c r="BV168" i="11"/>
  <c r="BD168" i="11"/>
  <c r="AS28" i="15"/>
  <c r="AS18" i="15" s="1"/>
  <c r="AG23" i="3"/>
  <c r="AG24" i="3" s="1"/>
  <c r="AC23" i="3"/>
  <c r="AC24" i="3" s="1"/>
  <c r="AM28" i="15"/>
  <c r="AM18" i="15" s="1"/>
  <c r="S23" i="3"/>
  <c r="S24" i="3" s="1"/>
  <c r="O23" i="3"/>
  <c r="O24" i="3" s="1"/>
  <c r="O25" i="3" s="1"/>
  <c r="L89" i="15"/>
  <c r="M89" i="15" s="1"/>
  <c r="N89" i="15" s="1"/>
  <c r="O89" i="15" s="1"/>
  <c r="P89" i="15" s="1"/>
  <c r="Q89" i="15" s="1"/>
  <c r="R89" i="15" s="1"/>
  <c r="S89" i="15" s="1"/>
  <c r="T89" i="15" s="1"/>
  <c r="U89" i="15" s="1"/>
  <c r="V89" i="15" s="1"/>
  <c r="W89" i="15" s="1"/>
  <c r="X9" i="15"/>
  <c r="U28" i="15"/>
  <c r="U18" i="15" s="1"/>
  <c r="S9" i="2"/>
  <c r="R9" i="2"/>
  <c r="E82" i="15"/>
  <c r="Q9" i="15"/>
  <c r="D23" i="3"/>
  <c r="D24" i="3" s="1"/>
  <c r="E30" i="15"/>
  <c r="BA45" i="7"/>
  <c r="BA18" i="7"/>
  <c r="BA21" i="7" s="1"/>
  <c r="BA37" i="7"/>
  <c r="BA52" i="7"/>
  <c r="BA55" i="7" s="1"/>
  <c r="AU167" i="11"/>
  <c r="AK167" i="11"/>
  <c r="BW167" i="11"/>
  <c r="AK173" i="11"/>
  <c r="AK139" i="11"/>
  <c r="AR173" i="11"/>
  <c r="AR139" i="11"/>
  <c r="BD160" i="11"/>
  <c r="BD126" i="11"/>
  <c r="BS160" i="11"/>
  <c r="BS126" i="11"/>
  <c r="BL160" i="11"/>
  <c r="BL126" i="11"/>
  <c r="BW46" i="11"/>
  <c r="K35" i="4"/>
  <c r="K54" i="4" s="1"/>
  <c r="K52" i="4"/>
  <c r="BQ109" i="12"/>
  <c r="BA109" i="12"/>
  <c r="AK109" i="12"/>
  <c r="BP109" i="12"/>
  <c r="AZ109" i="12"/>
  <c r="AJ109" i="12"/>
  <c r="BO109" i="12"/>
  <c r="AY109" i="12"/>
  <c r="AI109" i="12"/>
  <c r="BN109" i="12"/>
  <c r="AX109" i="12"/>
  <c r="AH109" i="12"/>
  <c r="BL109" i="12"/>
  <c r="AV109" i="12"/>
  <c r="AF109" i="12"/>
  <c r="BJ109" i="12"/>
  <c r="AT109" i="12"/>
  <c r="BI109" i="12"/>
  <c r="AS109" i="12"/>
  <c r="BW109" i="12"/>
  <c r="BG109" i="12"/>
  <c r="AQ109" i="12"/>
  <c r="BV109" i="12"/>
  <c r="BF109" i="12"/>
  <c r="AP109" i="12"/>
  <c r="BS109" i="12"/>
  <c r="BC109" i="12"/>
  <c r="AM109" i="12"/>
  <c r="BM109" i="12"/>
  <c r="BK109" i="12"/>
  <c r="BH109" i="12"/>
  <c r="BE109" i="12"/>
  <c r="BD109" i="12"/>
  <c r="BB109" i="12"/>
  <c r="AW109" i="12"/>
  <c r="AU109" i="12"/>
  <c r="AR109" i="12"/>
  <c r="AO109" i="12"/>
  <c r="AN109" i="12"/>
  <c r="AL109" i="12"/>
  <c r="BU109" i="12"/>
  <c r="BT109" i="12"/>
  <c r="BR109" i="12"/>
  <c r="AG109" i="12"/>
  <c r="BS45" i="12"/>
  <c r="BC45" i="12"/>
  <c r="AM45" i="12"/>
  <c r="BR45" i="12"/>
  <c r="BB45" i="12"/>
  <c r="AL45" i="12"/>
  <c r="BQ45" i="12"/>
  <c r="BA45" i="12"/>
  <c r="AK45" i="12"/>
  <c r="BP45" i="12"/>
  <c r="AZ45" i="12"/>
  <c r="AJ45" i="12"/>
  <c r="BO45" i="12"/>
  <c r="AY45" i="12"/>
  <c r="AI45" i="12"/>
  <c r="BN45" i="12"/>
  <c r="AX45" i="12"/>
  <c r="AH45" i="12"/>
  <c r="BM45" i="12"/>
  <c r="AW45" i="12"/>
  <c r="AG45" i="12"/>
  <c r="BL45" i="12"/>
  <c r="AV45" i="12"/>
  <c r="AF45" i="12"/>
  <c r="BK45" i="12"/>
  <c r="AU45" i="12"/>
  <c r="BJ45" i="12"/>
  <c r="AT45" i="12"/>
  <c r="BI45" i="12"/>
  <c r="AS45" i="12"/>
  <c r="BH45" i="12"/>
  <c r="AR45" i="12"/>
  <c r="BW45" i="12"/>
  <c r="BG45" i="12"/>
  <c r="AQ45" i="12"/>
  <c r="BF45" i="12"/>
  <c r="BE45" i="12"/>
  <c r="BD45" i="12"/>
  <c r="AP45" i="12"/>
  <c r="AO45" i="12"/>
  <c r="AN45" i="12"/>
  <c r="BU45" i="12"/>
  <c r="BV45" i="12"/>
  <c r="BT45" i="12"/>
  <c r="BM41" i="12"/>
  <c r="BM42" i="12" s="1"/>
  <c r="AW41" i="12"/>
  <c r="AW42" i="12" s="1"/>
  <c r="AG41" i="12"/>
  <c r="AG42" i="12" s="1"/>
  <c r="BL41" i="12"/>
  <c r="BL42" i="12" s="1"/>
  <c r="AV41" i="12"/>
  <c r="AV42" i="12" s="1"/>
  <c r="AF41" i="12"/>
  <c r="AF42" i="12" s="1"/>
  <c r="BJ41" i="12"/>
  <c r="BJ42" i="12" s="1"/>
  <c r="AT41" i="12"/>
  <c r="AT42" i="12" s="1"/>
  <c r="BI41" i="12"/>
  <c r="BI42" i="12" s="1"/>
  <c r="AS41" i="12"/>
  <c r="AS42" i="12" s="1"/>
  <c r="BT41" i="12"/>
  <c r="BT42" i="12" s="1"/>
  <c r="BD41" i="12"/>
  <c r="BD42" i="12" s="1"/>
  <c r="AN41" i="12"/>
  <c r="AN42" i="12" s="1"/>
  <c r="BQ41" i="12"/>
  <c r="BQ42" i="12" s="1"/>
  <c r="BA41" i="12"/>
  <c r="BA42" i="12" s="1"/>
  <c r="AK41" i="12"/>
  <c r="AK42" i="12" s="1"/>
  <c r="BK41" i="12"/>
  <c r="BK42" i="12" s="1"/>
  <c r="AL41" i="12"/>
  <c r="AL42" i="12" s="1"/>
  <c r="BH41" i="12"/>
  <c r="BH42" i="12" s="1"/>
  <c r="AJ41" i="12"/>
  <c r="AJ42" i="12" s="1"/>
  <c r="BG41" i="12"/>
  <c r="BG42" i="12" s="1"/>
  <c r="AI41" i="12"/>
  <c r="AI42" i="12" s="1"/>
  <c r="BF41" i="12"/>
  <c r="BF42" i="12" s="1"/>
  <c r="AH41" i="12"/>
  <c r="AH42" i="12" s="1"/>
  <c r="BE41" i="12"/>
  <c r="BE42" i="12" s="1"/>
  <c r="BC41" i="12"/>
  <c r="BC42" i="12" s="1"/>
  <c r="BB41" i="12"/>
  <c r="BB42" i="12" s="1"/>
  <c r="AZ41" i="12"/>
  <c r="AZ42" i="12" s="1"/>
  <c r="BW41" i="12"/>
  <c r="BW42" i="12" s="1"/>
  <c r="AY41" i="12"/>
  <c r="AY42" i="12" s="1"/>
  <c r="BV41" i="12"/>
  <c r="BV42" i="12" s="1"/>
  <c r="AX41" i="12"/>
  <c r="AX42" i="12" s="1"/>
  <c r="BU41" i="12"/>
  <c r="BU42" i="12" s="1"/>
  <c r="AU41" i="12"/>
  <c r="AU42" i="12" s="1"/>
  <c r="BS41" i="12"/>
  <c r="BS42" i="12" s="1"/>
  <c r="AR41" i="12"/>
  <c r="AR42" i="12" s="1"/>
  <c r="BO41" i="12"/>
  <c r="BO42" i="12" s="1"/>
  <c r="AO41" i="12"/>
  <c r="AO42" i="12" s="1"/>
  <c r="AP41" i="12"/>
  <c r="AP42" i="12" s="1"/>
  <c r="AM41" i="12"/>
  <c r="AM42" i="12" s="1"/>
  <c r="BR41" i="12"/>
  <c r="BR42" i="12" s="1"/>
  <c r="BP41" i="12"/>
  <c r="BP42" i="12" s="1"/>
  <c r="BN41" i="12"/>
  <c r="BN42" i="12" s="1"/>
  <c r="AQ41" i="12"/>
  <c r="AQ42" i="12" s="1"/>
  <c r="BH158" i="11"/>
  <c r="BH117" i="11"/>
  <c r="BO117" i="11"/>
  <c r="BO158" i="11"/>
  <c r="AH62" i="11"/>
  <c r="BP159" i="11"/>
  <c r="BP111" i="11"/>
  <c r="BE159" i="11"/>
  <c r="BE111" i="11"/>
  <c r="BW159" i="11"/>
  <c r="BW111" i="11"/>
  <c r="BK169" i="11"/>
  <c r="BB169" i="11"/>
  <c r="BW169" i="11"/>
  <c r="AH83" i="11"/>
  <c r="AH84" i="11" s="1"/>
  <c r="BO174" i="11"/>
  <c r="AL174" i="11"/>
  <c r="BG174" i="11"/>
  <c r="AQ61" i="11"/>
  <c r="BV61" i="11"/>
  <c r="BV62" i="11" s="1"/>
  <c r="BG178" i="11"/>
  <c r="BG175" i="11"/>
  <c r="AH175" i="11"/>
  <c r="AH178" i="11"/>
  <c r="BC178" i="11"/>
  <c r="BC175" i="11"/>
  <c r="N58" i="4"/>
  <c r="E20" i="3"/>
  <c r="E28" i="3" s="1"/>
  <c r="BU178" i="11"/>
  <c r="BU175" i="11"/>
  <c r="AQ168" i="11"/>
  <c r="AB9" i="15"/>
  <c r="P93" i="15"/>
  <c r="Q93" i="15" s="1"/>
  <c r="R93" i="15" s="1"/>
  <c r="S93" i="15" s="1"/>
  <c r="T93" i="15" s="1"/>
  <c r="U93" i="15" s="1"/>
  <c r="V93" i="15" s="1"/>
  <c r="W93" i="15" s="1"/>
  <c r="X93" i="15" s="1"/>
  <c r="Y93" i="15" s="1"/>
  <c r="Z93" i="15" s="1"/>
  <c r="AA93" i="15" s="1"/>
  <c r="BS135" i="12"/>
  <c r="BC135" i="12"/>
  <c r="AM135" i="12"/>
  <c r="BN135" i="12"/>
  <c r="AW135" i="12"/>
  <c r="BM135" i="12"/>
  <c r="AV135" i="12"/>
  <c r="BL135" i="12"/>
  <c r="AU135" i="12"/>
  <c r="BJ135" i="12"/>
  <c r="AS135" i="12"/>
  <c r="BI135" i="12"/>
  <c r="AR135" i="12"/>
  <c r="BH135" i="12"/>
  <c r="AQ135" i="12"/>
  <c r="BV135" i="12"/>
  <c r="BE135" i="12"/>
  <c r="AN135" i="12"/>
  <c r="BU135" i="12"/>
  <c r="BD135" i="12"/>
  <c r="AL135" i="12"/>
  <c r="BR135" i="12"/>
  <c r="BA135" i="12"/>
  <c r="AJ135" i="12"/>
  <c r="BQ135" i="12"/>
  <c r="AZ135" i="12"/>
  <c r="AI135" i="12"/>
  <c r="BO135" i="12"/>
  <c r="BK135" i="12"/>
  <c r="BG135" i="12"/>
  <c r="BF135" i="12"/>
  <c r="BB135" i="12"/>
  <c r="AY135" i="12"/>
  <c r="AX135" i="12"/>
  <c r="AT135" i="12"/>
  <c r="AP135" i="12"/>
  <c r="AO135" i="12"/>
  <c r="AK135" i="12"/>
  <c r="BW135" i="12"/>
  <c r="BP135" i="12"/>
  <c r="AH135" i="12"/>
  <c r="BT135" i="12"/>
  <c r="AG135" i="12"/>
  <c r="AF135" i="12"/>
  <c r="AF174" i="12" s="1"/>
  <c r="AF158" i="11"/>
  <c r="AF117" i="11"/>
  <c r="AU174" i="11"/>
  <c r="BC173" i="11"/>
  <c r="BC139" i="11"/>
  <c r="BK160" i="11"/>
  <c r="BK126" i="11"/>
  <c r="BL159" i="11"/>
  <c r="BL111" i="11"/>
  <c r="AN174" i="11"/>
  <c r="AQ28" i="15"/>
  <c r="AQ18" i="15" s="1"/>
  <c r="V28" i="15"/>
  <c r="V18" i="15" s="1"/>
  <c r="BM60" i="12"/>
  <c r="AW60" i="12"/>
  <c r="AG60" i="12"/>
  <c r="BL60" i="12"/>
  <c r="AV60" i="12"/>
  <c r="AF60" i="12"/>
  <c r="BK60" i="12"/>
  <c r="AU60" i="12"/>
  <c r="BJ60" i="12"/>
  <c r="AT60" i="12"/>
  <c r="BI60" i="12"/>
  <c r="AS60" i="12"/>
  <c r="BV60" i="12"/>
  <c r="BF60" i="12"/>
  <c r="AP60" i="12"/>
  <c r="BU60" i="12"/>
  <c r="BE60" i="12"/>
  <c r="AO60" i="12"/>
  <c r="BS60" i="12"/>
  <c r="BC60" i="12"/>
  <c r="AM60" i="12"/>
  <c r="BR60" i="12"/>
  <c r="BB60" i="12"/>
  <c r="AL60" i="12"/>
  <c r="BG60" i="12"/>
  <c r="BD60" i="12"/>
  <c r="BA60" i="12"/>
  <c r="AZ60" i="12"/>
  <c r="AY60" i="12"/>
  <c r="AX60" i="12"/>
  <c r="AR60" i="12"/>
  <c r="AQ60" i="12"/>
  <c r="AN60" i="12"/>
  <c r="BW60" i="12"/>
  <c r="AK60" i="12"/>
  <c r="BT60" i="12"/>
  <c r="AJ60" i="12"/>
  <c r="BQ60" i="12"/>
  <c r="AI60" i="12"/>
  <c r="BP60" i="12"/>
  <c r="AH60" i="12"/>
  <c r="BH60" i="12"/>
  <c r="BO60" i="12"/>
  <c r="BN60" i="12"/>
  <c r="AL158" i="11"/>
  <c r="AL117" i="11"/>
  <c r="AU27" i="13"/>
  <c r="AU28" i="13" s="1"/>
  <c r="BS162" i="11"/>
  <c r="AI160" i="11"/>
  <c r="AI126" i="11"/>
  <c r="AV46" i="11"/>
  <c r="BT168" i="11"/>
  <c r="AR28" i="15"/>
  <c r="AR18" i="15" s="1"/>
  <c r="Y23" i="3"/>
  <c r="Y24" i="3" s="1"/>
  <c r="AA28" i="15"/>
  <c r="AA18" i="15" s="1"/>
  <c r="BA39" i="7"/>
  <c r="AX167" i="11"/>
  <c r="BS173" i="11"/>
  <c r="BS139" i="11"/>
  <c r="BS141" i="11" s="1"/>
  <c r="BH173" i="11"/>
  <c r="BH139" i="11"/>
  <c r="AL160" i="11"/>
  <c r="AL126" i="11"/>
  <c r="AW160" i="11"/>
  <c r="AW126" i="11"/>
  <c r="AH160" i="11"/>
  <c r="AH126" i="11"/>
  <c r="AL20" i="11"/>
  <c r="Y14" i="3" a="1"/>
  <c r="Y14" i="3" s="1"/>
  <c r="Y15" i="3" s="1"/>
  <c r="Y16" i="3" s="1"/>
  <c r="Y20" i="3" s="1"/>
  <c r="M10" i="5" a="1"/>
  <c r="M10" i="5" s="1"/>
  <c r="K76" i="4"/>
  <c r="BL134" i="12"/>
  <c r="AV134" i="12"/>
  <c r="AF134" i="12"/>
  <c r="BK134" i="12"/>
  <c r="AU134" i="12"/>
  <c r="BH134" i="12"/>
  <c r="AR134" i="12"/>
  <c r="BW134" i="12"/>
  <c r="BG134" i="12"/>
  <c r="BT134" i="12"/>
  <c r="BD134" i="12"/>
  <c r="AN134" i="12"/>
  <c r="BQ134" i="12"/>
  <c r="BA134" i="12"/>
  <c r="AK134" i="12"/>
  <c r="BP134" i="12"/>
  <c r="AZ134" i="12"/>
  <c r="AJ134" i="12"/>
  <c r="BB134" i="12"/>
  <c r="AY134" i="12"/>
  <c r="AX134" i="12"/>
  <c r="AW134" i="12"/>
  <c r="BV134" i="12"/>
  <c r="AT134" i="12"/>
  <c r="BU134" i="12"/>
  <c r="AS134" i="12"/>
  <c r="BS134" i="12"/>
  <c r="AQ134" i="12"/>
  <c r="BR134" i="12"/>
  <c r="AP134" i="12"/>
  <c r="BO134" i="12"/>
  <c r="AO134" i="12"/>
  <c r="BN134" i="12"/>
  <c r="AM134" i="12"/>
  <c r="BM134" i="12"/>
  <c r="AL134" i="12"/>
  <c r="BJ134" i="12"/>
  <c r="BI134" i="12"/>
  <c r="BF134" i="12"/>
  <c r="BE134" i="12"/>
  <c r="AI134" i="12"/>
  <c r="AH134" i="12"/>
  <c r="BC134" i="12"/>
  <c r="AG134" i="12"/>
  <c r="BN33" i="12"/>
  <c r="AX33" i="12"/>
  <c r="AH33" i="12"/>
  <c r="BM33" i="12"/>
  <c r="AW33" i="12"/>
  <c r="AG33" i="12"/>
  <c r="BK33" i="12"/>
  <c r="AU33" i="12"/>
  <c r="BJ33" i="12"/>
  <c r="AT33" i="12"/>
  <c r="BS33" i="12"/>
  <c r="AY33" i="12"/>
  <c r="BR33" i="12"/>
  <c r="AV33" i="12"/>
  <c r="BQ33" i="12"/>
  <c r="AS33" i="12"/>
  <c r="BP33" i="12"/>
  <c r="AR33" i="12"/>
  <c r="BO33" i="12"/>
  <c r="AQ33" i="12"/>
  <c r="BL33" i="12"/>
  <c r="AP33" i="12"/>
  <c r="BI33" i="12"/>
  <c r="AO33" i="12"/>
  <c r="BH33" i="12"/>
  <c r="AN33" i="12"/>
  <c r="BG33" i="12"/>
  <c r="AM33" i="12"/>
  <c r="BF33" i="12"/>
  <c r="AL33" i="12"/>
  <c r="BE33" i="12"/>
  <c r="AK33" i="12"/>
  <c r="BD33" i="12"/>
  <c r="AJ33" i="12"/>
  <c r="BU33" i="12"/>
  <c r="BA33" i="12"/>
  <c r="BW33" i="12"/>
  <c r="BV33" i="12"/>
  <c r="BT33" i="12"/>
  <c r="BC33" i="12"/>
  <c r="BB33" i="12"/>
  <c r="AI33" i="12"/>
  <c r="AF33" i="12"/>
  <c r="AZ33" i="12"/>
  <c r="BN54" i="12"/>
  <c r="AX54" i="12"/>
  <c r="AH54" i="12"/>
  <c r="BM54" i="12"/>
  <c r="AW54" i="12"/>
  <c r="AG54" i="12"/>
  <c r="BK54" i="12"/>
  <c r="AU54" i="12"/>
  <c r="BJ54" i="12"/>
  <c r="AT54" i="12"/>
  <c r="BV54" i="12"/>
  <c r="BS54" i="12"/>
  <c r="BC54" i="12"/>
  <c r="AM54" i="12"/>
  <c r="BI54" i="12"/>
  <c r="AN54" i="12"/>
  <c r="BH54" i="12"/>
  <c r="AL54" i="12"/>
  <c r="BG54" i="12"/>
  <c r="AK54" i="12"/>
  <c r="BF54" i="12"/>
  <c r="AJ54" i="12"/>
  <c r="BE54" i="12"/>
  <c r="AI54" i="12"/>
  <c r="BD54" i="12"/>
  <c r="AF54" i="12"/>
  <c r="BB54" i="12"/>
  <c r="BA54" i="12"/>
  <c r="BW54" i="12"/>
  <c r="AZ54" i="12"/>
  <c r="BU54" i="12"/>
  <c r="AY54" i="12"/>
  <c r="BT54" i="12"/>
  <c r="AV54" i="12"/>
  <c r="BR54" i="12"/>
  <c r="AS54" i="12"/>
  <c r="BQ54" i="12"/>
  <c r="AR54" i="12"/>
  <c r="BP54" i="12"/>
  <c r="BO54" i="12"/>
  <c r="BL54" i="12"/>
  <c r="AQ54" i="12"/>
  <c r="AP54" i="12"/>
  <c r="AO54" i="12"/>
  <c r="AN158" i="11"/>
  <c r="AN117" i="11"/>
  <c r="AS158" i="11"/>
  <c r="AS117" i="11"/>
  <c r="AJ117" i="11"/>
  <c r="AJ158" i="11"/>
  <c r="AR159" i="11"/>
  <c r="AR111" i="11"/>
  <c r="AI159" i="11"/>
  <c r="AI111" i="11"/>
  <c r="AS159" i="11"/>
  <c r="AS111" i="11"/>
  <c r="AX83" i="11"/>
  <c r="AX84" i="11" s="1"/>
  <c r="BS61" i="11"/>
  <c r="BS62" i="11" s="1"/>
  <c r="AV61" i="11"/>
  <c r="BH178" i="11"/>
  <c r="BH175" i="11"/>
  <c r="AX175" i="11"/>
  <c r="AX178" i="11"/>
  <c r="BS178" i="11"/>
  <c r="BS175" i="11"/>
  <c r="G33" i="4"/>
  <c r="BU8" i="6"/>
  <c r="BU9" i="6" s="1"/>
  <c r="BV8" i="6" s="1"/>
  <c r="AP158" i="11"/>
  <c r="AP117" i="11"/>
  <c r="AJ159" i="11"/>
  <c r="AJ111" i="11"/>
  <c r="M144" i="4"/>
  <c r="AU173" i="11"/>
  <c r="AU139" i="11"/>
  <c r="BV160" i="11"/>
  <c r="BV126" i="11"/>
  <c r="AW20" i="11"/>
  <c r="X10" i="5" a="1"/>
  <c r="X10" i="5" s="1"/>
  <c r="AJ14" i="3" a="1"/>
  <c r="AJ14" i="3" s="1"/>
  <c r="AJ15" i="3" s="1"/>
  <c r="AJ16" i="3" s="1"/>
  <c r="AJ20" i="3" s="1"/>
  <c r="AU28" i="15"/>
  <c r="AU18" i="15" s="1"/>
  <c r="J28" i="3"/>
  <c r="F83" i="15"/>
  <c r="G83" i="15" s="1"/>
  <c r="H83" i="15" s="1"/>
  <c r="I83" i="15" s="1"/>
  <c r="J83" i="15" s="1"/>
  <c r="K83" i="15" s="1"/>
  <c r="L83" i="15" s="1"/>
  <c r="M83" i="15" s="1"/>
  <c r="N83" i="15" s="1"/>
  <c r="O83" i="15" s="1"/>
  <c r="P83" i="15" s="1"/>
  <c r="Q83" i="15" s="1"/>
  <c r="R9" i="15"/>
  <c r="BG173" i="11"/>
  <c r="BG139" i="11"/>
  <c r="AI168" i="11"/>
  <c r="AV168" i="11"/>
  <c r="AJ168" i="11"/>
  <c r="AK23" i="3"/>
  <c r="AK24" i="3" s="1"/>
  <c r="AH23" i="3"/>
  <c r="AH24" i="3" s="1"/>
  <c r="AT28" i="15"/>
  <c r="AT18" i="15" s="1"/>
  <c r="K23" i="3"/>
  <c r="K24" i="3" s="1"/>
  <c r="Q28" i="15"/>
  <c r="Q18" i="15" s="1"/>
  <c r="AZ167" i="11"/>
  <c r="BQ167" i="11"/>
  <c r="BQ170" i="11" s="1"/>
  <c r="BH167" i="11"/>
  <c r="AY173" i="11"/>
  <c r="AY139" i="11"/>
  <c r="AL173" i="11"/>
  <c r="AL139" i="11"/>
  <c r="AS173" i="11"/>
  <c r="AS139" i="11"/>
  <c r="BI160" i="11"/>
  <c r="BI126" i="11"/>
  <c r="BT160" i="11"/>
  <c r="BT126" i="11"/>
  <c r="AX160" i="11"/>
  <c r="AX126" i="11"/>
  <c r="AF19" i="11"/>
  <c r="E120" i="4"/>
  <c r="E139" i="4" s="1"/>
  <c r="E11" i="4"/>
  <c r="E34" i="4"/>
  <c r="E53" i="4" s="1"/>
  <c r="E74" i="4"/>
  <c r="R41" i="2" a="1"/>
  <c r="R41" i="2" s="1"/>
  <c r="R66" i="2" s="1"/>
  <c r="E97" i="4"/>
  <c r="N102" i="4"/>
  <c r="M102" i="4"/>
  <c r="N94" i="4"/>
  <c r="M94" i="4"/>
  <c r="BO82" i="12"/>
  <c r="AY82" i="12"/>
  <c r="AI82" i="12"/>
  <c r="BN82" i="12"/>
  <c r="AX82" i="12"/>
  <c r="AH82" i="12"/>
  <c r="BL82" i="12"/>
  <c r="AV82" i="12"/>
  <c r="AF82" i="12"/>
  <c r="BK82" i="12"/>
  <c r="AU82" i="12"/>
  <c r="BW82" i="12"/>
  <c r="BG82" i="12"/>
  <c r="AQ82" i="12"/>
  <c r="BV82" i="12"/>
  <c r="BF82" i="12"/>
  <c r="AP82" i="12"/>
  <c r="BR82" i="12"/>
  <c r="AR82" i="12"/>
  <c r="BQ82" i="12"/>
  <c r="AO82" i="12"/>
  <c r="BP82" i="12"/>
  <c r="AN82" i="12"/>
  <c r="BM82" i="12"/>
  <c r="AM82" i="12"/>
  <c r="BJ82" i="12"/>
  <c r="AL82" i="12"/>
  <c r="BI82" i="12"/>
  <c r="AK82" i="12"/>
  <c r="BH82" i="12"/>
  <c r="AJ82" i="12"/>
  <c r="BE82" i="12"/>
  <c r="AG82" i="12"/>
  <c r="BD82" i="12"/>
  <c r="BB82" i="12"/>
  <c r="BA82" i="12"/>
  <c r="BT82" i="12"/>
  <c r="AT82" i="12"/>
  <c r="BS82" i="12"/>
  <c r="AS82" i="12"/>
  <c r="BU82" i="12"/>
  <c r="BC82" i="12"/>
  <c r="AZ82" i="12"/>
  <c r="AW82" i="12"/>
  <c r="BN136" i="12"/>
  <c r="AX136" i="12"/>
  <c r="AH136" i="12"/>
  <c r="BP136" i="12"/>
  <c r="AY136" i="12"/>
  <c r="AG136" i="12"/>
  <c r="BO136" i="12"/>
  <c r="AW136" i="12"/>
  <c r="AF136" i="12"/>
  <c r="BM136" i="12"/>
  <c r="AV136" i="12"/>
  <c r="BK136" i="12"/>
  <c r="AT136" i="12"/>
  <c r="BJ136" i="12"/>
  <c r="AS136" i="12"/>
  <c r="BI136" i="12"/>
  <c r="AR136" i="12"/>
  <c r="BH136" i="12"/>
  <c r="AQ136" i="12"/>
  <c r="BW136" i="12"/>
  <c r="BF136" i="12"/>
  <c r="AO136" i="12"/>
  <c r="BV136" i="12"/>
  <c r="BE136" i="12"/>
  <c r="AN136" i="12"/>
  <c r="BT136" i="12"/>
  <c r="BC136" i="12"/>
  <c r="AL136" i="12"/>
  <c r="BS136" i="12"/>
  <c r="BB136" i="12"/>
  <c r="AK136" i="12"/>
  <c r="BU136" i="12"/>
  <c r="BR136" i="12"/>
  <c r="BQ136" i="12"/>
  <c r="BL136" i="12"/>
  <c r="BG136" i="12"/>
  <c r="BD136" i="12"/>
  <c r="BA136" i="12"/>
  <c r="AZ136" i="12"/>
  <c r="AU136" i="12"/>
  <c r="AP136" i="12"/>
  <c r="AM136" i="12"/>
  <c r="AJ136" i="12"/>
  <c r="AI136" i="12"/>
  <c r="BW51" i="12"/>
  <c r="AO117" i="11"/>
  <c r="AO158" i="11"/>
  <c r="BI158" i="11"/>
  <c r="BI117" i="11"/>
  <c r="AZ158" i="11"/>
  <c r="AZ117" i="11"/>
  <c r="BR159" i="11"/>
  <c r="BR111" i="11"/>
  <c r="BF159" i="11"/>
  <c r="BF111" i="11"/>
  <c r="BI159" i="11"/>
  <c r="BI111" i="11"/>
  <c r="AM169" i="11"/>
  <c r="BH169" i="11"/>
  <c r="AK83" i="11"/>
  <c r="AK84" i="11" s="1"/>
  <c r="AO83" i="11"/>
  <c r="AO84" i="11" s="1"/>
  <c r="AI174" i="11"/>
  <c r="BR174" i="11"/>
  <c r="AS174" i="11"/>
  <c r="AR61" i="11"/>
  <c r="AR62" i="11" s="1"/>
  <c r="S7" i="5" s="1" a="1"/>
  <c r="S7" i="5" s="1"/>
  <c r="BL61" i="11"/>
  <c r="BL62" i="11" s="1"/>
  <c r="BI175" i="11"/>
  <c r="BI178" i="11"/>
  <c r="BN175" i="11"/>
  <c r="BN178" i="11"/>
  <c r="AN175" i="11"/>
  <c r="AN178" i="11"/>
  <c r="E73" i="4"/>
  <c r="E10" i="4"/>
  <c r="E119" i="4"/>
  <c r="E96" i="4"/>
  <c r="E33" i="4"/>
  <c r="R40" i="2" a="1"/>
  <c r="R40" i="2" s="1"/>
  <c r="BA14" i="11"/>
  <c r="BA15" i="11" s="1"/>
  <c r="Z10" i="5" l="1" a="1"/>
  <c r="Z10" i="5" s="1"/>
  <c r="BR62" i="11"/>
  <c r="AO62" i="11"/>
  <c r="P7" i="5" s="1" a="1"/>
  <c r="P7" i="5" s="1"/>
  <c r="AY20" i="11"/>
  <c r="N47" i="3" s="1"/>
  <c r="N49" i="3" s="1"/>
  <c r="AP170" i="11"/>
  <c r="Q22" i="5" s="1" a="1"/>
  <c r="Q22" i="5" s="1"/>
  <c r="BB62" i="11"/>
  <c r="AW62" i="11"/>
  <c r="X7" i="5" s="1" a="1"/>
  <c r="X7" i="5" s="1"/>
  <c r="V14" i="3" a="1"/>
  <c r="V14" i="3" s="1"/>
  <c r="V15" i="3" s="1"/>
  <c r="V16" i="3" s="1"/>
  <c r="V20" i="3" s="1"/>
  <c r="V25" i="3" s="1"/>
  <c r="J10" i="5" a="1"/>
  <c r="J10" i="5" s="1"/>
  <c r="BS170" i="11"/>
  <c r="AI62" i="11"/>
  <c r="J7" i="5" s="1" a="1"/>
  <c r="J7" i="5" s="1"/>
  <c r="BH62" i="11"/>
  <c r="AR170" i="11"/>
  <c r="S22" i="5" s="1" a="1"/>
  <c r="S22" i="5" s="1"/>
  <c r="BK62" i="11"/>
  <c r="AI14" i="3" a="1"/>
  <c r="AI14" i="3" s="1"/>
  <c r="AI15" i="3" s="1"/>
  <c r="AI16" i="3" s="1"/>
  <c r="AI20" i="3" s="1"/>
  <c r="W10" i="5" a="1"/>
  <c r="W10" i="5" s="1"/>
  <c r="H29" i="3"/>
  <c r="H25" i="3"/>
  <c r="AY62" i="11"/>
  <c r="Z7" i="5" s="1" a="1"/>
  <c r="Z7" i="5" s="1"/>
  <c r="BU62" i="11"/>
  <c r="AL162" i="12"/>
  <c r="D25" i="3"/>
  <c r="D33" i="3" s="1"/>
  <c r="AL170" i="11"/>
  <c r="M22" i="5" s="1" a="1"/>
  <c r="M22" i="5" s="1"/>
  <c r="AN170" i="11"/>
  <c r="O22" i="5" s="1" a="1"/>
  <c r="O22" i="5" s="1"/>
  <c r="G7" i="5" a="1"/>
  <c r="G7" i="5" s="1"/>
  <c r="BE62" i="11"/>
  <c r="G25" i="3"/>
  <c r="G33" i="3" s="1"/>
  <c r="AX170" i="11"/>
  <c r="Y22" i="5" s="1" a="1"/>
  <c r="Y22" i="5" s="1"/>
  <c r="AP62" i="11"/>
  <c r="Q7" i="5" s="1" a="1"/>
  <c r="Q7" i="5" s="1"/>
  <c r="G28" i="3"/>
  <c r="AJ170" i="11"/>
  <c r="K22" i="5" s="1" a="1"/>
  <c r="K22" i="5" s="1"/>
  <c r="R54" i="2" a="1"/>
  <c r="R54" i="2" s="1"/>
  <c r="AU170" i="11"/>
  <c r="V22" i="5" s="1" a="1"/>
  <c r="V22" i="5" s="1"/>
  <c r="AL62" i="11"/>
  <c r="M7" i="5" s="1" a="1"/>
  <c r="M7" i="5" s="1"/>
  <c r="L29" i="3"/>
  <c r="L25" i="3"/>
  <c r="L33" i="3" s="1"/>
  <c r="AH168" i="12"/>
  <c r="AJ179" i="11"/>
  <c r="K21" i="5" s="1" a="1"/>
  <c r="K21" i="5" s="1"/>
  <c r="AZ62" i="11"/>
  <c r="AZ86" i="11" s="1"/>
  <c r="AZ87" i="11" s="1"/>
  <c r="AZ97" i="11" s="1"/>
  <c r="AZ156" i="11" s="1"/>
  <c r="BU170" i="11"/>
  <c r="D28" i="3"/>
  <c r="BR170" i="11"/>
  <c r="AK62" i="11"/>
  <c r="L7" i="5" s="1" a="1"/>
  <c r="L7" i="5" s="1"/>
  <c r="M25" i="3"/>
  <c r="M32" i="3" s="1"/>
  <c r="AY170" i="11"/>
  <c r="Z22" i="5" s="1" a="1"/>
  <c r="Z22" i="5" s="1"/>
  <c r="M29" i="3"/>
  <c r="BP170" i="11"/>
  <c r="AR20" i="11"/>
  <c r="L47" i="3" s="1"/>
  <c r="L49" i="3" s="1"/>
  <c r="BW62" i="11"/>
  <c r="N16" i="4"/>
  <c r="AE14" i="3" a="1"/>
  <c r="AE14" i="3" s="1"/>
  <c r="AE15" i="3" s="1"/>
  <c r="AE16" i="3" s="1"/>
  <c r="AE20" i="3" s="1"/>
  <c r="AE29" i="3" s="1"/>
  <c r="BT170" i="11"/>
  <c r="V10" i="5" a="1"/>
  <c r="V10" i="5" s="1"/>
  <c r="AH14" i="3" a="1"/>
  <c r="AH14" i="3" s="1"/>
  <c r="AH15" i="3" s="1"/>
  <c r="AH16" i="3" s="1"/>
  <c r="AH20" i="3" s="1"/>
  <c r="AH25" i="3" s="1"/>
  <c r="K25" i="3"/>
  <c r="K33" i="3" s="1"/>
  <c r="F28" i="3"/>
  <c r="K29" i="3"/>
  <c r="BG62" i="11"/>
  <c r="BK179" i="11"/>
  <c r="BQ62" i="11"/>
  <c r="BL170" i="11"/>
  <c r="AP179" i="11"/>
  <c r="Q21" i="5" s="1" a="1"/>
  <c r="Q21" i="5" s="1"/>
  <c r="BQ163" i="11"/>
  <c r="BQ164" i="11" s="1"/>
  <c r="BB74" i="12"/>
  <c r="AW170" i="11"/>
  <c r="X22" i="5" s="1" a="1"/>
  <c r="X22" i="5" s="1"/>
  <c r="AS170" i="11"/>
  <c r="T22" i="5" s="1" a="1"/>
  <c r="T22" i="5" s="1"/>
  <c r="BB14" i="12"/>
  <c r="BB15" i="12" s="1"/>
  <c r="BB19" i="12" s="1"/>
  <c r="BB20" i="12" s="1"/>
  <c r="BP179" i="11"/>
  <c r="AG170" i="11"/>
  <c r="S54" i="2" s="1" a="1"/>
  <c r="S54" i="2" s="1"/>
  <c r="BE167" i="12"/>
  <c r="BB162" i="12"/>
  <c r="BA170" i="11"/>
  <c r="AH170" i="11"/>
  <c r="I22" i="5" s="1" a="1"/>
  <c r="I22" i="5" s="1"/>
  <c r="AS174" i="12"/>
  <c r="AY162" i="12"/>
  <c r="AQ168" i="12"/>
  <c r="F29" i="3"/>
  <c r="BF162" i="12"/>
  <c r="BC167" i="12"/>
  <c r="BN167" i="12"/>
  <c r="AL167" i="12"/>
  <c r="BM170" i="11"/>
  <c r="BD179" i="11"/>
  <c r="AY179" i="11"/>
  <c r="Z21" i="5" s="1" a="1"/>
  <c r="Z21" i="5" s="1"/>
  <c r="BJ167" i="12"/>
  <c r="BA162" i="12"/>
  <c r="AM162" i="12"/>
  <c r="BO62" i="11"/>
  <c r="AK170" i="11"/>
  <c r="L22" i="5" s="1" a="1"/>
  <c r="L22" i="5" s="1"/>
  <c r="AV170" i="11"/>
  <c r="W22" i="5" s="1" a="1"/>
  <c r="W22" i="5" s="1"/>
  <c r="BW179" i="11"/>
  <c r="AG162" i="12"/>
  <c r="AL174" i="12"/>
  <c r="AW174" i="12"/>
  <c r="BN174" i="12"/>
  <c r="AH167" i="12"/>
  <c r="BS174" i="12"/>
  <c r="BC179" i="11"/>
  <c r="BN170" i="11"/>
  <c r="BQ174" i="12"/>
  <c r="K8" i="5" a="1"/>
  <c r="K8" i="5" s="1"/>
  <c r="W3" i="3" a="1"/>
  <c r="W3" i="3" s="1"/>
  <c r="W5" i="3" s="1"/>
  <c r="W28" i="3" s="1"/>
  <c r="AC3" i="3" a="1"/>
  <c r="AC3" i="3" s="1"/>
  <c r="AC5" i="3" s="1"/>
  <c r="AC28" i="3" s="1"/>
  <c r="Q8" i="5" a="1"/>
  <c r="Q8" i="5" s="1"/>
  <c r="BS169" i="12"/>
  <c r="AT162" i="12"/>
  <c r="AU169" i="12"/>
  <c r="BV170" i="11"/>
  <c r="BG170" i="11"/>
  <c r="AU162" i="12"/>
  <c r="AH162" i="12"/>
  <c r="BW167" i="12"/>
  <c r="AX169" i="12"/>
  <c r="BE169" i="12"/>
  <c r="AV168" i="12"/>
  <c r="AT170" i="11"/>
  <c r="U22" i="5" s="1" a="1"/>
  <c r="U22" i="5" s="1"/>
  <c r="AJ162" i="12"/>
  <c r="BI169" i="12"/>
  <c r="BC169" i="12"/>
  <c r="AH169" i="12"/>
  <c r="AR168" i="12"/>
  <c r="AG168" i="12"/>
  <c r="BL169" i="12"/>
  <c r="BW169" i="12"/>
  <c r="AV62" i="11"/>
  <c r="W7" i="5" s="1" a="1"/>
  <c r="W7" i="5" s="1"/>
  <c r="AI174" i="12"/>
  <c r="BD168" i="12"/>
  <c r="BS167" i="12"/>
  <c r="BT174" i="12"/>
  <c r="AZ174" i="12"/>
  <c r="BB170" i="11"/>
  <c r="AP169" i="12"/>
  <c r="BI170" i="11"/>
  <c r="BP169" i="12"/>
  <c r="AS169" i="12"/>
  <c r="AO170" i="11"/>
  <c r="P22" i="5" s="1" a="1"/>
  <c r="P22" i="5" s="1"/>
  <c r="BL174" i="12"/>
  <c r="AZ162" i="12"/>
  <c r="BM167" i="12"/>
  <c r="AK167" i="12"/>
  <c r="BW174" i="12"/>
  <c r="BI179" i="11"/>
  <c r="BS83" i="12"/>
  <c r="BH83" i="12"/>
  <c r="BB61" i="12"/>
  <c r="BA61" i="12"/>
  <c r="BL61" i="12"/>
  <c r="BH168" i="12"/>
  <c r="BV168" i="12"/>
  <c r="BO162" i="12"/>
  <c r="BP167" i="12"/>
  <c r="BN83" i="12"/>
  <c r="AF83" i="12"/>
  <c r="AF84" i="12" s="1"/>
  <c r="AN83" i="12"/>
  <c r="AN84" i="12" s="1"/>
  <c r="BQ61" i="12"/>
  <c r="BK169" i="12"/>
  <c r="AW169" i="12"/>
  <c r="AO169" i="12"/>
  <c r="AO174" i="12"/>
  <c r="AK168" i="12"/>
  <c r="BA179" i="11"/>
  <c r="BE162" i="12"/>
  <c r="AU167" i="12"/>
  <c r="AQ83" i="12"/>
  <c r="AQ84" i="12" s="1"/>
  <c r="AZ83" i="12"/>
  <c r="AZ84" i="12" s="1"/>
  <c r="BD83" i="12"/>
  <c r="AU19" i="12"/>
  <c r="AU20" i="12" s="1"/>
  <c r="BP62" i="11"/>
  <c r="BN169" i="12"/>
  <c r="BD174" i="12"/>
  <c r="AY168" i="12"/>
  <c r="BK168" i="12"/>
  <c r="BG168" i="12"/>
  <c r="BQ162" i="12"/>
  <c r="AG167" i="12"/>
  <c r="BB167" i="12"/>
  <c r="BK167" i="12"/>
  <c r="AW83" i="12"/>
  <c r="AW84" i="12" s="1"/>
  <c r="BV83" i="12"/>
  <c r="AV19" i="12"/>
  <c r="AV20" i="12" s="1"/>
  <c r="AZ169" i="12"/>
  <c r="BU169" i="12"/>
  <c r="BE170" i="11"/>
  <c r="BM83" i="12"/>
  <c r="AG83" i="12"/>
  <c r="AG84" i="12" s="1"/>
  <c r="BT61" i="12"/>
  <c r="AQ169" i="12"/>
  <c r="BN46" i="12"/>
  <c r="AN46" i="12"/>
  <c r="AQ62" i="11"/>
  <c r="R7" i="5" s="1" a="1"/>
  <c r="R7" i="5" s="1"/>
  <c r="AI169" i="12"/>
  <c r="AI46" i="12"/>
  <c r="BD46" i="12"/>
  <c r="AY174" i="12"/>
  <c r="AU168" i="12"/>
  <c r="AS46" i="12"/>
  <c r="AY46" i="12"/>
  <c r="BT46" i="12"/>
  <c r="AO162" i="12"/>
  <c r="M33" i="4"/>
  <c r="M52" i="4" s="1"/>
  <c r="AV179" i="11"/>
  <c r="AT46" i="12"/>
  <c r="BO46" i="12"/>
  <c r="AO46" i="12"/>
  <c r="AG46" i="12"/>
  <c r="AJ46" i="12"/>
  <c r="BE46" i="12"/>
  <c r="BO170" i="11"/>
  <c r="AR19" i="12"/>
  <c r="AR20" i="12" s="1"/>
  <c r="BU179" i="11"/>
  <c r="BA168" i="12"/>
  <c r="AO168" i="12"/>
  <c r="BJ162" i="12"/>
  <c r="AW167" i="12"/>
  <c r="BU167" i="12"/>
  <c r="AS19" i="12"/>
  <c r="AS20" i="12" s="1"/>
  <c r="BO179" i="11"/>
  <c r="BO174" i="12"/>
  <c r="BI174" i="12"/>
  <c r="BQ168" i="12"/>
  <c r="BL168" i="12"/>
  <c r="AR162" i="12"/>
  <c r="BU162" i="12"/>
  <c r="AP162" i="12"/>
  <c r="BF167" i="12"/>
  <c r="AY167" i="12"/>
  <c r="AQ167" i="12"/>
  <c r="BW83" i="12"/>
  <c r="AG19" i="12"/>
  <c r="AG20" i="12" s="1"/>
  <c r="AT19" i="12"/>
  <c r="AT20" i="12" s="1"/>
  <c r="AL169" i="12"/>
  <c r="AM170" i="11"/>
  <c r="N22" i="5" s="1" a="1"/>
  <c r="N22" i="5" s="1"/>
  <c r="S42" i="2"/>
  <c r="S67" i="2" s="1"/>
  <c r="AU174" i="12"/>
  <c r="BT168" i="12"/>
  <c r="AS167" i="12"/>
  <c r="BB179" i="11"/>
  <c r="AJ19" i="12"/>
  <c r="AJ20" i="12" s="1"/>
  <c r="S23" i="2"/>
  <c r="AG25" i="3"/>
  <c r="AG29" i="3"/>
  <c r="BC67" i="6"/>
  <c r="BC68" i="6" s="1"/>
  <c r="BC4" i="11" a="1"/>
  <c r="BC4" i="11" s="1"/>
  <c r="BC5" i="11" s="1"/>
  <c r="AK24" i="15" a="1"/>
  <c r="AK24" i="15" s="1"/>
  <c r="AB25" i="3"/>
  <c r="AB29" i="3"/>
  <c r="AF25" i="3"/>
  <c r="AF29" i="3"/>
  <c r="J33" i="3"/>
  <c r="J32" i="3"/>
  <c r="AM86" i="11"/>
  <c r="N32" i="5" s="1" a="1"/>
  <c r="N32" i="5" s="1"/>
  <c r="N8" i="5" a="1"/>
  <c r="N8" i="5" s="1"/>
  <c r="Z3" i="3" a="1"/>
  <c r="Z3" i="3" s="1"/>
  <c r="Z5" i="3" s="1"/>
  <c r="Z28" i="3" s="1"/>
  <c r="AC25" i="3"/>
  <c r="AC29" i="3"/>
  <c r="O33" i="3"/>
  <c r="O32" i="3"/>
  <c r="AK25" i="3"/>
  <c r="AK29" i="3"/>
  <c r="Y25" i="3"/>
  <c r="Y29" i="3"/>
  <c r="AX86" i="11"/>
  <c r="Y32" i="5" s="1" a="1"/>
  <c r="Y32" i="5" s="1"/>
  <c r="AK3" i="3" a="1"/>
  <c r="AK3" i="3" s="1"/>
  <c r="AK5" i="3" s="1"/>
  <c r="AK28" i="3" s="1"/>
  <c r="Y8" i="5" a="1"/>
  <c r="Y8" i="5" s="1"/>
  <c r="K7" i="5" a="1"/>
  <c r="K7" i="5" s="1"/>
  <c r="AJ86" i="11"/>
  <c r="K32" i="5" s="1" a="1"/>
  <c r="K32" i="5" s="1"/>
  <c r="AW86" i="11"/>
  <c r="X32" i="5" s="1" a="1"/>
  <c r="X32" i="5" s="1"/>
  <c r="AJ3" i="3" a="1"/>
  <c r="AJ3" i="3" s="1"/>
  <c r="AJ5" i="3" s="1"/>
  <c r="AJ28" i="3" s="1"/>
  <c r="X8" i="5" a="1"/>
  <c r="X8" i="5" s="1"/>
  <c r="N37" i="3"/>
  <c r="N39" i="3" s="1"/>
  <c r="AD25" i="3"/>
  <c r="AD29" i="3"/>
  <c r="O7" i="5" a="1"/>
  <c r="O7" i="5" s="1"/>
  <c r="D62" i="3"/>
  <c r="D61" i="3"/>
  <c r="W25" i="3"/>
  <c r="W29" i="3"/>
  <c r="AJ25" i="3"/>
  <c r="AJ29" i="3"/>
  <c r="R95" i="15"/>
  <c r="S95" i="15" s="1"/>
  <c r="T95" i="15" s="1"/>
  <c r="U95" i="15" s="1"/>
  <c r="V95" i="15" s="1"/>
  <c r="W95" i="15" s="1"/>
  <c r="X95" i="15" s="1"/>
  <c r="Y95" i="15" s="1"/>
  <c r="Z95" i="15" s="1"/>
  <c r="AA95" i="15" s="1"/>
  <c r="AB95" i="15" s="1"/>
  <c r="AC95" i="15" s="1"/>
  <c r="AD9" i="15"/>
  <c r="BK159" i="12"/>
  <c r="BK111" i="12"/>
  <c r="AP178" i="12"/>
  <c r="AP175" i="12"/>
  <c r="BR173" i="12"/>
  <c r="BR139" i="12"/>
  <c r="BR141" i="12" s="1"/>
  <c r="E25" i="3"/>
  <c r="E29" i="3"/>
  <c r="AF19" i="12"/>
  <c r="AF20" i="12" s="1"/>
  <c r="L74" i="4"/>
  <c r="L97" i="4"/>
  <c r="L120" i="4"/>
  <c r="L139" i="4" s="1"/>
  <c r="L11" i="4"/>
  <c r="L34" i="4"/>
  <c r="L53" i="4" s="1"/>
  <c r="BU160" i="12"/>
  <c r="BU126" i="12"/>
  <c r="AF20" i="11"/>
  <c r="G10" i="5" a="1"/>
  <c r="G10" i="5" s="1"/>
  <c r="S14" i="3" a="1"/>
  <c r="S14" i="3" s="1"/>
  <c r="S15" i="3" s="1"/>
  <c r="S16" i="3" s="1"/>
  <c r="S20" i="3" s="1"/>
  <c r="AG159" i="12"/>
  <c r="AG111" i="12"/>
  <c r="BO175" i="12"/>
  <c r="BO178" i="12"/>
  <c r="BC173" i="12"/>
  <c r="BC139" i="12"/>
  <c r="BA19" i="11"/>
  <c r="BA20" i="11" s="1"/>
  <c r="W100" i="15"/>
  <c r="X100" i="15" s="1"/>
  <c r="Y100" i="15" s="1"/>
  <c r="Z100" i="15" s="1"/>
  <c r="AA100" i="15" s="1"/>
  <c r="AB100" i="15" s="1"/>
  <c r="AC100" i="15" s="1"/>
  <c r="AD100" i="15" s="1"/>
  <c r="AE100" i="15" s="1"/>
  <c r="AF100" i="15" s="1"/>
  <c r="AG100" i="15" s="1"/>
  <c r="AH100" i="15" s="1"/>
  <c r="AI9" i="15"/>
  <c r="U16" i="4"/>
  <c r="T16" i="4"/>
  <c r="AY169" i="12"/>
  <c r="BP158" i="12"/>
  <c r="BP117" i="12"/>
  <c r="U98" i="15"/>
  <c r="V98" i="15" s="1"/>
  <c r="W98" i="15" s="1"/>
  <c r="X98" i="15" s="1"/>
  <c r="Y98" i="15" s="1"/>
  <c r="Z98" i="15" s="1"/>
  <c r="AA98" i="15" s="1"/>
  <c r="AB98" i="15" s="1"/>
  <c r="AC98" i="15" s="1"/>
  <c r="AD98" i="15" s="1"/>
  <c r="AE98" i="15" s="1"/>
  <c r="AF98" i="15" s="1"/>
  <c r="AG9" i="15"/>
  <c r="AY178" i="12"/>
  <c r="AY175" i="12"/>
  <c r="AV174" i="12"/>
  <c r="AI159" i="12"/>
  <c r="AI111" i="12"/>
  <c r="BE168" i="12"/>
  <c r="AP168" i="12"/>
  <c r="E40" i="4"/>
  <c r="BM162" i="12"/>
  <c r="AI162" i="12"/>
  <c r="BI167" i="12"/>
  <c r="BQ83" i="12"/>
  <c r="BA83" i="12"/>
  <c r="BA84" i="12" s="1"/>
  <c r="BE83" i="12"/>
  <c r="AH19" i="12"/>
  <c r="AH20" i="12" s="1"/>
  <c r="M34" i="4"/>
  <c r="M53" i="4" s="1"/>
  <c r="AK19" i="12"/>
  <c r="AK20" i="12" s="1"/>
  <c r="N34" i="4"/>
  <c r="N53" i="4" s="1"/>
  <c r="AQ61" i="12"/>
  <c r="AH61" i="12"/>
  <c r="AO61" i="12"/>
  <c r="BV160" i="12"/>
  <c r="BV126" i="12"/>
  <c r="AV160" i="12"/>
  <c r="AV126" i="12"/>
  <c r="BQ160" i="12"/>
  <c r="BQ126" i="12"/>
  <c r="D144" i="4"/>
  <c r="AJ169" i="12"/>
  <c r="BO169" i="12"/>
  <c r="AR169" i="12"/>
  <c r="AX158" i="12"/>
  <c r="AX117" i="12"/>
  <c r="BF158" i="12"/>
  <c r="BF117" i="12"/>
  <c r="AM179" i="11"/>
  <c r="AU46" i="12"/>
  <c r="AZ46" i="12"/>
  <c r="BU46" i="12"/>
  <c r="AW179" i="11"/>
  <c r="BC67" i="7"/>
  <c r="BC68" i="7" s="1"/>
  <c r="BC4" i="12" a="1"/>
  <c r="BC4" i="12" s="1"/>
  <c r="BC5" i="12" s="1"/>
  <c r="BT178" i="12"/>
  <c r="BT175" i="12"/>
  <c r="AP173" i="12"/>
  <c r="AP139" i="12"/>
  <c r="AG174" i="12"/>
  <c r="X101" i="15"/>
  <c r="Y101" i="15" s="1"/>
  <c r="Z101" i="15" s="1"/>
  <c r="AA101" i="15" s="1"/>
  <c r="AB101" i="15" s="1"/>
  <c r="AC101" i="15" s="1"/>
  <c r="AD101" i="15" s="1"/>
  <c r="AE101" i="15" s="1"/>
  <c r="AF101" i="15" s="1"/>
  <c r="AG101" i="15" s="1"/>
  <c r="AH101" i="15" s="1"/>
  <c r="AI101" i="15" s="1"/>
  <c r="AJ9" i="15"/>
  <c r="I7" i="5" a="1"/>
  <c r="I7" i="5" s="1"/>
  <c r="F40" i="4"/>
  <c r="AH159" i="12"/>
  <c r="AH111" i="12"/>
  <c r="AZ167" i="12"/>
  <c r="BC66" i="11"/>
  <c r="BC74" i="11" s="1"/>
  <c r="BB17" i="11"/>
  <c r="BB18" i="11" s="1"/>
  <c r="BB14" i="11"/>
  <c r="BB15" i="11" s="1"/>
  <c r="BB79" i="11"/>
  <c r="BB81" i="11" s="1"/>
  <c r="BB83" i="11" s="1"/>
  <c r="BB84" i="11" s="1"/>
  <c r="BS173" i="12"/>
  <c r="BS139" i="12"/>
  <c r="BS141" i="12" s="1"/>
  <c r="AH174" i="12"/>
  <c r="AX159" i="12"/>
  <c r="AX111" i="12"/>
  <c r="R65" i="2"/>
  <c r="R42" i="2"/>
  <c r="AJ174" i="12"/>
  <c r="BS159" i="12"/>
  <c r="BS111" i="12"/>
  <c r="BM168" i="12"/>
  <c r="BL162" i="12"/>
  <c r="BN179" i="11"/>
  <c r="AR160" i="12"/>
  <c r="AR126" i="12"/>
  <c r="F61" i="3"/>
  <c r="F62" i="3"/>
  <c r="E35" i="4"/>
  <c r="E52" i="4"/>
  <c r="BD178" i="12"/>
  <c r="BD175" i="12"/>
  <c r="BF178" i="12"/>
  <c r="BF175" i="12"/>
  <c r="AI173" i="12"/>
  <c r="AI139" i="12"/>
  <c r="BU173" i="12"/>
  <c r="BU139" i="12"/>
  <c r="BU141" i="12" s="1"/>
  <c r="BG173" i="12"/>
  <c r="BG139" i="12"/>
  <c r="BA174" i="12"/>
  <c r="BU159" i="12"/>
  <c r="BU111" i="12"/>
  <c r="AP159" i="12"/>
  <c r="AP111" i="12"/>
  <c r="F96" i="4"/>
  <c r="E98" i="4"/>
  <c r="G96" i="4"/>
  <c r="BG178" i="12"/>
  <c r="BG175" i="12"/>
  <c r="BW178" i="12"/>
  <c r="BW175" i="12"/>
  <c r="BP178" i="12"/>
  <c r="BP175" i="12"/>
  <c r="AL86" i="11"/>
  <c r="M32" i="5" s="1" a="1"/>
  <c r="M32" i="5" s="1"/>
  <c r="Y3" i="3" a="1"/>
  <c r="Y3" i="3" s="1"/>
  <c r="Y5" i="3" s="1"/>
  <c r="Y28" i="3" s="1"/>
  <c r="M8" i="5" a="1"/>
  <c r="M8" i="5" s="1"/>
  <c r="BE173" i="12"/>
  <c r="BE139" i="12"/>
  <c r="AT173" i="12"/>
  <c r="AT139" i="12"/>
  <c r="BW139" i="12"/>
  <c r="BW141" i="12" s="1"/>
  <c r="BW173" i="12"/>
  <c r="AK174" i="12"/>
  <c r="BR174" i="12"/>
  <c r="BM174" i="12"/>
  <c r="AL159" i="12"/>
  <c r="AL111" i="12"/>
  <c r="BF159" i="12"/>
  <c r="BF111" i="12"/>
  <c r="AY159" i="12"/>
  <c r="AY111" i="12"/>
  <c r="BA48" i="7"/>
  <c r="BM43" i="7"/>
  <c r="AK9" i="15"/>
  <c r="Y102" i="15"/>
  <c r="Z102" i="15" s="1"/>
  <c r="AA102" i="15" s="1"/>
  <c r="AB102" i="15" s="1"/>
  <c r="AC102" i="15" s="1"/>
  <c r="AD102" i="15" s="1"/>
  <c r="AE102" i="15" s="1"/>
  <c r="AF102" i="15" s="1"/>
  <c r="AG102" i="15" s="1"/>
  <c r="AH102" i="15" s="1"/>
  <c r="AI102" i="15" s="1"/>
  <c r="AJ102" i="15" s="1"/>
  <c r="AJ168" i="12"/>
  <c r="BF168" i="12"/>
  <c r="T97" i="15"/>
  <c r="U97" i="15" s="1"/>
  <c r="V97" i="15" s="1"/>
  <c r="W97" i="15" s="1"/>
  <c r="X97" i="15" s="1"/>
  <c r="Y97" i="15" s="1"/>
  <c r="Z97" i="15" s="1"/>
  <c r="AA97" i="15" s="1"/>
  <c r="AB97" i="15" s="1"/>
  <c r="AC97" i="15" s="1"/>
  <c r="AD97" i="15" s="1"/>
  <c r="AE97" i="15" s="1"/>
  <c r="AF9" i="15"/>
  <c r="BX26" i="13"/>
  <c r="BX6" i="13"/>
  <c r="BY1" i="13"/>
  <c r="BN162" i="12"/>
  <c r="BD162" i="12"/>
  <c r="BP162" i="12"/>
  <c r="AQ179" i="11"/>
  <c r="BO167" i="12"/>
  <c r="BA167" i="12"/>
  <c r="AT167" i="12"/>
  <c r="AM83" i="12"/>
  <c r="AM84" i="12" s="1"/>
  <c r="BU83" i="12"/>
  <c r="BA19" i="12"/>
  <c r="BA20" i="12" s="1"/>
  <c r="AI86" i="11"/>
  <c r="J32" i="5" s="1" a="1"/>
  <c r="J32" i="5" s="1"/>
  <c r="J8" i="5" a="1"/>
  <c r="J8" i="5" s="1"/>
  <c r="V3" i="3" a="1"/>
  <c r="V3" i="3" s="1"/>
  <c r="V5" i="3" s="1"/>
  <c r="AT61" i="12"/>
  <c r="BJ61" i="12"/>
  <c r="BE61" i="12"/>
  <c r="BW160" i="12"/>
  <c r="BW126" i="12"/>
  <c r="BL160" i="12"/>
  <c r="BL126" i="12"/>
  <c r="AL160" i="12"/>
  <c r="AL126" i="12"/>
  <c r="BM169" i="12"/>
  <c r="AK169" i="12"/>
  <c r="BH169" i="12"/>
  <c r="BS158" i="12"/>
  <c r="BS117" i="12"/>
  <c r="AN158" i="12"/>
  <c r="AN117" i="12"/>
  <c r="BR163" i="11"/>
  <c r="BR164" i="11" s="1"/>
  <c r="AW46" i="12"/>
  <c r="BP46" i="12"/>
  <c r="AP46" i="12"/>
  <c r="BK170" i="11"/>
  <c r="AM178" i="12"/>
  <c r="AM175" i="12"/>
  <c r="AT158" i="12"/>
  <c r="AT117" i="12"/>
  <c r="Z103" i="15"/>
  <c r="AA103" i="15" s="1"/>
  <c r="AB103" i="15" s="1"/>
  <c r="AC103" i="15" s="1"/>
  <c r="AD103" i="15" s="1"/>
  <c r="AE103" i="15" s="1"/>
  <c r="AF103" i="15" s="1"/>
  <c r="AG103" i="15" s="1"/>
  <c r="AH103" i="15" s="1"/>
  <c r="AI103" i="15" s="1"/>
  <c r="AJ103" i="15" s="1"/>
  <c r="AK103" i="15" s="1"/>
  <c r="AL9" i="15"/>
  <c r="BG167" i="12"/>
  <c r="BP160" i="12"/>
  <c r="BP126" i="12"/>
  <c r="BV178" i="12"/>
  <c r="BV175" i="12"/>
  <c r="W8" i="5" a="1"/>
  <c r="W8" i="5" s="1"/>
  <c r="AI3" i="3" a="1"/>
  <c r="AI3" i="3" s="1"/>
  <c r="AI5" i="3" s="1"/>
  <c r="AI28" i="3" s="1"/>
  <c r="AG175" i="12"/>
  <c r="AG178" i="12"/>
  <c r="E138" i="4"/>
  <c r="E121" i="4"/>
  <c r="AN159" i="12"/>
  <c r="AN111" i="12"/>
  <c r="BV159" i="12"/>
  <c r="BV111" i="12"/>
  <c r="BO159" i="12"/>
  <c r="BO111" i="12"/>
  <c r="AK162" i="12"/>
  <c r="BQ167" i="12"/>
  <c r="BJ83" i="12"/>
  <c r="AH83" i="12"/>
  <c r="AH84" i="12" s="1"/>
  <c r="AS83" i="12"/>
  <c r="AS84" i="12" s="1"/>
  <c r="AI19" i="12"/>
  <c r="AI20" i="12" s="1"/>
  <c r="AP61" i="12"/>
  <c r="AI61" i="12"/>
  <c r="BU61" i="12"/>
  <c r="AP160" i="12"/>
  <c r="AP126" i="12"/>
  <c r="AG160" i="12"/>
  <c r="AG126" i="12"/>
  <c r="BB160" i="12"/>
  <c r="BB126" i="12"/>
  <c r="BA169" i="12"/>
  <c r="BR158" i="12"/>
  <c r="BR117" i="12"/>
  <c r="AZ158" i="12"/>
  <c r="AZ117" i="12"/>
  <c r="BG158" i="12"/>
  <c r="BG117" i="12"/>
  <c r="AU86" i="11"/>
  <c r="V32" i="5" s="1" a="1"/>
  <c r="V32" i="5" s="1"/>
  <c r="V8" i="5" a="1"/>
  <c r="V8" i="5" s="1"/>
  <c r="AH3" i="3" a="1"/>
  <c r="AH3" i="3" s="1"/>
  <c r="AH5" i="3" s="1"/>
  <c r="BI46" i="12"/>
  <c r="AK46" i="12"/>
  <c r="BF46" i="12"/>
  <c r="BW25" i="13"/>
  <c r="BW11" i="13"/>
  <c r="BW5" i="13"/>
  <c r="BX2" i="13"/>
  <c r="F33" i="3"/>
  <c r="F32" i="3"/>
  <c r="H32" i="3"/>
  <c r="H33" i="3"/>
  <c r="AS86" i="11"/>
  <c r="T32" i="5" s="1" a="1"/>
  <c r="T32" i="5" s="1"/>
  <c r="T8" i="5" a="1"/>
  <c r="T8" i="5" s="1"/>
  <c r="AF3" i="3" a="1"/>
  <c r="AF3" i="3" s="1"/>
  <c r="AF5" i="3" s="1"/>
  <c r="AF28" i="3" s="1"/>
  <c r="AK158" i="12"/>
  <c r="AK117" i="12"/>
  <c r="BF61" i="12"/>
  <c r="AL158" i="12"/>
  <c r="AL117" i="12"/>
  <c r="BR168" i="12"/>
  <c r="BG169" i="12"/>
  <c r="BN159" i="12"/>
  <c r="BN111" i="12"/>
  <c r="AX175" i="12"/>
  <c r="AX178" i="12"/>
  <c r="BW163" i="11"/>
  <c r="BW164" i="11" s="1"/>
  <c r="AW162" i="12"/>
  <c r="BQ179" i="11"/>
  <c r="BQ181" i="11" s="1"/>
  <c r="AP83" i="12"/>
  <c r="AP84" i="12" s="1"/>
  <c r="BB83" i="12"/>
  <c r="BI83" i="12"/>
  <c r="AL25" i="3"/>
  <c r="AL29" i="3"/>
  <c r="AL19" i="12"/>
  <c r="AL20" i="12" s="1"/>
  <c r="BV163" i="11"/>
  <c r="BV164" i="11" s="1"/>
  <c r="BR61" i="12"/>
  <c r="BM61" i="12"/>
  <c r="AR61" i="12"/>
  <c r="AQ160" i="12"/>
  <c r="AQ126" i="12"/>
  <c r="AW160" i="12"/>
  <c r="AW126" i="12"/>
  <c r="BR160" i="12"/>
  <c r="BR126" i="12"/>
  <c r="BQ169" i="12"/>
  <c r="BK158" i="12"/>
  <c r="BK117" i="12"/>
  <c r="BT158" i="12"/>
  <c r="BT117" i="12"/>
  <c r="AO158" i="12"/>
  <c r="AO117" i="12"/>
  <c r="BJ46" i="12"/>
  <c r="BA46" i="12"/>
  <c r="BV46" i="12"/>
  <c r="BT179" i="11"/>
  <c r="BJ179" i="11"/>
  <c r="AV159" i="12"/>
  <c r="AV111" i="12"/>
  <c r="AZ170" i="11"/>
  <c r="BW158" i="12"/>
  <c r="BW117" i="12"/>
  <c r="M47" i="3"/>
  <c r="M49" i="3" s="1"/>
  <c r="D123" i="4"/>
  <c r="D141" i="4"/>
  <c r="BF170" i="11"/>
  <c r="AY86" i="11"/>
  <c r="Z32" i="5" s="1" a="1"/>
  <c r="Z32" i="5" s="1"/>
  <c r="Z8" i="5" a="1"/>
  <c r="Z8" i="5" s="1"/>
  <c r="AL3" i="3" a="1"/>
  <c r="AL3" i="3" s="1"/>
  <c r="AL5" i="3" s="1"/>
  <c r="AL28" i="3" s="1"/>
  <c r="BK83" i="12"/>
  <c r="AI83" i="12"/>
  <c r="AI84" i="12" s="1"/>
  <c r="AV83" i="12"/>
  <c r="AV84" i="12" s="1"/>
  <c r="AX179" i="11"/>
  <c r="BS61" i="12"/>
  <c r="AJ61" i="12"/>
  <c r="BH61" i="12"/>
  <c r="AS160" i="12"/>
  <c r="AS126" i="12"/>
  <c r="BM160" i="12"/>
  <c r="BM126" i="12"/>
  <c r="AM160" i="12"/>
  <c r="AM126" i="12"/>
  <c r="AR86" i="11"/>
  <c r="S32" i="5" s="1" a="1"/>
  <c r="S32" i="5" s="1"/>
  <c r="S8" i="5" a="1"/>
  <c r="S8" i="5" s="1"/>
  <c r="AE3" i="3" a="1"/>
  <c r="AE3" i="3" s="1"/>
  <c r="AE5" i="3" s="1"/>
  <c r="AE28" i="3" s="1"/>
  <c r="BM158" i="12"/>
  <c r="BM117" i="12"/>
  <c r="AG158" i="12"/>
  <c r="AG117" i="12"/>
  <c r="BH158" i="12"/>
  <c r="BH117" i="12"/>
  <c r="S96" i="15"/>
  <c r="T96" i="15" s="1"/>
  <c r="U96" i="15" s="1"/>
  <c r="V96" i="15" s="1"/>
  <c r="W96" i="15" s="1"/>
  <c r="X96" i="15" s="1"/>
  <c r="Y96" i="15" s="1"/>
  <c r="Z96" i="15" s="1"/>
  <c r="AA96" i="15" s="1"/>
  <c r="AB96" i="15" s="1"/>
  <c r="AC96" i="15" s="1"/>
  <c r="AD96" i="15" s="1"/>
  <c r="AE9" i="15"/>
  <c r="BK46" i="12"/>
  <c r="BQ46" i="12"/>
  <c r="AQ46" i="12"/>
  <c r="V99" i="15"/>
  <c r="W99" i="15" s="1"/>
  <c r="X99" i="15" s="1"/>
  <c r="Y99" i="15" s="1"/>
  <c r="Z99" i="15" s="1"/>
  <c r="AA99" i="15" s="1"/>
  <c r="AB99" i="15" s="1"/>
  <c r="AC99" i="15" s="1"/>
  <c r="AD99" i="15" s="1"/>
  <c r="AE99" i="15" s="1"/>
  <c r="AF99" i="15" s="1"/>
  <c r="AG99" i="15" s="1"/>
  <c r="AH9" i="15"/>
  <c r="Q33" i="3"/>
  <c r="Q32" i="3"/>
  <c r="BM175" i="12"/>
  <c r="BM178" i="12"/>
  <c r="BK160" i="12"/>
  <c r="BK126" i="12"/>
  <c r="AO86" i="11"/>
  <c r="P32" i="5" s="1" a="1"/>
  <c r="P32" i="5" s="1"/>
  <c r="P8" i="5" a="1"/>
  <c r="P8" i="5" s="1"/>
  <c r="AB3" i="3" a="1"/>
  <c r="AB3" i="3" s="1"/>
  <c r="AB5" i="3" s="1"/>
  <c r="AB28" i="3" s="1"/>
  <c r="E62" i="3"/>
  <c r="E61" i="3"/>
  <c r="AN175" i="12"/>
  <c r="AN178" i="12"/>
  <c r="BL159" i="12"/>
  <c r="BL111" i="12"/>
  <c r="AZ160" i="12"/>
  <c r="AZ126" i="12"/>
  <c r="AW175" i="12"/>
  <c r="AW178" i="12"/>
  <c r="AQ173" i="12"/>
  <c r="AQ139" i="12"/>
  <c r="BJ174" i="12"/>
  <c r="AN20" i="11"/>
  <c r="O10" i="5" a="1"/>
  <c r="O10" i="5" s="1"/>
  <c r="AA14" i="3" a="1"/>
  <c r="AA14" i="3" s="1"/>
  <c r="AA15" i="3" s="1"/>
  <c r="AA16" i="3" s="1"/>
  <c r="AA20" i="3" s="1"/>
  <c r="BQ158" i="12"/>
  <c r="BQ117" i="12"/>
  <c r="BV9" i="6"/>
  <c r="AV162" i="12"/>
  <c r="AG61" i="12"/>
  <c r="AT179" i="11"/>
  <c r="AO178" i="12"/>
  <c r="AO175" i="12"/>
  <c r="BG61" i="12"/>
  <c r="BA160" i="12"/>
  <c r="BA126" i="12"/>
  <c r="AM158" i="12"/>
  <c r="AM117" i="12"/>
  <c r="BL175" i="12"/>
  <c r="BL178" i="12"/>
  <c r="AJ159" i="12"/>
  <c r="AJ111" i="12"/>
  <c r="BR178" i="12"/>
  <c r="BR175" i="12"/>
  <c r="AM174" i="12"/>
  <c r="AZ159" i="12"/>
  <c r="AZ111" i="12"/>
  <c r="R72" i="2"/>
  <c r="BU178" i="12"/>
  <c r="BU175" i="12"/>
  <c r="BI178" i="12"/>
  <c r="BI175" i="12"/>
  <c r="AS179" i="11"/>
  <c r="AL173" i="12"/>
  <c r="AL139" i="12"/>
  <c r="AY173" i="12"/>
  <c r="AY139" i="12"/>
  <c r="BK173" i="12"/>
  <c r="BK139" i="12"/>
  <c r="AX174" i="12"/>
  <c r="AN174" i="12"/>
  <c r="BC174" i="12"/>
  <c r="AU159" i="12"/>
  <c r="AU111" i="12"/>
  <c r="BW159" i="12"/>
  <c r="BW111" i="12"/>
  <c r="BP159" i="12"/>
  <c r="BP111" i="12"/>
  <c r="AZ168" i="12"/>
  <c r="AL168" i="12"/>
  <c r="BW168" i="12"/>
  <c r="AX162" i="12"/>
  <c r="BG162" i="12"/>
  <c r="L119" i="4"/>
  <c r="L10" i="4"/>
  <c r="L33" i="4"/>
  <c r="L96" i="4"/>
  <c r="L73" i="4"/>
  <c r="AI170" i="11"/>
  <c r="J22" i="5" s="1" a="1"/>
  <c r="J22" i="5" s="1"/>
  <c r="BV167" i="12"/>
  <c r="BR167" i="12"/>
  <c r="AF170" i="12"/>
  <c r="AT86" i="11"/>
  <c r="U32" i="5" s="1" a="1"/>
  <c r="U32" i="5" s="1"/>
  <c r="M37" i="3"/>
  <c r="M39" i="3" s="1"/>
  <c r="AG3" i="3" a="1"/>
  <c r="AG3" i="3" s="1"/>
  <c r="AG5" i="3" s="1"/>
  <c r="AG28" i="3" s="1"/>
  <c r="U8" i="5" a="1"/>
  <c r="U8" i="5" s="1"/>
  <c r="BS163" i="11"/>
  <c r="BS164" i="11" s="1"/>
  <c r="BO83" i="12"/>
  <c r="BC83" i="12"/>
  <c r="BL83" i="12"/>
  <c r="BV61" i="12"/>
  <c r="BN61" i="12"/>
  <c r="AS61" i="12"/>
  <c r="AU160" i="12"/>
  <c r="AU126" i="12"/>
  <c r="AH160" i="12"/>
  <c r="AH126" i="12"/>
  <c r="BC160" i="12"/>
  <c r="BC126" i="12"/>
  <c r="BU163" i="11"/>
  <c r="BU164" i="11" s="1"/>
  <c r="BB169" i="12"/>
  <c r="AR158" i="12"/>
  <c r="AR117" i="12"/>
  <c r="BB158" i="12"/>
  <c r="BB117" i="12"/>
  <c r="AF158" i="12"/>
  <c r="AF117" i="12"/>
  <c r="BT163" i="11"/>
  <c r="BT164" i="11" s="1"/>
  <c r="BM46" i="12"/>
  <c r="AL46" i="12"/>
  <c r="BG46" i="12"/>
  <c r="R8" i="5" a="1"/>
  <c r="R8" i="5" s="1"/>
  <c r="AD3" i="3" a="1"/>
  <c r="AD3" i="3" s="1"/>
  <c r="AD5" i="3" s="1"/>
  <c r="AD28" i="3" s="1"/>
  <c r="L37" i="3"/>
  <c r="L39" i="3" s="1"/>
  <c r="BE179" i="11"/>
  <c r="AN86" i="11"/>
  <c r="O32" i="5" s="1" a="1"/>
  <c r="O32" i="5" s="1"/>
  <c r="O8" i="5" a="1"/>
  <c r="O8" i="5" s="1"/>
  <c r="AA3" i="3" a="1"/>
  <c r="AA3" i="3" s="1"/>
  <c r="AA5" i="3" s="1"/>
  <c r="K37" i="3"/>
  <c r="K39" i="3" s="1"/>
  <c r="F127" i="4"/>
  <c r="F146" i="4" s="1"/>
  <c r="K83" i="4"/>
  <c r="K77" i="4"/>
  <c r="BM159" i="12"/>
  <c r="BM111" i="12"/>
  <c r="BB168" i="12"/>
  <c r="BD173" i="12"/>
  <c r="BD139" i="12"/>
  <c r="BC159" i="12"/>
  <c r="BC111" i="12"/>
  <c r="AW168" i="12"/>
  <c r="BJ160" i="12"/>
  <c r="BJ126" i="12"/>
  <c r="R25" i="3"/>
  <c r="R29" i="3"/>
  <c r="AH173" i="12"/>
  <c r="AH139" i="12"/>
  <c r="BB20" i="7"/>
  <c r="AN179" i="11"/>
  <c r="BC66" i="12"/>
  <c r="BC74" i="12" s="1"/>
  <c r="G73" i="4"/>
  <c r="F73" i="4"/>
  <c r="E75" i="4"/>
  <c r="AX173" i="12"/>
  <c r="AX139" i="12"/>
  <c r="AT174" i="12"/>
  <c r="AR159" i="12"/>
  <c r="AR111" i="12"/>
  <c r="BM173" i="12"/>
  <c r="BM139" i="12"/>
  <c r="AF173" i="12"/>
  <c r="Z25" i="3"/>
  <c r="Z29" i="3"/>
  <c r="AW159" i="12"/>
  <c r="AW111" i="12"/>
  <c r="AS159" i="12"/>
  <c r="AS111" i="12"/>
  <c r="AK159" i="12"/>
  <c r="AK111" i="12"/>
  <c r="Q94" i="15"/>
  <c r="R94" i="15" s="1"/>
  <c r="S94" i="15" s="1"/>
  <c r="T94" i="15" s="1"/>
  <c r="U94" i="15" s="1"/>
  <c r="V94" i="15" s="1"/>
  <c r="W94" i="15" s="1"/>
  <c r="X94" i="15" s="1"/>
  <c r="Y94" i="15" s="1"/>
  <c r="Z94" i="15" s="1"/>
  <c r="AA94" i="15" s="1"/>
  <c r="AB94" i="15" s="1"/>
  <c r="AC9" i="15"/>
  <c r="BC168" i="12"/>
  <c r="BN168" i="12"/>
  <c r="AS168" i="12"/>
  <c r="BS162" i="12"/>
  <c r="AN162" i="12"/>
  <c r="AQ170" i="11"/>
  <c r="R22" i="5" s="1" a="1"/>
  <c r="R22" i="5" s="1"/>
  <c r="AI167" i="12"/>
  <c r="AN167" i="12"/>
  <c r="AV167" i="12"/>
  <c r="AU83" i="12"/>
  <c r="AU84" i="12" s="1"/>
  <c r="AJ83" i="12"/>
  <c r="AJ84" i="12" s="1"/>
  <c r="BV179" i="11"/>
  <c r="AW19" i="12"/>
  <c r="AW20" i="12" s="1"/>
  <c r="AN19" i="12"/>
  <c r="AN20" i="12" s="1"/>
  <c r="M120" i="4"/>
  <c r="M139" i="4" s="1"/>
  <c r="AM19" i="12"/>
  <c r="AM20" i="12" s="1"/>
  <c r="AW61" i="12"/>
  <c r="AL61" i="12"/>
  <c r="BI61" i="12"/>
  <c r="BE160" i="12"/>
  <c r="BE126" i="12"/>
  <c r="AX160" i="12"/>
  <c r="AX126" i="12"/>
  <c r="BS160" i="12"/>
  <c r="BS126" i="12"/>
  <c r="AT169" i="12"/>
  <c r="BR169" i="12"/>
  <c r="AS158" i="12"/>
  <c r="AS117" i="12"/>
  <c r="BU158" i="12"/>
  <c r="BU117" i="12"/>
  <c r="AV158" i="12"/>
  <c r="AV117" i="12"/>
  <c r="F138" i="4"/>
  <c r="F121" i="4"/>
  <c r="K36" i="4"/>
  <c r="AF46" i="12"/>
  <c r="BB46" i="12"/>
  <c r="BW46" i="12"/>
  <c r="R23" i="2"/>
  <c r="BA173" i="12"/>
  <c r="BA139" i="12"/>
  <c r="AJ160" i="12"/>
  <c r="AJ126" i="12"/>
  <c r="W21" i="5" a="1"/>
  <c r="W21" i="5" s="1"/>
  <c r="G61" i="3"/>
  <c r="G62" i="3"/>
  <c r="BQ173" i="12"/>
  <c r="BQ139" i="12"/>
  <c r="BQ141" i="12" s="1"/>
  <c r="S47" i="2" a="1"/>
  <c r="S47" i="2" s="1"/>
  <c r="H7" i="5" a="1"/>
  <c r="H7" i="5" s="1"/>
  <c r="BA158" i="12"/>
  <c r="BA117" i="12"/>
  <c r="AU175" i="12"/>
  <c r="AU178" i="12"/>
  <c r="AN173" i="12"/>
  <c r="AN139" i="12"/>
  <c r="AM159" i="12"/>
  <c r="AM111" i="12"/>
  <c r="AN61" i="12"/>
  <c r="AT160" i="12"/>
  <c r="AT126" i="12"/>
  <c r="BN158" i="12"/>
  <c r="BN117" i="12"/>
  <c r="BC162" i="12"/>
  <c r="BT83" i="12"/>
  <c r="BD61" i="12"/>
  <c r="BD62" i="12" s="1"/>
  <c r="AU158" i="12"/>
  <c r="AU117" i="12"/>
  <c r="AS173" i="12"/>
  <c r="AS139" i="12"/>
  <c r="BP174" i="12"/>
  <c r="BT159" i="12"/>
  <c r="BT111" i="12"/>
  <c r="BW162" i="12"/>
  <c r="AO83" i="12"/>
  <c r="AO84" i="12" s="1"/>
  <c r="AH86" i="11"/>
  <c r="I32" i="5" s="1" a="1"/>
  <c r="I32" i="5" s="1"/>
  <c r="U3" i="3" a="1"/>
  <c r="U3" i="3" s="1"/>
  <c r="U5" i="3" s="1"/>
  <c r="I37" i="3"/>
  <c r="I39" i="3" s="1"/>
  <c r="I8" i="5" a="1"/>
  <c r="I8" i="5" s="1"/>
  <c r="F41" i="4"/>
  <c r="F60" i="4" s="1"/>
  <c r="AQ175" i="12"/>
  <c r="AQ178" i="12"/>
  <c r="AG86" i="11"/>
  <c r="H32" i="5" s="1" a="1"/>
  <c r="H32" i="5" s="1"/>
  <c r="T3" i="3" a="1"/>
  <c r="T3" i="3" s="1"/>
  <c r="T5" i="3" s="1"/>
  <c r="S48" i="2" a="1"/>
  <c r="S48" i="2" s="1"/>
  <c r="S73" i="2" s="1"/>
  <c r="H8" i="5" a="1"/>
  <c r="H8" i="5" s="1"/>
  <c r="BV173" i="12"/>
  <c r="BV139" i="12"/>
  <c r="BV141" i="12" s="1"/>
  <c r="BI173" i="12"/>
  <c r="BI139" i="12"/>
  <c r="F30" i="15"/>
  <c r="E28" i="15"/>
  <c r="E18" i="15" s="1"/>
  <c r="E19" i="15" s="1"/>
  <c r="AU173" i="12"/>
  <c r="AU139" i="12"/>
  <c r="BG159" i="12"/>
  <c r="BG111" i="12"/>
  <c r="AS175" i="12"/>
  <c r="AS178" i="12"/>
  <c r="G52" i="4"/>
  <c r="G35" i="4"/>
  <c r="AM173" i="12"/>
  <c r="AM139" i="12"/>
  <c r="AJ173" i="12"/>
  <c r="AJ139" i="12"/>
  <c r="AV173" i="12"/>
  <c r="AV139" i="12"/>
  <c r="BB174" i="12"/>
  <c r="BV174" i="12"/>
  <c r="BB159" i="12"/>
  <c r="BB111" i="12"/>
  <c r="BI159" i="12"/>
  <c r="BI111" i="12"/>
  <c r="BA159" i="12"/>
  <c r="BA111" i="12"/>
  <c r="AR179" i="11"/>
  <c r="F82" i="15"/>
  <c r="E80" i="15"/>
  <c r="E12" i="15" s="1"/>
  <c r="E13" i="15" s="1"/>
  <c r="F8" i="15" s="1"/>
  <c r="BV9" i="7"/>
  <c r="AM168" i="12"/>
  <c r="BI168" i="12"/>
  <c r="K144" i="4"/>
  <c r="BH162" i="12"/>
  <c r="N33" i="4"/>
  <c r="AJ167" i="12"/>
  <c r="BD167" i="12"/>
  <c r="BL167" i="12"/>
  <c r="BE9" i="13"/>
  <c r="BF4" i="13" s="1"/>
  <c r="BP83" i="12"/>
  <c r="BF83" i="12"/>
  <c r="AX19" i="12"/>
  <c r="AX20" i="12" s="1"/>
  <c r="BW61" i="12"/>
  <c r="BO61" i="12"/>
  <c r="AU61" i="12"/>
  <c r="BF160" i="12"/>
  <c r="BF126" i="12"/>
  <c r="BN160" i="12"/>
  <c r="BN126" i="12"/>
  <c r="AN160" i="12"/>
  <c r="AN126" i="12"/>
  <c r="AG169" i="12"/>
  <c r="BV169" i="12"/>
  <c r="AN169" i="12"/>
  <c r="AW158" i="12"/>
  <c r="AW117" i="12"/>
  <c r="AH158" i="12"/>
  <c r="AH117" i="12"/>
  <c r="BL158" i="12"/>
  <c r="BL117" i="12"/>
  <c r="AV46" i="12"/>
  <c r="BR46" i="12"/>
  <c r="AR46" i="12"/>
  <c r="F35" i="4"/>
  <c r="BM179" i="11"/>
  <c r="AO179" i="11"/>
  <c r="BJ117" i="12"/>
  <c r="BJ158" i="12"/>
  <c r="BV162" i="12"/>
  <c r="BT173" i="12"/>
  <c r="BT139" i="12"/>
  <c r="BT141" i="12" s="1"/>
  <c r="AR173" i="12"/>
  <c r="AR139" i="12"/>
  <c r="AO159" i="12"/>
  <c r="AO111" i="12"/>
  <c r="BB173" i="12"/>
  <c r="BB139" i="12"/>
  <c r="BE174" i="12"/>
  <c r="BB178" i="12"/>
  <c r="BB175" i="12"/>
  <c r="BJ175" i="12"/>
  <c r="BJ178" i="12"/>
  <c r="AZ173" i="12"/>
  <c r="AZ139" i="12"/>
  <c r="BL173" i="12"/>
  <c r="BL139" i="12"/>
  <c r="BH179" i="11"/>
  <c r="BF174" i="12"/>
  <c r="AQ174" i="12"/>
  <c r="AB105" i="15"/>
  <c r="AC105" i="15" s="1"/>
  <c r="AD105" i="15" s="1"/>
  <c r="AE105" i="15" s="1"/>
  <c r="AF105" i="15" s="1"/>
  <c r="AG105" i="15" s="1"/>
  <c r="AH105" i="15" s="1"/>
  <c r="AI105" i="15" s="1"/>
  <c r="AJ105" i="15" s="1"/>
  <c r="AK105" i="15" s="1"/>
  <c r="AL105" i="15" s="1"/>
  <c r="AM105" i="15" s="1"/>
  <c r="AN9" i="15"/>
  <c r="BD159" i="12"/>
  <c r="BD111" i="12"/>
  <c r="AT159" i="12"/>
  <c r="AT111" i="12"/>
  <c r="BQ159" i="12"/>
  <c r="BQ111" i="12"/>
  <c r="BS168" i="12"/>
  <c r="BO168" i="12"/>
  <c r="AT168" i="12"/>
  <c r="BD170" i="11"/>
  <c r="AI25" i="3"/>
  <c r="AI29" i="3"/>
  <c r="BA45" i="6"/>
  <c r="BA37" i="6"/>
  <c r="BA18" i="6"/>
  <c r="BA21" i="6" s="1"/>
  <c r="BA52" i="6"/>
  <c r="BA55" i="6" s="1"/>
  <c r="M119" i="4"/>
  <c r="AM167" i="12"/>
  <c r="BT167" i="12"/>
  <c r="AZ179" i="11"/>
  <c r="AX83" i="12"/>
  <c r="AX84" i="12" s="1"/>
  <c r="AK83" i="12"/>
  <c r="AK84" i="12" s="1"/>
  <c r="AI179" i="11"/>
  <c r="AO19" i="12"/>
  <c r="AO20" i="12" s="1"/>
  <c r="AX61" i="12"/>
  <c r="AM61" i="12"/>
  <c r="BK61" i="12"/>
  <c r="BF179" i="11"/>
  <c r="I25" i="3"/>
  <c r="I29" i="3"/>
  <c r="BG160" i="12"/>
  <c r="BG126" i="12"/>
  <c r="AI160" i="12"/>
  <c r="AI126" i="12"/>
  <c r="BD160" i="12"/>
  <c r="BD126" i="12"/>
  <c r="AM169" i="12"/>
  <c r="BD169" i="12"/>
  <c r="AP158" i="12"/>
  <c r="AP117" i="12"/>
  <c r="BC158" i="12"/>
  <c r="BC117" i="12"/>
  <c r="AI158" i="12"/>
  <c r="AI117" i="12"/>
  <c r="BL46" i="12"/>
  <c r="AM46" i="12"/>
  <c r="BH46" i="12"/>
  <c r="AG20" i="11"/>
  <c r="H10" i="5" a="1"/>
  <c r="H10" i="5" s="1"/>
  <c r="T14" i="3" a="1"/>
  <c r="T14" i="3" s="1"/>
  <c r="T15" i="3" s="1"/>
  <c r="T16" i="3" s="1"/>
  <c r="T20" i="3" s="1"/>
  <c r="AK20" i="11"/>
  <c r="L10" i="5" a="1"/>
  <c r="L10" i="5" s="1"/>
  <c r="X14" i="3" a="1"/>
  <c r="X14" i="3" s="1"/>
  <c r="X15" i="3" s="1"/>
  <c r="X16" i="3" s="1"/>
  <c r="X20" i="3" s="1"/>
  <c r="P33" i="3"/>
  <c r="P32" i="3"/>
  <c r="AF178" i="12"/>
  <c r="AF175" i="12"/>
  <c r="BC61" i="12"/>
  <c r="BF169" i="12"/>
  <c r="BE178" i="12"/>
  <c r="BE175" i="12"/>
  <c r="AG173" i="12"/>
  <c r="BB54" i="7"/>
  <c r="AU29" i="13"/>
  <c r="AV24" i="13" s="1"/>
  <c r="BA40" i="7"/>
  <c r="BA64" i="7"/>
  <c r="BA65" i="7" s="1"/>
  <c r="AK160" i="12"/>
  <c r="AK126" i="12"/>
  <c r="BE158" i="12"/>
  <c r="BE117" i="12"/>
  <c r="BA178" i="12"/>
  <c r="BA175" i="12"/>
  <c r="AI168" i="12"/>
  <c r="BH167" i="12"/>
  <c r="AF160" i="12"/>
  <c r="AF126" i="12"/>
  <c r="AH175" i="12"/>
  <c r="AH178" i="12"/>
  <c r="BF173" i="12"/>
  <c r="BF139" i="12"/>
  <c r="BH175" i="12"/>
  <c r="BH178" i="12"/>
  <c r="AW173" i="12"/>
  <c r="AW139" i="12"/>
  <c r="AR175" i="12"/>
  <c r="AR178" i="12"/>
  <c r="BU174" i="12"/>
  <c r="G97" i="4"/>
  <c r="F97" i="4"/>
  <c r="AL179" i="11"/>
  <c r="BS178" i="12"/>
  <c r="BS175" i="12"/>
  <c r="AT175" i="12"/>
  <c r="AT178" i="12"/>
  <c r="BN173" i="12"/>
  <c r="BN139" i="12"/>
  <c r="AI178" i="12"/>
  <c r="AI175" i="12"/>
  <c r="AL178" i="12"/>
  <c r="AL175" i="12"/>
  <c r="BK175" i="12"/>
  <c r="BK178" i="12"/>
  <c r="G74" i="4"/>
  <c r="F74" i="4"/>
  <c r="BG179" i="11"/>
  <c r="AO173" i="12"/>
  <c r="AO139" i="12"/>
  <c r="BP173" i="12"/>
  <c r="BP139" i="12"/>
  <c r="BP141" i="12" s="1"/>
  <c r="BG174" i="12"/>
  <c r="BH174" i="12"/>
  <c r="BE159" i="12"/>
  <c r="BE111" i="12"/>
  <c r="BJ159" i="12"/>
  <c r="BJ111" i="12"/>
  <c r="AK179" i="11"/>
  <c r="AX168" i="12"/>
  <c r="AN168" i="12"/>
  <c r="BJ168" i="12"/>
  <c r="BA39" i="6"/>
  <c r="AS162" i="12"/>
  <c r="BT162" i="12"/>
  <c r="BI162" i="12"/>
  <c r="AO167" i="12"/>
  <c r="BR83" i="12"/>
  <c r="BG83" i="12"/>
  <c r="AY19" i="12"/>
  <c r="AY20" i="12" s="1"/>
  <c r="AQ19" i="12"/>
  <c r="AQ20" i="12" s="1"/>
  <c r="AY61" i="12"/>
  <c r="BP61" i="12"/>
  <c r="AF61" i="12"/>
  <c r="BH160" i="12"/>
  <c r="BH126" i="12"/>
  <c r="AY160" i="12"/>
  <c r="AY126" i="12"/>
  <c r="BT160" i="12"/>
  <c r="BT126" i="12"/>
  <c r="BJ169" i="12"/>
  <c r="AV169" i="12"/>
  <c r="BT169" i="12"/>
  <c r="BI158" i="12"/>
  <c r="BI117" i="12"/>
  <c r="BV158" i="12"/>
  <c r="BV117" i="12"/>
  <c r="AY158" i="12"/>
  <c r="AY117" i="12"/>
  <c r="BL179" i="11"/>
  <c r="D43" i="4"/>
  <c r="D62" i="4" s="1"/>
  <c r="D55" i="4"/>
  <c r="D37" i="4"/>
  <c r="AA104" i="15"/>
  <c r="AB104" i="15" s="1"/>
  <c r="AC104" i="15" s="1"/>
  <c r="AD104" i="15" s="1"/>
  <c r="AE104" i="15" s="1"/>
  <c r="AF104" i="15" s="1"/>
  <c r="AG104" i="15" s="1"/>
  <c r="AH104" i="15" s="1"/>
  <c r="AI104" i="15" s="1"/>
  <c r="AJ104" i="15" s="1"/>
  <c r="AK104" i="15" s="1"/>
  <c r="AL104" i="15" s="1"/>
  <c r="AM9" i="15"/>
  <c r="AH46" i="12"/>
  <c r="BC46" i="12"/>
  <c r="BJ170" i="11"/>
  <c r="AH20" i="11"/>
  <c r="I10" i="5" a="1"/>
  <c r="I10" i="5" s="1"/>
  <c r="U14" i="3" a="1"/>
  <c r="U14" i="3" s="1"/>
  <c r="U15" i="3" s="1"/>
  <c r="U16" i="3" s="1"/>
  <c r="U20" i="3" s="1"/>
  <c r="N33" i="3"/>
  <c r="N32" i="3"/>
  <c r="AT83" i="12"/>
  <c r="AT84" i="12" s="1"/>
  <c r="BD158" i="12"/>
  <c r="BD117" i="12"/>
  <c r="BA86" i="11"/>
  <c r="G41" i="4"/>
  <c r="G60" i="4" s="1"/>
  <c r="X3" i="3" a="1"/>
  <c r="X3" i="3" s="1"/>
  <c r="X5" i="3" s="1"/>
  <c r="J37" i="3"/>
  <c r="J39" i="3" s="1"/>
  <c r="L8" i="5" a="1"/>
  <c r="L8" i="5" s="1"/>
  <c r="AZ178" i="12"/>
  <c r="AZ175" i="12"/>
  <c r="BR159" i="12"/>
  <c r="BR111" i="12"/>
  <c r="AX167" i="12"/>
  <c r="AO160" i="12"/>
  <c r="AO126" i="12"/>
  <c r="Q68" i="2"/>
  <c r="Q44" i="2"/>
  <c r="Q50" i="2"/>
  <c r="Q75" i="2" s="1"/>
  <c r="F10" i="4"/>
  <c r="G10" i="4"/>
  <c r="E12" i="4"/>
  <c r="BQ175" i="12"/>
  <c r="BQ178" i="12"/>
  <c r="BH173" i="12"/>
  <c r="BH139" i="12"/>
  <c r="AP174" i="12"/>
  <c r="AQ159" i="12"/>
  <c r="AQ111" i="12"/>
  <c r="BN175" i="12"/>
  <c r="BN178" i="12"/>
  <c r="BJ173" i="12"/>
  <c r="BJ139" i="12"/>
  <c r="AK178" i="12"/>
  <c r="AK175" i="12"/>
  <c r="AJ178" i="12"/>
  <c r="AJ175" i="12"/>
  <c r="BC178" i="12"/>
  <c r="BC175" i="12"/>
  <c r="AV178" i="12"/>
  <c r="AV175" i="12"/>
  <c r="BH170" i="11"/>
  <c r="AU179" i="11"/>
  <c r="BO173" i="12"/>
  <c r="BO139" i="12"/>
  <c r="AK173" i="12"/>
  <c r="AK139" i="12"/>
  <c r="BS179" i="11"/>
  <c r="BK174" i="12"/>
  <c r="AR174" i="12"/>
  <c r="BH159" i="12"/>
  <c r="BH111" i="12"/>
  <c r="AF159" i="12"/>
  <c r="AF111" i="12"/>
  <c r="BW170" i="11"/>
  <c r="BU168" i="12"/>
  <c r="BP168" i="12"/>
  <c r="BR179" i="11"/>
  <c r="AF86" i="11"/>
  <c r="G32" i="5" s="1" a="1"/>
  <c r="G32" i="5" s="1"/>
  <c r="E127" i="4"/>
  <c r="E146" i="4" s="1"/>
  <c r="H37" i="3"/>
  <c r="H39" i="3" s="1"/>
  <c r="E18" i="4"/>
  <c r="E41" i="4"/>
  <c r="E60" i="4" s="1"/>
  <c r="E81" i="4"/>
  <c r="R48" i="2" a="1"/>
  <c r="R48" i="2" s="1"/>
  <c r="R73" i="2" s="1"/>
  <c r="S3" i="3" a="1"/>
  <c r="S3" i="3" s="1"/>
  <c r="S5" i="3" s="1"/>
  <c r="G8" i="5" a="1"/>
  <c r="G8" i="5" s="1"/>
  <c r="E104" i="4"/>
  <c r="AQ162" i="12"/>
  <c r="AR167" i="12"/>
  <c r="AR83" i="12"/>
  <c r="AR84" i="12" s="1"/>
  <c r="AY83" i="12"/>
  <c r="AY84" i="12" s="1"/>
  <c r="AL83" i="12"/>
  <c r="AL84" i="12" s="1"/>
  <c r="AZ19" i="12"/>
  <c r="AZ20" i="12" s="1"/>
  <c r="AP19" i="12"/>
  <c r="AP20" i="12" s="1"/>
  <c r="AZ61" i="12"/>
  <c r="AK61" i="12"/>
  <c r="AV61" i="12"/>
  <c r="BI160" i="12"/>
  <c r="BI126" i="12"/>
  <c r="BO160" i="12"/>
  <c r="BO126" i="12"/>
  <c r="AQ117" i="12"/>
  <c r="AQ158" i="12"/>
  <c r="AJ158" i="12"/>
  <c r="AJ117" i="12"/>
  <c r="BO158" i="12"/>
  <c r="BO117" i="12"/>
  <c r="AX46" i="12"/>
  <c r="BS46" i="12"/>
  <c r="V29" i="3" l="1"/>
  <c r="V28" i="3"/>
  <c r="AP170" i="12"/>
  <c r="D32" i="3"/>
  <c r="AE25" i="3"/>
  <c r="K32" i="3"/>
  <c r="AL170" i="12"/>
  <c r="G32" i="3"/>
  <c r="AV86" i="11"/>
  <c r="W32" i="5" s="1" a="1"/>
  <c r="W32" i="5" s="1"/>
  <c r="AT62" i="12"/>
  <c r="E17" i="4"/>
  <c r="E126" i="4"/>
  <c r="E145" i="4" s="1"/>
  <c r="AK86" i="11"/>
  <c r="L32" i="5" s="1" a="1"/>
  <c r="L32" i="5" s="1"/>
  <c r="AN62" i="12"/>
  <c r="G40" i="4"/>
  <c r="G42" i="4" s="1"/>
  <c r="G61" i="4" s="1"/>
  <c r="E103" i="4"/>
  <c r="G103" i="4" s="1"/>
  <c r="BQ62" i="12"/>
  <c r="AP86" i="11"/>
  <c r="Q32" i="5" s="1" a="1"/>
  <c r="Q32" i="5" s="1"/>
  <c r="L32" i="3"/>
  <c r="G126" i="4"/>
  <c r="S43" i="2"/>
  <c r="S44" i="2" s="1"/>
  <c r="BO179" i="12"/>
  <c r="BR181" i="11"/>
  <c r="AH62" i="12"/>
  <c r="AH86" i="12" s="1"/>
  <c r="AH87" i="12" s="1"/>
  <c r="AH97" i="12" s="1"/>
  <c r="AH156" i="12" s="1"/>
  <c r="AX87" i="11"/>
  <c r="AX97" i="11" s="1"/>
  <c r="AT86" i="12"/>
  <c r="AG62" i="12"/>
  <c r="AG86" i="12" s="1"/>
  <c r="AG87" i="12" s="1"/>
  <c r="AO62" i="12"/>
  <c r="AO86" i="12" s="1"/>
  <c r="AO87" i="12" s="1"/>
  <c r="AO97" i="12" s="1"/>
  <c r="AO156" i="12" s="1"/>
  <c r="AV87" i="11"/>
  <c r="AV97" i="11" s="1"/>
  <c r="BL170" i="12"/>
  <c r="AQ86" i="11"/>
  <c r="R32" i="5" s="1" a="1"/>
  <c r="R32" i="5" s="1"/>
  <c r="BV181" i="11"/>
  <c r="BN62" i="12"/>
  <c r="BO62" i="12"/>
  <c r="M33" i="3"/>
  <c r="BU62" i="12"/>
  <c r="L57" i="3"/>
  <c r="BM170" i="12"/>
  <c r="BH170" i="12"/>
  <c r="BS181" i="11"/>
  <c r="AS62" i="12"/>
  <c r="AJ87" i="11"/>
  <c r="AJ97" i="11" s="1"/>
  <c r="AO87" i="11"/>
  <c r="AO97" i="11" s="1"/>
  <c r="P25" i="5" s="1" a="1"/>
  <c r="P25" i="5" s="1"/>
  <c r="AZ62" i="12"/>
  <c r="AZ86" i="12" s="1"/>
  <c r="AZ87" i="12" s="1"/>
  <c r="AZ97" i="12" s="1"/>
  <c r="AZ156" i="12" s="1"/>
  <c r="AY62" i="12"/>
  <c r="AY86" i="12" s="1"/>
  <c r="AY87" i="12" s="1"/>
  <c r="AY97" i="12" s="1"/>
  <c r="AY156" i="12" s="1"/>
  <c r="H22" i="5" a="1"/>
  <c r="H22" i="5" s="1"/>
  <c r="AO170" i="12"/>
  <c r="BU181" i="11"/>
  <c r="BT181" i="11"/>
  <c r="BW181" i="11"/>
  <c r="BT62" i="12"/>
  <c r="BP170" i="12"/>
  <c r="BU170" i="12"/>
  <c r="AH29" i="3"/>
  <c r="AH28" i="3"/>
  <c r="BS62" i="12"/>
  <c r="BI62" i="12"/>
  <c r="AG170" i="12"/>
  <c r="AJ62" i="12"/>
  <c r="AJ86" i="12" s="1"/>
  <c r="AJ87" i="12" s="1"/>
  <c r="AJ97" i="12" s="1"/>
  <c r="AJ156" i="12" s="1"/>
  <c r="AI62" i="12"/>
  <c r="AI86" i="12" s="1"/>
  <c r="AI87" i="12" s="1"/>
  <c r="AI97" i="12" s="1"/>
  <c r="AI156" i="12" s="1"/>
  <c r="AK170" i="12"/>
  <c r="BS170" i="12"/>
  <c r="BB84" i="12"/>
  <c r="AY170" i="12"/>
  <c r="AU170" i="12"/>
  <c r="E80" i="4"/>
  <c r="E82" i="4" s="1"/>
  <c r="F126" i="4"/>
  <c r="F128" i="4" s="1"/>
  <c r="F147" i="4" s="1"/>
  <c r="BK170" i="12"/>
  <c r="BR62" i="12"/>
  <c r="BD179" i="12"/>
  <c r="BL62" i="12"/>
  <c r="AS170" i="12"/>
  <c r="AT87" i="12"/>
  <c r="AT97" i="12" s="1"/>
  <c r="AT156" i="12" s="1"/>
  <c r="BC170" i="12"/>
  <c r="AW170" i="12"/>
  <c r="BG62" i="12"/>
  <c r="AS87" i="11"/>
  <c r="AS97" i="11" s="1"/>
  <c r="AS156" i="11" s="1"/>
  <c r="AU179" i="12"/>
  <c r="M35" i="4"/>
  <c r="M54" i="4" s="1"/>
  <c r="AU87" i="11"/>
  <c r="AU97" i="11" s="1"/>
  <c r="AU156" i="11" s="1"/>
  <c r="AH170" i="12"/>
  <c r="BW170" i="12"/>
  <c r="AM179" i="12"/>
  <c r="S28" i="3"/>
  <c r="AP62" i="12"/>
  <c r="AP86" i="12" s="1"/>
  <c r="AP87" i="12" s="1"/>
  <c r="AP97" i="12" s="1"/>
  <c r="AP156" i="12" s="1"/>
  <c r="BM179" i="12"/>
  <c r="BA62" i="12"/>
  <c r="BA86" i="12" s="1"/>
  <c r="BA87" i="12" s="1"/>
  <c r="BA97" i="12" s="1"/>
  <c r="BA156" i="12" s="1"/>
  <c r="BN170" i="12"/>
  <c r="AX62" i="12"/>
  <c r="AX86" i="12" s="1"/>
  <c r="AX87" i="12" s="1"/>
  <c r="AX97" i="12" s="1"/>
  <c r="AX156" i="12" s="1"/>
  <c r="BE170" i="12"/>
  <c r="AU62" i="12"/>
  <c r="AU86" i="12" s="1"/>
  <c r="AU87" i="12" s="1"/>
  <c r="AU97" i="12" s="1"/>
  <c r="AU156" i="12" s="1"/>
  <c r="BJ170" i="12"/>
  <c r="BP62" i="12"/>
  <c r="BF170" i="12"/>
  <c r="BJ179" i="12"/>
  <c r="BB62" i="12"/>
  <c r="AA28" i="3"/>
  <c r="BV62" i="12"/>
  <c r="BE62" i="12"/>
  <c r="BT170" i="12"/>
  <c r="AR62" i="12"/>
  <c r="AR86" i="12" s="1"/>
  <c r="AR87" i="12" s="1"/>
  <c r="AR97" i="12" s="1"/>
  <c r="AR156" i="12" s="1"/>
  <c r="AQ170" i="12"/>
  <c r="BH62" i="12"/>
  <c r="AM87" i="11"/>
  <c r="AM97" i="11" s="1"/>
  <c r="AM156" i="11" s="1"/>
  <c r="BC84" i="12"/>
  <c r="BC62" i="12"/>
  <c r="X80" i="15"/>
  <c r="X12" i="15" s="1"/>
  <c r="AN170" i="12"/>
  <c r="AT87" i="11"/>
  <c r="AT97" i="11" s="1"/>
  <c r="U25" i="5" s="1" a="1"/>
  <c r="U25" i="5" s="1"/>
  <c r="AM62" i="12"/>
  <c r="AM86" i="12" s="1"/>
  <c r="AM87" i="12" s="1"/>
  <c r="AM97" i="12" s="1"/>
  <c r="AM156" i="12" s="1"/>
  <c r="BQ179" i="12"/>
  <c r="BJ62" i="12"/>
  <c r="AQ62" i="12"/>
  <c r="AQ86" i="12" s="1"/>
  <c r="AQ87" i="12" s="1"/>
  <c r="AQ97" i="12" s="1"/>
  <c r="AQ156" i="12" s="1"/>
  <c r="BB170" i="12"/>
  <c r="AV62" i="12"/>
  <c r="AV86" i="12" s="1"/>
  <c r="AV87" i="12" s="1"/>
  <c r="AV97" i="12" s="1"/>
  <c r="AV156" i="12" s="1"/>
  <c r="BW163" i="12"/>
  <c r="BW164" i="12" s="1"/>
  <c r="BG170" i="12"/>
  <c r="BL179" i="12"/>
  <c r="BW62" i="12"/>
  <c r="BH179" i="12"/>
  <c r="AT179" i="12"/>
  <c r="BS179" i="12"/>
  <c r="BN179" i="12"/>
  <c r="X28" i="3"/>
  <c r="AO179" i="12"/>
  <c r="AL179" i="12"/>
  <c r="BM62" i="12"/>
  <c r="AV170" i="12"/>
  <c r="BQ170" i="12"/>
  <c r="N57" i="3"/>
  <c r="AM170" i="12"/>
  <c r="AI87" i="11"/>
  <c r="AI97" i="11" s="1"/>
  <c r="AI156" i="11" s="1"/>
  <c r="AI170" i="12"/>
  <c r="BK62" i="12"/>
  <c r="AF62" i="12"/>
  <c r="AF86" i="12" s="1"/>
  <c r="AF87" i="12" s="1"/>
  <c r="AL62" i="12"/>
  <c r="AL86" i="12" s="1"/>
  <c r="AL87" i="12" s="1"/>
  <c r="AL97" i="12" s="1"/>
  <c r="AL156" i="12" s="1"/>
  <c r="AW62" i="12"/>
  <c r="AW86" i="12" s="1"/>
  <c r="AW87" i="12" s="1"/>
  <c r="AW97" i="12" s="1"/>
  <c r="AW156" i="12" s="1"/>
  <c r="BF62" i="12"/>
  <c r="AK62" i="12"/>
  <c r="BA87" i="11"/>
  <c r="BA97" i="11" s="1"/>
  <c r="BA156" i="11" s="1"/>
  <c r="M41" i="4"/>
  <c r="M60" i="4" s="1"/>
  <c r="BD67" i="6"/>
  <c r="BD68" i="6" s="1"/>
  <c r="BD4" i="11" a="1"/>
  <c r="BD4" i="11" s="1"/>
  <c r="BD5" i="11" s="1"/>
  <c r="AL24" i="15" a="1"/>
  <c r="AL24" i="15" s="1"/>
  <c r="N41" i="4"/>
  <c r="N60" i="4" s="1"/>
  <c r="BB86" i="11"/>
  <c r="AC106" i="15"/>
  <c r="AD106" i="15" s="1"/>
  <c r="AE106" i="15" s="1"/>
  <c r="AF106" i="15" s="1"/>
  <c r="AG106" i="15" s="1"/>
  <c r="AH106" i="15" s="1"/>
  <c r="AI106" i="15" s="1"/>
  <c r="AJ106" i="15" s="1"/>
  <c r="AK106" i="15" s="1"/>
  <c r="AL106" i="15" s="1"/>
  <c r="AM106" i="15" s="1"/>
  <c r="AN106" i="15" s="1"/>
  <c r="AO9" i="15"/>
  <c r="BK179" i="12"/>
  <c r="G18" i="4"/>
  <c r="F18" i="4"/>
  <c r="BV163" i="12"/>
  <c r="BV164" i="12" s="1"/>
  <c r="AZ179" i="12"/>
  <c r="T80" i="15"/>
  <c r="T12" i="15" s="1"/>
  <c r="Q80" i="15"/>
  <c r="Q12" i="15" s="1"/>
  <c r="R49" i="2"/>
  <c r="R74" i="2" s="1"/>
  <c r="AL33" i="3"/>
  <c r="AL32" i="3"/>
  <c r="L54" i="3"/>
  <c r="L58" i="3"/>
  <c r="BS163" i="12"/>
  <c r="BS164" i="12" s="1"/>
  <c r="BD66" i="12"/>
  <c r="BD74" i="12" s="1"/>
  <c r="BD84" i="12" s="1"/>
  <c r="BD86" i="12" s="1"/>
  <c r="BC17" i="12"/>
  <c r="BC18" i="12" s="1"/>
  <c r="BC14" i="12"/>
  <c r="BC15" i="12" s="1"/>
  <c r="M74" i="4"/>
  <c r="N74" i="4"/>
  <c r="AJ33" i="3"/>
  <c r="AJ32" i="3"/>
  <c r="AB33" i="3"/>
  <c r="AB32" i="3"/>
  <c r="M54" i="3"/>
  <c r="M58" i="3"/>
  <c r="AW179" i="12"/>
  <c r="G81" i="4"/>
  <c r="F81" i="4"/>
  <c r="AK33" i="3"/>
  <c r="AK32" i="3"/>
  <c r="AN179" i="12"/>
  <c r="R33" i="3"/>
  <c r="R32" i="3"/>
  <c r="AY179" i="12"/>
  <c r="AY87" i="11"/>
  <c r="AY97" i="11" s="1"/>
  <c r="BD67" i="7"/>
  <c r="BD68" i="7" s="1"/>
  <c r="BD4" i="12" a="1"/>
  <c r="BD4" i="12" s="1"/>
  <c r="BD5" i="12" s="1"/>
  <c r="E59" i="4"/>
  <c r="E42" i="4"/>
  <c r="E61" i="4" s="1"/>
  <c r="T28" i="3"/>
  <c r="AA80" i="15"/>
  <c r="AA12" i="15" s="1"/>
  <c r="AG110" i="15"/>
  <c r="AH110" i="15" s="1"/>
  <c r="AI110" i="15" s="1"/>
  <c r="AJ110" i="15" s="1"/>
  <c r="AK110" i="15" s="1"/>
  <c r="AL110" i="15" s="1"/>
  <c r="AM110" i="15" s="1"/>
  <c r="AN110" i="15" s="1"/>
  <c r="AO110" i="15" s="1"/>
  <c r="AP110" i="15" s="1"/>
  <c r="AQ110" i="15" s="1"/>
  <c r="AR110" i="15" s="1"/>
  <c r="AS9" i="15"/>
  <c r="AV156" i="11"/>
  <c r="W33" i="5" a="1"/>
  <c r="W33" i="5" s="1"/>
  <c r="W25" i="5" a="1"/>
  <c r="W25" i="5" s="1"/>
  <c r="AN86" i="12"/>
  <c r="AN87" i="12" s="1"/>
  <c r="AN97" i="12" s="1"/>
  <c r="AN156" i="12" s="1"/>
  <c r="M127" i="4"/>
  <c r="M146" i="4" s="1"/>
  <c r="BR170" i="12"/>
  <c r="BQ163" i="12"/>
  <c r="BQ164" i="12" s="1"/>
  <c r="E140" i="4"/>
  <c r="E122" i="4"/>
  <c r="AZ170" i="12"/>
  <c r="AS86" i="12"/>
  <c r="AS87" i="12" s="1"/>
  <c r="AS97" i="12" s="1"/>
  <c r="AS156" i="12" s="1"/>
  <c r="W32" i="3"/>
  <c r="W33" i="3"/>
  <c r="AC32" i="3"/>
  <c r="AC33" i="3"/>
  <c r="BD66" i="11"/>
  <c r="BD74" i="11" s="1"/>
  <c r="BC79" i="11"/>
  <c r="BC81" i="11" s="1"/>
  <c r="BC83" i="11" s="1"/>
  <c r="BC84" i="11" s="1"/>
  <c r="BC86" i="11" s="1"/>
  <c r="BC14" i="11"/>
  <c r="BC15" i="11" s="1"/>
  <c r="BC17" i="11"/>
  <c r="BC18" i="11" s="1"/>
  <c r="AS179" i="12"/>
  <c r="AF33" i="3"/>
  <c r="AF32" i="3"/>
  <c r="U80" i="15"/>
  <c r="U12" i="15" s="1"/>
  <c r="BT163" i="12"/>
  <c r="BT164" i="12" s="1"/>
  <c r="AX179" i="12"/>
  <c r="BV170" i="12"/>
  <c r="AA25" i="3"/>
  <c r="AA29" i="3"/>
  <c r="X21" i="5" a="1"/>
  <c r="X21" i="5" s="1"/>
  <c r="E33" i="3"/>
  <c r="E32" i="3"/>
  <c r="BP179" i="12"/>
  <c r="BF179" i="12"/>
  <c r="I33" i="3"/>
  <c r="I32" i="3"/>
  <c r="AK179" i="12"/>
  <c r="E21" i="15"/>
  <c r="E22" i="15" s="1"/>
  <c r="E25" i="15" s="1"/>
  <c r="F16" i="15"/>
  <c r="U28" i="3"/>
  <c r="BU163" i="12"/>
  <c r="BU164" i="12" s="1"/>
  <c r="L21" i="5" a="1"/>
  <c r="L21" i="5" s="1"/>
  <c r="AV29" i="13"/>
  <c r="AW24" i="13" s="1"/>
  <c r="AV27" i="13"/>
  <c r="AV28" i="13" s="1"/>
  <c r="X25" i="3"/>
  <c r="X29" i="3"/>
  <c r="AJ179" i="12"/>
  <c r="G30" i="15"/>
  <c r="F28" i="15"/>
  <c r="F18" i="15" s="1"/>
  <c r="R80" i="15"/>
  <c r="R12" i="15" s="1"/>
  <c r="V32" i="3"/>
  <c r="V33" i="3"/>
  <c r="AR87" i="11"/>
  <c r="AR97" i="11" s="1"/>
  <c r="AF109" i="15"/>
  <c r="AG109" i="15" s="1"/>
  <c r="AH109" i="15" s="1"/>
  <c r="AI109" i="15" s="1"/>
  <c r="AJ109" i="15" s="1"/>
  <c r="AK109" i="15" s="1"/>
  <c r="AL109" i="15" s="1"/>
  <c r="AM109" i="15" s="1"/>
  <c r="AN109" i="15" s="1"/>
  <c r="AO109" i="15" s="1"/>
  <c r="AP109" i="15" s="1"/>
  <c r="AQ109" i="15" s="1"/>
  <c r="AR9" i="15"/>
  <c r="E54" i="4"/>
  <c r="E36" i="4"/>
  <c r="R67" i="2"/>
  <c r="R43" i="2"/>
  <c r="AT156" i="11"/>
  <c r="F17" i="4"/>
  <c r="G17" i="4"/>
  <c r="E19" i="4"/>
  <c r="BB39" i="7"/>
  <c r="AR179" i="12"/>
  <c r="P21" i="5" a="1"/>
  <c r="P21" i="5" s="1"/>
  <c r="BD170" i="12"/>
  <c r="G75" i="4"/>
  <c r="F75" i="4"/>
  <c r="E76" i="4"/>
  <c r="AX156" i="11"/>
  <c r="Y33" i="5" a="1"/>
  <c r="Y33" i="5" s="1"/>
  <c r="Y25" i="5" a="1"/>
  <c r="Y25" i="5" s="1"/>
  <c r="N73" i="4"/>
  <c r="M73" i="4"/>
  <c r="L75" i="4"/>
  <c r="AT170" i="12"/>
  <c r="F59" i="4"/>
  <c r="F42" i="4"/>
  <c r="F61" i="4" s="1"/>
  <c r="BR179" i="12"/>
  <c r="AE33" i="3"/>
  <c r="AE32" i="3"/>
  <c r="T25" i="3"/>
  <c r="T29" i="3"/>
  <c r="AP179" i="12"/>
  <c r="N97" i="4"/>
  <c r="M97" i="4"/>
  <c r="Z80" i="15"/>
  <c r="Z12" i="15" s="1"/>
  <c r="AV179" i="12"/>
  <c r="AJ156" i="11"/>
  <c r="K33" i="5" a="1"/>
  <c r="K33" i="5" s="1"/>
  <c r="K25" i="5" a="1"/>
  <c r="K25" i="5" s="1"/>
  <c r="AJ170" i="12"/>
  <c r="G82" i="15"/>
  <c r="F80" i="15"/>
  <c r="F12" i="15" s="1"/>
  <c r="F13" i="15" s="1"/>
  <c r="G8" i="15" s="1"/>
  <c r="BI179" i="12"/>
  <c r="BA179" i="12"/>
  <c r="N96" i="4"/>
  <c r="M96" i="4"/>
  <c r="L98" i="4"/>
  <c r="AN87" i="11"/>
  <c r="AN97" i="11" s="1"/>
  <c r="K47" i="3"/>
  <c r="K49" i="3" s="1"/>
  <c r="AH111" i="15"/>
  <c r="AI111" i="15" s="1"/>
  <c r="AJ111" i="15" s="1"/>
  <c r="AK111" i="15" s="1"/>
  <c r="AL111" i="15" s="1"/>
  <c r="AM111" i="15" s="1"/>
  <c r="AN111" i="15" s="1"/>
  <c r="AO111" i="15" s="1"/>
  <c r="AP111" i="15" s="1"/>
  <c r="AQ111" i="15" s="1"/>
  <c r="AR111" i="15" s="1"/>
  <c r="AS111" i="15" s="1"/>
  <c r="AT9" i="15"/>
  <c r="Y21" i="5" a="1"/>
  <c r="Y21" i="5" s="1"/>
  <c r="S80" i="15"/>
  <c r="S12" i="15" s="1"/>
  <c r="BA170" i="12"/>
  <c r="AG32" i="3"/>
  <c r="AG33" i="3"/>
  <c r="AI179" i="12"/>
  <c r="Y32" i="3"/>
  <c r="Y33" i="3"/>
  <c r="M121" i="4"/>
  <c r="M138" i="4"/>
  <c r="AH87" i="11"/>
  <c r="AH97" i="11" s="1"/>
  <c r="I47" i="3"/>
  <c r="I49" i="3" s="1"/>
  <c r="I57" i="3" s="1"/>
  <c r="BF7" i="13"/>
  <c r="BF8" i="13" s="1"/>
  <c r="AR170" i="12"/>
  <c r="W80" i="15"/>
  <c r="W12" i="15" s="1"/>
  <c r="M21" i="5" a="1"/>
  <c r="M21" i="5" s="1"/>
  <c r="AK87" i="11"/>
  <c r="AK97" i="11" s="1"/>
  <c r="J47" i="3"/>
  <c r="J49" i="3" s="1"/>
  <c r="J57" i="3" s="1"/>
  <c r="BB54" i="6"/>
  <c r="AO156" i="11"/>
  <c r="P33" i="5" a="1"/>
  <c r="P33" i="5" s="1"/>
  <c r="S21" i="5" a="1"/>
  <c r="S21" i="5" s="1"/>
  <c r="Z32" i="3"/>
  <c r="Z33" i="3"/>
  <c r="L52" i="4"/>
  <c r="L35" i="4"/>
  <c r="BO170" i="12"/>
  <c r="S25" i="3"/>
  <c r="S29" i="3"/>
  <c r="F140" i="4"/>
  <c r="F122" i="4"/>
  <c r="M57" i="3"/>
  <c r="BY26" i="13"/>
  <c r="BZ1" i="13"/>
  <c r="BY6" i="13"/>
  <c r="BE179" i="12"/>
  <c r="BB19" i="11"/>
  <c r="BB20" i="11" s="1"/>
  <c r="J21" i="5" a="1"/>
  <c r="J21" i="5" s="1"/>
  <c r="BT179" i="12"/>
  <c r="F54" i="4"/>
  <c r="F36" i="4"/>
  <c r="N52" i="4"/>
  <c r="N35" i="4"/>
  <c r="BV179" i="12"/>
  <c r="L12" i="4"/>
  <c r="N54" i="3"/>
  <c r="N58" i="3"/>
  <c r="U21" i="5" a="1"/>
  <c r="U21" i="5" s="1"/>
  <c r="R21" i="5" a="1"/>
  <c r="R21" i="5" s="1"/>
  <c r="BG179" i="12"/>
  <c r="N21" i="5" a="1"/>
  <c r="N21" i="5" s="1"/>
  <c r="BI170" i="12"/>
  <c r="AD33" i="3"/>
  <c r="AD32" i="3"/>
  <c r="AI33" i="3"/>
  <c r="AI32" i="3"/>
  <c r="AE108" i="15"/>
  <c r="AF108" i="15" s="1"/>
  <c r="AG108" i="15" s="1"/>
  <c r="AH108" i="15" s="1"/>
  <c r="AI108" i="15" s="1"/>
  <c r="AJ108" i="15" s="1"/>
  <c r="AK108" i="15" s="1"/>
  <c r="AL108" i="15" s="1"/>
  <c r="AM108" i="15" s="1"/>
  <c r="AN108" i="15" s="1"/>
  <c r="AO108" i="15" s="1"/>
  <c r="AP108" i="15" s="1"/>
  <c r="AQ9" i="15"/>
  <c r="AD107" i="15"/>
  <c r="AE107" i="15" s="1"/>
  <c r="AF107" i="15" s="1"/>
  <c r="AG107" i="15" s="1"/>
  <c r="AH107" i="15" s="1"/>
  <c r="AI107" i="15" s="1"/>
  <c r="AJ107" i="15" s="1"/>
  <c r="AK107" i="15" s="1"/>
  <c r="AL107" i="15" s="1"/>
  <c r="AM107" i="15" s="1"/>
  <c r="AN107" i="15" s="1"/>
  <c r="AO107" i="15" s="1"/>
  <c r="AP9" i="15"/>
  <c r="F98" i="4"/>
  <c r="G98" i="4"/>
  <c r="E99" i="4"/>
  <c r="U25" i="3"/>
  <c r="U29" i="3"/>
  <c r="BA40" i="6"/>
  <c r="BA64" i="6"/>
  <c r="BA65" i="6" s="1"/>
  <c r="L138" i="4"/>
  <c r="L121" i="4"/>
  <c r="AW87" i="11"/>
  <c r="AW97" i="11" s="1"/>
  <c r="AQ179" i="12"/>
  <c r="BX25" i="13"/>
  <c r="BX5" i="13"/>
  <c r="BX11" i="13"/>
  <c r="BY2" i="13"/>
  <c r="AF87" i="11"/>
  <c r="H47" i="3"/>
  <c r="H49" i="3" s="1"/>
  <c r="K55" i="4"/>
  <c r="K43" i="4"/>
  <c r="K62" i="4" s="1"/>
  <c r="K37" i="4"/>
  <c r="AG87" i="11"/>
  <c r="BC179" i="12"/>
  <c r="AB80" i="15"/>
  <c r="AB12" i="15" s="1"/>
  <c r="E13" i="4"/>
  <c r="BB45" i="7"/>
  <c r="BB18" i="7"/>
  <c r="BB21" i="7" s="1"/>
  <c r="BB52" i="7"/>
  <c r="BB55" i="7" s="1"/>
  <c r="BB37" i="7"/>
  <c r="BB20" i="6"/>
  <c r="V21" i="5" a="1"/>
  <c r="V21" i="5" s="1"/>
  <c r="BB179" i="12"/>
  <c r="L18" i="4"/>
  <c r="L104" i="4"/>
  <c r="L81" i="4"/>
  <c r="L41" i="4"/>
  <c r="L60" i="4" s="1"/>
  <c r="L127" i="4"/>
  <c r="L146" i="4" s="1"/>
  <c r="G104" i="4"/>
  <c r="F104" i="4"/>
  <c r="AX170" i="12"/>
  <c r="BA48" i="6"/>
  <c r="AJ10" i="15" s="1" a="1"/>
  <c r="AJ10" i="15" s="1"/>
  <c r="AJ113" i="15" s="1"/>
  <c r="AK113" i="15" s="1"/>
  <c r="AL113" i="15" s="1"/>
  <c r="AM113" i="15" s="1"/>
  <c r="AN113" i="15" s="1"/>
  <c r="AO113" i="15" s="1"/>
  <c r="AP113" i="15" s="1"/>
  <c r="AQ113" i="15" s="1"/>
  <c r="AR113" i="15" s="1"/>
  <c r="AS113" i="15" s="1"/>
  <c r="AT113" i="15" s="1"/>
  <c r="AU113" i="15" s="1"/>
  <c r="BM43" i="6"/>
  <c r="G54" i="4"/>
  <c r="G36" i="4"/>
  <c r="S72" i="2"/>
  <c r="S49" i="2"/>
  <c r="S74" i="2" s="1"/>
  <c r="O21" i="5" a="1"/>
  <c r="O21" i="5" s="1"/>
  <c r="T21" i="5" a="1"/>
  <c r="T21" i="5" s="1"/>
  <c r="BR163" i="12"/>
  <c r="BR164" i="12" s="1"/>
  <c r="Y80" i="15"/>
  <c r="Y12" i="15" s="1"/>
  <c r="BW179" i="12"/>
  <c r="BU179" i="12"/>
  <c r="V80" i="15"/>
  <c r="V12" i="15" s="1"/>
  <c r="AL87" i="11"/>
  <c r="AL97" i="11" s="1"/>
  <c r="AI112" i="15"/>
  <c r="AJ112" i="15" s="1"/>
  <c r="AK112" i="15" s="1"/>
  <c r="AL112" i="15" s="1"/>
  <c r="AM112" i="15" s="1"/>
  <c r="AN112" i="15" s="1"/>
  <c r="AO112" i="15" s="1"/>
  <c r="AP112" i="15" s="1"/>
  <c r="AQ112" i="15" s="1"/>
  <c r="AR112" i="15" s="1"/>
  <c r="AS112" i="15" s="1"/>
  <c r="AT112" i="15" s="1"/>
  <c r="AU9" i="15"/>
  <c r="AH33" i="3"/>
  <c r="AH32" i="3"/>
  <c r="E128" i="4" l="1"/>
  <c r="E147" i="4" s="1"/>
  <c r="N25" i="5" a="1"/>
  <c r="N25" i="5" s="1"/>
  <c r="N33" i="5" a="1"/>
  <c r="N33" i="5" s="1"/>
  <c r="G59" i="4"/>
  <c r="BB86" i="12"/>
  <c r="BB87" i="12" s="1"/>
  <c r="BB97" i="12" s="1"/>
  <c r="BB156" i="12" s="1"/>
  <c r="T33" i="5" a="1"/>
  <c r="T33" i="5" s="1"/>
  <c r="E105" i="4"/>
  <c r="F103" i="4"/>
  <c r="M36" i="4"/>
  <c r="M55" i="4" s="1"/>
  <c r="V33" i="5" a="1"/>
  <c r="V33" i="5" s="1"/>
  <c r="T25" i="5" a="1"/>
  <c r="T25" i="5" s="1"/>
  <c r="V25" i="5" a="1"/>
  <c r="V25" i="5" s="1"/>
  <c r="AP87" i="11"/>
  <c r="AP97" i="11" s="1"/>
  <c r="AP156" i="11" s="1"/>
  <c r="AQ87" i="11"/>
  <c r="AQ97" i="11" s="1"/>
  <c r="R25" i="5" s="1" a="1"/>
  <c r="R25" i="5" s="1"/>
  <c r="J25" i="5" a="1"/>
  <c r="J25" i="5" s="1"/>
  <c r="J33" i="5" a="1"/>
  <c r="J33" i="5" s="1"/>
  <c r="S68" i="2"/>
  <c r="U33" i="5" a="1"/>
  <c r="U33" i="5" s="1"/>
  <c r="G80" i="4"/>
  <c r="BB87" i="11"/>
  <c r="BB97" i="11" s="1"/>
  <c r="BB156" i="11" s="1"/>
  <c r="M40" i="4"/>
  <c r="M59" i="4" s="1"/>
  <c r="F80" i="4"/>
  <c r="BU181" i="12"/>
  <c r="F145" i="4"/>
  <c r="BW181" i="12"/>
  <c r="BT181" i="12"/>
  <c r="BV181" i="12"/>
  <c r="BQ181" i="12"/>
  <c r="BS181" i="12"/>
  <c r="BR181" i="12"/>
  <c r="BC86" i="12"/>
  <c r="M126" i="4"/>
  <c r="M145" i="4" s="1"/>
  <c r="L80" i="4"/>
  <c r="N80" i="4" s="1"/>
  <c r="L103" i="4"/>
  <c r="M103" i="4" s="1"/>
  <c r="N126" i="4"/>
  <c r="AK86" i="12"/>
  <c r="AK87" i="12" s="1"/>
  <c r="AK97" i="12" s="1"/>
  <c r="AK156" i="12" s="1"/>
  <c r="N40" i="4"/>
  <c r="N59" i="4" s="1"/>
  <c r="L126" i="4"/>
  <c r="L128" i="4" s="1"/>
  <c r="L147" i="4" s="1"/>
  <c r="BC19" i="11"/>
  <c r="BC20" i="11" s="1"/>
  <c r="BC87" i="11" s="1"/>
  <c r="BC97" i="11" s="1"/>
  <c r="BC156" i="11" s="1"/>
  <c r="L17" i="4"/>
  <c r="M17" i="4" s="1"/>
  <c r="L40" i="4"/>
  <c r="L42" i="4" s="1"/>
  <c r="L61" i="4" s="1"/>
  <c r="BE67" i="7"/>
  <c r="BE68" i="7" s="1"/>
  <c r="BE4" i="12" a="1"/>
  <c r="BE4" i="12" s="1"/>
  <c r="BE5" i="12" s="1"/>
  <c r="F19" i="15"/>
  <c r="F82" i="4"/>
  <c r="G82" i="4"/>
  <c r="R44" i="2"/>
  <c r="R50" i="2"/>
  <c r="R75" i="2" s="1"/>
  <c r="R68" i="2"/>
  <c r="E123" i="4"/>
  <c r="E141" i="4"/>
  <c r="E129" i="4"/>
  <c r="E148" i="4" s="1"/>
  <c r="N54" i="4"/>
  <c r="N36" i="4"/>
  <c r="AH156" i="11"/>
  <c r="I25" i="5" a="1"/>
  <c r="I25" i="5" s="1"/>
  <c r="I33" i="5" a="1"/>
  <c r="I33" i="5" s="1"/>
  <c r="G19" i="4"/>
  <c r="F19" i="4"/>
  <c r="E43" i="4"/>
  <c r="E62" i="4" s="1"/>
  <c r="E37" i="4"/>
  <c r="E55" i="4"/>
  <c r="S33" i="3"/>
  <c r="S32" i="3"/>
  <c r="G76" i="4"/>
  <c r="E83" i="4"/>
  <c r="F76" i="4"/>
  <c r="E77" i="4"/>
  <c r="AQ156" i="11"/>
  <c r="R33" i="5" a="1"/>
  <c r="R33" i="5" s="1"/>
  <c r="BF9" i="13"/>
  <c r="BG4" i="13" s="1"/>
  <c r="AY156" i="11"/>
  <c r="Z33" i="5" a="1"/>
  <c r="Z33" i="5" s="1"/>
  <c r="Z25" i="5" a="1"/>
  <c r="Z25" i="5" s="1"/>
  <c r="H30" i="15"/>
  <c r="G28" i="15"/>
  <c r="G18" i="15" s="1"/>
  <c r="AG80" i="15"/>
  <c r="AG12" i="15" s="1"/>
  <c r="L54" i="4"/>
  <c r="L36" i="4"/>
  <c r="AF80" i="15"/>
  <c r="AF12" i="15" s="1"/>
  <c r="K54" i="3"/>
  <c r="K58" i="3"/>
  <c r="X32" i="3"/>
  <c r="X33" i="3"/>
  <c r="BC19" i="12"/>
  <c r="BC20" i="12" s="1"/>
  <c r="BY25" i="13"/>
  <c r="BY11" i="13"/>
  <c r="BY5" i="13"/>
  <c r="BZ2" i="13"/>
  <c r="BB40" i="7"/>
  <c r="BB64" i="7"/>
  <c r="BB65" i="7" s="1"/>
  <c r="N104" i="4"/>
  <c r="M104" i="4"/>
  <c r="BC20" i="7"/>
  <c r="AN156" i="11"/>
  <c r="O33" i="5" a="1"/>
  <c r="O33" i="5" s="1"/>
  <c r="O25" i="5" a="1"/>
  <c r="O25" i="5" s="1"/>
  <c r="AR156" i="11"/>
  <c r="S25" i="5" a="1"/>
  <c r="S25" i="5" s="1"/>
  <c r="S33" i="5" a="1"/>
  <c r="S33" i="5" s="1"/>
  <c r="K57" i="3"/>
  <c r="BE66" i="11"/>
  <c r="BE74" i="11" s="1"/>
  <c r="BD79" i="11"/>
  <c r="BD81" i="11" s="1"/>
  <c r="BD83" i="11" s="1"/>
  <c r="BD84" i="11" s="1"/>
  <c r="BD86" i="11" s="1"/>
  <c r="BD17" i="11"/>
  <c r="BD18" i="11" s="1"/>
  <c r="BD14" i="11"/>
  <c r="BD15" i="11" s="1"/>
  <c r="AL156" i="11"/>
  <c r="M33" i="5" a="1"/>
  <c r="M33" i="5" s="1"/>
  <c r="M25" i="5" a="1"/>
  <c r="M25" i="5" s="1"/>
  <c r="BB48" i="7"/>
  <c r="BN43" i="7"/>
  <c r="J54" i="3"/>
  <c r="J58" i="3"/>
  <c r="N98" i="4"/>
  <c r="M98" i="4"/>
  <c r="L99" i="4"/>
  <c r="AE80" i="15"/>
  <c r="AE12" i="15" s="1"/>
  <c r="AW27" i="13"/>
  <c r="AW28" i="13" s="1"/>
  <c r="N81" i="4"/>
  <c r="M81" i="4"/>
  <c r="H54" i="3"/>
  <c r="H58" i="3"/>
  <c r="BB39" i="6"/>
  <c r="M37" i="4"/>
  <c r="AK156" i="11"/>
  <c r="L33" i="5" a="1"/>
  <c r="L33" i="5" s="1"/>
  <c r="L25" i="5" a="1"/>
  <c r="L25" i="5" s="1"/>
  <c r="AJ80" i="15"/>
  <c r="AJ12" i="15" s="1"/>
  <c r="AW156" i="11"/>
  <c r="X25" i="5" a="1"/>
  <c r="X25" i="5" s="1"/>
  <c r="X33" i="5" a="1"/>
  <c r="X33" i="5" s="1"/>
  <c r="BZ26" i="13"/>
  <c r="BZ6" i="13"/>
  <c r="CA1" i="13"/>
  <c r="BC54" i="7"/>
  <c r="S50" i="2"/>
  <c r="S75" i="2" s="1"/>
  <c r="BB45" i="6"/>
  <c r="BB37" i="6"/>
  <c r="BB18" i="6"/>
  <c r="BB21" i="6" s="1"/>
  <c r="BB52" i="6"/>
  <c r="BB55" i="6" s="1"/>
  <c r="E20" i="4"/>
  <c r="E14" i="4"/>
  <c r="AD80" i="15"/>
  <c r="AD12" i="15" s="1"/>
  <c r="AA32" i="3"/>
  <c r="AA33" i="3"/>
  <c r="H82" i="15"/>
  <c r="G80" i="15"/>
  <c r="G12" i="15" s="1"/>
  <c r="G13" i="15" s="1"/>
  <c r="H8" i="15" s="1"/>
  <c r="BE67" i="6"/>
  <c r="BE68" i="6" s="1"/>
  <c r="BE4" i="11" a="1"/>
  <c r="BE4" i="11" s="1"/>
  <c r="BE5" i="11" s="1"/>
  <c r="AM24" i="15" a="1"/>
  <c r="AM24" i="15" s="1"/>
  <c r="F55" i="4"/>
  <c r="F37" i="4"/>
  <c r="F43" i="4"/>
  <c r="F62" i="4" s="1"/>
  <c r="M140" i="4"/>
  <c r="M122" i="4"/>
  <c r="L140" i="4"/>
  <c r="L122" i="4"/>
  <c r="G43" i="4"/>
  <c r="G62" i="4" s="1"/>
  <c r="G37" i="4"/>
  <c r="G55" i="4"/>
  <c r="U32" i="3"/>
  <c r="U33" i="3"/>
  <c r="N62" i="3"/>
  <c r="N61" i="3"/>
  <c r="F123" i="4"/>
  <c r="F141" i="4"/>
  <c r="F129" i="4"/>
  <c r="F148" i="4" s="1"/>
  <c r="M61" i="3"/>
  <c r="M62" i="3"/>
  <c r="T33" i="3"/>
  <c r="T32" i="3"/>
  <c r="G105" i="4"/>
  <c r="F105" i="4"/>
  <c r="N75" i="4"/>
  <c r="M75" i="4"/>
  <c r="L76" i="4"/>
  <c r="L61" i="3"/>
  <c r="L62" i="3"/>
  <c r="AC80" i="15"/>
  <c r="AC12" i="15" s="1"/>
  <c r="BE66" i="12"/>
  <c r="BE74" i="12" s="1"/>
  <c r="BE84" i="12" s="1"/>
  <c r="BE86" i="12" s="1"/>
  <c r="BD17" i="12"/>
  <c r="BD18" i="12" s="1"/>
  <c r="BD14" i="12"/>
  <c r="BD15" i="12" s="1"/>
  <c r="I54" i="3"/>
  <c r="I58" i="3"/>
  <c r="AI80" i="15"/>
  <c r="AI12" i="15" s="1"/>
  <c r="E100" i="4"/>
  <c r="G99" i="4"/>
  <c r="F99" i="4"/>
  <c r="E106" i="4"/>
  <c r="AV9" i="15"/>
  <c r="H57" i="3"/>
  <c r="L13" i="4"/>
  <c r="AH80" i="15"/>
  <c r="AH12" i="15" s="1"/>
  <c r="Q33" i="5" l="1" a="1"/>
  <c r="Q33" i="5" s="1"/>
  <c r="Q25" i="5" a="1"/>
  <c r="Q25" i="5" s="1"/>
  <c r="M42" i="4"/>
  <c r="M61" i="4" s="1"/>
  <c r="BC87" i="12"/>
  <c r="BC97" i="12" s="1"/>
  <c r="BC156" i="12" s="1"/>
  <c r="L105" i="4"/>
  <c r="L106" i="4" s="1"/>
  <c r="L82" i="4"/>
  <c r="L83" i="4" s="1"/>
  <c r="M128" i="4"/>
  <c r="M147" i="4" s="1"/>
  <c r="M80" i="4"/>
  <c r="L145" i="4"/>
  <c r="N103" i="4"/>
  <c r="N42" i="4"/>
  <c r="N61" i="4" s="1"/>
  <c r="N17" i="4"/>
  <c r="L19" i="4"/>
  <c r="L20" i="4" s="1"/>
  <c r="L59" i="4"/>
  <c r="M43" i="4"/>
  <c r="M62" i="4" s="1"/>
  <c r="BF67" i="6"/>
  <c r="BF68" i="6" s="1"/>
  <c r="BF4" i="11" a="1"/>
  <c r="BF4" i="11" s="1"/>
  <c r="BF5" i="11" s="1"/>
  <c r="AN24" i="15" a="1"/>
  <c r="AN24" i="15" s="1"/>
  <c r="BF67" i="7"/>
  <c r="BF68" i="7" s="1"/>
  <c r="BF4" i="12" a="1"/>
  <c r="BF4" i="12" s="1"/>
  <c r="BF5" i="12" s="1"/>
  <c r="BG7" i="13"/>
  <c r="BG8" i="13" s="1"/>
  <c r="BB48" i="6"/>
  <c r="AK10" i="15" s="1" a="1"/>
  <c r="AK10" i="15" s="1"/>
  <c r="BN43" i="6"/>
  <c r="K61" i="3"/>
  <c r="K62" i="3"/>
  <c r="N99" i="4"/>
  <c r="L100" i="4"/>
  <c r="M99" i="4"/>
  <c r="BD19" i="11"/>
  <c r="BD20" i="11" s="1"/>
  <c r="BD87" i="11" s="1"/>
  <c r="BD97" i="11" s="1"/>
  <c r="BD156" i="11" s="1"/>
  <c r="L123" i="4"/>
  <c r="L141" i="4"/>
  <c r="L129" i="4"/>
  <c r="L148" i="4" s="1"/>
  <c r="CA26" i="13"/>
  <c r="CB1" i="13"/>
  <c r="CA6" i="13"/>
  <c r="L55" i="4"/>
  <c r="L43" i="4"/>
  <c r="L62" i="4" s="1"/>
  <c r="L37" i="4"/>
  <c r="M76" i="4"/>
  <c r="N76" i="4"/>
  <c r="L77" i="4"/>
  <c r="BD19" i="12"/>
  <c r="BD20" i="12" s="1"/>
  <c r="BD87" i="12" s="1"/>
  <c r="BD97" i="12" s="1"/>
  <c r="BD156" i="12" s="1"/>
  <c r="BC45" i="7"/>
  <c r="BC18" i="7"/>
  <c r="BC21" i="7" s="1"/>
  <c r="BC52" i="7"/>
  <c r="BC55" i="7" s="1"/>
  <c r="BC37" i="7"/>
  <c r="G106" i="4"/>
  <c r="F106" i="4"/>
  <c r="J62" i="3"/>
  <c r="J61" i="3"/>
  <c r="BC39" i="7"/>
  <c r="F21" i="15"/>
  <c r="F22" i="15" s="1"/>
  <c r="F25" i="15" s="1"/>
  <c r="G16" i="15"/>
  <c r="G19" i="15" s="1"/>
  <c r="BF66" i="11"/>
  <c r="BF74" i="11" s="1"/>
  <c r="BE17" i="11"/>
  <c r="BE18" i="11" s="1"/>
  <c r="BE14" i="11"/>
  <c r="BE15" i="11" s="1"/>
  <c r="BE79" i="11"/>
  <c r="BE81" i="11" s="1"/>
  <c r="BE83" i="11" s="1"/>
  <c r="BE84" i="11" s="1"/>
  <c r="BE86" i="11" s="1"/>
  <c r="BZ25" i="13"/>
  <c r="BZ5" i="13"/>
  <c r="BZ11" i="13"/>
  <c r="CA2" i="13"/>
  <c r="BF66" i="12"/>
  <c r="BF74" i="12" s="1"/>
  <c r="BF84" i="12" s="1"/>
  <c r="BE14" i="12"/>
  <c r="BE15" i="12" s="1"/>
  <c r="BE17" i="12"/>
  <c r="BE18" i="12" s="1"/>
  <c r="AW29" i="13"/>
  <c r="AX24" i="13" s="1"/>
  <c r="M123" i="4"/>
  <c r="M141" i="4"/>
  <c r="I30" i="15"/>
  <c r="H28" i="15"/>
  <c r="H18" i="15" s="1"/>
  <c r="H62" i="3"/>
  <c r="H61" i="3"/>
  <c r="BC54" i="6"/>
  <c r="G83" i="4"/>
  <c r="F83" i="4"/>
  <c r="N55" i="4"/>
  <c r="N37" i="4"/>
  <c r="I82" i="15"/>
  <c r="H80" i="15"/>
  <c r="H12" i="15" s="1"/>
  <c r="H13" i="15" s="1"/>
  <c r="I8" i="15" s="1"/>
  <c r="I61" i="3"/>
  <c r="I62" i="3"/>
  <c r="BC20" i="6"/>
  <c r="L14" i="4"/>
  <c r="BB40" i="6"/>
  <c r="BB64" i="6"/>
  <c r="BB65" i="6" s="1"/>
  <c r="M82" i="4" l="1"/>
  <c r="N82" i="4"/>
  <c r="M129" i="4"/>
  <c r="M148" i="4" s="1"/>
  <c r="N43" i="4"/>
  <c r="N62" i="4" s="1"/>
  <c r="M105" i="4"/>
  <c r="N105" i="4"/>
  <c r="BE19" i="12"/>
  <c r="BE20" i="12" s="1"/>
  <c r="BE87" i="12" s="1"/>
  <c r="BE97" i="12" s="1"/>
  <c r="BE156" i="12" s="1"/>
  <c r="BG67" i="7"/>
  <c r="BG68" i="7" s="1"/>
  <c r="BG4" i="12" a="1"/>
  <c r="BG4" i="12" s="1"/>
  <c r="BG5" i="12" s="1"/>
  <c r="J30" i="15"/>
  <c r="I28" i="15"/>
  <c r="I18" i="15" s="1"/>
  <c r="BG9" i="13"/>
  <c r="BH4" i="13" s="1"/>
  <c r="BE19" i="11"/>
  <c r="BE20" i="11" s="1"/>
  <c r="BE87" i="11" s="1"/>
  <c r="BE97" i="11" s="1"/>
  <c r="BE156" i="11" s="1"/>
  <c r="BG66" i="12"/>
  <c r="BG74" i="12" s="1"/>
  <c r="BG84" i="12" s="1"/>
  <c r="BG86" i="12" s="1"/>
  <c r="BF14" i="12"/>
  <c r="BF15" i="12" s="1"/>
  <c r="BF17" i="12"/>
  <c r="BF18" i="12" s="1"/>
  <c r="BD54" i="7"/>
  <c r="BC48" i="7"/>
  <c r="BO43" i="7"/>
  <c r="BC39" i="6"/>
  <c r="CB26" i="13"/>
  <c r="CB6" i="13"/>
  <c r="CC1" i="13"/>
  <c r="N106" i="4"/>
  <c r="M106" i="4"/>
  <c r="J82" i="15"/>
  <c r="I80" i="15"/>
  <c r="I12" i="15" s="1"/>
  <c r="I13" i="15" s="1"/>
  <c r="J8" i="15" s="1"/>
  <c r="BC45" i="6"/>
  <c r="BC37" i="6"/>
  <c r="BC18" i="6"/>
  <c r="BC21" i="6" s="1"/>
  <c r="BC52" i="6"/>
  <c r="BC55" i="6" s="1"/>
  <c r="BG66" i="11"/>
  <c r="BG74" i="11" s="1"/>
  <c r="BF17" i="11"/>
  <c r="BF18" i="11" s="1"/>
  <c r="BF79" i="11"/>
  <c r="BF81" i="11" s="1"/>
  <c r="BF83" i="11" s="1"/>
  <c r="BF84" i="11" s="1"/>
  <c r="BF86" i="11" s="1"/>
  <c r="BF14" i="11"/>
  <c r="BF15" i="11" s="1"/>
  <c r="AK114" i="15"/>
  <c r="AW9" i="15"/>
  <c r="AX27" i="13"/>
  <c r="AX28" i="13" s="1"/>
  <c r="BF86" i="12"/>
  <c r="BG67" i="6"/>
  <c r="BG68" i="6" s="1"/>
  <c r="BG4" i="11" a="1"/>
  <c r="BG4" i="11" s="1"/>
  <c r="BG5" i="11" s="1"/>
  <c r="AO24" i="15" a="1"/>
  <c r="AO24" i="15" s="1"/>
  <c r="BC40" i="7"/>
  <c r="BC64" i="7"/>
  <c r="BC65" i="7" s="1"/>
  <c r="BD20" i="7"/>
  <c r="N83" i="4"/>
  <c r="M83" i="4"/>
  <c r="CA5" i="13"/>
  <c r="CA11" i="13"/>
  <c r="CA25" i="13"/>
  <c r="CB2" i="13"/>
  <c r="G21" i="15"/>
  <c r="G22" i="15" s="1"/>
  <c r="G25" i="15" s="1"/>
  <c r="H16" i="15"/>
  <c r="H19" i="15" s="1"/>
  <c r="BH67" i="6" l="1"/>
  <c r="BH68" i="6" s="1"/>
  <c r="BH4" i="11" a="1"/>
  <c r="BH4" i="11" s="1"/>
  <c r="BH5" i="11" s="1"/>
  <c r="AP24" i="15" a="1"/>
  <c r="AP24" i="15" s="1"/>
  <c r="BH67" i="7"/>
  <c r="BH68" i="7" s="1"/>
  <c r="BH4" i="12" a="1"/>
  <c r="BH4" i="12" s="1"/>
  <c r="BH5" i="12" s="1"/>
  <c r="CB25" i="13"/>
  <c r="CB11" i="13"/>
  <c r="CC2" i="13"/>
  <c r="CB5" i="13"/>
  <c r="BH7" i="13"/>
  <c r="BH8" i="13" s="1"/>
  <c r="BF19" i="11"/>
  <c r="BF20" i="11" s="1"/>
  <c r="BF87" i="11" s="1"/>
  <c r="BF97" i="11" s="1"/>
  <c r="BF156" i="11" s="1"/>
  <c r="K82" i="15"/>
  <c r="J80" i="15"/>
  <c r="J12" i="15" s="1"/>
  <c r="J13" i="15" s="1"/>
  <c r="K8" i="15" s="1"/>
  <c r="AX29" i="13"/>
  <c r="AY24" i="13" s="1"/>
  <c r="CC26" i="13"/>
  <c r="CD1" i="13"/>
  <c r="CC6" i="13"/>
  <c r="BD45" i="7"/>
  <c r="BD18" i="7"/>
  <c r="BD21" i="7" s="1"/>
  <c r="BD52" i="7"/>
  <c r="BD55" i="7" s="1"/>
  <c r="BD37" i="7"/>
  <c r="K30" i="15"/>
  <c r="J28" i="15"/>
  <c r="J18" i="15" s="1"/>
  <c r="BF19" i="12"/>
  <c r="BF20" i="12" s="1"/>
  <c r="BF87" i="12" s="1"/>
  <c r="BF97" i="12" s="1"/>
  <c r="BF156" i="12" s="1"/>
  <c r="BH66" i="12"/>
  <c r="BH74" i="12" s="1"/>
  <c r="BH84" i="12" s="1"/>
  <c r="BG17" i="12"/>
  <c r="BG18" i="12" s="1"/>
  <c r="BG14" i="12"/>
  <c r="BG15" i="12" s="1"/>
  <c r="BH66" i="11"/>
  <c r="BH74" i="11" s="1"/>
  <c r="BG14" i="11"/>
  <c r="BG15" i="11" s="1"/>
  <c r="BG79" i="11"/>
  <c r="BG81" i="11" s="1"/>
  <c r="BG83" i="11" s="1"/>
  <c r="BG84" i="11" s="1"/>
  <c r="BG86" i="11" s="1"/>
  <c r="BG17" i="11"/>
  <c r="BG18" i="11" s="1"/>
  <c r="BD20" i="6"/>
  <c r="BC48" i="6"/>
  <c r="AL10" i="15" s="1" a="1"/>
  <c r="AL10" i="15" s="1"/>
  <c r="AL115" i="15" s="1"/>
  <c r="AM115" i="15" s="1"/>
  <c r="AN115" i="15" s="1"/>
  <c r="AO115" i="15" s="1"/>
  <c r="AP115" i="15" s="1"/>
  <c r="AQ115" i="15" s="1"/>
  <c r="AR115" i="15" s="1"/>
  <c r="AS115" i="15" s="1"/>
  <c r="AT115" i="15" s="1"/>
  <c r="AU115" i="15" s="1"/>
  <c r="AV115" i="15" s="1"/>
  <c r="AW115" i="15" s="1"/>
  <c r="BO43" i="6"/>
  <c r="AL114" i="15"/>
  <c r="AK80" i="15"/>
  <c r="AK12" i="15" s="1"/>
  <c r="BD39" i="7"/>
  <c r="H21" i="15"/>
  <c r="H22" i="15" s="1"/>
  <c r="H25" i="15" s="1"/>
  <c r="I16" i="15"/>
  <c r="I19" i="15" s="1"/>
  <c r="BD54" i="6"/>
  <c r="BC40" i="6"/>
  <c r="BC64" i="6"/>
  <c r="BC65" i="6" s="1"/>
  <c r="BG19" i="11" l="1"/>
  <c r="BG20" i="11" s="1"/>
  <c r="BG87" i="11" s="1"/>
  <c r="BG97" i="11" s="1"/>
  <c r="BG156" i="11" s="1"/>
  <c r="BI67" i="7"/>
  <c r="BI68" i="7" s="1"/>
  <c r="BI4" i="12" a="1"/>
  <c r="BI4" i="12" s="1"/>
  <c r="BI5" i="12" s="1"/>
  <c r="BD45" i="6"/>
  <c r="BD37" i="6"/>
  <c r="BD18" i="6"/>
  <c r="BD21" i="6" s="1"/>
  <c r="BD52" i="6"/>
  <c r="BD55" i="6" s="1"/>
  <c r="BD39" i="6"/>
  <c r="CC11" i="13"/>
  <c r="CC25" i="13"/>
  <c r="CD2" i="13"/>
  <c r="CC5" i="13"/>
  <c r="BD40" i="7"/>
  <c r="BD64" i="7"/>
  <c r="BD65" i="7" s="1"/>
  <c r="L30" i="15"/>
  <c r="K28" i="15"/>
  <c r="K18" i="15" s="1"/>
  <c r="BI66" i="12"/>
  <c r="BI74" i="12" s="1"/>
  <c r="BI84" i="12" s="1"/>
  <c r="BI86" i="12" s="1"/>
  <c r="BH14" i="12"/>
  <c r="BH15" i="12" s="1"/>
  <c r="BH17" i="12"/>
  <c r="BH18" i="12" s="1"/>
  <c r="BE54" i="7"/>
  <c r="I21" i="15"/>
  <c r="I22" i="15" s="1"/>
  <c r="I25" i="15" s="1"/>
  <c r="J16" i="15"/>
  <c r="J19" i="15" s="1"/>
  <c r="BG19" i="12"/>
  <c r="BG20" i="12" s="1"/>
  <c r="BG87" i="12" s="1"/>
  <c r="BG97" i="12" s="1"/>
  <c r="BG156" i="12" s="1"/>
  <c r="BH9" i="13"/>
  <c r="BI4" i="13" s="1"/>
  <c r="BH86" i="12"/>
  <c r="AY27" i="13"/>
  <c r="AY28" i="13" s="1"/>
  <c r="BI66" i="11"/>
  <c r="BI74" i="11" s="1"/>
  <c r="BH14" i="11"/>
  <c r="BH15" i="11" s="1"/>
  <c r="BH79" i="11"/>
  <c r="BH81" i="11" s="1"/>
  <c r="BH83" i="11" s="1"/>
  <c r="BH84" i="11" s="1"/>
  <c r="BH86" i="11" s="1"/>
  <c r="BH17" i="11"/>
  <c r="BH18" i="11" s="1"/>
  <c r="BD48" i="7"/>
  <c r="BP43" i="7"/>
  <c r="CD26" i="13"/>
  <c r="CE1" i="13"/>
  <c r="CD6" i="13"/>
  <c r="AM114" i="15"/>
  <c r="AL80" i="15"/>
  <c r="AL12" i="15" s="1"/>
  <c r="BI67" i="6"/>
  <c r="BI68" i="6" s="1"/>
  <c r="BI4" i="11" a="1"/>
  <c r="BI4" i="11" s="1"/>
  <c r="BI5" i="11" s="1"/>
  <c r="AQ24" i="15" a="1"/>
  <c r="AQ24" i="15" s="1"/>
  <c r="BE20" i="7"/>
  <c r="L82" i="15"/>
  <c r="K80" i="15"/>
  <c r="K12" i="15" s="1"/>
  <c r="K13" i="15" s="1"/>
  <c r="L8" i="15" s="1"/>
  <c r="BH19" i="12" l="1"/>
  <c r="BH20" i="12" s="1"/>
  <c r="BH87" i="12" s="1"/>
  <c r="BH97" i="12" s="1"/>
  <c r="BH156" i="12" s="1"/>
  <c r="BH19" i="11"/>
  <c r="BH20" i="11" s="1"/>
  <c r="BH87" i="11" s="1"/>
  <c r="BH97" i="11" s="1"/>
  <c r="BH156" i="11" s="1"/>
  <c r="BJ67" i="7"/>
  <c r="BJ68" i="7" s="1"/>
  <c r="BJ4" i="12" a="1"/>
  <c r="BJ4" i="12" s="1"/>
  <c r="BJ5" i="12" s="1"/>
  <c r="J21" i="15"/>
  <c r="J22" i="15" s="1"/>
  <c r="J25" i="15" s="1"/>
  <c r="K16" i="15"/>
  <c r="K19" i="15" s="1"/>
  <c r="BE54" i="6"/>
  <c r="BD40" i="6"/>
  <c r="BD64" i="6"/>
  <c r="BD65" i="6" s="1"/>
  <c r="BE20" i="6"/>
  <c r="BJ67" i="6"/>
  <c r="BJ68" i="6" s="1"/>
  <c r="BJ4" i="11" a="1"/>
  <c r="BJ4" i="11" s="1"/>
  <c r="BJ5" i="11" s="1"/>
  <c r="AR24" i="15" a="1"/>
  <c r="AR24" i="15" s="1"/>
  <c r="AY29" i="13"/>
  <c r="AZ24" i="13" s="1"/>
  <c r="M30" i="15"/>
  <c r="L28" i="15"/>
  <c r="L18" i="15" s="1"/>
  <c r="BD48" i="6"/>
  <c r="AM10" i="15" s="1" a="1"/>
  <c r="AM10" i="15" s="1"/>
  <c r="AM116" i="15" s="1"/>
  <c r="AN116" i="15" s="1"/>
  <c r="AO116" i="15" s="1"/>
  <c r="AP116" i="15" s="1"/>
  <c r="AQ116" i="15" s="1"/>
  <c r="AR116" i="15" s="1"/>
  <c r="AS116" i="15" s="1"/>
  <c r="AT116" i="15" s="1"/>
  <c r="AU116" i="15" s="1"/>
  <c r="AV116" i="15" s="1"/>
  <c r="AW116" i="15" s="1"/>
  <c r="BP43" i="6"/>
  <c r="BJ66" i="12"/>
  <c r="BJ74" i="12" s="1"/>
  <c r="BJ84" i="12" s="1"/>
  <c r="BJ86" i="12" s="1"/>
  <c r="BI14" i="12"/>
  <c r="BI15" i="12" s="1"/>
  <c r="BI17" i="12"/>
  <c r="BI18" i="12" s="1"/>
  <c r="AN114" i="15"/>
  <c r="BE45" i="7"/>
  <c r="BE18" i="7"/>
  <c r="BE21" i="7" s="1"/>
  <c r="BE37" i="7"/>
  <c r="BE52" i="7"/>
  <c r="BE55" i="7" s="1"/>
  <c r="BJ66" i="11"/>
  <c r="BJ74" i="11" s="1"/>
  <c r="BI14" i="11"/>
  <c r="BI15" i="11" s="1"/>
  <c r="BI79" i="11"/>
  <c r="BI81" i="11" s="1"/>
  <c r="BI83" i="11" s="1"/>
  <c r="BI84" i="11" s="1"/>
  <c r="BI86" i="11" s="1"/>
  <c r="BI17" i="11"/>
  <c r="BI18" i="11" s="1"/>
  <c r="BE39" i="7"/>
  <c r="CD11" i="13"/>
  <c r="CD25" i="13"/>
  <c r="CD5" i="13"/>
  <c r="CE2" i="13"/>
  <c r="CE26" i="13"/>
  <c r="CF1" i="13"/>
  <c r="CE6" i="13"/>
  <c r="BI7" i="13"/>
  <c r="BI8" i="13" s="1"/>
  <c r="M82" i="15"/>
  <c r="L80" i="15"/>
  <c r="L12" i="15" s="1"/>
  <c r="L13" i="15" s="1"/>
  <c r="M8" i="15" s="1"/>
  <c r="BI19" i="11" l="1"/>
  <c r="BI20" i="11" s="1"/>
  <c r="BI87" i="11" s="1"/>
  <c r="BI97" i="11" s="1"/>
  <c r="BI156" i="11" s="1"/>
  <c r="BK67" i="7"/>
  <c r="BK68" i="7" s="1"/>
  <c r="BK4" i="12" a="1"/>
  <c r="BK4" i="12" s="1"/>
  <c r="BK5" i="12" s="1"/>
  <c r="N115" i="4" a="1"/>
  <c r="N115" i="4" s="1"/>
  <c r="CE25" i="13"/>
  <c r="CE11" i="13"/>
  <c r="CF2" i="13"/>
  <c r="CE5" i="13"/>
  <c r="AX116" i="15"/>
  <c r="L16" i="15"/>
  <c r="L19" i="15" s="1"/>
  <c r="K21" i="15"/>
  <c r="K22" i="15" s="1"/>
  <c r="K25" i="15" s="1"/>
  <c r="BI19" i="12"/>
  <c r="BI20" i="12" s="1"/>
  <c r="BI87" i="12" s="1"/>
  <c r="BI97" i="12" s="1"/>
  <c r="BI156" i="12" s="1"/>
  <c r="BE39" i="6"/>
  <c r="N30" i="15"/>
  <c r="M28" i="15"/>
  <c r="M18" i="15" s="1"/>
  <c r="BK66" i="12"/>
  <c r="BK74" i="12" s="1"/>
  <c r="BK84" i="12" s="1"/>
  <c r="BK86" i="12" s="1"/>
  <c r="BJ14" i="12"/>
  <c r="BJ15" i="12" s="1"/>
  <c r="BJ17" i="12"/>
  <c r="BJ18" i="12" s="1"/>
  <c r="BE45" i="6"/>
  <c r="BE37" i="6"/>
  <c r="BE52" i="6"/>
  <c r="BE55" i="6" s="1"/>
  <c r="BE18" i="6"/>
  <c r="BE21" i="6" s="1"/>
  <c r="N82" i="15"/>
  <c r="M80" i="15"/>
  <c r="M12" i="15" s="1"/>
  <c r="M13" i="15" s="1"/>
  <c r="N8" i="15" s="1"/>
  <c r="BK66" i="11"/>
  <c r="BK74" i="11" s="1"/>
  <c r="BJ14" i="11"/>
  <c r="BJ15" i="11" s="1"/>
  <c r="BJ17" i="11"/>
  <c r="BJ18" i="11" s="1"/>
  <c r="BJ79" i="11"/>
  <c r="BJ81" i="11" s="1"/>
  <c r="BJ83" i="11" s="1"/>
  <c r="BJ84" i="11" s="1"/>
  <c r="BJ86" i="11" s="1"/>
  <c r="AZ27" i="13"/>
  <c r="AZ28" i="13" s="1"/>
  <c r="BF54" i="7"/>
  <c r="BF20" i="7"/>
  <c r="BK67" i="6"/>
  <c r="BK68" i="6" s="1"/>
  <c r="BK4" i="11" a="1"/>
  <c r="BK4" i="11" s="1"/>
  <c r="BK5" i="11" s="1"/>
  <c r="AS24" i="15" a="1"/>
  <c r="AS24" i="15" s="1"/>
  <c r="G115" i="4" a="1"/>
  <c r="G115" i="4" s="1"/>
  <c r="AM80" i="15"/>
  <c r="AM12" i="15" s="1"/>
  <c r="AO114" i="15"/>
  <c r="BI9" i="13"/>
  <c r="BJ4" i="13" s="1"/>
  <c r="CF26" i="13"/>
  <c r="CF6" i="13"/>
  <c r="CG1" i="13"/>
  <c r="BE40" i="7"/>
  <c r="BE64" i="7"/>
  <c r="BE65" i="7" s="1"/>
  <c r="BE48" i="7"/>
  <c r="BQ43" i="7"/>
  <c r="BJ19" i="11" l="1"/>
  <c r="BJ20" i="11" s="1"/>
  <c r="BJ87" i="11" s="1"/>
  <c r="BJ97" i="11" s="1"/>
  <c r="BJ156" i="11" s="1"/>
  <c r="BJ19" i="12"/>
  <c r="BJ20" i="12" s="1"/>
  <c r="BJ87" i="12" s="1"/>
  <c r="BJ97" i="12" s="1"/>
  <c r="BJ156" i="12" s="1"/>
  <c r="BL67" i="7"/>
  <c r="BL68" i="7" s="1"/>
  <c r="BL4" i="12" a="1"/>
  <c r="BL4" i="12" s="1"/>
  <c r="BL5" i="12" s="1"/>
  <c r="BF20" i="6"/>
  <c r="CF25" i="13"/>
  <c r="CF11" i="13"/>
  <c r="CF5" i="13"/>
  <c r="CG2" i="13"/>
  <c r="BL66" i="11"/>
  <c r="BL74" i="11" s="1"/>
  <c r="BK17" i="11"/>
  <c r="BK18" i="11" s="1"/>
  <c r="BK14" i="11"/>
  <c r="BK15" i="11" s="1"/>
  <c r="BK79" i="11"/>
  <c r="BK81" i="11" s="1"/>
  <c r="BK83" i="11" s="1"/>
  <c r="BK84" i="11" s="1"/>
  <c r="BK86" i="11" s="1"/>
  <c r="BF39" i="7"/>
  <c r="BE48" i="6"/>
  <c r="AN10" i="15" s="1" a="1"/>
  <c r="AN10" i="15" s="1"/>
  <c r="AN117" i="15" s="1"/>
  <c r="BQ43" i="6"/>
  <c r="BJ7" i="13"/>
  <c r="BJ8" i="13" s="1"/>
  <c r="AZ29" i="13"/>
  <c r="BA24" i="13" s="1"/>
  <c r="BE40" i="6"/>
  <c r="BE64" i="6"/>
  <c r="BE65" i="6" s="1"/>
  <c r="L21" i="15"/>
  <c r="L22" i="15" s="1"/>
  <c r="L25" i="15" s="1"/>
  <c r="M16" i="15"/>
  <c r="M19" i="15" s="1"/>
  <c r="BL66" i="12"/>
  <c r="BL74" i="12" s="1"/>
  <c r="BL84" i="12" s="1"/>
  <c r="BL86" i="12" s="1"/>
  <c r="BK17" i="12"/>
  <c r="BK18" i="12" s="1"/>
  <c r="BK14" i="12"/>
  <c r="BK15" i="12" s="1"/>
  <c r="BF45" i="7"/>
  <c r="BF18" i="7"/>
  <c r="BF21" i="7" s="1"/>
  <c r="BF37" i="7"/>
  <c r="BF52" i="7"/>
  <c r="BF55" i="7" s="1"/>
  <c r="CG26" i="13"/>
  <c r="CG6" i="13"/>
  <c r="CH1" i="13"/>
  <c r="AP114" i="15"/>
  <c r="O30" i="15"/>
  <c r="N28" i="15"/>
  <c r="N18" i="15" s="1"/>
  <c r="O82" i="15"/>
  <c r="N80" i="15"/>
  <c r="N12" i="15" s="1"/>
  <c r="N13" i="15" s="1"/>
  <c r="O8" i="15" s="1"/>
  <c r="BL67" i="6"/>
  <c r="BL68" i="6" s="1"/>
  <c r="BL4" i="11" a="1"/>
  <c r="BL4" i="11" s="1"/>
  <c r="BL5" i="11" s="1"/>
  <c r="AT24" i="15" a="1"/>
  <c r="AT24" i="15" s="1"/>
  <c r="BF54" i="6"/>
  <c r="BK19" i="11" l="1"/>
  <c r="BK20" i="11" s="1"/>
  <c r="BK87" i="11" s="1"/>
  <c r="BK97" i="11" s="1"/>
  <c r="BK156" i="11" s="1"/>
  <c r="BK19" i="12"/>
  <c r="BK20" i="12" s="1"/>
  <c r="BK87" i="12" s="1"/>
  <c r="BK97" i="12" s="1"/>
  <c r="BK156" i="12" s="1"/>
  <c r="BM67" i="6"/>
  <c r="BM68" i="6" s="1"/>
  <c r="BM4" i="11" a="1"/>
  <c r="BM4" i="11" s="1"/>
  <c r="BM5" i="11" s="1"/>
  <c r="AU24" i="15" a="1"/>
  <c r="AU24" i="15" s="1"/>
  <c r="P82" i="15"/>
  <c r="P80" i="15" s="1"/>
  <c r="P12" i="15" s="1"/>
  <c r="O80" i="15"/>
  <c r="O12" i="15" s="1"/>
  <c r="O13" i="15" s="1"/>
  <c r="P8" i="15" s="1"/>
  <c r="BJ9" i="13"/>
  <c r="BK4" i="13" s="1"/>
  <c r="CG25" i="13"/>
  <c r="CG11" i="13"/>
  <c r="CH2" i="13"/>
  <c r="CG5" i="13"/>
  <c r="BF39" i="6"/>
  <c r="BG54" i="7"/>
  <c r="P30" i="15"/>
  <c r="P28" i="15" s="1"/>
  <c r="P18" i="15" s="1"/>
  <c r="O28" i="15"/>
  <c r="O18" i="15" s="1"/>
  <c r="BF45" i="6"/>
  <c r="BF37" i="6"/>
  <c r="BF18" i="6"/>
  <c r="BF21" i="6" s="1"/>
  <c r="BF52" i="6"/>
  <c r="BF55" i="6" s="1"/>
  <c r="CH6" i="13"/>
  <c r="CH26" i="13"/>
  <c r="CI1" i="13"/>
  <c r="BM66" i="12"/>
  <c r="BM74" i="12" s="1"/>
  <c r="BM84" i="12" s="1"/>
  <c r="BM86" i="12" s="1"/>
  <c r="BL14" i="12"/>
  <c r="BL15" i="12" s="1"/>
  <c r="BL17" i="12"/>
  <c r="BL18" i="12" s="1"/>
  <c r="BF40" i="7"/>
  <c r="BF64" i="7"/>
  <c r="BF65" i="7" s="1"/>
  <c r="BM67" i="7"/>
  <c r="BM68" i="7" s="1"/>
  <c r="BM4" i="12" a="1"/>
  <c r="BM4" i="12" s="1"/>
  <c r="BM5" i="12" s="1"/>
  <c r="AQ114" i="15"/>
  <c r="BA27" i="13"/>
  <c r="BA28" i="13" s="1"/>
  <c r="BM66" i="11"/>
  <c r="BM74" i="11" s="1"/>
  <c r="BL79" i="11"/>
  <c r="BL81" i="11" s="1"/>
  <c r="BL83" i="11" s="1"/>
  <c r="BL84" i="11" s="1"/>
  <c r="BL86" i="11" s="1"/>
  <c r="BL14" i="11"/>
  <c r="BL15" i="11" s="1"/>
  <c r="BL17" i="11"/>
  <c r="BL18" i="11" s="1"/>
  <c r="BF48" i="7"/>
  <c r="BR43" i="7"/>
  <c r="N16" i="15"/>
  <c r="N19" i="15" s="1"/>
  <c r="M21" i="15"/>
  <c r="M22" i="15" s="1"/>
  <c r="M25" i="15" s="1"/>
  <c r="AO117" i="15"/>
  <c r="AN80" i="15"/>
  <c r="AN12" i="15" s="1"/>
  <c r="BG20" i="7"/>
  <c r="P13" i="15" l="1"/>
  <c r="Q8" i="15" s="1"/>
  <c r="Q13" i="15" s="1"/>
  <c r="R8" i="15" s="1"/>
  <c r="R13" i="15" s="1"/>
  <c r="S8" i="15" s="1"/>
  <c r="S13" i="15" s="1"/>
  <c r="T8" i="15" s="1"/>
  <c r="T13" i="15" s="1"/>
  <c r="U8" i="15" s="1"/>
  <c r="U13" i="15" s="1"/>
  <c r="V8" i="15" s="1"/>
  <c r="V13" i="15" s="1"/>
  <c r="W8" i="15" s="1"/>
  <c r="W13" i="15" s="1"/>
  <c r="X8" i="15" s="1"/>
  <c r="X13" i="15" s="1"/>
  <c r="Y8" i="15" s="1"/>
  <c r="Y13" i="15" s="1"/>
  <c r="Z8" i="15" s="1"/>
  <c r="Z13" i="15" s="1"/>
  <c r="AA8" i="15" s="1"/>
  <c r="AA13" i="15" s="1"/>
  <c r="AB8" i="15" s="1"/>
  <c r="AB13" i="15" s="1"/>
  <c r="AC8" i="15" s="1"/>
  <c r="AC13" i="15" s="1"/>
  <c r="AD8" i="15" s="1"/>
  <c r="AD13" i="15" s="1"/>
  <c r="AE8" i="15" s="1"/>
  <c r="AE13" i="15" s="1"/>
  <c r="AF8" i="15" s="1"/>
  <c r="AF13" i="15" s="1"/>
  <c r="AG8" i="15" s="1"/>
  <c r="AG13" i="15" s="1"/>
  <c r="AH8" i="15" s="1"/>
  <c r="AH13" i="15" s="1"/>
  <c r="AI8" i="15" s="1"/>
  <c r="AI13" i="15" s="1"/>
  <c r="AJ8" i="15" s="1"/>
  <c r="AJ13" i="15" s="1"/>
  <c r="AK8" i="15" s="1"/>
  <c r="AK13" i="15" s="1"/>
  <c r="AL8" i="15" s="1"/>
  <c r="AL13" i="15" s="1"/>
  <c r="AM8" i="15" s="1"/>
  <c r="AM13" i="15" s="1"/>
  <c r="AN8" i="15" s="1"/>
  <c r="AN13" i="15" s="1"/>
  <c r="AO8" i="15" s="1"/>
  <c r="BL19" i="12"/>
  <c r="BL20" i="12" s="1"/>
  <c r="BL87" i="12" s="1"/>
  <c r="BL97" i="12" s="1"/>
  <c r="BL156" i="12" s="1"/>
  <c r="BG20" i="6"/>
  <c r="BK7" i="13"/>
  <c r="BK8" i="13" s="1"/>
  <c r="BF40" i="6"/>
  <c r="BF64" i="6"/>
  <c r="BF65" i="6" s="1"/>
  <c r="BA29" i="13"/>
  <c r="BB24" i="13" s="1"/>
  <c r="BG54" i="6"/>
  <c r="AP117" i="15"/>
  <c r="BG45" i="7"/>
  <c r="BG18" i="7"/>
  <c r="BG21" i="7" s="1"/>
  <c r="BG37" i="7"/>
  <c r="BG52" i="7"/>
  <c r="BG55" i="7" s="1"/>
  <c r="BF48" i="6"/>
  <c r="AO10" i="15" s="1" a="1"/>
  <c r="AO10" i="15" s="1"/>
  <c r="AO118" i="15" s="1"/>
  <c r="AP118" i="15" s="1"/>
  <c r="AQ118" i="15" s="1"/>
  <c r="AR118" i="15" s="1"/>
  <c r="AS118" i="15" s="1"/>
  <c r="AT118" i="15" s="1"/>
  <c r="AU118" i="15" s="1"/>
  <c r="AV118" i="15" s="1"/>
  <c r="AW118" i="15" s="1"/>
  <c r="AX118" i="15" s="1"/>
  <c r="AY118" i="15" s="1"/>
  <c r="AZ118" i="15" s="1"/>
  <c r="BR43" i="6"/>
  <c r="AR114" i="15"/>
  <c r="BN67" i="7"/>
  <c r="BN68" i="7" s="1"/>
  <c r="BN4" i="12" a="1"/>
  <c r="BN4" i="12" s="1"/>
  <c r="BN5" i="12" s="1"/>
  <c r="BN66" i="11"/>
  <c r="BN74" i="11" s="1"/>
  <c r="BM79" i="11"/>
  <c r="BM81" i="11" s="1"/>
  <c r="BM83" i="11" s="1"/>
  <c r="BM84" i="11" s="1"/>
  <c r="BM86" i="11" s="1"/>
  <c r="BM17" i="11"/>
  <c r="BM18" i="11" s="1"/>
  <c r="BM14" i="11"/>
  <c r="BM15" i="11" s="1"/>
  <c r="CI26" i="13"/>
  <c r="CJ1" i="13"/>
  <c r="CI6" i="13"/>
  <c r="CH25" i="13"/>
  <c r="CH11" i="13"/>
  <c r="CI2" i="13"/>
  <c r="CH5" i="13"/>
  <c r="N21" i="15"/>
  <c r="O16" i="15"/>
  <c r="O19" i="15" s="1"/>
  <c r="BG39" i="7"/>
  <c r="BN67" i="6"/>
  <c r="BN68" i="6" s="1"/>
  <c r="BN4" i="11" a="1"/>
  <c r="BN4" i="11" s="1"/>
  <c r="BN5" i="11" s="1"/>
  <c r="AV24" i="15" a="1"/>
  <c r="AV24" i="15" s="1"/>
  <c r="BN66" i="12"/>
  <c r="BN74" i="12" s="1"/>
  <c r="BN84" i="12" s="1"/>
  <c r="BN86" i="12" s="1"/>
  <c r="BM14" i="12"/>
  <c r="BM15" i="12" s="1"/>
  <c r="BM17" i="12"/>
  <c r="BM18" i="12" s="1"/>
  <c r="BL19" i="11"/>
  <c r="BL20" i="11" s="1"/>
  <c r="BL87" i="11" s="1"/>
  <c r="BL97" i="11" s="1"/>
  <c r="BL156" i="11" s="1"/>
  <c r="BM19" i="12" l="1"/>
  <c r="BM20" i="12" s="1"/>
  <c r="BM87" i="12" s="1"/>
  <c r="BM97" i="12" s="1"/>
  <c r="BM156" i="12" s="1"/>
  <c r="AO80" i="15"/>
  <c r="AO12" i="15" s="1"/>
  <c r="BM19" i="11"/>
  <c r="BM20" i="11" s="1"/>
  <c r="BM87" i="11" s="1"/>
  <c r="BM97" i="11" s="1"/>
  <c r="BM156" i="11" s="1"/>
  <c r="BG48" i="7"/>
  <c r="BS43" i="7"/>
  <c r="CI25" i="13"/>
  <c r="CI11" i="13"/>
  <c r="CI5" i="13"/>
  <c r="CJ2" i="13"/>
  <c r="BB27" i="13"/>
  <c r="BB28" i="13" s="1"/>
  <c r="BG45" i="6"/>
  <c r="BG37" i="6"/>
  <c r="BG52" i="6"/>
  <c r="BG55" i="6" s="1"/>
  <c r="BG18" i="6"/>
  <c r="BG21" i="6" s="1"/>
  <c r="BG39" i="6"/>
  <c r="BO67" i="6"/>
  <c r="BO68" i="6" s="1"/>
  <c r="BO4" i="11" a="1"/>
  <c r="BO4" i="11" s="1"/>
  <c r="BO5" i="11" s="1"/>
  <c r="AW24" i="15" a="1"/>
  <c r="AW24" i="15" s="1"/>
  <c r="AQ117" i="15"/>
  <c r="CJ6" i="13"/>
  <c r="CK1" i="13"/>
  <c r="CJ26" i="13"/>
  <c r="BK9" i="13"/>
  <c r="BL4" i="13" s="1"/>
  <c r="BO66" i="12"/>
  <c r="BO74" i="12" s="1"/>
  <c r="BO84" i="12" s="1"/>
  <c r="BO86" i="12" s="1"/>
  <c r="BN14" i="12"/>
  <c r="BN15" i="12" s="1"/>
  <c r="BN17" i="12"/>
  <c r="BN18" i="12" s="1"/>
  <c r="BH54" i="7"/>
  <c r="BO67" i="7"/>
  <c r="BO68" i="7" s="1"/>
  <c r="BO4" i="12" a="1"/>
  <c r="BO4" i="12" s="1"/>
  <c r="BO5" i="12" s="1"/>
  <c r="BG40" i="7"/>
  <c r="BG64" i="7"/>
  <c r="BG65" i="7" s="1"/>
  <c r="P16" i="15"/>
  <c r="P19" i="15" s="1"/>
  <c r="O21" i="15"/>
  <c r="N22" i="15"/>
  <c r="N25" i="15" s="1"/>
  <c r="AF128" i="11" a="1"/>
  <c r="AF128" i="11" s="1"/>
  <c r="AF128" i="12" a="1"/>
  <c r="AF128" i="12" s="1"/>
  <c r="AS114" i="15"/>
  <c r="BO66" i="11"/>
  <c r="BO74" i="11" s="1"/>
  <c r="BN79" i="11"/>
  <c r="BN81" i="11" s="1"/>
  <c r="BN83" i="11" s="1"/>
  <c r="BN84" i="11" s="1"/>
  <c r="BN86" i="11" s="1"/>
  <c r="BN14" i="11"/>
  <c r="BN15" i="11" s="1"/>
  <c r="BN17" i="11"/>
  <c r="BN18" i="11" s="1"/>
  <c r="BH20" i="7"/>
  <c r="AO13" i="15"/>
  <c r="AP8" i="15" s="1"/>
  <c r="BN19" i="12" l="1"/>
  <c r="BN20" i="12" s="1"/>
  <c r="BN87" i="12" s="1"/>
  <c r="BN97" i="12" s="1"/>
  <c r="BN156" i="12" s="1"/>
  <c r="BP67" i="6"/>
  <c r="BP68" i="6" s="1"/>
  <c r="BP4" i="11" a="1"/>
  <c r="BP4" i="11" s="1"/>
  <c r="BP5" i="11" s="1"/>
  <c r="BH45" i="7"/>
  <c r="BH18" i="7"/>
  <c r="BH21" i="7" s="1"/>
  <c r="BH52" i="7"/>
  <c r="BH55" i="7" s="1"/>
  <c r="BH37" i="7"/>
  <c r="AT114" i="15"/>
  <c r="O22" i="15"/>
  <c r="O25" i="15" s="1"/>
  <c r="AG128" i="11" a="1"/>
  <c r="AG128" i="11" s="1"/>
  <c r="AG128" i="12" a="1"/>
  <c r="AG128" i="12" s="1"/>
  <c r="BG48" i="6"/>
  <c r="AP10" i="15" s="1" a="1"/>
  <c r="AP10" i="15" s="1"/>
  <c r="AP119" i="15" s="1"/>
  <c r="BS43" i="6"/>
  <c r="BP66" i="12"/>
  <c r="BP74" i="12" s="1"/>
  <c r="BP84" i="12" s="1"/>
  <c r="BP86" i="12" s="1"/>
  <c r="BO17" i="12"/>
  <c r="BO18" i="12" s="1"/>
  <c r="BO14" i="12"/>
  <c r="BO15" i="12" s="1"/>
  <c r="BL7" i="13"/>
  <c r="BL8" i="13" s="1"/>
  <c r="BB29" i="13"/>
  <c r="BC24" i="13" s="1"/>
  <c r="BN19" i="11"/>
  <c r="BN20" i="11" s="1"/>
  <c r="BN87" i="11" s="1"/>
  <c r="BN97" i="11" s="1"/>
  <c r="BN156" i="11" s="1"/>
  <c r="CJ25" i="13"/>
  <c r="CJ11" i="13"/>
  <c r="CK2" i="13"/>
  <c r="CJ5" i="13"/>
  <c r="BG40" i="6"/>
  <c r="BG64" i="6"/>
  <c r="BG65" i="6" s="1"/>
  <c r="BH39" i="7"/>
  <c r="AR117" i="15"/>
  <c r="AF161" i="11"/>
  <c r="AF130" i="11"/>
  <c r="AF131" i="11" s="1"/>
  <c r="P21" i="15"/>
  <c r="Q16" i="15"/>
  <c r="Q19" i="15" s="1"/>
  <c r="AF161" i="12"/>
  <c r="AF163" i="12" s="1"/>
  <c r="AF130" i="12"/>
  <c r="AF131" i="12" s="1"/>
  <c r="BH54" i="6"/>
  <c r="CK6" i="13"/>
  <c r="CK26" i="13"/>
  <c r="CL1" i="13"/>
  <c r="BH20" i="6"/>
  <c r="BP67" i="7"/>
  <c r="BP68" i="7" s="1"/>
  <c r="BP4" i="12" a="1"/>
  <c r="BP4" i="12" s="1"/>
  <c r="BP5" i="12" s="1"/>
  <c r="BP66" i="11"/>
  <c r="BP74" i="11" s="1"/>
  <c r="BO79" i="11"/>
  <c r="BO81" i="11" s="1"/>
  <c r="BO83" i="11" s="1"/>
  <c r="BO84" i="11" s="1"/>
  <c r="BO86" i="11" s="1"/>
  <c r="BO14" i="11"/>
  <c r="BO15" i="11" s="1"/>
  <c r="BO17" i="11"/>
  <c r="BO18" i="11" s="1"/>
  <c r="BO19" i="11" l="1"/>
  <c r="BO20" i="11" s="1"/>
  <c r="BO87" i="11" s="1"/>
  <c r="BO97" i="11" s="1"/>
  <c r="BO156" i="11" s="1"/>
  <c r="BQ67" i="7"/>
  <c r="BQ68" i="7" s="1"/>
  <c r="BQ4" i="12" a="1"/>
  <c r="BQ4" i="12" s="1"/>
  <c r="BQ5" i="12" s="1"/>
  <c r="BQ67" i="6"/>
  <c r="BQ68" i="6" s="1"/>
  <c r="BQ4" i="11" a="1"/>
  <c r="BQ4" i="11" s="1"/>
  <c r="BQ5" i="11" s="1"/>
  <c r="AG161" i="11"/>
  <c r="AG130" i="11"/>
  <c r="AG131" i="11" s="1"/>
  <c r="AU114" i="15"/>
  <c r="CK11" i="13"/>
  <c r="CL2" i="13"/>
  <c r="CK5" i="13"/>
  <c r="CK25" i="13"/>
  <c r="BH39" i="6"/>
  <c r="BI54" i="7"/>
  <c r="AQ119" i="15"/>
  <c r="AP80" i="15"/>
  <c r="AP12" i="15" s="1"/>
  <c r="AP13" i="15" s="1"/>
  <c r="AQ8" i="15" s="1"/>
  <c r="BQ66" i="12"/>
  <c r="BQ74" i="12" s="1"/>
  <c r="BQ84" i="12" s="1"/>
  <c r="BQ86" i="12" s="1"/>
  <c r="BP17" i="12"/>
  <c r="BP18" i="12" s="1"/>
  <c r="BP14" i="12"/>
  <c r="BP15" i="12" s="1"/>
  <c r="BH40" i="7"/>
  <c r="BH64" i="7"/>
  <c r="BH65" i="7" s="1"/>
  <c r="R16" i="15"/>
  <c r="R19" i="15" s="1"/>
  <c r="Q21" i="15"/>
  <c r="BC27" i="13"/>
  <c r="BC28" i="13" s="1"/>
  <c r="BI20" i="7"/>
  <c r="BH45" i="6"/>
  <c r="BH37" i="6"/>
  <c r="BH52" i="6"/>
  <c r="BH55" i="6" s="1"/>
  <c r="BH18" i="6"/>
  <c r="BH21" i="6" s="1"/>
  <c r="P22" i="15"/>
  <c r="P25" i="15" s="1"/>
  <c r="AH128" i="11" a="1"/>
  <c r="AH128" i="11" s="1"/>
  <c r="AH128" i="12" a="1"/>
  <c r="AH128" i="12" s="1"/>
  <c r="BH48" i="7"/>
  <c r="BT43" i="7"/>
  <c r="BL9" i="13"/>
  <c r="BM4" i="13" s="1"/>
  <c r="BQ66" i="11"/>
  <c r="BQ74" i="11" s="1"/>
  <c r="BP14" i="11"/>
  <c r="BP15" i="11" s="1"/>
  <c r="BP17" i="11"/>
  <c r="BP18" i="11" s="1"/>
  <c r="BP79" i="11"/>
  <c r="BP81" i="11" s="1"/>
  <c r="BP83" i="11" s="1"/>
  <c r="BP84" i="11" s="1"/>
  <c r="BP86" i="11" s="1"/>
  <c r="BO19" i="12"/>
  <c r="BO20" i="12" s="1"/>
  <c r="BO87" i="12" s="1"/>
  <c r="BO97" i="12" s="1"/>
  <c r="BO156" i="12" s="1"/>
  <c r="AG161" i="12"/>
  <c r="AG163" i="12" s="1"/>
  <c r="AG130" i="12"/>
  <c r="AG131" i="12" s="1"/>
  <c r="G34" i="5" a="1"/>
  <c r="G34" i="5" s="1"/>
  <c r="G28" i="5" a="1"/>
  <c r="G28" i="5" s="1"/>
  <c r="G29" i="5" s="1"/>
  <c r="AF163" i="11"/>
  <c r="CL6" i="13"/>
  <c r="CL26" i="13"/>
  <c r="CM1" i="13"/>
  <c r="AS117" i="15"/>
  <c r="BP19" i="11" l="1"/>
  <c r="BP20" i="11" s="1"/>
  <c r="BP87" i="11" s="1"/>
  <c r="BP97" i="11" s="1"/>
  <c r="BP156" i="11" s="1"/>
  <c r="BP19" i="12"/>
  <c r="BP20" i="12" s="1"/>
  <c r="BP87" i="12" s="1"/>
  <c r="BP97" i="12" s="1"/>
  <c r="BP156" i="12" s="1"/>
  <c r="BR67" i="6"/>
  <c r="BR68" i="6" s="1"/>
  <c r="BR4" i="11" a="1"/>
  <c r="BR4" i="11" s="1"/>
  <c r="BR5" i="11" s="1"/>
  <c r="R21" i="15"/>
  <c r="S16" i="15"/>
  <c r="S19" i="15" s="1"/>
  <c r="BI45" i="7"/>
  <c r="BI18" i="7"/>
  <c r="BI21" i="7" s="1"/>
  <c r="BI52" i="7"/>
  <c r="BI55" i="7" s="1"/>
  <c r="BI37" i="7"/>
  <c r="AV114" i="15"/>
  <c r="CL11" i="13"/>
  <c r="CL25" i="13"/>
  <c r="CL5" i="13"/>
  <c r="CM2" i="13"/>
  <c r="AH161" i="11"/>
  <c r="AH130" i="11"/>
  <c r="AH131" i="11" s="1"/>
  <c r="AH141" i="11" s="1"/>
  <c r="AH161" i="12"/>
  <c r="AH163" i="12" s="1"/>
  <c r="AH164" i="12" s="1"/>
  <c r="AH130" i="12"/>
  <c r="AH131" i="12" s="1"/>
  <c r="AH141" i="12" s="1"/>
  <c r="H34" i="5" a="1"/>
  <c r="H34" i="5" s="1"/>
  <c r="H28" i="5" a="1"/>
  <c r="H28" i="5" s="1"/>
  <c r="H29" i="5" s="1"/>
  <c r="AG163" i="11"/>
  <c r="BM9" i="13"/>
  <c r="BN4" i="13" s="1"/>
  <c r="BM7" i="13"/>
  <c r="BM8" i="13" s="1"/>
  <c r="BI20" i="6"/>
  <c r="BI54" i="6"/>
  <c r="BH48" i="6"/>
  <c r="AQ10" i="15" s="1" a="1"/>
  <c r="AQ10" i="15" s="1"/>
  <c r="AQ120" i="15" s="1"/>
  <c r="AR120" i="15" s="1"/>
  <c r="AS120" i="15" s="1"/>
  <c r="AT120" i="15" s="1"/>
  <c r="AU120" i="15" s="1"/>
  <c r="AV120" i="15" s="1"/>
  <c r="AW120" i="15" s="1"/>
  <c r="AX120" i="15" s="1"/>
  <c r="AY120" i="15" s="1"/>
  <c r="AZ120" i="15" s="1"/>
  <c r="BA120" i="15" s="1"/>
  <c r="BB120" i="15" s="1"/>
  <c r="BT43" i="6"/>
  <c r="BR66" i="11"/>
  <c r="BR74" i="11" s="1"/>
  <c r="BQ79" i="11"/>
  <c r="BQ81" i="11" s="1"/>
  <c r="BQ83" i="11" s="1"/>
  <c r="BQ84" i="11" s="1"/>
  <c r="BQ86" i="11" s="1"/>
  <c r="BQ17" i="11"/>
  <c r="BQ18" i="11" s="1"/>
  <c r="BQ14" i="11"/>
  <c r="BQ15" i="11" s="1"/>
  <c r="Q22" i="15"/>
  <c r="Q25" i="15" s="1"/>
  <c r="AI128" i="11" a="1"/>
  <c r="AI128" i="11" s="1"/>
  <c r="AI128" i="12" a="1"/>
  <c r="AI128" i="12" s="1"/>
  <c r="BH40" i="6"/>
  <c r="BH64" i="6"/>
  <c r="BH65" i="6" s="1"/>
  <c r="BR66" i="12"/>
  <c r="BR74" i="12" s="1"/>
  <c r="BR84" i="12" s="1"/>
  <c r="BR86" i="12" s="1"/>
  <c r="BQ14" i="12"/>
  <c r="BQ15" i="12" s="1"/>
  <c r="BQ17" i="12"/>
  <c r="BQ18" i="12" s="1"/>
  <c r="BR67" i="7"/>
  <c r="BR68" i="7" s="1"/>
  <c r="BR4" i="12" a="1"/>
  <c r="BR4" i="12" s="1"/>
  <c r="BR5" i="12" s="1"/>
  <c r="BI39" i="7"/>
  <c r="AR119" i="15"/>
  <c r="AT117" i="15"/>
  <c r="CM26" i="13"/>
  <c r="CM6" i="13"/>
  <c r="CN1" i="13"/>
  <c r="BC29" i="13"/>
  <c r="BD24" i="13" s="1"/>
  <c r="BQ19" i="12" l="1"/>
  <c r="BQ20" i="12" s="1"/>
  <c r="BQ87" i="12" s="1"/>
  <c r="BQ97" i="12" s="1"/>
  <c r="BQ156" i="12" s="1"/>
  <c r="AQ80" i="15"/>
  <c r="AQ12" i="15" s="1"/>
  <c r="AQ13" i="15" s="1"/>
  <c r="AR8" i="15" s="1"/>
  <c r="BS67" i="6"/>
  <c r="BS68" i="6" s="1"/>
  <c r="BS4" i="11" a="1"/>
  <c r="BS4" i="11" s="1"/>
  <c r="BS5" i="11" s="1"/>
  <c r="AI161" i="11"/>
  <c r="AI130" i="11"/>
  <c r="AI131" i="11" s="1"/>
  <c r="AI141" i="11" s="1"/>
  <c r="BJ54" i="7"/>
  <c r="AU117" i="15"/>
  <c r="AS119" i="15"/>
  <c r="BI40" i="7"/>
  <c r="BI64" i="7"/>
  <c r="BI65" i="7" s="1"/>
  <c r="BS67" i="7"/>
  <c r="BS68" i="7" s="1"/>
  <c r="BS4" i="12" a="1"/>
  <c r="BS4" i="12" s="1"/>
  <c r="BS5" i="12" s="1"/>
  <c r="S21" i="15"/>
  <c r="T16" i="15"/>
  <c r="T19" i="15" s="1"/>
  <c r="R22" i="15"/>
  <c r="R25" i="15" s="1"/>
  <c r="AJ128" i="11" a="1"/>
  <c r="AJ128" i="11" s="1"/>
  <c r="AJ128" i="12" a="1"/>
  <c r="AJ128" i="12" s="1"/>
  <c r="AI161" i="12"/>
  <c r="AI163" i="12" s="1"/>
  <c r="AI164" i="12" s="1"/>
  <c r="AI181" i="12" s="1"/>
  <c r="AI130" i="12"/>
  <c r="AI131" i="12" s="1"/>
  <c r="AI141" i="12" s="1"/>
  <c r="BI48" i="7"/>
  <c r="BU43" i="7"/>
  <c r="BQ19" i="11"/>
  <c r="BQ20" i="11" s="1"/>
  <c r="BQ87" i="11" s="1"/>
  <c r="BQ97" i="11" s="1"/>
  <c r="BQ156" i="11" s="1"/>
  <c r="BI45" i="6"/>
  <c r="BI37" i="6"/>
  <c r="BI52" i="6"/>
  <c r="BI55" i="6" s="1"/>
  <c r="BI18" i="6"/>
  <c r="BI21" i="6" s="1"/>
  <c r="BI39" i="6"/>
  <c r="BJ20" i="7"/>
  <c r="BS66" i="11"/>
  <c r="BS74" i="11" s="1"/>
  <c r="BR79" i="11"/>
  <c r="BR81" i="11" s="1"/>
  <c r="BR83" i="11" s="1"/>
  <c r="BR84" i="11" s="1"/>
  <c r="BR86" i="11" s="1"/>
  <c r="BR17" i="11"/>
  <c r="BR18" i="11" s="1"/>
  <c r="BR14" i="11"/>
  <c r="BR15" i="11" s="1"/>
  <c r="BS66" i="12"/>
  <c r="BS74" i="12" s="1"/>
  <c r="BS84" i="12" s="1"/>
  <c r="BS86" i="12" s="1"/>
  <c r="BR14" i="12"/>
  <c r="BR15" i="12" s="1"/>
  <c r="BR17" i="12"/>
  <c r="BR18" i="12" s="1"/>
  <c r="BD27" i="13"/>
  <c r="BD28" i="13" s="1"/>
  <c r="CN26" i="13"/>
  <c r="CN6" i="13"/>
  <c r="CO1" i="13"/>
  <c r="I28" i="5" a="1"/>
  <c r="I28" i="5" s="1"/>
  <c r="I29" i="5" s="1"/>
  <c r="I34" i="5" a="1"/>
  <c r="I34" i="5" s="1"/>
  <c r="AH163" i="11"/>
  <c r="BN7" i="13"/>
  <c r="BN8" i="13" s="1"/>
  <c r="CM25" i="13"/>
  <c r="CM11" i="13"/>
  <c r="CM5" i="13"/>
  <c r="CN2" i="13"/>
  <c r="BR19" i="12" l="1"/>
  <c r="BR20" i="12" s="1"/>
  <c r="BR87" i="12" s="1"/>
  <c r="BR97" i="12" s="1"/>
  <c r="BR156" i="12" s="1"/>
  <c r="BR19" i="11"/>
  <c r="BR20" i="11" s="1"/>
  <c r="BR87" i="11" s="1"/>
  <c r="BR97" i="11" s="1"/>
  <c r="BR156" i="11" s="1"/>
  <c r="BT67" i="7"/>
  <c r="BT68" i="7" s="1"/>
  <c r="BT4" i="12" a="1"/>
  <c r="BT4" i="12" s="1"/>
  <c r="BT5" i="12" s="1"/>
  <c r="BI40" i="6"/>
  <c r="BI64" i="6"/>
  <c r="BI65" i="6" s="1"/>
  <c r="AH164" i="11"/>
  <c r="I23" i="5" s="1" a="1"/>
  <c r="I23" i="5" s="1"/>
  <c r="AV117" i="15"/>
  <c r="BJ39" i="7"/>
  <c r="AT119" i="15"/>
  <c r="CO26" i="13"/>
  <c r="CO6" i="13"/>
  <c r="CP1" i="13"/>
  <c r="AJ161" i="12"/>
  <c r="AJ163" i="12" s="1"/>
  <c r="AJ164" i="12" s="1"/>
  <c r="AJ181" i="12" s="1"/>
  <c r="AJ130" i="12"/>
  <c r="AJ131" i="12" s="1"/>
  <c r="AJ141" i="12" s="1"/>
  <c r="BJ54" i="6"/>
  <c r="BN9" i="13"/>
  <c r="BO4" i="13" s="1"/>
  <c r="AJ161" i="11"/>
  <c r="AJ130" i="11"/>
  <c r="AJ131" i="11" s="1"/>
  <c r="AJ141" i="11" s="1"/>
  <c r="BI48" i="6"/>
  <c r="AR10" i="15" s="1" a="1"/>
  <c r="AR10" i="15" s="1"/>
  <c r="AR121" i="15" s="1"/>
  <c r="BU43" i="6"/>
  <c r="BD29" i="13"/>
  <c r="BE24" i="13" s="1"/>
  <c r="J34" i="5" a="1"/>
  <c r="J34" i="5" s="1"/>
  <c r="J28" i="5" a="1"/>
  <c r="J28" i="5" s="1"/>
  <c r="J29" i="5" s="1"/>
  <c r="AI163" i="11"/>
  <c r="T21" i="15"/>
  <c r="U16" i="15"/>
  <c r="U19" i="15" s="1"/>
  <c r="BT66" i="11"/>
  <c r="BT74" i="11" s="1"/>
  <c r="BS17" i="11"/>
  <c r="BS18" i="11" s="1"/>
  <c r="BS14" i="11"/>
  <c r="BS15" i="11" s="1"/>
  <c r="BS79" i="11"/>
  <c r="BS81" i="11" s="1"/>
  <c r="BS83" i="11" s="1"/>
  <c r="BS84" i="11" s="1"/>
  <c r="BS86" i="11" s="1"/>
  <c r="BJ45" i="7"/>
  <c r="BJ18" i="7"/>
  <c r="BJ21" i="7" s="1"/>
  <c r="BJ52" i="7"/>
  <c r="BJ55" i="7" s="1"/>
  <c r="BJ37" i="7"/>
  <c r="CN5" i="13"/>
  <c r="CN25" i="13"/>
  <c r="CN11" i="13"/>
  <c r="CO2" i="13"/>
  <c r="S22" i="15"/>
  <c r="S25" i="15" s="1"/>
  <c r="AK128" i="11" a="1"/>
  <c r="AK128" i="11" s="1"/>
  <c r="AK128" i="12" a="1"/>
  <c r="AK128" i="12" s="1"/>
  <c r="BJ20" i="6"/>
  <c r="BT66" i="12"/>
  <c r="BT74" i="12" s="1"/>
  <c r="BT84" i="12" s="1"/>
  <c r="BT86" i="12" s="1"/>
  <c r="BS17" i="12"/>
  <c r="BS18" i="12" s="1"/>
  <c r="BS14" i="12"/>
  <c r="BS15" i="12" s="1"/>
  <c r="BT67" i="6"/>
  <c r="BT68" i="6" s="1"/>
  <c r="BT4" i="11" a="1"/>
  <c r="BT4" i="11" s="1"/>
  <c r="BT5" i="11" s="1"/>
  <c r="BS19" i="12" l="1"/>
  <c r="BS20" i="12" s="1"/>
  <c r="BS87" i="12" s="1"/>
  <c r="BS97" i="12" s="1"/>
  <c r="BS156" i="12" s="1"/>
  <c r="BU67" i="7"/>
  <c r="BU68" i="7" s="1"/>
  <c r="BU4" i="12" a="1"/>
  <c r="BU4" i="12" s="1"/>
  <c r="BU5" i="12" s="1"/>
  <c r="BK20" i="7"/>
  <c r="BO7" i="13"/>
  <c r="BO8" i="13" s="1"/>
  <c r="AU119" i="15"/>
  <c r="AW117" i="15"/>
  <c r="BS19" i="11"/>
  <c r="BS20" i="11" s="1"/>
  <c r="BS87" i="11" s="1"/>
  <c r="BS97" i="11" s="1"/>
  <c r="BS156" i="11" s="1"/>
  <c r="AS121" i="15"/>
  <c r="AT121" i="15" s="1"/>
  <c r="AU121" i="15" s="1"/>
  <c r="AV121" i="15" s="1"/>
  <c r="AW121" i="15" s="1"/>
  <c r="AX121" i="15" s="1"/>
  <c r="AY121" i="15" s="1"/>
  <c r="AZ121" i="15" s="1"/>
  <c r="BA121" i="15" s="1"/>
  <c r="BB121" i="15" s="1"/>
  <c r="BC121" i="15" s="1"/>
  <c r="AR80" i="15"/>
  <c r="AR12" i="15" s="1"/>
  <c r="AR13" i="15" s="1"/>
  <c r="AS8" i="15" s="1"/>
  <c r="K28" i="5" a="1"/>
  <c r="K28" i="5" s="1"/>
  <c r="K29" i="5" s="1"/>
  <c r="K34" i="5" a="1"/>
  <c r="K34" i="5" s="1"/>
  <c r="AJ163" i="11"/>
  <c r="BJ45" i="6"/>
  <c r="BJ37" i="6"/>
  <c r="BJ52" i="6"/>
  <c r="BJ55" i="6" s="1"/>
  <c r="BJ18" i="6"/>
  <c r="BJ21" i="6" s="1"/>
  <c r="BU67" i="6"/>
  <c r="BU68" i="6" s="1"/>
  <c r="BU4" i="11" a="1"/>
  <c r="BU4" i="11" s="1"/>
  <c r="BU5" i="11" s="1"/>
  <c r="BJ40" i="7"/>
  <c r="BJ64" i="7"/>
  <c r="BJ65" i="7" s="1"/>
  <c r="AK161" i="11"/>
  <c r="AK130" i="11"/>
  <c r="AK131" i="11" s="1"/>
  <c r="AK141" i="11" s="1"/>
  <c r="U21" i="15"/>
  <c r="V16" i="15"/>
  <c r="V19" i="15" s="1"/>
  <c r="BJ39" i="6"/>
  <c r="T22" i="15"/>
  <c r="T25" i="15" s="1"/>
  <c r="AL128" i="11" a="1"/>
  <c r="AL128" i="11" s="1"/>
  <c r="AL128" i="12" a="1"/>
  <c r="AL128" i="12" s="1"/>
  <c r="BU66" i="12"/>
  <c r="BU74" i="12" s="1"/>
  <c r="BU84" i="12" s="1"/>
  <c r="BU86" i="12" s="1"/>
  <c r="BT14" i="12"/>
  <c r="BT15" i="12" s="1"/>
  <c r="BT17" i="12"/>
  <c r="BT18" i="12" s="1"/>
  <c r="CO25" i="13"/>
  <c r="CO5" i="13"/>
  <c r="CP2" i="13"/>
  <c r="CO11" i="13"/>
  <c r="CP26" i="13"/>
  <c r="CP6" i="13"/>
  <c r="CQ1" i="13"/>
  <c r="AI164" i="11"/>
  <c r="J35" i="5" a="1"/>
  <c r="J35" i="5" s="1"/>
  <c r="J36" i="5" s="1"/>
  <c r="BE27" i="13"/>
  <c r="BE28" i="13" s="1"/>
  <c r="BJ48" i="7"/>
  <c r="BV43" i="7"/>
  <c r="AK161" i="12"/>
  <c r="AK163" i="12" s="1"/>
  <c r="AK164" i="12" s="1"/>
  <c r="AK181" i="12" s="1"/>
  <c r="AK130" i="12"/>
  <c r="AK131" i="12" s="1"/>
  <c r="AK141" i="12" s="1"/>
  <c r="BK54" i="7"/>
  <c r="BU66" i="11"/>
  <c r="BU74" i="11" s="1"/>
  <c r="BT79" i="11"/>
  <c r="BT81" i="11" s="1"/>
  <c r="BT83" i="11" s="1"/>
  <c r="BT84" i="11" s="1"/>
  <c r="BT86" i="11" s="1"/>
  <c r="BT14" i="11"/>
  <c r="BT15" i="11" s="1"/>
  <c r="BT17" i="11"/>
  <c r="BT18" i="11" s="1"/>
  <c r="J23" i="5" l="1" a="1"/>
  <c r="J23" i="5" s="1"/>
  <c r="AI181" i="11"/>
  <c r="J24" i="5" s="1" a="1"/>
  <c r="J24" i="5" s="1"/>
  <c r="J38" i="5" s="1"/>
  <c r="BT19" i="12"/>
  <c r="BT20" i="12" s="1"/>
  <c r="BT87" i="12" s="1"/>
  <c r="BT97" i="12" s="1"/>
  <c r="BT156" i="12" s="1"/>
  <c r="BV67" i="6"/>
  <c r="BV68" i="6" s="1"/>
  <c r="BW4" i="11" s="1" a="1"/>
  <c r="BW4" i="11" s="1"/>
  <c r="BW5" i="11" s="1"/>
  <c r="BV4" i="11" a="1"/>
  <c r="BV4" i="11" s="1"/>
  <c r="BV5" i="11" s="1"/>
  <c r="BV67" i="7"/>
  <c r="BV68" i="7" s="1"/>
  <c r="BW4" i="12" s="1" a="1"/>
  <c r="BW4" i="12" s="1"/>
  <c r="BW5" i="12" s="1"/>
  <c r="BV4" i="12" a="1"/>
  <c r="BV4" i="12" s="1"/>
  <c r="BV5" i="12" s="1"/>
  <c r="L28" i="5" a="1"/>
  <c r="L28" i="5" s="1"/>
  <c r="L29" i="5" s="1"/>
  <c r="L34" i="5" a="1"/>
  <c r="L34" i="5" s="1"/>
  <c r="AK163" i="11"/>
  <c r="BK39" i="7"/>
  <c r="AV119" i="15"/>
  <c r="BE29" i="13"/>
  <c r="BF24" i="13" s="1"/>
  <c r="BK54" i="6"/>
  <c r="BK45" i="7"/>
  <c r="BK48" i="7" s="1"/>
  <c r="BK18" i="7"/>
  <c r="BK21" i="7" s="1"/>
  <c r="BK37" i="7"/>
  <c r="BK52" i="7"/>
  <c r="BK55" i="7" s="1"/>
  <c r="AL161" i="11"/>
  <c r="AL130" i="11"/>
  <c r="AL131" i="11" s="1"/>
  <c r="AL141" i="11" s="1"/>
  <c r="BJ40" i="6"/>
  <c r="BJ64" i="6"/>
  <c r="BJ65" i="6" s="1"/>
  <c r="BO9" i="13"/>
  <c r="BP4" i="13" s="1"/>
  <c r="BT19" i="11"/>
  <c r="BT20" i="11" s="1"/>
  <c r="BT87" i="11" s="1"/>
  <c r="BT97" i="11" s="1"/>
  <c r="BT156" i="11" s="1"/>
  <c r="CQ26" i="13"/>
  <c r="CQ6" i="13"/>
  <c r="CR1" i="13"/>
  <c r="BJ48" i="6"/>
  <c r="AS10" i="15" s="1" a="1"/>
  <c r="AS10" i="15" s="1"/>
  <c r="AS122" i="15" s="1"/>
  <c r="BV43" i="6"/>
  <c r="CP25" i="13"/>
  <c r="CP5" i="13"/>
  <c r="CQ2" i="13"/>
  <c r="CP11" i="13"/>
  <c r="BV66" i="11"/>
  <c r="BV74" i="11" s="1"/>
  <c r="BU79" i="11"/>
  <c r="BU81" i="11" s="1"/>
  <c r="BU83" i="11" s="1"/>
  <c r="BU84" i="11" s="1"/>
  <c r="BU86" i="11" s="1"/>
  <c r="BU14" i="11"/>
  <c r="BU15" i="11" s="1"/>
  <c r="BU17" i="11"/>
  <c r="BU18" i="11" s="1"/>
  <c r="BK20" i="6"/>
  <c r="BV66" i="12"/>
  <c r="BV74" i="12" s="1"/>
  <c r="BV84" i="12" s="1"/>
  <c r="BV86" i="12" s="1"/>
  <c r="BU17" i="12"/>
  <c r="BU18" i="12" s="1"/>
  <c r="BU14" i="12"/>
  <c r="BU15" i="12" s="1"/>
  <c r="V21" i="15"/>
  <c r="W16" i="15"/>
  <c r="W19" i="15" s="1"/>
  <c r="AJ164" i="11"/>
  <c r="K35" i="5" a="1"/>
  <c r="K35" i="5" s="1"/>
  <c r="K36" i="5" s="1"/>
  <c r="AX117" i="15"/>
  <c r="AY117" i="15" s="1"/>
  <c r="AL161" i="12"/>
  <c r="AL163" i="12" s="1"/>
  <c r="AL164" i="12" s="1"/>
  <c r="AL181" i="12" s="1"/>
  <c r="AL130" i="12"/>
  <c r="AL131" i="12" s="1"/>
  <c r="AL141" i="12" s="1"/>
  <c r="U22" i="15"/>
  <c r="U25" i="15" s="1"/>
  <c r="AM128" i="11" a="1"/>
  <c r="AM128" i="11" s="1"/>
  <c r="AM128" i="12" a="1"/>
  <c r="AM128" i="12" s="1"/>
  <c r="BU19" i="11" l="1"/>
  <c r="BU20" i="11" s="1"/>
  <c r="K23" i="5" a="1"/>
  <c r="K23" i="5" s="1"/>
  <c r="AJ181" i="11"/>
  <c r="K24" i="5" s="1" a="1"/>
  <c r="K24" i="5" s="1"/>
  <c r="K38" i="5" s="1"/>
  <c r="BU19" i="12"/>
  <c r="BU20" i="12" s="1"/>
  <c r="BU87" i="12" s="1"/>
  <c r="BU97" i="12" s="1"/>
  <c r="BU156" i="12" s="1"/>
  <c r="BU87" i="11"/>
  <c r="BU97" i="11" s="1"/>
  <c r="BU156" i="11" s="1"/>
  <c r="BW14" i="12"/>
  <c r="BW15" i="12" s="1"/>
  <c r="BW17" i="12"/>
  <c r="BW18" i="12" s="1"/>
  <c r="N117" i="4"/>
  <c r="BK45" i="6"/>
  <c r="BK48" i="6" s="1"/>
  <c r="AT10" i="15" s="1" a="1"/>
  <c r="AT10" i="15" s="1"/>
  <c r="AT123" i="15" s="1"/>
  <c r="BK37" i="6"/>
  <c r="BK52" i="6"/>
  <c r="BK55" i="6" s="1"/>
  <c r="BK18" i="6"/>
  <c r="BK21" i="6" s="1"/>
  <c r="AK164" i="11"/>
  <c r="L35" i="5" a="1"/>
  <c r="L35" i="5" s="1"/>
  <c r="L36" i="5" s="1"/>
  <c r="AM161" i="11"/>
  <c r="AM130" i="11"/>
  <c r="AM131" i="11" s="1"/>
  <c r="AM141" i="11" s="1"/>
  <c r="BL54" i="7"/>
  <c r="BF27" i="13"/>
  <c r="BF28" i="13" s="1"/>
  <c r="BK39" i="6"/>
  <c r="BW66" i="12"/>
  <c r="BW74" i="12" s="1"/>
  <c r="BW84" i="12" s="1"/>
  <c r="BV17" i="12"/>
  <c r="BV18" i="12" s="1"/>
  <c r="BV14" i="12"/>
  <c r="BV15" i="12" s="1"/>
  <c r="M28" i="5" a="1"/>
  <c r="M28" i="5" s="1"/>
  <c r="M29" i="5" s="1"/>
  <c r="M34" i="5" a="1"/>
  <c r="M34" i="5" s="1"/>
  <c r="AL163" i="11"/>
  <c r="BL20" i="7"/>
  <c r="AW119" i="15"/>
  <c r="V22" i="15"/>
  <c r="V25" i="15" s="1"/>
  <c r="AN128" i="11" a="1"/>
  <c r="AN128" i="11" s="1"/>
  <c r="AN128" i="12" a="1"/>
  <c r="AN128" i="12" s="1"/>
  <c r="BW66" i="11"/>
  <c r="BW74" i="11" s="1"/>
  <c r="BV17" i="11"/>
  <c r="BV18" i="11" s="1"/>
  <c r="BV79" i="11"/>
  <c r="BV81" i="11" s="1"/>
  <c r="BV83" i="11" s="1"/>
  <c r="BV84" i="11" s="1"/>
  <c r="BV86" i="11" s="1"/>
  <c r="BV14" i="11"/>
  <c r="BV15" i="11" s="1"/>
  <c r="CQ5" i="13"/>
  <c r="CQ25" i="13"/>
  <c r="CR2" i="13"/>
  <c r="CQ11" i="13"/>
  <c r="BK40" i="7"/>
  <c r="BK64" i="7"/>
  <c r="BK65" i="7" s="1"/>
  <c r="CR26" i="13"/>
  <c r="CS1" i="13"/>
  <c r="CR6" i="13"/>
  <c r="C13" i="3" a="1"/>
  <c r="C13" i="3" s="1"/>
  <c r="BW79" i="11"/>
  <c r="BW81" i="11" s="1"/>
  <c r="BW83" i="11" s="1"/>
  <c r="BW14" i="11"/>
  <c r="BW15" i="11" s="1"/>
  <c r="G119" i="4" s="1"/>
  <c r="BW17" i="11"/>
  <c r="BW18" i="11" s="1"/>
  <c r="G117" i="4"/>
  <c r="W21" i="15"/>
  <c r="X16" i="15"/>
  <c r="X19" i="15" s="1"/>
  <c r="BP7" i="13"/>
  <c r="BP8" i="13" s="1"/>
  <c r="AT122" i="15"/>
  <c r="AU122" i="15" s="1"/>
  <c r="AV122" i="15" s="1"/>
  <c r="AW122" i="15" s="1"/>
  <c r="AX122" i="15" s="1"/>
  <c r="AY122" i="15" s="1"/>
  <c r="AZ122" i="15" s="1"/>
  <c r="BA122" i="15" s="1"/>
  <c r="BB122" i="15" s="1"/>
  <c r="BC122" i="15" s="1"/>
  <c r="BD122" i="15" s="1"/>
  <c r="AS80" i="15"/>
  <c r="AS12" i="15" s="1"/>
  <c r="AS13" i="15" s="1"/>
  <c r="AT8" i="15" s="1"/>
  <c r="AM161" i="12"/>
  <c r="AM163" i="12" s="1"/>
  <c r="AM164" i="12" s="1"/>
  <c r="AM181" i="12" s="1"/>
  <c r="AM130" i="12"/>
  <c r="AM131" i="12" s="1"/>
  <c r="AM141" i="12" s="1"/>
  <c r="BW84" i="11" l="1"/>
  <c r="L23" i="5" a="1"/>
  <c r="L23" i="5" s="1"/>
  <c r="AK181" i="11"/>
  <c r="L24" i="5" s="1" a="1"/>
  <c r="L24" i="5" s="1"/>
  <c r="L38" i="5" s="1"/>
  <c r="BP9" i="13"/>
  <c r="BQ4" i="13" s="1"/>
  <c r="AX119" i="15"/>
  <c r="AY119" i="15" s="1"/>
  <c r="AZ119" i="15" s="1"/>
  <c r="BA119" i="15" s="1"/>
  <c r="BL20" i="6"/>
  <c r="G144" i="4"/>
  <c r="G145" i="4"/>
  <c r="BV19" i="12"/>
  <c r="BV20" i="12" s="1"/>
  <c r="BV87" i="12" s="1"/>
  <c r="BV97" i="12" s="1"/>
  <c r="BV156" i="12" s="1"/>
  <c r="BL54" i="6"/>
  <c r="BL39" i="7"/>
  <c r="BW19" i="11"/>
  <c r="BW20" i="11" s="1"/>
  <c r="R11" i="4"/>
  <c r="D11" i="4"/>
  <c r="G120" i="4"/>
  <c r="G139" i="4" s="1"/>
  <c r="BV19" i="11"/>
  <c r="BV20" i="11" s="1"/>
  <c r="BV87" i="11" s="1"/>
  <c r="BV97" i="11" s="1"/>
  <c r="BV156" i="11" s="1"/>
  <c r="BK40" i="6"/>
  <c r="BK64" i="6"/>
  <c r="BK65" i="6" s="1"/>
  <c r="C15" i="3"/>
  <c r="C16" i="3" s="1"/>
  <c r="C19" i="3"/>
  <c r="BW86" i="12"/>
  <c r="K127" i="4"/>
  <c r="K18" i="4"/>
  <c r="N127" i="4"/>
  <c r="AL164" i="11"/>
  <c r="M35" i="5" a="1"/>
  <c r="M35" i="5" s="1"/>
  <c r="M36" i="5" s="1"/>
  <c r="N34" i="5" a="1"/>
  <c r="N34" i="5" s="1"/>
  <c r="N28" i="5" a="1"/>
  <c r="N28" i="5" s="1"/>
  <c r="N29" i="5" s="1"/>
  <c r="AM163" i="11"/>
  <c r="W22" i="15"/>
  <c r="W25" i="15" s="1"/>
  <c r="AO128" i="11" a="1"/>
  <c r="AO128" i="11" s="1"/>
  <c r="AO128" i="12" a="1"/>
  <c r="AO128" i="12" s="1"/>
  <c r="BW86" i="11"/>
  <c r="D127" i="4"/>
  <c r="R18" i="4"/>
  <c r="G127" i="4"/>
  <c r="AU123" i="15"/>
  <c r="AV123" i="15" s="1"/>
  <c r="AW123" i="15" s="1"/>
  <c r="AX123" i="15" s="1"/>
  <c r="AY123" i="15" s="1"/>
  <c r="AZ123" i="15" s="1"/>
  <c r="BA123" i="15" s="1"/>
  <c r="BB123" i="15" s="1"/>
  <c r="BC123" i="15" s="1"/>
  <c r="BD123" i="15" s="1"/>
  <c r="BE123" i="15" s="1"/>
  <c r="AT80" i="15"/>
  <c r="AT12" i="15" s="1"/>
  <c r="AT13" i="15" s="1"/>
  <c r="AU8" i="15" s="1"/>
  <c r="N144" i="4"/>
  <c r="N145" i="4"/>
  <c r="CR5" i="13"/>
  <c r="CR25" i="13"/>
  <c r="CS2" i="13"/>
  <c r="CR11" i="13"/>
  <c r="AN161" i="11"/>
  <c r="AN130" i="11"/>
  <c r="AN131" i="11" s="1"/>
  <c r="AN141" i="11" s="1"/>
  <c r="BW19" i="12"/>
  <c r="BW20" i="12" s="1"/>
  <c r="K11" i="4"/>
  <c r="K120" i="4"/>
  <c r="N120" i="4"/>
  <c r="N139" i="4" s="1"/>
  <c r="G138" i="4"/>
  <c r="CS6" i="13"/>
  <c r="CT1" i="13"/>
  <c r="CS26" i="13"/>
  <c r="K10" i="4"/>
  <c r="N119" i="4"/>
  <c r="BL45" i="7"/>
  <c r="BL48" i="7" s="1"/>
  <c r="BL18" i="7"/>
  <c r="BL21" i="7" s="1"/>
  <c r="BL37" i="7"/>
  <c r="BL52" i="7"/>
  <c r="BL55" i="7" s="1"/>
  <c r="X21" i="15"/>
  <c r="Y16" i="15"/>
  <c r="Y19" i="15" s="1"/>
  <c r="AN161" i="12"/>
  <c r="AN163" i="12" s="1"/>
  <c r="AN164" i="12" s="1"/>
  <c r="AN181" i="12" s="1"/>
  <c r="AN130" i="12"/>
  <c r="AN131" i="12" s="1"/>
  <c r="AN141" i="12" s="1"/>
  <c r="BF29" i="13"/>
  <c r="BG24" i="13" s="1"/>
  <c r="M23" i="5" l="1" a="1"/>
  <c r="M23" i="5" s="1"/>
  <c r="AL181" i="11"/>
  <c r="M24" i="5" s="1" a="1"/>
  <c r="M24" i="5" s="1"/>
  <c r="M38" i="5" s="1"/>
  <c r="G121" i="4"/>
  <c r="G140" i="4" s="1"/>
  <c r="C20" i="3"/>
  <c r="C25" i="3" s="1"/>
  <c r="K19" i="4"/>
  <c r="M18" i="4"/>
  <c r="N18" i="4"/>
  <c r="K146" i="4"/>
  <c r="K128" i="4"/>
  <c r="K147" i="4" s="1"/>
  <c r="BG27" i="13"/>
  <c r="BG28" i="13" s="1"/>
  <c r="G146" i="4"/>
  <c r="G128" i="4"/>
  <c r="G147" i="4" s="1"/>
  <c r="T18" i="4"/>
  <c r="U18" i="4"/>
  <c r="R19" i="4"/>
  <c r="Y21" i="15"/>
  <c r="Z16" i="15"/>
  <c r="Z19" i="15" s="1"/>
  <c r="X22" i="15"/>
  <c r="X25" i="15" s="1"/>
  <c r="AP128" i="11" a="1"/>
  <c r="AP128" i="11" s="1"/>
  <c r="AP128" i="12" a="1"/>
  <c r="AP128" i="12" s="1"/>
  <c r="D146" i="4"/>
  <c r="D128" i="4"/>
  <c r="BL45" i="6"/>
  <c r="BL48" i="6" s="1"/>
  <c r="AU10" i="15" s="1" a="1"/>
  <c r="AU10" i="15" s="1"/>
  <c r="AU124" i="15" s="1"/>
  <c r="BL37" i="6"/>
  <c r="BL52" i="6"/>
  <c r="BL55" i="6" s="1"/>
  <c r="BL18" i="6"/>
  <c r="BL21" i="6" s="1"/>
  <c r="G122" i="4"/>
  <c r="M11" i="4"/>
  <c r="N11" i="4"/>
  <c r="BL40" i="7"/>
  <c r="BL64" i="7"/>
  <c r="BL65" i="7" s="1"/>
  <c r="BW87" i="12"/>
  <c r="BW97" i="12" s="1"/>
  <c r="BW156" i="12" s="1"/>
  <c r="BL39" i="6"/>
  <c r="K139" i="4"/>
  <c r="K121" i="4"/>
  <c r="BM54" i="7"/>
  <c r="BM20" i="7"/>
  <c r="AO161" i="12"/>
  <c r="AO163" i="12" s="1"/>
  <c r="AO164" i="12" s="1"/>
  <c r="AO181" i="12" s="1"/>
  <c r="AO130" i="12"/>
  <c r="AO131" i="12" s="1"/>
  <c r="AO141" i="12" s="1"/>
  <c r="N146" i="4"/>
  <c r="N128" i="4"/>
  <c r="N147" i="4" s="1"/>
  <c r="O34" i="5" a="1"/>
  <c r="O34" i="5" s="1"/>
  <c r="O28" i="5" a="1"/>
  <c r="O28" i="5" s="1"/>
  <c r="O29" i="5" s="1"/>
  <c r="AN163" i="11"/>
  <c r="AO161" i="11"/>
  <c r="AO130" i="11"/>
  <c r="AO131" i="11" s="1"/>
  <c r="AO141" i="11" s="1"/>
  <c r="CT26" i="13"/>
  <c r="CT6" i="13"/>
  <c r="CU1" i="13"/>
  <c r="D12" i="4"/>
  <c r="G11" i="4"/>
  <c r="F11" i="4"/>
  <c r="N121" i="4"/>
  <c r="N138" i="4"/>
  <c r="AM164" i="11"/>
  <c r="N35" i="5" a="1"/>
  <c r="N35" i="5" s="1"/>
  <c r="N36" i="5" s="1"/>
  <c r="T11" i="4"/>
  <c r="U11" i="4"/>
  <c r="R12" i="4"/>
  <c r="K12" i="4"/>
  <c r="M10" i="4"/>
  <c r="N10" i="4"/>
  <c r="CS25" i="13"/>
  <c r="CS11" i="13"/>
  <c r="CS5" i="13"/>
  <c r="CT2" i="13"/>
  <c r="BW87" i="11"/>
  <c r="BW97" i="11" s="1"/>
  <c r="BW156" i="11" s="1"/>
  <c r="BQ7" i="13"/>
  <c r="BQ8" i="13" s="1"/>
  <c r="C28" i="3" l="1"/>
  <c r="C29" i="3"/>
  <c r="N23" i="5" a="1"/>
  <c r="N23" i="5" s="1"/>
  <c r="AM181" i="11"/>
  <c r="N24" i="5" s="1" a="1"/>
  <c r="N24" i="5" s="1"/>
  <c r="N38" i="5" s="1"/>
  <c r="Y22" i="15"/>
  <c r="Y25" i="15" s="1"/>
  <c r="AQ128" i="11" a="1"/>
  <c r="AQ128" i="11" s="1"/>
  <c r="AQ128" i="12" a="1"/>
  <c r="AQ128" i="12" s="1"/>
  <c r="BM45" i="7"/>
  <c r="BM48" i="7" s="1"/>
  <c r="BM18" i="7"/>
  <c r="BM21" i="7" s="1"/>
  <c r="BM37" i="7"/>
  <c r="BM52" i="7"/>
  <c r="BM55" i="7" s="1"/>
  <c r="BQ9" i="13"/>
  <c r="BR4" i="13" s="1"/>
  <c r="C33" i="3"/>
  <c r="C32" i="3"/>
  <c r="BM39" i="7"/>
  <c r="N140" i="4"/>
  <c r="N122" i="4"/>
  <c r="BL40" i="6"/>
  <c r="BL64" i="6"/>
  <c r="BL65" i="6" s="1"/>
  <c r="AV124" i="15"/>
  <c r="AW124" i="15" s="1"/>
  <c r="AX124" i="15" s="1"/>
  <c r="AY124" i="15" s="1"/>
  <c r="AZ124" i="15" s="1"/>
  <c r="BA124" i="15" s="1"/>
  <c r="BB124" i="15" s="1"/>
  <c r="BC124" i="15" s="1"/>
  <c r="BD124" i="15" s="1"/>
  <c r="BE124" i="15" s="1"/>
  <c r="BF124" i="15" s="1"/>
  <c r="AU80" i="15"/>
  <c r="AU12" i="15" s="1"/>
  <c r="AU13" i="15" s="1"/>
  <c r="AV8" i="15" s="1"/>
  <c r="U19" i="4"/>
  <c r="T19" i="4"/>
  <c r="CT25" i="13"/>
  <c r="CT11" i="13"/>
  <c r="CT5" i="13"/>
  <c r="CU2" i="13"/>
  <c r="BM20" i="6"/>
  <c r="K13" i="4"/>
  <c r="N12" i="4"/>
  <c r="M12" i="4"/>
  <c r="K140" i="4"/>
  <c r="K122" i="4"/>
  <c r="D147" i="4"/>
  <c r="D129" i="4"/>
  <c r="D148" i="4" s="1"/>
  <c r="BG29" i="13"/>
  <c r="BH24" i="13" s="1"/>
  <c r="G123" i="4"/>
  <c r="G141" i="4"/>
  <c r="G129" i="4"/>
  <c r="G148" i="4" s="1"/>
  <c r="D13" i="4"/>
  <c r="F12" i="4"/>
  <c r="G12" i="4"/>
  <c r="BM54" i="6"/>
  <c r="P28" i="5" a="1"/>
  <c r="P28" i="5" s="1"/>
  <c r="P29" i="5" s="1"/>
  <c r="P34" i="5" a="1"/>
  <c r="P34" i="5" s="1"/>
  <c r="AO163" i="11"/>
  <c r="AP161" i="12"/>
  <c r="AP163" i="12" s="1"/>
  <c r="AP164" i="12" s="1"/>
  <c r="AP181" i="12" s="1"/>
  <c r="AP130" i="12"/>
  <c r="AP131" i="12" s="1"/>
  <c r="AP141" i="12" s="1"/>
  <c r="AN164" i="11"/>
  <c r="O35" i="5" a="1"/>
  <c r="O35" i="5" s="1"/>
  <c r="O36" i="5" s="1"/>
  <c r="AP161" i="11"/>
  <c r="AP130" i="11"/>
  <c r="AP131" i="11" s="1"/>
  <c r="AP141" i="11" s="1"/>
  <c r="CU6" i="13"/>
  <c r="CV1" i="13"/>
  <c r="CU26" i="13"/>
  <c r="T12" i="4"/>
  <c r="U12" i="4"/>
  <c r="R13" i="4"/>
  <c r="Z21" i="15"/>
  <c r="AA16" i="15"/>
  <c r="AA19" i="15" s="1"/>
  <c r="M19" i="4"/>
  <c r="N19" i="4"/>
  <c r="O23" i="5" l="1" a="1"/>
  <c r="O23" i="5" s="1"/>
  <c r="AN181" i="11"/>
  <c r="O24" i="5" s="1" a="1"/>
  <c r="O24" i="5" s="1"/>
  <c r="O38" i="5" s="1"/>
  <c r="K20" i="4"/>
  <c r="K14" i="4"/>
  <c r="N13" i="4"/>
  <c r="M13" i="4"/>
  <c r="CV6" i="13"/>
  <c r="CW1" i="13"/>
  <c r="CV26" i="13"/>
  <c r="CU25" i="13"/>
  <c r="CU11" i="13"/>
  <c r="CU5" i="13"/>
  <c r="CV2" i="13"/>
  <c r="BR7" i="13"/>
  <c r="BR8" i="13" s="1"/>
  <c r="BN54" i="7"/>
  <c r="BM40" i="7"/>
  <c r="BM64" i="7"/>
  <c r="BM65" i="7" s="1"/>
  <c r="BN20" i="7"/>
  <c r="R14" i="4"/>
  <c r="R20" i="4"/>
  <c r="U13" i="4"/>
  <c r="T13" i="4"/>
  <c r="BH27" i="13"/>
  <c r="BH28" i="13" s="1"/>
  <c r="N141" i="4"/>
  <c r="N129" i="4"/>
  <c r="N148" i="4" s="1"/>
  <c r="N123" i="4"/>
  <c r="D14" i="4"/>
  <c r="D20" i="4"/>
  <c r="G13" i="4"/>
  <c r="F13" i="4"/>
  <c r="Q34" i="5" a="1"/>
  <c r="Q34" i="5" s="1"/>
  <c r="Q28" i="5" a="1"/>
  <c r="Q28" i="5" s="1"/>
  <c r="Q29" i="5" s="1"/>
  <c r="AP163" i="11"/>
  <c r="AQ161" i="12"/>
  <c r="AQ163" i="12" s="1"/>
  <c r="AQ164" i="12" s="1"/>
  <c r="AQ181" i="12" s="1"/>
  <c r="AQ130" i="12"/>
  <c r="AQ131" i="12" s="1"/>
  <c r="AQ141" i="12" s="1"/>
  <c r="AB16" i="15"/>
  <c r="AB19" i="15" s="1"/>
  <c r="AA21" i="15"/>
  <c r="K123" i="4"/>
  <c r="K129" i="4"/>
  <c r="K148" i="4" s="1"/>
  <c r="K141" i="4"/>
  <c r="BM45" i="6"/>
  <c r="BM48" i="6" s="1"/>
  <c r="AV10" i="15" s="1" a="1"/>
  <c r="AV10" i="15" s="1"/>
  <c r="AV125" i="15" s="1"/>
  <c r="BM37" i="6"/>
  <c r="BM52" i="6"/>
  <c r="BM55" i="6" s="1"/>
  <c r="BM18" i="6"/>
  <c r="BM21" i="6" s="1"/>
  <c r="AQ161" i="11"/>
  <c r="AQ130" i="11"/>
  <c r="AQ131" i="11" s="1"/>
  <c r="AQ141" i="11" s="1"/>
  <c r="AO164" i="11"/>
  <c r="P35" i="5" a="1"/>
  <c r="P35" i="5" s="1"/>
  <c r="P36" i="5" s="1"/>
  <c r="Z22" i="15"/>
  <c r="Z25" i="15" s="1"/>
  <c r="AR128" i="11" a="1"/>
  <c r="AR128" i="11" s="1"/>
  <c r="AR128" i="12" a="1"/>
  <c r="AR128" i="12" s="1"/>
  <c r="BM39" i="6"/>
  <c r="P23" i="5" l="1" a="1"/>
  <c r="P23" i="5" s="1"/>
  <c r="AO181" i="11"/>
  <c r="P24" i="5" s="1" a="1"/>
  <c r="P24" i="5" s="1"/>
  <c r="P38" i="5" s="1"/>
  <c r="BR9" i="13"/>
  <c r="BS4" i="13" s="1"/>
  <c r="AB21" i="15"/>
  <c r="AC16" i="15"/>
  <c r="AC19" i="15" s="1"/>
  <c r="AP164" i="11"/>
  <c r="Q35" i="5" a="1"/>
  <c r="Q35" i="5" s="1"/>
  <c r="Q36" i="5" s="1"/>
  <c r="AR161" i="12"/>
  <c r="AR163" i="12" s="1"/>
  <c r="AR164" i="12" s="1"/>
  <c r="AR181" i="12" s="1"/>
  <c r="AR130" i="12"/>
  <c r="AR131" i="12" s="1"/>
  <c r="AR141" i="12" s="1"/>
  <c r="T20" i="4"/>
  <c r="U20" i="4"/>
  <c r="AR161" i="11"/>
  <c r="AR130" i="11"/>
  <c r="AR131" i="11" s="1"/>
  <c r="AR141" i="11" s="1"/>
  <c r="R34" i="5" a="1"/>
  <c r="R34" i="5" s="1"/>
  <c r="R28" i="5" a="1"/>
  <c r="R28" i="5" s="1"/>
  <c r="R29" i="5" s="1"/>
  <c r="AQ163" i="11"/>
  <c r="CW26" i="13"/>
  <c r="CX1" i="13"/>
  <c r="CW6" i="13"/>
  <c r="BN39" i="7"/>
  <c r="BH29" i="13"/>
  <c r="BI24" i="13" s="1"/>
  <c r="AA22" i="15"/>
  <c r="AA25" i="15" s="1"/>
  <c r="AS128" i="11" a="1"/>
  <c r="AS128" i="11" s="1"/>
  <c r="AS128" i="12" a="1"/>
  <c r="AS128" i="12" s="1"/>
  <c r="BN45" i="7"/>
  <c r="BN48" i="7" s="1"/>
  <c r="BN18" i="7"/>
  <c r="BN21" i="7" s="1"/>
  <c r="BN37" i="7"/>
  <c r="BN52" i="7"/>
  <c r="BN55" i="7" s="1"/>
  <c r="BN20" i="6"/>
  <c r="BN54" i="6"/>
  <c r="F20" i="4"/>
  <c r="G20" i="4"/>
  <c r="BM40" i="6"/>
  <c r="BM64" i="6"/>
  <c r="BM65" i="6" s="1"/>
  <c r="CV25" i="13"/>
  <c r="CV11" i="13"/>
  <c r="CV5" i="13"/>
  <c r="CW2" i="13"/>
  <c r="AW125" i="15"/>
  <c r="AX125" i="15" s="1"/>
  <c r="AY125" i="15" s="1"/>
  <c r="AZ125" i="15" s="1"/>
  <c r="BA125" i="15" s="1"/>
  <c r="BB125" i="15" s="1"/>
  <c r="BC125" i="15" s="1"/>
  <c r="BD125" i="15" s="1"/>
  <c r="BE125" i="15" s="1"/>
  <c r="BF125" i="15" s="1"/>
  <c r="BG125" i="15" s="1"/>
  <c r="AV80" i="15"/>
  <c r="AV12" i="15" s="1"/>
  <c r="AV13" i="15" s="1"/>
  <c r="AW8" i="15" s="1"/>
  <c r="M20" i="4"/>
  <c r="N20" i="4"/>
  <c r="Q23" i="5" l="1" a="1"/>
  <c r="Q23" i="5" s="1"/>
  <c r="AP181" i="11"/>
  <c r="Q24" i="5" s="1" a="1"/>
  <c r="Q24" i="5" s="1"/>
  <c r="Q38" i="5" s="1"/>
  <c r="BO54" i="7"/>
  <c r="CW25" i="13"/>
  <c r="CW11" i="13"/>
  <c r="CX2" i="13"/>
  <c r="CW5" i="13"/>
  <c r="BN40" i="7"/>
  <c r="BN64" i="7"/>
  <c r="BN65" i="7" s="1"/>
  <c r="AQ164" i="11"/>
  <c r="R35" i="5" a="1"/>
  <c r="R35" i="5" s="1"/>
  <c r="R36" i="5" s="1"/>
  <c r="AS161" i="11"/>
  <c r="AS130" i="11"/>
  <c r="AS131" i="11" s="1"/>
  <c r="AS141" i="11" s="1"/>
  <c r="S28" i="5" a="1"/>
  <c r="S28" i="5" s="1"/>
  <c r="S29" i="5" s="1"/>
  <c r="S34" i="5" a="1"/>
  <c r="S34" i="5" s="1"/>
  <c r="AR163" i="11"/>
  <c r="BI27" i="13"/>
  <c r="BI28" i="13" s="1"/>
  <c r="BO20" i="7"/>
  <c r="AS161" i="12"/>
  <c r="AS163" i="12" s="1"/>
  <c r="AS164" i="12" s="1"/>
  <c r="AS181" i="12" s="1"/>
  <c r="AS130" i="12"/>
  <c r="AS131" i="12" s="1"/>
  <c r="AS141" i="12" s="1"/>
  <c r="AD16" i="15"/>
  <c r="AD19" i="15" s="1"/>
  <c r="AC21" i="15"/>
  <c r="BN45" i="6"/>
  <c r="BN48" i="6" s="1"/>
  <c r="AW10" i="15" s="1" a="1"/>
  <c r="AW10" i="15" s="1"/>
  <c r="AW126" i="15" s="1"/>
  <c r="BN37" i="6"/>
  <c r="BN52" i="6"/>
  <c r="BN55" i="6" s="1"/>
  <c r="BN18" i="6"/>
  <c r="BN21" i="6" s="1"/>
  <c r="BN39" i="6"/>
  <c r="AB22" i="15"/>
  <c r="AB25" i="15" s="1"/>
  <c r="AT128" i="11" a="1"/>
  <c r="AT128" i="11" s="1"/>
  <c r="AT128" i="12" a="1"/>
  <c r="AT128" i="12" s="1"/>
  <c r="CX26" i="13"/>
  <c r="CY1" i="13"/>
  <c r="CX6" i="13"/>
  <c r="BS7" i="13"/>
  <c r="BS8" i="13" s="1"/>
  <c r="R23" i="5" l="1" a="1"/>
  <c r="R23" i="5" s="1"/>
  <c r="AQ181" i="11"/>
  <c r="R24" i="5" s="1" a="1"/>
  <c r="R24" i="5" s="1"/>
  <c r="R38" i="5" s="1"/>
  <c r="T34" i="5" a="1"/>
  <c r="T34" i="5" s="1"/>
  <c r="T28" i="5" a="1"/>
  <c r="T28" i="5" s="1"/>
  <c r="T29" i="5" s="1"/>
  <c r="AS163" i="11"/>
  <c r="BO54" i="6"/>
  <c r="BS9" i="13"/>
  <c r="BT4" i="13" s="1"/>
  <c r="AC22" i="15"/>
  <c r="AC25" i="15" s="1"/>
  <c r="AU128" i="11" a="1"/>
  <c r="AU128" i="11" s="1"/>
  <c r="AU128" i="12" a="1"/>
  <c r="AU128" i="12" s="1"/>
  <c r="BO20" i="6"/>
  <c r="BN40" i="6"/>
  <c r="BN64" i="6"/>
  <c r="BN65" i="6" s="1"/>
  <c r="BO45" i="7"/>
  <c r="BO48" i="7" s="1"/>
  <c r="BO18" i="7"/>
  <c r="BO21" i="7" s="1"/>
  <c r="BO37" i="7"/>
  <c r="BO52" i="7"/>
  <c r="BO55" i="7" s="1"/>
  <c r="BO39" i="7"/>
  <c r="CY26" i="13"/>
  <c r="CY6" i="13"/>
  <c r="CZ1" i="13"/>
  <c r="AD21" i="15"/>
  <c r="AE16" i="15"/>
  <c r="AE19" i="15" s="1"/>
  <c r="AT161" i="12"/>
  <c r="AT163" i="12" s="1"/>
  <c r="AT164" i="12" s="1"/>
  <c r="AT181" i="12" s="1"/>
  <c r="AT130" i="12"/>
  <c r="AT131" i="12" s="1"/>
  <c r="AT141" i="12" s="1"/>
  <c r="AX126" i="15"/>
  <c r="AY126" i="15" s="1"/>
  <c r="AZ126" i="15" s="1"/>
  <c r="BA126" i="15" s="1"/>
  <c r="BB126" i="15" s="1"/>
  <c r="BC126" i="15" s="1"/>
  <c r="BD126" i="15" s="1"/>
  <c r="BE126" i="15" s="1"/>
  <c r="BF126" i="15" s="1"/>
  <c r="BG126" i="15" s="1"/>
  <c r="BH126" i="15" s="1"/>
  <c r="AW80" i="15"/>
  <c r="AW12" i="15" s="1"/>
  <c r="AW13" i="15" s="1"/>
  <c r="CX25" i="13"/>
  <c r="CY2" i="13"/>
  <c r="CX11" i="13"/>
  <c r="CX5" i="13"/>
  <c r="AT161" i="11"/>
  <c r="AT130" i="11"/>
  <c r="AT131" i="11" s="1"/>
  <c r="AT141" i="11" s="1"/>
  <c r="BI29" i="13"/>
  <c r="BJ24" i="13" s="1"/>
  <c r="AR164" i="11"/>
  <c r="S35" i="5" a="1"/>
  <c r="S35" i="5" s="1"/>
  <c r="S36" i="5" s="1"/>
  <c r="S23" i="5" l="1" a="1"/>
  <c r="S23" i="5" s="1"/>
  <c r="AR181" i="11"/>
  <c r="S24" i="5" s="1" a="1"/>
  <c r="S24" i="5" s="1"/>
  <c r="S38" i="5" s="1"/>
  <c r="BO45" i="6"/>
  <c r="BO48" i="6" s="1"/>
  <c r="BO37" i="6"/>
  <c r="BO52" i="6"/>
  <c r="BO55" i="6" s="1"/>
  <c r="BO18" i="6"/>
  <c r="BO21" i="6" s="1"/>
  <c r="CZ26" i="13"/>
  <c r="CZ6" i="13"/>
  <c r="DA1" i="13"/>
  <c r="AF16" i="15"/>
  <c r="AF19" i="15" s="1"/>
  <c r="AE21" i="15"/>
  <c r="BT7" i="13"/>
  <c r="BT8" i="13" s="1"/>
  <c r="AU161" i="11"/>
  <c r="AU130" i="11"/>
  <c r="AU131" i="11" s="1"/>
  <c r="AU141" i="11" s="1"/>
  <c r="U34" i="5" a="1"/>
  <c r="U34" i="5" s="1"/>
  <c r="U28" i="5" a="1"/>
  <c r="U28" i="5" s="1"/>
  <c r="U29" i="5" s="1"/>
  <c r="AT163" i="11"/>
  <c r="AU161" i="12"/>
  <c r="AU163" i="12" s="1"/>
  <c r="AU164" i="12" s="1"/>
  <c r="AU181" i="12" s="1"/>
  <c r="AU130" i="12"/>
  <c r="AU131" i="12" s="1"/>
  <c r="AU141" i="12" s="1"/>
  <c r="CY25" i="13"/>
  <c r="CY11" i="13"/>
  <c r="CY5" i="13"/>
  <c r="CZ2" i="13"/>
  <c r="BP54" i="7"/>
  <c r="AD22" i="15"/>
  <c r="AD25" i="15" s="1"/>
  <c r="AV128" i="11" a="1"/>
  <c r="AV128" i="11" s="1"/>
  <c r="AV128" i="12" a="1"/>
  <c r="AV128" i="12" s="1"/>
  <c r="BO40" i="7"/>
  <c r="BO64" i="7"/>
  <c r="BO65" i="7" s="1"/>
  <c r="AS164" i="11"/>
  <c r="T35" i="5" a="1"/>
  <c r="T35" i="5" s="1"/>
  <c r="T36" i="5" s="1"/>
  <c r="BO39" i="6"/>
  <c r="BP20" i="7"/>
  <c r="BJ29" i="13"/>
  <c r="BK24" i="13" s="1"/>
  <c r="BJ27" i="13"/>
  <c r="BJ28" i="13" s="1"/>
  <c r="T23" i="5" l="1" a="1"/>
  <c r="T23" i="5" s="1"/>
  <c r="AS181" i="11"/>
  <c r="T24" i="5" s="1" a="1"/>
  <c r="T24" i="5" s="1"/>
  <c r="T38" i="5" s="1"/>
  <c r="BK27" i="13"/>
  <c r="BK28" i="13" s="1"/>
  <c r="AE22" i="15"/>
  <c r="AE25" i="15" s="1"/>
  <c r="AW128" i="11" a="1"/>
  <c r="AW128" i="11" s="1"/>
  <c r="AW128" i="12" a="1"/>
  <c r="AW128" i="12" s="1"/>
  <c r="AV161" i="11"/>
  <c r="AV130" i="11"/>
  <c r="AV131" i="11" s="1"/>
  <c r="AV141" i="11" s="1"/>
  <c r="AV161" i="12"/>
  <c r="AV163" i="12" s="1"/>
  <c r="AV164" i="12" s="1"/>
  <c r="AV181" i="12" s="1"/>
  <c r="AV130" i="12"/>
  <c r="AV131" i="12" s="1"/>
  <c r="AV141" i="12" s="1"/>
  <c r="CZ11" i="13"/>
  <c r="DA2" i="13"/>
  <c r="CZ25" i="13"/>
  <c r="CZ5" i="13"/>
  <c r="BP20" i="6"/>
  <c r="V28" i="5" a="1"/>
  <c r="V28" i="5" s="1"/>
  <c r="V29" i="5" s="1"/>
  <c r="V34" i="5" a="1"/>
  <c r="V34" i="5" s="1"/>
  <c r="AU163" i="11"/>
  <c r="BP54" i="6"/>
  <c r="AT164" i="11"/>
  <c r="U35" i="5" a="1"/>
  <c r="U35" i="5" s="1"/>
  <c r="U36" i="5" s="1"/>
  <c r="BO40" i="6"/>
  <c r="BO64" i="6"/>
  <c r="BO65" i="6" s="1"/>
  <c r="BP39" i="7"/>
  <c r="BT9" i="13"/>
  <c r="BU4" i="13" s="1"/>
  <c r="AF21" i="15"/>
  <c r="AG16" i="15"/>
  <c r="AG19" i="15" s="1"/>
  <c r="DA26" i="13"/>
  <c r="DA6" i="13"/>
  <c r="DB1" i="13"/>
  <c r="BP45" i="7"/>
  <c r="BP48" i="7" s="1"/>
  <c r="BP18" i="7"/>
  <c r="BP21" i="7" s="1"/>
  <c r="BP37" i="7"/>
  <c r="BP52" i="7"/>
  <c r="BP55" i="7" s="1"/>
  <c r="U23" i="5" l="1" a="1"/>
  <c r="U23" i="5" s="1"/>
  <c r="AT181" i="11"/>
  <c r="U24" i="5" s="1" a="1"/>
  <c r="U24" i="5" s="1"/>
  <c r="U38" i="5" s="1"/>
  <c r="DA11" i="13"/>
  <c r="DB2" i="13"/>
  <c r="DA25" i="13"/>
  <c r="DA5" i="13"/>
  <c r="BU7" i="13"/>
  <c r="BU8" i="13" s="1"/>
  <c r="AF22" i="15"/>
  <c r="AF25" i="15" s="1"/>
  <c r="AX128" i="11" a="1"/>
  <c r="AX128" i="11" s="1"/>
  <c r="AX128" i="12" a="1"/>
  <c r="AX128" i="12" s="1"/>
  <c r="BP45" i="6"/>
  <c r="BP48" i="6" s="1"/>
  <c r="BP37" i="6"/>
  <c r="BP52" i="6"/>
  <c r="BP55" i="6" s="1"/>
  <c r="BP18" i="6"/>
  <c r="BP21" i="6" s="1"/>
  <c r="BP39" i="6"/>
  <c r="W34" i="5" a="1"/>
  <c r="W34" i="5" s="1"/>
  <c r="W28" i="5" a="1"/>
  <c r="W28" i="5" s="1"/>
  <c r="W29" i="5" s="1"/>
  <c r="AV163" i="11"/>
  <c r="DB26" i="13"/>
  <c r="DC1" i="13"/>
  <c r="DB6" i="13"/>
  <c r="AW161" i="12"/>
  <c r="AW163" i="12" s="1"/>
  <c r="AW164" i="12" s="1"/>
  <c r="AW181" i="12" s="1"/>
  <c r="AW130" i="12"/>
  <c r="AW131" i="12" s="1"/>
  <c r="AW141" i="12" s="1"/>
  <c r="BQ20" i="7"/>
  <c r="AW130" i="11"/>
  <c r="AW131" i="11" s="1"/>
  <c r="AW141" i="11" s="1"/>
  <c r="AW161" i="11"/>
  <c r="BQ54" i="7"/>
  <c r="BP40" i="7"/>
  <c r="BP64" i="7"/>
  <c r="BP65" i="7" s="1"/>
  <c r="AU164" i="11"/>
  <c r="V35" i="5" a="1"/>
  <c r="V35" i="5" s="1"/>
  <c r="V36" i="5" s="1"/>
  <c r="AH16" i="15"/>
  <c r="AH19" i="15" s="1"/>
  <c r="AG21" i="15"/>
  <c r="BK29" i="13"/>
  <c r="BL24" i="13" s="1"/>
  <c r="V23" i="5" l="1" a="1"/>
  <c r="V23" i="5" s="1"/>
  <c r="AU181" i="11"/>
  <c r="V24" i="5" s="1" a="1"/>
  <c r="V24" i="5" s="1"/>
  <c r="V38" i="5" s="1"/>
  <c r="AX161" i="12"/>
  <c r="AX163" i="12" s="1"/>
  <c r="AX164" i="12" s="1"/>
  <c r="AX181" i="12" s="1"/>
  <c r="AX130" i="12"/>
  <c r="AX131" i="12" s="1"/>
  <c r="AX141" i="12" s="1"/>
  <c r="AX161" i="11"/>
  <c r="AX130" i="11"/>
  <c r="AX131" i="11" s="1"/>
  <c r="AX141" i="11" s="1"/>
  <c r="BQ45" i="7"/>
  <c r="BQ48" i="7" s="1"/>
  <c r="BQ18" i="7"/>
  <c r="BQ21" i="7" s="1"/>
  <c r="BQ37" i="7"/>
  <c r="BQ52" i="7"/>
  <c r="BQ55" i="7" s="1"/>
  <c r="BU9" i="13"/>
  <c r="BV4" i="13" s="1"/>
  <c r="X34" i="5" a="1"/>
  <c r="X34" i="5" s="1"/>
  <c r="X28" i="5" a="1"/>
  <c r="X28" i="5" s="1"/>
  <c r="X29" i="5" s="1"/>
  <c r="AW163" i="11"/>
  <c r="BP40" i="6"/>
  <c r="BP64" i="6"/>
  <c r="BP65" i="6" s="1"/>
  <c r="DC26" i="13"/>
  <c r="DC6" i="13"/>
  <c r="DD1" i="13"/>
  <c r="BQ39" i="7"/>
  <c r="AV164" i="11"/>
  <c r="W35" i="5" a="1"/>
  <c r="W35" i="5" s="1"/>
  <c r="W36" i="5" s="1"/>
  <c r="BQ20" i="6"/>
  <c r="BL27" i="13"/>
  <c r="BL28" i="13" s="1"/>
  <c r="AH21" i="15"/>
  <c r="AI16" i="15"/>
  <c r="AI19" i="15" s="1"/>
  <c r="DB11" i="13"/>
  <c r="DB25" i="13"/>
  <c r="DB5" i="13"/>
  <c r="DC2" i="13"/>
  <c r="BQ54" i="6"/>
  <c r="AG22" i="15"/>
  <c r="AG25" i="15" s="1"/>
  <c r="AY128" i="11" a="1"/>
  <c r="AY128" i="11" s="1"/>
  <c r="AY128" i="12" a="1"/>
  <c r="AY128" i="12" s="1"/>
  <c r="W23" i="5" l="1" a="1"/>
  <c r="W23" i="5" s="1"/>
  <c r="AV181" i="11"/>
  <c r="W24" i="5" s="1" a="1"/>
  <c r="W24" i="5" s="1"/>
  <c r="W38" i="5" s="1"/>
  <c r="AI21" i="15"/>
  <c r="AJ16" i="15"/>
  <c r="AJ19" i="15" s="1"/>
  <c r="AW164" i="11"/>
  <c r="X35" i="5" a="1"/>
  <c r="X35" i="5" s="1"/>
  <c r="X36" i="5" s="1"/>
  <c r="AY130" i="11"/>
  <c r="AY131" i="11" s="1"/>
  <c r="AY141" i="11" s="1"/>
  <c r="AY161" i="11"/>
  <c r="AY161" i="12"/>
  <c r="AY163" i="12" s="1"/>
  <c r="AY164" i="12" s="1"/>
  <c r="AY181" i="12" s="1"/>
  <c r="AY130" i="12"/>
  <c r="AY131" i="12" s="1"/>
  <c r="AY141" i="12" s="1"/>
  <c r="BQ45" i="6"/>
  <c r="BQ48" i="6" s="1"/>
  <c r="BQ37" i="6"/>
  <c r="BQ52" i="6"/>
  <c r="BQ55" i="6" s="1"/>
  <c r="BQ18" i="6"/>
  <c r="BQ21" i="6" s="1"/>
  <c r="BL29" i="13"/>
  <c r="BM24" i="13" s="1"/>
  <c r="BV7" i="13"/>
  <c r="BV8" i="13" s="1"/>
  <c r="BR20" i="7"/>
  <c r="AH22" i="15"/>
  <c r="AH25" i="15" s="1"/>
  <c r="AZ128" i="11" a="1"/>
  <c r="AZ128" i="11" s="1"/>
  <c r="AZ128" i="12" a="1"/>
  <c r="AZ128" i="12" s="1"/>
  <c r="BR54" i="7"/>
  <c r="DC25" i="13"/>
  <c r="DC11" i="13"/>
  <c r="DC5" i="13"/>
  <c r="DD2" i="13"/>
  <c r="DD6" i="13"/>
  <c r="DE1" i="13"/>
  <c r="DD26" i="13"/>
  <c r="Y34" i="5" a="1"/>
  <c r="Y34" i="5" s="1"/>
  <c r="Y28" i="5" a="1"/>
  <c r="Y28" i="5" s="1"/>
  <c r="Y29" i="5" s="1"/>
  <c r="AX163" i="11"/>
  <c r="BQ40" i="7"/>
  <c r="BQ64" i="7"/>
  <c r="BQ65" i="7" s="1"/>
  <c r="BQ39" i="6"/>
  <c r="X23" i="5" l="1" a="1"/>
  <c r="X23" i="5" s="1"/>
  <c r="AW181" i="11"/>
  <c r="X24" i="5" s="1" a="1"/>
  <c r="X24" i="5" s="1"/>
  <c r="X38" i="5" s="1"/>
  <c r="BR20" i="6"/>
  <c r="BM27" i="13"/>
  <c r="BM28" i="13" s="1"/>
  <c r="BR45" i="7"/>
  <c r="BR48" i="7" s="1"/>
  <c r="BR18" i="7"/>
  <c r="BR21" i="7" s="1"/>
  <c r="BR37" i="7"/>
  <c r="BR52" i="7"/>
  <c r="BR55" i="7" s="1"/>
  <c r="DD25" i="13"/>
  <c r="DD11" i="13"/>
  <c r="DD5" i="13"/>
  <c r="DE2" i="13"/>
  <c r="AZ161" i="12"/>
  <c r="AZ163" i="12" s="1"/>
  <c r="AZ164" i="12" s="1"/>
  <c r="AZ181" i="12" s="1"/>
  <c r="AZ130" i="12"/>
  <c r="AZ131" i="12" s="1"/>
  <c r="AZ141" i="12" s="1"/>
  <c r="Z28" i="5" a="1"/>
  <c r="Z28" i="5" s="1"/>
  <c r="Z29" i="5" s="1"/>
  <c r="Z34" i="5" a="1"/>
  <c r="Z34" i="5" s="1"/>
  <c r="AY163" i="11"/>
  <c r="AZ130" i="11"/>
  <c r="AZ131" i="11" s="1"/>
  <c r="AZ141" i="11" s="1"/>
  <c r="AZ161" i="11"/>
  <c r="AZ163" i="11" s="1"/>
  <c r="AZ164" i="11" s="1"/>
  <c r="AZ181" i="11" s="1"/>
  <c r="BR54" i="6"/>
  <c r="BR39" i="7"/>
  <c r="AX164" i="11"/>
  <c r="Y35" i="5" a="1"/>
  <c r="Y35" i="5" s="1"/>
  <c r="Y36" i="5" s="1"/>
  <c r="AJ21" i="15"/>
  <c r="AK16" i="15"/>
  <c r="AK19" i="15" s="1"/>
  <c r="BV9" i="13"/>
  <c r="BW4" i="13" s="1"/>
  <c r="BQ40" i="6"/>
  <c r="BQ64" i="6"/>
  <c r="BQ65" i="6" s="1"/>
  <c r="DE26" i="13"/>
  <c r="DE6" i="13"/>
  <c r="DF1" i="13"/>
  <c r="AI22" i="15"/>
  <c r="AI25" i="15" s="1"/>
  <c r="BA128" i="11" a="1"/>
  <c r="BA128" i="11" s="1"/>
  <c r="BA128" i="12" a="1"/>
  <c r="BA128" i="12" s="1"/>
  <c r="Y23" i="5" l="1" a="1"/>
  <c r="Y23" i="5" s="1"/>
  <c r="AX181" i="11"/>
  <c r="Y24" i="5" s="1" a="1"/>
  <c r="Y24" i="5" s="1"/>
  <c r="Y38" i="5" s="1"/>
  <c r="BS20" i="7"/>
  <c r="BR40" i="7"/>
  <c r="BR64" i="7"/>
  <c r="BR65" i="7" s="1"/>
  <c r="DE25" i="13"/>
  <c r="DE11" i="13"/>
  <c r="DE5" i="13"/>
  <c r="DF2" i="13"/>
  <c r="BM29" i="13"/>
  <c r="BN24" i="13" s="1"/>
  <c r="BA130" i="11"/>
  <c r="BA131" i="11" s="1"/>
  <c r="BA141" i="11" s="1"/>
  <c r="BA161" i="11"/>
  <c r="BA163" i="11" s="1"/>
  <c r="BA164" i="11" s="1"/>
  <c r="BA181" i="11" s="1"/>
  <c r="DF26" i="13"/>
  <c r="DF6" i="13"/>
  <c r="DG1" i="13"/>
  <c r="AY164" i="11"/>
  <c r="Z35" i="5" a="1"/>
  <c r="Z35" i="5" s="1"/>
  <c r="Z36" i="5" s="1"/>
  <c r="AK21" i="15"/>
  <c r="AL16" i="15"/>
  <c r="AL19" i="15" s="1"/>
  <c r="BA161" i="12"/>
  <c r="BA163" i="12" s="1"/>
  <c r="BA164" i="12" s="1"/>
  <c r="BA181" i="12" s="1"/>
  <c r="BA130" i="12"/>
  <c r="BA131" i="12" s="1"/>
  <c r="BA141" i="12" s="1"/>
  <c r="BR45" i="6"/>
  <c r="BR48" i="6" s="1"/>
  <c r="BR37" i="6"/>
  <c r="BR52" i="6"/>
  <c r="BR55" i="6" s="1"/>
  <c r="BR18" i="6"/>
  <c r="BR21" i="6" s="1"/>
  <c r="BW7" i="13"/>
  <c r="BW8" i="13" s="1"/>
  <c r="AJ22" i="15"/>
  <c r="AJ25" i="15" s="1"/>
  <c r="BB128" i="11" a="1"/>
  <c r="BB128" i="11" s="1"/>
  <c r="BB128" i="12" a="1"/>
  <c r="BB128" i="12" s="1"/>
  <c r="BS54" i="7"/>
  <c r="BR39" i="6"/>
  <c r="Z23" i="5" l="1" a="1"/>
  <c r="Z23" i="5" s="1"/>
  <c r="AY181" i="11"/>
  <c r="Z24" i="5" s="1" a="1"/>
  <c r="Z24" i="5" s="1"/>
  <c r="Z38" i="5" s="1"/>
  <c r="BR40" i="6"/>
  <c r="BR64" i="6"/>
  <c r="BR65" i="6" s="1"/>
  <c r="DF25" i="13"/>
  <c r="DF11" i="13"/>
  <c r="DF5" i="13"/>
  <c r="DG2" i="13"/>
  <c r="BB130" i="11"/>
  <c r="BB131" i="11" s="1"/>
  <c r="BB141" i="11" s="1"/>
  <c r="BB161" i="11"/>
  <c r="BB163" i="11" s="1"/>
  <c r="BB164" i="11" s="1"/>
  <c r="BB181" i="11" s="1"/>
  <c r="BS20" i="6"/>
  <c r="BN27" i="13"/>
  <c r="BN28" i="13" s="1"/>
  <c r="AL21" i="15"/>
  <c r="AM16" i="15"/>
  <c r="AM19" i="15" s="1"/>
  <c r="BS45" i="7"/>
  <c r="BS48" i="7" s="1"/>
  <c r="BS18" i="7"/>
  <c r="BS21" i="7" s="1"/>
  <c r="BS37" i="7"/>
  <c r="BS52" i="7"/>
  <c r="BS55" i="7" s="1"/>
  <c r="BS54" i="6"/>
  <c r="AK22" i="15"/>
  <c r="AK25" i="15" s="1"/>
  <c r="BC128" i="11" a="1"/>
  <c r="BC128" i="11" s="1"/>
  <c r="BC128" i="12" a="1"/>
  <c r="BC128" i="12" s="1"/>
  <c r="BS39" i="7"/>
  <c r="BW9" i="13"/>
  <c r="BX4" i="13" s="1"/>
  <c r="BB161" i="12"/>
  <c r="BB163" i="12" s="1"/>
  <c r="BB164" i="12" s="1"/>
  <c r="BB181" i="12" s="1"/>
  <c r="BB130" i="12"/>
  <c r="BB131" i="12" s="1"/>
  <c r="BB141" i="12" s="1"/>
  <c r="DG26" i="13"/>
  <c r="DG6" i="13"/>
  <c r="DH1" i="13"/>
  <c r="AM21" i="15" l="1"/>
  <c r="AN16" i="15"/>
  <c r="AN19" i="15" s="1"/>
  <c r="BN29" i="13"/>
  <c r="BO24" i="13" s="1"/>
  <c r="BC161" i="12"/>
  <c r="BC163" i="12" s="1"/>
  <c r="BC164" i="12" s="1"/>
  <c r="BC181" i="12" s="1"/>
  <c r="BC130" i="12"/>
  <c r="BC131" i="12" s="1"/>
  <c r="BC141" i="12" s="1"/>
  <c r="DG25" i="13"/>
  <c r="DG11" i="13"/>
  <c r="DG5" i="13"/>
  <c r="DH2" i="13"/>
  <c r="AL22" i="15"/>
  <c r="AL25" i="15" s="1"/>
  <c r="BD128" i="11" a="1"/>
  <c r="BD128" i="11" s="1"/>
  <c r="BD128" i="12" a="1"/>
  <c r="BD128" i="12" s="1"/>
  <c r="BX7" i="13"/>
  <c r="BX8" i="13" s="1"/>
  <c r="BC161" i="11"/>
  <c r="BC163" i="11" s="1"/>
  <c r="BC164" i="11" s="1"/>
  <c r="BC181" i="11" s="1"/>
  <c r="BC130" i="11"/>
  <c r="BC131" i="11" s="1"/>
  <c r="BC141" i="11" s="1"/>
  <c r="BS40" i="7"/>
  <c r="BS64" i="7"/>
  <c r="BS65" i="7" s="1"/>
  <c r="DI1" i="13"/>
  <c r="DH26" i="13"/>
  <c r="DH6" i="13"/>
  <c r="BT20" i="7"/>
  <c r="BS45" i="6"/>
  <c r="BS48" i="6" s="1"/>
  <c r="BS37" i="6"/>
  <c r="BS52" i="6"/>
  <c r="BS55" i="6" s="1"/>
  <c r="BS18" i="6"/>
  <c r="BS21" i="6" s="1"/>
  <c r="BT54" i="7"/>
  <c r="BS39" i="6"/>
  <c r="BT20" i="6" l="1"/>
  <c r="BD161" i="12"/>
  <c r="BD163" i="12" s="1"/>
  <c r="BD164" i="12" s="1"/>
  <c r="BD181" i="12" s="1"/>
  <c r="BD130" i="12"/>
  <c r="BD131" i="12" s="1"/>
  <c r="BD141" i="12" s="1"/>
  <c r="BS40" i="6"/>
  <c r="BS64" i="6"/>
  <c r="BS65" i="6" s="1"/>
  <c r="BD130" i="11"/>
  <c r="BD131" i="11" s="1"/>
  <c r="BD141" i="11" s="1"/>
  <c r="BD161" i="11"/>
  <c r="BD163" i="11" s="1"/>
  <c r="BD164" i="11" s="1"/>
  <c r="BD181" i="11" s="1"/>
  <c r="BT54" i="6"/>
  <c r="DI26" i="13"/>
  <c r="DJ1" i="13"/>
  <c r="DI6" i="13"/>
  <c r="BO27" i="13"/>
  <c r="BO28" i="13" s="1"/>
  <c r="BX9" i="13"/>
  <c r="BY4" i="13" s="1"/>
  <c r="BT45" i="7"/>
  <c r="BT48" i="7" s="1"/>
  <c r="BT18" i="7"/>
  <c r="BT21" i="7" s="1"/>
  <c r="BT37" i="7"/>
  <c r="BT52" i="7"/>
  <c r="BT55" i="7" s="1"/>
  <c r="AN21" i="15"/>
  <c r="AO16" i="15"/>
  <c r="AO19" i="15" s="1"/>
  <c r="DH25" i="13"/>
  <c r="DH11" i="13"/>
  <c r="DH5" i="13"/>
  <c r="DI2" i="13"/>
  <c r="BT39" i="7"/>
  <c r="AM22" i="15"/>
  <c r="AM25" i="15" s="1"/>
  <c r="BE128" i="11" a="1"/>
  <c r="BE128" i="11" s="1"/>
  <c r="BE128" i="12" a="1"/>
  <c r="BE128" i="12" s="1"/>
  <c r="DI5" i="13" l="1"/>
  <c r="DI25" i="13"/>
  <c r="DJ2" i="13"/>
  <c r="DI11" i="13"/>
  <c r="AO21" i="15"/>
  <c r="AP16" i="15"/>
  <c r="AP19" i="15" s="1"/>
  <c r="BU20" i="7"/>
  <c r="BT39" i="6"/>
  <c r="BU54" i="7"/>
  <c r="BT40" i="7"/>
  <c r="BT64" i="7"/>
  <c r="BT65" i="7" s="1"/>
  <c r="BY9" i="13"/>
  <c r="BZ4" i="13" s="1"/>
  <c r="BY7" i="13"/>
  <c r="BY8" i="13" s="1"/>
  <c r="DJ26" i="13"/>
  <c r="DJ6" i="13"/>
  <c r="DK1" i="13"/>
  <c r="AN22" i="15"/>
  <c r="AN25" i="15" s="1"/>
  <c r="BF128" i="11" a="1"/>
  <c r="BF128" i="11" s="1"/>
  <c r="BF128" i="12" a="1"/>
  <c r="BF128" i="12" s="1"/>
  <c r="BT45" i="6"/>
  <c r="BT48" i="6" s="1"/>
  <c r="BT37" i="6"/>
  <c r="BT52" i="6"/>
  <c r="BT55" i="6" s="1"/>
  <c r="BT18" i="6"/>
  <c r="BT21" i="6" s="1"/>
  <c r="BE161" i="11"/>
  <c r="BE163" i="11" s="1"/>
  <c r="BE164" i="11" s="1"/>
  <c r="BE181" i="11" s="1"/>
  <c r="BE130" i="11"/>
  <c r="BE131" i="11" s="1"/>
  <c r="BE141" i="11" s="1"/>
  <c r="BO29" i="13"/>
  <c r="BP24" i="13" s="1"/>
  <c r="BE161" i="12"/>
  <c r="BE163" i="12" s="1"/>
  <c r="BE164" i="12" s="1"/>
  <c r="BE181" i="12" s="1"/>
  <c r="BE130" i="12"/>
  <c r="BE131" i="12" s="1"/>
  <c r="BE141" i="12" s="1"/>
  <c r="BU45" i="7" l="1"/>
  <c r="BU48" i="7" s="1"/>
  <c r="BU18" i="7"/>
  <c r="BU21" i="7" s="1"/>
  <c r="BV20" i="7" s="1"/>
  <c r="BU37" i="7"/>
  <c r="BU52" i="7"/>
  <c r="BU55" i="7" s="1"/>
  <c r="BV54" i="7" s="1"/>
  <c r="BU20" i="6"/>
  <c r="BU39" i="7"/>
  <c r="BT40" i="6"/>
  <c r="BT64" i="6"/>
  <c r="BT65" i="6" s="1"/>
  <c r="AP21" i="15"/>
  <c r="AQ16" i="15"/>
  <c r="AQ19" i="15" s="1"/>
  <c r="BF161" i="11"/>
  <c r="BF163" i="11" s="1"/>
  <c r="BF164" i="11" s="1"/>
  <c r="BF181" i="11" s="1"/>
  <c r="BF130" i="11"/>
  <c r="BF131" i="11" s="1"/>
  <c r="BF141" i="11" s="1"/>
  <c r="DK26" i="13"/>
  <c r="DL1" i="13"/>
  <c r="DK6" i="13"/>
  <c r="AO22" i="15"/>
  <c r="AO25" i="15" s="1"/>
  <c r="BG128" i="11" a="1"/>
  <c r="BG128" i="11" s="1"/>
  <c r="BG128" i="12" a="1"/>
  <c r="BG128" i="12" s="1"/>
  <c r="BZ7" i="13"/>
  <c r="BZ8" i="13" s="1"/>
  <c r="BU54" i="6"/>
  <c r="DJ11" i="13"/>
  <c r="DJ25" i="13"/>
  <c r="DK2" i="13"/>
  <c r="DJ5" i="13"/>
  <c r="BF161" i="12"/>
  <c r="BF163" i="12" s="1"/>
  <c r="BF164" i="12" s="1"/>
  <c r="BF181" i="12" s="1"/>
  <c r="BF130" i="12"/>
  <c r="BF131" i="12" s="1"/>
  <c r="BF141" i="12" s="1"/>
  <c r="BP27" i="13"/>
  <c r="BP28" i="13" s="1"/>
  <c r="DK25" i="13" l="1"/>
  <c r="DL2" i="13"/>
  <c r="DK5" i="13"/>
  <c r="DK11" i="13"/>
  <c r="AP22" i="15"/>
  <c r="AP25" i="15" s="1"/>
  <c r="BH128" i="11" a="1"/>
  <c r="BH128" i="11" s="1"/>
  <c r="BH128" i="12" a="1"/>
  <c r="BH128" i="12" s="1"/>
  <c r="BG161" i="11"/>
  <c r="BG163" i="11" s="1"/>
  <c r="BG164" i="11" s="1"/>
  <c r="BG181" i="11" s="1"/>
  <c r="BG130" i="11"/>
  <c r="BG131" i="11" s="1"/>
  <c r="BG141" i="11" s="1"/>
  <c r="BU39" i="6"/>
  <c r="BU40" i="7"/>
  <c r="BV39" i="7" s="1"/>
  <c r="BU64" i="7"/>
  <c r="BU65" i="7" s="1"/>
  <c r="BU45" i="6"/>
  <c r="BU48" i="6" s="1"/>
  <c r="BU37" i="6"/>
  <c r="BU52" i="6"/>
  <c r="BU55" i="6" s="1"/>
  <c r="BV54" i="6" s="1"/>
  <c r="BU18" i="6"/>
  <c r="BU21" i="6" s="1"/>
  <c r="BV20" i="6" s="1"/>
  <c r="BZ9" i="13"/>
  <c r="CA4" i="13" s="1"/>
  <c r="DL26" i="13"/>
  <c r="DL6" i="13"/>
  <c r="DM1" i="13"/>
  <c r="BG161" i="12"/>
  <c r="BG163" i="12" s="1"/>
  <c r="BG164" i="12" s="1"/>
  <c r="BG181" i="12" s="1"/>
  <c r="BG130" i="12"/>
  <c r="BG131" i="12" s="1"/>
  <c r="BG141" i="12" s="1"/>
  <c r="BP29" i="13"/>
  <c r="BQ24" i="13" s="1"/>
  <c r="AR16" i="15"/>
  <c r="AR19" i="15" s="1"/>
  <c r="AQ21" i="15"/>
  <c r="BH161" i="12" l="1"/>
  <c r="BH163" i="12" s="1"/>
  <c r="BH164" i="12" s="1"/>
  <c r="BH181" i="12" s="1"/>
  <c r="BH130" i="12"/>
  <c r="BH131" i="12" s="1"/>
  <c r="BH141" i="12" s="1"/>
  <c r="BU40" i="6"/>
  <c r="BV39" i="6" s="1"/>
  <c r="BU64" i="6"/>
  <c r="BU65" i="6" s="1"/>
  <c r="AR21" i="15"/>
  <c r="AS16" i="15"/>
  <c r="AS19" i="15" s="1"/>
  <c r="BH161" i="11"/>
  <c r="BH163" i="11" s="1"/>
  <c r="BH164" i="11" s="1"/>
  <c r="BH181" i="11" s="1"/>
  <c r="BH130" i="11"/>
  <c r="BH131" i="11" s="1"/>
  <c r="BH141" i="11" s="1"/>
  <c r="BQ27" i="13"/>
  <c r="BQ28" i="13" s="1"/>
  <c r="DM26" i="13"/>
  <c r="DN1" i="13"/>
  <c r="DM6" i="13"/>
  <c r="BV45" i="7"/>
  <c r="BV48" i="7" s="1"/>
  <c r="BV37" i="7"/>
  <c r="BV18" i="7"/>
  <c r="BV21" i="7" s="1"/>
  <c r="BV52" i="7"/>
  <c r="BV55" i="7" s="1"/>
  <c r="AQ22" i="15"/>
  <c r="AQ25" i="15" s="1"/>
  <c r="BI128" i="11" a="1"/>
  <c r="BI128" i="11" s="1"/>
  <c r="BI128" i="12" a="1"/>
  <c r="BI128" i="12" s="1"/>
  <c r="CA7" i="13"/>
  <c r="CA8" i="13" s="1"/>
  <c r="DM2" i="13"/>
  <c r="DL5" i="13"/>
  <c r="DL11" i="13"/>
  <c r="DL25" i="13"/>
  <c r="DM25" i="13" l="1"/>
  <c r="DM11" i="13"/>
  <c r="DN2" i="13"/>
  <c r="DM5" i="13"/>
  <c r="BQ29" i="13"/>
  <c r="BR24" i="13" s="1"/>
  <c r="DN26" i="13"/>
  <c r="DN6" i="13"/>
  <c r="DO1" i="13"/>
  <c r="CA9" i="13"/>
  <c r="CB4" i="13" s="1"/>
  <c r="BV45" i="6"/>
  <c r="BV48" i="6" s="1"/>
  <c r="BV37" i="6"/>
  <c r="BV52" i="6"/>
  <c r="BV55" i="6" s="1"/>
  <c r="BV18" i="6"/>
  <c r="BV21" i="6" s="1"/>
  <c r="BI130" i="12"/>
  <c r="BI131" i="12" s="1"/>
  <c r="BI141" i="12" s="1"/>
  <c r="BI161" i="12"/>
  <c r="BI163" i="12" s="1"/>
  <c r="BI164" i="12" s="1"/>
  <c r="BI181" i="12" s="1"/>
  <c r="AT16" i="15"/>
  <c r="AT19" i="15" s="1"/>
  <c r="AS21" i="15"/>
  <c r="BV40" i="7"/>
  <c r="BV64" i="7"/>
  <c r="BV65" i="7" s="1"/>
  <c r="BI130" i="11"/>
  <c r="BI131" i="11" s="1"/>
  <c r="BI141" i="11" s="1"/>
  <c r="BI161" i="11"/>
  <c r="BI163" i="11" s="1"/>
  <c r="BI164" i="11" s="1"/>
  <c r="BI181" i="11" s="1"/>
  <c r="AR22" i="15"/>
  <c r="AR25" i="15" s="1"/>
  <c r="BJ128" i="11" a="1"/>
  <c r="BJ128" i="11" s="1"/>
  <c r="BJ128" i="12" a="1"/>
  <c r="BJ128" i="12" s="1"/>
  <c r="BV40" i="6" l="1"/>
  <c r="BV64" i="6"/>
  <c r="BV65" i="6" s="1"/>
  <c r="BJ161" i="12"/>
  <c r="BJ163" i="12" s="1"/>
  <c r="BJ164" i="12" s="1"/>
  <c r="BJ181" i="12" s="1"/>
  <c r="BJ130" i="12"/>
  <c r="BJ131" i="12" s="1"/>
  <c r="BJ141" i="12" s="1"/>
  <c r="DO26" i="13"/>
  <c r="DO6" i="13"/>
  <c r="DP1" i="13"/>
  <c r="BR27" i="13"/>
  <c r="BR28" i="13" s="1"/>
  <c r="AT21" i="15"/>
  <c r="AU16" i="15"/>
  <c r="AU19" i="15" s="1"/>
  <c r="DO2" i="13"/>
  <c r="DN5" i="13"/>
  <c r="DN11" i="13"/>
  <c r="DN25" i="13"/>
  <c r="CB7" i="13"/>
  <c r="CB8" i="13" s="1"/>
  <c r="AS22" i="15"/>
  <c r="AS25" i="15" s="1"/>
  <c r="BK128" i="11" a="1"/>
  <c r="BK128" i="11" s="1"/>
  <c r="BK128" i="12" a="1"/>
  <c r="BK128" i="12" s="1"/>
  <c r="BJ161" i="11"/>
  <c r="BJ163" i="11" s="1"/>
  <c r="BJ164" i="11" s="1"/>
  <c r="BJ181" i="11" s="1"/>
  <c r="BJ130" i="11"/>
  <c r="BJ131" i="11" s="1"/>
  <c r="BJ141" i="11" s="1"/>
  <c r="BK161" i="12" l="1"/>
  <c r="BK163" i="12" s="1"/>
  <c r="BK164" i="12" s="1"/>
  <c r="BK181" i="12" s="1"/>
  <c r="BK130" i="12"/>
  <c r="BK131" i="12" s="1"/>
  <c r="BK141" i="12" s="1"/>
  <c r="DO25" i="13"/>
  <c r="DO5" i="13"/>
  <c r="DP2" i="13"/>
  <c r="DO11" i="13"/>
  <c r="BR29" i="13"/>
  <c r="BS24" i="13" s="1"/>
  <c r="DP6" i="13"/>
  <c r="DQ1" i="13"/>
  <c r="DP26" i="13"/>
  <c r="AV16" i="15"/>
  <c r="AV19" i="15" s="1"/>
  <c r="AU21" i="15"/>
  <c r="AT22" i="15"/>
  <c r="AT25" i="15" s="1"/>
  <c r="BL128" i="11" a="1"/>
  <c r="BL128" i="11" s="1"/>
  <c r="BL128" i="12" a="1"/>
  <c r="BL128" i="12" s="1"/>
  <c r="CB9" i="13"/>
  <c r="CC4" i="13" s="1"/>
  <c r="BK161" i="11"/>
  <c r="BK163" i="11" s="1"/>
  <c r="BK164" i="11" s="1"/>
  <c r="BK181" i="11" s="1"/>
  <c r="BK130" i="11"/>
  <c r="BK131" i="11" s="1"/>
  <c r="BK141" i="11" s="1"/>
  <c r="AU22" i="15" l="1"/>
  <c r="AU25" i="15" s="1"/>
  <c r="BM128" i="11" a="1"/>
  <c r="BM128" i="11" s="1"/>
  <c r="BM128" i="12" a="1"/>
  <c r="BM128" i="12" s="1"/>
  <c r="DQ26" i="13"/>
  <c r="DR1" i="13"/>
  <c r="DQ6" i="13"/>
  <c r="DP11" i="13"/>
  <c r="DQ2" i="13"/>
  <c r="DP5" i="13"/>
  <c r="DP25" i="13"/>
  <c r="AV21" i="15"/>
  <c r="AW16" i="15"/>
  <c r="AW19" i="15" s="1"/>
  <c r="AW21" i="15" s="1"/>
  <c r="BS27" i="13"/>
  <c r="BS28" i="13" s="1"/>
  <c r="CC7" i="13"/>
  <c r="CC8" i="13" s="1"/>
  <c r="BL161" i="11"/>
  <c r="BL163" i="11" s="1"/>
  <c r="BL164" i="11" s="1"/>
  <c r="BL181" i="11" s="1"/>
  <c r="BL130" i="11"/>
  <c r="BL131" i="11" s="1"/>
  <c r="BL141" i="11" s="1"/>
  <c r="BL161" i="12"/>
  <c r="BL163" i="12" s="1"/>
  <c r="BL164" i="12" s="1"/>
  <c r="BL181" i="12" s="1"/>
  <c r="BL130" i="12"/>
  <c r="BL131" i="12" s="1"/>
  <c r="BL141" i="12" s="1"/>
  <c r="DQ11" i="13" l="1"/>
  <c r="DQ25" i="13"/>
  <c r="DR2" i="13"/>
  <c r="DQ5" i="13"/>
  <c r="BS29" i="13"/>
  <c r="BT24" i="13" s="1"/>
  <c r="AV22" i="15"/>
  <c r="AV25" i="15" s="1"/>
  <c r="BN128" i="11" a="1"/>
  <c r="BN128" i="11" s="1"/>
  <c r="BN128" i="12" a="1"/>
  <c r="BN128" i="12" s="1"/>
  <c r="DR6" i="13"/>
  <c r="DR26" i="13"/>
  <c r="DS1" i="13"/>
  <c r="AW22" i="15"/>
  <c r="AW25" i="15" s="1"/>
  <c r="BO128" i="11" a="1"/>
  <c r="BO128" i="11" s="1"/>
  <c r="BO128" i="12" a="1"/>
  <c r="BO128" i="12" s="1"/>
  <c r="BM161" i="12"/>
  <c r="BM163" i="12" s="1"/>
  <c r="BM164" i="12" s="1"/>
  <c r="BM181" i="12" s="1"/>
  <c r="BM130" i="12"/>
  <c r="BM131" i="12" s="1"/>
  <c r="BM141" i="12" s="1"/>
  <c r="BM161" i="11"/>
  <c r="BM163" i="11" s="1"/>
  <c r="BM164" i="11" s="1"/>
  <c r="BM181" i="11" s="1"/>
  <c r="BM130" i="11"/>
  <c r="BM131" i="11" s="1"/>
  <c r="BM141" i="11" s="1"/>
  <c r="CC9" i="13"/>
  <c r="CD4" i="13" s="1"/>
  <c r="BO161" i="11" l="1"/>
  <c r="BO163" i="11" s="1"/>
  <c r="BO164" i="11" s="1"/>
  <c r="BO181" i="11" s="1"/>
  <c r="BO130" i="11"/>
  <c r="BO131" i="11" s="1"/>
  <c r="BO141" i="11" s="1"/>
  <c r="BP161" i="11"/>
  <c r="BP163" i="11" s="1"/>
  <c r="BP164" i="11" s="1"/>
  <c r="BP181" i="11" s="1"/>
  <c r="BN161" i="12"/>
  <c r="BN163" i="12" s="1"/>
  <c r="BN164" i="12" s="1"/>
  <c r="BN181" i="12" s="1"/>
  <c r="BN130" i="12"/>
  <c r="BN131" i="12" s="1"/>
  <c r="BN141" i="12" s="1"/>
  <c r="CD7" i="13"/>
  <c r="CD8" i="13" s="1"/>
  <c r="BT27" i="13"/>
  <c r="BT28" i="13" s="1"/>
  <c r="DS26" i="13"/>
  <c r="DS6" i="13"/>
  <c r="DT1" i="13"/>
  <c r="BO161" i="12"/>
  <c r="BO163" i="12" s="1"/>
  <c r="BO164" i="12" s="1"/>
  <c r="BO181" i="12" s="1"/>
  <c r="BO130" i="12"/>
  <c r="BO131" i="12" s="1"/>
  <c r="BO141" i="12" s="1"/>
  <c r="BP161" i="12"/>
  <c r="BP163" i="12" s="1"/>
  <c r="BP164" i="12" s="1"/>
  <c r="BP181" i="12" s="1"/>
  <c r="DR11" i="13"/>
  <c r="DR25" i="13"/>
  <c r="DS2" i="13"/>
  <c r="DR5" i="13"/>
  <c r="BN161" i="11"/>
  <c r="BN163" i="11" s="1"/>
  <c r="BN164" i="11" s="1"/>
  <c r="BN181" i="11" s="1"/>
  <c r="BN130" i="11"/>
  <c r="BN131" i="11" s="1"/>
  <c r="BN141" i="11" s="1"/>
  <c r="CD9" i="13" l="1"/>
  <c r="CE4" i="13" s="1"/>
  <c r="BT29" i="13"/>
  <c r="BU24" i="13" s="1"/>
  <c r="DS25" i="13"/>
  <c r="DS11" i="13"/>
  <c r="DS5" i="13"/>
  <c r="DT2" i="13"/>
  <c r="DT6" i="13"/>
  <c r="DT26" i="13"/>
  <c r="DU1" i="13"/>
  <c r="DU26" i="13" l="1"/>
  <c r="DU6" i="13"/>
  <c r="DV1" i="13"/>
  <c r="DT11" i="13"/>
  <c r="DT5" i="13"/>
  <c r="DU2" i="13"/>
  <c r="DT25" i="13"/>
  <c r="BU27" i="13"/>
  <c r="BU28" i="13" s="1"/>
  <c r="CE7" i="13"/>
  <c r="CE8" i="13" s="1"/>
  <c r="CE9" i="13" l="1"/>
  <c r="CF4" i="13" s="1"/>
  <c r="BU29" i="13"/>
  <c r="BV24" i="13" s="1"/>
  <c r="DU25" i="13"/>
  <c r="DU11" i="13"/>
  <c r="DU5" i="13"/>
  <c r="DV2" i="13"/>
  <c r="DV26" i="13"/>
  <c r="DV6" i="13"/>
  <c r="DW1" i="13"/>
  <c r="DW26" i="13" l="1"/>
  <c r="DW6" i="13"/>
  <c r="DX1" i="13"/>
  <c r="DV25" i="13"/>
  <c r="DV5" i="13"/>
  <c r="DV11" i="13"/>
  <c r="DW2" i="13"/>
  <c r="BV27" i="13"/>
  <c r="BV28" i="13" s="1"/>
  <c r="CF7" i="13"/>
  <c r="CF8" i="13" s="1"/>
  <c r="CF9" i="13" l="1"/>
  <c r="CG4" i="13" s="1"/>
  <c r="BV29" i="13"/>
  <c r="BW24" i="13" s="1"/>
  <c r="DW25" i="13"/>
  <c r="DW5" i="13"/>
  <c r="DW11" i="13"/>
  <c r="DX2" i="13"/>
  <c r="DX26" i="13"/>
  <c r="DY1" i="13"/>
  <c r="DX6" i="13"/>
  <c r="DY2" i="13" l="1"/>
  <c r="DX11" i="13"/>
  <c r="DX25" i="13"/>
  <c r="DX5" i="13"/>
  <c r="DY26" i="13"/>
  <c r="DZ1" i="13"/>
  <c r="DY6" i="13"/>
  <c r="BW27" i="13"/>
  <c r="BW28" i="13" s="1"/>
  <c r="CG7" i="13"/>
  <c r="CG8" i="13" s="1"/>
  <c r="CG9" i="13" l="1"/>
  <c r="CH4" i="13" s="1"/>
  <c r="BW29" i="13"/>
  <c r="BX24" i="13" s="1"/>
  <c r="DZ26" i="13"/>
  <c r="DZ6" i="13"/>
  <c r="EA1" i="13"/>
  <c r="DY5" i="13"/>
  <c r="DY11" i="13"/>
  <c r="DY25" i="13"/>
  <c r="DZ2" i="13"/>
  <c r="DZ25" i="13" l="1"/>
  <c r="DZ11" i="13"/>
  <c r="DZ5" i="13"/>
  <c r="EA2" i="13"/>
  <c r="BX27" i="13"/>
  <c r="BX28" i="13" s="1"/>
  <c r="EA26" i="13"/>
  <c r="EA6" i="13"/>
  <c r="EB1" i="13"/>
  <c r="CH7" i="13"/>
  <c r="CH8" i="13" s="1"/>
  <c r="CH9" i="13" l="1"/>
  <c r="CI4" i="13" s="1"/>
  <c r="EB26" i="13"/>
  <c r="EB6" i="13"/>
  <c r="EC1" i="13"/>
  <c r="EA25" i="13"/>
  <c r="EA11" i="13"/>
  <c r="EA5" i="13"/>
  <c r="EB2" i="13"/>
  <c r="BX29" i="13"/>
  <c r="BY24" i="13" s="1"/>
  <c r="BY27" i="13" l="1"/>
  <c r="BY28" i="13" s="1"/>
  <c r="EB25" i="13"/>
  <c r="EB11" i="13"/>
  <c r="EC2" i="13"/>
  <c r="EB5" i="13"/>
  <c r="EC26" i="13"/>
  <c r="ED1" i="13"/>
  <c r="EC6" i="13"/>
  <c r="CI7" i="13"/>
  <c r="CI8" i="13" s="1"/>
  <c r="CI9" i="13" l="1"/>
  <c r="CJ4" i="13" s="1"/>
  <c r="ED26" i="13"/>
  <c r="ED6" i="13"/>
  <c r="EE1" i="13"/>
  <c r="EC25" i="13"/>
  <c r="EC11" i="13"/>
  <c r="ED2" i="13"/>
  <c r="EC5" i="13"/>
  <c r="BY29" i="13"/>
  <c r="BZ24" i="13" s="1"/>
  <c r="BZ27" i="13" l="1"/>
  <c r="BZ28" i="13" s="1"/>
  <c r="ED25" i="13"/>
  <c r="ED11" i="13"/>
  <c r="EE2" i="13"/>
  <c r="ED5" i="13"/>
  <c r="EE26" i="13"/>
  <c r="EE6" i="13"/>
  <c r="EF1" i="13"/>
  <c r="CJ7" i="13"/>
  <c r="CJ8" i="13" s="1"/>
  <c r="EF6" i="13" l="1"/>
  <c r="EF26" i="13"/>
  <c r="EG1" i="13"/>
  <c r="EE25" i="13"/>
  <c r="EE11" i="13"/>
  <c r="EE5" i="13"/>
  <c r="EF2" i="13"/>
  <c r="CJ9" i="13"/>
  <c r="CK4" i="13" s="1"/>
  <c r="BZ29" i="13"/>
  <c r="CA24" i="13" s="1"/>
  <c r="CK7" i="13" l="1"/>
  <c r="CK8" i="13" s="1"/>
  <c r="CA27" i="13"/>
  <c r="CA28" i="13" s="1"/>
  <c r="EF11" i="13"/>
  <c r="EG2" i="13"/>
  <c r="EF25" i="13"/>
  <c r="EF5" i="13"/>
  <c r="EH1" i="13"/>
  <c r="EG26" i="13"/>
  <c r="EG6" i="13"/>
  <c r="EH26" i="13" l="1"/>
  <c r="EH6" i="13"/>
  <c r="EI1" i="13"/>
  <c r="EG11" i="13"/>
  <c r="EH2" i="13"/>
  <c r="EG25" i="13"/>
  <c r="EG5" i="13"/>
  <c r="CA29" i="13"/>
  <c r="CB24" i="13" s="1"/>
  <c r="CK9" i="13"/>
  <c r="CL4" i="13" s="1"/>
  <c r="CL7" i="13" l="1"/>
  <c r="CL8" i="13" s="1"/>
  <c r="CB27" i="13"/>
  <c r="CB28" i="13" s="1"/>
  <c r="EH11" i="13"/>
  <c r="EH25" i="13"/>
  <c r="EH5" i="13"/>
  <c r="EI2" i="13"/>
  <c r="EI26" i="13"/>
  <c r="EI6" i="13"/>
  <c r="EJ1" i="13"/>
  <c r="EJ6" i="13" l="1"/>
  <c r="EJ26" i="13"/>
  <c r="EK1" i="13"/>
  <c r="EI25" i="13"/>
  <c r="EI5" i="13"/>
  <c r="EI11" i="13"/>
  <c r="EJ2" i="13"/>
  <c r="CB29" i="13"/>
  <c r="CC24" i="13" s="1"/>
  <c r="CL9" i="13"/>
  <c r="CM4" i="13" s="1"/>
  <c r="CC27" i="13" l="1"/>
  <c r="CC28" i="13" s="1"/>
  <c r="EJ11" i="13"/>
  <c r="EJ25" i="13"/>
  <c r="EJ5" i="13"/>
  <c r="EK2" i="13"/>
  <c r="EK26" i="13"/>
  <c r="EK6" i="13"/>
  <c r="EL1" i="13"/>
  <c r="CM7" i="13"/>
  <c r="CM8" i="13" s="1"/>
  <c r="EK25" i="13" l="1"/>
  <c r="EK11" i="13"/>
  <c r="EK5" i="13"/>
  <c r="EL2" i="13"/>
  <c r="CM9" i="13"/>
  <c r="CN4" i="13" s="1"/>
  <c r="EL26" i="13"/>
  <c r="EL6" i="13"/>
  <c r="EM1" i="13"/>
  <c r="CC29" i="13"/>
  <c r="CD24" i="13" s="1"/>
  <c r="CD27" i="13" l="1"/>
  <c r="CD28" i="13" s="1"/>
  <c r="EL25" i="13"/>
  <c r="EL5" i="13"/>
  <c r="EM2" i="13"/>
  <c r="EL11" i="13"/>
  <c r="EM26" i="13"/>
  <c r="EN1" i="13"/>
  <c r="EM6" i="13"/>
  <c r="CN7" i="13"/>
  <c r="CN8" i="13" s="1"/>
  <c r="CN9" i="13" l="1"/>
  <c r="CO4" i="13" s="1"/>
  <c r="EM5" i="13"/>
  <c r="EM25" i="13"/>
  <c r="EN2" i="13"/>
  <c r="EM11" i="13"/>
  <c r="EN26" i="13"/>
  <c r="EN6" i="13"/>
  <c r="EO1" i="13"/>
  <c r="CD29" i="13"/>
  <c r="CE24" i="13" s="1"/>
  <c r="EN5" i="13" l="1"/>
  <c r="EN25" i="13"/>
  <c r="EO2" i="13"/>
  <c r="EN11" i="13"/>
  <c r="CE27" i="13"/>
  <c r="CE28" i="13" s="1"/>
  <c r="EO6" i="13"/>
  <c r="EP1" i="13"/>
  <c r="EO26" i="13"/>
  <c r="CO7" i="13"/>
  <c r="CO8" i="13" s="1"/>
  <c r="CO9" i="13" l="1"/>
  <c r="CP4" i="13" s="1"/>
  <c r="CE29" i="13"/>
  <c r="CF24" i="13" s="1"/>
  <c r="EO25" i="13"/>
  <c r="EO5" i="13"/>
  <c r="EO11" i="13"/>
  <c r="EP2" i="13"/>
  <c r="EP26" i="13"/>
  <c r="EP6" i="13"/>
  <c r="EP25" i="13" l="1"/>
  <c r="EP5" i="13"/>
  <c r="EP11" i="13"/>
  <c r="AF177" i="12"/>
  <c r="AF96" i="11"/>
  <c r="AG92" i="11"/>
  <c r="AF177" i="11"/>
  <c r="AF92" i="11"/>
  <c r="AG96" i="11"/>
  <c r="AF92" i="12"/>
  <c r="AF96" i="12"/>
  <c r="AG96" i="12"/>
  <c r="AG92" i="12"/>
  <c r="CF27" i="13"/>
  <c r="CF28" i="13" s="1"/>
  <c r="CP7" i="13"/>
  <c r="CP8" i="13" s="1"/>
  <c r="AG97" i="11" l="1"/>
  <c r="AG156" i="11" s="1"/>
  <c r="AG164" i="11" s="1"/>
  <c r="CP9" i="13"/>
  <c r="CQ4" i="13" s="1"/>
  <c r="AG177" i="12"/>
  <c r="AH177" i="12"/>
  <c r="AF176" i="12"/>
  <c r="AF179" i="12" s="1"/>
  <c r="AF139" i="12"/>
  <c r="AF141" i="12" s="1"/>
  <c r="AG97" i="12"/>
  <c r="AG156" i="12" s="1"/>
  <c r="AG164" i="12" s="1"/>
  <c r="AG176" i="11"/>
  <c r="AH176" i="11"/>
  <c r="AH179" i="11" s="1"/>
  <c r="AG139" i="11"/>
  <c r="AG141" i="11" s="1"/>
  <c r="AF97" i="11"/>
  <c r="CF29" i="13"/>
  <c r="CG24" i="13" s="1"/>
  <c r="AG176" i="12"/>
  <c r="AG179" i="12" s="1"/>
  <c r="AH176" i="12"/>
  <c r="AH179" i="12" s="1"/>
  <c r="AH181" i="12" s="1"/>
  <c r="AG139" i="12"/>
  <c r="AG141" i="12" s="1"/>
  <c r="AG177" i="11"/>
  <c r="AH177" i="11"/>
  <c r="AF176" i="11"/>
  <c r="AF179" i="11" s="1"/>
  <c r="AF139" i="11"/>
  <c r="AF141" i="11" s="1"/>
  <c r="AF97" i="12"/>
  <c r="H33" i="5" l="1" a="1"/>
  <c r="H33" i="5" s="1"/>
  <c r="H25" i="5" a="1"/>
  <c r="H25" i="5" s="1"/>
  <c r="AG179" i="11"/>
  <c r="AG181" i="11" s="1"/>
  <c r="H24" i="5" s="1" a="1"/>
  <c r="H24" i="5" s="1"/>
  <c r="AG181" i="12"/>
  <c r="CG27" i="13"/>
  <c r="CG28" i="13" s="1"/>
  <c r="AH181" i="11"/>
  <c r="I24" i="5" s="1" a="1"/>
  <c r="I24" i="5" s="1"/>
  <c r="I21" i="5" a="1"/>
  <c r="I21" i="5" s="1"/>
  <c r="I35" i="5" a="1"/>
  <c r="I35" i="5" s="1"/>
  <c r="I36" i="5" s="1"/>
  <c r="S55" i="2" a="1"/>
  <c r="S55" i="2" s="1"/>
  <c r="H35" i="5" a="1"/>
  <c r="H35" i="5" s="1"/>
  <c r="H36" i="5" s="1"/>
  <c r="AF156" i="12"/>
  <c r="AF164" i="12" s="1"/>
  <c r="AF181" i="12" s="1"/>
  <c r="AF103" i="12" s="1"/>
  <c r="AF105" i="12" s="1"/>
  <c r="AF147" i="12"/>
  <c r="AF156" i="11"/>
  <c r="AF164" i="11" s="1"/>
  <c r="AF181" i="11" s="1"/>
  <c r="AF147" i="11"/>
  <c r="G33" i="5" a="1"/>
  <c r="G33" i="5" s="1"/>
  <c r="G25" i="5" a="1"/>
  <c r="G25" i="5" s="1"/>
  <c r="G21" i="5" a="1"/>
  <c r="G21" i="5" s="1"/>
  <c r="R55" i="2" a="1"/>
  <c r="R55" i="2" s="1"/>
  <c r="G35" i="5" a="1"/>
  <c r="G35" i="5" s="1"/>
  <c r="S53" i="2" a="1"/>
  <c r="S53" i="2" s="1"/>
  <c r="H23" i="5" a="1"/>
  <c r="H23" i="5" s="1"/>
  <c r="CQ7" i="13"/>
  <c r="CQ8" i="13" s="1"/>
  <c r="H21" i="5" l="1" a="1"/>
  <c r="H21" i="5" s="1"/>
  <c r="S56" i="2"/>
  <c r="H38" i="5"/>
  <c r="G36" i="5"/>
  <c r="I38" i="5"/>
  <c r="AF106" i="12"/>
  <c r="AF119" i="12" s="1"/>
  <c r="G14" i="5" a="1"/>
  <c r="G14" i="5" s="1"/>
  <c r="AG103" i="12"/>
  <c r="AG105" i="12" s="1"/>
  <c r="L45" i="4" s="1" a="1"/>
  <c r="L45" i="4" s="1"/>
  <c r="R53" i="2" a="1"/>
  <c r="R53" i="2" s="1"/>
  <c r="R56" i="2" s="1"/>
  <c r="G23" i="5" a="1"/>
  <c r="G23" i="5" s="1"/>
  <c r="AG147" i="12"/>
  <c r="AF148" i="12"/>
  <c r="AF150" i="12" s="1"/>
  <c r="AF152" i="12" s="1"/>
  <c r="CQ9" i="13"/>
  <c r="CR4" i="13" s="1"/>
  <c r="AG147" i="11"/>
  <c r="AF148" i="11"/>
  <c r="AF150" i="11" s="1"/>
  <c r="AG106" i="12"/>
  <c r="AG119" i="12" s="1"/>
  <c r="AF103" i="11"/>
  <c r="AF105" i="11" s="1"/>
  <c r="G13" i="5" s="1"/>
  <c r="G24" i="5" a="1"/>
  <c r="G24" i="5" s="1"/>
  <c r="G38" i="5" s="1"/>
  <c r="CG29" i="13"/>
  <c r="CH24" i="13" s="1"/>
  <c r="AH103" i="12" l="1"/>
  <c r="AH105" i="12" s="1"/>
  <c r="H14" i="5" a="1"/>
  <c r="H14" i="5" s="1"/>
  <c r="CR7" i="13"/>
  <c r="CR8" i="13" s="1"/>
  <c r="AF106" i="11"/>
  <c r="AF119" i="11" s="1"/>
  <c r="AF152" i="11" s="1"/>
  <c r="AG103" i="11"/>
  <c r="AG105" i="11" s="1"/>
  <c r="H13" i="5" s="1"/>
  <c r="R59" i="2" a="1"/>
  <c r="R59" i="2" s="1"/>
  <c r="AH106" i="12"/>
  <c r="AH119" i="12" s="1"/>
  <c r="AI103" i="12"/>
  <c r="AI105" i="12" s="1"/>
  <c r="I14" i="5" a="1"/>
  <c r="I14" i="5" s="1"/>
  <c r="AH147" i="11"/>
  <c r="AG148" i="11"/>
  <c r="AG150" i="11" s="1"/>
  <c r="AH147" i="12"/>
  <c r="AG148" i="12"/>
  <c r="AG150" i="12" s="1"/>
  <c r="AG152" i="12" s="1"/>
  <c r="CH27" i="13"/>
  <c r="CH28" i="13" s="1"/>
  <c r="CH29" i="13" l="1"/>
  <c r="CI24" i="13" s="1"/>
  <c r="AI147" i="12"/>
  <c r="AH148" i="12"/>
  <c r="AH150" i="12" s="1"/>
  <c r="AH152" i="12" s="1"/>
  <c r="AJ103" i="12"/>
  <c r="AJ105" i="12" s="1"/>
  <c r="AI106" i="12"/>
  <c r="AI119" i="12" s="1"/>
  <c r="J14" i="5" a="1"/>
  <c r="J14" i="5" s="1"/>
  <c r="AI147" i="11"/>
  <c r="AH148" i="11"/>
  <c r="AH150" i="11" s="1"/>
  <c r="AH103" i="11"/>
  <c r="AH105" i="11" s="1"/>
  <c r="I13" i="5" s="1"/>
  <c r="AG106" i="11"/>
  <c r="AG119" i="11" s="1"/>
  <c r="AG152" i="11" s="1"/>
  <c r="S59" i="2" a="1"/>
  <c r="S59" i="2" s="1"/>
  <c r="E45" i="4" a="1"/>
  <c r="E45" i="4" s="1"/>
  <c r="CR9" i="13"/>
  <c r="CS4" i="13" s="1"/>
  <c r="CS7" i="13" l="1"/>
  <c r="CS8" i="13" s="1"/>
  <c r="AJ147" i="11"/>
  <c r="AI148" i="11"/>
  <c r="AI150" i="11" s="1"/>
  <c r="AK103" i="12"/>
  <c r="AK105" i="12" s="1"/>
  <c r="AJ106" i="12"/>
  <c r="AJ119" i="12" s="1"/>
  <c r="M45" i="4" a="1"/>
  <c r="M45" i="4" s="1"/>
  <c r="K14" i="5" a="1"/>
  <c r="K14" i="5" s="1"/>
  <c r="AJ147" i="12"/>
  <c r="AI148" i="12"/>
  <c r="AI150" i="12" s="1"/>
  <c r="AI152" i="12" s="1"/>
  <c r="AI103" i="11"/>
  <c r="AI105" i="11" s="1"/>
  <c r="J13" i="5" s="1"/>
  <c r="AH106" i="11"/>
  <c r="AH119" i="11" s="1"/>
  <c r="AH152" i="11" s="1"/>
  <c r="CI27" i="13"/>
  <c r="CI28" i="13" s="1"/>
  <c r="CS9" i="13" l="1"/>
  <c r="CT4" i="13" s="1"/>
  <c r="CI29" i="13"/>
  <c r="CJ24" i="13" s="1"/>
  <c r="AJ103" i="11"/>
  <c r="AJ105" i="11" s="1"/>
  <c r="K13" i="5" s="1"/>
  <c r="AI106" i="11"/>
  <c r="AI119" i="11" s="1"/>
  <c r="AI152" i="11" s="1"/>
  <c r="AK147" i="12"/>
  <c r="AJ148" i="12"/>
  <c r="AJ150" i="12" s="1"/>
  <c r="AJ152" i="12" s="1"/>
  <c r="AL103" i="12"/>
  <c r="AL105" i="12" s="1"/>
  <c r="AK106" i="12"/>
  <c r="AK119" i="12" s="1"/>
  <c r="L14" i="5" a="1"/>
  <c r="L14" i="5" s="1"/>
  <c r="AK147" i="11"/>
  <c r="AJ148" i="11"/>
  <c r="AJ150" i="11" s="1"/>
  <c r="AL147" i="11" l="1"/>
  <c r="AK148" i="11"/>
  <c r="AK150" i="11" s="1"/>
  <c r="AM103" i="12"/>
  <c r="AM105" i="12" s="1"/>
  <c r="AL106" i="12"/>
  <c r="AL119" i="12" s="1"/>
  <c r="M14" i="5" a="1"/>
  <c r="M14" i="5" s="1"/>
  <c r="AL147" i="12"/>
  <c r="AK148" i="12"/>
  <c r="AK150" i="12" s="1"/>
  <c r="AK152" i="12" s="1"/>
  <c r="AJ106" i="11"/>
  <c r="AJ119" i="11" s="1"/>
  <c r="AJ152" i="11" s="1"/>
  <c r="AK103" i="11"/>
  <c r="AK105" i="11" s="1"/>
  <c r="L13" i="5" s="1"/>
  <c r="F45" i="4" a="1"/>
  <c r="F45" i="4" s="1"/>
  <c r="CJ27" i="13"/>
  <c r="CJ28" i="13" s="1"/>
  <c r="CT7" i="13"/>
  <c r="CT8" i="13" s="1"/>
  <c r="CJ29" i="13" l="1"/>
  <c r="CK24" i="13" s="1"/>
  <c r="AM147" i="12"/>
  <c r="AL148" i="12"/>
  <c r="AL150" i="12" s="1"/>
  <c r="AL152" i="12" s="1"/>
  <c r="CT9" i="13"/>
  <c r="CU4" i="13" s="1"/>
  <c r="AM106" i="12"/>
  <c r="AM119" i="12" s="1"/>
  <c r="AN103" i="12"/>
  <c r="AN105" i="12" s="1"/>
  <c r="N14" i="5" a="1"/>
  <c r="N14" i="5" s="1"/>
  <c r="L108" i="4" a="1"/>
  <c r="L108" i="4" s="1"/>
  <c r="N45" i="4" a="1"/>
  <c r="N45" i="4" s="1"/>
  <c r="L22" i="4" a="1"/>
  <c r="L22" i="4" s="1"/>
  <c r="L131" i="4" a="1"/>
  <c r="L131" i="4" s="1"/>
  <c r="AK106" i="11"/>
  <c r="AK119" i="11" s="1"/>
  <c r="AK152" i="11" s="1"/>
  <c r="AL103" i="11"/>
  <c r="AL105" i="11" s="1"/>
  <c r="M13" i="5" s="1"/>
  <c r="AM147" i="11"/>
  <c r="AL148" i="11"/>
  <c r="AL150" i="11" s="1"/>
  <c r="AN147" i="11" l="1"/>
  <c r="AM148" i="11"/>
  <c r="AM150" i="11" s="1"/>
  <c r="M22" i="4"/>
  <c r="N22" i="4"/>
  <c r="AO103" i="12"/>
  <c r="AO105" i="12" s="1"/>
  <c r="AN106" i="12"/>
  <c r="AN119" i="12" s="1"/>
  <c r="O14" i="5" a="1"/>
  <c r="O14" i="5" s="1"/>
  <c r="CU7" i="13"/>
  <c r="CU8" i="13" s="1"/>
  <c r="AL106" i="11"/>
  <c r="AL119" i="11" s="1"/>
  <c r="AL152" i="11" s="1"/>
  <c r="AM103" i="11"/>
  <c r="AM105" i="11" s="1"/>
  <c r="N13" i="5" s="1"/>
  <c r="AN147" i="12"/>
  <c r="AM148" i="12"/>
  <c r="AM150" i="12" s="1"/>
  <c r="AM152" i="12" s="1"/>
  <c r="N108" i="4"/>
  <c r="M108" i="4"/>
  <c r="CK27" i="13"/>
  <c r="CK28" i="13" s="1"/>
  <c r="AM106" i="11" l="1"/>
  <c r="AM119" i="11" s="1"/>
  <c r="AM152" i="11" s="1"/>
  <c r="AN103" i="11"/>
  <c r="AN105" i="11" s="1"/>
  <c r="O13" i="5" s="1"/>
  <c r="E131" i="4" a="1"/>
  <c r="E131" i="4" s="1"/>
  <c r="E108" i="4" a="1"/>
  <c r="E108" i="4" s="1"/>
  <c r="E22" i="4" a="1"/>
  <c r="E22" i="4" s="1"/>
  <c r="G45" i="4" a="1"/>
  <c r="G45" i="4" s="1"/>
  <c r="CU9" i="13"/>
  <c r="CV4" i="13" s="1"/>
  <c r="AO147" i="12"/>
  <c r="AN148" i="12"/>
  <c r="AN150" i="12" s="1"/>
  <c r="AN152" i="12" s="1"/>
  <c r="AP103" i="12"/>
  <c r="AP105" i="12" s="1"/>
  <c r="AO106" i="12"/>
  <c r="AO119" i="12" s="1"/>
  <c r="P14" i="5" a="1"/>
  <c r="P14" i="5" s="1"/>
  <c r="CK29" i="13"/>
  <c r="CL24" i="13" s="1"/>
  <c r="AO147" i="11"/>
  <c r="AN148" i="11"/>
  <c r="AN150" i="11" s="1"/>
  <c r="AP147" i="11" l="1"/>
  <c r="AO148" i="11"/>
  <c r="AO150" i="11" s="1"/>
  <c r="AP147" i="12"/>
  <c r="AO148" i="12"/>
  <c r="AO150" i="12" s="1"/>
  <c r="AO152" i="12" s="1"/>
  <c r="CV7" i="13"/>
  <c r="CV8" i="13" s="1"/>
  <c r="AP106" i="12"/>
  <c r="AP119" i="12" s="1"/>
  <c r="AQ103" i="12"/>
  <c r="AQ105" i="12" s="1"/>
  <c r="Q14" i="5" a="1"/>
  <c r="Q14" i="5" s="1"/>
  <c r="L85" i="4" a="1"/>
  <c r="L85" i="4" s="1"/>
  <c r="CL27" i="13"/>
  <c r="CL28" i="13" s="1"/>
  <c r="G108" i="4"/>
  <c r="F108" i="4"/>
  <c r="AN106" i="11"/>
  <c r="AN119" i="11" s="1"/>
  <c r="AN152" i="11" s="1"/>
  <c r="AO103" i="11"/>
  <c r="AO105" i="11" s="1"/>
  <c r="P13" i="5" s="1"/>
  <c r="F22" i="4"/>
  <c r="G22" i="4"/>
  <c r="CV9" i="13" l="1"/>
  <c r="CW4" i="13" s="1"/>
  <c r="N85" i="4"/>
  <c r="M85" i="4"/>
  <c r="AQ147" i="12"/>
  <c r="AP148" i="12"/>
  <c r="AP150" i="12" s="1"/>
  <c r="AP152" i="12" s="1"/>
  <c r="AP103" i="11"/>
  <c r="AP105" i="11" s="1"/>
  <c r="Q13" i="5" s="1"/>
  <c r="AO106" i="11"/>
  <c r="AO119" i="11" s="1"/>
  <c r="AO152" i="11" s="1"/>
  <c r="CL29" i="13"/>
  <c r="CM24" i="13" s="1"/>
  <c r="AR103" i="12"/>
  <c r="AR105" i="12" s="1"/>
  <c r="AQ106" i="12"/>
  <c r="AQ119" i="12" s="1"/>
  <c r="R14" i="5" a="1"/>
  <c r="R14" i="5" s="1"/>
  <c r="AQ147" i="11"/>
  <c r="AP148" i="11"/>
  <c r="AP150" i="11" s="1"/>
  <c r="AR147" i="11" l="1"/>
  <c r="AQ148" i="11"/>
  <c r="AQ150" i="11" s="1"/>
  <c r="AS103" i="12"/>
  <c r="AS105" i="12" s="1"/>
  <c r="AR106" i="12"/>
  <c r="AR119" i="12" s="1"/>
  <c r="S14" i="5" a="1"/>
  <c r="S14" i="5" s="1"/>
  <c r="AR147" i="12"/>
  <c r="AQ148" i="12"/>
  <c r="AQ150" i="12" s="1"/>
  <c r="AQ152" i="12" s="1"/>
  <c r="CM27" i="13"/>
  <c r="CM28" i="13" s="1"/>
  <c r="AP106" i="11"/>
  <c r="AP119" i="11" s="1"/>
  <c r="AP152" i="11" s="1"/>
  <c r="AQ103" i="11"/>
  <c r="AQ105" i="11" s="1"/>
  <c r="R13" i="5" s="1"/>
  <c r="CW7" i="13"/>
  <c r="CW8" i="13" s="1"/>
  <c r="AQ106" i="11" l="1"/>
  <c r="AQ119" i="11" s="1"/>
  <c r="AQ152" i="11" s="1"/>
  <c r="AR103" i="11"/>
  <c r="AR105" i="11" s="1"/>
  <c r="S13" i="5" s="1"/>
  <c r="E85" i="4" a="1"/>
  <c r="E85" i="4" s="1"/>
  <c r="AS147" i="12"/>
  <c r="AR148" i="12"/>
  <c r="AR150" i="12" s="1"/>
  <c r="AR152" i="12" s="1"/>
  <c r="CW9" i="13"/>
  <c r="CX4" i="13" s="1"/>
  <c r="CM29" i="13"/>
  <c r="CN24" i="13" s="1"/>
  <c r="AS106" i="12"/>
  <c r="AS119" i="12" s="1"/>
  <c r="AT103" i="12"/>
  <c r="AT105" i="12" s="1"/>
  <c r="T14" i="5" a="1"/>
  <c r="T14" i="5" s="1"/>
  <c r="AS147" i="11"/>
  <c r="AR148" i="11"/>
  <c r="AR150" i="11" s="1"/>
  <c r="AU103" i="12" l="1"/>
  <c r="AU105" i="12" s="1"/>
  <c r="AT106" i="12"/>
  <c r="AT119" i="12" s="1"/>
  <c r="U14" i="5" a="1"/>
  <c r="U14" i="5" s="1"/>
  <c r="CN27" i="13"/>
  <c r="CN28" i="13" s="1"/>
  <c r="AT147" i="11"/>
  <c r="AS148" i="11"/>
  <c r="AS150" i="11" s="1"/>
  <c r="CX7" i="13"/>
  <c r="CX8" i="13" s="1"/>
  <c r="AT147" i="12"/>
  <c r="AS148" i="12"/>
  <c r="AS150" i="12" s="1"/>
  <c r="AS152" i="12" s="1"/>
  <c r="AR106" i="11"/>
  <c r="AR119" i="11" s="1"/>
  <c r="AR152" i="11" s="1"/>
  <c r="AS103" i="11"/>
  <c r="AS105" i="11" s="1"/>
  <c r="T13" i="5" s="1"/>
  <c r="F85" i="4"/>
  <c r="G85" i="4"/>
  <c r="AS106" i="11" l="1"/>
  <c r="AS119" i="11" s="1"/>
  <c r="AT103" i="11"/>
  <c r="AT105" i="11" s="1"/>
  <c r="U13" i="5" s="1"/>
  <c r="AU147" i="12"/>
  <c r="AT148" i="12"/>
  <c r="AT150" i="12" s="1"/>
  <c r="AT152" i="12" s="1"/>
  <c r="AS152" i="11"/>
  <c r="AU147" i="11"/>
  <c r="AT148" i="11"/>
  <c r="AT150" i="11" s="1"/>
  <c r="CX9" i="13"/>
  <c r="CY4" i="13" s="1"/>
  <c r="CN29" i="13"/>
  <c r="CO24" i="13" s="1"/>
  <c r="AU106" i="12"/>
  <c r="AU119" i="12" s="1"/>
  <c r="AV103" i="12"/>
  <c r="AV105" i="12" s="1"/>
  <c r="V14" i="5" a="1"/>
  <c r="V14" i="5" s="1"/>
  <c r="CO27" i="13" l="1"/>
  <c r="CO28" i="13" s="1"/>
  <c r="AT106" i="11"/>
  <c r="AT119" i="11" s="1"/>
  <c r="AT152" i="11" s="1"/>
  <c r="AU103" i="11"/>
  <c r="AU105" i="11" s="1"/>
  <c r="V13" i="5" s="1"/>
  <c r="AV106" i="12"/>
  <c r="AV119" i="12" s="1"/>
  <c r="AW103" i="12"/>
  <c r="AW105" i="12" s="1"/>
  <c r="W14" i="5" a="1"/>
  <c r="W14" i="5" s="1"/>
  <c r="CY7" i="13"/>
  <c r="CY8" i="13" s="1"/>
  <c r="AV147" i="11"/>
  <c r="AU148" i="11"/>
  <c r="AU150" i="11" s="1"/>
  <c r="AV147" i="12"/>
  <c r="AU148" i="12"/>
  <c r="AU150" i="12" s="1"/>
  <c r="AU152" i="12" s="1"/>
  <c r="AW147" i="12" l="1"/>
  <c r="AV148" i="12"/>
  <c r="AV150" i="12" s="1"/>
  <c r="AV152" i="12" s="1"/>
  <c r="AW147" i="11"/>
  <c r="AV148" i="11"/>
  <c r="AV150" i="11" s="1"/>
  <c r="CY9" i="13"/>
  <c r="CZ4" i="13" s="1"/>
  <c r="AW106" i="12"/>
  <c r="AW119" i="12" s="1"/>
  <c r="AX103" i="12"/>
  <c r="AX105" i="12" s="1"/>
  <c r="X14" i="5" a="1"/>
  <c r="X14" i="5" s="1"/>
  <c r="CO29" i="13"/>
  <c r="CP24" i="13" s="1"/>
  <c r="AU106" i="11"/>
  <c r="AU119" i="11" s="1"/>
  <c r="AU152" i="11" s="1"/>
  <c r="AV103" i="11"/>
  <c r="AV105" i="11" s="1"/>
  <c r="W13" i="5" s="1"/>
  <c r="CP27" i="13" l="1"/>
  <c r="CP28" i="13" s="1"/>
  <c r="CZ7" i="13"/>
  <c r="CZ8" i="13" s="1"/>
  <c r="AW103" i="11"/>
  <c r="AW105" i="11" s="1"/>
  <c r="X13" i="5" s="1"/>
  <c r="AV106" i="11"/>
  <c r="AV119" i="11" s="1"/>
  <c r="AV152" i="11" s="1"/>
  <c r="AX106" i="12"/>
  <c r="AX119" i="12" s="1"/>
  <c r="AY103" i="12"/>
  <c r="AY105" i="12" s="1"/>
  <c r="Y14" i="5" a="1"/>
  <c r="Y14" i="5" s="1"/>
  <c r="AX147" i="11"/>
  <c r="AW148" i="11"/>
  <c r="AW150" i="11" s="1"/>
  <c r="AX147" i="12"/>
  <c r="AW148" i="12"/>
  <c r="AW150" i="12" s="1"/>
  <c r="AW152" i="12" s="1"/>
  <c r="AY147" i="12" l="1"/>
  <c r="AX148" i="12"/>
  <c r="AX150" i="12" s="1"/>
  <c r="AX152" i="12" s="1"/>
  <c r="AY106" i="12"/>
  <c r="AY119" i="12" s="1"/>
  <c r="AZ103" i="12"/>
  <c r="AZ105" i="12" s="1"/>
  <c r="Z14" i="5" a="1"/>
  <c r="Z14" i="5" s="1"/>
  <c r="M131" i="4" a="1"/>
  <c r="M131" i="4" s="1"/>
  <c r="AY147" i="11"/>
  <c r="AX148" i="11"/>
  <c r="AX150" i="11" s="1"/>
  <c r="AX103" i="11"/>
  <c r="AX105" i="11" s="1"/>
  <c r="Y13" i="5" s="1"/>
  <c r="AW106" i="11"/>
  <c r="AW119" i="11" s="1"/>
  <c r="AW152" i="11" s="1"/>
  <c r="CZ9" i="13"/>
  <c r="DA4" i="13" s="1"/>
  <c r="CP29" i="13"/>
  <c r="CQ24" i="13" s="1"/>
  <c r="AZ147" i="11" l="1"/>
  <c r="AY148" i="11"/>
  <c r="AY150" i="11" s="1"/>
  <c r="DA7" i="13"/>
  <c r="DA8" i="13" s="1"/>
  <c r="AY103" i="11"/>
  <c r="AY105" i="11" s="1"/>
  <c r="Z13" i="5" s="1"/>
  <c r="AX106" i="11"/>
  <c r="AX119" i="11" s="1"/>
  <c r="AX152" i="11" s="1"/>
  <c r="BA103" i="12"/>
  <c r="BA105" i="12" s="1"/>
  <c r="AZ106" i="12"/>
  <c r="AZ119" i="12" s="1"/>
  <c r="CQ27" i="13"/>
  <c r="CQ28" i="13" s="1"/>
  <c r="AZ147" i="12"/>
  <c r="AY148" i="12"/>
  <c r="AY150" i="12" s="1"/>
  <c r="AY152" i="12" s="1"/>
  <c r="BA106" i="12" l="1"/>
  <c r="BA119" i="12" s="1"/>
  <c r="BB103" i="12"/>
  <c r="BB105" i="12" s="1"/>
  <c r="BA147" i="12"/>
  <c r="AZ148" i="12"/>
  <c r="AZ150" i="12" s="1"/>
  <c r="AZ152" i="12" s="1"/>
  <c r="CQ29" i="13"/>
  <c r="CR24" i="13" s="1"/>
  <c r="AZ103" i="11"/>
  <c r="AZ105" i="11" s="1"/>
  <c r="AY106" i="11"/>
  <c r="AY119" i="11" s="1"/>
  <c r="AY152" i="11" s="1"/>
  <c r="F131" i="4" a="1"/>
  <c r="F131" i="4" s="1"/>
  <c r="DA9" i="13"/>
  <c r="DB4" i="13" s="1"/>
  <c r="BA147" i="11"/>
  <c r="AZ148" i="11"/>
  <c r="AZ150" i="11" s="1"/>
  <c r="DB7" i="13" l="1"/>
  <c r="DB8" i="13" s="1"/>
  <c r="AZ106" i="11"/>
  <c r="AZ119" i="11" s="1"/>
  <c r="AZ152" i="11" s="1"/>
  <c r="BA103" i="11"/>
  <c r="BA105" i="11" s="1"/>
  <c r="BB147" i="11"/>
  <c r="BA148" i="11"/>
  <c r="BA150" i="11" s="1"/>
  <c r="CR27" i="13"/>
  <c r="CR28" i="13" s="1"/>
  <c r="BB106" i="12"/>
  <c r="BB119" i="12" s="1"/>
  <c r="BC103" i="12"/>
  <c r="BC105" i="12" s="1"/>
  <c r="BB147" i="12"/>
  <c r="BA148" i="12"/>
  <c r="BA150" i="12" s="1"/>
  <c r="BA152" i="12" s="1"/>
  <c r="BD103" i="12" l="1"/>
  <c r="BD105" i="12" s="1"/>
  <c r="BC106" i="12"/>
  <c r="BC119" i="12" s="1"/>
  <c r="BC147" i="11"/>
  <c r="BB148" i="11"/>
  <c r="BB150" i="11" s="1"/>
  <c r="BB103" i="11"/>
  <c r="BB105" i="11" s="1"/>
  <c r="BA106" i="11"/>
  <c r="BA119" i="11" s="1"/>
  <c r="BA152" i="11" s="1"/>
  <c r="BC147" i="12"/>
  <c r="BB148" i="12"/>
  <c r="BB150" i="12" s="1"/>
  <c r="BB152" i="12" s="1"/>
  <c r="CR29" i="13"/>
  <c r="CS24" i="13" s="1"/>
  <c r="DB9" i="13"/>
  <c r="DC4" i="13" s="1"/>
  <c r="CS27" i="13" l="1"/>
  <c r="CS28" i="13" s="1"/>
  <c r="BD147" i="12"/>
  <c r="BC148" i="12"/>
  <c r="BC150" i="12" s="1"/>
  <c r="BC152" i="12" s="1"/>
  <c r="BB106" i="11"/>
  <c r="BB119" i="11" s="1"/>
  <c r="BB152" i="11" s="1"/>
  <c r="BC103" i="11"/>
  <c r="BC105" i="11" s="1"/>
  <c r="DC7" i="13"/>
  <c r="DC8" i="13" s="1"/>
  <c r="BD147" i="11"/>
  <c r="BC148" i="11"/>
  <c r="BC150" i="11" s="1"/>
  <c r="BE103" i="12"/>
  <c r="BE105" i="12" s="1"/>
  <c r="BD106" i="12"/>
  <c r="BD119" i="12" s="1"/>
  <c r="BF103" i="12" l="1"/>
  <c r="BF105" i="12" s="1"/>
  <c r="BE106" i="12"/>
  <c r="BE119" i="12" s="1"/>
  <c r="DC9" i="13"/>
  <c r="DD4" i="13" s="1"/>
  <c r="BC106" i="11"/>
  <c r="BC119" i="11" s="1"/>
  <c r="BC152" i="11" s="1"/>
  <c r="BD103" i="11"/>
  <c r="BD105" i="11" s="1"/>
  <c r="BE147" i="11"/>
  <c r="BD148" i="11"/>
  <c r="BD150" i="11" s="1"/>
  <c r="BE147" i="12"/>
  <c r="BD148" i="12"/>
  <c r="BD150" i="12" s="1"/>
  <c r="BD152" i="12" s="1"/>
  <c r="CS29" i="13"/>
  <c r="CT24" i="13" s="1"/>
  <c r="CT27" i="13" l="1"/>
  <c r="CT28" i="13" s="1"/>
  <c r="BD106" i="11"/>
  <c r="BD119" i="11" s="1"/>
  <c r="BD152" i="11" s="1"/>
  <c r="BE103" i="11"/>
  <c r="BE105" i="11" s="1"/>
  <c r="BF147" i="12"/>
  <c r="BE148" i="12"/>
  <c r="BE150" i="12" s="1"/>
  <c r="BE152" i="12" s="1"/>
  <c r="BF147" i="11"/>
  <c r="BE148" i="11"/>
  <c r="BE150" i="11" s="1"/>
  <c r="DD7" i="13"/>
  <c r="DD8" i="13" s="1"/>
  <c r="BF106" i="12"/>
  <c r="BF119" i="12" s="1"/>
  <c r="BG103" i="12"/>
  <c r="BG105" i="12" s="1"/>
  <c r="BG106" i="12" l="1"/>
  <c r="BG119" i="12" s="1"/>
  <c r="BH103" i="12"/>
  <c r="BH105" i="12" s="1"/>
  <c r="DD9" i="13"/>
  <c r="DE4" i="13" s="1"/>
  <c r="BF103" i="11"/>
  <c r="BF105" i="11" s="1"/>
  <c r="BE106" i="11"/>
  <c r="BE119" i="11" s="1"/>
  <c r="BE152" i="11" s="1"/>
  <c r="BG147" i="11"/>
  <c r="BF148" i="11"/>
  <c r="BF150" i="11" s="1"/>
  <c r="BG147" i="12"/>
  <c r="BF148" i="12"/>
  <c r="BF150" i="12" s="1"/>
  <c r="BF152" i="12" s="1"/>
  <c r="CT29" i="13"/>
  <c r="CU24" i="13" s="1"/>
  <c r="BF106" i="11" l="1"/>
  <c r="BF119" i="11" s="1"/>
  <c r="BF152" i="11" s="1"/>
  <c r="BG103" i="11"/>
  <c r="BG105" i="11" s="1"/>
  <c r="BH106" i="12"/>
  <c r="BH119" i="12" s="1"/>
  <c r="BI103" i="12"/>
  <c r="BI105" i="12" s="1"/>
  <c r="CU27" i="13"/>
  <c r="CU28" i="13" s="1"/>
  <c r="BH147" i="12"/>
  <c r="BG148" i="12"/>
  <c r="BG150" i="12" s="1"/>
  <c r="BG152" i="12" s="1"/>
  <c r="BH147" i="11"/>
  <c r="BG148" i="11"/>
  <c r="BG150" i="11" s="1"/>
  <c r="DE7" i="13"/>
  <c r="DE8" i="13" s="1"/>
  <c r="BI147" i="11" l="1"/>
  <c r="BH148" i="11"/>
  <c r="BH150" i="11" s="1"/>
  <c r="DE9" i="13"/>
  <c r="DF4" i="13" s="1"/>
  <c r="CU29" i="13"/>
  <c r="CV24" i="13" s="1"/>
  <c r="BI147" i="12"/>
  <c r="BH148" i="12"/>
  <c r="BH150" i="12" s="1"/>
  <c r="BH152" i="12" s="1"/>
  <c r="BI106" i="12"/>
  <c r="BI119" i="12" s="1"/>
  <c r="BJ103" i="12"/>
  <c r="BJ105" i="12" s="1"/>
  <c r="BG106" i="11"/>
  <c r="BG119" i="11" s="1"/>
  <c r="BG152" i="11" s="1"/>
  <c r="BH103" i="11"/>
  <c r="BH105" i="11" s="1"/>
  <c r="BH106" i="11" l="1"/>
  <c r="BH119" i="11" s="1"/>
  <c r="BH152" i="11" s="1"/>
  <c r="BI103" i="11"/>
  <c r="BI105" i="11" s="1"/>
  <c r="BK103" i="12"/>
  <c r="BK105" i="12" s="1"/>
  <c r="BJ106" i="12"/>
  <c r="BJ119" i="12" s="1"/>
  <c r="BJ147" i="12"/>
  <c r="BI148" i="12"/>
  <c r="BI150" i="12" s="1"/>
  <c r="BI152" i="12" s="1"/>
  <c r="CV27" i="13"/>
  <c r="CV28" i="13" s="1"/>
  <c r="DF7" i="13"/>
  <c r="DF8" i="13" s="1"/>
  <c r="BJ147" i="11"/>
  <c r="BI148" i="11"/>
  <c r="BI150" i="11" s="1"/>
  <c r="BK147" i="11" l="1"/>
  <c r="BJ148" i="11"/>
  <c r="BJ150" i="11" s="1"/>
  <c r="DF9" i="13"/>
  <c r="DG4" i="13" s="1"/>
  <c r="CV29" i="13"/>
  <c r="CW24" i="13" s="1"/>
  <c r="BK147" i="12"/>
  <c r="BJ148" i="12"/>
  <c r="BJ150" i="12" s="1"/>
  <c r="BJ152" i="12" s="1"/>
  <c r="BK106" i="12"/>
  <c r="BK119" i="12" s="1"/>
  <c r="BL103" i="12"/>
  <c r="BL105" i="12" s="1"/>
  <c r="N131" i="4" a="1"/>
  <c r="N131" i="4" s="1"/>
  <c r="BI106" i="11"/>
  <c r="BI119" i="11" s="1"/>
  <c r="BI152" i="11" s="1"/>
  <c r="BJ103" i="11"/>
  <c r="BJ105" i="11" s="1"/>
  <c r="BL106" i="12" l="1"/>
  <c r="BL119" i="12" s="1"/>
  <c r="BM103" i="12"/>
  <c r="BM105" i="12" s="1"/>
  <c r="CW27" i="13"/>
  <c r="CW28" i="13" s="1"/>
  <c r="BJ106" i="11"/>
  <c r="BJ119" i="11" s="1"/>
  <c r="BJ152" i="11" s="1"/>
  <c r="BK103" i="11"/>
  <c r="BK105" i="11" s="1"/>
  <c r="BL147" i="12"/>
  <c r="BK148" i="12"/>
  <c r="BK150" i="12" s="1"/>
  <c r="BK152" i="12" s="1"/>
  <c r="DG7" i="13"/>
  <c r="DG8" i="13" s="1"/>
  <c r="BL147" i="11"/>
  <c r="BK148" i="11"/>
  <c r="BK150" i="11" s="1"/>
  <c r="DG9" i="13" l="1"/>
  <c r="DH4" i="13" s="1"/>
  <c r="BM106" i="12"/>
  <c r="BM119" i="12" s="1"/>
  <c r="BN103" i="12"/>
  <c r="BN105" i="12" s="1"/>
  <c r="BM147" i="11"/>
  <c r="BL148" i="11"/>
  <c r="BL150" i="11" s="1"/>
  <c r="BM147" i="12"/>
  <c r="BL148" i="12"/>
  <c r="BL150" i="12" s="1"/>
  <c r="BL152" i="12" s="1"/>
  <c r="BL103" i="11"/>
  <c r="BL105" i="11" s="1"/>
  <c r="BK106" i="11"/>
  <c r="BK119" i="11" s="1"/>
  <c r="BK152" i="11" s="1"/>
  <c r="G131" i="4" a="1"/>
  <c r="G131" i="4" s="1"/>
  <c r="CW29" i="13"/>
  <c r="CX24" i="13" s="1"/>
  <c r="BM103" i="11" l="1"/>
  <c r="BM105" i="11" s="1"/>
  <c r="BL106" i="11"/>
  <c r="BL119" i="11" s="1"/>
  <c r="BL152" i="11" s="1"/>
  <c r="BN147" i="11"/>
  <c r="BM148" i="11"/>
  <c r="BM150" i="11" s="1"/>
  <c r="CX27" i="13"/>
  <c r="CX28" i="13" s="1"/>
  <c r="BN147" i="12"/>
  <c r="BM148" i="12"/>
  <c r="BM150" i="12" s="1"/>
  <c r="BM152" i="12" s="1"/>
  <c r="BN106" i="12"/>
  <c r="BN119" i="12" s="1"/>
  <c r="BO103" i="12"/>
  <c r="BO105" i="12" s="1"/>
  <c r="DH7" i="13"/>
  <c r="DH8" i="13" s="1"/>
  <c r="BP103" i="12" l="1"/>
  <c r="BP105" i="12" s="1"/>
  <c r="BO106" i="12"/>
  <c r="BO119" i="12" s="1"/>
  <c r="BO147" i="12"/>
  <c r="BN148" i="12"/>
  <c r="BN150" i="12" s="1"/>
  <c r="BN152" i="12" s="1"/>
  <c r="CX29" i="13"/>
  <c r="CY24" i="13" s="1"/>
  <c r="DH9" i="13"/>
  <c r="DI4" i="13" s="1"/>
  <c r="BO147" i="11"/>
  <c r="BN148" i="11"/>
  <c r="BN150" i="11" s="1"/>
  <c r="BN103" i="11"/>
  <c r="BN105" i="11" s="1"/>
  <c r="BM106" i="11"/>
  <c r="BM119" i="11" s="1"/>
  <c r="BM152" i="11" s="1"/>
  <c r="CY27" i="13" l="1"/>
  <c r="CY28" i="13" s="1"/>
  <c r="DI7" i="13"/>
  <c r="DI8" i="13" s="1"/>
  <c r="BP147" i="12"/>
  <c r="BO148" i="12"/>
  <c r="BO150" i="12" s="1"/>
  <c r="BO152" i="12" s="1"/>
  <c r="BO103" i="11"/>
  <c r="BO105" i="11" s="1"/>
  <c r="BN106" i="11"/>
  <c r="BN119" i="11" s="1"/>
  <c r="BN152" i="11" s="1"/>
  <c r="BP147" i="11"/>
  <c r="BO148" i="11"/>
  <c r="BO150" i="11" s="1"/>
  <c r="BQ103" i="12"/>
  <c r="BQ105" i="12" s="1"/>
  <c r="BP106" i="12"/>
  <c r="BP119" i="12" s="1"/>
  <c r="BQ147" i="11" l="1"/>
  <c r="BP148" i="11"/>
  <c r="BP150" i="11" s="1"/>
  <c r="BR103" i="12"/>
  <c r="BR105" i="12" s="1"/>
  <c r="BQ106" i="12"/>
  <c r="BQ119" i="12" s="1"/>
  <c r="BP103" i="11"/>
  <c r="BP105" i="11" s="1"/>
  <c r="BO106" i="11"/>
  <c r="BO119" i="11" s="1"/>
  <c r="BO152" i="11" s="1"/>
  <c r="BQ147" i="12"/>
  <c r="BP148" i="12"/>
  <c r="BP150" i="12" s="1"/>
  <c r="BP152" i="12" s="1"/>
  <c r="DI9" i="13"/>
  <c r="DJ4" i="13" s="1"/>
  <c r="CY29" i="13"/>
  <c r="CZ24" i="13" s="1"/>
  <c r="DJ7" i="13" l="1"/>
  <c r="DJ8" i="13" s="1"/>
  <c r="BR106" i="12"/>
  <c r="BR119" i="12" s="1"/>
  <c r="BS103" i="12"/>
  <c r="BS105" i="12" s="1"/>
  <c r="CZ27" i="13"/>
  <c r="CZ28" i="13" s="1"/>
  <c r="CZ29" i="13" s="1"/>
  <c r="DA24" i="13" s="1"/>
  <c r="BR147" i="12"/>
  <c r="BQ148" i="12"/>
  <c r="BQ150" i="12" s="1"/>
  <c r="BQ152" i="12" s="1"/>
  <c r="BP106" i="11"/>
  <c r="BP119" i="11" s="1"/>
  <c r="BP152" i="11" s="1"/>
  <c r="BQ103" i="11"/>
  <c r="BQ105" i="11" s="1"/>
  <c r="BR147" i="11"/>
  <c r="BQ148" i="11"/>
  <c r="BQ150" i="11" s="1"/>
  <c r="DA27" i="13" l="1"/>
  <c r="DA28" i="13" s="1"/>
  <c r="BS147" i="12"/>
  <c r="BR148" i="12"/>
  <c r="BR150" i="12" s="1"/>
  <c r="BR152" i="12" s="1"/>
  <c r="BR103" i="11"/>
  <c r="BR105" i="11" s="1"/>
  <c r="BQ106" i="11"/>
  <c r="BQ119" i="11" s="1"/>
  <c r="BQ152" i="11" s="1"/>
  <c r="BT103" i="12"/>
  <c r="BT105" i="12" s="1"/>
  <c r="BS106" i="12"/>
  <c r="BS119" i="12" s="1"/>
  <c r="BS147" i="11"/>
  <c r="BR148" i="11"/>
  <c r="BR150" i="11" s="1"/>
  <c r="DJ9" i="13"/>
  <c r="DK4" i="13" s="1"/>
  <c r="BU103" i="12" l="1"/>
  <c r="BU105" i="12" s="1"/>
  <c r="BT106" i="12"/>
  <c r="BT119" i="12" s="1"/>
  <c r="BS103" i="11"/>
  <c r="BS105" i="11" s="1"/>
  <c r="BR106" i="11"/>
  <c r="BR119" i="11" s="1"/>
  <c r="BR152" i="11" s="1"/>
  <c r="DK7" i="13"/>
  <c r="DK8" i="13" s="1"/>
  <c r="BT147" i="11"/>
  <c r="BS148" i="11"/>
  <c r="BS150" i="11" s="1"/>
  <c r="BT147" i="12"/>
  <c r="BS148" i="12"/>
  <c r="BS150" i="12" s="1"/>
  <c r="BS152" i="12" s="1"/>
  <c r="DA29" i="13"/>
  <c r="DB24" i="13" s="1"/>
  <c r="BU147" i="11" l="1"/>
  <c r="BT148" i="11"/>
  <c r="BT150" i="11" s="1"/>
  <c r="BT103" i="11"/>
  <c r="BT105" i="11" s="1"/>
  <c r="BS106" i="11"/>
  <c r="BS119" i="11" s="1"/>
  <c r="BS152" i="11" s="1"/>
  <c r="DK9" i="13"/>
  <c r="DL4" i="13" s="1"/>
  <c r="DB27" i="13"/>
  <c r="DB28" i="13" s="1"/>
  <c r="BU147" i="12"/>
  <c r="BT148" i="12"/>
  <c r="BT150" i="12" s="1"/>
  <c r="BT152" i="12" s="1"/>
  <c r="BV103" i="12"/>
  <c r="BV105" i="12" s="1"/>
  <c r="BU106" i="12"/>
  <c r="BU119" i="12" s="1"/>
  <c r="BV147" i="12" l="1"/>
  <c r="BU148" i="12"/>
  <c r="BU150" i="12" s="1"/>
  <c r="BU152" i="12" s="1"/>
  <c r="DB29" i="13"/>
  <c r="DC24" i="13" s="1"/>
  <c r="BV106" i="12"/>
  <c r="BV119" i="12" s="1"/>
  <c r="BW103" i="12"/>
  <c r="BW105" i="12" s="1"/>
  <c r="BW106" i="12" s="1"/>
  <c r="BW119" i="12" s="1"/>
  <c r="BT106" i="11"/>
  <c r="BT119" i="11" s="1"/>
  <c r="BT152" i="11" s="1"/>
  <c r="BU103" i="11"/>
  <c r="BU105" i="11" s="1"/>
  <c r="DL7" i="13"/>
  <c r="DL8" i="13" s="1"/>
  <c r="BV147" i="11"/>
  <c r="BU148" i="11"/>
  <c r="BU150" i="11" s="1"/>
  <c r="BV103" i="11" l="1"/>
  <c r="BV105" i="11" s="1"/>
  <c r="BU106" i="11"/>
  <c r="BU119" i="11" s="1"/>
  <c r="BU152" i="11" s="1"/>
  <c r="DC27" i="13"/>
  <c r="DC28" i="13" s="1"/>
  <c r="DC29" i="13" s="1"/>
  <c r="DD24" i="13" s="1"/>
  <c r="BW147" i="11"/>
  <c r="BW148" i="11" s="1"/>
  <c r="BW150" i="11" s="1"/>
  <c r="BV148" i="11"/>
  <c r="BV150" i="11" s="1"/>
  <c r="DL9" i="13"/>
  <c r="DM4" i="13" s="1"/>
  <c r="BW147" i="12"/>
  <c r="BW148" i="12" s="1"/>
  <c r="BW150" i="12" s="1"/>
  <c r="BW152" i="12" s="1"/>
  <c r="BV148" i="12"/>
  <c r="BV150" i="12" s="1"/>
  <c r="BV152" i="12" s="1"/>
  <c r="DD27" i="13" l="1"/>
  <c r="DD28" i="13" s="1"/>
  <c r="DM7" i="13"/>
  <c r="DM8" i="13" s="1"/>
  <c r="BV106" i="11"/>
  <c r="BV119" i="11" s="1"/>
  <c r="BV152" i="11" s="1"/>
  <c r="BW103" i="11"/>
  <c r="BW105" i="11" s="1"/>
  <c r="BW106" i="11" s="1"/>
  <c r="BW119" i="11" s="1"/>
  <c r="BW152" i="11" s="1"/>
  <c r="DM9" i="13" l="1"/>
  <c r="DN4" i="13" s="1"/>
  <c r="DD29" i="13"/>
  <c r="DE24" i="13" s="1"/>
  <c r="DE27" i="13" l="1"/>
  <c r="DE28" i="13" s="1"/>
  <c r="DN7" i="13"/>
  <c r="DN8" i="13" s="1"/>
  <c r="DN9" i="13" l="1"/>
  <c r="DO4" i="13" s="1"/>
  <c r="DE29" i="13"/>
  <c r="DF24" i="13" s="1"/>
  <c r="DF27" i="13" l="1"/>
  <c r="DF28" i="13" s="1"/>
  <c r="DO7" i="13"/>
  <c r="DO8" i="13" s="1"/>
  <c r="DO9" i="13" l="1"/>
  <c r="DP4" i="13" s="1"/>
  <c r="DF29" i="13"/>
  <c r="DG24" i="13" s="1"/>
  <c r="DG27" i="13" l="1"/>
  <c r="DG28" i="13" s="1"/>
  <c r="DP7" i="13"/>
  <c r="DP8" i="13" s="1"/>
  <c r="DP9" i="13" l="1"/>
  <c r="DQ4" i="13" s="1"/>
  <c r="DG29" i="13"/>
  <c r="DH24" i="13" s="1"/>
  <c r="DH27" i="13" l="1"/>
  <c r="DH28" i="13" s="1"/>
  <c r="DQ7" i="13"/>
  <c r="DQ8" i="13" s="1"/>
  <c r="DQ9" i="13" l="1"/>
  <c r="DR4" i="13" s="1"/>
  <c r="DH29" i="13"/>
  <c r="DI24" i="13" s="1"/>
  <c r="DI27" i="13" l="1"/>
  <c r="DI28" i="13" s="1"/>
  <c r="DR7" i="13"/>
  <c r="DR8" i="13" s="1"/>
  <c r="DR9" i="13" l="1"/>
  <c r="DS4" i="13" s="1"/>
  <c r="DI29" i="13"/>
  <c r="DJ24" i="13" s="1"/>
  <c r="DJ27" i="13" l="1"/>
  <c r="DJ28" i="13" s="1"/>
  <c r="DS7" i="13"/>
  <c r="DS8" i="13" s="1"/>
  <c r="DS9" i="13" l="1"/>
  <c r="DT4" i="13" s="1"/>
  <c r="DJ29" i="13"/>
  <c r="DK24" i="13" s="1"/>
  <c r="DK27" i="13" l="1"/>
  <c r="DK28" i="13" s="1"/>
  <c r="DT7" i="13"/>
  <c r="DT8" i="13" s="1"/>
  <c r="DT9" i="13" l="1"/>
  <c r="DU4" i="13" s="1"/>
  <c r="DK29" i="13"/>
  <c r="DL24" i="13" s="1"/>
  <c r="DL27" i="13" l="1"/>
  <c r="DL28" i="13" s="1"/>
  <c r="DU7" i="13"/>
  <c r="DU8" i="13" s="1"/>
  <c r="DU9" i="13" l="1"/>
  <c r="DV4" i="13" s="1"/>
  <c r="DL29" i="13"/>
  <c r="DM24" i="13" s="1"/>
  <c r="DM27" i="13" l="1"/>
  <c r="DM28" i="13" s="1"/>
  <c r="DV7" i="13"/>
  <c r="DV8" i="13" s="1"/>
  <c r="DV9" i="13" l="1"/>
  <c r="DW4" i="13" s="1"/>
  <c r="DM29" i="13"/>
  <c r="DN24" i="13" s="1"/>
  <c r="DN27" i="13" l="1"/>
  <c r="DN28" i="13" s="1"/>
  <c r="DW7" i="13"/>
  <c r="DW8" i="13" s="1"/>
  <c r="DW9" i="13" l="1"/>
  <c r="DX4" i="13" s="1"/>
  <c r="DN29" i="13"/>
  <c r="DO24" i="13" s="1"/>
  <c r="DO27" i="13" l="1"/>
  <c r="DO28" i="13" s="1"/>
  <c r="DX7" i="13"/>
  <c r="DX8" i="13" s="1"/>
  <c r="DX9" i="13" l="1"/>
  <c r="DY4" i="13" s="1"/>
  <c r="DO29" i="13"/>
  <c r="DP24" i="13" s="1"/>
  <c r="DP27" i="13" l="1"/>
  <c r="DP28" i="13" s="1"/>
  <c r="DY7" i="13"/>
  <c r="DY8" i="13" s="1"/>
  <c r="DY9" i="13" l="1"/>
  <c r="DZ4" i="13" s="1"/>
  <c r="DP29" i="13"/>
  <c r="DQ24" i="13" s="1"/>
  <c r="DQ27" i="13" l="1"/>
  <c r="DQ28" i="13" s="1"/>
  <c r="DZ7" i="13"/>
  <c r="DZ8" i="13" s="1"/>
  <c r="DZ9" i="13" l="1"/>
  <c r="EA4" i="13" s="1"/>
  <c r="DQ29" i="13"/>
  <c r="DR24" i="13" s="1"/>
  <c r="DR27" i="13" l="1"/>
  <c r="DR28" i="13" s="1"/>
  <c r="EA7" i="13"/>
  <c r="EA8" i="13" s="1"/>
  <c r="EA9" i="13" l="1"/>
  <c r="EB4" i="13" s="1"/>
  <c r="DR29" i="13"/>
  <c r="DS24" i="13" s="1"/>
  <c r="DS27" i="13" l="1"/>
  <c r="DS28" i="13" s="1"/>
  <c r="EB7" i="13"/>
  <c r="EB8" i="13" s="1"/>
  <c r="EB9" i="13" l="1"/>
  <c r="EC4" i="13" s="1"/>
  <c r="DS29" i="13"/>
  <c r="DT24" i="13" s="1"/>
  <c r="DT27" i="13" l="1"/>
  <c r="DT28" i="13" s="1"/>
  <c r="EC7" i="13"/>
  <c r="EC8" i="13" s="1"/>
  <c r="EC9" i="13" l="1"/>
  <c r="ED4" i="13" s="1"/>
  <c r="DT29" i="13"/>
  <c r="DU24" i="13" s="1"/>
  <c r="DU27" i="13" l="1"/>
  <c r="DU28" i="13" s="1"/>
  <c r="ED7" i="13"/>
  <c r="ED8" i="13" s="1"/>
  <c r="ED9" i="13" l="1"/>
  <c r="EE4" i="13" s="1"/>
  <c r="DU29" i="13"/>
  <c r="DV24" i="13" s="1"/>
  <c r="DV27" i="13" l="1"/>
  <c r="DV28" i="13" s="1"/>
  <c r="EE7" i="13"/>
  <c r="EE8" i="13" s="1"/>
  <c r="EE9" i="13" l="1"/>
  <c r="EF4" i="13" s="1"/>
  <c r="DV29" i="13"/>
  <c r="DW24" i="13" s="1"/>
  <c r="DW27" i="13" l="1"/>
  <c r="DW28" i="13" s="1"/>
  <c r="EF7" i="13"/>
  <c r="EF8" i="13" s="1"/>
  <c r="EF9" i="13" l="1"/>
  <c r="EG4" i="13" s="1"/>
  <c r="DW29" i="13"/>
  <c r="DX24" i="13" s="1"/>
  <c r="DX27" i="13" l="1"/>
  <c r="DX28" i="13" s="1"/>
  <c r="EG7" i="13"/>
  <c r="EG8" i="13" s="1"/>
  <c r="EG9" i="13" l="1"/>
  <c r="EH4" i="13" s="1"/>
  <c r="DX29" i="13"/>
  <c r="DY24" i="13" s="1"/>
  <c r="DY27" i="13" l="1"/>
  <c r="DY28" i="13" s="1"/>
  <c r="EH7" i="13"/>
  <c r="EH8" i="13" s="1"/>
  <c r="EH9" i="13" l="1"/>
  <c r="EI4" i="13" s="1"/>
  <c r="DY29" i="13"/>
  <c r="DZ24" i="13" s="1"/>
  <c r="DZ27" i="13" l="1"/>
  <c r="DZ28" i="13" s="1"/>
  <c r="EI7" i="13"/>
  <c r="EI8" i="13" s="1"/>
  <c r="EI9" i="13" s="1"/>
  <c r="EJ4" i="13" s="1"/>
  <c r="EJ7" i="13" l="1"/>
  <c r="EJ8" i="13" s="1"/>
  <c r="DZ29" i="13"/>
  <c r="EA24" i="13" s="1"/>
  <c r="EA27" i="13" l="1"/>
  <c r="EA28" i="13" s="1"/>
  <c r="EJ9" i="13"/>
  <c r="EK4" i="13" s="1"/>
  <c r="EK7" i="13" l="1"/>
  <c r="EK8" i="13" s="1"/>
  <c r="EA29" i="13"/>
  <c r="EB24" i="13" s="1"/>
  <c r="EB27" i="13" l="1"/>
  <c r="EB28" i="13" s="1"/>
  <c r="EK9" i="13"/>
  <c r="EL4" i="13" s="1"/>
  <c r="EL7" i="13" l="1"/>
  <c r="EL8" i="13" s="1"/>
  <c r="EB29" i="13"/>
  <c r="EC24" i="13" s="1"/>
  <c r="EC27" i="13" l="1"/>
  <c r="EC28" i="13" s="1"/>
  <c r="EL9" i="13"/>
  <c r="EM4" i="13" s="1"/>
  <c r="EM7" i="13" l="1"/>
  <c r="EM8" i="13" s="1"/>
  <c r="EC29" i="13"/>
  <c r="ED24" i="13" s="1"/>
  <c r="ED27" i="13" l="1"/>
  <c r="ED28" i="13" s="1"/>
  <c r="EM9" i="13"/>
  <c r="EN4" i="13" s="1"/>
  <c r="EN7" i="13" l="1"/>
  <c r="EN8" i="13" s="1"/>
  <c r="ED29" i="13"/>
  <c r="EE24" i="13" s="1"/>
  <c r="EE27" i="13" l="1"/>
  <c r="EE28" i="13" s="1"/>
  <c r="EN9" i="13"/>
  <c r="EO4" i="13" s="1"/>
  <c r="EO7" i="13" l="1"/>
  <c r="EO8" i="13" s="1"/>
  <c r="EE29" i="13"/>
  <c r="EF24" i="13" s="1"/>
  <c r="EF27" i="13" l="1"/>
  <c r="EF28" i="13" s="1"/>
  <c r="EO9" i="13"/>
  <c r="EP4" i="13" s="1"/>
  <c r="EP7" i="13" l="1"/>
  <c r="EP8" i="13" s="1"/>
  <c r="EF29" i="13"/>
  <c r="EG24" i="13" s="1"/>
  <c r="EG27" i="13" l="1"/>
  <c r="EG28" i="13" s="1"/>
  <c r="EP9" i="13"/>
  <c r="EG29" i="13" l="1"/>
  <c r="EH24" i="13" s="1"/>
  <c r="EH27" i="13" l="1"/>
  <c r="EH28" i="13" s="1"/>
  <c r="EH29" i="13" l="1"/>
  <c r="EI24" i="13" s="1"/>
  <c r="EI27" i="13" l="1"/>
  <c r="EI28" i="13" s="1"/>
  <c r="EI29" i="13" l="1"/>
  <c r="EJ24" i="13" s="1"/>
  <c r="EJ27" i="13" l="1"/>
  <c r="EJ28" i="13" s="1"/>
  <c r="EJ29" i="13" l="1"/>
  <c r="EK24" i="13" s="1"/>
  <c r="EK27" i="13" l="1"/>
  <c r="EK28" i="13" s="1"/>
  <c r="EK29" i="13" l="1"/>
  <c r="EL24" i="13" s="1"/>
  <c r="EL27" i="13" l="1"/>
  <c r="EL28" i="13" s="1"/>
  <c r="EL29" i="13" l="1"/>
  <c r="EM24" i="13" s="1"/>
  <c r="EM27" i="13" l="1"/>
  <c r="EM28" i="13" s="1"/>
  <c r="EM29" i="13" l="1"/>
  <c r="EN24" i="13" s="1"/>
  <c r="EN27" i="13" l="1"/>
  <c r="EN28" i="13" s="1"/>
  <c r="EN29" i="13" l="1"/>
  <c r="EO24" i="13" s="1"/>
  <c r="EO27" i="13" l="1"/>
  <c r="EO28" i="13" s="1"/>
  <c r="EO29" i="13" l="1"/>
  <c r="EP24" i="13" s="1"/>
  <c r="EP27" i="13" l="1"/>
  <c r="EP28" i="13" s="1"/>
  <c r="EP29" i="13" l="1"/>
</calcChain>
</file>

<file path=xl/comments1.xml><?xml version="1.0" encoding="utf-8"?>
<comments xmlns="http://schemas.openxmlformats.org/spreadsheetml/2006/main">
  <authors>
    <author/>
  </authors>
  <commentList>
    <comment ref="B1" authorId="0" shapeId="0">
      <text>
        <r>
          <rPr>
            <sz val="10"/>
            <color rgb="FF000000"/>
            <rFont val="Arial"/>
          </rPr>
          <t>If your "Date" column included end-of-month dates, INDEX/MATCH wouldn't have been able to pick it up. With SUMIFS, you can include any dates you like, and you aren't limited to adding just monthly data either. (You could add all the way to the customer-by-customer MRR impact data)
Originally, I chose it because it's more performant than SUMIFS.</t>
        </r>
      </text>
    </comment>
  </commentList>
</comments>
</file>

<file path=xl/comments2.xml><?xml version="1.0" encoding="utf-8"?>
<comments xmlns="http://schemas.openxmlformats.org/spreadsheetml/2006/main">
  <authors>
    <author/>
  </authors>
  <commentList>
    <comment ref="C52" authorId="0" shapeId="0">
      <text>
        <r>
          <rPr>
            <sz val="10"/>
            <color rgb="FF000000"/>
            <rFont val="Arial"/>
          </rPr>
          <t>I think you commented on it somewhere but any ways of dealing with this as you have negative churn?
	-Nils-Erik Jansson
+nils@precisely.se By definition it's not possible to have negative customer churn.  I believe you are talking about negative net churn (net dollar churn), which indeed can be positive or negative. For LTV calculation here though, we are first trying to estimate the customer lifetime length in months, which is just the inverse of customer churn. 
That said, you are correct in assuming that ideally, we'd want to capture the growing value of a customer over time. Such calculation is much more time consuming as you are essentially creating a discounted cash flow analysis (per customer or at least per cohort, read more here: https://www.forentrepreneurs.com/ltv/), but it can be worth it once you have reliable data on how your customers behave over a long period of time. 
The method in this model, while commonly used in SaaS, is more of a quick and dirty way to estimate the lifetime length and lifetime value, whereas the DCF method described by David Skok is the one shooting for maximum accuracy.
	-Jaakko Piipponen
I think the issue was that my export exported negative numbers and the model is more suitable for absolute numbers
	-Nils-Erik Jansson
So did a separate transpose of my bad export and then referred to with ABS. Did some changes in calculations in rev model etc. So is working as it should now.
	-Nils-Erik Jansson
Have to say I have absolutely loved to build from this model. Spent another 50-60 hours since our accounting etc is completely different but this is going to be very, very solid.
	-Nils-Erik Jansson
Kudos
	-Nils-Erik Jansson</t>
        </r>
      </text>
    </comment>
  </commentList>
</comments>
</file>

<file path=xl/comments3.xml><?xml version="1.0" encoding="utf-8"?>
<comments xmlns="http://schemas.openxmlformats.org/spreadsheetml/2006/main">
  <authors>
    <author/>
  </authors>
  <commentList>
    <comment ref="A37" authorId="0" shapeId="0">
      <text>
        <r>
          <rPr>
            <sz val="10"/>
            <color rgb="FF000000"/>
            <rFont val="Arial"/>
          </rPr>
          <t xml:space="preserve">If your data set shows the churn numbers as negative values, make sure to change the calculation in Row 64 and 65 accordingly.
</t>
        </r>
      </text>
    </comment>
    <comment ref="AX66" authorId="0" shapeId="0">
      <text>
        <r>
          <rPr>
            <sz val="10"/>
            <color rgb="FF000000"/>
            <rFont val="Arial"/>
          </rPr>
          <t>3% m/m growth rate or roughly 43% annually.</t>
        </r>
      </text>
    </comment>
  </commentList>
</comments>
</file>

<file path=xl/comments4.xml><?xml version="1.0" encoding="utf-8"?>
<comments xmlns="http://schemas.openxmlformats.org/spreadsheetml/2006/main">
  <authors>
    <author/>
  </authors>
  <commentList>
    <comment ref="AX66" authorId="0" shapeId="0">
      <text>
        <r>
          <rPr>
            <sz val="10"/>
            <color rgb="FF000000"/>
            <rFont val="Arial"/>
          </rPr>
          <t>3% m/m growth rate or roughly 43% annually.</t>
        </r>
      </text>
    </comment>
  </commentList>
</comments>
</file>

<file path=xl/comments5.xml><?xml version="1.0" encoding="utf-8"?>
<comments xmlns="http://schemas.openxmlformats.org/spreadsheetml/2006/main">
  <authors>
    <author/>
  </authors>
  <commentList>
    <comment ref="A3" authorId="0" shapeId="0">
      <text>
        <r>
          <rPr>
            <sz val="10"/>
            <color rgb="FF000000"/>
            <rFont val="Arial"/>
          </rPr>
          <t xml:space="preserve">QuickBooks default export calls Revenue as income for whatever reason. If you change the top-level name in your exports, feel free to change this to from Income to Revenue. Make sure to update the Total Income as well. </t>
        </r>
      </text>
    </comment>
    <comment ref="B17" authorId="0" shapeId="0">
      <text>
        <r>
          <rPr>
            <sz val="10"/>
            <color rgb="FF000000"/>
            <rFont val="Arial"/>
          </rPr>
          <t>For hosting costs, I've opted using slightly more advanced Autopilot - a percentage of revenue. This is more useful than the regular Autopilot to forecasts costs and expenses that scale up with your revenue.
Note the change in the forecast formula to multiply the Autopilot Input column by Revenue of the same month.
	-Jaakko Piipponen</t>
        </r>
      </text>
    </comment>
    <comment ref="AZ66" authorId="0" shapeId="0">
      <text>
        <r>
          <rPr>
            <sz val="10"/>
            <color rgb="FF000000"/>
            <rFont val="Arial"/>
          </rPr>
          <t>Long-term forecast as a average % of revenue (last 3-months)</t>
        </r>
      </text>
    </comment>
    <comment ref="A147" authorId="0" shapeId="0">
      <text>
        <r>
          <rPr>
            <sz val="10"/>
            <color rgb="FF000000"/>
            <rFont val="Arial"/>
          </rPr>
          <t>Note the formula change for the forecasts.
Net Income is a special account in a sense that it's really just a cumulative Net Income for the year. The profits or losses are "transferred" over to Retained Earnings at the end of a given year.
	-Jaakko Piipponen</t>
        </r>
      </text>
    </comment>
  </commentList>
</comments>
</file>

<file path=xl/comments6.xml><?xml version="1.0" encoding="utf-8"?>
<comments xmlns="http://schemas.openxmlformats.org/spreadsheetml/2006/main">
  <authors>
    <author/>
  </authors>
  <commentList>
    <comment ref="AZ66" authorId="0" shapeId="0">
      <text>
        <r>
          <rPr>
            <sz val="10"/>
            <color rgb="FF000000"/>
            <rFont val="Arial"/>
          </rPr>
          <t>Long-term forecast as a average % of revenue (last 3-months)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<sst xmlns="http://schemas.openxmlformats.org/spreadsheetml/2006/main" count="1594" uniqueCount="572">
  <si>
    <t xml:space="preserve">Updated the Revenue Forecast Model import formulas from INDEX / MATCH to SUMIFS, as it makes it easier to pull data from separate MRR Metrics sources. </t>
  </si>
  <si>
    <t>Hiring Plan was double-counting payments to contractors. Fixed.</t>
  </si>
  <si>
    <t>Reports</t>
  </si>
  <si>
    <t>Base-Case Summary</t>
  </si>
  <si>
    <t>$</t>
  </si>
  <si>
    <t>%</t>
  </si>
  <si>
    <t>Worst-Case Summary</t>
  </si>
  <si>
    <t xml:space="preserve">2020 Target vs 2019 </t>
  </si>
  <si>
    <t>ARR</t>
  </si>
  <si>
    <t>Revenue</t>
  </si>
  <si>
    <t>Metrics - Monthly</t>
  </si>
  <si>
    <t>CAC (Blended)</t>
  </si>
  <si>
    <t>Sales &amp; Marketing</t>
  </si>
  <si>
    <t>Cost of Revenue</t>
  </si>
  <si>
    <t xml:space="preserve">  Support</t>
  </si>
  <si>
    <t xml:space="preserve">  Hosting &amp; Service Delivery</t>
  </si>
  <si>
    <t>Gross Profit</t>
  </si>
  <si>
    <t>Gross Profit Margin</t>
  </si>
  <si>
    <t>Expenses</t>
  </si>
  <si>
    <t xml:space="preserve">  Engineering</t>
  </si>
  <si>
    <t>New Customers</t>
  </si>
  <si>
    <t xml:space="preserve">  General &amp; Admin</t>
  </si>
  <si>
    <t xml:space="preserve">  Sales &amp; Marketing</t>
  </si>
  <si>
    <t>Total Expenses</t>
  </si>
  <si>
    <t>Net Income</t>
  </si>
  <si>
    <t>Bank Balance</t>
  </si>
  <si>
    <t>Q1</t>
  </si>
  <si>
    <t>Q2</t>
  </si>
  <si>
    <t>Q3</t>
  </si>
  <si>
    <t>Q4</t>
  </si>
  <si>
    <t>CAC</t>
  </si>
  <si>
    <t>CAC (Paid)</t>
  </si>
  <si>
    <t>AdWords Spend</t>
  </si>
  <si>
    <t>Base-Case, % of Revenue</t>
  </si>
  <si>
    <t>Gross Margin</t>
  </si>
  <si>
    <t>Last 12m</t>
  </si>
  <si>
    <t>Next 12m</t>
  </si>
  <si>
    <t>From (including this month)</t>
  </si>
  <si>
    <t>To (before this month)</t>
  </si>
  <si>
    <t>Southeast Inc Financial Model</t>
  </si>
  <si>
    <t>2020 Target</t>
  </si>
  <si>
    <t>Actuals</t>
  </si>
  <si>
    <t>Deltas</t>
  </si>
  <si>
    <t>Budget to Actuals</t>
  </si>
  <si>
    <t>Customers</t>
  </si>
  <si>
    <t>Cash Flow Summary</t>
  </si>
  <si>
    <t xml:space="preserve">  Operating Activities</t>
  </si>
  <si>
    <t xml:space="preserve">  Investing Activities</t>
  </si>
  <si>
    <t xml:space="preserve">  Financing Activities</t>
  </si>
  <si>
    <t>Average Revenue per Customer (ARPC)</t>
  </si>
  <si>
    <t>Net Cash Increase (Decrease)</t>
  </si>
  <si>
    <t>Average Gross Profit per Customer</t>
  </si>
  <si>
    <t>Forecast</t>
  </si>
  <si>
    <t>Profit and Loss Summary</t>
  </si>
  <si>
    <t>2020 Target vs Base-Case</t>
  </si>
  <si>
    <t>Target</t>
  </si>
  <si>
    <t>Base-Case</t>
  </si>
  <si>
    <t>2020 Target vs Worst-Case</t>
  </si>
  <si>
    <t>Worst-Case</t>
  </si>
  <si>
    <t>Customer Churn</t>
  </si>
  <si>
    <t>Customer Churn, in %</t>
  </si>
  <si>
    <t>Implied Customer Lifetime (months)</t>
  </si>
  <si>
    <t>P&amp;L Summary</t>
  </si>
  <si>
    <t>Customer Lifetime Value</t>
  </si>
  <si>
    <t>CAC PAYBACK (months)</t>
  </si>
  <si>
    <t>Blended</t>
  </si>
  <si>
    <t>Chartbuilding</t>
  </si>
  <si>
    <t>Paid</t>
  </si>
  <si>
    <t>CAC:LTV</t>
  </si>
  <si>
    <t>Metrics - Quarterly</t>
  </si>
  <si>
    <t>New Customers during the quarter</t>
  </si>
  <si>
    <t>New Customers, per Quarter</t>
  </si>
  <si>
    <t>General &amp; Admin</t>
  </si>
  <si>
    <t>LTV</t>
  </si>
  <si>
    <t>Customers, End of Quarter</t>
  </si>
  <si>
    <t>Average Gross Profit per Customer, per Quarter</t>
  </si>
  <si>
    <t>Engineering</t>
  </si>
  <si>
    <t>Worst-Case, % of Revenue</t>
  </si>
  <si>
    <t>Implied Customer Lifetime, in Quarters</t>
  </si>
  <si>
    <t>CAC PAYBACK</t>
  </si>
  <si>
    <t>Revenue Model, Base-Case</t>
  </si>
  <si>
    <t>NEW  CUSTOMERS</t>
  </si>
  <si>
    <t>Long-term forecast begins</t>
  </si>
  <si>
    <t>New Customers from Marketing Funnel</t>
  </si>
  <si>
    <t>Financing Cash Flows</t>
  </si>
  <si>
    <t xml:space="preserve">  % of monthly </t>
  </si>
  <si>
    <t>Investing Cash Flows</t>
  </si>
  <si>
    <t xml:space="preserve">  % of annual</t>
  </si>
  <si>
    <t>Monthly</t>
  </si>
  <si>
    <t>Operating Cash Flows</t>
  </si>
  <si>
    <t>Net Cash Increase / Decrease</t>
  </si>
  <si>
    <t>ARPC</t>
  </si>
  <si>
    <t>New MRR</t>
  </si>
  <si>
    <t>Deferred Revenue Adjustment</t>
  </si>
  <si>
    <t>Cash Coming In</t>
  </si>
  <si>
    <t>Annual</t>
  </si>
  <si>
    <t>EXPANSION</t>
  </si>
  <si>
    <t>Expansions</t>
  </si>
  <si>
    <t>Costs &amp; Expenses</t>
  </si>
  <si>
    <t>Expansion %</t>
  </si>
  <si>
    <t>Adjustment - Deferred Revenue</t>
  </si>
  <si>
    <t>Other Adjustments</t>
  </si>
  <si>
    <t>Expansion MRR</t>
  </si>
  <si>
    <t>Expansion - Annual</t>
  </si>
  <si>
    <t>Net New</t>
  </si>
  <si>
    <t>REACTIVATION</t>
  </si>
  <si>
    <t>Number of Reactivations Per Month</t>
  </si>
  <si>
    <t>Contraction</t>
  </si>
  <si>
    <t>Reactivation Revenue</t>
  </si>
  <si>
    <t>Churn</t>
  </si>
  <si>
    <t>CHURN</t>
  </si>
  <si>
    <t>Churned Customers</t>
  </si>
  <si>
    <t>Expansion</t>
  </si>
  <si>
    <t>Churn %</t>
  </si>
  <si>
    <t>New</t>
  </si>
  <si>
    <t>Churned MRR</t>
  </si>
  <si>
    <t>Customers Up for Renewal</t>
  </si>
  <si>
    <t>Renewal Churn %</t>
  </si>
  <si>
    <t>Revenue Model, Worst-Case</t>
  </si>
  <si>
    <t>Customer Churn %</t>
  </si>
  <si>
    <t>CONTRACTION</t>
  </si>
  <si>
    <t>Downgrades</t>
  </si>
  <si>
    <t>Contraction %</t>
  </si>
  <si>
    <t>Contracted MRR</t>
  </si>
  <si>
    <t>Contraction - Annual</t>
  </si>
  <si>
    <t>Net New Customers</t>
  </si>
  <si>
    <t>Total Customers</t>
  </si>
  <si>
    <t>Long-term m/m growth</t>
  </si>
  <si>
    <t>Net New MRR</t>
  </si>
  <si>
    <t>Monthly Recurring Revenue</t>
  </si>
  <si>
    <t>Hiring Plan - Base-Case</t>
  </si>
  <si>
    <t>Role</t>
  </si>
  <si>
    <t>Team</t>
  </si>
  <si>
    <t>Salary</t>
  </si>
  <si>
    <t>Hire Date</t>
  </si>
  <si>
    <t>Termination Date</t>
  </si>
  <si>
    <t>Payroll Tax</t>
  </si>
  <si>
    <t>% Benefits</t>
  </si>
  <si>
    <t>$ Benefits</t>
  </si>
  <si>
    <t>Total Benefits</t>
  </si>
  <si>
    <t>SALARIES</t>
  </si>
  <si>
    <t>Frodo Baggins</t>
  </si>
  <si>
    <t>CEO</t>
  </si>
  <si>
    <t>Gandalf the Grey</t>
  </si>
  <si>
    <t>Wizard</t>
  </si>
  <si>
    <t>Galadriel</t>
  </si>
  <si>
    <t>CTO</t>
  </si>
  <si>
    <t xml:space="preserve">Gimli, Son of Glóin </t>
  </si>
  <si>
    <t>VP of Engineering</t>
  </si>
  <si>
    <t>Bilbo Baggins</t>
  </si>
  <si>
    <t>Software Engineer</t>
  </si>
  <si>
    <t>Alisa Ramirez</t>
  </si>
  <si>
    <t>Front-End Engineer</t>
  </si>
  <si>
    <t>Brian Wilson</t>
  </si>
  <si>
    <t>Senior Front-End Engineer</t>
  </si>
  <si>
    <t>Cathy Henderson</t>
  </si>
  <si>
    <t>Staff Engineer</t>
  </si>
  <si>
    <t>Dena Tauriello</t>
  </si>
  <si>
    <t>Senior Back-End Engineer</t>
  </si>
  <si>
    <t>Diana Greenberg</t>
  </si>
  <si>
    <t>Hillary Shepard</t>
  </si>
  <si>
    <t>Senior Full-Stack Engineer</t>
  </si>
  <si>
    <t>John Densmore</t>
  </si>
  <si>
    <t>Back-End Engineer</t>
  </si>
  <si>
    <t>Kim Baxter</t>
  </si>
  <si>
    <t>Mike Love</t>
  </si>
  <si>
    <t>Engineer</t>
  </si>
  <si>
    <t>Faramir</t>
  </si>
  <si>
    <t>Boromir</t>
  </si>
  <si>
    <t>Enter the URL of your Marketing Funnel here:</t>
  </si>
  <si>
    <t>Denethor</t>
  </si>
  <si>
    <t>https://docs.google.com/spreadsheets/d/1sSMbY5atNvbDc7dTA5F8OuaHVvZfwF3z0JRgqj_Tf4Q/edit#gid=1605229514</t>
  </si>
  <si>
    <t>Enter the area of the Funnel Summary you want to look at here:</t>
  </si>
  <si>
    <t>A1:BW37</t>
  </si>
  <si>
    <t>Faramir's Buddy</t>
  </si>
  <si>
    <t>Orc Intern</t>
  </si>
  <si>
    <t>New Hire #1</t>
  </si>
  <si>
    <t>New Hire #2</t>
  </si>
  <si>
    <t>New Hire #3</t>
  </si>
  <si>
    <t>New Hire #4</t>
  </si>
  <si>
    <t>Devops</t>
  </si>
  <si>
    <t>Hiring Plan - Worst-Case</t>
  </si>
  <si>
    <t>New Hire #5</t>
  </si>
  <si>
    <t>New Hire #6</t>
  </si>
  <si>
    <t>New Hire #7</t>
  </si>
  <si>
    <t>New Hire #8</t>
  </si>
  <si>
    <t>Marketing</t>
  </si>
  <si>
    <t>Gimli</t>
  </si>
  <si>
    <t>Meriadoc Brandybuck</t>
  </si>
  <si>
    <t>CMO</t>
  </si>
  <si>
    <t>Peregrin Took</t>
  </si>
  <si>
    <t>Fool of a Took</t>
  </si>
  <si>
    <t>MDR 1</t>
  </si>
  <si>
    <t>MDR 2</t>
  </si>
  <si>
    <t>MDR 3</t>
  </si>
  <si>
    <t>MDR 4</t>
  </si>
  <si>
    <t>Sales</t>
  </si>
  <si>
    <t>Éowyn</t>
  </si>
  <si>
    <t>VP of Sales</t>
  </si>
  <si>
    <t>Account Executive</t>
  </si>
  <si>
    <t>Aragorn</t>
  </si>
  <si>
    <t>SDR</t>
  </si>
  <si>
    <t>Legolas</t>
  </si>
  <si>
    <t>SDR 3</t>
  </si>
  <si>
    <t>SDR 4</t>
  </si>
  <si>
    <t>SDR 5</t>
  </si>
  <si>
    <t>SDR 6</t>
  </si>
  <si>
    <t>Enterprise AE 1</t>
  </si>
  <si>
    <t>Enterprise AE 2</t>
  </si>
  <si>
    <t>Enterprise AE 3</t>
  </si>
  <si>
    <t>Enterprise AE 4</t>
  </si>
  <si>
    <t>Support</t>
  </si>
  <si>
    <t>Arwen Evenstar</t>
  </si>
  <si>
    <t>VP of Support</t>
  </si>
  <si>
    <t>Samwise Gamgee</t>
  </si>
  <si>
    <t>Support Rep</t>
  </si>
  <si>
    <t>Cat Hartwell</t>
  </si>
  <si>
    <t>Dave Grohl</t>
  </si>
  <si>
    <t>Glen Hardin</t>
  </si>
  <si>
    <t>Jessica Suthiwong</t>
  </si>
  <si>
    <t>John Ware</t>
  </si>
  <si>
    <t>Marie Fredrixon</t>
  </si>
  <si>
    <t>Matt Goias</t>
  </si>
  <si>
    <t>New Hire</t>
  </si>
  <si>
    <t>New Support Employee</t>
  </si>
  <si>
    <t>New Support Engineer</t>
  </si>
  <si>
    <t>TOTAL SALARIES</t>
  </si>
  <si>
    <t>Salaries Per Team</t>
  </si>
  <si>
    <t xml:space="preserve">Total Salaries </t>
  </si>
  <si>
    <t>Sanity Check</t>
  </si>
  <si>
    <t>Payroll Taxes Per Team</t>
  </si>
  <si>
    <t xml:space="preserve">Total Payroll Taxes </t>
  </si>
  <si>
    <t>Benefits Per Team</t>
  </si>
  <si>
    <t>Contractor Payments Per Team (no payroll tax)</t>
  </si>
  <si>
    <t>Total Contractor Payments</t>
  </si>
  <si>
    <t>Contractor Payments Per Team (no payroll tax)</t>
  </si>
  <si>
    <t>Operating Model, Base-Case</t>
  </si>
  <si>
    <t>Autopilot Input</t>
  </si>
  <si>
    <t>PROFIT AND LOSS</t>
  </si>
  <si>
    <t>Start Long-term forecast from here</t>
  </si>
  <si>
    <t>Income</t>
  </si>
  <si>
    <t xml:space="preserve">  Subscription Fees</t>
  </si>
  <si>
    <t>Total Income</t>
  </si>
  <si>
    <t>Operating Model, Worst-Case</t>
  </si>
  <si>
    <t xml:space="preserve">  Export Check</t>
  </si>
  <si>
    <t>Cost of Revenue (COGS)</t>
  </si>
  <si>
    <t xml:space="preserve">  Customer Support</t>
  </si>
  <si>
    <t xml:space="preserve">    Payroll - Support</t>
  </si>
  <si>
    <t xml:space="preserve">      Employee Benefits - Support</t>
  </si>
  <si>
    <t xml:space="preserve">      Employer Taxes - Support</t>
  </si>
  <si>
    <t>Loans</t>
  </si>
  <si>
    <t>Partially Forgivable Loan</t>
  </si>
  <si>
    <t>Beginning Balance</t>
  </si>
  <si>
    <t xml:space="preserve">  Draw (to be paid back)</t>
  </si>
  <si>
    <t xml:space="preserve">      Salaries - Support</t>
  </si>
  <si>
    <t xml:space="preserve">  Principal Payments</t>
  </si>
  <si>
    <t xml:space="preserve">  Interest Owed</t>
  </si>
  <si>
    <t xml:space="preserve">    Total Payroll - Support</t>
  </si>
  <si>
    <t xml:space="preserve">  Interest Paid</t>
  </si>
  <si>
    <t xml:space="preserve">    Software &amp; Tools - Support</t>
  </si>
  <si>
    <t>Ending Balance</t>
  </si>
  <si>
    <t>Forgiven Loan Amount (=Other Income)</t>
  </si>
  <si>
    <t xml:space="preserve">  Total Customer Support</t>
  </si>
  <si>
    <t xml:space="preserve">  Service Delivery</t>
  </si>
  <si>
    <t>Forgivable Loan Terms</t>
  </si>
  <si>
    <t>Loan Draw Date</t>
  </si>
  <si>
    <t>Amount</t>
  </si>
  <si>
    <t xml:space="preserve">  Forgiven %</t>
  </si>
  <si>
    <t xml:space="preserve">  Forgiven amount</t>
  </si>
  <si>
    <t>Loan to be paid back</t>
  </si>
  <si>
    <t>Payments (in months)</t>
  </si>
  <si>
    <t>Payback starts after (months)</t>
  </si>
  <si>
    <t>Interest, per year (simple)</t>
  </si>
  <si>
    <t xml:space="preserve">    Hosting</t>
  </si>
  <si>
    <t>Standard Loan</t>
  </si>
  <si>
    <t xml:space="preserve">  Draw</t>
  </si>
  <si>
    <t xml:space="preserve">  Total Service Delivery</t>
  </si>
  <si>
    <t>Total Cost of Revenue</t>
  </si>
  <si>
    <t xml:space="preserve">  Research &amp; Development</t>
  </si>
  <si>
    <t xml:space="preserve">    Contract Labor - R&amp;D</t>
  </si>
  <si>
    <t>Standard Loan Terms</t>
  </si>
  <si>
    <t xml:space="preserve">    Payroll - R&amp;D</t>
  </si>
  <si>
    <t xml:space="preserve">      Employee Benefits - R&amp;D</t>
  </si>
  <si>
    <t xml:space="preserve">      Employer Taxes - R&amp;D</t>
  </si>
  <si>
    <t xml:space="preserve">      Salaries - R&amp;D</t>
  </si>
  <si>
    <t xml:space="preserve">    Total Payroll - R&amp;D</t>
  </si>
  <si>
    <t xml:space="preserve">  Total Research &amp; Development</t>
  </si>
  <si>
    <t xml:space="preserve">    Bank Fees</t>
  </si>
  <si>
    <t xml:space="preserve">    Dues &amp; Subscriptions</t>
  </si>
  <si>
    <t xml:space="preserve">    Education</t>
  </si>
  <si>
    <t xml:space="preserve">    Insurance</t>
  </si>
  <si>
    <t xml:space="preserve">    Legal &amp; Professional Fees</t>
  </si>
  <si>
    <t xml:space="preserve">      Accounting</t>
  </si>
  <si>
    <t xml:space="preserve">    Total Legal &amp; Professional Fees</t>
  </si>
  <si>
    <t xml:space="preserve">    Meals and Entertainment</t>
  </si>
  <si>
    <t xml:space="preserve">      In-Office Meals (100%)</t>
  </si>
  <si>
    <t xml:space="preserve">    Total Meals and Entertainment</t>
  </si>
  <si>
    <t xml:space="preserve">    Office Expenses</t>
  </si>
  <si>
    <t xml:space="preserve">      Equipment &amp; Hardware</t>
  </si>
  <si>
    <t xml:space="preserve">      Supplies</t>
  </si>
  <si>
    <t xml:space="preserve">    Total Office Expenses</t>
  </si>
  <si>
    <t xml:space="preserve">    Payroll - G&amp;A</t>
  </si>
  <si>
    <t xml:space="preserve">      Employee Benefits - G&amp;A</t>
  </si>
  <si>
    <t xml:space="preserve">      Employer Taxes - G&amp;A</t>
  </si>
  <si>
    <t xml:space="preserve">      Salaries - G&amp;A</t>
  </si>
  <si>
    <t xml:space="preserve">    Total Payroll - G&amp;A</t>
  </si>
  <si>
    <t xml:space="preserve">    Rent or Lease</t>
  </si>
  <si>
    <t xml:space="preserve">    Software &amp; Tools - G&amp;A</t>
  </si>
  <si>
    <t xml:space="preserve">    Taxes &amp; Licenses</t>
  </si>
  <si>
    <t xml:space="preserve">    Telephone &amp; Internet</t>
  </si>
  <si>
    <t xml:space="preserve">    Travel</t>
  </si>
  <si>
    <t xml:space="preserve">      Airfare</t>
  </si>
  <si>
    <t xml:space="preserve">      Lodging</t>
  </si>
  <si>
    <t xml:space="preserve">      Transportation</t>
  </si>
  <si>
    <t xml:space="preserve">      Travel Meals</t>
  </si>
  <si>
    <t xml:space="preserve">    Total Travel</t>
  </si>
  <si>
    <t xml:space="preserve">  Total General &amp; Admin</t>
  </si>
  <si>
    <t xml:space="preserve">    Marketing</t>
  </si>
  <si>
    <t xml:space="preserve">      Advertising</t>
  </si>
  <si>
    <t xml:space="preserve">      Payroll - Marketing</t>
  </si>
  <si>
    <t xml:space="preserve">        Employee Benefits - Marketing</t>
  </si>
  <si>
    <t xml:space="preserve">        Employer Taxes - Marketing</t>
  </si>
  <si>
    <t xml:space="preserve">        Salaries - Marketing</t>
  </si>
  <si>
    <t xml:space="preserve">      Total Payroll - Marketing</t>
  </si>
  <si>
    <t xml:space="preserve">      Promotional</t>
  </si>
  <si>
    <t xml:space="preserve">    Software &amp; Tools - Marketing</t>
  </si>
  <si>
    <t xml:space="preserve">    Total Marketing</t>
  </si>
  <si>
    <t xml:space="preserve">    Sales</t>
  </si>
  <si>
    <t xml:space="preserve">      Payroll - Sales</t>
  </si>
  <si>
    <t xml:space="preserve">        Employee Benefits - Sales</t>
  </si>
  <si>
    <t>Operating Model</t>
  </si>
  <si>
    <t xml:space="preserve">  Total Engineering</t>
  </si>
  <si>
    <t xml:space="preserve">    Insurance - General</t>
  </si>
  <si>
    <t xml:space="preserve">        Employer Taxes - Sales</t>
  </si>
  <si>
    <t xml:space="preserve">        Sales Commissions</t>
  </si>
  <si>
    <t xml:space="preserve">        Salaries - Sales</t>
  </si>
  <si>
    <t xml:space="preserve">      Total Payroll - Sales</t>
  </si>
  <si>
    <t xml:space="preserve">    Total Sales</t>
  </si>
  <si>
    <t xml:space="preserve">  Total Sales &amp; Marketing</t>
  </si>
  <si>
    <t>Net Operating Income</t>
  </si>
  <si>
    <t>Other Income</t>
  </si>
  <si>
    <t>Total Other Income</t>
  </si>
  <si>
    <t>Other Expenses</t>
  </si>
  <si>
    <t>Total Other Expenses</t>
  </si>
  <si>
    <t>BALANCE SHEET</t>
  </si>
  <si>
    <t>Assets</t>
  </si>
  <si>
    <t xml:space="preserve">  Current Assets</t>
  </si>
  <si>
    <t xml:space="preserve">    Bank Accounts</t>
  </si>
  <si>
    <t xml:space="preserve">      Checking</t>
  </si>
  <si>
    <t xml:space="preserve">    Total Bank Accounts</t>
  </si>
  <si>
    <t xml:space="preserve">  Total Current Assets</t>
  </si>
  <si>
    <t xml:space="preserve">  Fixed Assets</t>
  </si>
  <si>
    <t xml:space="preserve">    Accumulated Depreciation</t>
  </si>
  <si>
    <t xml:space="preserve">    Computer Equipment</t>
  </si>
  <si>
    <t xml:space="preserve">  Total Fixed Assets</t>
  </si>
  <si>
    <t xml:space="preserve">  Other Assets</t>
  </si>
  <si>
    <t xml:space="preserve">    Accumulated Amortization</t>
  </si>
  <si>
    <t xml:space="preserve">    Security Deposit</t>
  </si>
  <si>
    <t xml:space="preserve">    Start Up/Organization Costs</t>
  </si>
  <si>
    <t xml:space="preserve">  Total Other Assets</t>
  </si>
  <si>
    <t>Total Assets</t>
  </si>
  <si>
    <t>Liabilities and Equity</t>
  </si>
  <si>
    <t xml:space="preserve">  Liabilities</t>
  </si>
  <si>
    <t xml:space="preserve">    Current Liabilities</t>
  </si>
  <si>
    <t xml:space="preserve">      Credit Cards</t>
  </si>
  <si>
    <t xml:space="preserve">        Amex</t>
  </si>
  <si>
    <t xml:space="preserve">      Total Credit Cards</t>
  </si>
  <si>
    <t xml:space="preserve">      Other Current Liabilities</t>
  </si>
  <si>
    <t xml:space="preserve">        Deferred Revenue</t>
  </si>
  <si>
    <t xml:space="preserve">        Payroll Clearing</t>
  </si>
  <si>
    <t xml:space="preserve">      Total Other Current Liabilities</t>
  </si>
  <si>
    <t xml:space="preserve">    Total Current Liabilities</t>
  </si>
  <si>
    <t xml:space="preserve">    Long-Term Liabilities</t>
  </si>
  <si>
    <t xml:space="preserve">      Fishless Capital</t>
  </si>
  <si>
    <t xml:space="preserve">      Invoker Investor</t>
  </si>
  <si>
    <t xml:space="preserve">      J-Dog</t>
  </si>
  <si>
    <t xml:space="preserve">    Total Long-Term Liabilities</t>
  </si>
  <si>
    <t xml:space="preserve">  Total Liabilities</t>
  </si>
  <si>
    <t xml:space="preserve">  Equity</t>
  </si>
  <si>
    <t xml:space="preserve">    Common Stock</t>
  </si>
  <si>
    <t xml:space="preserve">    Opening Balance Equity</t>
  </si>
  <si>
    <t xml:space="preserve">    Retained Earnings</t>
  </si>
  <si>
    <t xml:space="preserve">    Net Income</t>
  </si>
  <si>
    <t xml:space="preserve">  Total Equity</t>
  </si>
  <si>
    <t>Total Liabilities and Equity</t>
  </si>
  <si>
    <t xml:space="preserve">  Balance Check</t>
  </si>
  <si>
    <t>CASH FLOW STATEMENT</t>
  </si>
  <si>
    <t>OPERATING ACTIVITIES</t>
  </si>
  <si>
    <t xml:space="preserve">  Net Income</t>
  </si>
  <si>
    <t xml:space="preserve">  Adjustments to reconcile Net Income to Net Cash provided by operations:</t>
  </si>
  <si>
    <t xml:space="preserve">    Amex</t>
  </si>
  <si>
    <t xml:space="preserve">    Deferred Revenue</t>
  </si>
  <si>
    <t xml:space="preserve">    Payroll Clearing</t>
  </si>
  <si>
    <t xml:space="preserve">  Total Adjustments to reconcile Net Income to Net Cash provided by operations:</t>
  </si>
  <si>
    <t>Net cash provided by operating activities</t>
  </si>
  <si>
    <t>INVESTING ACTIVITIES</t>
  </si>
  <si>
    <t xml:space="preserve">  Computer Equipment</t>
  </si>
  <si>
    <t xml:space="preserve">  Security Deposit</t>
  </si>
  <si>
    <t xml:space="preserve">  Start Up/Organization Costs</t>
  </si>
  <si>
    <t>Net cash provided by investing activities</t>
  </si>
  <si>
    <t>FINANCING ACTIVITIES</t>
  </si>
  <si>
    <t xml:space="preserve">  Fishless Capital</t>
  </si>
  <si>
    <t xml:space="preserve">  Invoker Investor</t>
  </si>
  <si>
    <t xml:space="preserve">  J-Dog</t>
  </si>
  <si>
    <t xml:space="preserve">  Common Stock</t>
  </si>
  <si>
    <t>Net cash provided by financing activities</t>
  </si>
  <si>
    <t>Net cash increase for period</t>
  </si>
  <si>
    <t xml:space="preserve">    Software &amp; Tools - Sales</t>
  </si>
  <si>
    <t>Deferred Revenue</t>
  </si>
  <si>
    <t>Existing Revenue</t>
  </si>
  <si>
    <t xml:space="preserve">  Beginning Balance</t>
  </si>
  <si>
    <t xml:space="preserve">  Recognized Amount, Annual</t>
  </si>
  <si>
    <t>Renewals</t>
  </si>
  <si>
    <t xml:space="preserve">    Renewals, Annual</t>
  </si>
  <si>
    <t xml:space="preserve">    Churn, Annual</t>
  </si>
  <si>
    <t xml:space="preserve">    Contraction, Annual</t>
  </si>
  <si>
    <t xml:space="preserve">  Forgiven Part of the Loan</t>
  </si>
  <si>
    <t xml:space="preserve">    Recognized Revenue</t>
  </si>
  <si>
    <t>Deferred Revenue Ending Balance</t>
  </si>
  <si>
    <t>New Revenue</t>
  </si>
  <si>
    <t xml:space="preserve">    New Revenue, Annual</t>
  </si>
  <si>
    <t xml:space="preserve">  Interest Expense - Partially Forgivable Loan</t>
  </si>
  <si>
    <t xml:space="preserve">  Interest Expense - Standard Loan</t>
  </si>
  <si>
    <t xml:space="preserve">  Recognized Revenue, Annual</t>
  </si>
  <si>
    <t>Deferred Revenue Ending Balance, New Customers</t>
  </si>
  <si>
    <t>Total Deferred Revenue</t>
  </si>
  <si>
    <t>Adjustment to Net Income (Cash Flow Statement)</t>
  </si>
  <si>
    <t xml:space="preserve">  Revenue</t>
  </si>
  <si>
    <t xml:space="preserve">  Cash In</t>
  </si>
  <si>
    <t>Recognized Revenue, New &amp; Expansion Customers - Annual</t>
  </si>
  <si>
    <t>Renewals, Churn &amp; Contraction Recognized Revenue</t>
  </si>
  <si>
    <t xml:space="preserve">      Partially Forgivable Loan</t>
  </si>
  <si>
    <t xml:space="preserve">      Standard Loan</t>
  </si>
  <si>
    <t>SaaS Financial Model 2.0 Example</t>
  </si>
  <si>
    <t>Profit and Loss</t>
  </si>
  <si>
    <t>All Dates</t>
  </si>
  <si>
    <t>Subscription Fees</t>
  </si>
  <si>
    <t>Cost of Goods Sold</t>
  </si>
  <si>
    <t>Customer Support</t>
  </si>
  <si>
    <t>Payroll - Support</t>
  </si>
  <si>
    <t>Employee Benefits - Support</t>
  </si>
  <si>
    <t>Employer Taxes - Support</t>
  </si>
  <si>
    <t>Salaries - Support</t>
  </si>
  <si>
    <t>Total Payroll - Support</t>
  </si>
  <si>
    <t>Software &amp; Tools - Support</t>
  </si>
  <si>
    <t>Total Customer Support</t>
  </si>
  <si>
    <t>Service Delivery</t>
  </si>
  <si>
    <t>Hosting</t>
  </si>
  <si>
    <t>Total Service Delivery</t>
  </si>
  <si>
    <t>Total Cost of Goods Sold</t>
  </si>
  <si>
    <t>Bank Fees</t>
  </si>
  <si>
    <t>Dues &amp; Subscriptions</t>
  </si>
  <si>
    <t>Education</t>
  </si>
  <si>
    <t>Insurance</t>
  </si>
  <si>
    <t>Legal &amp; Professional Fees</t>
  </si>
  <si>
    <t>Accounting</t>
  </si>
  <si>
    <t>Total Legal &amp; Professional Fees</t>
  </si>
  <si>
    <t>Meals and Entertainment</t>
  </si>
  <si>
    <t>In-Office Meals (100%)</t>
  </si>
  <si>
    <t>Total Meals and Entertainment</t>
  </si>
  <si>
    <t>Office Expenses</t>
  </si>
  <si>
    <t>Equipment &amp; Hardware</t>
  </si>
  <si>
    <t>Supplies</t>
  </si>
  <si>
    <t>Total Office Expenses</t>
  </si>
  <si>
    <t>Payroll - G&amp;A</t>
  </si>
  <si>
    <t>Employee Benefits - G&amp;A</t>
  </si>
  <si>
    <t>Employer Taxes - G&amp;A</t>
  </si>
  <si>
    <t>Salaries - G&amp;A</t>
  </si>
  <si>
    <t>Total Payroll - G&amp;A</t>
  </si>
  <si>
    <t>Rent or Lease</t>
  </si>
  <si>
    <t>Software &amp; Tools - G&amp;A</t>
  </si>
  <si>
    <t>Taxes &amp; Licenses</t>
  </si>
  <si>
    <t>Telephone &amp; Internet</t>
  </si>
  <si>
    <t>Travel</t>
  </si>
  <si>
    <t>Airfare</t>
  </si>
  <si>
    <t>Lodging</t>
  </si>
  <si>
    <t>Transportation</t>
  </si>
  <si>
    <t>Travel Meals</t>
  </si>
  <si>
    <t>Total Travel</t>
  </si>
  <si>
    <t>Total General &amp; Admin</t>
  </si>
  <si>
    <t>Research &amp; Development</t>
  </si>
  <si>
    <t>Contract Labor - R&amp;D</t>
  </si>
  <si>
    <t>Payroll - R&amp;D</t>
  </si>
  <si>
    <t>Employee Benefits - R&amp;D</t>
  </si>
  <si>
    <t>Employer Taxes - R&amp;D</t>
  </si>
  <si>
    <t>Salaries - R&amp;D</t>
  </si>
  <si>
    <t>Total Payroll - R&amp;D</t>
  </si>
  <si>
    <t>Total Research &amp; Development</t>
  </si>
  <si>
    <t>Advertising</t>
  </si>
  <si>
    <t>Payroll - Marketing</t>
  </si>
  <si>
    <t>Employee Benefits - Marketing</t>
  </si>
  <si>
    <t>Employer Taxes - Marketing</t>
  </si>
  <si>
    <t>Salaries - Marketing</t>
  </si>
  <si>
    <t>Total Payroll - Marketing</t>
  </si>
  <si>
    <t>Software &amp; Tools - Marketing</t>
  </si>
  <si>
    <t>Total Marketing</t>
  </si>
  <si>
    <t>Promotional</t>
  </si>
  <si>
    <t>Payroll - Sales</t>
  </si>
  <si>
    <t>Employee Benefits - Sales</t>
  </si>
  <si>
    <t>Employer Taxes - Sales</t>
  </si>
  <si>
    <t>Salaries - Sales</t>
  </si>
  <si>
    <t>Sales Commissions</t>
  </si>
  <si>
    <t>Total Payroll - Sales</t>
  </si>
  <si>
    <t>Software &amp; Tools - Sales</t>
  </si>
  <si>
    <t>Total Sales</t>
  </si>
  <si>
    <t>Total Sales &amp; Marketing</t>
  </si>
  <si>
    <t>Balance Sheet</t>
  </si>
  <si>
    <t>ASSETS</t>
  </si>
  <si>
    <t>Current Assets</t>
  </si>
  <si>
    <t>Bank Accounts</t>
  </si>
  <si>
    <t>Checking</t>
  </si>
  <si>
    <t>Total Bank Accounts</t>
  </si>
  <si>
    <t>Total Current Assets</t>
  </si>
  <si>
    <t>Fixed Assets</t>
  </si>
  <si>
    <t>Accumulated Depreciation</t>
  </si>
  <si>
    <t>Computer Equipment</t>
  </si>
  <si>
    <t>Total Fixed Assets</t>
  </si>
  <si>
    <t>Other Assets</t>
  </si>
  <si>
    <t>Accumulated Amortization</t>
  </si>
  <si>
    <t>Security Deposit</t>
  </si>
  <si>
    <t>Start Up/Organization Costs</t>
  </si>
  <si>
    <t>Total Other Assets</t>
  </si>
  <si>
    <t>TOTAL ASSETS</t>
  </si>
  <si>
    <t>LIABILITIES AND EQUITY</t>
  </si>
  <si>
    <t>Liabilities</t>
  </si>
  <si>
    <t>Current Liabilities</t>
  </si>
  <si>
    <t>Credit Cards</t>
  </si>
  <si>
    <t>Amex</t>
  </si>
  <si>
    <t>Total Credit Cards</t>
  </si>
  <si>
    <t>Other Current Liabilities</t>
  </si>
  <si>
    <t>Payroll Clearing</t>
  </si>
  <si>
    <t>Total Other Current Liabilities</t>
  </si>
  <si>
    <t>Total Current Liabilities</t>
  </si>
  <si>
    <t>Long-Term Liabilities</t>
  </si>
  <si>
    <t>Fishless Capital</t>
  </si>
  <si>
    <t>Invoker Investor</t>
  </si>
  <si>
    <t>J-Dog</t>
  </si>
  <si>
    <t>Total Long-Term Liabilities</t>
  </si>
  <si>
    <t>Total Liabilities</t>
  </si>
  <si>
    <t>Equity</t>
  </si>
  <si>
    <t>Common Stock</t>
  </si>
  <si>
    <t>Opening Balance Equity</t>
  </si>
  <si>
    <t>Retained Earnings</t>
  </si>
  <si>
    <t>Total Equity</t>
  </si>
  <si>
    <t>TOTAL LIABILITIES AND EQUITY</t>
  </si>
  <si>
    <t>Statement of Cash Flows</t>
  </si>
  <si>
    <t>Adjustments to reconcile Net Income to Net Cash provided by operations:</t>
  </si>
  <si>
    <t>Total Adjustments to reconcile Net Income to Net Cash provided by operations:</t>
  </si>
  <si>
    <t>MRR</t>
  </si>
  <si>
    <t>Active Customers</t>
  </si>
  <si>
    <t>Upgrades</t>
  </si>
  <si>
    <t>Breakout</t>
  </si>
  <si>
    <t>Graph</t>
  </si>
  <si>
    <t>date</t>
  </si>
  <si>
    <t>mrr_new</t>
  </si>
  <si>
    <t>mrr_churn</t>
  </si>
  <si>
    <t>mrr_contraction</t>
  </si>
  <si>
    <t>mrr_expansion</t>
  </si>
  <si>
    <t>mrr_reactivation</t>
  </si>
  <si>
    <t>mrr</t>
  </si>
  <si>
    <t>mrr_new_count</t>
  </si>
  <si>
    <t>mrr_churn_count</t>
  </si>
  <si>
    <t>mrr_reactivation_count</t>
  </si>
  <si>
    <t>total customers</t>
  </si>
  <si>
    <t>mrr_expansion_count</t>
  </si>
  <si>
    <t>downgrades</t>
  </si>
  <si>
    <t xml:space="preserve">  Partially Forgivable Loan</t>
  </si>
  <si>
    <t xml:space="preserve">  Standard Loan</t>
  </si>
  <si>
    <t>Customer Name</t>
  </si>
  <si>
    <t>Renewal Date</t>
  </si>
  <si>
    <t>Renewal Amount</t>
  </si>
  <si>
    <t>Billing Interval (months)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</si>
</sst>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_);[Red]\(&quot;$&quot;#,##0\)"/>
    <numFmt numFmtId="8" formatCode="&quot;$&quot;#,##0.00_);[Red]\(&quot;$&quot;#,##0.00\)"/>
    <numFmt numFmtId="164" formatCode="mmmm\ d\,\ yyyy"/>
    <numFmt numFmtId="165" formatCode="mmm\ yyyy"/>
    <numFmt numFmtId="166" formatCode="_(* \$#,##0.0,,,\M_);_(* \(\$#,##0,\k\);_(* &quot;-&quot;??_);_(@_)"/>
    <numFmt numFmtId="167" formatCode="_(* \$#,##0.0,,,\M_);_(* \(\$#,##0.0,,,\M\);_(* &quot;-&quot;??_);_(@_)"/>
    <numFmt numFmtId="168" formatCode="_(* \$#,##0,\k_);_(* \(\$#,##0,\k\);_(* &quot;-&quot;??_);_(@_)"/>
    <numFmt numFmtId="169" formatCode="_(* #,##0,_);_(* \(#,##0,\);_(* &quot;-&quot;??_);_(@_)"/>
    <numFmt numFmtId="170" formatCode="_(* #,##0_);_(* \(#,##0\);_(* &quot;-&quot;??_);_(@_)"/>
    <numFmt numFmtId="171" formatCode="&quot;$&quot;#,##0"/>
    <numFmt numFmtId="172" formatCode="mmmm\ yyyy"/>
    <numFmt numFmtId="173" formatCode="0.0%"/>
    <numFmt numFmtId="174" formatCode="#,##0.0\x"/>
    <numFmt numFmtId="175" formatCode="&quot;Q1&quot;\ yyyy"/>
    <numFmt numFmtId="176" formatCode="&quot;Q2&quot;\ yyyy"/>
    <numFmt numFmtId="177" formatCode="&quot;Q3&quot;\ yyyy"/>
    <numFmt numFmtId="178" formatCode="&quot;Q4&quot;\ yyyy"/>
    <numFmt numFmtId="179" formatCode="#,##0.00000"/>
    <numFmt numFmtId="180" formatCode="#,##0.0"/>
    <numFmt numFmtId="181" formatCode="&quot;$&quot;#,##0.00"/>
    <numFmt numFmtId="182" formatCode="m/d/yy\ h:mm"/>
  </numFmts>
  <fonts count="56" x14ac:knownFonts="1">
    <font>
      <sz val="10"/>
      <color rgb="FF000000"/>
      <name val="Arial"/>
    </font>
    <font>
      <sz val="11"/>
      <color rgb="FF000000"/>
      <name val="Arial"/>
    </font>
    <font>
      <sz val="10"/>
      <name val="Arial"/>
    </font>
    <font>
      <sz val="10"/>
      <name val="Arial"/>
    </font>
    <font>
      <b/>
      <sz val="12"/>
      <color rgb="FFFFFFFF"/>
      <name val="Arial"/>
    </font>
    <font>
      <b/>
      <sz val="10"/>
      <color rgb="FF48B888"/>
      <name val="Arial"/>
    </font>
    <font>
      <sz val="10"/>
      <color rgb="FF48B888"/>
      <name val="Arial"/>
    </font>
    <font>
      <sz val="10"/>
      <color rgb="FF434343"/>
      <name val="Arial"/>
    </font>
    <font>
      <b/>
      <sz val="10"/>
      <color rgb="FFFFFFFF"/>
      <name val="Arial"/>
    </font>
    <font>
      <b/>
      <sz val="10"/>
      <name val="Arial"/>
    </font>
    <font>
      <sz val="10"/>
      <color rgb="FF00B050"/>
      <name val="Arial"/>
    </font>
    <font>
      <b/>
      <sz val="10"/>
      <name val="Arial"/>
    </font>
    <font>
      <b/>
      <sz val="10"/>
      <color rgb="FF434343"/>
      <name val="Arial"/>
    </font>
    <font>
      <sz val="18"/>
      <color rgb="FF48B888"/>
      <name val="Arial"/>
    </font>
    <font>
      <sz val="16"/>
      <color rgb="FF999999"/>
      <name val="Arial"/>
    </font>
    <font>
      <b/>
      <u/>
      <sz val="10"/>
      <color rgb="FF666666"/>
      <name val="Arial"/>
    </font>
    <font>
      <b/>
      <u/>
      <sz val="10"/>
      <color rgb="FF666666"/>
      <name val="Arial"/>
    </font>
    <font>
      <b/>
      <u/>
      <sz val="10"/>
      <color rgb="FF666666"/>
      <name val="Arial"/>
    </font>
    <font>
      <b/>
      <sz val="10"/>
      <color rgb="FF48B888"/>
      <name val="Arial"/>
    </font>
    <font>
      <sz val="10"/>
      <color rgb="FF434343"/>
      <name val="Arial"/>
    </font>
    <font>
      <b/>
      <sz val="10"/>
      <color rgb="FF434343"/>
      <name val="Arial"/>
    </font>
    <font>
      <i/>
      <sz val="10"/>
      <name val="Arial"/>
    </font>
    <font>
      <sz val="10"/>
      <color rgb="FF48B888"/>
      <name val="Arial"/>
    </font>
    <font>
      <b/>
      <sz val="14"/>
      <color rgb="FFFFFFFF"/>
      <name val="Arial"/>
    </font>
    <font>
      <b/>
      <sz val="9"/>
      <color rgb="FFFFFFFF"/>
      <name val="Arial"/>
    </font>
    <font>
      <b/>
      <sz val="12"/>
      <color rgb="FF000000"/>
      <name val="Arial"/>
    </font>
    <font>
      <sz val="9"/>
      <color rgb="FF000000"/>
      <name val="Arial"/>
    </font>
    <font>
      <sz val="10"/>
      <color rgb="FF00B050"/>
      <name val="Arial"/>
    </font>
    <font>
      <sz val="10"/>
      <color rgb="FF3C78D8"/>
      <name val="Arial"/>
    </font>
    <font>
      <b/>
      <sz val="11"/>
      <color rgb="FF000000"/>
      <name val="Arial"/>
    </font>
    <font>
      <sz val="10"/>
      <color rgb="FF3C78D8"/>
      <name val="Arial"/>
    </font>
    <font>
      <sz val="10"/>
      <color rgb="FF00B050"/>
      <name val="Arial"/>
    </font>
    <font>
      <sz val="10"/>
      <name val="Arial"/>
    </font>
    <font>
      <sz val="10"/>
      <color rgb="FF3C78D8"/>
      <name val="Arial"/>
    </font>
    <font>
      <b/>
      <sz val="12"/>
      <color rgb="FFFFFFFF"/>
      <name val="Arial"/>
    </font>
    <font>
      <b/>
      <sz val="10"/>
      <color rgb="FFFFFFFF"/>
      <name val="Arial"/>
    </font>
    <font>
      <b/>
      <sz val="9"/>
      <color rgb="FF000000"/>
      <name val="Arial"/>
    </font>
    <font>
      <b/>
      <sz val="12"/>
      <name val="Arial"/>
    </font>
    <font>
      <u/>
      <sz val="10"/>
      <color rgb="FF1155CC"/>
      <name val="Arial"/>
    </font>
    <font>
      <i/>
      <sz val="10"/>
      <name val="Arial"/>
    </font>
    <font>
      <sz val="11"/>
      <name val="Arial"/>
    </font>
    <font>
      <b/>
      <sz val="11"/>
      <color rgb="FFFFFFFF"/>
      <name val="Arial"/>
    </font>
    <font>
      <b/>
      <sz val="14"/>
      <name val="Arial"/>
    </font>
    <font>
      <b/>
      <sz val="11"/>
      <name val="Arial"/>
    </font>
    <font>
      <sz val="11"/>
      <color rgb="FF3C78D8"/>
      <name val="Arial"/>
    </font>
    <font>
      <b/>
      <sz val="10"/>
      <color rgb="FFFFFFFF"/>
      <name val="Arial"/>
    </font>
    <font>
      <b/>
      <sz val="10"/>
      <name val="Arial"/>
    </font>
    <font>
      <sz val="10"/>
      <color rgb="FF999999"/>
      <name val="Arial"/>
    </font>
    <font>
      <i/>
      <sz val="10"/>
      <name val="Arial"/>
    </font>
    <font>
      <b/>
      <sz val="14"/>
      <color rgb="FF000000"/>
      <name val="Arial"/>
    </font>
    <font>
      <b/>
      <sz val="10"/>
      <color rgb="FF000000"/>
      <name val="Arial"/>
    </font>
    <font>
      <sz val="11"/>
      <color rgb="FF000000"/>
      <name val="Calibri"/>
    </font>
    <font>
      <b/>
      <sz val="8"/>
      <color rgb="FF000000"/>
      <name val="Arial"/>
    </font>
    <font>
      <sz val="8"/>
      <color rgb="FF000000"/>
      <name val="Arial"/>
    </font>
    <font>
      <b/>
      <sz val="10"/>
      <color rgb="FF000000"/>
      <name val="Arial"/>
    </font>
    <font>
      <sz val="12"/>
      <color rgb="FF000000"/>
      <name val="Calibri"/>
    </font>
  </fonts>
  <fills count="13">
    <fill>
      <patternFill patternType="none"/>
    </fill>
    <fill>
      <patternFill patternType="gray125"/>
    </fill>
    <fill>
      <patternFill patternType="solid">
        <fgColor rgb="FF48B888"/>
        <bgColor rgb="FF48B888"/>
      </patternFill>
    </fill>
    <fill>
      <patternFill patternType="solid">
        <fgColor rgb="FFB7E1CD"/>
        <bgColor rgb="FFB7E1CD"/>
      </patternFill>
    </fill>
    <fill>
      <patternFill patternType="solid">
        <fgColor rgb="FFD9EAD3"/>
        <bgColor rgb="FFD9EAD3"/>
      </patternFill>
    </fill>
    <fill>
      <patternFill patternType="solid">
        <fgColor rgb="FFFFE598"/>
        <bgColor rgb="FFFFE598"/>
      </patternFill>
    </fill>
    <fill>
      <patternFill patternType="solid">
        <fgColor rgb="FFD9D9D9"/>
        <bgColor rgb="FFD9D9D9"/>
      </patternFill>
    </fill>
    <fill>
      <patternFill patternType="solid">
        <fgColor rgb="FFDEEAF6"/>
        <bgColor rgb="FFDEEAF6"/>
      </patternFill>
    </fill>
    <fill>
      <patternFill patternType="solid">
        <fgColor rgb="FFFFD966"/>
        <bgColor rgb="FFFFD966"/>
      </patternFill>
    </fill>
    <fill>
      <patternFill patternType="solid">
        <fgColor rgb="FFCCCCCC"/>
        <bgColor rgb="FFCCCCCC"/>
      </patternFill>
    </fill>
    <fill>
      <patternFill patternType="solid">
        <fgColor rgb="FFCFE2F3"/>
        <bgColor rgb="FFCFE2F3"/>
      </patternFill>
    </fill>
    <fill>
      <patternFill patternType="solid">
        <fgColor rgb="FFFFE599"/>
        <bgColor rgb="FFFFE599"/>
      </patternFill>
    </fill>
    <fill>
      <patternFill patternType="solid">
        <fgColor rgb="FF035089"/>
        <bgColor rgb="FF035089"/>
      </patternFill>
    </fill>
  </fills>
  <borders count="18">
    <border>
      <left/>
      <right/>
      <top/>
      <bottom/>
      <diagonal/>
    </border>
    <border>
      <left/>
      <right/>
      <top/>
      <bottom/>
      <diagonal/>
    </border>
    <border>
      <left/>
      <right/>
      <top/>
      <bottom style="thin">
        <color rgb="FF00B050"/>
      </bottom>
      <diagonal/>
    </border>
    <border>
      <left/>
      <right/>
      <top/>
      <bottom style="thin">
        <color rgb="FF00B050"/>
      </bottom>
      <diagonal/>
    </border>
    <border>
      <left/>
      <right/>
      <top style="thin">
        <color rgb="FF00B050"/>
      </top>
      <bottom/>
      <diagonal/>
    </border>
    <border>
      <left/>
      <right/>
      <top/>
      <bottom/>
      <diagonal/>
    </border>
    <border>
      <left/>
      <right/>
      <top style="thin">
        <color rgb="FF666666"/>
      </top>
      <bottom/>
      <diagonal/>
    </border>
    <border>
      <left/>
      <right/>
      <top style="thin">
        <color rgb="FF48B888"/>
      </top>
      <bottom/>
      <diagonal/>
    </border>
    <border>
      <left/>
      <right/>
      <top style="thin">
        <color rgb="FF000000"/>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diagonal/>
    </border>
    <border>
      <left/>
      <right/>
      <top/>
      <bottom/>
      <diagonal/>
    </border>
    <border>
      <left/>
      <right/>
      <top/>
      <bottom/>
      <diagonal/>
    </border>
    <border>
      <left/>
      <right/>
      <top style="thin">
        <color rgb="FF000000"/>
      </top>
      <bottom/>
      <diagonal/>
    </border>
  </borders>
  <cellStyleXfs count="1">
    <xf numFmtId="0" fontId="0" fillId="0" borderId="0"/>
  </cellStyleXfs>
  <cellXfs count="343">
    <xf numFmtId="0" fontId="0" fillId="0" borderId="0" xfId="0" applyFont="1" applyAlignment="1"/>
    <xf numFmtId="164" fontId="1" fillId="0" borderId="1" xfId="0" applyNumberFormat="1" applyFont="1" applyBorder="1" applyAlignment="1">
      <alignment horizontal="left" vertical="top"/>
    </xf>
    <xf numFmtId="0" fontId="2" fillId="0" borderId="0" xfId="0" applyFont="1" applyAlignment="1">
      <alignment horizontal="left" wrapText="1"/>
    </xf>
    <xf numFmtId="0" fontId="2" fillId="0" borderId="0" xfId="0" applyFont="1" applyAlignment="1">
      <alignment wrapText="1"/>
    </xf>
    <xf numFmtId="0" fontId="3" fillId="2" borderId="0" xfId="0" applyFont="1" applyFill="1"/>
    <xf numFmtId="0" fontId="4" fillId="2" borderId="0" xfId="0" applyFont="1" applyFill="1" applyAlignment="1">
      <alignment vertical="center"/>
    </xf>
    <xf numFmtId="0" fontId="3" fillId="0" borderId="0" xfId="0" applyFont="1" applyAlignment="1"/>
    <xf numFmtId="0" fontId="5" fillId="0" borderId="2" xfId="0" applyFont="1" applyBorder="1" applyAlignment="1"/>
    <xf numFmtId="0" fontId="3" fillId="0" borderId="3" xfId="0" applyFont="1" applyBorder="1" applyAlignment="1"/>
    <xf numFmtId="0" fontId="5" fillId="0" borderId="3" xfId="0" applyFont="1" applyBorder="1" applyAlignment="1">
      <alignment horizontal="right"/>
    </xf>
    <xf numFmtId="0" fontId="5" fillId="0" borderId="2" xfId="0" applyFont="1" applyBorder="1" applyAlignment="1"/>
    <xf numFmtId="0" fontId="6" fillId="0" borderId="4" xfId="0" applyFont="1" applyBorder="1" applyAlignment="1"/>
    <xf numFmtId="165" fontId="5" fillId="0" borderId="4" xfId="0" applyNumberFormat="1" applyFont="1" applyBorder="1" applyAlignment="1">
      <alignment horizontal="right"/>
    </xf>
    <xf numFmtId="0" fontId="3" fillId="0" borderId="4" xfId="0" applyFont="1" applyBorder="1" applyAlignment="1"/>
    <xf numFmtId="165" fontId="5" fillId="0" borderId="0" xfId="0" applyNumberFormat="1" applyFont="1" applyAlignment="1">
      <alignment horizontal="right"/>
    </xf>
    <xf numFmtId="0" fontId="3" fillId="0" borderId="0" xfId="0" applyFont="1" applyAlignment="1"/>
    <xf numFmtId="166" fontId="7" fillId="0" borderId="0" xfId="0" applyNumberFormat="1" applyFont="1" applyAlignment="1">
      <alignment horizontal="right"/>
    </xf>
    <xf numFmtId="167" fontId="7" fillId="0" borderId="0" xfId="0" applyNumberFormat="1" applyFont="1" applyAlignment="1">
      <alignment horizontal="right"/>
    </xf>
    <xf numFmtId="9" fontId="7" fillId="0" borderId="0" xfId="0" applyNumberFormat="1" applyFont="1" applyAlignment="1">
      <alignment horizontal="right"/>
    </xf>
    <xf numFmtId="168" fontId="7" fillId="0" borderId="0" xfId="0" applyNumberFormat="1" applyFont="1" applyAlignment="1">
      <alignment horizontal="right"/>
    </xf>
    <xf numFmtId="165" fontId="8" fillId="2" borderId="0" xfId="0" applyNumberFormat="1" applyFont="1" applyFill="1" applyAlignment="1">
      <alignment vertical="center"/>
    </xf>
    <xf numFmtId="0" fontId="9" fillId="0" borderId="0" xfId="0" applyFont="1" applyAlignment="1"/>
    <xf numFmtId="0" fontId="10" fillId="0" borderId="0" xfId="0" applyFont="1"/>
    <xf numFmtId="0" fontId="2" fillId="0" borderId="0" xfId="0" applyFont="1" applyAlignment="1"/>
    <xf numFmtId="169" fontId="7" fillId="0" borderId="0" xfId="0" applyNumberFormat="1" applyFont="1" applyAlignment="1">
      <alignment horizontal="right"/>
    </xf>
    <xf numFmtId="170" fontId="10" fillId="0" borderId="0" xfId="0" applyNumberFormat="1" applyFont="1"/>
    <xf numFmtId="0" fontId="3" fillId="0" borderId="5" xfId="0" applyFont="1" applyBorder="1" applyAlignment="1"/>
    <xf numFmtId="0" fontId="11" fillId="0" borderId="6" xfId="0" applyFont="1" applyBorder="1" applyAlignment="1"/>
    <xf numFmtId="0" fontId="11" fillId="0" borderId="6" xfId="0" applyFont="1" applyBorder="1" applyAlignment="1"/>
    <xf numFmtId="169" fontId="12" fillId="0" borderId="6" xfId="0" applyNumberFormat="1" applyFont="1" applyBorder="1" applyAlignment="1">
      <alignment horizontal="right"/>
    </xf>
    <xf numFmtId="9" fontId="12" fillId="0" borderId="6" xfId="0" applyNumberFormat="1" applyFont="1" applyBorder="1" applyAlignment="1">
      <alignment horizontal="right"/>
    </xf>
    <xf numFmtId="0" fontId="3" fillId="0" borderId="6" xfId="0" applyFont="1" applyBorder="1" applyAlignment="1"/>
    <xf numFmtId="0" fontId="7" fillId="0" borderId="0" xfId="0" applyFont="1" applyAlignment="1">
      <alignment horizontal="right"/>
    </xf>
    <xf numFmtId="171" fontId="2" fillId="0" borderId="0" xfId="0" applyNumberFormat="1" applyFont="1"/>
    <xf numFmtId="0" fontId="5" fillId="0" borderId="3" xfId="0" applyFont="1" applyBorder="1" applyAlignment="1">
      <alignment horizontal="right"/>
    </xf>
    <xf numFmtId="9" fontId="3" fillId="0" borderId="0" xfId="0" applyNumberFormat="1" applyFont="1" applyAlignment="1">
      <alignment horizontal="right"/>
    </xf>
    <xf numFmtId="9" fontId="11" fillId="0" borderId="6" xfId="0" applyNumberFormat="1" applyFont="1" applyBorder="1" applyAlignment="1">
      <alignment horizontal="right"/>
    </xf>
    <xf numFmtId="0" fontId="3" fillId="0" borderId="0" xfId="0" applyFont="1" applyAlignment="1"/>
    <xf numFmtId="165" fontId="5" fillId="0" borderId="0" xfId="0" applyNumberFormat="1" applyFont="1" applyAlignment="1">
      <alignment horizontal="right"/>
    </xf>
    <xf numFmtId="0" fontId="13" fillId="0" borderId="0" xfId="0" applyFont="1" applyAlignment="1">
      <alignment horizontal="right"/>
    </xf>
    <xf numFmtId="172" fontId="14" fillId="0" borderId="0" xfId="0" applyNumberFormat="1" applyFont="1" applyAlignment="1">
      <alignment horizontal="right"/>
    </xf>
    <xf numFmtId="0" fontId="15" fillId="0" borderId="0" xfId="0" applyFont="1" applyAlignment="1">
      <alignment horizontal="right"/>
    </xf>
    <xf numFmtId="0" fontId="16" fillId="3" borderId="0" xfId="0" applyFont="1" applyFill="1" applyAlignment="1">
      <alignment horizontal="right"/>
    </xf>
    <xf numFmtId="0" fontId="18" fillId="0" borderId="0" xfId="0" applyFont="1" applyAlignment="1"/>
    <xf numFmtId="165" fontId="18" fillId="0" borderId="0" xfId="0" applyNumberFormat="1" applyFont="1" applyAlignment="1">
      <alignment horizontal="right" vertical="center"/>
    </xf>
    <xf numFmtId="165" fontId="18" fillId="3" borderId="0" xfId="0" applyNumberFormat="1" applyFont="1" applyFill="1" applyAlignment="1">
      <alignment horizontal="right" vertical="center"/>
    </xf>
    <xf numFmtId="0" fontId="2" fillId="0" borderId="7" xfId="0" applyFont="1" applyBorder="1" applyAlignment="1"/>
    <xf numFmtId="0" fontId="2" fillId="0" borderId="7" xfId="0" applyFont="1" applyBorder="1"/>
    <xf numFmtId="166" fontId="19" fillId="0" borderId="7" xfId="0" applyNumberFormat="1" applyFont="1" applyBorder="1"/>
    <xf numFmtId="166" fontId="19" fillId="3" borderId="7" xfId="0" applyNumberFormat="1" applyFont="1" applyFill="1" applyBorder="1"/>
    <xf numFmtId="0" fontId="2" fillId="0" borderId="8" xfId="0" applyFont="1" applyBorder="1" applyAlignment="1"/>
    <xf numFmtId="0" fontId="2" fillId="0" borderId="8" xfId="0" applyFont="1" applyBorder="1"/>
    <xf numFmtId="0" fontId="19" fillId="0" borderId="0" xfId="0" applyFont="1"/>
    <xf numFmtId="0" fontId="19" fillId="3" borderId="0" xfId="0" applyFont="1" applyFill="1"/>
    <xf numFmtId="170" fontId="2" fillId="0" borderId="8" xfId="0" applyNumberFormat="1" applyFont="1" applyBorder="1"/>
    <xf numFmtId="168" fontId="19" fillId="0" borderId="0" xfId="0" applyNumberFormat="1" applyFont="1"/>
    <xf numFmtId="168" fontId="19" fillId="3" borderId="0" xfId="0" applyNumberFormat="1" applyFont="1" applyFill="1"/>
    <xf numFmtId="169" fontId="19" fillId="0" borderId="0" xfId="0" applyNumberFormat="1" applyFont="1"/>
    <xf numFmtId="173" fontId="2" fillId="0" borderId="0" xfId="0" applyNumberFormat="1" applyFont="1"/>
    <xf numFmtId="169" fontId="19" fillId="3" borderId="0" xfId="0" applyNumberFormat="1" applyFont="1" applyFill="1"/>
    <xf numFmtId="0" fontId="9" fillId="0" borderId="8" xfId="0" applyFont="1" applyBorder="1" applyAlignment="1"/>
    <xf numFmtId="169" fontId="20" fillId="0" borderId="8" xfId="0" applyNumberFormat="1" applyFont="1" applyBorder="1"/>
    <xf numFmtId="169" fontId="20" fillId="3" borderId="8" xfId="0" applyNumberFormat="1" applyFont="1" applyFill="1" applyBorder="1"/>
    <xf numFmtId="9" fontId="19" fillId="0" borderId="0" xfId="0" applyNumberFormat="1" applyFont="1"/>
    <xf numFmtId="9" fontId="19" fillId="3" borderId="0" xfId="0" applyNumberFormat="1" applyFont="1" applyFill="1"/>
    <xf numFmtId="0" fontId="2" fillId="3" borderId="0" xfId="0" applyFont="1" applyFill="1"/>
    <xf numFmtId="169" fontId="19" fillId="0" borderId="7" xfId="0" applyNumberFormat="1" applyFont="1" applyBorder="1"/>
    <xf numFmtId="169" fontId="19" fillId="3" borderId="7" xfId="0" applyNumberFormat="1" applyFont="1" applyFill="1" applyBorder="1"/>
    <xf numFmtId="0" fontId="2" fillId="0" borderId="0" xfId="0" applyFont="1" applyAlignment="1">
      <alignment horizontal="right"/>
    </xf>
    <xf numFmtId="0" fontId="21" fillId="0" borderId="0" xfId="0" applyFont="1" applyAlignment="1"/>
    <xf numFmtId="0" fontId="22" fillId="0" borderId="0" xfId="0" applyFont="1"/>
    <xf numFmtId="3" fontId="2" fillId="0" borderId="0" xfId="0" applyNumberFormat="1" applyFont="1"/>
    <xf numFmtId="9" fontId="19" fillId="0" borderId="7" xfId="0" applyNumberFormat="1" applyFont="1" applyBorder="1" applyAlignment="1"/>
    <xf numFmtId="9" fontId="19" fillId="3" borderId="7" xfId="0" applyNumberFormat="1" applyFont="1" applyFill="1" applyBorder="1" applyAlignment="1"/>
    <xf numFmtId="9" fontId="2" fillId="0" borderId="0" xfId="0" applyNumberFormat="1" applyFont="1"/>
    <xf numFmtId="9" fontId="2" fillId="3" borderId="0" xfId="0" applyNumberFormat="1" applyFont="1" applyFill="1"/>
    <xf numFmtId="9" fontId="2" fillId="0" borderId="8" xfId="0" applyNumberFormat="1" applyFont="1" applyBorder="1"/>
    <xf numFmtId="9" fontId="2" fillId="3" borderId="8" xfId="0" applyNumberFormat="1" applyFont="1" applyFill="1" applyBorder="1"/>
    <xf numFmtId="0" fontId="9" fillId="0" borderId="0" xfId="0" applyFont="1"/>
    <xf numFmtId="0" fontId="5" fillId="0" borderId="3" xfId="0" applyFont="1" applyBorder="1" applyAlignment="1">
      <alignment horizontal="right"/>
    </xf>
    <xf numFmtId="174" fontId="2" fillId="0" borderId="0" xfId="0" applyNumberFormat="1" applyFont="1"/>
    <xf numFmtId="14" fontId="2" fillId="0" borderId="0" xfId="0" applyNumberFormat="1" applyFont="1"/>
    <xf numFmtId="14" fontId="2" fillId="0" borderId="0" xfId="0" applyNumberFormat="1" applyFont="1" applyAlignment="1"/>
    <xf numFmtId="175" fontId="8" fillId="2" borderId="0" xfId="0" applyNumberFormat="1" applyFont="1" applyFill="1" applyAlignment="1">
      <alignment vertical="center"/>
    </xf>
    <xf numFmtId="176" fontId="8" fillId="2" borderId="0" xfId="0" applyNumberFormat="1" applyFont="1" applyFill="1" applyAlignment="1">
      <alignment vertical="center"/>
    </xf>
    <xf numFmtId="177" fontId="8" fillId="2" borderId="0" xfId="0" applyNumberFormat="1" applyFont="1" applyFill="1" applyAlignment="1">
      <alignment vertical="center"/>
    </xf>
    <xf numFmtId="178" fontId="8" fillId="2" borderId="0" xfId="0" applyNumberFormat="1" applyFont="1" applyFill="1" applyAlignment="1">
      <alignment vertical="center"/>
    </xf>
    <xf numFmtId="3" fontId="10" fillId="0" borderId="0" xfId="0" applyNumberFormat="1" applyFont="1"/>
    <xf numFmtId="4" fontId="2" fillId="0" borderId="0" xfId="0" applyNumberFormat="1" applyFont="1"/>
    <xf numFmtId="179" fontId="2" fillId="0" borderId="0" xfId="0" applyNumberFormat="1" applyFont="1"/>
    <xf numFmtId="1" fontId="10" fillId="0" borderId="0" xfId="0" applyNumberFormat="1" applyFont="1"/>
    <xf numFmtId="180" fontId="2" fillId="0" borderId="0" xfId="0" applyNumberFormat="1" applyFont="1"/>
    <xf numFmtId="0" fontId="23" fillId="2" borderId="9" xfId="0" applyFont="1" applyFill="1" applyBorder="1" applyAlignment="1">
      <alignment wrapText="1"/>
    </xf>
    <xf numFmtId="165" fontId="24" fillId="2" borderId="10" xfId="0" applyNumberFormat="1" applyFont="1" applyFill="1" applyBorder="1" applyAlignment="1">
      <alignment horizontal="center" wrapText="1"/>
    </xf>
    <xf numFmtId="165" fontId="24" fillId="2" borderId="10" xfId="0" applyNumberFormat="1" applyFont="1" applyFill="1" applyBorder="1" applyAlignment="1">
      <alignment horizontal="center" wrapText="1"/>
    </xf>
    <xf numFmtId="0" fontId="25" fillId="4" borderId="5" xfId="0" applyFont="1" applyFill="1" applyBorder="1" applyAlignment="1"/>
    <xf numFmtId="0" fontId="3" fillId="4" borderId="0" xfId="0" applyFont="1" applyFill="1" applyAlignment="1"/>
    <xf numFmtId="0" fontId="3" fillId="4" borderId="11" xfId="0" applyFont="1" applyFill="1" applyBorder="1" applyAlignment="1"/>
    <xf numFmtId="0" fontId="3" fillId="4" borderId="11" xfId="0" applyFont="1" applyFill="1" applyBorder="1" applyAlignment="1"/>
    <xf numFmtId="0" fontId="3" fillId="5" borderId="11" xfId="0" applyFont="1" applyFill="1" applyBorder="1" applyAlignment="1"/>
    <xf numFmtId="0" fontId="3" fillId="5" borderId="11" xfId="0" applyFont="1" applyFill="1" applyBorder="1" applyAlignment="1"/>
    <xf numFmtId="0" fontId="26" fillId="0" borderId="5" xfId="0" applyFont="1" applyBorder="1" applyAlignment="1"/>
    <xf numFmtId="0" fontId="3" fillId="0" borderId="0" xfId="0" applyFont="1" applyAlignment="1"/>
    <xf numFmtId="0" fontId="3" fillId="0" borderId="11" xfId="0" applyFont="1" applyBorder="1" applyAlignment="1"/>
    <xf numFmtId="170" fontId="27" fillId="0" borderId="0" xfId="0" applyNumberFormat="1" applyFont="1" applyAlignment="1"/>
    <xf numFmtId="170" fontId="27" fillId="6" borderId="0" xfId="0" applyNumberFormat="1" applyFont="1" applyFill="1" applyAlignment="1"/>
    <xf numFmtId="9" fontId="3" fillId="0" borderId="11" xfId="0" applyNumberFormat="1" applyFont="1" applyBorder="1" applyAlignment="1"/>
    <xf numFmtId="9" fontId="3" fillId="6" borderId="11" xfId="0" applyNumberFormat="1" applyFont="1" applyFill="1" applyBorder="1" applyAlignment="1"/>
    <xf numFmtId="9" fontId="28" fillId="7" borderId="0" xfId="0" applyNumberFormat="1" applyFont="1" applyFill="1" applyAlignment="1"/>
    <xf numFmtId="9" fontId="28" fillId="6" borderId="0" xfId="0" applyNumberFormat="1" applyFont="1" applyFill="1" applyAlignment="1"/>
    <xf numFmtId="0" fontId="29" fillId="0" borderId="1" xfId="0" applyFont="1" applyBorder="1" applyAlignment="1"/>
    <xf numFmtId="0" fontId="3" fillId="6" borderId="11" xfId="0" applyFont="1" applyFill="1" applyBorder="1" applyAlignment="1"/>
    <xf numFmtId="3" fontId="30" fillId="0" borderId="0" xfId="0" applyNumberFormat="1" applyFont="1" applyAlignment="1"/>
    <xf numFmtId="170" fontId="31" fillId="0" borderId="12" xfId="0" applyNumberFormat="1" applyFont="1" applyBorder="1" applyAlignment="1">
      <alignment horizontal="right"/>
    </xf>
    <xf numFmtId="170" fontId="3" fillId="5" borderId="0" xfId="0" applyNumberFormat="1" applyFont="1" applyFill="1" applyAlignment="1">
      <alignment horizontal="right"/>
    </xf>
    <xf numFmtId="170" fontId="3" fillId="0" borderId="0" xfId="0" applyNumberFormat="1" applyFont="1" applyAlignment="1">
      <alignment horizontal="right"/>
    </xf>
    <xf numFmtId="170" fontId="3" fillId="6" borderId="0" xfId="0" applyNumberFormat="1" applyFont="1" applyFill="1" applyAlignment="1">
      <alignment horizontal="right"/>
    </xf>
    <xf numFmtId="6" fontId="3" fillId="0" borderId="0" xfId="0" applyNumberFormat="1" applyFont="1" applyAlignment="1"/>
    <xf numFmtId="6" fontId="30" fillId="0" borderId="0" xfId="0" applyNumberFormat="1" applyFont="1" applyAlignment="1"/>
    <xf numFmtId="170" fontId="31" fillId="0" borderId="0" xfId="0" applyNumberFormat="1" applyFont="1" applyAlignment="1">
      <alignment horizontal="right"/>
    </xf>
    <xf numFmtId="170" fontId="32" fillId="0" borderId="0" xfId="0" applyNumberFormat="1" applyFont="1" applyAlignment="1"/>
    <xf numFmtId="170" fontId="32" fillId="6" borderId="0" xfId="0" applyNumberFormat="1" applyFont="1" applyFill="1" applyAlignment="1"/>
    <xf numFmtId="0" fontId="29" fillId="0" borderId="5" xfId="0" applyFont="1" applyBorder="1" applyAlignment="1"/>
    <xf numFmtId="170" fontId="3" fillId="0" borderId="0" xfId="0" applyNumberFormat="1" applyFont="1" applyAlignment="1"/>
    <xf numFmtId="170" fontId="3" fillId="6" borderId="0" xfId="0" applyNumberFormat="1" applyFont="1" applyFill="1" applyAlignment="1"/>
    <xf numFmtId="170" fontId="33" fillId="7" borderId="0" xfId="0" applyNumberFormat="1" applyFont="1" applyFill="1" applyAlignment="1">
      <alignment horizontal="right"/>
    </xf>
    <xf numFmtId="170" fontId="33" fillId="6" borderId="0" xfId="0" applyNumberFormat="1" applyFont="1" applyFill="1" applyAlignment="1">
      <alignment horizontal="right"/>
    </xf>
    <xf numFmtId="0" fontId="29" fillId="0" borderId="0" xfId="0" applyFont="1" applyAlignment="1"/>
    <xf numFmtId="0" fontId="3" fillId="6" borderId="0" xfId="0" applyFont="1" applyFill="1" applyAlignment="1"/>
    <xf numFmtId="0" fontId="25" fillId="4" borderId="5" xfId="0" applyFont="1" applyFill="1" applyBorder="1" applyAlignment="1"/>
    <xf numFmtId="0" fontId="29" fillId="0" borderId="0" xfId="0" applyFont="1" applyAlignment="1"/>
    <xf numFmtId="170" fontId="10" fillId="0" borderId="8" xfId="0" applyNumberFormat="1" applyFont="1" applyBorder="1"/>
    <xf numFmtId="0" fontId="26" fillId="0" borderId="0" xfId="0" applyFont="1" applyAlignment="1"/>
    <xf numFmtId="173" fontId="3" fillId="0" borderId="0" xfId="0" applyNumberFormat="1" applyFont="1" applyAlignment="1"/>
    <xf numFmtId="173" fontId="28" fillId="5" borderId="0" xfId="0" applyNumberFormat="1" applyFont="1" applyFill="1" applyAlignment="1"/>
    <xf numFmtId="173" fontId="28" fillId="7" borderId="0" xfId="0" applyNumberFormat="1" applyFont="1" applyFill="1"/>
    <xf numFmtId="173" fontId="28" fillId="6" borderId="0" xfId="0" applyNumberFormat="1" applyFont="1" applyFill="1"/>
    <xf numFmtId="0" fontId="26" fillId="0" borderId="0" xfId="0" applyFont="1" applyAlignment="1"/>
    <xf numFmtId="170" fontId="10" fillId="0" borderId="0" xfId="0" applyNumberFormat="1" applyFont="1" applyAlignment="1"/>
    <xf numFmtId="170" fontId="33" fillId="7" borderId="0" xfId="0" applyNumberFormat="1" applyFont="1" applyFill="1" applyAlignment="1"/>
    <xf numFmtId="170" fontId="33" fillId="6" borderId="0" xfId="0" applyNumberFormat="1" applyFont="1" applyFill="1" applyAlignment="1"/>
    <xf numFmtId="170" fontId="27" fillId="0" borderId="0" xfId="0" applyNumberFormat="1" applyFont="1" applyAlignment="1"/>
    <xf numFmtId="0" fontId="26" fillId="0" borderId="5" xfId="0" applyFont="1" applyBorder="1" applyAlignment="1"/>
    <xf numFmtId="0" fontId="3" fillId="0" borderId="5" xfId="0" applyFont="1" applyBorder="1" applyAlignment="1"/>
    <xf numFmtId="0" fontId="26" fillId="0" borderId="0" xfId="0" applyFont="1" applyAlignment="1"/>
    <xf numFmtId="170" fontId="33" fillId="0" borderId="0" xfId="0" applyNumberFormat="1" applyFont="1" applyAlignment="1"/>
    <xf numFmtId="170" fontId="30" fillId="0" borderId="0" xfId="0" applyNumberFormat="1" applyFont="1" applyAlignment="1">
      <alignment horizontal="right"/>
    </xf>
    <xf numFmtId="173" fontId="3" fillId="0" borderId="0" xfId="0" applyNumberFormat="1" applyFont="1" applyAlignment="1">
      <alignment horizontal="right"/>
    </xf>
    <xf numFmtId="173" fontId="30" fillId="7" borderId="0" xfId="0" applyNumberFormat="1" applyFont="1" applyFill="1" applyAlignment="1">
      <alignment horizontal="right"/>
    </xf>
    <xf numFmtId="173" fontId="30" fillId="6" borderId="0" xfId="0" applyNumberFormat="1" applyFont="1" applyFill="1" applyAlignment="1">
      <alignment horizontal="right"/>
    </xf>
    <xf numFmtId="170" fontId="3" fillId="0" borderId="12" xfId="0" applyNumberFormat="1" applyFont="1" applyBorder="1" applyAlignment="1">
      <alignment horizontal="right"/>
    </xf>
    <xf numFmtId="0" fontId="34" fillId="2" borderId="0" xfId="0" applyFont="1" applyFill="1" applyAlignment="1"/>
    <xf numFmtId="170" fontId="3" fillId="6" borderId="12" xfId="0" applyNumberFormat="1" applyFont="1" applyFill="1" applyBorder="1" applyAlignment="1">
      <alignment horizontal="right"/>
    </xf>
    <xf numFmtId="165" fontId="3" fillId="2" borderId="0" xfId="0" applyNumberFormat="1" applyFont="1" applyFill="1" applyAlignment="1"/>
    <xf numFmtId="165" fontId="35" fillId="2" borderId="0" xfId="0" applyNumberFormat="1" applyFont="1" applyFill="1" applyAlignment="1">
      <alignment horizontal="right"/>
    </xf>
    <xf numFmtId="0" fontId="3" fillId="0" borderId="0" xfId="0" applyFont="1" applyAlignment="1"/>
    <xf numFmtId="170" fontId="3" fillId="0" borderId="0" xfId="0" applyNumberFormat="1" applyFont="1" applyAlignment="1"/>
    <xf numFmtId="0" fontId="3" fillId="0" borderId="13" xfId="0" applyFont="1" applyBorder="1" applyAlignment="1"/>
    <xf numFmtId="170" fontId="31" fillId="0" borderId="13" xfId="0" applyNumberFormat="1" applyFont="1" applyBorder="1" applyAlignment="1">
      <alignment horizontal="right"/>
    </xf>
    <xf numFmtId="0" fontId="11" fillId="0" borderId="0" xfId="0" applyFont="1" applyAlignment="1"/>
    <xf numFmtId="170" fontId="11" fillId="0" borderId="0" xfId="0" applyNumberFormat="1" applyFont="1" applyAlignment="1">
      <alignment horizontal="right"/>
    </xf>
    <xf numFmtId="173" fontId="3" fillId="0" borderId="0" xfId="0" applyNumberFormat="1" applyFont="1" applyAlignment="1"/>
    <xf numFmtId="173" fontId="3" fillId="0" borderId="0" xfId="0" applyNumberFormat="1" applyFont="1" applyAlignment="1">
      <alignment horizontal="right"/>
    </xf>
    <xf numFmtId="3" fontId="3" fillId="0" borderId="0" xfId="0" applyNumberFormat="1" applyFont="1" applyAlignment="1"/>
    <xf numFmtId="170" fontId="3" fillId="0" borderId="0" xfId="0" applyNumberFormat="1" applyFont="1" applyAlignment="1">
      <alignment horizontal="right"/>
    </xf>
    <xf numFmtId="170" fontId="2" fillId="0" borderId="0" xfId="0" applyNumberFormat="1" applyFont="1"/>
    <xf numFmtId="170" fontId="2" fillId="6" borderId="0" xfId="0" applyNumberFormat="1" applyFont="1" applyFill="1"/>
    <xf numFmtId="0" fontId="36" fillId="0" borderId="0" xfId="0" applyFont="1" applyAlignment="1"/>
    <xf numFmtId="3" fontId="3" fillId="0" borderId="0" xfId="0" applyNumberFormat="1" applyFont="1" applyAlignment="1"/>
    <xf numFmtId="173" fontId="30" fillId="5" borderId="0" xfId="0" applyNumberFormat="1" applyFont="1" applyFill="1" applyAlignment="1">
      <alignment horizontal="right"/>
    </xf>
    <xf numFmtId="173" fontId="30" fillId="5" borderId="0" xfId="0" applyNumberFormat="1" applyFont="1" applyFill="1" applyAlignment="1">
      <alignment horizontal="right"/>
    </xf>
    <xf numFmtId="0" fontId="29" fillId="0" borderId="11" xfId="0" applyFont="1" applyBorder="1" applyAlignment="1"/>
    <xf numFmtId="170" fontId="3" fillId="0" borderId="11" xfId="0" applyNumberFormat="1" applyFont="1" applyBorder="1" applyAlignment="1"/>
    <xf numFmtId="170" fontId="37" fillId="0" borderId="11" xfId="0" applyNumberFormat="1" applyFont="1" applyBorder="1" applyAlignment="1"/>
    <xf numFmtId="0" fontId="26" fillId="0" borderId="11" xfId="0" applyFont="1" applyBorder="1" applyAlignment="1">
      <alignment horizontal="right"/>
    </xf>
    <xf numFmtId="173" fontId="30" fillId="7" borderId="0" xfId="0" applyNumberFormat="1" applyFont="1" applyFill="1" applyAlignment="1">
      <alignment horizontal="right"/>
    </xf>
    <xf numFmtId="0" fontId="26" fillId="0" borderId="11" xfId="0" applyFont="1" applyBorder="1" applyAlignment="1"/>
    <xf numFmtId="170" fontId="3" fillId="0" borderId="11" xfId="0" applyNumberFormat="1" applyFont="1" applyBorder="1" applyAlignment="1">
      <alignment horizontal="right"/>
    </xf>
    <xf numFmtId="170" fontId="3" fillId="6" borderId="11" xfId="0" applyNumberFormat="1" applyFont="1" applyFill="1" applyBorder="1" applyAlignment="1"/>
    <xf numFmtId="0" fontId="29" fillId="5" borderId="14" xfId="0" applyFont="1" applyFill="1" applyBorder="1" applyAlignment="1"/>
    <xf numFmtId="170" fontId="3" fillId="5" borderId="15" xfId="0" applyNumberFormat="1" applyFont="1" applyFill="1" applyBorder="1" applyAlignment="1"/>
    <xf numFmtId="170" fontId="5" fillId="5" borderId="16" xfId="0" applyNumberFormat="1" applyFont="1" applyFill="1" applyBorder="1" applyAlignment="1">
      <alignment horizontal="right"/>
    </xf>
    <xf numFmtId="170" fontId="11" fillId="5" borderId="11" xfId="0" applyNumberFormat="1" applyFont="1" applyFill="1" applyBorder="1" applyAlignment="1"/>
    <xf numFmtId="10" fontId="2" fillId="0" borderId="0" xfId="0" applyNumberFormat="1" applyFont="1"/>
    <xf numFmtId="0" fontId="8" fillId="2" borderId="0" xfId="0" applyFont="1" applyFill="1" applyAlignment="1">
      <alignment vertical="center"/>
    </xf>
    <xf numFmtId="0" fontId="8" fillId="2" borderId="0" xfId="0" applyFont="1" applyFill="1" applyAlignment="1">
      <alignment horizontal="left" vertical="center"/>
    </xf>
    <xf numFmtId="0" fontId="8" fillId="2" borderId="0" xfId="0" applyFont="1" applyFill="1" applyAlignment="1">
      <alignment horizontal="right" vertical="center"/>
    </xf>
    <xf numFmtId="0" fontId="11" fillId="0" borderId="5" xfId="0" applyFont="1" applyBorder="1" applyAlignment="1"/>
    <xf numFmtId="170" fontId="32" fillId="0" borderId="0" xfId="0" applyNumberFormat="1" applyFont="1" applyAlignment="1">
      <alignment horizontal="right"/>
    </xf>
    <xf numFmtId="0" fontId="11" fillId="0" borderId="0" xfId="0" applyFont="1" applyAlignment="1"/>
    <xf numFmtId="170" fontId="30" fillId="5" borderId="0" xfId="0" applyNumberFormat="1" applyFont="1" applyFill="1" applyAlignment="1"/>
    <xf numFmtId="14" fontId="30" fillId="7" borderId="0" xfId="0" applyNumberFormat="1" applyFont="1" applyFill="1" applyAlignment="1"/>
    <xf numFmtId="9" fontId="30" fillId="7" borderId="0" xfId="0" applyNumberFormat="1" applyFont="1" applyFill="1" applyAlignment="1"/>
    <xf numFmtId="170" fontId="30" fillId="7" borderId="0" xfId="0" applyNumberFormat="1" applyFont="1" applyFill="1" applyAlignment="1"/>
    <xf numFmtId="14" fontId="3" fillId="0" borderId="0" xfId="0" applyNumberFormat="1" applyFont="1" applyAlignment="1"/>
    <xf numFmtId="170" fontId="30" fillId="8" borderId="0" xfId="0" applyNumberFormat="1" applyFont="1" applyFill="1" applyAlignment="1"/>
    <xf numFmtId="0" fontId="11" fillId="8" borderId="0" xfId="0" applyFont="1" applyFill="1" applyAlignment="1"/>
    <xf numFmtId="0" fontId="3" fillId="8" borderId="0" xfId="0" applyFont="1" applyFill="1" applyAlignment="1"/>
    <xf numFmtId="170" fontId="11" fillId="8" borderId="0" xfId="0" applyNumberFormat="1" applyFont="1" applyFill="1" applyAlignment="1">
      <alignment horizontal="right"/>
    </xf>
    <xf numFmtId="14" fontId="30" fillId="5" borderId="0" xfId="0" applyNumberFormat="1" applyFont="1" applyFill="1" applyAlignment="1"/>
    <xf numFmtId="9" fontId="3" fillId="0" borderId="0" xfId="0" applyNumberFormat="1" applyFont="1" applyAlignment="1"/>
    <xf numFmtId="0" fontId="11" fillId="0" borderId="5" xfId="0" applyFont="1" applyBorder="1" applyAlignment="1"/>
    <xf numFmtId="14" fontId="30" fillId="5" borderId="0" xfId="0" applyNumberFormat="1" applyFont="1" applyFill="1" applyAlignment="1"/>
    <xf numFmtId="0" fontId="38" fillId="8" borderId="5" xfId="0" applyFont="1" applyFill="1" applyBorder="1" applyAlignment="1"/>
    <xf numFmtId="0" fontId="3" fillId="8" borderId="0" xfId="0" applyFont="1" applyFill="1" applyAlignment="1"/>
    <xf numFmtId="0" fontId="30" fillId="7" borderId="0" xfId="0" applyFont="1" applyFill="1" applyAlignment="1"/>
    <xf numFmtId="170" fontId="3" fillId="0" borderId="0" xfId="0" applyNumberFormat="1" applyFont="1" applyAlignment="1"/>
    <xf numFmtId="0" fontId="11" fillId="0" borderId="0" xfId="0" applyFont="1" applyAlignment="1"/>
    <xf numFmtId="9" fontId="3" fillId="0" borderId="0" xfId="0" applyNumberFormat="1" applyFont="1" applyAlignment="1"/>
    <xf numFmtId="0" fontId="11" fillId="0" borderId="17" xfId="0" applyFont="1" applyBorder="1" applyAlignment="1"/>
    <xf numFmtId="0" fontId="3" fillId="0" borderId="8" xfId="0" applyFont="1" applyBorder="1" applyAlignment="1"/>
    <xf numFmtId="0" fontId="9" fillId="0" borderId="8" xfId="0" applyFont="1" applyBorder="1" applyAlignment="1">
      <alignment horizontal="right"/>
    </xf>
    <xf numFmtId="0" fontId="9" fillId="0" borderId="8" xfId="0" applyFont="1" applyBorder="1"/>
    <xf numFmtId="170" fontId="9" fillId="0" borderId="8" xfId="0" applyNumberFormat="1" applyFont="1" applyBorder="1"/>
    <xf numFmtId="0" fontId="2" fillId="0" borderId="0" xfId="0" applyFont="1" applyAlignment="1">
      <alignment horizontal="right"/>
    </xf>
    <xf numFmtId="0" fontId="2" fillId="0" borderId="0" xfId="0" applyFont="1" applyAlignment="1"/>
    <xf numFmtId="0" fontId="2" fillId="0" borderId="8" xfId="0" applyFont="1" applyBorder="1" applyAlignment="1">
      <alignment horizontal="right"/>
    </xf>
    <xf numFmtId="0" fontId="21" fillId="0" borderId="0" xfId="0" applyFont="1"/>
    <xf numFmtId="0" fontId="21" fillId="0" borderId="0" xfId="0" applyFont="1" applyAlignment="1">
      <alignment horizontal="right"/>
    </xf>
    <xf numFmtId="170" fontId="39" fillId="0" borderId="0" xfId="0" applyNumberFormat="1" applyFont="1" applyAlignment="1">
      <alignment horizontal="right"/>
    </xf>
    <xf numFmtId="170" fontId="11" fillId="0" borderId="8" xfId="0" applyNumberFormat="1" applyFont="1" applyBorder="1" applyAlignment="1">
      <alignment horizontal="right"/>
    </xf>
    <xf numFmtId="0" fontId="2" fillId="9" borderId="0" xfId="0" applyFont="1" applyFill="1"/>
    <xf numFmtId="0" fontId="2" fillId="5" borderId="0" xfId="0" applyFont="1" applyFill="1" applyAlignment="1"/>
    <xf numFmtId="0" fontId="2" fillId="5" borderId="0" xfId="0" applyFont="1" applyFill="1"/>
    <xf numFmtId="170" fontId="2" fillId="9" borderId="0" xfId="0" applyNumberFormat="1" applyFont="1" applyFill="1"/>
    <xf numFmtId="170" fontId="11" fillId="9" borderId="8" xfId="0" applyNumberFormat="1" applyFont="1" applyFill="1" applyBorder="1" applyAlignment="1">
      <alignment horizontal="right"/>
    </xf>
    <xf numFmtId="170" fontId="11" fillId="0" borderId="8" xfId="0" applyNumberFormat="1" applyFont="1" applyBorder="1" applyAlignment="1">
      <alignment horizontal="right"/>
    </xf>
    <xf numFmtId="0" fontId="3" fillId="0" borderId="11" xfId="0" applyFont="1" applyBorder="1" applyAlignment="1"/>
    <xf numFmtId="0" fontId="3" fillId="0" borderId="11" xfId="0" applyFont="1" applyBorder="1" applyAlignment="1"/>
    <xf numFmtId="4" fontId="3" fillId="0" borderId="11" xfId="0" applyNumberFormat="1" applyFont="1" applyBorder="1" applyAlignment="1">
      <alignment horizontal="right"/>
    </xf>
    <xf numFmtId="0" fontId="40" fillId="2" borderId="10" xfId="0" applyFont="1" applyFill="1" applyBorder="1" applyAlignment="1"/>
    <xf numFmtId="165" fontId="41" fillId="2" borderId="10" xfId="0" applyNumberFormat="1" applyFont="1" applyFill="1" applyBorder="1" applyAlignment="1">
      <alignment horizontal="right" wrapText="1"/>
    </xf>
    <xf numFmtId="0" fontId="42" fillId="0" borderId="5" xfId="0" applyFont="1" applyBorder="1" applyAlignment="1"/>
    <xf numFmtId="0" fontId="40" fillId="0" borderId="0" xfId="0" applyFont="1" applyAlignment="1"/>
    <xf numFmtId="170" fontId="40" fillId="0" borderId="0" xfId="0" applyNumberFormat="1" applyFont="1" applyAlignment="1"/>
    <xf numFmtId="170" fontId="40" fillId="0" borderId="0" xfId="0" applyNumberFormat="1" applyFont="1" applyAlignment="1">
      <alignment horizontal="right"/>
    </xf>
    <xf numFmtId="0" fontId="40" fillId="0" borderId="5" xfId="0" applyFont="1" applyBorder="1" applyAlignment="1"/>
    <xf numFmtId="0" fontId="40" fillId="0" borderId="0" xfId="0" applyFont="1" applyAlignment="1"/>
    <xf numFmtId="0" fontId="9" fillId="9" borderId="8" xfId="0" applyFont="1" applyFill="1" applyBorder="1"/>
    <xf numFmtId="0" fontId="43" fillId="0" borderId="17" xfId="0" applyFont="1" applyBorder="1" applyAlignment="1"/>
    <xf numFmtId="173" fontId="2" fillId="9" borderId="0" xfId="0" applyNumberFormat="1" applyFont="1" applyFill="1"/>
    <xf numFmtId="0" fontId="40" fillId="0" borderId="8" xfId="0" applyFont="1" applyBorder="1" applyAlignment="1"/>
    <xf numFmtId="170" fontId="43" fillId="0" borderId="8" xfId="0" applyNumberFormat="1" applyFont="1" applyBorder="1" applyAlignment="1">
      <alignment horizontal="right"/>
    </xf>
    <xf numFmtId="0" fontId="43" fillId="0" borderId="5" xfId="0" applyFont="1" applyBorder="1" applyAlignment="1"/>
    <xf numFmtId="0" fontId="43" fillId="0" borderId="0" xfId="0" applyFont="1" applyAlignment="1"/>
    <xf numFmtId="14" fontId="44" fillId="7" borderId="0" xfId="0" applyNumberFormat="1" applyFont="1" applyFill="1" applyAlignment="1">
      <alignment horizontal="right"/>
    </xf>
    <xf numFmtId="3" fontId="44" fillId="7" borderId="0" xfId="0" applyNumberFormat="1" applyFont="1" applyFill="1" applyAlignment="1">
      <alignment horizontal="right"/>
    </xf>
    <xf numFmtId="9" fontId="44" fillId="7" borderId="0" xfId="0" applyNumberFormat="1" applyFont="1" applyFill="1" applyAlignment="1">
      <alignment horizontal="right"/>
    </xf>
    <xf numFmtId="170" fontId="43" fillId="0" borderId="0" xfId="0" applyNumberFormat="1" applyFont="1" applyAlignment="1">
      <alignment horizontal="right"/>
    </xf>
    <xf numFmtId="0" fontId="44" fillId="7" borderId="0" xfId="0" applyFont="1" applyFill="1" applyAlignment="1">
      <alignment horizontal="right"/>
    </xf>
    <xf numFmtId="10" fontId="44" fillId="7" borderId="0" xfId="0" applyNumberFormat="1" applyFont="1" applyFill="1" applyAlignment="1">
      <alignment horizontal="right"/>
    </xf>
    <xf numFmtId="170" fontId="3" fillId="0" borderId="0" xfId="0" applyNumberFormat="1" applyFont="1" applyAlignment="1">
      <alignment horizontal="center"/>
    </xf>
    <xf numFmtId="0" fontId="44" fillId="7" borderId="0" xfId="0" applyFont="1" applyFill="1" applyAlignment="1">
      <alignment horizontal="right"/>
    </xf>
    <xf numFmtId="10" fontId="44" fillId="7" borderId="0" xfId="0" applyNumberFormat="1" applyFont="1" applyFill="1" applyAlignment="1">
      <alignment horizontal="right"/>
    </xf>
    <xf numFmtId="170" fontId="2" fillId="9" borderId="0" xfId="0" applyNumberFormat="1" applyFont="1" applyFill="1" applyAlignment="1"/>
    <xf numFmtId="170" fontId="3" fillId="5" borderId="0" xfId="0" applyNumberFormat="1" applyFont="1" applyFill="1" applyAlignment="1">
      <alignment horizontal="right"/>
    </xf>
    <xf numFmtId="0" fontId="9" fillId="0" borderId="8" xfId="0" applyFont="1" applyBorder="1" applyAlignment="1"/>
    <xf numFmtId="6" fontId="45" fillId="2" borderId="0" xfId="0" applyNumberFormat="1" applyFont="1" applyFill="1" applyAlignment="1">
      <alignment horizontal="left"/>
    </xf>
    <xf numFmtId="17" fontId="45" fillId="2" borderId="0" xfId="0" applyNumberFormat="1" applyFont="1" applyFill="1" applyAlignment="1">
      <alignment horizontal="right"/>
    </xf>
    <xf numFmtId="17" fontId="45" fillId="2" borderId="0" xfId="0" applyNumberFormat="1" applyFont="1" applyFill="1" applyAlignment="1">
      <alignment horizontal="right"/>
    </xf>
    <xf numFmtId="6" fontId="46" fillId="0" borderId="0" xfId="0" applyNumberFormat="1" applyFont="1" applyAlignment="1">
      <alignment horizontal="left"/>
    </xf>
    <xf numFmtId="6" fontId="32" fillId="0" borderId="0" xfId="0" applyNumberFormat="1" applyFont="1" applyAlignment="1"/>
    <xf numFmtId="6" fontId="32" fillId="0" borderId="0" xfId="0" applyNumberFormat="1" applyFont="1" applyAlignment="1"/>
    <xf numFmtId="6" fontId="32" fillId="0" borderId="0" xfId="0" applyNumberFormat="1" applyFont="1" applyAlignment="1">
      <alignment horizontal="left"/>
    </xf>
    <xf numFmtId="6" fontId="32" fillId="0" borderId="13" xfId="0" applyNumberFormat="1" applyFont="1" applyBorder="1" applyAlignment="1">
      <alignment horizontal="left"/>
    </xf>
    <xf numFmtId="6" fontId="46" fillId="0" borderId="8" xfId="0" applyNumberFormat="1" applyFont="1" applyBorder="1" applyAlignment="1">
      <alignment horizontal="left"/>
    </xf>
    <xf numFmtId="6" fontId="46" fillId="0" borderId="8" xfId="0" applyNumberFormat="1" applyFont="1" applyBorder="1" applyAlignment="1"/>
    <xf numFmtId="6" fontId="46" fillId="10" borderId="8" xfId="0" applyNumberFormat="1" applyFont="1" applyFill="1" applyBorder="1" applyAlignment="1"/>
    <xf numFmtId="6" fontId="46" fillId="0" borderId="0" xfId="0" applyNumberFormat="1" applyFont="1" applyAlignment="1"/>
    <xf numFmtId="6" fontId="32" fillId="0" borderId="0" xfId="0" applyNumberFormat="1" applyFont="1" applyAlignment="1">
      <alignment horizontal="left"/>
    </xf>
    <xf numFmtId="6" fontId="47" fillId="0" borderId="0" xfId="0" applyNumberFormat="1" applyFont="1" applyAlignment="1"/>
    <xf numFmtId="6" fontId="32" fillId="0" borderId="13" xfId="0" applyNumberFormat="1" applyFont="1" applyBorder="1" applyAlignment="1">
      <alignment horizontal="left"/>
    </xf>
    <xf numFmtId="170" fontId="46" fillId="0" borderId="8" xfId="0" applyNumberFormat="1" applyFont="1" applyBorder="1" applyAlignment="1"/>
    <xf numFmtId="170" fontId="46" fillId="0" borderId="8" xfId="0" applyNumberFormat="1" applyFont="1" applyBorder="1" applyAlignment="1"/>
    <xf numFmtId="170" fontId="46" fillId="0" borderId="0" xfId="0" applyNumberFormat="1" applyFont="1" applyAlignment="1"/>
    <xf numFmtId="4" fontId="32" fillId="0" borderId="0" xfId="0" applyNumberFormat="1" applyFont="1" applyAlignment="1"/>
    <xf numFmtId="4" fontId="32" fillId="0" borderId="0" xfId="0" applyNumberFormat="1" applyFont="1" applyAlignment="1"/>
    <xf numFmtId="6" fontId="46" fillId="11" borderId="0" xfId="0" applyNumberFormat="1" applyFont="1" applyFill="1" applyAlignment="1">
      <alignment horizontal="left"/>
    </xf>
    <xf numFmtId="6" fontId="46" fillId="11" borderId="0" xfId="0" applyNumberFormat="1" applyFont="1" applyFill="1" applyAlignment="1"/>
    <xf numFmtId="181" fontId="32" fillId="0" borderId="0" xfId="0" applyNumberFormat="1" applyFont="1" applyAlignment="1"/>
    <xf numFmtId="6" fontId="48" fillId="0" borderId="0" xfId="0" applyNumberFormat="1" applyFont="1" applyAlignment="1">
      <alignment horizontal="left"/>
    </xf>
    <xf numFmtId="3" fontId="32" fillId="0" borderId="0" xfId="0" applyNumberFormat="1" applyFont="1" applyAlignment="1"/>
    <xf numFmtId="6" fontId="46" fillId="0" borderId="13" xfId="0" applyNumberFormat="1" applyFont="1" applyBorder="1" applyAlignment="1">
      <alignment horizontal="left"/>
    </xf>
    <xf numFmtId="170" fontId="32" fillId="0" borderId="13" xfId="0" applyNumberFormat="1" applyFont="1" applyBorder="1" applyAlignment="1"/>
    <xf numFmtId="17" fontId="32" fillId="0" borderId="0" xfId="0" applyNumberFormat="1" applyFont="1" applyAlignment="1">
      <alignment horizontal="left"/>
    </xf>
    <xf numFmtId="170" fontId="3" fillId="0" borderId="0" xfId="0" applyNumberFormat="1" applyFont="1" applyAlignment="1">
      <alignment horizontal="center"/>
    </xf>
    <xf numFmtId="170" fontId="46" fillId="0" borderId="13" xfId="0" applyNumberFormat="1" applyFont="1" applyBorder="1" applyAlignment="1"/>
    <xf numFmtId="0" fontId="49" fillId="0" borderId="0" xfId="0" applyFont="1" applyAlignment="1">
      <alignment horizontal="left"/>
    </xf>
    <xf numFmtId="0" fontId="0" fillId="0" borderId="0" xfId="0" applyFont="1" applyAlignment="1">
      <alignment horizontal="left"/>
    </xf>
    <xf numFmtId="0" fontId="49" fillId="0" borderId="0" xfId="0" applyFont="1" applyAlignment="1">
      <alignment horizontal="center"/>
    </xf>
    <xf numFmtId="0" fontId="50" fillId="0" borderId="0" xfId="0" applyFont="1" applyAlignment="1">
      <alignment horizontal="left"/>
    </xf>
    <xf numFmtId="0" fontId="50" fillId="0" borderId="0" xfId="0" applyFont="1" applyAlignment="1">
      <alignment horizontal="center"/>
    </xf>
    <xf numFmtId="0" fontId="51" fillId="0" borderId="0" xfId="0" applyFont="1" applyAlignment="1"/>
    <xf numFmtId="0" fontId="51" fillId="0" borderId="0" xfId="0" applyFont="1" applyAlignment="1"/>
    <xf numFmtId="165" fontId="36" fillId="0" borderId="13" xfId="0" applyNumberFormat="1" applyFont="1" applyBorder="1" applyAlignment="1">
      <alignment horizontal="center"/>
    </xf>
    <xf numFmtId="172" fontId="36" fillId="0" borderId="13" xfId="0" applyNumberFormat="1" applyFont="1" applyBorder="1" applyAlignment="1">
      <alignment horizontal="center"/>
    </xf>
    <xf numFmtId="0" fontId="52" fillId="0" borderId="0" xfId="0" applyFont="1" applyAlignment="1">
      <alignment horizontal="left"/>
    </xf>
    <xf numFmtId="0" fontId="53" fillId="0" borderId="0" xfId="0" applyFont="1" applyAlignment="1"/>
    <xf numFmtId="4" fontId="53" fillId="0" borderId="0" xfId="0" applyNumberFormat="1" applyFont="1" applyAlignment="1">
      <alignment horizontal="right"/>
    </xf>
    <xf numFmtId="181" fontId="52" fillId="0" borderId="8" xfId="0" applyNumberFormat="1" applyFont="1" applyBorder="1" applyAlignment="1">
      <alignment horizontal="right"/>
    </xf>
    <xf numFmtId="0" fontId="53" fillId="0" borderId="0" xfId="0" applyFont="1" applyAlignment="1"/>
    <xf numFmtId="0" fontId="53" fillId="0" borderId="0" xfId="0" applyFont="1" applyAlignment="1">
      <alignment horizontal="right"/>
    </xf>
    <xf numFmtId="4" fontId="53" fillId="0" borderId="0" xfId="0" applyNumberFormat="1" applyFont="1" applyAlignment="1"/>
    <xf numFmtId="181" fontId="53" fillId="0" borderId="0" xfId="0" applyNumberFormat="1" applyFont="1" applyAlignment="1"/>
    <xf numFmtId="181" fontId="53" fillId="0" borderId="0" xfId="0" applyNumberFormat="1" applyFont="1" applyAlignment="1">
      <alignment horizontal="right"/>
    </xf>
    <xf numFmtId="4" fontId="52" fillId="0" borderId="8" xfId="0" applyNumberFormat="1" applyFont="1" applyBorder="1" applyAlignment="1">
      <alignment horizontal="right"/>
    </xf>
    <xf numFmtId="0" fontId="49" fillId="0" borderId="0" xfId="0" applyFont="1" applyAlignment="1"/>
    <xf numFmtId="0" fontId="50" fillId="0" borderId="0" xfId="0" applyFont="1" applyAlignment="1"/>
    <xf numFmtId="0" fontId="45" fillId="2" borderId="0" xfId="0" applyFont="1" applyFill="1" applyAlignment="1">
      <alignment vertical="top" wrapText="1"/>
    </xf>
    <xf numFmtId="0" fontId="45" fillId="12" borderId="0" xfId="0" applyFont="1" applyFill="1" applyAlignment="1">
      <alignment vertical="top"/>
    </xf>
    <xf numFmtId="0" fontId="45" fillId="12" borderId="0" xfId="0" applyFont="1" applyFill="1" applyAlignment="1">
      <alignment vertical="top" wrapText="1"/>
    </xf>
    <xf numFmtId="0" fontId="45" fillId="8" borderId="0" xfId="0" applyFont="1" applyFill="1" applyAlignment="1">
      <alignment vertical="top" wrapText="1"/>
    </xf>
    <xf numFmtId="0" fontId="45" fillId="9" borderId="0" xfId="0" applyFont="1" applyFill="1" applyAlignment="1">
      <alignment vertical="top" wrapText="1"/>
    </xf>
    <xf numFmtId="8" fontId="0" fillId="0" borderId="0" xfId="0" applyNumberFormat="1" applyFont="1" applyAlignment="1">
      <alignment wrapText="1"/>
    </xf>
    <xf numFmtId="0" fontId="32" fillId="0" borderId="0" xfId="0" applyFont="1" applyAlignment="1">
      <alignment wrapText="1"/>
    </xf>
    <xf numFmtId="0" fontId="54" fillId="0" borderId="0" xfId="0" applyFont="1" applyAlignment="1">
      <alignment horizontal="right" vertical="top" wrapText="1"/>
    </xf>
    <xf numFmtId="0" fontId="54" fillId="0" borderId="0" xfId="0" applyFont="1" applyAlignment="1">
      <alignment horizontal="right" vertical="top" wrapText="1"/>
    </xf>
    <xf numFmtId="3" fontId="54" fillId="0" borderId="0" xfId="0" applyNumberFormat="1" applyFont="1" applyAlignment="1">
      <alignment horizontal="right" vertical="top" wrapText="1"/>
    </xf>
    <xf numFmtId="8" fontId="0" fillId="0" borderId="0" xfId="0" applyNumberFormat="1" applyFont="1" applyAlignment="1">
      <alignment vertical="center" wrapText="1"/>
    </xf>
    <xf numFmtId="0" fontId="32" fillId="0" borderId="0" xfId="0" applyFont="1" applyAlignment="1">
      <alignment vertical="center" wrapText="1"/>
    </xf>
    <xf numFmtId="14" fontId="32" fillId="0" borderId="0" xfId="0" applyNumberFormat="1" applyFont="1" applyAlignment="1"/>
    <xf numFmtId="0" fontId="32" fillId="0" borderId="0" xfId="0" applyFont="1"/>
    <xf numFmtId="3" fontId="2" fillId="0" borderId="0" xfId="0" applyNumberFormat="1" applyFont="1" applyAlignment="1"/>
    <xf numFmtId="0" fontId="2" fillId="0" borderId="0" xfId="0" applyFont="1"/>
    <xf numFmtId="14" fontId="3" fillId="0" borderId="0" xfId="0" applyNumberFormat="1" applyFont="1" applyAlignment="1">
      <alignment horizontal="right"/>
    </xf>
    <xf numFmtId="0" fontId="9" fillId="0" borderId="0" xfId="0" applyFont="1" applyAlignment="1">
      <alignment horizontal="left"/>
    </xf>
    <xf numFmtId="14" fontId="2" fillId="0" borderId="0" xfId="0" applyNumberFormat="1" applyFont="1" applyAlignment="1">
      <alignment horizontal="left"/>
    </xf>
    <xf numFmtId="3" fontId="2" fillId="0" borderId="0" xfId="0" applyNumberFormat="1" applyFont="1" applyAlignment="1">
      <alignment horizontal="left"/>
    </xf>
    <xf numFmtId="0" fontId="2" fillId="0" borderId="0" xfId="0" applyFont="1" applyAlignment="1">
      <alignment horizontal="left"/>
    </xf>
    <xf numFmtId="182" fontId="2" fillId="0" borderId="0" xfId="0" applyNumberFormat="1" applyFont="1" applyAlignment="1"/>
    <xf numFmtId="181" fontId="2" fillId="0" borderId="0" xfId="0" applyNumberFormat="1" applyFont="1" applyAlignment="1"/>
    <xf numFmtId="0" fontId="2" fillId="0" borderId="0" xfId="0" applyFont="1" applyAlignment="1">
      <alignment horizontal="left"/>
    </xf>
    <xf numFmtId="0" fontId="55" fillId="0" borderId="0" xfId="0" applyFont="1" applyAlignment="1"/>
    <xf numFmtId="0" fontId="55" fillId="0" borderId="0" xfId="0" applyFont="1" applyAlignment="1">
      <alignment horizontal="left"/>
    </xf>
    <xf numFmtId="181" fontId="55" fillId="0" borderId="0" xfId="0" applyNumberFormat="1" applyFont="1" applyAlignment="1"/>
    <xf numFmtId="0" fontId="55" fillId="0" borderId="0" xfId="0" applyFont="1" applyAlignment="1"/>
    <xf numFmtId="182" fontId="55" fillId="0" borderId="0" xfId="0" applyNumberFormat="1" applyFont="1" applyAlignment="1">
      <alignment horizontal="right"/>
    </xf>
    <xf numFmtId="181" fontId="55" fillId="0" borderId="0" xfId="0" applyNumberFormat="1" applyFont="1" applyAlignment="1">
      <alignment horizontal="right"/>
    </xf>
    <xf numFmtId="0" fontId="13" fillId="0" borderId="0" xfId="0" applyFont="1" applyAlignment="1">
      <alignment horizontal="right"/>
    </xf>
    <xf numFmtId="0" fontId="0" fillId="0" borderId="0" xfId="0" applyFont="1" applyAlignment="1"/>
    <xf numFmtId="172" fontId="14" fillId="0" borderId="0" xfId="0" applyNumberFormat="1" applyFont="1" applyAlignment="1">
      <alignment horizontal="right"/>
    </xf>
    <xf numFmtId="0" fontId="17" fillId="0" borderId="0" xfId="0" applyFont="1" applyAlignment="1">
      <alignment horizontal="center"/>
    </xf>
    <xf numFmtId="0" fontId="45" fillId="2" borderId="0" xfId="0" applyFont="1" applyFill="1" applyAlignment="1">
      <alignment vertical="top" wrapText="1"/>
    </xf>
  </cellXfs>
  <cellStyles count="1">
    <cellStyle name="Normal" xfId="0" builtinId="0"/>
  </cellStyles>
  <dxfs count="12">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s>
  <tableStyles count="0" defaultTableStyle="TableStyleMedium2" defaultPivotStyle="PivotStyleLight16"/>
  <colors>
    <mruColors>
      <color rgb="FFB7B7B7"/>
      <color rgb="FFDEEAF6"/>
      <color rgb="FFFFE598"/>
      <color rgb="FF48B888"/>
      <color rgb="FFDC19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Expense Breakdown (Base-Case)</a:t>
            </a:r>
          </a:p>
        </c:rich>
      </c:tx>
      <c:layout>
        <c:manualLayout>
          <c:xMode val="edge"/>
          <c:yMode val="edge"/>
          <c:x val="1.0149956255468074E-2"/>
          <c:y val="2.002002002002002E-2"/>
        </c:manualLayout>
      </c:layout>
      <c:overlay val="0"/>
    </c:title>
    <c:autoTitleDeleted val="0"/>
    <c:plotArea>
      <c:layout>
        <c:manualLayout>
          <c:layoutTarget val="inner"/>
          <c:xMode val="edge"/>
          <c:yMode val="edge"/>
          <c:x val="0.14587961504811897"/>
          <c:y val="0.18058058058058057"/>
          <c:w val="0.81211618547681541"/>
          <c:h val="0.52882173512094766"/>
        </c:manualLayout>
      </c:layout>
      <c:areaChart>
        <c:grouping val="stacked"/>
        <c:varyColors val="1"/>
        <c:ser>
          <c:idx val="0"/>
          <c:order val="0"/>
          <c:tx>
            <c:strRef>
              <c:f>Chartbuilding!$B$7</c:f>
              <c:strCache>
                <c:ptCount val="1"/>
                <c:pt idx="0">
                  <c:v>General &amp; Admin</c:v>
                </c:pt>
              </c:strCache>
            </c:strRef>
          </c:tx>
          <c:spPr>
            <a:solidFill>
              <a:srgbClr val="48B888">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Chartbuilding!$C$7:$N$7</c:f>
              <c:numCache>
                <c:formatCode>_(* #,##0_);_(* \(#,##0\);_(* "-"??_);_(@_)</c:formatCode>
                <c:ptCount val="12"/>
                <c:pt idx="0">
                  <c:v>102338</c:v>
                </c:pt>
                <c:pt idx="1">
                  <c:v>111703</c:v>
                </c:pt>
                <c:pt idx="2">
                  <c:v>86317</c:v>
                </c:pt>
                <c:pt idx="3">
                  <c:v>87926</c:v>
                </c:pt>
                <c:pt idx="4">
                  <c:v>78155.666666666657</c:v>
                </c:pt>
                <c:pt idx="5">
                  <c:v>78155.666666666657</c:v>
                </c:pt>
                <c:pt idx="6">
                  <c:v>78155.666666666657</c:v>
                </c:pt>
                <c:pt idx="7">
                  <c:v>83409.499999999985</c:v>
                </c:pt>
                <c:pt idx="8">
                  <c:v>83409.499999999985</c:v>
                </c:pt>
                <c:pt idx="9">
                  <c:v>88663.333333333328</c:v>
                </c:pt>
                <c:pt idx="10">
                  <c:v>88663.333333333328</c:v>
                </c:pt>
                <c:pt idx="11">
                  <c:v>88663.333333333328</c:v>
                </c:pt>
              </c:numCache>
            </c:numRef>
          </c:val>
          <c:extLst xmlns:c16r2="http://schemas.microsoft.com/office/drawing/2015/06/chart">
            <c:ext xmlns:c16="http://schemas.microsoft.com/office/drawing/2014/chart" uri="{C3380CC4-5D6E-409C-BE32-E72D297353CC}">
              <c16:uniqueId val="{00000000-1BE3-4318-A20B-D0CBA3024402}"/>
            </c:ext>
          </c:extLst>
        </c:ser>
        <c:ser>
          <c:idx val="1"/>
          <c:order val="1"/>
          <c:tx>
            <c:strRef>
              <c:f>Chartbuilding!$B$8</c:f>
              <c:strCache>
                <c:ptCount val="1"/>
                <c:pt idx="0">
                  <c:v>Sales &amp; Marketing</c:v>
                </c:pt>
              </c:strCache>
            </c:strRef>
          </c:tx>
          <c:spPr>
            <a:solidFill>
              <a:srgbClr val="035089">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Chartbuilding!$C$8:$N$8</c:f>
              <c:numCache>
                <c:formatCode>_(* #,##0_);_(* \(#,##0\);_(* "-"??_);_(@_)</c:formatCode>
                <c:ptCount val="12"/>
                <c:pt idx="0">
                  <c:v>312682</c:v>
                </c:pt>
                <c:pt idx="1">
                  <c:v>326880</c:v>
                </c:pt>
                <c:pt idx="2">
                  <c:v>296642</c:v>
                </c:pt>
                <c:pt idx="3">
                  <c:v>284575</c:v>
                </c:pt>
                <c:pt idx="4">
                  <c:v>275628.6895190989</c:v>
                </c:pt>
                <c:pt idx="5">
                  <c:v>290437.16025988699</c:v>
                </c:pt>
                <c:pt idx="6">
                  <c:v>305844.63572074543</c:v>
                </c:pt>
                <c:pt idx="7">
                  <c:v>321388.18137200613</c:v>
                </c:pt>
                <c:pt idx="8">
                  <c:v>337270.76314522664</c:v>
                </c:pt>
                <c:pt idx="9">
                  <c:v>384907.78326085664</c:v>
                </c:pt>
                <c:pt idx="10">
                  <c:v>400854.80835042981</c:v>
                </c:pt>
                <c:pt idx="11">
                  <c:v>448490.58265770611</c:v>
                </c:pt>
              </c:numCache>
            </c:numRef>
          </c:val>
          <c:extLst xmlns:c16r2="http://schemas.microsoft.com/office/drawing/2015/06/chart">
            <c:ext xmlns:c16="http://schemas.microsoft.com/office/drawing/2014/chart" uri="{C3380CC4-5D6E-409C-BE32-E72D297353CC}">
              <c16:uniqueId val="{00000001-1BE3-4318-A20B-D0CBA3024402}"/>
            </c:ext>
          </c:extLst>
        </c:ser>
        <c:ser>
          <c:idx val="2"/>
          <c:order val="2"/>
          <c:tx>
            <c:strRef>
              <c:f>Chartbuilding!$B$9</c:f>
              <c:strCache>
                <c:ptCount val="1"/>
                <c:pt idx="0">
                  <c:v>Engineering</c:v>
                </c:pt>
              </c:strCache>
            </c:strRef>
          </c:tx>
          <c:spPr>
            <a:solidFill>
              <a:srgbClr val="B7B7B7">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Chartbuilding!$C$9:$N$9</c:f>
              <c:numCache>
                <c:formatCode>_(* #,##0_);_(* \(#,##0\);_(* "-"??_);_(@_)</c:formatCode>
                <c:ptCount val="12"/>
                <c:pt idx="0">
                  <c:v>278774</c:v>
                </c:pt>
                <c:pt idx="1">
                  <c:v>284741</c:v>
                </c:pt>
                <c:pt idx="2">
                  <c:v>280952</c:v>
                </c:pt>
                <c:pt idx="3">
                  <c:v>278352</c:v>
                </c:pt>
                <c:pt idx="4">
                  <c:v>229392.50000000003</c:v>
                </c:pt>
                <c:pt idx="5">
                  <c:v>229392.50000000003</c:v>
                </c:pt>
                <c:pt idx="6">
                  <c:v>229392.50000000003</c:v>
                </c:pt>
                <c:pt idx="7">
                  <c:v>229392.50000000003</c:v>
                </c:pt>
                <c:pt idx="8">
                  <c:v>229392.50000000003</c:v>
                </c:pt>
                <c:pt idx="9">
                  <c:v>247313.33333333337</c:v>
                </c:pt>
                <c:pt idx="10">
                  <c:v>247313.33333333337</c:v>
                </c:pt>
                <c:pt idx="11">
                  <c:v>247313.33333333337</c:v>
                </c:pt>
              </c:numCache>
            </c:numRef>
          </c:val>
          <c:extLst xmlns:c16r2="http://schemas.microsoft.com/office/drawing/2015/06/chart">
            <c:ext xmlns:c16="http://schemas.microsoft.com/office/drawing/2014/chart" uri="{C3380CC4-5D6E-409C-BE32-E72D297353CC}">
              <c16:uniqueId val="{00000002-1BE3-4318-A20B-D0CBA3024402}"/>
            </c:ext>
          </c:extLst>
        </c:ser>
        <c:ser>
          <c:idx val="3"/>
          <c:order val="3"/>
          <c:tx>
            <c:strRef>
              <c:f>Chartbuilding!$B$10</c:f>
              <c:strCache>
                <c:ptCount val="1"/>
                <c:pt idx="0">
                  <c:v>Cost of Revenue</c:v>
                </c:pt>
              </c:strCache>
            </c:strRef>
          </c:tx>
          <c:spPr>
            <a:solidFill>
              <a:srgbClr val="FFF2CC">
                <a:alpha val="30000"/>
              </a:srgbClr>
            </a:solidFill>
            <a:ln w="19050" cmpd="sng">
              <a:noFill/>
            </a:ln>
          </c:spP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Chartbuilding!$C$10:$N$10</c:f>
              <c:numCache>
                <c:formatCode>_(* #,##0_);_(* \(#,##0\);_(* "-"??_);_(@_)</c:formatCode>
                <c:ptCount val="12"/>
                <c:pt idx="0">
                  <c:v>144559</c:v>
                </c:pt>
                <c:pt idx="1">
                  <c:v>147471</c:v>
                </c:pt>
                <c:pt idx="2">
                  <c:v>146844</c:v>
                </c:pt>
                <c:pt idx="3">
                  <c:v>145771</c:v>
                </c:pt>
                <c:pt idx="4">
                  <c:v>143824.40636466118</c:v>
                </c:pt>
                <c:pt idx="5">
                  <c:v>143487.71696146208</c:v>
                </c:pt>
                <c:pt idx="6">
                  <c:v>144204.01832606411</c:v>
                </c:pt>
                <c:pt idx="7">
                  <c:v>145159.51756251228</c:v>
                </c:pt>
                <c:pt idx="8">
                  <c:v>146711.0086073936</c:v>
                </c:pt>
                <c:pt idx="9">
                  <c:v>156508.72355594771</c:v>
                </c:pt>
                <c:pt idx="10">
                  <c:v>158173.49954649335</c:v>
                </c:pt>
                <c:pt idx="11">
                  <c:v>168439.85782110534</c:v>
                </c:pt>
              </c:numCache>
            </c:numRef>
          </c:val>
          <c:extLst xmlns:c16r2="http://schemas.microsoft.com/office/drawing/2015/06/chart">
            <c:ext xmlns:c16="http://schemas.microsoft.com/office/drawing/2014/chart" uri="{C3380CC4-5D6E-409C-BE32-E72D297353CC}">
              <c16:uniqueId val="{00000003-1BE3-4318-A20B-D0CBA3024402}"/>
            </c:ext>
          </c:extLst>
        </c:ser>
        <c:dLbls>
          <c:showLegendKey val="0"/>
          <c:showVal val="0"/>
          <c:showCatName val="0"/>
          <c:showSerName val="0"/>
          <c:showPercent val="0"/>
          <c:showBubbleSize val="0"/>
        </c:dLbls>
        <c:axId val="557469184"/>
        <c:axId val="557483872"/>
      </c:areaChart>
      <c:dateAx>
        <c:axId val="557469184"/>
        <c:scaling>
          <c:orientation val="minMax"/>
        </c:scaling>
        <c:delete val="0"/>
        <c:axPos val="b"/>
        <c:title>
          <c:tx>
            <c:rich>
              <a:bodyPr/>
              <a:lstStyle/>
              <a:p>
                <a:pPr lvl="0">
                  <a:defRPr b="0">
                    <a:solidFill>
                      <a:srgbClr val="000000"/>
                    </a:solidFill>
                    <a:latin typeface="Roboto"/>
                  </a:defRPr>
                </a:pPr>
                <a:endParaRPr lang="en-US"/>
              </a:p>
            </c:rich>
          </c:tx>
          <c:overlay val="0"/>
        </c:title>
        <c:numFmt formatCode="mmm\-yy" sourceLinked="0"/>
        <c:majorTickMark val="none"/>
        <c:minorTickMark val="none"/>
        <c:tickLblPos val="nextTo"/>
        <c:txPr>
          <a:bodyPr/>
          <a:lstStyle/>
          <a:p>
            <a:pPr lvl="0">
              <a:defRPr b="0">
                <a:solidFill>
                  <a:srgbClr val="000000"/>
                </a:solidFill>
                <a:latin typeface="Arial"/>
              </a:defRPr>
            </a:pPr>
            <a:endParaRPr lang="en-US"/>
          </a:p>
        </c:txPr>
        <c:crossAx val="557483872"/>
        <c:crosses val="autoZero"/>
        <c:auto val="1"/>
        <c:lblOffset val="100"/>
        <c:baseTimeUnit val="months"/>
      </c:dateAx>
      <c:valAx>
        <c:axId val="557483872"/>
        <c:scaling>
          <c:orientation val="minMax"/>
        </c:scaling>
        <c:delete val="0"/>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 #,##0_);_(* \(#,##0\);_(* &quot;-&quot;??_);_(@_)" sourceLinked="1"/>
        <c:majorTickMark val="none"/>
        <c:minorTickMark val="none"/>
        <c:tickLblPos val="nextTo"/>
        <c:spPr>
          <a:ln/>
        </c:spPr>
        <c:txPr>
          <a:bodyPr/>
          <a:lstStyle/>
          <a:p>
            <a:pPr lvl="0">
              <a:defRPr b="0">
                <a:solidFill>
                  <a:srgbClr val="000000"/>
                </a:solidFill>
                <a:latin typeface="Arial"/>
              </a:defRPr>
            </a:pPr>
            <a:endParaRPr lang="en-US"/>
          </a:p>
        </c:txPr>
        <c:crossAx val="557469184"/>
        <c:crosses val="autoZero"/>
        <c:crossBetween val="midCat"/>
        <c:majorUnit val="250000"/>
      </c:valAx>
    </c:plotArea>
    <c:legend>
      <c:legendPos val="b"/>
      <c:overlay val="0"/>
      <c:txPr>
        <a:bodyPr/>
        <a:lstStyle/>
        <a:p>
          <a:pPr lvl="0">
            <a:defRPr b="0">
              <a:solidFill>
                <a:srgbClr val="000000"/>
              </a:solidFill>
              <a:latin typeface="Roboto"/>
            </a:defRPr>
          </a:pPr>
          <a:endParaRPr lang="en-US"/>
        </a:p>
      </c:txPr>
    </c:legend>
    <c:plotVisOnly val="1"/>
    <c:dispBlanksAs val="zero"/>
    <c:showDLblsOverMax val="1"/>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Blended CAC:LTV (Base-Case)</a:t>
            </a:r>
          </a:p>
        </c:rich>
      </c:tx>
      <c:layout>
        <c:manualLayout>
          <c:xMode val="edge"/>
          <c:yMode val="edge"/>
          <c:x val="2.3777777777777752E-2"/>
          <c:y val="2.8028028028028028E-2"/>
        </c:manualLayout>
      </c:layout>
      <c:overlay val="0"/>
    </c:title>
    <c:autoTitleDeleted val="0"/>
    <c:plotArea>
      <c:layout/>
      <c:barChart>
        <c:barDir val="col"/>
        <c:grouping val="clustered"/>
        <c:varyColors val="1"/>
        <c:ser>
          <c:idx val="0"/>
          <c:order val="0"/>
          <c:tx>
            <c:strRef>
              <c:f>Metrics!$A$61</c:f>
              <c:strCache>
                <c:ptCount val="1"/>
                <c:pt idx="0">
                  <c:v>Blended</c:v>
                </c:pt>
              </c:strCache>
            </c:strRef>
          </c:tx>
          <c:spPr>
            <a:solidFill>
              <a:srgbClr val="B7E1CD"/>
            </a:solidFill>
          </c:spPr>
          <c:invertIfNegative val="1"/>
          <c:dPt>
            <c:idx val="0"/>
            <c:invertIfNegative val="1"/>
            <c:bubble3D val="0"/>
            <c:extLst xmlns:c16r2="http://schemas.microsoft.com/office/drawing/2015/06/chart">
              <c:ext xmlns:c16="http://schemas.microsoft.com/office/drawing/2014/chart" uri="{C3380CC4-5D6E-409C-BE32-E72D297353CC}">
                <c16:uniqueId val="{00000000-A8A9-4F68-A6F9-BF0F7A1E6A74}"/>
              </c:ext>
            </c:extLst>
          </c:dPt>
          <c:dPt>
            <c:idx val="2"/>
            <c:invertIfNegative val="1"/>
            <c:bubble3D val="0"/>
            <c:extLst xmlns:c16r2="http://schemas.microsoft.com/office/drawing/2015/06/chart">
              <c:ext xmlns:c16="http://schemas.microsoft.com/office/drawing/2014/chart" uri="{C3380CC4-5D6E-409C-BE32-E72D297353CC}">
                <c16:uniqueId val="{00000001-A8A9-4F68-A6F9-BF0F7A1E6A74}"/>
              </c:ext>
            </c:extLst>
          </c:dPt>
          <c:dPt>
            <c:idx val="4"/>
            <c:invertIfNegative val="1"/>
            <c:bubble3D val="0"/>
            <c:spPr>
              <a:solidFill>
                <a:srgbClr val="48B888"/>
              </a:solidFill>
            </c:spPr>
            <c:extLst xmlns:c16r2="http://schemas.microsoft.com/office/drawing/2015/06/chart">
              <c:ext xmlns:c16="http://schemas.microsoft.com/office/drawing/2014/chart" uri="{C3380CC4-5D6E-409C-BE32-E72D297353CC}">
                <c16:uniqueId val="{00000003-A8A9-4F68-A6F9-BF0F7A1E6A74}"/>
              </c:ext>
            </c:extLst>
          </c:dPt>
          <c:dLbls>
            <c:dLbl>
              <c:idx val="0"/>
              <c:spPr/>
              <c:txPr>
                <a:bodyPr/>
                <a:lstStyle/>
                <a:p>
                  <a:pPr lvl="0">
                    <a:defRPr sz="1400" b="1">
                      <a:solidFill>
                        <a:srgbClr val="666666"/>
                      </a:solidFill>
                    </a:defRPr>
                  </a:pPr>
                  <a:endParaRPr lang="en-US"/>
                </a:p>
              </c:txPr>
              <c:showLegendKey val="0"/>
              <c:showVal val="1"/>
              <c:showCatName val="0"/>
              <c:showSerName val="0"/>
              <c:showPercent val="0"/>
              <c:showBubbleSize val="0"/>
            </c:dLbl>
            <c:dLbl>
              <c:idx val="2"/>
              <c:spPr/>
              <c:txPr>
                <a:bodyPr/>
                <a:lstStyle/>
                <a:p>
                  <a:pPr lvl="0">
                    <a:defRPr sz="1400" b="1">
                      <a:solidFill>
                        <a:srgbClr val="666666"/>
                      </a:solidFill>
                    </a:defRPr>
                  </a:pPr>
                  <a:endParaRPr lang="en-US"/>
                </a:p>
              </c:txPr>
              <c:showLegendKey val="0"/>
              <c:showVal val="1"/>
              <c:showCatName val="0"/>
              <c:showSerName val="0"/>
              <c:showPercent val="0"/>
              <c:showBubbleSize val="0"/>
            </c:dLbl>
            <c:dLbl>
              <c:idx val="4"/>
              <c:spPr/>
              <c:txPr>
                <a:bodyPr/>
                <a:lstStyle/>
                <a:p>
                  <a:pPr lvl="0">
                    <a:defRPr sz="1400" b="1">
                      <a:solidFill>
                        <a:srgbClr val="666666"/>
                      </a:solidFill>
                    </a:defRPr>
                  </a:pPr>
                  <a:endParaRPr lang="en-US"/>
                </a:p>
              </c:txPr>
              <c:showLegendKey val="0"/>
              <c:showVal val="1"/>
              <c:showCatName val="0"/>
              <c:showSerName val="0"/>
              <c:showPercent val="0"/>
              <c:showBubbleSize val="0"/>
            </c:dLbl>
            <c:spPr>
              <a:noFill/>
              <a:ln>
                <a:noFill/>
              </a:ln>
              <a:effectLst/>
            </c:spPr>
            <c:txPr>
              <a:bodyPr/>
              <a:lstStyle/>
              <a:p>
                <a:pPr lvl="0">
                  <a:defRPr sz="1400" b="1">
                    <a:solidFill>
                      <a:srgbClr val="666666"/>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Metrics!$B$35:$J$35</c:f>
              <c:numCache>
                <c:formatCode>"Q2"\ yyyy</c:formatCode>
                <c:ptCount val="8"/>
                <c:pt idx="0" formatCode="&quot;Q1&quot;\ yyyy">
                  <c:v>43466</c:v>
                </c:pt>
                <c:pt idx="1">
                  <c:v>43556</c:v>
                </c:pt>
                <c:pt idx="2" formatCode="&quot;Q3&quot;\ yyyy">
                  <c:v>43647</c:v>
                </c:pt>
                <c:pt idx="3" formatCode="&quot;Q4&quot;\ yyyy">
                  <c:v>43739</c:v>
                </c:pt>
                <c:pt idx="4" formatCode="&quot;Q1&quot;\ yyyy">
                  <c:v>43831</c:v>
                </c:pt>
                <c:pt idx="5">
                  <c:v>43922</c:v>
                </c:pt>
                <c:pt idx="6" formatCode="&quot;Q3&quot;\ yyyy">
                  <c:v>44013</c:v>
                </c:pt>
                <c:pt idx="7" formatCode="&quot;Q4&quot;\ yyyy">
                  <c:v>44105</c:v>
                </c:pt>
              </c:numCache>
            </c:numRef>
          </c:cat>
          <c:val>
            <c:numRef>
              <c:f>Metrics!$B$61:$J$61</c:f>
              <c:numCache>
                <c:formatCode>#,##0.0\x</c:formatCode>
                <c:ptCount val="8"/>
                <c:pt idx="0">
                  <c:v>5.0488023668802713</c:v>
                </c:pt>
                <c:pt idx="1">
                  <c:v>7.5905000963215521</c:v>
                </c:pt>
                <c:pt idx="2">
                  <c:v>6.2550105835633554</c:v>
                </c:pt>
                <c:pt idx="3">
                  <c:v>7.1630791557328131</c:v>
                </c:pt>
                <c:pt idx="4">
                  <c:v>8.8365768650433001</c:v>
                </c:pt>
                <c:pt idx="5">
                  <c:v>3.2591730906515544</c:v>
                </c:pt>
                <c:pt idx="6">
                  <c:v>5.2944230770798955</c:v>
                </c:pt>
                <c:pt idx="7">
                  <c:v>4.9687169323158873</c:v>
                </c:pt>
              </c:numCache>
            </c:numRef>
          </c:val>
          <c:extLst xmlns:c16r2="http://schemas.microsoft.com/office/drawing/2015/06/chart">
            <c:ext xmlns:c16="http://schemas.microsoft.com/office/drawing/2014/chart" uri="{C3380CC4-5D6E-409C-BE32-E72D297353CC}">
              <c16:uniqueId val="{00000004-A8A9-4F68-A6F9-BF0F7A1E6A74}"/>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0"/>
        <c:axId val="557477344"/>
        <c:axId val="557472448"/>
      </c:barChart>
      <c:dateAx>
        <c:axId val="557477344"/>
        <c:scaling>
          <c:orientation val="minMax"/>
        </c:scaling>
        <c:delete val="0"/>
        <c:axPos val="b"/>
        <c:title>
          <c:tx>
            <c:rich>
              <a:bodyPr/>
              <a:lstStyle/>
              <a:p>
                <a:pPr lvl="0">
                  <a:defRPr b="0">
                    <a:solidFill>
                      <a:srgbClr val="000000"/>
                    </a:solidFill>
                    <a:latin typeface="Roboto"/>
                  </a:defRPr>
                </a:pPr>
                <a:endParaRPr lang="en-US"/>
              </a:p>
            </c:rich>
          </c:tx>
          <c:overlay val="0"/>
        </c:title>
        <c:numFmt formatCode="&quot;Q1&quot;\ yyyy" sourceLinked="1"/>
        <c:majorTickMark val="none"/>
        <c:minorTickMark val="none"/>
        <c:tickLblPos val="nextTo"/>
        <c:txPr>
          <a:bodyPr/>
          <a:lstStyle/>
          <a:p>
            <a:pPr lvl="0">
              <a:defRPr b="0">
                <a:solidFill>
                  <a:srgbClr val="000000"/>
                </a:solidFill>
                <a:latin typeface="Arial"/>
              </a:defRPr>
            </a:pPr>
            <a:endParaRPr lang="en-US"/>
          </a:p>
        </c:txPr>
        <c:crossAx val="557472448"/>
        <c:crosses val="autoZero"/>
        <c:auto val="1"/>
        <c:lblOffset val="100"/>
        <c:baseTimeUnit val="months"/>
        <c:majorUnit val="3"/>
        <c:majorTimeUnit val="months"/>
      </c:dateAx>
      <c:valAx>
        <c:axId val="557472448"/>
        <c:scaling>
          <c:orientation val="minMax"/>
        </c:scaling>
        <c:delete val="1"/>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x" sourceLinked="1"/>
        <c:majorTickMark val="none"/>
        <c:minorTickMark val="none"/>
        <c:tickLblPos val="nextTo"/>
        <c:crossAx val="557477344"/>
        <c:crosses val="autoZero"/>
        <c:crossBetween val="between"/>
      </c:valAx>
    </c:plotArea>
    <c:plotVisOnly val="1"/>
    <c:dispBlanksAs val="zero"/>
    <c:showDLblsOverMax val="1"/>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wrap="square" anchor="t" anchorCtr="0"/>
          <a:lstStyle/>
          <a:p>
            <a:pPr algn="l">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solidFill>
                  <a:srgbClr val="48B888"/>
                </a:solidFill>
              </a:rPr>
              <a:t>Revenue</a:t>
            </a:r>
          </a:p>
        </c:rich>
      </c:tx>
      <c:layout>
        <c:manualLayout>
          <c:xMode val="edge"/>
          <c:yMode val="edge"/>
          <c:x val="1.6539567827994102E-2"/>
          <c:y val="2.7777887139107612E-2"/>
        </c:manualLayout>
      </c:layout>
      <c:overlay val="0"/>
      <c:spPr>
        <a:noFill/>
        <a:ln>
          <a:noFill/>
        </a:ln>
        <a:effectLst/>
      </c:spPr>
    </c:title>
    <c:autoTitleDeleted val="0"/>
    <c:plotArea>
      <c:layout/>
      <c:lineChart>
        <c:grouping val="standard"/>
        <c:varyColors val="0"/>
        <c:ser>
          <c:idx val="0"/>
          <c:order val="0"/>
          <c:tx>
            <c:strRef>
              <c:f>Chartbuilding!$B$2</c:f>
              <c:strCache>
                <c:ptCount val="1"/>
                <c:pt idx="0">
                  <c:v>Actuals</c:v>
                </c:pt>
              </c:strCache>
            </c:strRef>
          </c:tx>
          <c:spPr>
            <a:ln w="28575" cap="rnd">
              <a:solidFill>
                <a:srgbClr val="48B888"/>
              </a:solidFill>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Chartbuilding!$C$2:$N$2</c:f>
              <c:numCache>
                <c:formatCode>_(* #,##0_);_(* \(#,##0\);_(* "-"??_);_(@_)</c:formatCode>
                <c:ptCount val="12"/>
                <c:pt idx="0">
                  <c:v>824529</c:v>
                </c:pt>
                <c:pt idx="1">
                  <c:v>844626</c:v>
                </c:pt>
                <c:pt idx="2">
                  <c:v>819162.19</c:v>
                </c:pt>
                <c:pt idx="3">
                  <c:v>796507</c:v>
                </c:pt>
              </c:numCache>
            </c:numRef>
          </c:val>
          <c:smooth val="0"/>
          <c:extLst xmlns:c16r2="http://schemas.microsoft.com/office/drawing/2015/06/chart">
            <c:ext xmlns:c16="http://schemas.microsoft.com/office/drawing/2014/chart" uri="{C3380CC4-5D6E-409C-BE32-E72D297353CC}">
              <c16:uniqueId val="{00000000-C7D4-4CCE-8445-B96A1867EDA6}"/>
            </c:ext>
          </c:extLst>
        </c:ser>
        <c:ser>
          <c:idx val="1"/>
          <c:order val="1"/>
          <c:tx>
            <c:strRef>
              <c:f>Chartbuilding!$B$3</c:f>
              <c:strCache>
                <c:ptCount val="1"/>
                <c:pt idx="0">
                  <c:v>Base-Case</c:v>
                </c:pt>
              </c:strCache>
            </c:strRef>
          </c:tx>
          <c:spPr>
            <a:ln w="28575" cap="rnd">
              <a:solidFill>
                <a:srgbClr val="48B888"/>
              </a:solidFill>
              <a:prstDash val="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Chartbuilding!$C$3:$N$3</c:f>
              <c:numCache>
                <c:formatCode>General</c:formatCode>
                <c:ptCount val="12"/>
                <c:pt idx="3" formatCode="_(* #,##0_);_(* \(#,##0\);_(* &quot;-&quot;??_);_(@_)">
                  <c:v>796507</c:v>
                </c:pt>
                <c:pt idx="4" formatCode="_(* #,##0_);_(* \(#,##0\);_(* &quot;-&quot;??_);_(@_)">
                  <c:v>780349.42888759938</c:v>
                </c:pt>
                <c:pt idx="5" formatCode="_(* #,##0_);_(* \(#,##0\);_(* &quot;-&quot;??_);_(@_)">
                  <c:v>776838.89834164642</c:v>
                </c:pt>
                <c:pt idx="6" formatCode="_(* #,##0_);_(* \(#,##0\);_(* &quot;-&quot;??_);_(@_)">
                  <c:v>784307.49639270024</c:v>
                </c:pt>
                <c:pt idx="7" formatCode="_(* #,##0_);_(* \(#,##0\);_(* &quot;-&quot;??_);_(@_)">
                  <c:v>794270.11839480256</c:v>
                </c:pt>
                <c:pt idx="8" formatCode="_(* #,##0_);_(* \(#,##0\);_(* &quot;-&quot;??_);_(@_)">
                  <c:v>810446.91710921796</c:v>
                </c:pt>
                <c:pt idx="9" formatCode="_(* #,##0_);_(* \(#,##0\);_(* &quot;-&quot;??_);_(@_)">
                  <c:v>828843.4436886058</c:v>
                </c:pt>
                <c:pt idx="10" formatCode="_(* #,##0_);_(* \(#,##0\);_(* &quot;-&quot;??_);_(@_)">
                  <c:v>846201.42083742563</c:v>
                </c:pt>
                <c:pt idx="11" formatCode="_(* #,##0_);_(* \(#,##0\);_(* &quot;-&quot;??_);_(@_)">
                  <c:v>864575.11305563885</c:v>
                </c:pt>
              </c:numCache>
            </c:numRef>
          </c:val>
          <c:smooth val="0"/>
          <c:extLst xmlns:c16r2="http://schemas.microsoft.com/office/drawing/2015/06/chart">
            <c:ext xmlns:c16="http://schemas.microsoft.com/office/drawing/2014/chart" uri="{C3380CC4-5D6E-409C-BE32-E72D297353CC}">
              <c16:uniqueId val="{00000001-C7D4-4CCE-8445-B96A1867EDA6}"/>
            </c:ext>
          </c:extLst>
        </c:ser>
        <c:ser>
          <c:idx val="2"/>
          <c:order val="2"/>
          <c:tx>
            <c:strRef>
              <c:f>Chartbuilding!$B$4</c:f>
              <c:strCache>
                <c:ptCount val="1"/>
                <c:pt idx="0">
                  <c:v>Worst-Case</c:v>
                </c:pt>
              </c:strCache>
            </c:strRef>
          </c:tx>
          <c:spPr>
            <a:ln w="22225" cap="rnd">
              <a:solidFill>
                <a:srgbClr val="DC1919"/>
              </a:solidFill>
              <a:prstDash val="sys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Chartbuilding!$C$4:$N$4</c:f>
              <c:numCache>
                <c:formatCode>General</c:formatCode>
                <c:ptCount val="12"/>
                <c:pt idx="3" formatCode="_(* #,##0_);_(* \(#,##0\);_(* &quot;-&quot;??_);_(@_)">
                  <c:v>796507</c:v>
                </c:pt>
                <c:pt idx="4" formatCode="_(* #,##0_);_(* \(#,##0\);_(* &quot;-&quot;??_);_(@_)">
                  <c:v>751351.16885860101</c:v>
                </c:pt>
                <c:pt idx="5" formatCode="_(* #,##0_);_(* \(#,##0\);_(* &quot;-&quot;??_);_(@_)">
                  <c:v>719265.39062811132</c:v>
                </c:pt>
                <c:pt idx="6" formatCode="_(* #,##0_);_(* \(#,##0\);_(* &quot;-&quot;??_);_(@_)">
                  <c:v>698975.91400852578</c:v>
                </c:pt>
                <c:pt idx="7" formatCode="_(* #,##0_);_(* \(#,##0\);_(* &quot;-&quot;??_);_(@_)">
                  <c:v>695909.30456361966</c:v>
                </c:pt>
                <c:pt idx="8" formatCode="_(* #,##0_);_(* \(#,##0\);_(* &quot;-&quot;??_);_(@_)">
                  <c:v>701273.89020084555</c:v>
                </c:pt>
                <c:pt idx="9" formatCode="_(* #,##0_);_(* \(#,##0\);_(* &quot;-&quot;??_);_(@_)">
                  <c:v>708129.55985148565</c:v>
                </c:pt>
                <c:pt idx="10" formatCode="_(* #,##0_);_(* \(#,##0\);_(* &quot;-&quot;??_);_(@_)">
                  <c:v>714263.80053653591</c:v>
                </c:pt>
                <c:pt idx="11" formatCode="_(* #,##0_);_(* \(#,##0\);_(* &quot;-&quot;??_);_(@_)">
                  <c:v>721233.14561187453</c:v>
                </c:pt>
              </c:numCache>
            </c:numRef>
          </c:val>
          <c:smooth val="0"/>
          <c:extLst xmlns:c16r2="http://schemas.microsoft.com/office/drawing/2015/06/chart">
            <c:ext xmlns:c16="http://schemas.microsoft.com/office/drawing/2014/chart" uri="{C3380CC4-5D6E-409C-BE32-E72D297353CC}">
              <c16:uniqueId val="{00000002-C7D4-4CCE-8445-B96A1867EDA6}"/>
            </c:ext>
          </c:extLst>
        </c:ser>
        <c:ser>
          <c:idx val="3"/>
          <c:order val="3"/>
          <c:tx>
            <c:strRef>
              <c:f>Chartbuilding!$B$5</c:f>
              <c:strCache>
                <c:ptCount val="1"/>
                <c:pt idx="0">
                  <c:v>2020 Target</c:v>
                </c:pt>
              </c:strCache>
            </c:strRef>
          </c:tx>
          <c:spPr>
            <a:ln w="22225" cap="rnd">
              <a:solidFill>
                <a:schemeClr val="bg1">
                  <a:lumMod val="50000"/>
                </a:schemeClr>
              </a:solidFill>
              <a:prstDash val="sysDot"/>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Chartbuilding!$C$5:$N$5</c:f>
              <c:numCache>
                <c:formatCode>_(* #,##0_);_(* \(#,##0\);_(* "-"??_);_(@_)</c:formatCode>
                <c:ptCount val="12"/>
                <c:pt idx="0">
                  <c:v>798842.74764285074</c:v>
                </c:pt>
                <c:pt idx="1">
                  <c:v>820160.99294899986</c:v>
                </c:pt>
                <c:pt idx="2">
                  <c:v>841306.60327318718</c:v>
                </c:pt>
                <c:pt idx="3">
                  <c:v>862039.19919513853</c:v>
                </c:pt>
                <c:pt idx="4">
                  <c:v>882494.27705282357</c:v>
                </c:pt>
                <c:pt idx="5">
                  <c:v>904725.08850157424</c:v>
                </c:pt>
                <c:pt idx="6">
                  <c:v>926611.53405971685</c:v>
                </c:pt>
                <c:pt idx="7">
                  <c:v>948189.38694579178</c:v>
                </c:pt>
                <c:pt idx="8">
                  <c:v>969459.11163982737</c:v>
                </c:pt>
                <c:pt idx="9">
                  <c:v>990420.05015114299</c:v>
                </c:pt>
                <c:pt idx="10">
                  <c:v>1011084.1739220829</c:v>
                </c:pt>
                <c:pt idx="11">
                  <c:v>1031455.1092876518</c:v>
                </c:pt>
              </c:numCache>
            </c:numRef>
          </c:val>
          <c:smooth val="0"/>
          <c:extLst xmlns:c16r2="http://schemas.microsoft.com/office/drawing/2015/06/chart">
            <c:ext xmlns:c16="http://schemas.microsoft.com/office/drawing/2014/chart" uri="{C3380CC4-5D6E-409C-BE32-E72D297353CC}">
              <c16:uniqueId val="{00000003-C7D4-4CCE-8445-B96A1867EDA6}"/>
            </c:ext>
          </c:extLst>
        </c:ser>
        <c:dLbls>
          <c:showLegendKey val="0"/>
          <c:showVal val="0"/>
          <c:showCatName val="0"/>
          <c:showSerName val="0"/>
          <c:showPercent val="0"/>
          <c:showBubbleSize val="0"/>
        </c:dLbls>
        <c:smooth val="0"/>
        <c:axId val="557470816"/>
        <c:axId val="551878992"/>
      </c:lineChart>
      <c:dateAx>
        <c:axId val="557470816"/>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1878992"/>
        <c:crosses val="autoZero"/>
        <c:auto val="1"/>
        <c:lblOffset val="100"/>
        <c:baseTimeUnit val="months"/>
      </c:dateAx>
      <c:valAx>
        <c:axId val="5518789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7470816"/>
        <c:crosses val="autoZero"/>
        <c:crossBetween val="between"/>
        <c:majorUnit val="2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Cash Flows (Base-Case)</a:t>
            </a:r>
          </a:p>
        </c:rich>
      </c:tx>
      <c:layout>
        <c:manualLayout>
          <c:xMode val="edge"/>
          <c:yMode val="edge"/>
          <c:x val="2.0461067366579187E-2"/>
          <c:y val="2.4024024024024024E-2"/>
        </c:manualLayout>
      </c:layout>
      <c:overlay val="0"/>
    </c:title>
    <c:autoTitleDeleted val="0"/>
    <c:plotArea>
      <c:layout>
        <c:manualLayout>
          <c:layoutTarget val="inner"/>
          <c:xMode val="edge"/>
          <c:yMode val="edge"/>
          <c:x val="0.13401294838145231"/>
          <c:y val="0.14454454454454455"/>
          <c:w val="0.84154260717410323"/>
          <c:h val="0.45424132794211536"/>
        </c:manualLayout>
      </c:layout>
      <c:barChart>
        <c:barDir val="col"/>
        <c:grouping val="stacked"/>
        <c:varyColors val="1"/>
        <c:ser>
          <c:idx val="0"/>
          <c:order val="0"/>
          <c:tx>
            <c:strRef>
              <c:f>Chartbuilding!$B$21</c:f>
              <c:strCache>
                <c:ptCount val="1"/>
                <c:pt idx="0">
                  <c:v>Financing Cash Flows</c:v>
                </c:pt>
              </c:strCache>
            </c:strRef>
          </c:tx>
          <c:spPr>
            <a:solidFill>
              <a:srgbClr val="035089"/>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Chartbuilding!$C$21:$N$21</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BC79-4199-897A-801EA671422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Chartbuilding!$B$22</c:f>
              <c:strCache>
                <c:ptCount val="1"/>
                <c:pt idx="0">
                  <c:v>Investing Cash Flows</c:v>
                </c:pt>
              </c:strCache>
            </c:strRef>
          </c:tx>
          <c:spPr>
            <a:solidFill>
              <a:srgbClr val="B7B7B7"/>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Chartbuilding!$C$22:$N$22</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BC79-4199-897A-801EA6714225}"/>
            </c:ex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Chartbuilding!$B$23</c:f>
              <c:strCache>
                <c:ptCount val="1"/>
                <c:pt idx="0">
                  <c:v>Operating Cash Flows</c:v>
                </c:pt>
              </c:strCache>
            </c:strRef>
          </c:tx>
          <c:spPr>
            <a:solidFill>
              <a:srgbClr val="48B888"/>
            </a:solidFill>
          </c:spPr>
          <c:invertIfNegative val="1"/>
          <c:dPt>
            <c:idx val="11"/>
            <c:invertIfNegative val="1"/>
            <c:bubble3D val="0"/>
            <c:extLst xmlns:c16r2="http://schemas.microsoft.com/office/drawing/2015/06/chart">
              <c:ext xmlns:c16="http://schemas.microsoft.com/office/drawing/2014/chart" uri="{C3380CC4-5D6E-409C-BE32-E72D297353CC}">
                <c16:uniqueId val="{00000005-BC79-4199-897A-801EA6714225}"/>
              </c:ext>
            </c:extLst>
          </c:dPt>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Chartbuilding!$C$23:$N$23</c:f>
              <c:numCache>
                <c:formatCode>_(* #,##0_);_(* \(#,##0\);_(* "-"??_);_(@_)</c:formatCode>
                <c:ptCount val="12"/>
                <c:pt idx="0">
                  <c:v>-13824</c:v>
                </c:pt>
                <c:pt idx="1">
                  <c:v>-26169</c:v>
                </c:pt>
                <c:pt idx="2">
                  <c:v>8407.1899999999441</c:v>
                </c:pt>
                <c:pt idx="3">
                  <c:v>-117</c:v>
                </c:pt>
                <c:pt idx="4">
                  <c:v>53348.166337172617</c:v>
                </c:pt>
                <c:pt idx="5">
                  <c:v>35365.854453630745</c:v>
                </c:pt>
                <c:pt idx="6">
                  <c:v>26710.675679224078</c:v>
                </c:pt>
                <c:pt idx="7">
                  <c:v>14920.419460284058</c:v>
                </c:pt>
                <c:pt idx="8">
                  <c:v>13663.145356597728</c:v>
                </c:pt>
                <c:pt idx="9">
                  <c:v>-48549.729794865241</c:v>
                </c:pt>
                <c:pt idx="10">
                  <c:v>-48803.553726164275</c:v>
                </c:pt>
                <c:pt idx="11">
                  <c:v>-88331.994089839398</c:v>
                </c:pt>
              </c:numCache>
            </c:numRef>
          </c:val>
          <c:extLst xmlns:c16r2="http://schemas.microsoft.com/office/drawing/2015/06/chart">
            <c:ext xmlns:c16="http://schemas.microsoft.com/office/drawing/2014/chart" uri="{C3380CC4-5D6E-409C-BE32-E72D297353CC}">
              <c16:uniqueId val="{00000002-BC79-4199-897A-801EA6714225}"/>
            </c:ext>
            <c:ext xmlns:c14="http://schemas.microsoft.com/office/drawing/2007/8/2/chart" uri="{6F2FDCE9-48DA-4B69-8628-5D25D57E5C99}">
              <c14:invertSolidFillFmt>
                <c14:spPr xmlns:c14="http://schemas.microsoft.com/office/drawing/2007/8/2/chart">
                  <a:solidFill>
                    <a:srgbClr val="48B888"/>
                  </a:solidFill>
                </c14:spPr>
              </c14:invertSolidFillFmt>
            </c:ext>
          </c:extLst>
        </c:ser>
        <c:dLbls>
          <c:showLegendKey val="0"/>
          <c:showVal val="0"/>
          <c:showCatName val="0"/>
          <c:showSerName val="0"/>
          <c:showPercent val="0"/>
          <c:showBubbleSize val="0"/>
        </c:dLbls>
        <c:gapWidth val="0"/>
        <c:overlap val="70"/>
        <c:axId val="551874096"/>
        <c:axId val="395723744"/>
      </c:barChart>
      <c:lineChart>
        <c:grouping val="standard"/>
        <c:varyColors val="1"/>
        <c:ser>
          <c:idx val="3"/>
          <c:order val="3"/>
          <c:tx>
            <c:strRef>
              <c:f>Chartbuilding!$B$24</c:f>
              <c:strCache>
                <c:ptCount val="1"/>
                <c:pt idx="0">
                  <c:v>Net Cash Increase / Decrease</c:v>
                </c:pt>
              </c:strCache>
            </c:strRef>
          </c:tx>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Chartbuilding!$C$24:$N$24</c:f>
              <c:numCache>
                <c:formatCode>_(* #,##0_);_(* \(#,##0\);_(* "-"??_);_(@_)</c:formatCode>
                <c:ptCount val="12"/>
                <c:pt idx="0">
                  <c:v>-13824</c:v>
                </c:pt>
                <c:pt idx="1">
                  <c:v>-26169</c:v>
                </c:pt>
                <c:pt idx="2">
                  <c:v>8407.1899999999441</c:v>
                </c:pt>
                <c:pt idx="3">
                  <c:v>-117</c:v>
                </c:pt>
                <c:pt idx="4">
                  <c:v>53348.166337172617</c:v>
                </c:pt>
                <c:pt idx="5">
                  <c:v>35365.854453630745</c:v>
                </c:pt>
                <c:pt idx="6">
                  <c:v>26710.675679224078</c:v>
                </c:pt>
                <c:pt idx="7">
                  <c:v>14920.419460284058</c:v>
                </c:pt>
                <c:pt idx="8">
                  <c:v>13663.145356597728</c:v>
                </c:pt>
                <c:pt idx="9">
                  <c:v>-48549.729794865241</c:v>
                </c:pt>
                <c:pt idx="10">
                  <c:v>-48803.553726164275</c:v>
                </c:pt>
                <c:pt idx="11">
                  <c:v>-88331.994089839398</c:v>
                </c:pt>
              </c:numCache>
            </c:numRef>
          </c:val>
          <c:smooth val="1"/>
          <c:extLst xmlns:c16r2="http://schemas.microsoft.com/office/drawing/2015/06/chart">
            <c:ext xmlns:c16="http://schemas.microsoft.com/office/drawing/2014/chart" uri="{C3380CC4-5D6E-409C-BE32-E72D297353CC}">
              <c16:uniqueId val="{00000003-BC79-4199-897A-801EA6714225}"/>
            </c:ext>
          </c:extLst>
        </c:ser>
        <c:ser>
          <c:idx val="4"/>
          <c:order val="4"/>
          <c:tx>
            <c:strRef>
              <c:f>Chartbuilding!$B$25</c:f>
              <c:strCache>
                <c:ptCount val="1"/>
                <c:pt idx="0">
                  <c:v>Net Income</c:v>
                </c:pt>
              </c:strCache>
            </c:strRef>
          </c:tx>
          <c:spPr>
            <a:ln>
              <a:solidFill>
                <a:srgbClr val="FFE598"/>
              </a:solidFill>
            </a:ln>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Chartbuilding!$C$25:$N$25</c:f>
              <c:numCache>
                <c:formatCode>_(* #,##0_);_(* \(#,##0\);_(* "-"??_);_(@_)</c:formatCode>
                <c:ptCount val="12"/>
                <c:pt idx="0">
                  <c:v>-13824</c:v>
                </c:pt>
                <c:pt idx="1">
                  <c:v>-26169</c:v>
                </c:pt>
                <c:pt idx="2">
                  <c:v>8407.1899999999441</c:v>
                </c:pt>
                <c:pt idx="3">
                  <c:v>-117</c:v>
                </c:pt>
                <c:pt idx="4">
                  <c:v>53348.166337172617</c:v>
                </c:pt>
                <c:pt idx="5">
                  <c:v>35365.854453630745</c:v>
                </c:pt>
                <c:pt idx="6">
                  <c:v>26710.675679224078</c:v>
                </c:pt>
                <c:pt idx="7">
                  <c:v>14920.419460284058</c:v>
                </c:pt>
                <c:pt idx="8">
                  <c:v>13663.145356597728</c:v>
                </c:pt>
                <c:pt idx="9">
                  <c:v>-48549.729794865241</c:v>
                </c:pt>
                <c:pt idx="10">
                  <c:v>-48803.553726164275</c:v>
                </c:pt>
                <c:pt idx="11">
                  <c:v>-88331.994089839398</c:v>
                </c:pt>
              </c:numCache>
            </c:numRef>
          </c:val>
          <c:smooth val="1"/>
          <c:extLst xmlns:c16r2="http://schemas.microsoft.com/office/drawing/2015/06/chart">
            <c:ext xmlns:c16="http://schemas.microsoft.com/office/drawing/2014/chart" uri="{C3380CC4-5D6E-409C-BE32-E72D297353CC}">
              <c16:uniqueId val="{00000004-BC79-4199-897A-801EA6714225}"/>
            </c:ext>
          </c:extLst>
        </c:ser>
        <c:dLbls>
          <c:showLegendKey val="0"/>
          <c:showVal val="0"/>
          <c:showCatName val="0"/>
          <c:showSerName val="0"/>
          <c:showPercent val="0"/>
          <c:showBubbleSize val="0"/>
        </c:dLbls>
        <c:marker val="1"/>
        <c:smooth val="0"/>
        <c:axId val="551874096"/>
        <c:axId val="395723744"/>
      </c:lineChart>
      <c:dateAx>
        <c:axId val="551874096"/>
        <c:scaling>
          <c:orientation val="minMax"/>
        </c:scaling>
        <c:delete val="0"/>
        <c:axPos val="b"/>
        <c:title>
          <c:tx>
            <c:rich>
              <a:bodyPr/>
              <a:lstStyle/>
              <a:p>
                <a:pPr lvl="0">
                  <a:defRPr b="0">
                    <a:solidFill>
                      <a:srgbClr val="000000"/>
                    </a:solidFill>
                    <a:latin typeface="Roboto"/>
                  </a:defRPr>
                </a:pPr>
                <a:endParaRPr lang="en-US"/>
              </a:p>
            </c:rich>
          </c:tx>
          <c:overlay val="0"/>
        </c:title>
        <c:numFmt formatCode="mmm\-yy" sourceLinked="0"/>
        <c:majorTickMark val="none"/>
        <c:minorTickMark val="none"/>
        <c:tickLblPos val="low"/>
        <c:txPr>
          <a:bodyPr/>
          <a:lstStyle/>
          <a:p>
            <a:pPr lvl="0">
              <a:defRPr b="0">
                <a:solidFill>
                  <a:srgbClr val="000000"/>
                </a:solidFill>
                <a:latin typeface="Arial"/>
              </a:defRPr>
            </a:pPr>
            <a:endParaRPr lang="en-US"/>
          </a:p>
        </c:txPr>
        <c:crossAx val="395723744"/>
        <c:crosses val="autoZero"/>
        <c:auto val="1"/>
        <c:lblOffset val="100"/>
        <c:baseTimeUnit val="months"/>
      </c:dateAx>
      <c:valAx>
        <c:axId val="395723744"/>
        <c:scaling>
          <c:orientation val="minMax"/>
        </c:scaling>
        <c:delete val="0"/>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 #,##0_);_(* \(#,##0\);_(* &quot;-&quot;??_);_(@_)" sourceLinked="1"/>
        <c:majorTickMark val="none"/>
        <c:minorTickMark val="none"/>
        <c:tickLblPos val="nextTo"/>
        <c:spPr>
          <a:ln/>
        </c:spPr>
        <c:txPr>
          <a:bodyPr/>
          <a:lstStyle/>
          <a:p>
            <a:pPr lvl="0">
              <a:defRPr b="0">
                <a:solidFill>
                  <a:srgbClr val="000000"/>
                </a:solidFill>
                <a:latin typeface="Arial"/>
              </a:defRPr>
            </a:pPr>
            <a:endParaRPr lang="en-US"/>
          </a:p>
        </c:txPr>
        <c:crossAx val="551874096"/>
        <c:crosses val="autoZero"/>
        <c:crossBetween val="between"/>
      </c:valAx>
    </c:plotArea>
    <c:legend>
      <c:legendPos val="b"/>
      <c:layout>
        <c:manualLayout>
          <c:xMode val="edge"/>
          <c:yMode val="edge"/>
          <c:x val="1.5688888888888895E-2"/>
          <c:y val="0.77701827812064028"/>
          <c:w val="0.9708444444444444"/>
          <c:h val="0.19895769785533565"/>
        </c:manualLayout>
      </c:layout>
      <c:overlay val="0"/>
      <c:txPr>
        <a:bodyPr/>
        <a:lstStyle/>
        <a:p>
          <a:pPr lvl="0">
            <a:defRPr b="0">
              <a:solidFill>
                <a:srgbClr val="000000"/>
              </a:solidFill>
              <a:latin typeface="Roboto"/>
            </a:defRPr>
          </a:pPr>
          <a:endParaRPr lang="en-US"/>
        </a:p>
      </c:txPr>
    </c:legend>
    <c:plotVisOnly val="1"/>
    <c:dispBlanksAs val="zero"/>
    <c:showDLblsOverMax val="1"/>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Blended CAC Payback Time (Base-Case)</a:t>
            </a:r>
          </a:p>
        </c:rich>
      </c:tx>
      <c:layout>
        <c:manualLayout>
          <c:xMode val="edge"/>
          <c:yMode val="edge"/>
          <c:x val="1.1544356955380598E-2"/>
          <c:y val="2.4024024024024024E-2"/>
        </c:manualLayout>
      </c:layout>
      <c:overlay val="0"/>
    </c:title>
    <c:autoTitleDeleted val="0"/>
    <c:plotArea>
      <c:layout/>
      <c:barChart>
        <c:barDir val="col"/>
        <c:grouping val="clustered"/>
        <c:varyColors val="1"/>
        <c:ser>
          <c:idx val="0"/>
          <c:order val="0"/>
          <c:tx>
            <c:strRef>
              <c:f>Metrics!$A$57</c:f>
              <c:strCache>
                <c:ptCount val="1"/>
                <c:pt idx="0">
                  <c:v>Blended</c:v>
                </c:pt>
              </c:strCache>
            </c:strRef>
          </c:tx>
          <c:spPr>
            <a:solidFill>
              <a:srgbClr val="B7E1CD"/>
            </a:solidFill>
          </c:spPr>
          <c:invertIfNegative val="1"/>
          <c:dPt>
            <c:idx val="2"/>
            <c:invertIfNegative val="1"/>
            <c:bubble3D val="0"/>
            <c:extLst xmlns:c16r2="http://schemas.microsoft.com/office/drawing/2015/06/chart">
              <c:ext xmlns:c16="http://schemas.microsoft.com/office/drawing/2014/chart" uri="{C3380CC4-5D6E-409C-BE32-E72D297353CC}">
                <c16:uniqueId val="{00000000-3FF0-42F9-AD68-B6CE54C4CE78}"/>
              </c:ext>
            </c:extLst>
          </c:dPt>
          <c:dPt>
            <c:idx val="4"/>
            <c:invertIfNegative val="1"/>
            <c:bubble3D val="0"/>
            <c:spPr>
              <a:solidFill>
                <a:srgbClr val="48B888"/>
              </a:solidFill>
            </c:spPr>
            <c:extLst xmlns:c16r2="http://schemas.microsoft.com/office/drawing/2015/06/chart">
              <c:ext xmlns:c16="http://schemas.microsoft.com/office/drawing/2014/chart" uri="{C3380CC4-5D6E-409C-BE32-E72D297353CC}">
                <c16:uniqueId val="{00000002-3FF0-42F9-AD68-B6CE54C4CE78}"/>
              </c:ext>
            </c:extLst>
          </c:dPt>
          <c:dLbls>
            <c:dLbl>
              <c:idx val="2"/>
              <c:spPr/>
              <c:txPr>
                <a:bodyPr/>
                <a:lstStyle/>
                <a:p>
                  <a:pPr lvl="0">
                    <a:defRPr sz="1600" b="1">
                      <a:solidFill>
                        <a:srgbClr val="666666"/>
                      </a:solidFill>
                    </a:defRPr>
                  </a:pPr>
                  <a:endParaRPr lang="en-US"/>
                </a:p>
              </c:txPr>
              <c:showLegendKey val="0"/>
              <c:showVal val="1"/>
              <c:showCatName val="0"/>
              <c:showSerName val="0"/>
              <c:showPercent val="0"/>
              <c:showBubbleSize val="0"/>
            </c:dLbl>
            <c:dLbl>
              <c:idx val="4"/>
              <c:spPr/>
              <c:txPr>
                <a:bodyPr/>
                <a:lstStyle/>
                <a:p>
                  <a:pPr lvl="0">
                    <a:defRPr sz="1600" b="1">
                      <a:solidFill>
                        <a:srgbClr val="666666"/>
                      </a:solidFill>
                    </a:defRPr>
                  </a:pPr>
                  <a:endParaRPr lang="en-US"/>
                </a:p>
              </c:txPr>
              <c:showLegendKey val="0"/>
              <c:showVal val="1"/>
              <c:showCatName val="0"/>
              <c:showSerName val="0"/>
              <c:showPercent val="0"/>
              <c:showBubbleSize val="0"/>
            </c:dLbl>
            <c:spPr>
              <a:noFill/>
              <a:ln>
                <a:noFill/>
              </a:ln>
              <a:effectLst/>
            </c:spPr>
            <c:txPr>
              <a:bodyPr/>
              <a:lstStyle/>
              <a:p>
                <a:pPr lvl="0">
                  <a:defRPr sz="1600" b="1">
                    <a:solidFill>
                      <a:srgbClr val="666666"/>
                    </a:solidFill>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Metrics!$B$35:$J$35</c:f>
              <c:numCache>
                <c:formatCode>"Q2"\ yyyy</c:formatCode>
                <c:ptCount val="8"/>
                <c:pt idx="0" formatCode="&quot;Q1&quot;\ yyyy">
                  <c:v>43466</c:v>
                </c:pt>
                <c:pt idx="1">
                  <c:v>43556</c:v>
                </c:pt>
                <c:pt idx="2" formatCode="&quot;Q3&quot;\ yyyy">
                  <c:v>43647</c:v>
                </c:pt>
                <c:pt idx="3" formatCode="&quot;Q4&quot;\ yyyy">
                  <c:v>43739</c:v>
                </c:pt>
                <c:pt idx="4" formatCode="&quot;Q1&quot;\ yyyy">
                  <c:v>43831</c:v>
                </c:pt>
                <c:pt idx="5">
                  <c:v>43922</c:v>
                </c:pt>
                <c:pt idx="6" formatCode="&quot;Q3&quot;\ yyyy">
                  <c:v>44013</c:v>
                </c:pt>
                <c:pt idx="7" formatCode="&quot;Q4&quot;\ yyyy">
                  <c:v>44105</c:v>
                </c:pt>
              </c:numCache>
            </c:numRef>
          </c:cat>
          <c:val>
            <c:numRef>
              <c:f>Metrics!$B$57:$J$57</c:f>
              <c:numCache>
                <c:formatCode>#,##0.0</c:formatCode>
                <c:ptCount val="8"/>
                <c:pt idx="0">
                  <c:v>11.995419031904479</c:v>
                </c:pt>
                <c:pt idx="1">
                  <c:v>8.4625905147904898</c:v>
                </c:pt>
                <c:pt idx="2">
                  <c:v>8.6730468758207682</c:v>
                </c:pt>
                <c:pt idx="3">
                  <c:v>10.93325757973872</c:v>
                </c:pt>
                <c:pt idx="4">
                  <c:v>11.564149959951632</c:v>
                </c:pt>
                <c:pt idx="5">
                  <c:v>17.135088645191338</c:v>
                </c:pt>
                <c:pt idx="6">
                  <c:v>17.967372308505503</c:v>
                </c:pt>
                <c:pt idx="7">
                  <c:v>21.93595898692023</c:v>
                </c:pt>
              </c:numCache>
            </c:numRef>
          </c:val>
          <c:extLst xmlns:c16r2="http://schemas.microsoft.com/office/drawing/2015/06/chart">
            <c:ext xmlns:c16="http://schemas.microsoft.com/office/drawing/2014/chart" uri="{C3380CC4-5D6E-409C-BE32-E72D297353CC}">
              <c16:uniqueId val="{00000003-3FF0-42F9-AD68-B6CE54C4CE78}"/>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0"/>
        <c:axId val="625303040"/>
        <c:axId val="625298688"/>
      </c:barChart>
      <c:dateAx>
        <c:axId val="625303040"/>
        <c:scaling>
          <c:orientation val="minMax"/>
        </c:scaling>
        <c:delete val="0"/>
        <c:axPos val="b"/>
        <c:title>
          <c:tx>
            <c:rich>
              <a:bodyPr/>
              <a:lstStyle/>
              <a:p>
                <a:pPr lvl="0">
                  <a:defRPr b="0">
                    <a:solidFill>
                      <a:srgbClr val="000000"/>
                    </a:solidFill>
                    <a:latin typeface="Roboto"/>
                  </a:defRPr>
                </a:pPr>
                <a:endParaRPr lang="en-US"/>
              </a:p>
            </c:rich>
          </c:tx>
          <c:overlay val="0"/>
        </c:title>
        <c:numFmt formatCode="&quot;Q1&quot;\ yyyy" sourceLinked="1"/>
        <c:majorTickMark val="none"/>
        <c:minorTickMark val="none"/>
        <c:tickLblPos val="nextTo"/>
        <c:txPr>
          <a:bodyPr/>
          <a:lstStyle/>
          <a:p>
            <a:pPr lvl="0">
              <a:defRPr b="0">
                <a:solidFill>
                  <a:srgbClr val="000000"/>
                </a:solidFill>
                <a:latin typeface="Arial"/>
              </a:defRPr>
            </a:pPr>
            <a:endParaRPr lang="en-US"/>
          </a:p>
        </c:txPr>
        <c:crossAx val="625298688"/>
        <c:crosses val="autoZero"/>
        <c:auto val="1"/>
        <c:lblOffset val="100"/>
        <c:baseTimeUnit val="months"/>
        <c:majorUnit val="3"/>
        <c:majorTimeUnit val="months"/>
      </c:dateAx>
      <c:valAx>
        <c:axId val="625298688"/>
        <c:scaling>
          <c:orientation val="minMax"/>
          <c:min val="0"/>
        </c:scaling>
        <c:delete val="1"/>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0.0" sourceLinked="1"/>
        <c:majorTickMark val="none"/>
        <c:minorTickMark val="none"/>
        <c:tickLblPos val="nextTo"/>
        <c:crossAx val="625303040"/>
        <c:crosses val="autoZero"/>
        <c:crossBetween val="between"/>
      </c:valAx>
    </c:plotArea>
    <c:plotVisOnly val="1"/>
    <c:dispBlanksAs val="zero"/>
    <c:showDLblsOverMax val="1"/>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c:style val="2"/>
  <c:chart>
    <c:title>
      <c:tx>
        <c:rich>
          <a:bodyPr/>
          <a:lstStyle/>
          <a:p>
            <a:pPr lvl="0">
              <a:defRPr sz="1400" b="0">
                <a:solidFill>
                  <a:srgbClr val="48B888"/>
                </a:solidFill>
                <a:latin typeface="Arial"/>
              </a:defRPr>
            </a:pPr>
            <a:r>
              <a:rPr lang="en-US" sz="1400"/>
              <a:t>MRR Breakdown (Base-Case)</a:t>
            </a:r>
          </a:p>
        </c:rich>
      </c:tx>
      <c:layout>
        <c:manualLayout>
          <c:xMode val="edge"/>
          <c:yMode val="edge"/>
          <c:x val="7.5197890279562925E-3"/>
          <c:y val="2.0671834625322998E-2"/>
        </c:manualLayout>
      </c:layout>
      <c:overlay val="0"/>
    </c:title>
    <c:autoTitleDeleted val="0"/>
    <c:plotArea>
      <c:layout>
        <c:manualLayout>
          <c:layoutTarget val="inner"/>
          <c:xMode val="edge"/>
          <c:yMode val="edge"/>
          <c:x val="5.6656974930431633E-2"/>
          <c:y val="0.1243755383290267"/>
          <c:w val="0.9317212606744284"/>
          <c:h val="0.68513722192492932"/>
        </c:manualLayout>
      </c:layout>
      <c:barChart>
        <c:barDir val="col"/>
        <c:grouping val="stacked"/>
        <c:varyColors val="1"/>
        <c:ser>
          <c:idx val="1"/>
          <c:order val="1"/>
          <c:tx>
            <c:strRef>
              <c:f>Chartbuilding!$B$42</c:f>
              <c:strCache>
                <c:ptCount val="1"/>
                <c:pt idx="0">
                  <c:v>Contraction</c:v>
                </c:pt>
              </c:strCache>
            </c:strRef>
          </c:tx>
          <c:spPr>
            <a:solidFill>
              <a:srgbClr val="B7B7B7"/>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Chartbuilding!$C$42:$N$42</c:f>
              <c:numCache>
                <c:formatCode>_(* #,##0_);_(* \(#,##0\);_(* "-"??_);_(@_)</c:formatCode>
                <c:ptCount val="12"/>
                <c:pt idx="0">
                  <c:v>-14719.340740740699</c:v>
                </c:pt>
                <c:pt idx="1">
                  <c:v>-12226.340740740699</c:v>
                </c:pt>
                <c:pt idx="2">
                  <c:v>-15131</c:v>
                </c:pt>
                <c:pt idx="3">
                  <c:v>-14756</c:v>
                </c:pt>
                <c:pt idx="4">
                  <c:v>-13258.551011320742</c:v>
                </c:pt>
                <c:pt idx="5">
                  <c:v>-12759.940891419803</c:v>
                </c:pt>
                <c:pt idx="6">
                  <c:v>-11056.665028160402</c:v>
                </c:pt>
                <c:pt idx="7">
                  <c:v>-10859.384584100751</c:v>
                </c:pt>
                <c:pt idx="8">
                  <c:v>-10560.444245692384</c:v>
                </c:pt>
                <c:pt idx="9">
                  <c:v>-9621.8254790413503</c:v>
                </c:pt>
                <c:pt idx="10">
                  <c:v>-10929.163572752272</c:v>
                </c:pt>
                <c:pt idx="11">
                  <c:v>-11139.174709286801</c:v>
                </c:pt>
              </c:numCache>
            </c:numRef>
          </c:val>
          <c:extLst xmlns:c16r2="http://schemas.microsoft.com/office/drawing/2015/06/chart">
            <c:ext xmlns:c16="http://schemas.microsoft.com/office/drawing/2014/chart" uri="{C3380CC4-5D6E-409C-BE32-E72D297353CC}">
              <c16:uniqueId val="{00000000-42BB-4739-AD3E-7AE89C92EC8D}"/>
            </c:ext>
            <c:ext xmlns:c14="http://schemas.microsoft.com/office/drawing/2007/8/2/chart" uri="{6F2FDCE9-48DA-4B69-8628-5D25D57E5C99}">
              <c14:invertSolidFillFmt>
                <c14:spPr xmlns:c14="http://schemas.microsoft.com/office/drawing/2007/8/2/chart">
                  <a:solidFill>
                    <a:srgbClr val="B7B7B7"/>
                  </a:solidFill>
                </c14:spPr>
              </c14:invertSolidFillFmt>
            </c:ext>
          </c:extLst>
        </c:ser>
        <c:ser>
          <c:idx val="2"/>
          <c:order val="2"/>
          <c:tx>
            <c:strRef>
              <c:f>Chartbuilding!$B$43</c:f>
              <c:strCache>
                <c:ptCount val="1"/>
                <c:pt idx="0">
                  <c:v>Churn</c:v>
                </c:pt>
              </c:strCache>
            </c:strRef>
          </c:tx>
          <c:spPr>
            <a:solidFill>
              <a:srgbClr val="DEEAF6"/>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Chartbuilding!$C$43:$N$43</c:f>
              <c:numCache>
                <c:formatCode>_(* #,##0_);_(* \(#,##0\);_(* "-"??_);_(@_)</c:formatCode>
                <c:ptCount val="12"/>
                <c:pt idx="0">
                  <c:v>-19092.463306457299</c:v>
                </c:pt>
                <c:pt idx="1">
                  <c:v>-21654.463306457299</c:v>
                </c:pt>
                <c:pt idx="2">
                  <c:v>-34418</c:v>
                </c:pt>
                <c:pt idx="3">
                  <c:v>-38975</c:v>
                </c:pt>
                <c:pt idx="4">
                  <c:v>-41335.085709052648</c:v>
                </c:pt>
                <c:pt idx="5">
                  <c:v>-32758.474089633841</c:v>
                </c:pt>
                <c:pt idx="6">
                  <c:v>-23750.950270577672</c:v>
                </c:pt>
                <c:pt idx="7">
                  <c:v>-24716.091829608391</c:v>
                </c:pt>
                <c:pt idx="8">
                  <c:v>-20473.179171900298</c:v>
                </c:pt>
                <c:pt idx="9">
                  <c:v>-20766.140441716903</c:v>
                </c:pt>
                <c:pt idx="10">
                  <c:v>-21266.014253988564</c:v>
                </c:pt>
                <c:pt idx="11">
                  <c:v>-21633.833574438187</c:v>
                </c:pt>
              </c:numCache>
            </c:numRef>
          </c:val>
          <c:extLst xmlns:c16r2="http://schemas.microsoft.com/office/drawing/2015/06/chart">
            <c:ext xmlns:c16="http://schemas.microsoft.com/office/drawing/2014/chart" uri="{C3380CC4-5D6E-409C-BE32-E72D297353CC}">
              <c16:uniqueId val="{00000001-42BB-4739-AD3E-7AE89C92EC8D}"/>
            </c:ext>
            <c:ext xmlns:c14="http://schemas.microsoft.com/office/drawing/2007/8/2/chart" uri="{6F2FDCE9-48DA-4B69-8628-5D25D57E5C99}">
              <c14:invertSolidFillFmt>
                <c14:spPr xmlns:c14="http://schemas.microsoft.com/office/drawing/2007/8/2/chart">
                  <a:solidFill>
                    <a:srgbClr val="DEEAF6"/>
                  </a:solidFill>
                </c14:spPr>
              </c14:invertSolidFillFmt>
            </c:ext>
          </c:extLst>
        </c:ser>
        <c:ser>
          <c:idx val="3"/>
          <c:order val="3"/>
          <c:tx>
            <c:strRef>
              <c:f>Chartbuilding!$B$44</c:f>
              <c:strCache>
                <c:ptCount val="1"/>
                <c:pt idx="0">
                  <c:v>Expansion</c:v>
                </c:pt>
              </c:strCache>
            </c:strRef>
          </c:tx>
          <c:spPr>
            <a:solidFill>
              <a:srgbClr val="035089"/>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Chartbuilding!$C$44:$N$44</c:f>
              <c:numCache>
                <c:formatCode>_(* #,##0_);_(* \(#,##0\);_(* "-"??_);_(@_)</c:formatCode>
                <c:ptCount val="12"/>
                <c:pt idx="0">
                  <c:v>23189.701851851853</c:v>
                </c:pt>
                <c:pt idx="1">
                  <c:v>25376.701851851853</c:v>
                </c:pt>
                <c:pt idx="2">
                  <c:v>20276</c:v>
                </c:pt>
                <c:pt idx="3">
                  <c:v>10675</c:v>
                </c:pt>
                <c:pt idx="4">
                  <c:v>19179.349721456998</c:v>
                </c:pt>
                <c:pt idx="5">
                  <c:v>19495.547487418393</c:v>
                </c:pt>
                <c:pt idx="6">
                  <c:v>18557.508430958016</c:v>
                </c:pt>
                <c:pt idx="7">
                  <c:v>23108.766231939459</c:v>
                </c:pt>
                <c:pt idx="8">
                  <c:v>24739.754260971938</c:v>
                </c:pt>
                <c:pt idx="9">
                  <c:v>25079.848963762524</c:v>
                </c:pt>
                <c:pt idx="10">
                  <c:v>25853.369007659825</c:v>
                </c:pt>
                <c:pt idx="11">
                  <c:v>26191.308582180816</c:v>
                </c:pt>
              </c:numCache>
            </c:numRef>
          </c:val>
          <c:extLst xmlns:c16r2="http://schemas.microsoft.com/office/drawing/2015/06/chart">
            <c:ext xmlns:c16="http://schemas.microsoft.com/office/drawing/2014/chart" uri="{C3380CC4-5D6E-409C-BE32-E72D297353CC}">
              <c16:uniqueId val="{00000002-42BB-4739-AD3E-7AE89C92EC8D}"/>
            </c:ext>
            <c:ext xmlns:c14="http://schemas.microsoft.com/office/drawing/2007/8/2/chart" uri="{6F2FDCE9-48DA-4B69-8628-5D25D57E5C99}">
              <c14:invertSolidFillFmt>
                <c14:spPr xmlns:c14="http://schemas.microsoft.com/office/drawing/2007/8/2/chart">
                  <a:solidFill>
                    <a:srgbClr val="B7B7B7"/>
                  </a:solidFill>
                </c14:spPr>
              </c14:invertSolidFillFmt>
            </c:ext>
          </c:extLst>
        </c:ser>
        <c:ser>
          <c:idx val="4"/>
          <c:order val="4"/>
          <c:tx>
            <c:strRef>
              <c:f>Chartbuilding!$B$45</c:f>
              <c:strCache>
                <c:ptCount val="1"/>
                <c:pt idx="0">
                  <c:v>New</c:v>
                </c:pt>
              </c:strCache>
            </c:strRef>
          </c:tx>
          <c:spPr>
            <a:solidFill>
              <a:srgbClr val="48B888"/>
            </a:solidFill>
          </c:spPr>
          <c:invertIfNegative val="1"/>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Chartbuilding!$C$45:$N$45</c:f>
              <c:numCache>
                <c:formatCode>_(* #,##0_);_(* \(#,##0\);_(* "-"??_);_(@_)</c:formatCode>
                <c:ptCount val="12"/>
                <c:pt idx="0">
                  <c:v>33080.952380952382</c:v>
                </c:pt>
                <c:pt idx="1">
                  <c:v>34067.952380952382</c:v>
                </c:pt>
                <c:pt idx="2">
                  <c:v>25128</c:v>
                </c:pt>
                <c:pt idx="3">
                  <c:v>17600</c:v>
                </c:pt>
                <c:pt idx="4">
                  <c:v>21056.954685099845</c:v>
                </c:pt>
                <c:pt idx="5">
                  <c:v>22512.336947682299</c:v>
                </c:pt>
                <c:pt idx="6">
                  <c:v>23718.704918833893</c:v>
                </c:pt>
                <c:pt idx="7">
                  <c:v>22429.332183872011</c:v>
                </c:pt>
                <c:pt idx="8">
                  <c:v>22470.667871036138</c:v>
                </c:pt>
                <c:pt idx="9">
                  <c:v>23704.643536383617</c:v>
                </c:pt>
                <c:pt idx="10">
                  <c:v>23699.785967900792</c:v>
                </c:pt>
                <c:pt idx="11">
                  <c:v>24955.391919757341</c:v>
                </c:pt>
              </c:numCache>
            </c:numRef>
          </c:val>
          <c:extLst xmlns:c16r2="http://schemas.microsoft.com/office/drawing/2015/06/chart">
            <c:ext xmlns:c16="http://schemas.microsoft.com/office/drawing/2014/chart" uri="{C3380CC4-5D6E-409C-BE32-E72D297353CC}">
              <c16:uniqueId val="{00000003-42BB-4739-AD3E-7AE89C92EC8D}"/>
            </c:ex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75"/>
        <c:overlap val="100"/>
        <c:axId val="625310112"/>
        <c:axId val="625300320"/>
      </c:barChart>
      <c:lineChart>
        <c:grouping val="standard"/>
        <c:varyColors val="0"/>
        <c:ser>
          <c:idx val="0"/>
          <c:order val="0"/>
          <c:tx>
            <c:strRef>
              <c:f>Chartbuilding!$B$41</c:f>
              <c:strCache>
                <c:ptCount val="1"/>
                <c:pt idx="0">
                  <c:v>Net New</c:v>
                </c:pt>
              </c:strCache>
            </c:strRef>
          </c:tx>
          <c:spPr>
            <a:ln>
              <a:solidFill>
                <a:srgbClr val="FFE598"/>
              </a:solidFill>
            </a:ln>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Chartbuilding!$C$41:$N$41</c:f>
              <c:numCache>
                <c:formatCode>_(* #,##0_);_(* \(#,##0\);_(* "-"??_);_(@_)</c:formatCode>
                <c:ptCount val="12"/>
                <c:pt idx="0">
                  <c:v>22458.850185606236</c:v>
                </c:pt>
                <c:pt idx="1">
                  <c:v>25563.850185606236</c:v>
                </c:pt>
                <c:pt idx="2">
                  <c:v>-4145</c:v>
                </c:pt>
                <c:pt idx="3">
                  <c:v>-25456</c:v>
                </c:pt>
                <c:pt idx="4">
                  <c:v>-14357.332313816551</c:v>
                </c:pt>
                <c:pt idx="5">
                  <c:v>-3510.5305459529518</c:v>
                </c:pt>
                <c:pt idx="6">
                  <c:v>7468.5980510538393</c:v>
                </c:pt>
                <c:pt idx="7">
                  <c:v>9962.622002102331</c:v>
                </c:pt>
                <c:pt idx="8">
                  <c:v>16176.798714415394</c:v>
                </c:pt>
                <c:pt idx="9">
                  <c:v>18396.526579387886</c:v>
                </c:pt>
                <c:pt idx="10">
                  <c:v>17357.97714881978</c:v>
                </c:pt>
                <c:pt idx="11">
                  <c:v>18373.692218213175</c:v>
                </c:pt>
              </c:numCache>
            </c:numRef>
          </c:val>
          <c:smooth val="1"/>
          <c:extLst xmlns:c16r2="http://schemas.microsoft.com/office/drawing/2015/06/chart">
            <c:ext xmlns:c16="http://schemas.microsoft.com/office/drawing/2014/chart" uri="{C3380CC4-5D6E-409C-BE32-E72D297353CC}">
              <c16:uniqueId val="{00000004-42BB-4739-AD3E-7AE89C92EC8D}"/>
            </c:ext>
          </c:extLst>
        </c:ser>
        <c:dLbls>
          <c:showLegendKey val="0"/>
          <c:showVal val="0"/>
          <c:showCatName val="0"/>
          <c:showSerName val="0"/>
          <c:showPercent val="0"/>
          <c:showBubbleSize val="0"/>
        </c:dLbls>
        <c:marker val="1"/>
        <c:smooth val="0"/>
        <c:axId val="625310112"/>
        <c:axId val="625300320"/>
      </c:lineChart>
      <c:dateAx>
        <c:axId val="625310112"/>
        <c:scaling>
          <c:orientation val="minMax"/>
        </c:scaling>
        <c:delete val="0"/>
        <c:axPos val="b"/>
        <c:title>
          <c:tx>
            <c:rich>
              <a:bodyPr/>
              <a:lstStyle/>
              <a:p>
                <a:pPr lvl="0">
                  <a:defRPr b="0">
                    <a:solidFill>
                      <a:srgbClr val="000000"/>
                    </a:solidFill>
                    <a:latin typeface="Roboto"/>
                  </a:defRPr>
                </a:pPr>
                <a:endParaRPr lang="en-US"/>
              </a:p>
            </c:rich>
          </c:tx>
          <c:overlay val="0"/>
        </c:title>
        <c:numFmt formatCode="mmm\ yyyy" sourceLinked="1"/>
        <c:majorTickMark val="none"/>
        <c:minorTickMark val="none"/>
        <c:tickLblPos val="low"/>
        <c:txPr>
          <a:bodyPr/>
          <a:lstStyle/>
          <a:p>
            <a:pPr lvl="0">
              <a:defRPr b="0">
                <a:solidFill>
                  <a:srgbClr val="000000"/>
                </a:solidFill>
                <a:latin typeface="Arial"/>
              </a:defRPr>
            </a:pPr>
            <a:endParaRPr lang="en-US"/>
          </a:p>
        </c:txPr>
        <c:crossAx val="625300320"/>
        <c:crosses val="autoZero"/>
        <c:auto val="1"/>
        <c:lblOffset val="100"/>
        <c:baseTimeUnit val="months"/>
      </c:dateAx>
      <c:valAx>
        <c:axId val="625300320"/>
        <c:scaling>
          <c:orientation val="minMax"/>
        </c:scaling>
        <c:delete val="0"/>
        <c:axPos val="l"/>
        <c:majorGridlines>
          <c:spPr>
            <a:ln>
              <a:solidFill>
                <a:srgbClr val="FFFFFF"/>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endParaRPr lang="en-US"/>
              </a:p>
            </c:rich>
          </c:tx>
          <c:overlay val="0"/>
        </c:title>
        <c:numFmt formatCode="_(* #,##0_);_(* \(#,##0\);_(* &quot;-&quot;??_);_(@_)" sourceLinked="1"/>
        <c:majorTickMark val="none"/>
        <c:minorTickMark val="none"/>
        <c:tickLblPos val="nextTo"/>
        <c:spPr>
          <a:ln/>
        </c:spPr>
        <c:txPr>
          <a:bodyPr/>
          <a:lstStyle/>
          <a:p>
            <a:pPr lvl="0">
              <a:defRPr b="0">
                <a:solidFill>
                  <a:srgbClr val="000000"/>
                </a:solidFill>
                <a:latin typeface="Arial"/>
              </a:defRPr>
            </a:pPr>
            <a:endParaRPr lang="en-US"/>
          </a:p>
        </c:txPr>
        <c:crossAx val="625310112"/>
        <c:crosses val="autoZero"/>
        <c:crossBetween val="between"/>
      </c:valAx>
    </c:plotArea>
    <c:legend>
      <c:legendPos val="b"/>
      <c:layout>
        <c:manualLayout>
          <c:xMode val="edge"/>
          <c:yMode val="edge"/>
          <c:x val="0.30767668700683409"/>
          <c:y val="0.90594424483347347"/>
          <c:w val="0.38464654279546279"/>
          <c:h val="5.5220803710215836E-2"/>
        </c:manualLayout>
      </c:layout>
      <c:overlay val="0"/>
      <c:txPr>
        <a:bodyPr/>
        <a:lstStyle/>
        <a:p>
          <a:pPr lvl="0">
            <a:defRPr b="0">
              <a:solidFill>
                <a:srgbClr val="000000"/>
              </a:solidFill>
              <a:latin typeface="Roboto"/>
            </a:defRPr>
          </a:pPr>
          <a:endParaRPr lang="en-US"/>
        </a:p>
      </c:txPr>
    </c:legend>
    <c:plotVisOnly val="1"/>
    <c:dispBlanksAs val="zero"/>
    <c:showDLblsOverMax val="1"/>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lgn="l">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solidFill>
                  <a:srgbClr val="48B888"/>
                </a:solidFill>
              </a:rPr>
              <a:t>Cash Balance</a:t>
            </a:r>
          </a:p>
        </c:rich>
      </c:tx>
      <c:layout>
        <c:manualLayout>
          <c:xMode val="edge"/>
          <c:yMode val="edge"/>
          <c:x val="1.6539567827994102E-2"/>
          <c:y val="2.7777887139107612E-2"/>
        </c:manualLayout>
      </c:layout>
      <c:overlay val="0"/>
      <c:spPr>
        <a:noFill/>
        <a:ln>
          <a:noFill/>
        </a:ln>
        <a:effectLst/>
      </c:spPr>
      <c:txPr>
        <a:bodyPr rot="0" spcFirstLastPara="1" vertOverflow="ellipsis" vert="horz" wrap="square" anchor="t" anchorCtr="0"/>
        <a:lstStyle/>
        <a:p>
          <a:pPr algn="l">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Chartbuilding!$B$12</c:f>
              <c:strCache>
                <c:ptCount val="1"/>
                <c:pt idx="0">
                  <c:v>Actuals</c:v>
                </c:pt>
              </c:strCache>
            </c:strRef>
          </c:tx>
          <c:spPr>
            <a:ln w="28575" cap="rnd">
              <a:solidFill>
                <a:srgbClr val="48B888"/>
              </a:solidFill>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Chartbuilding!$C$12:$N$12</c:f>
              <c:numCache>
                <c:formatCode>_(* #,##0_);_(* \(#,##0\);_(* "-"??_);_(@_)</c:formatCode>
                <c:ptCount val="12"/>
                <c:pt idx="0">
                  <c:v>281579</c:v>
                </c:pt>
                <c:pt idx="1">
                  <c:v>255410</c:v>
                </c:pt>
                <c:pt idx="2">
                  <c:v>263817.19</c:v>
                </c:pt>
                <c:pt idx="3">
                  <c:v>263700.19</c:v>
                </c:pt>
              </c:numCache>
            </c:numRef>
          </c:val>
          <c:smooth val="0"/>
          <c:extLst xmlns:c16r2="http://schemas.microsoft.com/office/drawing/2015/06/chart">
            <c:ext xmlns:c16="http://schemas.microsoft.com/office/drawing/2014/chart" uri="{C3380CC4-5D6E-409C-BE32-E72D297353CC}">
              <c16:uniqueId val="{00000000-C7D4-4CCE-8445-B96A1867EDA6}"/>
            </c:ext>
          </c:extLst>
        </c:ser>
        <c:ser>
          <c:idx val="1"/>
          <c:order val="1"/>
          <c:tx>
            <c:strRef>
              <c:f>Chartbuilding!$B$13</c:f>
              <c:strCache>
                <c:ptCount val="1"/>
                <c:pt idx="0">
                  <c:v>Base-Case</c:v>
                </c:pt>
              </c:strCache>
            </c:strRef>
          </c:tx>
          <c:spPr>
            <a:ln w="28575" cap="rnd">
              <a:solidFill>
                <a:srgbClr val="48B888"/>
              </a:solidFill>
              <a:prstDash val="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Chartbuilding!$C$13:$N$13</c:f>
              <c:numCache>
                <c:formatCode>General</c:formatCode>
                <c:ptCount val="12"/>
                <c:pt idx="3" formatCode="_(* #,##0_);_(* \(#,##0\);_(* &quot;-&quot;??_);_(@_)">
                  <c:v>263700.19</c:v>
                </c:pt>
                <c:pt idx="4" formatCode="_(* #,##0_);_(* \(#,##0\);_(* &quot;-&quot;??_);_(@_)">
                  <c:v>317048.35633717262</c:v>
                </c:pt>
                <c:pt idx="5" formatCode="_(* #,##0_);_(* \(#,##0\);_(* &quot;-&quot;??_);_(@_)">
                  <c:v>352414.21079080336</c:v>
                </c:pt>
                <c:pt idx="6" formatCode="_(* #,##0_);_(* \(#,##0\);_(* &quot;-&quot;??_);_(@_)">
                  <c:v>379124.88647002744</c:v>
                </c:pt>
                <c:pt idx="7" formatCode="_(* #,##0_);_(* \(#,##0\);_(* &quot;-&quot;??_);_(@_)">
                  <c:v>394045.3059303115</c:v>
                </c:pt>
                <c:pt idx="8" formatCode="_(* #,##0_);_(* \(#,##0\);_(* &quot;-&quot;??_);_(@_)">
                  <c:v>407708.45128690923</c:v>
                </c:pt>
                <c:pt idx="9" formatCode="_(* #,##0_);_(* \(#,##0\);_(* &quot;-&quot;??_);_(@_)">
                  <c:v>359158.72149204399</c:v>
                </c:pt>
                <c:pt idx="10" formatCode="_(* #,##0_);_(* \(#,##0\);_(* &quot;-&quot;??_);_(@_)">
                  <c:v>310355.16776587971</c:v>
                </c:pt>
                <c:pt idx="11" formatCode="_(* #,##0_);_(* \(#,##0\);_(* &quot;-&quot;??_);_(@_)">
                  <c:v>222023.17367604031</c:v>
                </c:pt>
              </c:numCache>
            </c:numRef>
          </c:val>
          <c:smooth val="0"/>
          <c:extLst xmlns:c16r2="http://schemas.microsoft.com/office/drawing/2015/06/chart">
            <c:ext xmlns:c16="http://schemas.microsoft.com/office/drawing/2014/chart" uri="{C3380CC4-5D6E-409C-BE32-E72D297353CC}">
              <c16:uniqueId val="{00000001-C7D4-4CCE-8445-B96A1867EDA6}"/>
            </c:ext>
          </c:extLst>
        </c:ser>
        <c:ser>
          <c:idx val="2"/>
          <c:order val="2"/>
          <c:tx>
            <c:strRef>
              <c:f>Chartbuilding!$B$14</c:f>
              <c:strCache>
                <c:ptCount val="1"/>
                <c:pt idx="0">
                  <c:v>Worst-Case</c:v>
                </c:pt>
              </c:strCache>
            </c:strRef>
          </c:tx>
          <c:spPr>
            <a:ln w="22225" cap="rnd">
              <a:solidFill>
                <a:srgbClr val="DC1919"/>
              </a:solidFill>
              <a:prstDash val="sysDash"/>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Chartbuilding!$C$14:$N$14</c:f>
              <c:numCache>
                <c:formatCode>General</c:formatCode>
                <c:ptCount val="12"/>
                <c:pt idx="3" formatCode="_(* #,##0_);_(* \(#,##0\);_(* &quot;-&quot;??_);_(@_)">
                  <c:v>263700.19</c:v>
                </c:pt>
                <c:pt idx="4" formatCode="_(* #,##0_);_(* \(#,##0\);_(* &quot;-&quot;??_);_(@_)">
                  <c:v>335061.46284173644</c:v>
                </c:pt>
                <c:pt idx="5" formatCode="_(* #,##0_);_(* \(#,##0\);_(* &quot;-&quot;??_);_(@_)">
                  <c:v>377414.2534292441</c:v>
                </c:pt>
                <c:pt idx="6" formatCode="_(* #,##0_);_(* \(#,##0\);_(* &quot;-&quot;??_);_(@_)">
                  <c:v>401423.49884110288</c:v>
                </c:pt>
                <c:pt idx="7" formatCode="_(* #,##0_);_(* \(#,##0\);_(* &quot;-&quot;??_);_(@_)">
                  <c:v>422660.24844425236</c:v>
                </c:pt>
                <c:pt idx="8" formatCode="_(* #,##0_);_(* \(#,##0\);_(* &quot;-&quot;??_);_(@_)">
                  <c:v>413747.07480542426</c:v>
                </c:pt>
                <c:pt idx="9" formatCode="_(* #,##0_);_(* \(#,##0\);_(* &quot;-&quot;??_);_(@_)">
                  <c:v>396032.05444101064</c:v>
                </c:pt>
                <c:pt idx="10" formatCode="_(* #,##0_);_(* \(#,##0\);_(* &quot;-&quot;??_);_(@_)">
                  <c:v>368862.94949049695</c:v>
                </c:pt>
                <c:pt idx="11" formatCode="_(* #,##0_);_(* \(#,##0\);_(* &quot;-&quot;??_);_(@_)">
                  <c:v>332994.77080984839</c:v>
                </c:pt>
              </c:numCache>
            </c:numRef>
          </c:val>
          <c:smooth val="0"/>
          <c:extLst xmlns:c16r2="http://schemas.microsoft.com/office/drawing/2015/06/chart">
            <c:ext xmlns:c16="http://schemas.microsoft.com/office/drawing/2014/chart" uri="{C3380CC4-5D6E-409C-BE32-E72D297353CC}">
              <c16:uniqueId val="{00000002-C7D4-4CCE-8445-B96A1867EDA6}"/>
            </c:ext>
          </c:extLst>
        </c:ser>
        <c:ser>
          <c:idx val="3"/>
          <c:order val="3"/>
          <c:tx>
            <c:strRef>
              <c:f>Chartbuilding!$B$15</c:f>
              <c:strCache>
                <c:ptCount val="1"/>
                <c:pt idx="0">
                  <c:v>2020 Target</c:v>
                </c:pt>
              </c:strCache>
            </c:strRef>
          </c:tx>
          <c:spPr>
            <a:ln w="22225" cap="rnd">
              <a:solidFill>
                <a:schemeClr val="bg1">
                  <a:lumMod val="50000"/>
                </a:schemeClr>
              </a:solidFill>
              <a:prstDash val="sysDot"/>
              <a:round/>
            </a:ln>
            <a:effectLst/>
          </c:spPr>
          <c:marker>
            <c:symbol val="none"/>
          </c:marker>
          <c:cat>
            <c:numRef>
              <c:f>Chartbuilding!$C$1:$N$1</c:f>
              <c:numCache>
                <c:formatCode>mmm\ yyyy</c:formatCode>
                <c:ptCount val="1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numCache>
            </c:numRef>
          </c:cat>
          <c:val>
            <c:numRef>
              <c:f>Chartbuilding!$C$15:$N$15</c:f>
              <c:numCache>
                <c:formatCode>_(* #,##0_);_(* \(#,##0\);_(* "-"??_);_(@_)</c:formatCode>
                <c:ptCount val="12"/>
                <c:pt idx="0">
                  <c:v>181284.25013877556</c:v>
                </c:pt>
                <c:pt idx="1">
                  <c:v>258722.64503569505</c:v>
                </c:pt>
                <c:pt idx="2">
                  <c:v>220739.82213758782</c:v>
                </c:pt>
                <c:pt idx="3">
                  <c:v>243356.62552640424</c:v>
                </c:pt>
                <c:pt idx="4">
                  <c:v>269751.62110881496</c:v>
                </c:pt>
                <c:pt idx="5">
                  <c:v>312554.96971283772</c:v>
                </c:pt>
                <c:pt idx="6">
                  <c:v>359450.53619962116</c:v>
                </c:pt>
                <c:pt idx="7">
                  <c:v>410155.02599820634</c:v>
                </c:pt>
                <c:pt idx="8">
                  <c:v>464385.57094008103</c:v>
                </c:pt>
                <c:pt idx="9">
                  <c:v>557858.69880743301</c:v>
                </c:pt>
                <c:pt idx="10">
                  <c:v>690301.9274186031</c:v>
                </c:pt>
                <c:pt idx="11">
                  <c:v>861446.10364382609</c:v>
                </c:pt>
              </c:numCache>
            </c:numRef>
          </c:val>
          <c:smooth val="0"/>
          <c:extLst xmlns:c16r2="http://schemas.microsoft.com/office/drawing/2015/06/chart">
            <c:ext xmlns:c16="http://schemas.microsoft.com/office/drawing/2014/chart" uri="{C3380CC4-5D6E-409C-BE32-E72D297353CC}">
              <c16:uniqueId val="{00000003-C7D4-4CCE-8445-B96A1867EDA6}"/>
            </c:ext>
          </c:extLst>
        </c:ser>
        <c:dLbls>
          <c:showLegendKey val="0"/>
          <c:showVal val="0"/>
          <c:showCatName val="0"/>
          <c:showSerName val="0"/>
          <c:showPercent val="0"/>
          <c:showBubbleSize val="0"/>
        </c:dLbls>
        <c:smooth val="0"/>
        <c:axId val="625295424"/>
        <c:axId val="625300864"/>
      </c:lineChart>
      <c:dateAx>
        <c:axId val="625295424"/>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5300864"/>
        <c:crosses val="autoZero"/>
        <c:auto val="1"/>
        <c:lblOffset val="100"/>
        <c:baseTimeUnit val="months"/>
      </c:dateAx>
      <c:valAx>
        <c:axId val="62530086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5295424"/>
        <c:crosses val="autoZero"/>
        <c:crossBetween val="between"/>
        <c:majorUnit val="2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0</xdr:colOff>
      <xdr:row>16</xdr:row>
      <xdr:rowOff>9525</xdr:rowOff>
    </xdr:from>
    <xdr:ext cx="5715000" cy="3171825"/>
    <xdr:graphicFrame macro="">
      <xdr:nvGraphicFramePr>
        <xdr:cNvPr id="4" name="Chart 4" title="Chart">
          <a:extLst>
            <a:ext uri="{FF2B5EF4-FFF2-40B4-BE49-F238E27FC236}">
              <a16:creationId xmlns=""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542925</xdr:colOff>
      <xdr:row>56</xdr:row>
      <xdr:rowOff>133350</xdr:rowOff>
    </xdr:from>
    <xdr:ext cx="5715000" cy="3171825"/>
    <xdr:graphicFrame macro="">
      <xdr:nvGraphicFramePr>
        <xdr:cNvPr id="5" name="Chart 5" title="Chart">
          <a:extLst>
            <a:ext uri="{FF2B5EF4-FFF2-40B4-BE49-F238E27FC236}">
              <a16:creationId xmlns=""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0</xdr:colOff>
      <xdr:row>0</xdr:row>
      <xdr:rowOff>0</xdr:rowOff>
    </xdr:from>
    <xdr:ext cx="5715000" cy="3171825"/>
    <xdr:graphicFrame macro="">
      <xdr:nvGraphicFramePr>
        <xdr:cNvPr id="6" name="Chart 6" title="Chart">
          <a:extLst>
            <a:ext uri="{FF2B5EF4-FFF2-40B4-BE49-F238E27FC236}">
              <a16:creationId xmlns=""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6</xdr:col>
      <xdr:colOff>133350</xdr:colOff>
      <xdr:row>16</xdr:row>
      <xdr:rowOff>19050</xdr:rowOff>
    </xdr:from>
    <xdr:ext cx="6096000" cy="3171825"/>
    <xdr:graphicFrame macro="">
      <xdr:nvGraphicFramePr>
        <xdr:cNvPr id="7" name="Chart 7" title="Chart">
          <a:extLst>
            <a:ext uri="{FF2B5EF4-FFF2-40B4-BE49-F238E27FC236}">
              <a16:creationId xmlns=""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56</xdr:row>
      <xdr:rowOff>133350</xdr:rowOff>
    </xdr:from>
    <xdr:ext cx="5715000" cy="3171825"/>
    <xdr:graphicFrame macro="">
      <xdr:nvGraphicFramePr>
        <xdr:cNvPr id="8" name="Chart 8" title="Chart">
          <a:extLst>
            <a:ext uri="{FF2B5EF4-FFF2-40B4-BE49-F238E27FC236}">
              <a16:creationId xmlns="" xmlns:a16="http://schemas.microsoft.com/office/drawing/2014/main" id="{00000000-0008-0000-0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0</xdr:col>
      <xdr:colOff>66675</xdr:colOff>
      <xdr:row>32</xdr:row>
      <xdr:rowOff>200024</xdr:rowOff>
    </xdr:from>
    <xdr:ext cx="12020550" cy="4333875"/>
    <xdr:graphicFrame macro="">
      <xdr:nvGraphicFramePr>
        <xdr:cNvPr id="9" name="Chart 9" title="Chart">
          <a:extLst>
            <a:ext uri="{FF2B5EF4-FFF2-40B4-BE49-F238E27FC236}">
              <a16:creationId xmlns="" xmlns:a16="http://schemas.microsoft.com/office/drawing/2014/main" id="{00000000-0008-0000-0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twoCellAnchor>
    <xdr:from>
      <xdr:col>6</xdr:col>
      <xdr:colOff>190500</xdr:colOff>
      <xdr:row>0</xdr:row>
      <xdr:rowOff>28575</xdr:rowOff>
    </xdr:from>
    <xdr:to>
      <xdr:col>12</xdr:col>
      <xdr:colOff>495300</xdr:colOff>
      <xdr:row>15</xdr:row>
      <xdr:rowOff>142875</xdr:rowOff>
    </xdr:to>
    <xdr:graphicFrame macro="">
      <xdr:nvGraphicFramePr>
        <xdr:cNvPr id="12" name="Chart 11">
          <a:extLst>
            <a:ext uri="{FF2B5EF4-FFF2-40B4-BE49-F238E27FC236}">
              <a16:creationId xmlns="" xmlns:a16="http://schemas.microsoft.com/office/drawing/2014/main" id="{A2845230-AB95-438C-9B51-353D61BA14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hyperlink" Target="https://docs.google.com/spreadsheets/d/1sSMbY5atNvbDc7dTA5F8OuaHVvZfwF3z0JRgqj_Tf4Q/edi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outlinePr summaryBelow="0" summaryRight="0"/>
  </sheetPr>
  <dimension ref="A1:B2"/>
  <sheetViews>
    <sheetView showGridLines="0" workbookViewId="0"/>
  </sheetViews>
  <sheetFormatPr defaultColWidth="14.42578125" defaultRowHeight="15.75" customHeight="1" x14ac:dyDescent="0.2"/>
  <cols>
    <col min="1" max="1" width="60.140625" customWidth="1"/>
    <col min="2" max="2" width="41.5703125" customWidth="1"/>
  </cols>
  <sheetData>
    <row r="1" spans="1:2" ht="15.75" customHeight="1" x14ac:dyDescent="0.2">
      <c r="A1" s="1">
        <v>43844</v>
      </c>
      <c r="B1" s="2" t="s">
        <v>0</v>
      </c>
    </row>
    <row r="2" spans="1:2" ht="15.75" customHeight="1" x14ac:dyDescent="0.2">
      <c r="A2" s="1">
        <v>43945</v>
      </c>
      <c r="B2" s="3" t="s">
        <v>1</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outlinePr summaryBelow="0" summaryRight="0"/>
  </sheetPr>
  <dimension ref="A1:BI1054"/>
  <sheetViews>
    <sheetView showGridLines="0" workbookViewId="0">
      <pane ySplit="1" topLeftCell="A36" activePane="bottomLeft" state="frozen"/>
      <selection activeCell="I34" sqref="I34"/>
      <selection pane="bottomLeft" activeCell="A76" sqref="A76"/>
    </sheetView>
  </sheetViews>
  <sheetFormatPr defaultColWidth="14.42578125" defaultRowHeight="15.75" customHeight="1" x14ac:dyDescent="0.2"/>
  <cols>
    <col min="1" max="1" width="1.42578125" customWidth="1"/>
    <col min="2" max="2" width="30.5703125" customWidth="1"/>
    <col min="3" max="4" width="19" customWidth="1"/>
    <col min="5" max="6" width="12.7109375" customWidth="1"/>
    <col min="7" max="7" width="17.140625" customWidth="1"/>
    <col min="12" max="13" width="2.85546875" customWidth="1"/>
  </cols>
  <sheetData>
    <row r="1" spans="1:61" ht="22.5" customHeight="1" x14ac:dyDescent="0.2">
      <c r="A1" s="5" t="s">
        <v>181</v>
      </c>
      <c r="B1" s="184"/>
      <c r="C1" s="184" t="s">
        <v>131</v>
      </c>
      <c r="D1" s="185" t="s">
        <v>132</v>
      </c>
      <c r="E1" s="186" t="s">
        <v>133</v>
      </c>
      <c r="F1" s="186" t="s">
        <v>134</v>
      </c>
      <c r="G1" s="186" t="s">
        <v>135</v>
      </c>
      <c r="H1" s="186" t="s">
        <v>136</v>
      </c>
      <c r="I1" s="186" t="s">
        <v>137</v>
      </c>
      <c r="J1" s="186" t="s">
        <v>138</v>
      </c>
      <c r="K1" s="186" t="s">
        <v>139</v>
      </c>
      <c r="L1" s="184"/>
      <c r="M1" s="184"/>
      <c r="N1" s="20">
        <v>43952</v>
      </c>
      <c r="O1" s="20">
        <f t="shared" ref="O1:BI1" si="0">EDATE(N1,1)</f>
        <v>43983</v>
      </c>
      <c r="P1" s="20">
        <f t="shared" si="0"/>
        <v>44013</v>
      </c>
      <c r="Q1" s="20">
        <f t="shared" si="0"/>
        <v>44044</v>
      </c>
      <c r="R1" s="20">
        <f t="shared" si="0"/>
        <v>44075</v>
      </c>
      <c r="S1" s="20">
        <f t="shared" si="0"/>
        <v>44105</v>
      </c>
      <c r="T1" s="20">
        <f t="shared" si="0"/>
        <v>44136</v>
      </c>
      <c r="U1" s="20">
        <f t="shared" si="0"/>
        <v>44166</v>
      </c>
      <c r="V1" s="20">
        <f t="shared" si="0"/>
        <v>44197</v>
      </c>
      <c r="W1" s="20">
        <f t="shared" si="0"/>
        <v>44228</v>
      </c>
      <c r="X1" s="20">
        <f t="shared" si="0"/>
        <v>44256</v>
      </c>
      <c r="Y1" s="20">
        <f t="shared" si="0"/>
        <v>44287</v>
      </c>
      <c r="Z1" s="20">
        <f t="shared" si="0"/>
        <v>44317</v>
      </c>
      <c r="AA1" s="20">
        <f t="shared" si="0"/>
        <v>44348</v>
      </c>
      <c r="AB1" s="20">
        <f t="shared" si="0"/>
        <v>44378</v>
      </c>
      <c r="AC1" s="20">
        <f t="shared" si="0"/>
        <v>44409</v>
      </c>
      <c r="AD1" s="20">
        <f t="shared" si="0"/>
        <v>44440</v>
      </c>
      <c r="AE1" s="20">
        <f t="shared" si="0"/>
        <v>44470</v>
      </c>
      <c r="AF1" s="20">
        <f t="shared" si="0"/>
        <v>44501</v>
      </c>
      <c r="AG1" s="20">
        <f t="shared" si="0"/>
        <v>44531</v>
      </c>
      <c r="AH1" s="20">
        <f t="shared" si="0"/>
        <v>44562</v>
      </c>
      <c r="AI1" s="20">
        <f t="shared" si="0"/>
        <v>44593</v>
      </c>
      <c r="AJ1" s="20">
        <f t="shared" si="0"/>
        <v>44621</v>
      </c>
      <c r="AK1" s="20">
        <f t="shared" si="0"/>
        <v>44652</v>
      </c>
      <c r="AL1" s="20">
        <f t="shared" si="0"/>
        <v>44682</v>
      </c>
      <c r="AM1" s="20">
        <f t="shared" si="0"/>
        <v>44713</v>
      </c>
      <c r="AN1" s="20">
        <f t="shared" si="0"/>
        <v>44743</v>
      </c>
      <c r="AO1" s="20">
        <f t="shared" si="0"/>
        <v>44774</v>
      </c>
      <c r="AP1" s="20">
        <f t="shared" si="0"/>
        <v>44805</v>
      </c>
      <c r="AQ1" s="20">
        <f t="shared" si="0"/>
        <v>44835</v>
      </c>
      <c r="AR1" s="20">
        <f t="shared" si="0"/>
        <v>44866</v>
      </c>
      <c r="AS1" s="20">
        <f t="shared" si="0"/>
        <v>44896</v>
      </c>
      <c r="AT1" s="20">
        <f t="shared" si="0"/>
        <v>44927</v>
      </c>
      <c r="AU1" s="20">
        <f t="shared" si="0"/>
        <v>44958</v>
      </c>
      <c r="AV1" s="20">
        <f t="shared" si="0"/>
        <v>44986</v>
      </c>
      <c r="AW1" s="20">
        <f t="shared" si="0"/>
        <v>45017</v>
      </c>
      <c r="AX1" s="20">
        <f t="shared" si="0"/>
        <v>45047</v>
      </c>
      <c r="AY1" s="20">
        <f t="shared" si="0"/>
        <v>45078</v>
      </c>
      <c r="AZ1" s="20">
        <f t="shared" si="0"/>
        <v>45108</v>
      </c>
      <c r="BA1" s="20">
        <f t="shared" si="0"/>
        <v>45139</v>
      </c>
      <c r="BB1" s="20">
        <f t="shared" si="0"/>
        <v>45170</v>
      </c>
      <c r="BC1" s="20">
        <f t="shared" si="0"/>
        <v>45200</v>
      </c>
      <c r="BD1" s="20">
        <f t="shared" si="0"/>
        <v>45231</v>
      </c>
      <c r="BE1" s="20">
        <f t="shared" si="0"/>
        <v>45261</v>
      </c>
      <c r="BF1" s="20">
        <f t="shared" si="0"/>
        <v>45292</v>
      </c>
      <c r="BG1" s="20">
        <f t="shared" si="0"/>
        <v>45323</v>
      </c>
      <c r="BH1" s="20">
        <f t="shared" si="0"/>
        <v>45352</v>
      </c>
      <c r="BI1" s="20">
        <f t="shared" si="0"/>
        <v>45383</v>
      </c>
    </row>
    <row r="2" spans="1:61" ht="12.75" x14ac:dyDescent="0.2">
      <c r="A2" s="187" t="s">
        <v>140</v>
      </c>
      <c r="B2" s="6"/>
      <c r="C2" s="6"/>
      <c r="D2" s="6"/>
      <c r="E2" s="6"/>
      <c r="F2" s="6"/>
      <c r="G2" s="6"/>
      <c r="H2" s="6"/>
      <c r="I2" s="6"/>
      <c r="J2" s="6"/>
      <c r="K2" s="20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row>
    <row r="3" spans="1:61" ht="12.75" x14ac:dyDescent="0.2">
      <c r="A3" s="189"/>
      <c r="B3" s="189" t="s">
        <v>72</v>
      </c>
      <c r="C3" s="6"/>
      <c r="D3" s="6"/>
      <c r="E3" s="6"/>
      <c r="F3" s="6"/>
      <c r="G3" s="6"/>
      <c r="H3" s="6"/>
      <c r="I3" s="6"/>
      <c r="J3" s="6"/>
      <c r="K3" s="20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row>
    <row r="4" spans="1:61" ht="12.75" x14ac:dyDescent="0.2">
      <c r="A4" s="6"/>
      <c r="B4" s="15" t="s">
        <v>141</v>
      </c>
      <c r="C4" s="15" t="s">
        <v>142</v>
      </c>
      <c r="D4" s="15" t="str">
        <f t="shared" ref="D4:D5" si="1">$B$3</f>
        <v>General &amp; Admin</v>
      </c>
      <c r="E4" s="190">
        <f>120000*0.75</f>
        <v>90000</v>
      </c>
      <c r="F4" s="191">
        <v>43466</v>
      </c>
      <c r="G4" s="191"/>
      <c r="H4" s="192">
        <v>0.09</v>
      </c>
      <c r="I4" s="193">
        <f t="shared" ref="I4:I5" si="2">0.04*E4/12</f>
        <v>300</v>
      </c>
      <c r="J4" s="193">
        <v>500</v>
      </c>
      <c r="K4" s="206">
        <f t="shared" ref="K4:K64" si="3">SUM(I4:J4)</f>
        <v>800</v>
      </c>
      <c r="L4" s="6"/>
      <c r="M4" s="6"/>
      <c r="N4" s="206">
        <f t="shared" ref="N4:BI4" si="4">IF($F4=0,0, IF(AND(N$1&gt;=$G4,$G4&lt;&gt;0),0,IF(N$1&gt;=$F4,$E4/12,0)))</f>
        <v>7500</v>
      </c>
      <c r="O4" s="206">
        <f t="shared" si="4"/>
        <v>7500</v>
      </c>
      <c r="P4" s="206">
        <f t="shared" si="4"/>
        <v>7500</v>
      </c>
      <c r="Q4" s="206">
        <f t="shared" si="4"/>
        <v>7500</v>
      </c>
      <c r="R4" s="206">
        <f t="shared" si="4"/>
        <v>7500</v>
      </c>
      <c r="S4" s="206">
        <f t="shared" si="4"/>
        <v>7500</v>
      </c>
      <c r="T4" s="206">
        <f t="shared" si="4"/>
        <v>7500</v>
      </c>
      <c r="U4" s="206">
        <f t="shared" si="4"/>
        <v>7500</v>
      </c>
      <c r="V4" s="206">
        <f t="shared" si="4"/>
        <v>7500</v>
      </c>
      <c r="W4" s="206">
        <f t="shared" si="4"/>
        <v>7500</v>
      </c>
      <c r="X4" s="206">
        <f t="shared" si="4"/>
        <v>7500</v>
      </c>
      <c r="Y4" s="206">
        <f t="shared" si="4"/>
        <v>7500</v>
      </c>
      <c r="Z4" s="206">
        <f t="shared" si="4"/>
        <v>7500</v>
      </c>
      <c r="AA4" s="206">
        <f t="shared" si="4"/>
        <v>7500</v>
      </c>
      <c r="AB4" s="206">
        <f t="shared" si="4"/>
        <v>7500</v>
      </c>
      <c r="AC4" s="206">
        <f t="shared" si="4"/>
        <v>7500</v>
      </c>
      <c r="AD4" s="206">
        <f t="shared" si="4"/>
        <v>7500</v>
      </c>
      <c r="AE4" s="206">
        <f t="shared" si="4"/>
        <v>7500</v>
      </c>
      <c r="AF4" s="206">
        <f t="shared" si="4"/>
        <v>7500</v>
      </c>
      <c r="AG4" s="206">
        <f t="shared" si="4"/>
        <v>7500</v>
      </c>
      <c r="AH4" s="206">
        <f t="shared" si="4"/>
        <v>7500</v>
      </c>
      <c r="AI4" s="206">
        <f t="shared" si="4"/>
        <v>7500</v>
      </c>
      <c r="AJ4" s="206">
        <f t="shared" si="4"/>
        <v>7500</v>
      </c>
      <c r="AK4" s="206">
        <f t="shared" si="4"/>
        <v>7500</v>
      </c>
      <c r="AL4" s="206">
        <f t="shared" si="4"/>
        <v>7500</v>
      </c>
      <c r="AM4" s="206">
        <f t="shared" si="4"/>
        <v>7500</v>
      </c>
      <c r="AN4" s="206">
        <f t="shared" si="4"/>
        <v>7500</v>
      </c>
      <c r="AO4" s="206">
        <f t="shared" si="4"/>
        <v>7500</v>
      </c>
      <c r="AP4" s="206">
        <f t="shared" si="4"/>
        <v>7500</v>
      </c>
      <c r="AQ4" s="206">
        <f t="shared" si="4"/>
        <v>7500</v>
      </c>
      <c r="AR4" s="206">
        <f t="shared" si="4"/>
        <v>7500</v>
      </c>
      <c r="AS4" s="206">
        <f t="shared" si="4"/>
        <v>7500</v>
      </c>
      <c r="AT4" s="206">
        <f t="shared" si="4"/>
        <v>7500</v>
      </c>
      <c r="AU4" s="206">
        <f t="shared" si="4"/>
        <v>7500</v>
      </c>
      <c r="AV4" s="206">
        <f t="shared" si="4"/>
        <v>7500</v>
      </c>
      <c r="AW4" s="206">
        <f t="shared" si="4"/>
        <v>7500</v>
      </c>
      <c r="AX4" s="206">
        <f t="shared" si="4"/>
        <v>7500</v>
      </c>
      <c r="AY4" s="206">
        <f t="shared" si="4"/>
        <v>7500</v>
      </c>
      <c r="AZ4" s="206">
        <f t="shared" si="4"/>
        <v>7500</v>
      </c>
      <c r="BA4" s="206">
        <f t="shared" si="4"/>
        <v>7500</v>
      </c>
      <c r="BB4" s="206">
        <f t="shared" si="4"/>
        <v>7500</v>
      </c>
      <c r="BC4" s="206">
        <f t="shared" si="4"/>
        <v>7500</v>
      </c>
      <c r="BD4" s="206">
        <f t="shared" si="4"/>
        <v>7500</v>
      </c>
      <c r="BE4" s="206">
        <f t="shared" si="4"/>
        <v>7500</v>
      </c>
      <c r="BF4" s="206">
        <f t="shared" si="4"/>
        <v>7500</v>
      </c>
      <c r="BG4" s="206">
        <f t="shared" si="4"/>
        <v>7500</v>
      </c>
      <c r="BH4" s="206">
        <f t="shared" si="4"/>
        <v>7500</v>
      </c>
      <c r="BI4" s="206">
        <f t="shared" si="4"/>
        <v>7500</v>
      </c>
    </row>
    <row r="5" spans="1:61" ht="12.75" x14ac:dyDescent="0.2">
      <c r="A5" s="6"/>
      <c r="B5" s="15" t="s">
        <v>143</v>
      </c>
      <c r="C5" s="15" t="s">
        <v>144</v>
      </c>
      <c r="D5" s="15" t="str">
        <f t="shared" si="1"/>
        <v>General &amp; Admin</v>
      </c>
      <c r="E5" s="190">
        <f>150000*0.75</f>
        <v>112500</v>
      </c>
      <c r="F5" s="191">
        <v>43466</v>
      </c>
      <c r="G5" s="191"/>
      <c r="H5" s="192">
        <v>0.09</v>
      </c>
      <c r="I5" s="193">
        <f t="shared" si="2"/>
        <v>375</v>
      </c>
      <c r="J5" s="193">
        <v>500</v>
      </c>
      <c r="K5" s="206">
        <f t="shared" si="3"/>
        <v>875</v>
      </c>
      <c r="L5" s="6"/>
      <c r="M5" s="6"/>
      <c r="N5" s="206">
        <f t="shared" ref="N5:BI5" si="5">IF($F5=0,0, IF(AND(N$1&gt;=$G5,$G5&lt;&gt;0),0,IF(N$1&gt;=$F5,$E5/12,0)))</f>
        <v>9375</v>
      </c>
      <c r="O5" s="206">
        <f t="shared" si="5"/>
        <v>9375</v>
      </c>
      <c r="P5" s="206">
        <f t="shared" si="5"/>
        <v>9375</v>
      </c>
      <c r="Q5" s="206">
        <f t="shared" si="5"/>
        <v>9375</v>
      </c>
      <c r="R5" s="206">
        <f t="shared" si="5"/>
        <v>9375</v>
      </c>
      <c r="S5" s="206">
        <f t="shared" si="5"/>
        <v>9375</v>
      </c>
      <c r="T5" s="206">
        <f t="shared" si="5"/>
        <v>9375</v>
      </c>
      <c r="U5" s="206">
        <f t="shared" si="5"/>
        <v>9375</v>
      </c>
      <c r="V5" s="206">
        <f t="shared" si="5"/>
        <v>9375</v>
      </c>
      <c r="W5" s="206">
        <f t="shared" si="5"/>
        <v>9375</v>
      </c>
      <c r="X5" s="206">
        <f t="shared" si="5"/>
        <v>9375</v>
      </c>
      <c r="Y5" s="206">
        <f t="shared" si="5"/>
        <v>9375</v>
      </c>
      <c r="Z5" s="206">
        <f t="shared" si="5"/>
        <v>9375</v>
      </c>
      <c r="AA5" s="206">
        <f t="shared" si="5"/>
        <v>9375</v>
      </c>
      <c r="AB5" s="206">
        <f t="shared" si="5"/>
        <v>9375</v>
      </c>
      <c r="AC5" s="206">
        <f t="shared" si="5"/>
        <v>9375</v>
      </c>
      <c r="AD5" s="206">
        <f t="shared" si="5"/>
        <v>9375</v>
      </c>
      <c r="AE5" s="206">
        <f t="shared" si="5"/>
        <v>9375</v>
      </c>
      <c r="AF5" s="206">
        <f t="shared" si="5"/>
        <v>9375</v>
      </c>
      <c r="AG5" s="206">
        <f t="shared" si="5"/>
        <v>9375</v>
      </c>
      <c r="AH5" s="206">
        <f t="shared" si="5"/>
        <v>9375</v>
      </c>
      <c r="AI5" s="206">
        <f t="shared" si="5"/>
        <v>9375</v>
      </c>
      <c r="AJ5" s="206">
        <f t="shared" si="5"/>
        <v>9375</v>
      </c>
      <c r="AK5" s="206">
        <f t="shared" si="5"/>
        <v>9375</v>
      </c>
      <c r="AL5" s="206">
        <f t="shared" si="5"/>
        <v>9375</v>
      </c>
      <c r="AM5" s="206">
        <f t="shared" si="5"/>
        <v>9375</v>
      </c>
      <c r="AN5" s="206">
        <f t="shared" si="5"/>
        <v>9375</v>
      </c>
      <c r="AO5" s="206">
        <f t="shared" si="5"/>
        <v>9375</v>
      </c>
      <c r="AP5" s="206">
        <f t="shared" si="5"/>
        <v>9375</v>
      </c>
      <c r="AQ5" s="206">
        <f t="shared" si="5"/>
        <v>9375</v>
      </c>
      <c r="AR5" s="206">
        <f t="shared" si="5"/>
        <v>9375</v>
      </c>
      <c r="AS5" s="206">
        <f t="shared" si="5"/>
        <v>9375</v>
      </c>
      <c r="AT5" s="206">
        <f t="shared" si="5"/>
        <v>9375</v>
      </c>
      <c r="AU5" s="206">
        <f t="shared" si="5"/>
        <v>9375</v>
      </c>
      <c r="AV5" s="206">
        <f t="shared" si="5"/>
        <v>9375</v>
      </c>
      <c r="AW5" s="206">
        <f t="shared" si="5"/>
        <v>9375</v>
      </c>
      <c r="AX5" s="206">
        <f t="shared" si="5"/>
        <v>9375</v>
      </c>
      <c r="AY5" s="206">
        <f t="shared" si="5"/>
        <v>9375</v>
      </c>
      <c r="AZ5" s="206">
        <f t="shared" si="5"/>
        <v>9375</v>
      </c>
      <c r="BA5" s="206">
        <f t="shared" si="5"/>
        <v>9375</v>
      </c>
      <c r="BB5" s="206">
        <f t="shared" si="5"/>
        <v>9375</v>
      </c>
      <c r="BC5" s="206">
        <f t="shared" si="5"/>
        <v>9375</v>
      </c>
      <c r="BD5" s="206">
        <f t="shared" si="5"/>
        <v>9375</v>
      </c>
      <c r="BE5" s="206">
        <f t="shared" si="5"/>
        <v>9375</v>
      </c>
      <c r="BF5" s="206">
        <f t="shared" si="5"/>
        <v>9375</v>
      </c>
      <c r="BG5" s="206">
        <f t="shared" si="5"/>
        <v>9375</v>
      </c>
      <c r="BH5" s="206">
        <f t="shared" si="5"/>
        <v>9375</v>
      </c>
      <c r="BI5" s="206">
        <f t="shared" si="5"/>
        <v>9375</v>
      </c>
    </row>
    <row r="6" spans="1:61" ht="12.75" x14ac:dyDescent="0.2">
      <c r="A6" s="189"/>
      <c r="B6" s="189" t="s">
        <v>76</v>
      </c>
      <c r="C6" s="6"/>
      <c r="D6" s="6"/>
      <c r="E6" s="6"/>
      <c r="F6" s="194"/>
      <c r="G6" s="194"/>
      <c r="H6" s="6"/>
      <c r="I6" s="6"/>
      <c r="J6" s="6"/>
      <c r="K6" s="206">
        <f t="shared" si="3"/>
        <v>0</v>
      </c>
      <c r="L6" s="6"/>
      <c r="M6" s="6"/>
      <c r="N6" s="206">
        <f t="shared" ref="N6:BI6" si="6">IF($F6=0,0, IF(AND(N$1&gt;=$G6,$G6&lt;&gt;0),0,IF(N$1&gt;=$F6,$E6/12,0)))</f>
        <v>0</v>
      </c>
      <c r="O6" s="206">
        <f t="shared" si="6"/>
        <v>0</v>
      </c>
      <c r="P6" s="206">
        <f t="shared" si="6"/>
        <v>0</v>
      </c>
      <c r="Q6" s="206">
        <f t="shared" si="6"/>
        <v>0</v>
      </c>
      <c r="R6" s="206">
        <f t="shared" si="6"/>
        <v>0</v>
      </c>
      <c r="S6" s="206">
        <f t="shared" si="6"/>
        <v>0</v>
      </c>
      <c r="T6" s="206">
        <f t="shared" si="6"/>
        <v>0</v>
      </c>
      <c r="U6" s="206">
        <f t="shared" si="6"/>
        <v>0</v>
      </c>
      <c r="V6" s="206">
        <f t="shared" si="6"/>
        <v>0</v>
      </c>
      <c r="W6" s="206">
        <f t="shared" si="6"/>
        <v>0</v>
      </c>
      <c r="X6" s="206">
        <f t="shared" si="6"/>
        <v>0</v>
      </c>
      <c r="Y6" s="206">
        <f t="shared" si="6"/>
        <v>0</v>
      </c>
      <c r="Z6" s="206">
        <f t="shared" si="6"/>
        <v>0</v>
      </c>
      <c r="AA6" s="206">
        <f t="shared" si="6"/>
        <v>0</v>
      </c>
      <c r="AB6" s="206">
        <f t="shared" si="6"/>
        <v>0</v>
      </c>
      <c r="AC6" s="206">
        <f t="shared" si="6"/>
        <v>0</v>
      </c>
      <c r="AD6" s="206">
        <f t="shared" si="6"/>
        <v>0</v>
      </c>
      <c r="AE6" s="206">
        <f t="shared" si="6"/>
        <v>0</v>
      </c>
      <c r="AF6" s="206">
        <f t="shared" si="6"/>
        <v>0</v>
      </c>
      <c r="AG6" s="206">
        <f t="shared" si="6"/>
        <v>0</v>
      </c>
      <c r="AH6" s="206">
        <f t="shared" si="6"/>
        <v>0</v>
      </c>
      <c r="AI6" s="206">
        <f t="shared" si="6"/>
        <v>0</v>
      </c>
      <c r="AJ6" s="206">
        <f t="shared" si="6"/>
        <v>0</v>
      </c>
      <c r="AK6" s="206">
        <f t="shared" si="6"/>
        <v>0</v>
      </c>
      <c r="AL6" s="206">
        <f t="shared" si="6"/>
        <v>0</v>
      </c>
      <c r="AM6" s="206">
        <f t="shared" si="6"/>
        <v>0</v>
      </c>
      <c r="AN6" s="206">
        <f t="shared" si="6"/>
        <v>0</v>
      </c>
      <c r="AO6" s="206">
        <f t="shared" si="6"/>
        <v>0</v>
      </c>
      <c r="AP6" s="206">
        <f t="shared" si="6"/>
        <v>0</v>
      </c>
      <c r="AQ6" s="206">
        <f t="shared" si="6"/>
        <v>0</v>
      </c>
      <c r="AR6" s="206">
        <f t="shared" si="6"/>
        <v>0</v>
      </c>
      <c r="AS6" s="206">
        <f t="shared" si="6"/>
        <v>0</v>
      </c>
      <c r="AT6" s="206">
        <f t="shared" si="6"/>
        <v>0</v>
      </c>
      <c r="AU6" s="206">
        <f t="shared" si="6"/>
        <v>0</v>
      </c>
      <c r="AV6" s="206">
        <f t="shared" si="6"/>
        <v>0</v>
      </c>
      <c r="AW6" s="206">
        <f t="shared" si="6"/>
        <v>0</v>
      </c>
      <c r="AX6" s="206">
        <f t="shared" si="6"/>
        <v>0</v>
      </c>
      <c r="AY6" s="206">
        <f t="shared" si="6"/>
        <v>0</v>
      </c>
      <c r="AZ6" s="206">
        <f t="shared" si="6"/>
        <v>0</v>
      </c>
      <c r="BA6" s="206">
        <f t="shared" si="6"/>
        <v>0</v>
      </c>
      <c r="BB6" s="206">
        <f t="shared" si="6"/>
        <v>0</v>
      </c>
      <c r="BC6" s="206">
        <f t="shared" si="6"/>
        <v>0</v>
      </c>
      <c r="BD6" s="206">
        <f t="shared" si="6"/>
        <v>0</v>
      </c>
      <c r="BE6" s="206">
        <f t="shared" si="6"/>
        <v>0</v>
      </c>
      <c r="BF6" s="206">
        <f t="shared" si="6"/>
        <v>0</v>
      </c>
      <c r="BG6" s="206">
        <f t="shared" si="6"/>
        <v>0</v>
      </c>
      <c r="BH6" s="206">
        <f t="shared" si="6"/>
        <v>0</v>
      </c>
      <c r="BI6" s="206">
        <f t="shared" si="6"/>
        <v>0</v>
      </c>
    </row>
    <row r="7" spans="1:61" ht="12.75" x14ac:dyDescent="0.2">
      <c r="A7" s="6"/>
      <c r="B7" s="15" t="s">
        <v>145</v>
      </c>
      <c r="C7" s="15" t="s">
        <v>146</v>
      </c>
      <c r="D7" s="15" t="str">
        <f t="shared" ref="D7:D31" si="7">$B$6</f>
        <v>Engineering</v>
      </c>
      <c r="E7" s="190">
        <f>280000*0.75</f>
        <v>210000</v>
      </c>
      <c r="F7" s="191">
        <v>43586</v>
      </c>
      <c r="G7" s="191"/>
      <c r="H7" s="192">
        <v>0.09</v>
      </c>
      <c r="I7" s="193">
        <f t="shared" ref="I7:I31" si="8">0.04*E7/12</f>
        <v>700</v>
      </c>
      <c r="J7" s="193">
        <v>500</v>
      </c>
      <c r="K7" s="206">
        <f t="shared" si="3"/>
        <v>1200</v>
      </c>
      <c r="L7" s="6"/>
      <c r="M7" s="6"/>
      <c r="N7" s="206">
        <f t="shared" ref="N7:BI7" si="9">IF($F7=0,0, IF(AND(N$1&gt;=$G7,$G7&lt;&gt;0),0,IF(N$1&gt;=$F7,$E7/12,0)))</f>
        <v>17500</v>
      </c>
      <c r="O7" s="206">
        <f t="shared" si="9"/>
        <v>17500</v>
      </c>
      <c r="P7" s="206">
        <f t="shared" si="9"/>
        <v>17500</v>
      </c>
      <c r="Q7" s="206">
        <f t="shared" si="9"/>
        <v>17500</v>
      </c>
      <c r="R7" s="206">
        <f t="shared" si="9"/>
        <v>17500</v>
      </c>
      <c r="S7" s="206">
        <f t="shared" si="9"/>
        <v>17500</v>
      </c>
      <c r="T7" s="206">
        <f t="shared" si="9"/>
        <v>17500</v>
      </c>
      <c r="U7" s="206">
        <f t="shared" si="9"/>
        <v>17500</v>
      </c>
      <c r="V7" s="206">
        <f t="shared" si="9"/>
        <v>17500</v>
      </c>
      <c r="W7" s="206">
        <f t="shared" si="9"/>
        <v>17500</v>
      </c>
      <c r="X7" s="206">
        <f t="shared" si="9"/>
        <v>17500</v>
      </c>
      <c r="Y7" s="206">
        <f t="shared" si="9"/>
        <v>17500</v>
      </c>
      <c r="Z7" s="206">
        <f t="shared" si="9"/>
        <v>17500</v>
      </c>
      <c r="AA7" s="206">
        <f t="shared" si="9"/>
        <v>17500</v>
      </c>
      <c r="AB7" s="206">
        <f t="shared" si="9"/>
        <v>17500</v>
      </c>
      <c r="AC7" s="206">
        <f t="shared" si="9"/>
        <v>17500</v>
      </c>
      <c r="AD7" s="206">
        <f t="shared" si="9"/>
        <v>17500</v>
      </c>
      <c r="AE7" s="206">
        <f t="shared" si="9"/>
        <v>17500</v>
      </c>
      <c r="AF7" s="206">
        <f t="shared" si="9"/>
        <v>17500</v>
      </c>
      <c r="AG7" s="206">
        <f t="shared" si="9"/>
        <v>17500</v>
      </c>
      <c r="AH7" s="206">
        <f t="shared" si="9"/>
        <v>17500</v>
      </c>
      <c r="AI7" s="206">
        <f t="shared" si="9"/>
        <v>17500</v>
      </c>
      <c r="AJ7" s="206">
        <f t="shared" si="9"/>
        <v>17500</v>
      </c>
      <c r="AK7" s="206">
        <f t="shared" si="9"/>
        <v>17500</v>
      </c>
      <c r="AL7" s="206">
        <f t="shared" si="9"/>
        <v>17500</v>
      </c>
      <c r="AM7" s="206">
        <f t="shared" si="9"/>
        <v>17500</v>
      </c>
      <c r="AN7" s="206">
        <f t="shared" si="9"/>
        <v>17500</v>
      </c>
      <c r="AO7" s="206">
        <f t="shared" si="9"/>
        <v>17500</v>
      </c>
      <c r="AP7" s="206">
        <f t="shared" si="9"/>
        <v>17500</v>
      </c>
      <c r="AQ7" s="206">
        <f t="shared" si="9"/>
        <v>17500</v>
      </c>
      <c r="AR7" s="206">
        <f t="shared" si="9"/>
        <v>17500</v>
      </c>
      <c r="AS7" s="206">
        <f t="shared" si="9"/>
        <v>17500</v>
      </c>
      <c r="AT7" s="206">
        <f t="shared" si="9"/>
        <v>17500</v>
      </c>
      <c r="AU7" s="206">
        <f t="shared" si="9"/>
        <v>17500</v>
      </c>
      <c r="AV7" s="206">
        <f t="shared" si="9"/>
        <v>17500</v>
      </c>
      <c r="AW7" s="206">
        <f t="shared" si="9"/>
        <v>17500</v>
      </c>
      <c r="AX7" s="206">
        <f t="shared" si="9"/>
        <v>17500</v>
      </c>
      <c r="AY7" s="206">
        <f t="shared" si="9"/>
        <v>17500</v>
      </c>
      <c r="AZ7" s="206">
        <f t="shared" si="9"/>
        <v>17500</v>
      </c>
      <c r="BA7" s="206">
        <f t="shared" si="9"/>
        <v>17500</v>
      </c>
      <c r="BB7" s="206">
        <f t="shared" si="9"/>
        <v>17500</v>
      </c>
      <c r="BC7" s="206">
        <f t="shared" si="9"/>
        <v>17500</v>
      </c>
      <c r="BD7" s="206">
        <f t="shared" si="9"/>
        <v>17500</v>
      </c>
      <c r="BE7" s="206">
        <f t="shared" si="9"/>
        <v>17500</v>
      </c>
      <c r="BF7" s="206">
        <f t="shared" si="9"/>
        <v>17500</v>
      </c>
      <c r="BG7" s="206">
        <f t="shared" si="9"/>
        <v>17500</v>
      </c>
      <c r="BH7" s="206">
        <f t="shared" si="9"/>
        <v>17500</v>
      </c>
      <c r="BI7" s="206">
        <f t="shared" si="9"/>
        <v>17500</v>
      </c>
    </row>
    <row r="8" spans="1:61" ht="12.75" x14ac:dyDescent="0.2">
      <c r="A8" s="189"/>
      <c r="B8" s="15" t="s">
        <v>187</v>
      </c>
      <c r="C8" s="15" t="s">
        <v>148</v>
      </c>
      <c r="D8" s="15" t="str">
        <f t="shared" si="7"/>
        <v>Engineering</v>
      </c>
      <c r="E8" s="190">
        <f>250000*0.75</f>
        <v>187500</v>
      </c>
      <c r="F8" s="191">
        <v>43556</v>
      </c>
      <c r="G8" s="191"/>
      <c r="H8" s="192">
        <v>0.09</v>
      </c>
      <c r="I8" s="193">
        <f t="shared" si="8"/>
        <v>625</v>
      </c>
      <c r="J8" s="193">
        <v>500</v>
      </c>
      <c r="K8" s="206">
        <f t="shared" si="3"/>
        <v>1125</v>
      </c>
      <c r="L8" s="6"/>
      <c r="M8" s="6"/>
      <c r="N8" s="206">
        <f t="shared" ref="N8:BI8" si="10">IF($F8=0,0, IF(AND(N$1&gt;=$G8,$G8&lt;&gt;0),0,IF(N$1&gt;=$F8,$E8/12,0)))</f>
        <v>15625</v>
      </c>
      <c r="O8" s="206">
        <f t="shared" si="10"/>
        <v>15625</v>
      </c>
      <c r="P8" s="206">
        <f t="shared" si="10"/>
        <v>15625</v>
      </c>
      <c r="Q8" s="206">
        <f t="shared" si="10"/>
        <v>15625</v>
      </c>
      <c r="R8" s="206">
        <f t="shared" si="10"/>
        <v>15625</v>
      </c>
      <c r="S8" s="206">
        <f t="shared" si="10"/>
        <v>15625</v>
      </c>
      <c r="T8" s="206">
        <f t="shared" si="10"/>
        <v>15625</v>
      </c>
      <c r="U8" s="206">
        <f t="shared" si="10"/>
        <v>15625</v>
      </c>
      <c r="V8" s="206">
        <f t="shared" si="10"/>
        <v>15625</v>
      </c>
      <c r="W8" s="206">
        <f t="shared" si="10"/>
        <v>15625</v>
      </c>
      <c r="X8" s="206">
        <f t="shared" si="10"/>
        <v>15625</v>
      </c>
      <c r="Y8" s="206">
        <f t="shared" si="10"/>
        <v>15625</v>
      </c>
      <c r="Z8" s="206">
        <f t="shared" si="10"/>
        <v>15625</v>
      </c>
      <c r="AA8" s="206">
        <f t="shared" si="10"/>
        <v>15625</v>
      </c>
      <c r="AB8" s="206">
        <f t="shared" si="10"/>
        <v>15625</v>
      </c>
      <c r="AC8" s="206">
        <f t="shared" si="10"/>
        <v>15625</v>
      </c>
      <c r="AD8" s="206">
        <f t="shared" si="10"/>
        <v>15625</v>
      </c>
      <c r="AE8" s="206">
        <f t="shared" si="10"/>
        <v>15625</v>
      </c>
      <c r="AF8" s="206">
        <f t="shared" si="10"/>
        <v>15625</v>
      </c>
      <c r="AG8" s="206">
        <f t="shared" si="10"/>
        <v>15625</v>
      </c>
      <c r="AH8" s="206">
        <f t="shared" si="10"/>
        <v>15625</v>
      </c>
      <c r="AI8" s="206">
        <f t="shared" si="10"/>
        <v>15625</v>
      </c>
      <c r="AJ8" s="206">
        <f t="shared" si="10"/>
        <v>15625</v>
      </c>
      <c r="AK8" s="206">
        <f t="shared" si="10"/>
        <v>15625</v>
      </c>
      <c r="AL8" s="206">
        <f t="shared" si="10"/>
        <v>15625</v>
      </c>
      <c r="AM8" s="206">
        <f t="shared" si="10"/>
        <v>15625</v>
      </c>
      <c r="AN8" s="206">
        <f t="shared" si="10"/>
        <v>15625</v>
      </c>
      <c r="AO8" s="206">
        <f t="shared" si="10"/>
        <v>15625</v>
      </c>
      <c r="AP8" s="206">
        <f t="shared" si="10"/>
        <v>15625</v>
      </c>
      <c r="AQ8" s="206">
        <f t="shared" si="10"/>
        <v>15625</v>
      </c>
      <c r="AR8" s="206">
        <f t="shared" si="10"/>
        <v>15625</v>
      </c>
      <c r="AS8" s="206">
        <f t="shared" si="10"/>
        <v>15625</v>
      </c>
      <c r="AT8" s="206">
        <f t="shared" si="10"/>
        <v>15625</v>
      </c>
      <c r="AU8" s="206">
        <f t="shared" si="10"/>
        <v>15625</v>
      </c>
      <c r="AV8" s="206">
        <f t="shared" si="10"/>
        <v>15625</v>
      </c>
      <c r="AW8" s="206">
        <f t="shared" si="10"/>
        <v>15625</v>
      </c>
      <c r="AX8" s="206">
        <f t="shared" si="10"/>
        <v>15625</v>
      </c>
      <c r="AY8" s="206">
        <f t="shared" si="10"/>
        <v>15625</v>
      </c>
      <c r="AZ8" s="206">
        <f t="shared" si="10"/>
        <v>15625</v>
      </c>
      <c r="BA8" s="206">
        <f t="shared" si="10"/>
        <v>15625</v>
      </c>
      <c r="BB8" s="206">
        <f t="shared" si="10"/>
        <v>15625</v>
      </c>
      <c r="BC8" s="206">
        <f t="shared" si="10"/>
        <v>15625</v>
      </c>
      <c r="BD8" s="206">
        <f t="shared" si="10"/>
        <v>15625</v>
      </c>
      <c r="BE8" s="206">
        <f t="shared" si="10"/>
        <v>15625</v>
      </c>
      <c r="BF8" s="206">
        <f t="shared" si="10"/>
        <v>15625</v>
      </c>
      <c r="BG8" s="206">
        <f t="shared" si="10"/>
        <v>15625</v>
      </c>
      <c r="BH8" s="206">
        <f t="shared" si="10"/>
        <v>15625</v>
      </c>
      <c r="BI8" s="206">
        <f t="shared" si="10"/>
        <v>15625</v>
      </c>
    </row>
    <row r="9" spans="1:61" ht="12.75" x14ac:dyDescent="0.2">
      <c r="A9" s="6"/>
      <c r="B9" s="15" t="s">
        <v>149</v>
      </c>
      <c r="C9" s="15" t="s">
        <v>150</v>
      </c>
      <c r="D9" s="15" t="str">
        <f t="shared" si="7"/>
        <v>Engineering</v>
      </c>
      <c r="E9" s="193">
        <v>175000</v>
      </c>
      <c r="F9" s="191">
        <v>43221</v>
      </c>
      <c r="G9" s="191"/>
      <c r="H9" s="192">
        <v>0.09</v>
      </c>
      <c r="I9" s="193">
        <f t="shared" si="8"/>
        <v>583.33333333333337</v>
      </c>
      <c r="J9" s="193">
        <v>500</v>
      </c>
      <c r="K9" s="206">
        <f t="shared" si="3"/>
        <v>1083.3333333333335</v>
      </c>
      <c r="L9" s="6"/>
      <c r="M9" s="6"/>
      <c r="N9" s="206">
        <f t="shared" ref="N9:BI9" si="11">IF($F9=0,0, IF(AND(N$1&gt;=$G9,$G9&lt;&gt;0),0,IF(N$1&gt;=$F9,$E9/12,0)))</f>
        <v>14583.333333333334</v>
      </c>
      <c r="O9" s="206">
        <f t="shared" si="11"/>
        <v>14583.333333333334</v>
      </c>
      <c r="P9" s="206">
        <f t="shared" si="11"/>
        <v>14583.333333333334</v>
      </c>
      <c r="Q9" s="206">
        <f t="shared" si="11"/>
        <v>14583.333333333334</v>
      </c>
      <c r="R9" s="206">
        <f t="shared" si="11"/>
        <v>14583.333333333334</v>
      </c>
      <c r="S9" s="206">
        <f t="shared" si="11"/>
        <v>14583.333333333334</v>
      </c>
      <c r="T9" s="206">
        <f t="shared" si="11"/>
        <v>14583.333333333334</v>
      </c>
      <c r="U9" s="206">
        <f t="shared" si="11"/>
        <v>14583.333333333334</v>
      </c>
      <c r="V9" s="206">
        <f t="shared" si="11"/>
        <v>14583.333333333334</v>
      </c>
      <c r="W9" s="206">
        <f t="shared" si="11"/>
        <v>14583.333333333334</v>
      </c>
      <c r="X9" s="206">
        <f t="shared" si="11"/>
        <v>14583.333333333334</v>
      </c>
      <c r="Y9" s="206">
        <f t="shared" si="11"/>
        <v>14583.333333333334</v>
      </c>
      <c r="Z9" s="206">
        <f t="shared" si="11"/>
        <v>14583.333333333334</v>
      </c>
      <c r="AA9" s="206">
        <f t="shared" si="11"/>
        <v>14583.333333333334</v>
      </c>
      <c r="AB9" s="206">
        <f t="shared" si="11"/>
        <v>14583.333333333334</v>
      </c>
      <c r="AC9" s="206">
        <f t="shared" si="11"/>
        <v>14583.333333333334</v>
      </c>
      <c r="AD9" s="206">
        <f t="shared" si="11"/>
        <v>14583.333333333334</v>
      </c>
      <c r="AE9" s="206">
        <f t="shared" si="11"/>
        <v>14583.333333333334</v>
      </c>
      <c r="AF9" s="206">
        <f t="shared" si="11"/>
        <v>14583.333333333334</v>
      </c>
      <c r="AG9" s="206">
        <f t="shared" si="11"/>
        <v>14583.333333333334</v>
      </c>
      <c r="AH9" s="206">
        <f t="shared" si="11"/>
        <v>14583.333333333334</v>
      </c>
      <c r="AI9" s="206">
        <f t="shared" si="11"/>
        <v>14583.333333333334</v>
      </c>
      <c r="AJ9" s="206">
        <f t="shared" si="11"/>
        <v>14583.333333333334</v>
      </c>
      <c r="AK9" s="206">
        <f t="shared" si="11"/>
        <v>14583.333333333334</v>
      </c>
      <c r="AL9" s="206">
        <f t="shared" si="11"/>
        <v>14583.333333333334</v>
      </c>
      <c r="AM9" s="206">
        <f t="shared" si="11"/>
        <v>14583.333333333334</v>
      </c>
      <c r="AN9" s="206">
        <f t="shared" si="11"/>
        <v>14583.333333333334</v>
      </c>
      <c r="AO9" s="206">
        <f t="shared" si="11"/>
        <v>14583.333333333334</v>
      </c>
      <c r="AP9" s="206">
        <f t="shared" si="11"/>
        <v>14583.333333333334</v>
      </c>
      <c r="AQ9" s="206">
        <f t="shared" si="11"/>
        <v>14583.333333333334</v>
      </c>
      <c r="AR9" s="206">
        <f t="shared" si="11"/>
        <v>14583.333333333334</v>
      </c>
      <c r="AS9" s="206">
        <f t="shared" si="11"/>
        <v>14583.333333333334</v>
      </c>
      <c r="AT9" s="206">
        <f t="shared" si="11"/>
        <v>14583.333333333334</v>
      </c>
      <c r="AU9" s="206">
        <f t="shared" si="11"/>
        <v>14583.333333333334</v>
      </c>
      <c r="AV9" s="206">
        <f t="shared" si="11"/>
        <v>14583.333333333334</v>
      </c>
      <c r="AW9" s="206">
        <f t="shared" si="11"/>
        <v>14583.333333333334</v>
      </c>
      <c r="AX9" s="206">
        <f t="shared" si="11"/>
        <v>14583.333333333334</v>
      </c>
      <c r="AY9" s="206">
        <f t="shared" si="11"/>
        <v>14583.333333333334</v>
      </c>
      <c r="AZ9" s="206">
        <f t="shared" si="11"/>
        <v>14583.333333333334</v>
      </c>
      <c r="BA9" s="206">
        <f t="shared" si="11"/>
        <v>14583.333333333334</v>
      </c>
      <c r="BB9" s="206">
        <f t="shared" si="11"/>
        <v>14583.333333333334</v>
      </c>
      <c r="BC9" s="206">
        <f t="shared" si="11"/>
        <v>14583.333333333334</v>
      </c>
      <c r="BD9" s="206">
        <f t="shared" si="11"/>
        <v>14583.333333333334</v>
      </c>
      <c r="BE9" s="206">
        <f t="shared" si="11"/>
        <v>14583.333333333334</v>
      </c>
      <c r="BF9" s="206">
        <f t="shared" si="11"/>
        <v>14583.333333333334</v>
      </c>
      <c r="BG9" s="206">
        <f t="shared" si="11"/>
        <v>14583.333333333334</v>
      </c>
      <c r="BH9" s="206">
        <f t="shared" si="11"/>
        <v>14583.333333333334</v>
      </c>
      <c r="BI9" s="206">
        <f t="shared" si="11"/>
        <v>14583.333333333334</v>
      </c>
    </row>
    <row r="10" spans="1:61" ht="12.75" x14ac:dyDescent="0.2">
      <c r="A10" s="189"/>
      <c r="B10" s="15" t="s">
        <v>151</v>
      </c>
      <c r="C10" s="6" t="s">
        <v>152</v>
      </c>
      <c r="D10" s="15" t="str">
        <f t="shared" si="7"/>
        <v>Engineering</v>
      </c>
      <c r="E10" s="193">
        <v>160000</v>
      </c>
      <c r="F10" s="191">
        <v>42798</v>
      </c>
      <c r="G10" s="191"/>
      <c r="H10" s="192">
        <v>0.09</v>
      </c>
      <c r="I10" s="193">
        <f t="shared" si="8"/>
        <v>533.33333333333337</v>
      </c>
      <c r="J10" s="193">
        <v>500</v>
      </c>
      <c r="K10" s="206">
        <f t="shared" si="3"/>
        <v>1033.3333333333335</v>
      </c>
      <c r="L10" s="6"/>
      <c r="M10" s="6"/>
      <c r="N10" s="206">
        <f t="shared" ref="N10:BI10" si="12">IF($F10=0,0, IF(AND(N$1&gt;=$G10,$G10&lt;&gt;0),0,IF(N$1&gt;=$F10,$E10/12,0)))</f>
        <v>13333.333333333334</v>
      </c>
      <c r="O10" s="206">
        <f t="shared" si="12"/>
        <v>13333.333333333334</v>
      </c>
      <c r="P10" s="206">
        <f t="shared" si="12"/>
        <v>13333.333333333334</v>
      </c>
      <c r="Q10" s="206">
        <f t="shared" si="12"/>
        <v>13333.333333333334</v>
      </c>
      <c r="R10" s="206">
        <f t="shared" si="12"/>
        <v>13333.333333333334</v>
      </c>
      <c r="S10" s="206">
        <f t="shared" si="12"/>
        <v>13333.333333333334</v>
      </c>
      <c r="T10" s="206">
        <f t="shared" si="12"/>
        <v>13333.333333333334</v>
      </c>
      <c r="U10" s="206">
        <f t="shared" si="12"/>
        <v>13333.333333333334</v>
      </c>
      <c r="V10" s="206">
        <f t="shared" si="12"/>
        <v>13333.333333333334</v>
      </c>
      <c r="W10" s="206">
        <f t="shared" si="12"/>
        <v>13333.333333333334</v>
      </c>
      <c r="X10" s="206">
        <f t="shared" si="12"/>
        <v>13333.333333333334</v>
      </c>
      <c r="Y10" s="206">
        <f t="shared" si="12"/>
        <v>13333.333333333334</v>
      </c>
      <c r="Z10" s="206">
        <f t="shared" si="12"/>
        <v>13333.333333333334</v>
      </c>
      <c r="AA10" s="206">
        <f t="shared" si="12"/>
        <v>13333.333333333334</v>
      </c>
      <c r="AB10" s="206">
        <f t="shared" si="12"/>
        <v>13333.333333333334</v>
      </c>
      <c r="AC10" s="206">
        <f t="shared" si="12"/>
        <v>13333.333333333334</v>
      </c>
      <c r="AD10" s="206">
        <f t="shared" si="12"/>
        <v>13333.333333333334</v>
      </c>
      <c r="AE10" s="206">
        <f t="shared" si="12"/>
        <v>13333.333333333334</v>
      </c>
      <c r="AF10" s="206">
        <f t="shared" si="12"/>
        <v>13333.333333333334</v>
      </c>
      <c r="AG10" s="206">
        <f t="shared" si="12"/>
        <v>13333.333333333334</v>
      </c>
      <c r="AH10" s="206">
        <f t="shared" si="12"/>
        <v>13333.333333333334</v>
      </c>
      <c r="AI10" s="206">
        <f t="shared" si="12"/>
        <v>13333.333333333334</v>
      </c>
      <c r="AJ10" s="206">
        <f t="shared" si="12"/>
        <v>13333.333333333334</v>
      </c>
      <c r="AK10" s="206">
        <f t="shared" si="12"/>
        <v>13333.333333333334</v>
      </c>
      <c r="AL10" s="206">
        <f t="shared" si="12"/>
        <v>13333.333333333334</v>
      </c>
      <c r="AM10" s="206">
        <f t="shared" si="12"/>
        <v>13333.333333333334</v>
      </c>
      <c r="AN10" s="206">
        <f t="shared" si="12"/>
        <v>13333.333333333334</v>
      </c>
      <c r="AO10" s="206">
        <f t="shared" si="12"/>
        <v>13333.333333333334</v>
      </c>
      <c r="AP10" s="206">
        <f t="shared" si="12"/>
        <v>13333.333333333334</v>
      </c>
      <c r="AQ10" s="206">
        <f t="shared" si="12"/>
        <v>13333.333333333334</v>
      </c>
      <c r="AR10" s="206">
        <f t="shared" si="12"/>
        <v>13333.333333333334</v>
      </c>
      <c r="AS10" s="206">
        <f t="shared" si="12"/>
        <v>13333.333333333334</v>
      </c>
      <c r="AT10" s="206">
        <f t="shared" si="12"/>
        <v>13333.333333333334</v>
      </c>
      <c r="AU10" s="206">
        <f t="shared" si="12"/>
        <v>13333.333333333334</v>
      </c>
      <c r="AV10" s="206">
        <f t="shared" si="12"/>
        <v>13333.333333333334</v>
      </c>
      <c r="AW10" s="206">
        <f t="shared" si="12"/>
        <v>13333.333333333334</v>
      </c>
      <c r="AX10" s="206">
        <f t="shared" si="12"/>
        <v>13333.333333333334</v>
      </c>
      <c r="AY10" s="206">
        <f t="shared" si="12"/>
        <v>13333.333333333334</v>
      </c>
      <c r="AZ10" s="206">
        <f t="shared" si="12"/>
        <v>13333.333333333334</v>
      </c>
      <c r="BA10" s="206">
        <f t="shared" si="12"/>
        <v>13333.333333333334</v>
      </c>
      <c r="BB10" s="206">
        <f t="shared" si="12"/>
        <v>13333.333333333334</v>
      </c>
      <c r="BC10" s="206">
        <f t="shared" si="12"/>
        <v>13333.333333333334</v>
      </c>
      <c r="BD10" s="206">
        <f t="shared" si="12"/>
        <v>13333.333333333334</v>
      </c>
      <c r="BE10" s="206">
        <f t="shared" si="12"/>
        <v>13333.333333333334</v>
      </c>
      <c r="BF10" s="206">
        <f t="shared" si="12"/>
        <v>13333.333333333334</v>
      </c>
      <c r="BG10" s="206">
        <f t="shared" si="12"/>
        <v>13333.333333333334</v>
      </c>
      <c r="BH10" s="206">
        <f t="shared" si="12"/>
        <v>13333.333333333334</v>
      </c>
      <c r="BI10" s="206">
        <f t="shared" si="12"/>
        <v>13333.333333333334</v>
      </c>
    </row>
    <row r="11" spans="1:61" ht="12.75" x14ac:dyDescent="0.2">
      <c r="A11" s="189"/>
      <c r="B11" s="15" t="s">
        <v>153</v>
      </c>
      <c r="C11" s="6" t="s">
        <v>154</v>
      </c>
      <c r="D11" s="15" t="str">
        <f t="shared" si="7"/>
        <v>Engineering</v>
      </c>
      <c r="E11" s="193">
        <v>175000</v>
      </c>
      <c r="F11" s="191">
        <v>43101</v>
      </c>
      <c r="G11" s="191"/>
      <c r="H11" s="192">
        <v>0.09</v>
      </c>
      <c r="I11" s="193">
        <f t="shared" si="8"/>
        <v>583.33333333333337</v>
      </c>
      <c r="J11" s="193">
        <v>500</v>
      </c>
      <c r="K11" s="206">
        <f t="shared" si="3"/>
        <v>1083.3333333333335</v>
      </c>
      <c r="L11" s="6"/>
      <c r="M11" s="6"/>
      <c r="N11" s="206">
        <f t="shared" ref="N11:BI11" si="13">IF($F11=0,0, IF(AND(N$1&gt;=$G11,$G11&lt;&gt;0),0,IF(N$1&gt;=$F11,$E11/12,0)))</f>
        <v>14583.333333333334</v>
      </c>
      <c r="O11" s="206">
        <f t="shared" si="13"/>
        <v>14583.333333333334</v>
      </c>
      <c r="P11" s="206">
        <f t="shared" si="13"/>
        <v>14583.333333333334</v>
      </c>
      <c r="Q11" s="206">
        <f t="shared" si="13"/>
        <v>14583.333333333334</v>
      </c>
      <c r="R11" s="206">
        <f t="shared" si="13"/>
        <v>14583.333333333334</v>
      </c>
      <c r="S11" s="206">
        <f t="shared" si="13"/>
        <v>14583.333333333334</v>
      </c>
      <c r="T11" s="206">
        <f t="shared" si="13"/>
        <v>14583.333333333334</v>
      </c>
      <c r="U11" s="206">
        <f t="shared" si="13"/>
        <v>14583.333333333334</v>
      </c>
      <c r="V11" s="206">
        <f t="shared" si="13"/>
        <v>14583.333333333334</v>
      </c>
      <c r="W11" s="206">
        <f t="shared" si="13"/>
        <v>14583.333333333334</v>
      </c>
      <c r="X11" s="206">
        <f t="shared" si="13"/>
        <v>14583.333333333334</v>
      </c>
      <c r="Y11" s="206">
        <f t="shared" si="13"/>
        <v>14583.333333333334</v>
      </c>
      <c r="Z11" s="206">
        <f t="shared" si="13"/>
        <v>14583.333333333334</v>
      </c>
      <c r="AA11" s="206">
        <f t="shared" si="13"/>
        <v>14583.333333333334</v>
      </c>
      <c r="AB11" s="206">
        <f t="shared" si="13"/>
        <v>14583.333333333334</v>
      </c>
      <c r="AC11" s="206">
        <f t="shared" si="13"/>
        <v>14583.333333333334</v>
      </c>
      <c r="AD11" s="206">
        <f t="shared" si="13"/>
        <v>14583.333333333334</v>
      </c>
      <c r="AE11" s="206">
        <f t="shared" si="13"/>
        <v>14583.333333333334</v>
      </c>
      <c r="AF11" s="206">
        <f t="shared" si="13"/>
        <v>14583.333333333334</v>
      </c>
      <c r="AG11" s="206">
        <f t="shared" si="13"/>
        <v>14583.333333333334</v>
      </c>
      <c r="AH11" s="206">
        <f t="shared" si="13"/>
        <v>14583.333333333334</v>
      </c>
      <c r="AI11" s="206">
        <f t="shared" si="13"/>
        <v>14583.333333333334</v>
      </c>
      <c r="AJ11" s="206">
        <f t="shared" si="13"/>
        <v>14583.333333333334</v>
      </c>
      <c r="AK11" s="206">
        <f t="shared" si="13"/>
        <v>14583.333333333334</v>
      </c>
      <c r="AL11" s="206">
        <f t="shared" si="13"/>
        <v>14583.333333333334</v>
      </c>
      <c r="AM11" s="206">
        <f t="shared" si="13"/>
        <v>14583.333333333334</v>
      </c>
      <c r="AN11" s="206">
        <f t="shared" si="13"/>
        <v>14583.333333333334</v>
      </c>
      <c r="AO11" s="206">
        <f t="shared" si="13"/>
        <v>14583.333333333334</v>
      </c>
      <c r="AP11" s="206">
        <f t="shared" si="13"/>
        <v>14583.333333333334</v>
      </c>
      <c r="AQ11" s="206">
        <f t="shared" si="13"/>
        <v>14583.333333333334</v>
      </c>
      <c r="AR11" s="206">
        <f t="shared" si="13"/>
        <v>14583.333333333334</v>
      </c>
      <c r="AS11" s="206">
        <f t="shared" si="13"/>
        <v>14583.333333333334</v>
      </c>
      <c r="AT11" s="206">
        <f t="shared" si="13"/>
        <v>14583.333333333334</v>
      </c>
      <c r="AU11" s="206">
        <f t="shared" si="13"/>
        <v>14583.333333333334</v>
      </c>
      <c r="AV11" s="206">
        <f t="shared" si="13"/>
        <v>14583.333333333334</v>
      </c>
      <c r="AW11" s="206">
        <f t="shared" si="13"/>
        <v>14583.333333333334</v>
      </c>
      <c r="AX11" s="206">
        <f t="shared" si="13"/>
        <v>14583.333333333334</v>
      </c>
      <c r="AY11" s="206">
        <f t="shared" si="13"/>
        <v>14583.333333333334</v>
      </c>
      <c r="AZ11" s="206">
        <f t="shared" si="13"/>
        <v>14583.333333333334</v>
      </c>
      <c r="BA11" s="206">
        <f t="shared" si="13"/>
        <v>14583.333333333334</v>
      </c>
      <c r="BB11" s="206">
        <f t="shared" si="13"/>
        <v>14583.333333333334</v>
      </c>
      <c r="BC11" s="206">
        <f t="shared" si="13"/>
        <v>14583.333333333334</v>
      </c>
      <c r="BD11" s="206">
        <f t="shared" si="13"/>
        <v>14583.333333333334</v>
      </c>
      <c r="BE11" s="206">
        <f t="shared" si="13"/>
        <v>14583.333333333334</v>
      </c>
      <c r="BF11" s="206">
        <f t="shared" si="13"/>
        <v>14583.333333333334</v>
      </c>
      <c r="BG11" s="206">
        <f t="shared" si="13"/>
        <v>14583.333333333334</v>
      </c>
      <c r="BH11" s="206">
        <f t="shared" si="13"/>
        <v>14583.333333333334</v>
      </c>
      <c r="BI11" s="206">
        <f t="shared" si="13"/>
        <v>14583.333333333334</v>
      </c>
    </row>
    <row r="12" spans="1:61" ht="12.75" x14ac:dyDescent="0.2">
      <c r="A12" s="189"/>
      <c r="B12" s="15" t="s">
        <v>155</v>
      </c>
      <c r="C12" s="15" t="s">
        <v>156</v>
      </c>
      <c r="D12" s="15" t="str">
        <f t="shared" si="7"/>
        <v>Engineering</v>
      </c>
      <c r="E12" s="193">
        <v>210000</v>
      </c>
      <c r="F12" s="191">
        <v>43497</v>
      </c>
      <c r="G12" s="191"/>
      <c r="H12" s="192">
        <v>0.09</v>
      </c>
      <c r="I12" s="193">
        <f t="shared" si="8"/>
        <v>700</v>
      </c>
      <c r="J12" s="193">
        <v>500</v>
      </c>
      <c r="K12" s="206">
        <f t="shared" si="3"/>
        <v>1200</v>
      </c>
      <c r="L12" s="6"/>
      <c r="M12" s="6"/>
      <c r="N12" s="206">
        <f t="shared" ref="N12:BI12" si="14">IF($F12=0,0, IF(AND(N$1&gt;=$G12,$G12&lt;&gt;0),0,IF(N$1&gt;=$F12,$E12/12,0)))</f>
        <v>17500</v>
      </c>
      <c r="O12" s="206">
        <f t="shared" si="14"/>
        <v>17500</v>
      </c>
      <c r="P12" s="206">
        <f t="shared" si="14"/>
        <v>17500</v>
      </c>
      <c r="Q12" s="206">
        <f t="shared" si="14"/>
        <v>17500</v>
      </c>
      <c r="R12" s="206">
        <f t="shared" si="14"/>
        <v>17500</v>
      </c>
      <c r="S12" s="206">
        <f t="shared" si="14"/>
        <v>17500</v>
      </c>
      <c r="T12" s="206">
        <f t="shared" si="14"/>
        <v>17500</v>
      </c>
      <c r="U12" s="206">
        <f t="shared" si="14"/>
        <v>17500</v>
      </c>
      <c r="V12" s="206">
        <f t="shared" si="14"/>
        <v>17500</v>
      </c>
      <c r="W12" s="206">
        <f t="shared" si="14"/>
        <v>17500</v>
      </c>
      <c r="X12" s="206">
        <f t="shared" si="14"/>
        <v>17500</v>
      </c>
      <c r="Y12" s="206">
        <f t="shared" si="14"/>
        <v>17500</v>
      </c>
      <c r="Z12" s="206">
        <f t="shared" si="14"/>
        <v>17500</v>
      </c>
      <c r="AA12" s="206">
        <f t="shared" si="14"/>
        <v>17500</v>
      </c>
      <c r="AB12" s="206">
        <f t="shared" si="14"/>
        <v>17500</v>
      </c>
      <c r="AC12" s="206">
        <f t="shared" si="14"/>
        <v>17500</v>
      </c>
      <c r="AD12" s="206">
        <f t="shared" si="14"/>
        <v>17500</v>
      </c>
      <c r="AE12" s="206">
        <f t="shared" si="14"/>
        <v>17500</v>
      </c>
      <c r="AF12" s="206">
        <f t="shared" si="14"/>
        <v>17500</v>
      </c>
      <c r="AG12" s="206">
        <f t="shared" si="14"/>
        <v>17500</v>
      </c>
      <c r="AH12" s="206">
        <f t="shared" si="14"/>
        <v>17500</v>
      </c>
      <c r="AI12" s="206">
        <f t="shared" si="14"/>
        <v>17500</v>
      </c>
      <c r="AJ12" s="206">
        <f t="shared" si="14"/>
        <v>17500</v>
      </c>
      <c r="AK12" s="206">
        <f t="shared" si="14"/>
        <v>17500</v>
      </c>
      <c r="AL12" s="206">
        <f t="shared" si="14"/>
        <v>17500</v>
      </c>
      <c r="AM12" s="206">
        <f t="shared" si="14"/>
        <v>17500</v>
      </c>
      <c r="AN12" s="206">
        <f t="shared" si="14"/>
        <v>17500</v>
      </c>
      <c r="AO12" s="206">
        <f t="shared" si="14"/>
        <v>17500</v>
      </c>
      <c r="AP12" s="206">
        <f t="shared" si="14"/>
        <v>17500</v>
      </c>
      <c r="AQ12" s="206">
        <f t="shared" si="14"/>
        <v>17500</v>
      </c>
      <c r="AR12" s="206">
        <f t="shared" si="14"/>
        <v>17500</v>
      </c>
      <c r="AS12" s="206">
        <f t="shared" si="14"/>
        <v>17500</v>
      </c>
      <c r="AT12" s="206">
        <f t="shared" si="14"/>
        <v>17500</v>
      </c>
      <c r="AU12" s="206">
        <f t="shared" si="14"/>
        <v>17500</v>
      </c>
      <c r="AV12" s="206">
        <f t="shared" si="14"/>
        <v>17500</v>
      </c>
      <c r="AW12" s="206">
        <f t="shared" si="14"/>
        <v>17500</v>
      </c>
      <c r="AX12" s="206">
        <f t="shared" si="14"/>
        <v>17500</v>
      </c>
      <c r="AY12" s="206">
        <f t="shared" si="14"/>
        <v>17500</v>
      </c>
      <c r="AZ12" s="206">
        <f t="shared" si="14"/>
        <v>17500</v>
      </c>
      <c r="BA12" s="206">
        <f t="shared" si="14"/>
        <v>17500</v>
      </c>
      <c r="BB12" s="206">
        <f t="shared" si="14"/>
        <v>17500</v>
      </c>
      <c r="BC12" s="206">
        <f t="shared" si="14"/>
        <v>17500</v>
      </c>
      <c r="BD12" s="206">
        <f t="shared" si="14"/>
        <v>17500</v>
      </c>
      <c r="BE12" s="206">
        <f t="shared" si="14"/>
        <v>17500</v>
      </c>
      <c r="BF12" s="206">
        <f t="shared" si="14"/>
        <v>17500</v>
      </c>
      <c r="BG12" s="206">
        <f t="shared" si="14"/>
        <v>17500</v>
      </c>
      <c r="BH12" s="206">
        <f t="shared" si="14"/>
        <v>17500</v>
      </c>
      <c r="BI12" s="206">
        <f t="shared" si="14"/>
        <v>17500</v>
      </c>
    </row>
    <row r="13" spans="1:61" ht="12.75" x14ac:dyDescent="0.2">
      <c r="A13" s="189"/>
      <c r="B13" s="15" t="s">
        <v>157</v>
      </c>
      <c r="C13" s="6" t="s">
        <v>158</v>
      </c>
      <c r="D13" s="15" t="str">
        <f t="shared" si="7"/>
        <v>Engineering</v>
      </c>
      <c r="E13" s="193">
        <v>185000</v>
      </c>
      <c r="F13" s="191">
        <v>43678</v>
      </c>
      <c r="G13" s="191"/>
      <c r="H13" s="192">
        <v>0.09</v>
      </c>
      <c r="I13" s="193">
        <f t="shared" si="8"/>
        <v>616.66666666666663</v>
      </c>
      <c r="J13" s="193">
        <v>500</v>
      </c>
      <c r="K13" s="206">
        <f t="shared" si="3"/>
        <v>1116.6666666666665</v>
      </c>
      <c r="L13" s="6"/>
      <c r="M13" s="6"/>
      <c r="N13" s="206">
        <f t="shared" ref="N13:BI13" si="15">IF($F13=0,0, IF(AND(N$1&gt;=$G13,$G13&lt;&gt;0),0,IF(N$1&gt;=$F13,$E13/12,0)))</f>
        <v>15416.666666666666</v>
      </c>
      <c r="O13" s="206">
        <f t="shared" si="15"/>
        <v>15416.666666666666</v>
      </c>
      <c r="P13" s="206">
        <f t="shared" si="15"/>
        <v>15416.666666666666</v>
      </c>
      <c r="Q13" s="206">
        <f t="shared" si="15"/>
        <v>15416.666666666666</v>
      </c>
      <c r="R13" s="206">
        <f t="shared" si="15"/>
        <v>15416.666666666666</v>
      </c>
      <c r="S13" s="206">
        <f t="shared" si="15"/>
        <v>15416.666666666666</v>
      </c>
      <c r="T13" s="206">
        <f t="shared" si="15"/>
        <v>15416.666666666666</v>
      </c>
      <c r="U13" s="206">
        <f t="shared" si="15"/>
        <v>15416.666666666666</v>
      </c>
      <c r="V13" s="206">
        <f t="shared" si="15"/>
        <v>15416.666666666666</v>
      </c>
      <c r="W13" s="206">
        <f t="shared" si="15"/>
        <v>15416.666666666666</v>
      </c>
      <c r="X13" s="206">
        <f t="shared" si="15"/>
        <v>15416.666666666666</v>
      </c>
      <c r="Y13" s="206">
        <f t="shared" si="15"/>
        <v>15416.666666666666</v>
      </c>
      <c r="Z13" s="206">
        <f t="shared" si="15"/>
        <v>15416.666666666666</v>
      </c>
      <c r="AA13" s="206">
        <f t="shared" si="15"/>
        <v>15416.666666666666</v>
      </c>
      <c r="AB13" s="206">
        <f t="shared" si="15"/>
        <v>15416.666666666666</v>
      </c>
      <c r="AC13" s="206">
        <f t="shared" si="15"/>
        <v>15416.666666666666</v>
      </c>
      <c r="AD13" s="206">
        <f t="shared" si="15"/>
        <v>15416.666666666666</v>
      </c>
      <c r="AE13" s="206">
        <f t="shared" si="15"/>
        <v>15416.666666666666</v>
      </c>
      <c r="AF13" s="206">
        <f t="shared" si="15"/>
        <v>15416.666666666666</v>
      </c>
      <c r="AG13" s="206">
        <f t="shared" si="15"/>
        <v>15416.666666666666</v>
      </c>
      <c r="AH13" s="206">
        <f t="shared" si="15"/>
        <v>15416.666666666666</v>
      </c>
      <c r="AI13" s="206">
        <f t="shared" si="15"/>
        <v>15416.666666666666</v>
      </c>
      <c r="AJ13" s="206">
        <f t="shared" si="15"/>
        <v>15416.666666666666</v>
      </c>
      <c r="AK13" s="206">
        <f t="shared" si="15"/>
        <v>15416.666666666666</v>
      </c>
      <c r="AL13" s="206">
        <f t="shared" si="15"/>
        <v>15416.666666666666</v>
      </c>
      <c r="AM13" s="206">
        <f t="shared" si="15"/>
        <v>15416.666666666666</v>
      </c>
      <c r="AN13" s="206">
        <f t="shared" si="15"/>
        <v>15416.666666666666</v>
      </c>
      <c r="AO13" s="206">
        <f t="shared" si="15"/>
        <v>15416.666666666666</v>
      </c>
      <c r="AP13" s="206">
        <f t="shared" si="15"/>
        <v>15416.666666666666</v>
      </c>
      <c r="AQ13" s="206">
        <f t="shared" si="15"/>
        <v>15416.666666666666</v>
      </c>
      <c r="AR13" s="206">
        <f t="shared" si="15"/>
        <v>15416.666666666666</v>
      </c>
      <c r="AS13" s="206">
        <f t="shared" si="15"/>
        <v>15416.666666666666</v>
      </c>
      <c r="AT13" s="206">
        <f t="shared" si="15"/>
        <v>15416.666666666666</v>
      </c>
      <c r="AU13" s="206">
        <f t="shared" si="15"/>
        <v>15416.666666666666</v>
      </c>
      <c r="AV13" s="206">
        <f t="shared" si="15"/>
        <v>15416.666666666666</v>
      </c>
      <c r="AW13" s="206">
        <f t="shared" si="15"/>
        <v>15416.666666666666</v>
      </c>
      <c r="AX13" s="206">
        <f t="shared" si="15"/>
        <v>15416.666666666666</v>
      </c>
      <c r="AY13" s="206">
        <f t="shared" si="15"/>
        <v>15416.666666666666</v>
      </c>
      <c r="AZ13" s="206">
        <f t="shared" si="15"/>
        <v>15416.666666666666</v>
      </c>
      <c r="BA13" s="206">
        <f t="shared" si="15"/>
        <v>15416.666666666666</v>
      </c>
      <c r="BB13" s="206">
        <f t="shared" si="15"/>
        <v>15416.666666666666</v>
      </c>
      <c r="BC13" s="206">
        <f t="shared" si="15"/>
        <v>15416.666666666666</v>
      </c>
      <c r="BD13" s="206">
        <f t="shared" si="15"/>
        <v>15416.666666666666</v>
      </c>
      <c r="BE13" s="206">
        <f t="shared" si="15"/>
        <v>15416.666666666666</v>
      </c>
      <c r="BF13" s="206">
        <f t="shared" si="15"/>
        <v>15416.666666666666</v>
      </c>
      <c r="BG13" s="206">
        <f t="shared" si="15"/>
        <v>15416.666666666666</v>
      </c>
      <c r="BH13" s="206">
        <f t="shared" si="15"/>
        <v>15416.666666666666</v>
      </c>
      <c r="BI13" s="206">
        <f t="shared" si="15"/>
        <v>15416.666666666666</v>
      </c>
    </row>
    <row r="14" spans="1:61" ht="12.75" x14ac:dyDescent="0.2">
      <c r="A14" s="189"/>
      <c r="B14" s="15" t="s">
        <v>159</v>
      </c>
      <c r="C14" s="6" t="s">
        <v>152</v>
      </c>
      <c r="D14" s="15" t="str">
        <f t="shared" si="7"/>
        <v>Engineering</v>
      </c>
      <c r="E14" s="193">
        <v>160000</v>
      </c>
      <c r="F14" s="191">
        <v>43770</v>
      </c>
      <c r="G14" s="191"/>
      <c r="H14" s="192">
        <v>0.09</v>
      </c>
      <c r="I14" s="193">
        <f t="shared" si="8"/>
        <v>533.33333333333337</v>
      </c>
      <c r="J14" s="193">
        <v>500</v>
      </c>
      <c r="K14" s="206">
        <f t="shared" si="3"/>
        <v>1033.3333333333335</v>
      </c>
      <c r="L14" s="6"/>
      <c r="M14" s="6"/>
      <c r="N14" s="206">
        <f t="shared" ref="N14:BI14" si="16">IF($F14=0,0, IF(AND(N$1&gt;=$G14,$G14&lt;&gt;0),0,IF(N$1&gt;=$F14,$E14/12,0)))</f>
        <v>13333.333333333334</v>
      </c>
      <c r="O14" s="206">
        <f t="shared" si="16"/>
        <v>13333.333333333334</v>
      </c>
      <c r="P14" s="206">
        <f t="shared" si="16"/>
        <v>13333.333333333334</v>
      </c>
      <c r="Q14" s="206">
        <f t="shared" si="16"/>
        <v>13333.333333333334</v>
      </c>
      <c r="R14" s="206">
        <f t="shared" si="16"/>
        <v>13333.333333333334</v>
      </c>
      <c r="S14" s="206">
        <f t="shared" si="16"/>
        <v>13333.333333333334</v>
      </c>
      <c r="T14" s="206">
        <f t="shared" si="16"/>
        <v>13333.333333333334</v>
      </c>
      <c r="U14" s="206">
        <f t="shared" si="16"/>
        <v>13333.333333333334</v>
      </c>
      <c r="V14" s="206">
        <f t="shared" si="16"/>
        <v>13333.333333333334</v>
      </c>
      <c r="W14" s="206">
        <f t="shared" si="16"/>
        <v>13333.333333333334</v>
      </c>
      <c r="X14" s="206">
        <f t="shared" si="16"/>
        <v>13333.333333333334</v>
      </c>
      <c r="Y14" s="206">
        <f t="shared" si="16"/>
        <v>13333.333333333334</v>
      </c>
      <c r="Z14" s="206">
        <f t="shared" si="16"/>
        <v>13333.333333333334</v>
      </c>
      <c r="AA14" s="206">
        <f t="shared" si="16"/>
        <v>13333.333333333334</v>
      </c>
      <c r="AB14" s="206">
        <f t="shared" si="16"/>
        <v>13333.333333333334</v>
      </c>
      <c r="AC14" s="206">
        <f t="shared" si="16"/>
        <v>13333.333333333334</v>
      </c>
      <c r="AD14" s="206">
        <f t="shared" si="16"/>
        <v>13333.333333333334</v>
      </c>
      <c r="AE14" s="206">
        <f t="shared" si="16"/>
        <v>13333.333333333334</v>
      </c>
      <c r="AF14" s="206">
        <f t="shared" si="16"/>
        <v>13333.333333333334</v>
      </c>
      <c r="AG14" s="206">
        <f t="shared" si="16"/>
        <v>13333.333333333334</v>
      </c>
      <c r="AH14" s="206">
        <f t="shared" si="16"/>
        <v>13333.333333333334</v>
      </c>
      <c r="AI14" s="206">
        <f t="shared" si="16"/>
        <v>13333.333333333334</v>
      </c>
      <c r="AJ14" s="206">
        <f t="shared" si="16"/>
        <v>13333.333333333334</v>
      </c>
      <c r="AK14" s="206">
        <f t="shared" si="16"/>
        <v>13333.333333333334</v>
      </c>
      <c r="AL14" s="206">
        <f t="shared" si="16"/>
        <v>13333.333333333334</v>
      </c>
      <c r="AM14" s="206">
        <f t="shared" si="16"/>
        <v>13333.333333333334</v>
      </c>
      <c r="AN14" s="206">
        <f t="shared" si="16"/>
        <v>13333.333333333334</v>
      </c>
      <c r="AO14" s="206">
        <f t="shared" si="16"/>
        <v>13333.333333333334</v>
      </c>
      <c r="AP14" s="206">
        <f t="shared" si="16"/>
        <v>13333.333333333334</v>
      </c>
      <c r="AQ14" s="206">
        <f t="shared" si="16"/>
        <v>13333.333333333334</v>
      </c>
      <c r="AR14" s="206">
        <f t="shared" si="16"/>
        <v>13333.333333333334</v>
      </c>
      <c r="AS14" s="206">
        <f t="shared" si="16"/>
        <v>13333.333333333334</v>
      </c>
      <c r="AT14" s="206">
        <f t="shared" si="16"/>
        <v>13333.333333333334</v>
      </c>
      <c r="AU14" s="206">
        <f t="shared" si="16"/>
        <v>13333.333333333334</v>
      </c>
      <c r="AV14" s="206">
        <f t="shared" si="16"/>
        <v>13333.333333333334</v>
      </c>
      <c r="AW14" s="206">
        <f t="shared" si="16"/>
        <v>13333.333333333334</v>
      </c>
      <c r="AX14" s="206">
        <f t="shared" si="16"/>
        <v>13333.333333333334</v>
      </c>
      <c r="AY14" s="206">
        <f t="shared" si="16"/>
        <v>13333.333333333334</v>
      </c>
      <c r="AZ14" s="206">
        <f t="shared" si="16"/>
        <v>13333.333333333334</v>
      </c>
      <c r="BA14" s="206">
        <f t="shared" si="16"/>
        <v>13333.333333333334</v>
      </c>
      <c r="BB14" s="206">
        <f t="shared" si="16"/>
        <v>13333.333333333334</v>
      </c>
      <c r="BC14" s="206">
        <f t="shared" si="16"/>
        <v>13333.333333333334</v>
      </c>
      <c r="BD14" s="206">
        <f t="shared" si="16"/>
        <v>13333.333333333334</v>
      </c>
      <c r="BE14" s="206">
        <f t="shared" si="16"/>
        <v>13333.333333333334</v>
      </c>
      <c r="BF14" s="206">
        <f t="shared" si="16"/>
        <v>13333.333333333334</v>
      </c>
      <c r="BG14" s="206">
        <f t="shared" si="16"/>
        <v>13333.333333333334</v>
      </c>
      <c r="BH14" s="206">
        <f t="shared" si="16"/>
        <v>13333.333333333334</v>
      </c>
      <c r="BI14" s="206">
        <f t="shared" si="16"/>
        <v>13333.333333333334</v>
      </c>
    </row>
    <row r="15" spans="1:61" ht="12.75" x14ac:dyDescent="0.2">
      <c r="A15" s="189"/>
      <c r="B15" s="15" t="s">
        <v>160</v>
      </c>
      <c r="C15" s="6" t="s">
        <v>161</v>
      </c>
      <c r="D15" s="15" t="str">
        <f t="shared" si="7"/>
        <v>Engineering</v>
      </c>
      <c r="E15" s="193">
        <v>185000</v>
      </c>
      <c r="F15" s="191">
        <v>43647</v>
      </c>
      <c r="G15" s="191"/>
      <c r="H15" s="192">
        <v>0.09</v>
      </c>
      <c r="I15" s="193">
        <f t="shared" si="8"/>
        <v>616.66666666666663</v>
      </c>
      <c r="J15" s="193">
        <v>500</v>
      </c>
      <c r="K15" s="115">
        <f t="shared" si="3"/>
        <v>1116.6666666666665</v>
      </c>
      <c r="L15" s="6"/>
      <c r="M15" s="6"/>
      <c r="N15" s="115">
        <f t="shared" ref="N15:BI15" si="17">IF($F15=0,0, IF(AND(N$1&gt;=$G15,$G15&lt;&gt;0),0,IF(N$1&gt;=$F15,$E15/12,0)))</f>
        <v>15416.666666666666</v>
      </c>
      <c r="O15" s="115">
        <f t="shared" si="17"/>
        <v>15416.666666666666</v>
      </c>
      <c r="P15" s="115">
        <f t="shared" si="17"/>
        <v>15416.666666666666</v>
      </c>
      <c r="Q15" s="115">
        <f t="shared" si="17"/>
        <v>15416.666666666666</v>
      </c>
      <c r="R15" s="115">
        <f t="shared" si="17"/>
        <v>15416.666666666666</v>
      </c>
      <c r="S15" s="115">
        <f t="shared" si="17"/>
        <v>15416.666666666666</v>
      </c>
      <c r="T15" s="115">
        <f t="shared" si="17"/>
        <v>15416.666666666666</v>
      </c>
      <c r="U15" s="115">
        <f t="shared" si="17"/>
        <v>15416.666666666666</v>
      </c>
      <c r="V15" s="115">
        <f t="shared" si="17"/>
        <v>15416.666666666666</v>
      </c>
      <c r="W15" s="115">
        <f t="shared" si="17"/>
        <v>15416.666666666666</v>
      </c>
      <c r="X15" s="115">
        <f t="shared" si="17"/>
        <v>15416.666666666666</v>
      </c>
      <c r="Y15" s="115">
        <f t="shared" si="17"/>
        <v>15416.666666666666</v>
      </c>
      <c r="Z15" s="115">
        <f t="shared" si="17"/>
        <v>15416.666666666666</v>
      </c>
      <c r="AA15" s="115">
        <f t="shared" si="17"/>
        <v>15416.666666666666</v>
      </c>
      <c r="AB15" s="115">
        <f t="shared" si="17"/>
        <v>15416.666666666666</v>
      </c>
      <c r="AC15" s="115">
        <f t="shared" si="17"/>
        <v>15416.666666666666</v>
      </c>
      <c r="AD15" s="115">
        <f t="shared" si="17"/>
        <v>15416.666666666666</v>
      </c>
      <c r="AE15" s="115">
        <f t="shared" si="17"/>
        <v>15416.666666666666</v>
      </c>
      <c r="AF15" s="115">
        <f t="shared" si="17"/>
        <v>15416.666666666666</v>
      </c>
      <c r="AG15" s="115">
        <f t="shared" si="17"/>
        <v>15416.666666666666</v>
      </c>
      <c r="AH15" s="115">
        <f t="shared" si="17"/>
        <v>15416.666666666666</v>
      </c>
      <c r="AI15" s="115">
        <f t="shared" si="17"/>
        <v>15416.666666666666</v>
      </c>
      <c r="AJ15" s="115">
        <f t="shared" si="17"/>
        <v>15416.666666666666</v>
      </c>
      <c r="AK15" s="115">
        <f t="shared" si="17"/>
        <v>15416.666666666666</v>
      </c>
      <c r="AL15" s="115">
        <f t="shared" si="17"/>
        <v>15416.666666666666</v>
      </c>
      <c r="AM15" s="115">
        <f t="shared" si="17"/>
        <v>15416.666666666666</v>
      </c>
      <c r="AN15" s="115">
        <f t="shared" si="17"/>
        <v>15416.666666666666</v>
      </c>
      <c r="AO15" s="115">
        <f t="shared" si="17"/>
        <v>15416.666666666666</v>
      </c>
      <c r="AP15" s="115">
        <f t="shared" si="17"/>
        <v>15416.666666666666</v>
      </c>
      <c r="AQ15" s="115">
        <f t="shared" si="17"/>
        <v>15416.666666666666</v>
      </c>
      <c r="AR15" s="115">
        <f t="shared" si="17"/>
        <v>15416.666666666666</v>
      </c>
      <c r="AS15" s="115">
        <f t="shared" si="17"/>
        <v>15416.666666666666</v>
      </c>
      <c r="AT15" s="115">
        <f t="shared" si="17"/>
        <v>15416.666666666666</v>
      </c>
      <c r="AU15" s="115">
        <f t="shared" si="17"/>
        <v>15416.666666666666</v>
      </c>
      <c r="AV15" s="115">
        <f t="shared" si="17"/>
        <v>15416.666666666666</v>
      </c>
      <c r="AW15" s="115">
        <f t="shared" si="17"/>
        <v>15416.666666666666</v>
      </c>
      <c r="AX15" s="115">
        <f t="shared" si="17"/>
        <v>15416.666666666666</v>
      </c>
      <c r="AY15" s="115">
        <f t="shared" si="17"/>
        <v>15416.666666666666</v>
      </c>
      <c r="AZ15" s="115">
        <f t="shared" si="17"/>
        <v>15416.666666666666</v>
      </c>
      <c r="BA15" s="115">
        <f t="shared" si="17"/>
        <v>15416.666666666666</v>
      </c>
      <c r="BB15" s="115">
        <f t="shared" si="17"/>
        <v>15416.666666666666</v>
      </c>
      <c r="BC15" s="115">
        <f t="shared" si="17"/>
        <v>15416.666666666666</v>
      </c>
      <c r="BD15" s="115">
        <f t="shared" si="17"/>
        <v>15416.666666666666</v>
      </c>
      <c r="BE15" s="115">
        <f t="shared" si="17"/>
        <v>15416.666666666666</v>
      </c>
      <c r="BF15" s="115">
        <f t="shared" si="17"/>
        <v>15416.666666666666</v>
      </c>
      <c r="BG15" s="115">
        <f t="shared" si="17"/>
        <v>15416.666666666666</v>
      </c>
      <c r="BH15" s="115">
        <f t="shared" si="17"/>
        <v>15416.666666666666</v>
      </c>
      <c r="BI15" s="115">
        <f t="shared" si="17"/>
        <v>15416.666666666666</v>
      </c>
    </row>
    <row r="16" spans="1:61" ht="12.75" x14ac:dyDescent="0.2">
      <c r="A16" s="189"/>
      <c r="B16" s="15" t="s">
        <v>162</v>
      </c>
      <c r="C16" s="6" t="s">
        <v>163</v>
      </c>
      <c r="D16" s="15" t="str">
        <f t="shared" si="7"/>
        <v>Engineering</v>
      </c>
      <c r="E16" s="193">
        <v>175000</v>
      </c>
      <c r="F16" s="191">
        <v>43009</v>
      </c>
      <c r="G16" s="191"/>
      <c r="H16" s="192">
        <v>0.09</v>
      </c>
      <c r="I16" s="193">
        <f t="shared" si="8"/>
        <v>583.33333333333337</v>
      </c>
      <c r="J16" s="193">
        <v>500</v>
      </c>
      <c r="K16" s="115">
        <f t="shared" si="3"/>
        <v>1083.3333333333335</v>
      </c>
      <c r="L16" s="6"/>
      <c r="M16" s="6"/>
      <c r="N16" s="115">
        <f t="shared" ref="N16:BI16" si="18">IF($F16=0,0, IF(AND(N$1&gt;=$G16,$G16&lt;&gt;0),0,IF(N$1&gt;=$F16,$E16/12,0)))</f>
        <v>14583.333333333334</v>
      </c>
      <c r="O16" s="115">
        <f t="shared" si="18"/>
        <v>14583.333333333334</v>
      </c>
      <c r="P16" s="115">
        <f t="shared" si="18"/>
        <v>14583.333333333334</v>
      </c>
      <c r="Q16" s="115">
        <f t="shared" si="18"/>
        <v>14583.333333333334</v>
      </c>
      <c r="R16" s="115">
        <f t="shared" si="18"/>
        <v>14583.333333333334</v>
      </c>
      <c r="S16" s="115">
        <f t="shared" si="18"/>
        <v>14583.333333333334</v>
      </c>
      <c r="T16" s="115">
        <f t="shared" si="18"/>
        <v>14583.333333333334</v>
      </c>
      <c r="U16" s="115">
        <f t="shared" si="18"/>
        <v>14583.333333333334</v>
      </c>
      <c r="V16" s="115">
        <f t="shared" si="18"/>
        <v>14583.333333333334</v>
      </c>
      <c r="W16" s="115">
        <f t="shared" si="18"/>
        <v>14583.333333333334</v>
      </c>
      <c r="X16" s="115">
        <f t="shared" si="18"/>
        <v>14583.333333333334</v>
      </c>
      <c r="Y16" s="115">
        <f t="shared" si="18"/>
        <v>14583.333333333334</v>
      </c>
      <c r="Z16" s="115">
        <f t="shared" si="18"/>
        <v>14583.333333333334</v>
      </c>
      <c r="AA16" s="115">
        <f t="shared" si="18"/>
        <v>14583.333333333334</v>
      </c>
      <c r="AB16" s="115">
        <f t="shared" si="18"/>
        <v>14583.333333333334</v>
      </c>
      <c r="AC16" s="115">
        <f t="shared" si="18"/>
        <v>14583.333333333334</v>
      </c>
      <c r="AD16" s="115">
        <f t="shared" si="18"/>
        <v>14583.333333333334</v>
      </c>
      <c r="AE16" s="115">
        <f t="shared" si="18"/>
        <v>14583.333333333334</v>
      </c>
      <c r="AF16" s="115">
        <f t="shared" si="18"/>
        <v>14583.333333333334</v>
      </c>
      <c r="AG16" s="115">
        <f t="shared" si="18"/>
        <v>14583.333333333334</v>
      </c>
      <c r="AH16" s="115">
        <f t="shared" si="18"/>
        <v>14583.333333333334</v>
      </c>
      <c r="AI16" s="115">
        <f t="shared" si="18"/>
        <v>14583.333333333334</v>
      </c>
      <c r="AJ16" s="115">
        <f t="shared" si="18"/>
        <v>14583.333333333334</v>
      </c>
      <c r="AK16" s="115">
        <f t="shared" si="18"/>
        <v>14583.333333333334</v>
      </c>
      <c r="AL16" s="115">
        <f t="shared" si="18"/>
        <v>14583.333333333334</v>
      </c>
      <c r="AM16" s="115">
        <f t="shared" si="18"/>
        <v>14583.333333333334</v>
      </c>
      <c r="AN16" s="115">
        <f t="shared" si="18"/>
        <v>14583.333333333334</v>
      </c>
      <c r="AO16" s="115">
        <f t="shared" si="18"/>
        <v>14583.333333333334</v>
      </c>
      <c r="AP16" s="115">
        <f t="shared" si="18"/>
        <v>14583.333333333334</v>
      </c>
      <c r="AQ16" s="115">
        <f t="shared" si="18"/>
        <v>14583.333333333334</v>
      </c>
      <c r="AR16" s="115">
        <f t="shared" si="18"/>
        <v>14583.333333333334</v>
      </c>
      <c r="AS16" s="115">
        <f t="shared" si="18"/>
        <v>14583.333333333334</v>
      </c>
      <c r="AT16" s="115">
        <f t="shared" si="18"/>
        <v>14583.333333333334</v>
      </c>
      <c r="AU16" s="115">
        <f t="shared" si="18"/>
        <v>14583.333333333334</v>
      </c>
      <c r="AV16" s="115">
        <f t="shared" si="18"/>
        <v>14583.333333333334</v>
      </c>
      <c r="AW16" s="115">
        <f t="shared" si="18"/>
        <v>14583.333333333334</v>
      </c>
      <c r="AX16" s="115">
        <f t="shared" si="18"/>
        <v>14583.333333333334</v>
      </c>
      <c r="AY16" s="115">
        <f t="shared" si="18"/>
        <v>14583.333333333334</v>
      </c>
      <c r="AZ16" s="115">
        <f t="shared" si="18"/>
        <v>14583.333333333334</v>
      </c>
      <c r="BA16" s="115">
        <f t="shared" si="18"/>
        <v>14583.333333333334</v>
      </c>
      <c r="BB16" s="115">
        <f t="shared" si="18"/>
        <v>14583.333333333334</v>
      </c>
      <c r="BC16" s="115">
        <f t="shared" si="18"/>
        <v>14583.333333333334</v>
      </c>
      <c r="BD16" s="115">
        <f t="shared" si="18"/>
        <v>14583.333333333334</v>
      </c>
      <c r="BE16" s="115">
        <f t="shared" si="18"/>
        <v>14583.333333333334</v>
      </c>
      <c r="BF16" s="115">
        <f t="shared" si="18"/>
        <v>14583.333333333334</v>
      </c>
      <c r="BG16" s="115">
        <f t="shared" si="18"/>
        <v>14583.333333333334</v>
      </c>
      <c r="BH16" s="115">
        <f t="shared" si="18"/>
        <v>14583.333333333334</v>
      </c>
      <c r="BI16" s="115">
        <f t="shared" si="18"/>
        <v>14583.333333333334</v>
      </c>
    </row>
    <row r="17" spans="1:61" ht="12.75" x14ac:dyDescent="0.2">
      <c r="A17" s="189"/>
      <c r="B17" s="15" t="s">
        <v>164</v>
      </c>
      <c r="C17" s="6" t="s">
        <v>163</v>
      </c>
      <c r="D17" s="15" t="str">
        <f t="shared" si="7"/>
        <v>Engineering</v>
      </c>
      <c r="E17" s="193">
        <v>175000</v>
      </c>
      <c r="F17" s="191">
        <v>43160</v>
      </c>
      <c r="G17" s="191"/>
      <c r="H17" s="192">
        <v>0.09</v>
      </c>
      <c r="I17" s="193">
        <f t="shared" si="8"/>
        <v>583.33333333333337</v>
      </c>
      <c r="J17" s="193">
        <v>500</v>
      </c>
      <c r="K17" s="115">
        <f t="shared" si="3"/>
        <v>1083.3333333333335</v>
      </c>
      <c r="L17" s="6"/>
      <c r="M17" s="6"/>
      <c r="N17" s="115">
        <f t="shared" ref="N17:BI17" si="19">IF($F17=0,0, IF(AND(N$1&gt;=$G17,$G17&lt;&gt;0),0,IF(N$1&gt;=$F17,$E17/12,0)))</f>
        <v>14583.333333333334</v>
      </c>
      <c r="O17" s="115">
        <f t="shared" si="19"/>
        <v>14583.333333333334</v>
      </c>
      <c r="P17" s="115">
        <f t="shared" si="19"/>
        <v>14583.333333333334</v>
      </c>
      <c r="Q17" s="115">
        <f t="shared" si="19"/>
        <v>14583.333333333334</v>
      </c>
      <c r="R17" s="115">
        <f t="shared" si="19"/>
        <v>14583.333333333334</v>
      </c>
      <c r="S17" s="115">
        <f t="shared" si="19"/>
        <v>14583.333333333334</v>
      </c>
      <c r="T17" s="115">
        <f t="shared" si="19"/>
        <v>14583.333333333334</v>
      </c>
      <c r="U17" s="115">
        <f t="shared" si="19"/>
        <v>14583.333333333334</v>
      </c>
      <c r="V17" s="115">
        <f t="shared" si="19"/>
        <v>14583.333333333334</v>
      </c>
      <c r="W17" s="115">
        <f t="shared" si="19"/>
        <v>14583.333333333334</v>
      </c>
      <c r="X17" s="115">
        <f t="shared" si="19"/>
        <v>14583.333333333334</v>
      </c>
      <c r="Y17" s="115">
        <f t="shared" si="19"/>
        <v>14583.333333333334</v>
      </c>
      <c r="Z17" s="115">
        <f t="shared" si="19"/>
        <v>14583.333333333334</v>
      </c>
      <c r="AA17" s="115">
        <f t="shared" si="19"/>
        <v>14583.333333333334</v>
      </c>
      <c r="AB17" s="115">
        <f t="shared" si="19"/>
        <v>14583.333333333334</v>
      </c>
      <c r="AC17" s="115">
        <f t="shared" si="19"/>
        <v>14583.333333333334</v>
      </c>
      <c r="AD17" s="115">
        <f t="shared" si="19"/>
        <v>14583.333333333334</v>
      </c>
      <c r="AE17" s="115">
        <f t="shared" si="19"/>
        <v>14583.333333333334</v>
      </c>
      <c r="AF17" s="115">
        <f t="shared" si="19"/>
        <v>14583.333333333334</v>
      </c>
      <c r="AG17" s="115">
        <f t="shared" si="19"/>
        <v>14583.333333333334</v>
      </c>
      <c r="AH17" s="115">
        <f t="shared" si="19"/>
        <v>14583.333333333334</v>
      </c>
      <c r="AI17" s="115">
        <f t="shared" si="19"/>
        <v>14583.333333333334</v>
      </c>
      <c r="AJ17" s="115">
        <f t="shared" si="19"/>
        <v>14583.333333333334</v>
      </c>
      <c r="AK17" s="115">
        <f t="shared" si="19"/>
        <v>14583.333333333334</v>
      </c>
      <c r="AL17" s="115">
        <f t="shared" si="19"/>
        <v>14583.333333333334</v>
      </c>
      <c r="AM17" s="115">
        <f t="shared" si="19"/>
        <v>14583.333333333334</v>
      </c>
      <c r="AN17" s="115">
        <f t="shared" si="19"/>
        <v>14583.333333333334</v>
      </c>
      <c r="AO17" s="115">
        <f t="shared" si="19"/>
        <v>14583.333333333334</v>
      </c>
      <c r="AP17" s="115">
        <f t="shared" si="19"/>
        <v>14583.333333333334</v>
      </c>
      <c r="AQ17" s="115">
        <f t="shared" si="19"/>
        <v>14583.333333333334</v>
      </c>
      <c r="AR17" s="115">
        <f t="shared" si="19"/>
        <v>14583.333333333334</v>
      </c>
      <c r="AS17" s="115">
        <f t="shared" si="19"/>
        <v>14583.333333333334</v>
      </c>
      <c r="AT17" s="115">
        <f t="shared" si="19"/>
        <v>14583.333333333334</v>
      </c>
      <c r="AU17" s="115">
        <f t="shared" si="19"/>
        <v>14583.333333333334</v>
      </c>
      <c r="AV17" s="115">
        <f t="shared" si="19"/>
        <v>14583.333333333334</v>
      </c>
      <c r="AW17" s="115">
        <f t="shared" si="19"/>
        <v>14583.333333333334</v>
      </c>
      <c r="AX17" s="115">
        <f t="shared" si="19"/>
        <v>14583.333333333334</v>
      </c>
      <c r="AY17" s="115">
        <f t="shared" si="19"/>
        <v>14583.333333333334</v>
      </c>
      <c r="AZ17" s="115">
        <f t="shared" si="19"/>
        <v>14583.333333333334</v>
      </c>
      <c r="BA17" s="115">
        <f t="shared" si="19"/>
        <v>14583.333333333334</v>
      </c>
      <c r="BB17" s="115">
        <f t="shared" si="19"/>
        <v>14583.333333333334</v>
      </c>
      <c r="BC17" s="115">
        <f t="shared" si="19"/>
        <v>14583.333333333334</v>
      </c>
      <c r="BD17" s="115">
        <f t="shared" si="19"/>
        <v>14583.333333333334</v>
      </c>
      <c r="BE17" s="115">
        <f t="shared" si="19"/>
        <v>14583.333333333334</v>
      </c>
      <c r="BF17" s="115">
        <f t="shared" si="19"/>
        <v>14583.333333333334</v>
      </c>
      <c r="BG17" s="115">
        <f t="shared" si="19"/>
        <v>14583.333333333334</v>
      </c>
      <c r="BH17" s="115">
        <f t="shared" si="19"/>
        <v>14583.333333333334</v>
      </c>
      <c r="BI17" s="115">
        <f t="shared" si="19"/>
        <v>14583.333333333334</v>
      </c>
    </row>
    <row r="18" spans="1:61" ht="12.75" x14ac:dyDescent="0.2">
      <c r="A18" s="189"/>
      <c r="B18" s="15" t="s">
        <v>165</v>
      </c>
      <c r="C18" s="6" t="s">
        <v>166</v>
      </c>
      <c r="D18" s="15" t="str">
        <f t="shared" si="7"/>
        <v>Engineering</v>
      </c>
      <c r="E18" s="193">
        <v>182000</v>
      </c>
      <c r="F18" s="191">
        <v>43101</v>
      </c>
      <c r="G18" s="191"/>
      <c r="H18" s="192">
        <v>0.09</v>
      </c>
      <c r="I18" s="193">
        <f t="shared" si="8"/>
        <v>606.66666666666663</v>
      </c>
      <c r="J18" s="193">
        <v>500</v>
      </c>
      <c r="K18" s="115">
        <f t="shared" si="3"/>
        <v>1106.6666666666665</v>
      </c>
      <c r="L18" s="6"/>
      <c r="M18" s="6"/>
      <c r="N18" s="115">
        <f t="shared" ref="N18:BI18" si="20">IF($F18=0,0, IF(AND(N$1&gt;=$G18,$G18&lt;&gt;0),0,IF(N$1&gt;=$F18,$E18/12,0)))</f>
        <v>15166.666666666666</v>
      </c>
      <c r="O18" s="115">
        <f t="shared" si="20"/>
        <v>15166.666666666666</v>
      </c>
      <c r="P18" s="115">
        <f t="shared" si="20"/>
        <v>15166.666666666666</v>
      </c>
      <c r="Q18" s="115">
        <f t="shared" si="20"/>
        <v>15166.666666666666</v>
      </c>
      <c r="R18" s="115">
        <f t="shared" si="20"/>
        <v>15166.666666666666</v>
      </c>
      <c r="S18" s="115">
        <f t="shared" si="20"/>
        <v>15166.666666666666</v>
      </c>
      <c r="T18" s="115">
        <f t="shared" si="20"/>
        <v>15166.666666666666</v>
      </c>
      <c r="U18" s="115">
        <f t="shared" si="20"/>
        <v>15166.666666666666</v>
      </c>
      <c r="V18" s="115">
        <f t="shared" si="20"/>
        <v>15166.666666666666</v>
      </c>
      <c r="W18" s="115">
        <f t="shared" si="20"/>
        <v>15166.666666666666</v>
      </c>
      <c r="X18" s="115">
        <f t="shared" si="20"/>
        <v>15166.666666666666</v>
      </c>
      <c r="Y18" s="115">
        <f t="shared" si="20"/>
        <v>15166.666666666666</v>
      </c>
      <c r="Z18" s="115">
        <f t="shared" si="20"/>
        <v>15166.666666666666</v>
      </c>
      <c r="AA18" s="115">
        <f t="shared" si="20"/>
        <v>15166.666666666666</v>
      </c>
      <c r="AB18" s="115">
        <f t="shared" si="20"/>
        <v>15166.666666666666</v>
      </c>
      <c r="AC18" s="115">
        <f t="shared" si="20"/>
        <v>15166.666666666666</v>
      </c>
      <c r="AD18" s="115">
        <f t="shared" si="20"/>
        <v>15166.666666666666</v>
      </c>
      <c r="AE18" s="115">
        <f t="shared" si="20"/>
        <v>15166.666666666666</v>
      </c>
      <c r="AF18" s="115">
        <f t="shared" si="20"/>
        <v>15166.666666666666</v>
      </c>
      <c r="AG18" s="115">
        <f t="shared" si="20"/>
        <v>15166.666666666666</v>
      </c>
      <c r="AH18" s="115">
        <f t="shared" si="20"/>
        <v>15166.666666666666</v>
      </c>
      <c r="AI18" s="115">
        <f t="shared" si="20"/>
        <v>15166.666666666666</v>
      </c>
      <c r="AJ18" s="115">
        <f t="shared" si="20"/>
        <v>15166.666666666666</v>
      </c>
      <c r="AK18" s="115">
        <f t="shared" si="20"/>
        <v>15166.666666666666</v>
      </c>
      <c r="AL18" s="115">
        <f t="shared" si="20"/>
        <v>15166.666666666666</v>
      </c>
      <c r="AM18" s="115">
        <f t="shared" si="20"/>
        <v>15166.666666666666</v>
      </c>
      <c r="AN18" s="115">
        <f t="shared" si="20"/>
        <v>15166.666666666666</v>
      </c>
      <c r="AO18" s="115">
        <f t="shared" si="20"/>
        <v>15166.666666666666</v>
      </c>
      <c r="AP18" s="115">
        <f t="shared" si="20"/>
        <v>15166.666666666666</v>
      </c>
      <c r="AQ18" s="115">
        <f t="shared" si="20"/>
        <v>15166.666666666666</v>
      </c>
      <c r="AR18" s="115">
        <f t="shared" si="20"/>
        <v>15166.666666666666</v>
      </c>
      <c r="AS18" s="115">
        <f t="shared" si="20"/>
        <v>15166.666666666666</v>
      </c>
      <c r="AT18" s="115">
        <f t="shared" si="20"/>
        <v>15166.666666666666</v>
      </c>
      <c r="AU18" s="115">
        <f t="shared" si="20"/>
        <v>15166.666666666666</v>
      </c>
      <c r="AV18" s="115">
        <f t="shared" si="20"/>
        <v>15166.666666666666</v>
      </c>
      <c r="AW18" s="115">
        <f t="shared" si="20"/>
        <v>15166.666666666666</v>
      </c>
      <c r="AX18" s="115">
        <f t="shared" si="20"/>
        <v>15166.666666666666</v>
      </c>
      <c r="AY18" s="115">
        <f t="shared" si="20"/>
        <v>15166.666666666666</v>
      </c>
      <c r="AZ18" s="115">
        <f t="shared" si="20"/>
        <v>15166.666666666666</v>
      </c>
      <c r="BA18" s="115">
        <f t="shared" si="20"/>
        <v>15166.666666666666</v>
      </c>
      <c r="BB18" s="115">
        <f t="shared" si="20"/>
        <v>15166.666666666666</v>
      </c>
      <c r="BC18" s="115">
        <f t="shared" si="20"/>
        <v>15166.666666666666</v>
      </c>
      <c r="BD18" s="115">
        <f t="shared" si="20"/>
        <v>15166.666666666666</v>
      </c>
      <c r="BE18" s="115">
        <f t="shared" si="20"/>
        <v>15166.666666666666</v>
      </c>
      <c r="BF18" s="115">
        <f t="shared" si="20"/>
        <v>15166.666666666666</v>
      </c>
      <c r="BG18" s="115">
        <f t="shared" si="20"/>
        <v>15166.666666666666</v>
      </c>
      <c r="BH18" s="115">
        <f t="shared" si="20"/>
        <v>15166.666666666666</v>
      </c>
      <c r="BI18" s="115">
        <f t="shared" si="20"/>
        <v>15166.666666666666</v>
      </c>
    </row>
    <row r="19" spans="1:61" ht="12.75" x14ac:dyDescent="0.2">
      <c r="A19" s="189"/>
      <c r="B19" s="15" t="s">
        <v>167</v>
      </c>
      <c r="C19" s="6" t="s">
        <v>166</v>
      </c>
      <c r="D19" s="15" t="str">
        <f t="shared" si="7"/>
        <v>Engineering</v>
      </c>
      <c r="E19" s="193">
        <v>175000</v>
      </c>
      <c r="F19" s="191">
        <v>43770</v>
      </c>
      <c r="G19" s="202">
        <v>43951</v>
      </c>
      <c r="H19" s="192">
        <v>0.09</v>
      </c>
      <c r="I19" s="193">
        <f t="shared" si="8"/>
        <v>583.33333333333337</v>
      </c>
      <c r="J19" s="193">
        <v>500</v>
      </c>
      <c r="K19" s="206">
        <f t="shared" si="3"/>
        <v>1083.3333333333335</v>
      </c>
      <c r="L19" s="6"/>
      <c r="M19" s="6"/>
      <c r="N19" s="206">
        <f t="shared" ref="N19:BI19" si="21">IF($F19=0,0, IF(AND(N$1&gt;=$G19,$G19&lt;&gt;0),0,IF(N$1&gt;=$F19,$E19/12,0)))</f>
        <v>0</v>
      </c>
      <c r="O19" s="206">
        <f t="shared" si="21"/>
        <v>0</v>
      </c>
      <c r="P19" s="206">
        <f t="shared" si="21"/>
        <v>0</v>
      </c>
      <c r="Q19" s="206">
        <f t="shared" si="21"/>
        <v>0</v>
      </c>
      <c r="R19" s="206">
        <f t="shared" si="21"/>
        <v>0</v>
      </c>
      <c r="S19" s="206">
        <f t="shared" si="21"/>
        <v>0</v>
      </c>
      <c r="T19" s="206">
        <f t="shared" si="21"/>
        <v>0</v>
      </c>
      <c r="U19" s="206">
        <f t="shared" si="21"/>
        <v>0</v>
      </c>
      <c r="V19" s="206">
        <f t="shared" si="21"/>
        <v>0</v>
      </c>
      <c r="W19" s="206">
        <f t="shared" si="21"/>
        <v>0</v>
      </c>
      <c r="X19" s="206">
        <f t="shared" si="21"/>
        <v>0</v>
      </c>
      <c r="Y19" s="206">
        <f t="shared" si="21"/>
        <v>0</v>
      </c>
      <c r="Z19" s="206">
        <f t="shared" si="21"/>
        <v>0</v>
      </c>
      <c r="AA19" s="206">
        <f t="shared" si="21"/>
        <v>0</v>
      </c>
      <c r="AB19" s="206">
        <f t="shared" si="21"/>
        <v>0</v>
      </c>
      <c r="AC19" s="206">
        <f t="shared" si="21"/>
        <v>0</v>
      </c>
      <c r="AD19" s="206">
        <f t="shared" si="21"/>
        <v>0</v>
      </c>
      <c r="AE19" s="206">
        <f t="shared" si="21"/>
        <v>0</v>
      </c>
      <c r="AF19" s="206">
        <f t="shared" si="21"/>
        <v>0</v>
      </c>
      <c r="AG19" s="206">
        <f t="shared" si="21"/>
        <v>0</v>
      </c>
      <c r="AH19" s="206">
        <f t="shared" si="21"/>
        <v>0</v>
      </c>
      <c r="AI19" s="206">
        <f t="shared" si="21"/>
        <v>0</v>
      </c>
      <c r="AJ19" s="206">
        <f t="shared" si="21"/>
        <v>0</v>
      </c>
      <c r="AK19" s="206">
        <f t="shared" si="21"/>
        <v>0</v>
      </c>
      <c r="AL19" s="206">
        <f t="shared" si="21"/>
        <v>0</v>
      </c>
      <c r="AM19" s="206">
        <f t="shared" si="21"/>
        <v>0</v>
      </c>
      <c r="AN19" s="206">
        <f t="shared" si="21"/>
        <v>0</v>
      </c>
      <c r="AO19" s="206">
        <f t="shared" si="21"/>
        <v>0</v>
      </c>
      <c r="AP19" s="206">
        <f t="shared" si="21"/>
        <v>0</v>
      </c>
      <c r="AQ19" s="206">
        <f t="shared" si="21"/>
        <v>0</v>
      </c>
      <c r="AR19" s="206">
        <f t="shared" si="21"/>
        <v>0</v>
      </c>
      <c r="AS19" s="206">
        <f t="shared" si="21"/>
        <v>0</v>
      </c>
      <c r="AT19" s="206">
        <f t="shared" si="21"/>
        <v>0</v>
      </c>
      <c r="AU19" s="206">
        <f t="shared" si="21"/>
        <v>0</v>
      </c>
      <c r="AV19" s="206">
        <f t="shared" si="21"/>
        <v>0</v>
      </c>
      <c r="AW19" s="206">
        <f t="shared" si="21"/>
        <v>0</v>
      </c>
      <c r="AX19" s="206">
        <f t="shared" si="21"/>
        <v>0</v>
      </c>
      <c r="AY19" s="206">
        <f t="shared" si="21"/>
        <v>0</v>
      </c>
      <c r="AZ19" s="206">
        <f t="shared" si="21"/>
        <v>0</v>
      </c>
      <c r="BA19" s="206">
        <f t="shared" si="21"/>
        <v>0</v>
      </c>
      <c r="BB19" s="206">
        <f t="shared" si="21"/>
        <v>0</v>
      </c>
      <c r="BC19" s="206">
        <f t="shared" si="21"/>
        <v>0</v>
      </c>
      <c r="BD19" s="206">
        <f t="shared" si="21"/>
        <v>0</v>
      </c>
      <c r="BE19" s="206">
        <f t="shared" si="21"/>
        <v>0</v>
      </c>
      <c r="BF19" s="206">
        <f t="shared" si="21"/>
        <v>0</v>
      </c>
      <c r="BG19" s="206">
        <f t="shared" si="21"/>
        <v>0</v>
      </c>
      <c r="BH19" s="206">
        <f t="shared" si="21"/>
        <v>0</v>
      </c>
      <c r="BI19" s="206">
        <f t="shared" si="21"/>
        <v>0</v>
      </c>
    </row>
    <row r="20" spans="1:61" ht="12.75" x14ac:dyDescent="0.2">
      <c r="A20" s="189"/>
      <c r="B20" s="15" t="s">
        <v>168</v>
      </c>
      <c r="C20" s="6" t="s">
        <v>166</v>
      </c>
      <c r="D20" s="15" t="str">
        <f t="shared" si="7"/>
        <v>Engineering</v>
      </c>
      <c r="E20" s="193">
        <v>185000</v>
      </c>
      <c r="F20" s="191">
        <v>43647</v>
      </c>
      <c r="G20" s="202">
        <v>43951</v>
      </c>
      <c r="H20" s="192">
        <v>0.09</v>
      </c>
      <c r="I20" s="193">
        <f t="shared" si="8"/>
        <v>616.66666666666663</v>
      </c>
      <c r="J20" s="193">
        <v>500</v>
      </c>
      <c r="K20" s="206">
        <f t="shared" si="3"/>
        <v>1116.6666666666665</v>
      </c>
      <c r="L20" s="6"/>
      <c r="M20" s="6"/>
      <c r="N20" s="206">
        <f t="shared" ref="N20:BI20" si="22">IF($F20=0,0, IF(AND(N$1&gt;=$G20,$G20&lt;&gt;0),0,IF(N$1&gt;=$F20,$E20/12,0)))</f>
        <v>0</v>
      </c>
      <c r="O20" s="206">
        <f t="shared" si="22"/>
        <v>0</v>
      </c>
      <c r="P20" s="206">
        <f t="shared" si="22"/>
        <v>0</v>
      </c>
      <c r="Q20" s="206">
        <f t="shared" si="22"/>
        <v>0</v>
      </c>
      <c r="R20" s="206">
        <f t="shared" si="22"/>
        <v>0</v>
      </c>
      <c r="S20" s="206">
        <f t="shared" si="22"/>
        <v>0</v>
      </c>
      <c r="T20" s="206">
        <f t="shared" si="22"/>
        <v>0</v>
      </c>
      <c r="U20" s="206">
        <f t="shared" si="22"/>
        <v>0</v>
      </c>
      <c r="V20" s="206">
        <f t="shared" si="22"/>
        <v>0</v>
      </c>
      <c r="W20" s="206">
        <f t="shared" si="22"/>
        <v>0</v>
      </c>
      <c r="X20" s="206">
        <f t="shared" si="22"/>
        <v>0</v>
      </c>
      <c r="Y20" s="206">
        <f t="shared" si="22"/>
        <v>0</v>
      </c>
      <c r="Z20" s="206">
        <f t="shared" si="22"/>
        <v>0</v>
      </c>
      <c r="AA20" s="206">
        <f t="shared" si="22"/>
        <v>0</v>
      </c>
      <c r="AB20" s="206">
        <f t="shared" si="22"/>
        <v>0</v>
      </c>
      <c r="AC20" s="206">
        <f t="shared" si="22"/>
        <v>0</v>
      </c>
      <c r="AD20" s="206">
        <f t="shared" si="22"/>
        <v>0</v>
      </c>
      <c r="AE20" s="206">
        <f t="shared" si="22"/>
        <v>0</v>
      </c>
      <c r="AF20" s="206">
        <f t="shared" si="22"/>
        <v>0</v>
      </c>
      <c r="AG20" s="206">
        <f t="shared" si="22"/>
        <v>0</v>
      </c>
      <c r="AH20" s="206">
        <f t="shared" si="22"/>
        <v>0</v>
      </c>
      <c r="AI20" s="206">
        <f t="shared" si="22"/>
        <v>0</v>
      </c>
      <c r="AJ20" s="206">
        <f t="shared" si="22"/>
        <v>0</v>
      </c>
      <c r="AK20" s="206">
        <f t="shared" si="22"/>
        <v>0</v>
      </c>
      <c r="AL20" s="206">
        <f t="shared" si="22"/>
        <v>0</v>
      </c>
      <c r="AM20" s="206">
        <f t="shared" si="22"/>
        <v>0</v>
      </c>
      <c r="AN20" s="206">
        <f t="shared" si="22"/>
        <v>0</v>
      </c>
      <c r="AO20" s="206">
        <f t="shared" si="22"/>
        <v>0</v>
      </c>
      <c r="AP20" s="206">
        <f t="shared" si="22"/>
        <v>0</v>
      </c>
      <c r="AQ20" s="206">
        <f t="shared" si="22"/>
        <v>0</v>
      </c>
      <c r="AR20" s="206">
        <f t="shared" si="22"/>
        <v>0</v>
      </c>
      <c r="AS20" s="206">
        <f t="shared" si="22"/>
        <v>0</v>
      </c>
      <c r="AT20" s="206">
        <f t="shared" si="22"/>
        <v>0</v>
      </c>
      <c r="AU20" s="206">
        <f t="shared" si="22"/>
        <v>0</v>
      </c>
      <c r="AV20" s="206">
        <f t="shared" si="22"/>
        <v>0</v>
      </c>
      <c r="AW20" s="206">
        <f t="shared" si="22"/>
        <v>0</v>
      </c>
      <c r="AX20" s="206">
        <f t="shared" si="22"/>
        <v>0</v>
      </c>
      <c r="AY20" s="206">
        <f t="shared" si="22"/>
        <v>0</v>
      </c>
      <c r="AZ20" s="206">
        <f t="shared" si="22"/>
        <v>0</v>
      </c>
      <c r="BA20" s="206">
        <f t="shared" si="22"/>
        <v>0</v>
      </c>
      <c r="BB20" s="206">
        <f t="shared" si="22"/>
        <v>0</v>
      </c>
      <c r="BC20" s="206">
        <f t="shared" si="22"/>
        <v>0</v>
      </c>
      <c r="BD20" s="206">
        <f t="shared" si="22"/>
        <v>0</v>
      </c>
      <c r="BE20" s="206">
        <f t="shared" si="22"/>
        <v>0</v>
      </c>
      <c r="BF20" s="206">
        <f t="shared" si="22"/>
        <v>0</v>
      </c>
      <c r="BG20" s="206">
        <f t="shared" si="22"/>
        <v>0</v>
      </c>
      <c r="BH20" s="206">
        <f t="shared" si="22"/>
        <v>0</v>
      </c>
      <c r="BI20" s="206">
        <f t="shared" si="22"/>
        <v>0</v>
      </c>
    </row>
    <row r="21" spans="1:61" ht="12.75" x14ac:dyDescent="0.2">
      <c r="A21" s="189"/>
      <c r="B21" s="15" t="s">
        <v>170</v>
      </c>
      <c r="C21" s="6" t="s">
        <v>166</v>
      </c>
      <c r="D21" s="15" t="str">
        <f t="shared" si="7"/>
        <v>Engineering</v>
      </c>
      <c r="E21" s="193">
        <v>175000</v>
      </c>
      <c r="F21" s="191">
        <v>43739</v>
      </c>
      <c r="G21" s="202">
        <v>43951</v>
      </c>
      <c r="H21" s="192">
        <v>0.09</v>
      </c>
      <c r="I21" s="193">
        <f t="shared" si="8"/>
        <v>583.33333333333337</v>
      </c>
      <c r="J21" s="193">
        <v>500</v>
      </c>
      <c r="K21" s="206">
        <f t="shared" si="3"/>
        <v>1083.3333333333335</v>
      </c>
      <c r="L21" s="6"/>
      <c r="M21" s="6"/>
      <c r="N21" s="206">
        <f t="shared" ref="N21:BI21" si="23">IF($F21=0,0, IF(AND(N$1&gt;=$G21,$G21&lt;&gt;0),0,IF(N$1&gt;=$F21,$E21/12,0)))</f>
        <v>0</v>
      </c>
      <c r="O21" s="206">
        <f t="shared" si="23"/>
        <v>0</v>
      </c>
      <c r="P21" s="206">
        <f t="shared" si="23"/>
        <v>0</v>
      </c>
      <c r="Q21" s="206">
        <f t="shared" si="23"/>
        <v>0</v>
      </c>
      <c r="R21" s="206">
        <f t="shared" si="23"/>
        <v>0</v>
      </c>
      <c r="S21" s="206">
        <f t="shared" si="23"/>
        <v>0</v>
      </c>
      <c r="T21" s="206">
        <f t="shared" si="23"/>
        <v>0</v>
      </c>
      <c r="U21" s="206">
        <f t="shared" si="23"/>
        <v>0</v>
      </c>
      <c r="V21" s="206">
        <f t="shared" si="23"/>
        <v>0</v>
      </c>
      <c r="W21" s="206">
        <f t="shared" si="23"/>
        <v>0</v>
      </c>
      <c r="X21" s="206">
        <f t="shared" si="23"/>
        <v>0</v>
      </c>
      <c r="Y21" s="206">
        <f t="shared" si="23"/>
        <v>0</v>
      </c>
      <c r="Z21" s="206">
        <f t="shared" si="23"/>
        <v>0</v>
      </c>
      <c r="AA21" s="206">
        <f t="shared" si="23"/>
        <v>0</v>
      </c>
      <c r="AB21" s="206">
        <f t="shared" si="23"/>
        <v>0</v>
      </c>
      <c r="AC21" s="206">
        <f t="shared" si="23"/>
        <v>0</v>
      </c>
      <c r="AD21" s="206">
        <f t="shared" si="23"/>
        <v>0</v>
      </c>
      <c r="AE21" s="206">
        <f t="shared" si="23"/>
        <v>0</v>
      </c>
      <c r="AF21" s="206">
        <f t="shared" si="23"/>
        <v>0</v>
      </c>
      <c r="AG21" s="206">
        <f t="shared" si="23"/>
        <v>0</v>
      </c>
      <c r="AH21" s="206">
        <f t="shared" si="23"/>
        <v>0</v>
      </c>
      <c r="AI21" s="206">
        <f t="shared" si="23"/>
        <v>0</v>
      </c>
      <c r="AJ21" s="206">
        <f t="shared" si="23"/>
        <v>0</v>
      </c>
      <c r="AK21" s="206">
        <f t="shared" si="23"/>
        <v>0</v>
      </c>
      <c r="AL21" s="206">
        <f t="shared" si="23"/>
        <v>0</v>
      </c>
      <c r="AM21" s="206">
        <f t="shared" si="23"/>
        <v>0</v>
      </c>
      <c r="AN21" s="206">
        <f t="shared" si="23"/>
        <v>0</v>
      </c>
      <c r="AO21" s="206">
        <f t="shared" si="23"/>
        <v>0</v>
      </c>
      <c r="AP21" s="206">
        <f t="shared" si="23"/>
        <v>0</v>
      </c>
      <c r="AQ21" s="206">
        <f t="shared" si="23"/>
        <v>0</v>
      </c>
      <c r="AR21" s="206">
        <f t="shared" si="23"/>
        <v>0</v>
      </c>
      <c r="AS21" s="206">
        <f t="shared" si="23"/>
        <v>0</v>
      </c>
      <c r="AT21" s="206">
        <f t="shared" si="23"/>
        <v>0</v>
      </c>
      <c r="AU21" s="206">
        <f t="shared" si="23"/>
        <v>0</v>
      </c>
      <c r="AV21" s="206">
        <f t="shared" si="23"/>
        <v>0</v>
      </c>
      <c r="AW21" s="206">
        <f t="shared" si="23"/>
        <v>0</v>
      </c>
      <c r="AX21" s="206">
        <f t="shared" si="23"/>
        <v>0</v>
      </c>
      <c r="AY21" s="206">
        <f t="shared" si="23"/>
        <v>0</v>
      </c>
      <c r="AZ21" s="206">
        <f t="shared" si="23"/>
        <v>0</v>
      </c>
      <c r="BA21" s="206">
        <f t="shared" si="23"/>
        <v>0</v>
      </c>
      <c r="BB21" s="206">
        <f t="shared" si="23"/>
        <v>0</v>
      </c>
      <c r="BC21" s="206">
        <f t="shared" si="23"/>
        <v>0</v>
      </c>
      <c r="BD21" s="206">
        <f t="shared" si="23"/>
        <v>0</v>
      </c>
      <c r="BE21" s="206">
        <f t="shared" si="23"/>
        <v>0</v>
      </c>
      <c r="BF21" s="206">
        <f t="shared" si="23"/>
        <v>0</v>
      </c>
      <c r="BG21" s="206">
        <f t="shared" si="23"/>
        <v>0</v>
      </c>
      <c r="BH21" s="206">
        <f t="shared" si="23"/>
        <v>0</v>
      </c>
      <c r="BI21" s="206">
        <f t="shared" si="23"/>
        <v>0</v>
      </c>
    </row>
    <row r="22" spans="1:61" ht="12.75" x14ac:dyDescent="0.2">
      <c r="A22" s="189"/>
      <c r="B22" s="15" t="s">
        <v>174</v>
      </c>
      <c r="C22" s="6" t="s">
        <v>166</v>
      </c>
      <c r="D22" s="15" t="str">
        <f t="shared" si="7"/>
        <v>Engineering</v>
      </c>
      <c r="E22" s="193">
        <v>175000</v>
      </c>
      <c r="F22" s="191">
        <v>43831</v>
      </c>
      <c r="G22" s="202">
        <v>43951</v>
      </c>
      <c r="H22" s="192">
        <v>0.09</v>
      </c>
      <c r="I22" s="193">
        <f t="shared" si="8"/>
        <v>583.33333333333337</v>
      </c>
      <c r="J22" s="193">
        <v>500</v>
      </c>
      <c r="K22" s="206">
        <f t="shared" si="3"/>
        <v>1083.3333333333335</v>
      </c>
      <c r="L22" s="6"/>
      <c r="M22" s="6"/>
      <c r="N22" s="206">
        <f t="shared" ref="N22:BI22" si="24">IF($F22=0,0, IF(AND(N$1&gt;=$G22,$G22&lt;&gt;0),0,IF(N$1&gt;=$F22,$E22/12,0)))</f>
        <v>0</v>
      </c>
      <c r="O22" s="206">
        <f t="shared" si="24"/>
        <v>0</v>
      </c>
      <c r="P22" s="206">
        <f t="shared" si="24"/>
        <v>0</v>
      </c>
      <c r="Q22" s="206">
        <f t="shared" si="24"/>
        <v>0</v>
      </c>
      <c r="R22" s="206">
        <f t="shared" si="24"/>
        <v>0</v>
      </c>
      <c r="S22" s="206">
        <f t="shared" si="24"/>
        <v>0</v>
      </c>
      <c r="T22" s="206">
        <f t="shared" si="24"/>
        <v>0</v>
      </c>
      <c r="U22" s="206">
        <f t="shared" si="24"/>
        <v>0</v>
      </c>
      <c r="V22" s="206">
        <f t="shared" si="24"/>
        <v>0</v>
      </c>
      <c r="W22" s="206">
        <f t="shared" si="24"/>
        <v>0</v>
      </c>
      <c r="X22" s="206">
        <f t="shared" si="24"/>
        <v>0</v>
      </c>
      <c r="Y22" s="206">
        <f t="shared" si="24"/>
        <v>0</v>
      </c>
      <c r="Z22" s="206">
        <f t="shared" si="24"/>
        <v>0</v>
      </c>
      <c r="AA22" s="206">
        <f t="shared" si="24"/>
        <v>0</v>
      </c>
      <c r="AB22" s="206">
        <f t="shared" si="24"/>
        <v>0</v>
      </c>
      <c r="AC22" s="206">
        <f t="shared" si="24"/>
        <v>0</v>
      </c>
      <c r="AD22" s="206">
        <f t="shared" si="24"/>
        <v>0</v>
      </c>
      <c r="AE22" s="206">
        <f t="shared" si="24"/>
        <v>0</v>
      </c>
      <c r="AF22" s="206">
        <f t="shared" si="24"/>
        <v>0</v>
      </c>
      <c r="AG22" s="206">
        <f t="shared" si="24"/>
        <v>0</v>
      </c>
      <c r="AH22" s="206">
        <f t="shared" si="24"/>
        <v>0</v>
      </c>
      <c r="AI22" s="206">
        <f t="shared" si="24"/>
        <v>0</v>
      </c>
      <c r="AJ22" s="206">
        <f t="shared" si="24"/>
        <v>0</v>
      </c>
      <c r="AK22" s="206">
        <f t="shared" si="24"/>
        <v>0</v>
      </c>
      <c r="AL22" s="206">
        <f t="shared" si="24"/>
        <v>0</v>
      </c>
      <c r="AM22" s="206">
        <f t="shared" si="24"/>
        <v>0</v>
      </c>
      <c r="AN22" s="206">
        <f t="shared" si="24"/>
        <v>0</v>
      </c>
      <c r="AO22" s="206">
        <f t="shared" si="24"/>
        <v>0</v>
      </c>
      <c r="AP22" s="206">
        <f t="shared" si="24"/>
        <v>0</v>
      </c>
      <c r="AQ22" s="206">
        <f t="shared" si="24"/>
        <v>0</v>
      </c>
      <c r="AR22" s="206">
        <f t="shared" si="24"/>
        <v>0</v>
      </c>
      <c r="AS22" s="206">
        <f t="shared" si="24"/>
        <v>0</v>
      </c>
      <c r="AT22" s="206">
        <f t="shared" si="24"/>
        <v>0</v>
      </c>
      <c r="AU22" s="206">
        <f t="shared" si="24"/>
        <v>0</v>
      </c>
      <c r="AV22" s="206">
        <f t="shared" si="24"/>
        <v>0</v>
      </c>
      <c r="AW22" s="206">
        <f t="shared" si="24"/>
        <v>0</v>
      </c>
      <c r="AX22" s="206">
        <f t="shared" si="24"/>
        <v>0</v>
      </c>
      <c r="AY22" s="206">
        <f t="shared" si="24"/>
        <v>0</v>
      </c>
      <c r="AZ22" s="206">
        <f t="shared" si="24"/>
        <v>0</v>
      </c>
      <c r="BA22" s="206">
        <f t="shared" si="24"/>
        <v>0</v>
      </c>
      <c r="BB22" s="206">
        <f t="shared" si="24"/>
        <v>0</v>
      </c>
      <c r="BC22" s="206">
        <f t="shared" si="24"/>
        <v>0</v>
      </c>
      <c r="BD22" s="206">
        <f t="shared" si="24"/>
        <v>0</v>
      </c>
      <c r="BE22" s="206">
        <f t="shared" si="24"/>
        <v>0</v>
      </c>
      <c r="BF22" s="206">
        <f t="shared" si="24"/>
        <v>0</v>
      </c>
      <c r="BG22" s="206">
        <f t="shared" si="24"/>
        <v>0</v>
      </c>
      <c r="BH22" s="206">
        <f t="shared" si="24"/>
        <v>0</v>
      </c>
      <c r="BI22" s="206">
        <f t="shared" si="24"/>
        <v>0</v>
      </c>
    </row>
    <row r="23" spans="1:61" ht="12.75" x14ac:dyDescent="0.2">
      <c r="A23" s="189"/>
      <c r="B23" s="15" t="s">
        <v>175</v>
      </c>
      <c r="C23" s="6" t="s">
        <v>166</v>
      </c>
      <c r="D23" s="15" t="str">
        <f t="shared" si="7"/>
        <v>Engineering</v>
      </c>
      <c r="E23" s="193">
        <v>182000</v>
      </c>
      <c r="F23" s="191">
        <v>43891</v>
      </c>
      <c r="G23" s="202">
        <v>43951</v>
      </c>
      <c r="H23" s="192">
        <v>0.09</v>
      </c>
      <c r="I23" s="193">
        <f t="shared" si="8"/>
        <v>606.66666666666663</v>
      </c>
      <c r="J23" s="193">
        <v>500</v>
      </c>
      <c r="K23" s="206">
        <f t="shared" si="3"/>
        <v>1106.6666666666665</v>
      </c>
      <c r="L23" s="6"/>
      <c r="M23" s="6"/>
      <c r="N23" s="206">
        <f t="shared" ref="N23:BI23" si="25">IF($F23=0,0, IF(AND(N$1&gt;=$G23,$G23&lt;&gt;0),0,IF(N$1&gt;=$F23,$E23/12,0)))</f>
        <v>0</v>
      </c>
      <c r="O23" s="206">
        <f t="shared" si="25"/>
        <v>0</v>
      </c>
      <c r="P23" s="206">
        <f t="shared" si="25"/>
        <v>0</v>
      </c>
      <c r="Q23" s="206">
        <f t="shared" si="25"/>
        <v>0</v>
      </c>
      <c r="R23" s="206">
        <f t="shared" si="25"/>
        <v>0</v>
      </c>
      <c r="S23" s="206">
        <f t="shared" si="25"/>
        <v>0</v>
      </c>
      <c r="T23" s="206">
        <f t="shared" si="25"/>
        <v>0</v>
      </c>
      <c r="U23" s="206">
        <f t="shared" si="25"/>
        <v>0</v>
      </c>
      <c r="V23" s="206">
        <f t="shared" si="25"/>
        <v>0</v>
      </c>
      <c r="W23" s="206">
        <f t="shared" si="25"/>
        <v>0</v>
      </c>
      <c r="X23" s="206">
        <f t="shared" si="25"/>
        <v>0</v>
      </c>
      <c r="Y23" s="206">
        <f t="shared" si="25"/>
        <v>0</v>
      </c>
      <c r="Z23" s="206">
        <f t="shared" si="25"/>
        <v>0</v>
      </c>
      <c r="AA23" s="206">
        <f t="shared" si="25"/>
        <v>0</v>
      </c>
      <c r="AB23" s="206">
        <f t="shared" si="25"/>
        <v>0</v>
      </c>
      <c r="AC23" s="206">
        <f t="shared" si="25"/>
        <v>0</v>
      </c>
      <c r="AD23" s="206">
        <f t="shared" si="25"/>
        <v>0</v>
      </c>
      <c r="AE23" s="206">
        <f t="shared" si="25"/>
        <v>0</v>
      </c>
      <c r="AF23" s="206">
        <f t="shared" si="25"/>
        <v>0</v>
      </c>
      <c r="AG23" s="206">
        <f t="shared" si="25"/>
        <v>0</v>
      </c>
      <c r="AH23" s="206">
        <f t="shared" si="25"/>
        <v>0</v>
      </c>
      <c r="AI23" s="206">
        <f t="shared" si="25"/>
        <v>0</v>
      </c>
      <c r="AJ23" s="206">
        <f t="shared" si="25"/>
        <v>0</v>
      </c>
      <c r="AK23" s="206">
        <f t="shared" si="25"/>
        <v>0</v>
      </c>
      <c r="AL23" s="206">
        <f t="shared" si="25"/>
        <v>0</v>
      </c>
      <c r="AM23" s="206">
        <f t="shared" si="25"/>
        <v>0</v>
      </c>
      <c r="AN23" s="206">
        <f t="shared" si="25"/>
        <v>0</v>
      </c>
      <c r="AO23" s="206">
        <f t="shared" si="25"/>
        <v>0</v>
      </c>
      <c r="AP23" s="206">
        <f t="shared" si="25"/>
        <v>0</v>
      </c>
      <c r="AQ23" s="206">
        <f t="shared" si="25"/>
        <v>0</v>
      </c>
      <c r="AR23" s="206">
        <f t="shared" si="25"/>
        <v>0</v>
      </c>
      <c r="AS23" s="206">
        <f t="shared" si="25"/>
        <v>0</v>
      </c>
      <c r="AT23" s="206">
        <f t="shared" si="25"/>
        <v>0</v>
      </c>
      <c r="AU23" s="206">
        <f t="shared" si="25"/>
        <v>0</v>
      </c>
      <c r="AV23" s="206">
        <f t="shared" si="25"/>
        <v>0</v>
      </c>
      <c r="AW23" s="206">
        <f t="shared" si="25"/>
        <v>0</v>
      </c>
      <c r="AX23" s="206">
        <f t="shared" si="25"/>
        <v>0</v>
      </c>
      <c r="AY23" s="206">
        <f t="shared" si="25"/>
        <v>0</v>
      </c>
      <c r="AZ23" s="206">
        <f t="shared" si="25"/>
        <v>0</v>
      </c>
      <c r="BA23" s="206">
        <f t="shared" si="25"/>
        <v>0</v>
      </c>
      <c r="BB23" s="206">
        <f t="shared" si="25"/>
        <v>0</v>
      </c>
      <c r="BC23" s="206">
        <f t="shared" si="25"/>
        <v>0</v>
      </c>
      <c r="BD23" s="206">
        <f t="shared" si="25"/>
        <v>0</v>
      </c>
      <c r="BE23" s="206">
        <f t="shared" si="25"/>
        <v>0</v>
      </c>
      <c r="BF23" s="206">
        <f t="shared" si="25"/>
        <v>0</v>
      </c>
      <c r="BG23" s="206">
        <f t="shared" si="25"/>
        <v>0</v>
      </c>
      <c r="BH23" s="206">
        <f t="shared" si="25"/>
        <v>0</v>
      </c>
      <c r="BI23" s="206">
        <f t="shared" si="25"/>
        <v>0</v>
      </c>
    </row>
    <row r="24" spans="1:61" ht="12.75" x14ac:dyDescent="0.2">
      <c r="A24" s="189"/>
      <c r="B24" s="15" t="s">
        <v>176</v>
      </c>
      <c r="C24" s="6" t="s">
        <v>166</v>
      </c>
      <c r="D24" s="15" t="str">
        <f t="shared" si="7"/>
        <v>Engineering</v>
      </c>
      <c r="E24" s="193">
        <v>165000</v>
      </c>
      <c r="F24" s="202"/>
      <c r="G24" s="191"/>
      <c r="H24" s="192">
        <v>0.09</v>
      </c>
      <c r="I24" s="193">
        <f t="shared" si="8"/>
        <v>550</v>
      </c>
      <c r="J24" s="193">
        <v>500</v>
      </c>
      <c r="K24" s="206">
        <f t="shared" si="3"/>
        <v>1050</v>
      </c>
      <c r="L24" s="6"/>
      <c r="M24" s="6"/>
      <c r="N24" s="206">
        <f t="shared" ref="N24:BI24" si="26">IF($F24=0,0, IF(AND(N$1&gt;=$G24,$G24&lt;&gt;0),0,IF(N$1&gt;=$F24,$E24/12,0)))</f>
        <v>0</v>
      </c>
      <c r="O24" s="206">
        <f t="shared" si="26"/>
        <v>0</v>
      </c>
      <c r="P24" s="206">
        <f t="shared" si="26"/>
        <v>0</v>
      </c>
      <c r="Q24" s="206">
        <f t="shared" si="26"/>
        <v>0</v>
      </c>
      <c r="R24" s="206">
        <f t="shared" si="26"/>
        <v>0</v>
      </c>
      <c r="S24" s="206">
        <f t="shared" si="26"/>
        <v>0</v>
      </c>
      <c r="T24" s="206">
        <f t="shared" si="26"/>
        <v>0</v>
      </c>
      <c r="U24" s="206">
        <f t="shared" si="26"/>
        <v>0</v>
      </c>
      <c r="V24" s="206">
        <f t="shared" si="26"/>
        <v>0</v>
      </c>
      <c r="W24" s="206">
        <f t="shared" si="26"/>
        <v>0</v>
      </c>
      <c r="X24" s="206">
        <f t="shared" si="26"/>
        <v>0</v>
      </c>
      <c r="Y24" s="206">
        <f t="shared" si="26"/>
        <v>0</v>
      </c>
      <c r="Z24" s="206">
        <f t="shared" si="26"/>
        <v>0</v>
      </c>
      <c r="AA24" s="206">
        <f t="shared" si="26"/>
        <v>0</v>
      </c>
      <c r="AB24" s="206">
        <f t="shared" si="26"/>
        <v>0</v>
      </c>
      <c r="AC24" s="206">
        <f t="shared" si="26"/>
        <v>0</v>
      </c>
      <c r="AD24" s="206">
        <f t="shared" si="26"/>
        <v>0</v>
      </c>
      <c r="AE24" s="206">
        <f t="shared" si="26"/>
        <v>0</v>
      </c>
      <c r="AF24" s="206">
        <f t="shared" si="26"/>
        <v>0</v>
      </c>
      <c r="AG24" s="206">
        <f t="shared" si="26"/>
        <v>0</v>
      </c>
      <c r="AH24" s="206">
        <f t="shared" si="26"/>
        <v>0</v>
      </c>
      <c r="AI24" s="206">
        <f t="shared" si="26"/>
        <v>0</v>
      </c>
      <c r="AJ24" s="206">
        <f t="shared" si="26"/>
        <v>0</v>
      </c>
      <c r="AK24" s="206">
        <f t="shared" si="26"/>
        <v>0</v>
      </c>
      <c r="AL24" s="206">
        <f t="shared" si="26"/>
        <v>0</v>
      </c>
      <c r="AM24" s="206">
        <f t="shared" si="26"/>
        <v>0</v>
      </c>
      <c r="AN24" s="206">
        <f t="shared" si="26"/>
        <v>0</v>
      </c>
      <c r="AO24" s="206">
        <f t="shared" si="26"/>
        <v>0</v>
      </c>
      <c r="AP24" s="206">
        <f t="shared" si="26"/>
        <v>0</v>
      </c>
      <c r="AQ24" s="206">
        <f t="shared" si="26"/>
        <v>0</v>
      </c>
      <c r="AR24" s="206">
        <f t="shared" si="26"/>
        <v>0</v>
      </c>
      <c r="AS24" s="206">
        <f t="shared" si="26"/>
        <v>0</v>
      </c>
      <c r="AT24" s="206">
        <f t="shared" si="26"/>
        <v>0</v>
      </c>
      <c r="AU24" s="206">
        <f t="shared" si="26"/>
        <v>0</v>
      </c>
      <c r="AV24" s="206">
        <f t="shared" si="26"/>
        <v>0</v>
      </c>
      <c r="AW24" s="206">
        <f t="shared" si="26"/>
        <v>0</v>
      </c>
      <c r="AX24" s="206">
        <f t="shared" si="26"/>
        <v>0</v>
      </c>
      <c r="AY24" s="206">
        <f t="shared" si="26"/>
        <v>0</v>
      </c>
      <c r="AZ24" s="206">
        <f t="shared" si="26"/>
        <v>0</v>
      </c>
      <c r="BA24" s="206">
        <f t="shared" si="26"/>
        <v>0</v>
      </c>
      <c r="BB24" s="206">
        <f t="shared" si="26"/>
        <v>0</v>
      </c>
      <c r="BC24" s="206">
        <f t="shared" si="26"/>
        <v>0</v>
      </c>
      <c r="BD24" s="206">
        <f t="shared" si="26"/>
        <v>0</v>
      </c>
      <c r="BE24" s="206">
        <f t="shared" si="26"/>
        <v>0</v>
      </c>
      <c r="BF24" s="206">
        <f t="shared" si="26"/>
        <v>0</v>
      </c>
      <c r="BG24" s="206">
        <f t="shared" si="26"/>
        <v>0</v>
      </c>
      <c r="BH24" s="206">
        <f t="shared" si="26"/>
        <v>0</v>
      </c>
      <c r="BI24" s="206">
        <f t="shared" si="26"/>
        <v>0</v>
      </c>
    </row>
    <row r="25" spans="1:61" ht="12.75" x14ac:dyDescent="0.2">
      <c r="A25" s="189"/>
      <c r="B25" s="15" t="s">
        <v>177</v>
      </c>
      <c r="C25" s="6" t="s">
        <v>152</v>
      </c>
      <c r="D25" s="15" t="str">
        <f t="shared" si="7"/>
        <v>Engineering</v>
      </c>
      <c r="E25" s="193">
        <v>165000</v>
      </c>
      <c r="F25" s="202"/>
      <c r="G25" s="191"/>
      <c r="H25" s="192">
        <v>0.09</v>
      </c>
      <c r="I25" s="193">
        <f t="shared" si="8"/>
        <v>550</v>
      </c>
      <c r="J25" s="193">
        <v>500</v>
      </c>
      <c r="K25" s="206">
        <f t="shared" si="3"/>
        <v>1050</v>
      </c>
      <c r="L25" s="6"/>
      <c r="M25" s="6"/>
      <c r="N25" s="206">
        <f t="shared" ref="N25:BI25" si="27">IF($F25=0,0, IF(AND(N$1&gt;=$G25,$G25&lt;&gt;0),0,IF(N$1&gt;=$F25,$E25/12,0)))</f>
        <v>0</v>
      </c>
      <c r="O25" s="206">
        <f t="shared" si="27"/>
        <v>0</v>
      </c>
      <c r="P25" s="206">
        <f t="shared" si="27"/>
        <v>0</v>
      </c>
      <c r="Q25" s="206">
        <f t="shared" si="27"/>
        <v>0</v>
      </c>
      <c r="R25" s="206">
        <f t="shared" si="27"/>
        <v>0</v>
      </c>
      <c r="S25" s="206">
        <f t="shared" si="27"/>
        <v>0</v>
      </c>
      <c r="T25" s="206">
        <f t="shared" si="27"/>
        <v>0</v>
      </c>
      <c r="U25" s="206">
        <f t="shared" si="27"/>
        <v>0</v>
      </c>
      <c r="V25" s="206">
        <f t="shared" si="27"/>
        <v>0</v>
      </c>
      <c r="W25" s="206">
        <f t="shared" si="27"/>
        <v>0</v>
      </c>
      <c r="X25" s="206">
        <f t="shared" si="27"/>
        <v>0</v>
      </c>
      <c r="Y25" s="206">
        <f t="shared" si="27"/>
        <v>0</v>
      </c>
      <c r="Z25" s="206">
        <f t="shared" si="27"/>
        <v>0</v>
      </c>
      <c r="AA25" s="206">
        <f t="shared" si="27"/>
        <v>0</v>
      </c>
      <c r="AB25" s="206">
        <f t="shared" si="27"/>
        <v>0</v>
      </c>
      <c r="AC25" s="206">
        <f t="shared" si="27"/>
        <v>0</v>
      </c>
      <c r="AD25" s="206">
        <f t="shared" si="27"/>
        <v>0</v>
      </c>
      <c r="AE25" s="206">
        <f t="shared" si="27"/>
        <v>0</v>
      </c>
      <c r="AF25" s="206">
        <f t="shared" si="27"/>
        <v>0</v>
      </c>
      <c r="AG25" s="206">
        <f t="shared" si="27"/>
        <v>0</v>
      </c>
      <c r="AH25" s="206">
        <f t="shared" si="27"/>
        <v>0</v>
      </c>
      <c r="AI25" s="206">
        <f t="shared" si="27"/>
        <v>0</v>
      </c>
      <c r="AJ25" s="206">
        <f t="shared" si="27"/>
        <v>0</v>
      </c>
      <c r="AK25" s="206">
        <f t="shared" si="27"/>
        <v>0</v>
      </c>
      <c r="AL25" s="206">
        <f t="shared" si="27"/>
        <v>0</v>
      </c>
      <c r="AM25" s="206">
        <f t="shared" si="27"/>
        <v>0</v>
      </c>
      <c r="AN25" s="206">
        <f t="shared" si="27"/>
        <v>0</v>
      </c>
      <c r="AO25" s="206">
        <f t="shared" si="27"/>
        <v>0</v>
      </c>
      <c r="AP25" s="206">
        <f t="shared" si="27"/>
        <v>0</v>
      </c>
      <c r="AQ25" s="206">
        <f t="shared" si="27"/>
        <v>0</v>
      </c>
      <c r="AR25" s="206">
        <f t="shared" si="27"/>
        <v>0</v>
      </c>
      <c r="AS25" s="206">
        <f t="shared" si="27"/>
        <v>0</v>
      </c>
      <c r="AT25" s="206">
        <f t="shared" si="27"/>
        <v>0</v>
      </c>
      <c r="AU25" s="206">
        <f t="shared" si="27"/>
        <v>0</v>
      </c>
      <c r="AV25" s="206">
        <f t="shared" si="27"/>
        <v>0</v>
      </c>
      <c r="AW25" s="206">
        <f t="shared" si="27"/>
        <v>0</v>
      </c>
      <c r="AX25" s="206">
        <f t="shared" si="27"/>
        <v>0</v>
      </c>
      <c r="AY25" s="206">
        <f t="shared" si="27"/>
        <v>0</v>
      </c>
      <c r="AZ25" s="206">
        <f t="shared" si="27"/>
        <v>0</v>
      </c>
      <c r="BA25" s="206">
        <f t="shared" si="27"/>
        <v>0</v>
      </c>
      <c r="BB25" s="206">
        <f t="shared" si="27"/>
        <v>0</v>
      </c>
      <c r="BC25" s="206">
        <f t="shared" si="27"/>
        <v>0</v>
      </c>
      <c r="BD25" s="206">
        <f t="shared" si="27"/>
        <v>0</v>
      </c>
      <c r="BE25" s="206">
        <f t="shared" si="27"/>
        <v>0</v>
      </c>
      <c r="BF25" s="206">
        <f t="shared" si="27"/>
        <v>0</v>
      </c>
      <c r="BG25" s="206">
        <f t="shared" si="27"/>
        <v>0</v>
      </c>
      <c r="BH25" s="206">
        <f t="shared" si="27"/>
        <v>0</v>
      </c>
      <c r="BI25" s="206">
        <f t="shared" si="27"/>
        <v>0</v>
      </c>
    </row>
    <row r="26" spans="1:61" ht="12.75" x14ac:dyDescent="0.2">
      <c r="A26" s="189"/>
      <c r="B26" s="15" t="s">
        <v>178</v>
      </c>
      <c r="C26" s="6" t="s">
        <v>166</v>
      </c>
      <c r="D26" s="15" t="str">
        <f t="shared" si="7"/>
        <v>Engineering</v>
      </c>
      <c r="E26" s="193">
        <v>165000</v>
      </c>
      <c r="F26" s="202"/>
      <c r="G26" s="191"/>
      <c r="H26" s="192">
        <v>0.09</v>
      </c>
      <c r="I26" s="193">
        <f t="shared" si="8"/>
        <v>550</v>
      </c>
      <c r="J26" s="193">
        <v>500</v>
      </c>
      <c r="K26" s="206">
        <f t="shared" si="3"/>
        <v>1050</v>
      </c>
      <c r="L26" s="6"/>
      <c r="M26" s="6"/>
      <c r="N26" s="206">
        <f t="shared" ref="N26:BI26" si="28">IF($F26=0,0, IF(AND(N$1&gt;=$G26,$G26&lt;&gt;0),0,IF(N$1&gt;=$F26,$E26/12,0)))</f>
        <v>0</v>
      </c>
      <c r="O26" s="206">
        <f t="shared" si="28"/>
        <v>0</v>
      </c>
      <c r="P26" s="206">
        <f t="shared" si="28"/>
        <v>0</v>
      </c>
      <c r="Q26" s="206">
        <f t="shared" si="28"/>
        <v>0</v>
      </c>
      <c r="R26" s="206">
        <f t="shared" si="28"/>
        <v>0</v>
      </c>
      <c r="S26" s="206">
        <f t="shared" si="28"/>
        <v>0</v>
      </c>
      <c r="T26" s="206">
        <f t="shared" si="28"/>
        <v>0</v>
      </c>
      <c r="U26" s="206">
        <f t="shared" si="28"/>
        <v>0</v>
      </c>
      <c r="V26" s="206">
        <f t="shared" si="28"/>
        <v>0</v>
      </c>
      <c r="W26" s="206">
        <f t="shared" si="28"/>
        <v>0</v>
      </c>
      <c r="X26" s="206">
        <f t="shared" si="28"/>
        <v>0</v>
      </c>
      <c r="Y26" s="206">
        <f t="shared" si="28"/>
        <v>0</v>
      </c>
      <c r="Z26" s="206">
        <f t="shared" si="28"/>
        <v>0</v>
      </c>
      <c r="AA26" s="206">
        <f t="shared" si="28"/>
        <v>0</v>
      </c>
      <c r="AB26" s="206">
        <f t="shared" si="28"/>
        <v>0</v>
      </c>
      <c r="AC26" s="206">
        <f t="shared" si="28"/>
        <v>0</v>
      </c>
      <c r="AD26" s="206">
        <f t="shared" si="28"/>
        <v>0</v>
      </c>
      <c r="AE26" s="206">
        <f t="shared" si="28"/>
        <v>0</v>
      </c>
      <c r="AF26" s="206">
        <f t="shared" si="28"/>
        <v>0</v>
      </c>
      <c r="AG26" s="206">
        <f t="shared" si="28"/>
        <v>0</v>
      </c>
      <c r="AH26" s="206">
        <f t="shared" si="28"/>
        <v>0</v>
      </c>
      <c r="AI26" s="206">
        <f t="shared" si="28"/>
        <v>0</v>
      </c>
      <c r="AJ26" s="206">
        <f t="shared" si="28"/>
        <v>0</v>
      </c>
      <c r="AK26" s="206">
        <f t="shared" si="28"/>
        <v>0</v>
      </c>
      <c r="AL26" s="206">
        <f t="shared" si="28"/>
        <v>0</v>
      </c>
      <c r="AM26" s="206">
        <f t="shared" si="28"/>
        <v>0</v>
      </c>
      <c r="AN26" s="206">
        <f t="shared" si="28"/>
        <v>0</v>
      </c>
      <c r="AO26" s="206">
        <f t="shared" si="28"/>
        <v>0</v>
      </c>
      <c r="AP26" s="206">
        <f t="shared" si="28"/>
        <v>0</v>
      </c>
      <c r="AQ26" s="206">
        <f t="shared" si="28"/>
        <v>0</v>
      </c>
      <c r="AR26" s="206">
        <f t="shared" si="28"/>
        <v>0</v>
      </c>
      <c r="AS26" s="206">
        <f t="shared" si="28"/>
        <v>0</v>
      </c>
      <c r="AT26" s="206">
        <f t="shared" si="28"/>
        <v>0</v>
      </c>
      <c r="AU26" s="206">
        <f t="shared" si="28"/>
        <v>0</v>
      </c>
      <c r="AV26" s="206">
        <f t="shared" si="28"/>
        <v>0</v>
      </c>
      <c r="AW26" s="206">
        <f t="shared" si="28"/>
        <v>0</v>
      </c>
      <c r="AX26" s="206">
        <f t="shared" si="28"/>
        <v>0</v>
      </c>
      <c r="AY26" s="206">
        <f t="shared" si="28"/>
        <v>0</v>
      </c>
      <c r="AZ26" s="206">
        <f t="shared" si="28"/>
        <v>0</v>
      </c>
      <c r="BA26" s="206">
        <f t="shared" si="28"/>
        <v>0</v>
      </c>
      <c r="BB26" s="206">
        <f t="shared" si="28"/>
        <v>0</v>
      </c>
      <c r="BC26" s="206">
        <f t="shared" si="28"/>
        <v>0</v>
      </c>
      <c r="BD26" s="206">
        <f t="shared" si="28"/>
        <v>0</v>
      </c>
      <c r="BE26" s="206">
        <f t="shared" si="28"/>
        <v>0</v>
      </c>
      <c r="BF26" s="206">
        <f t="shared" si="28"/>
        <v>0</v>
      </c>
      <c r="BG26" s="206">
        <f t="shared" si="28"/>
        <v>0</v>
      </c>
      <c r="BH26" s="206">
        <f t="shared" si="28"/>
        <v>0</v>
      </c>
      <c r="BI26" s="206">
        <f t="shared" si="28"/>
        <v>0</v>
      </c>
    </row>
    <row r="27" spans="1:61" ht="12.75" x14ac:dyDescent="0.2">
      <c r="A27" s="189"/>
      <c r="B27" s="15" t="s">
        <v>179</v>
      </c>
      <c r="C27" s="6" t="s">
        <v>180</v>
      </c>
      <c r="D27" s="6" t="str">
        <f t="shared" si="7"/>
        <v>Engineering</v>
      </c>
      <c r="E27" s="205">
        <v>165000</v>
      </c>
      <c r="F27" s="202"/>
      <c r="G27" s="191"/>
      <c r="H27" s="205">
        <v>0.09</v>
      </c>
      <c r="I27" s="205">
        <f t="shared" si="8"/>
        <v>550</v>
      </c>
      <c r="J27" s="205">
        <v>500</v>
      </c>
      <c r="K27" s="206">
        <f t="shared" si="3"/>
        <v>1050</v>
      </c>
      <c r="L27" s="6"/>
      <c r="M27" s="6"/>
      <c r="N27" s="206">
        <f t="shared" ref="N27:BI27" si="29">IF($F27=0,0, IF(AND(N$1&gt;=$G27,$G27&lt;&gt;0),0,IF(N$1&gt;=$F27,$E27/12,0)))</f>
        <v>0</v>
      </c>
      <c r="O27" s="206">
        <f t="shared" si="29"/>
        <v>0</v>
      </c>
      <c r="P27" s="206">
        <f t="shared" si="29"/>
        <v>0</v>
      </c>
      <c r="Q27" s="206">
        <f t="shared" si="29"/>
        <v>0</v>
      </c>
      <c r="R27" s="206">
        <f t="shared" si="29"/>
        <v>0</v>
      </c>
      <c r="S27" s="206">
        <f t="shared" si="29"/>
        <v>0</v>
      </c>
      <c r="T27" s="206">
        <f t="shared" si="29"/>
        <v>0</v>
      </c>
      <c r="U27" s="206">
        <f t="shared" si="29"/>
        <v>0</v>
      </c>
      <c r="V27" s="206">
        <f t="shared" si="29"/>
        <v>0</v>
      </c>
      <c r="W27" s="206">
        <f t="shared" si="29"/>
        <v>0</v>
      </c>
      <c r="X27" s="206">
        <f t="shared" si="29"/>
        <v>0</v>
      </c>
      <c r="Y27" s="206">
        <f t="shared" si="29"/>
        <v>0</v>
      </c>
      <c r="Z27" s="206">
        <f t="shared" si="29"/>
        <v>0</v>
      </c>
      <c r="AA27" s="206">
        <f t="shared" si="29"/>
        <v>0</v>
      </c>
      <c r="AB27" s="206">
        <f t="shared" si="29"/>
        <v>0</v>
      </c>
      <c r="AC27" s="206">
        <f t="shared" si="29"/>
        <v>0</v>
      </c>
      <c r="AD27" s="206">
        <f t="shared" si="29"/>
        <v>0</v>
      </c>
      <c r="AE27" s="206">
        <f t="shared" si="29"/>
        <v>0</v>
      </c>
      <c r="AF27" s="206">
        <f t="shared" si="29"/>
        <v>0</v>
      </c>
      <c r="AG27" s="206">
        <f t="shared" si="29"/>
        <v>0</v>
      </c>
      <c r="AH27" s="206">
        <f t="shared" si="29"/>
        <v>0</v>
      </c>
      <c r="AI27" s="206">
        <f t="shared" si="29"/>
        <v>0</v>
      </c>
      <c r="AJ27" s="206">
        <f t="shared" si="29"/>
        <v>0</v>
      </c>
      <c r="AK27" s="206">
        <f t="shared" si="29"/>
        <v>0</v>
      </c>
      <c r="AL27" s="206">
        <f t="shared" si="29"/>
        <v>0</v>
      </c>
      <c r="AM27" s="206">
        <f t="shared" si="29"/>
        <v>0</v>
      </c>
      <c r="AN27" s="206">
        <f t="shared" si="29"/>
        <v>0</v>
      </c>
      <c r="AO27" s="206">
        <f t="shared" si="29"/>
        <v>0</v>
      </c>
      <c r="AP27" s="206">
        <f t="shared" si="29"/>
        <v>0</v>
      </c>
      <c r="AQ27" s="206">
        <f t="shared" si="29"/>
        <v>0</v>
      </c>
      <c r="AR27" s="206">
        <f t="shared" si="29"/>
        <v>0</v>
      </c>
      <c r="AS27" s="206">
        <f t="shared" si="29"/>
        <v>0</v>
      </c>
      <c r="AT27" s="206">
        <f t="shared" si="29"/>
        <v>0</v>
      </c>
      <c r="AU27" s="206">
        <f t="shared" si="29"/>
        <v>0</v>
      </c>
      <c r="AV27" s="206">
        <f t="shared" si="29"/>
        <v>0</v>
      </c>
      <c r="AW27" s="206">
        <f t="shared" si="29"/>
        <v>0</v>
      </c>
      <c r="AX27" s="206">
        <f t="shared" si="29"/>
        <v>0</v>
      </c>
      <c r="AY27" s="206">
        <f t="shared" si="29"/>
        <v>0</v>
      </c>
      <c r="AZ27" s="206">
        <f t="shared" si="29"/>
        <v>0</v>
      </c>
      <c r="BA27" s="206">
        <f t="shared" si="29"/>
        <v>0</v>
      </c>
      <c r="BB27" s="206">
        <f t="shared" si="29"/>
        <v>0</v>
      </c>
      <c r="BC27" s="206">
        <f t="shared" si="29"/>
        <v>0</v>
      </c>
      <c r="BD27" s="206">
        <f t="shared" si="29"/>
        <v>0</v>
      </c>
      <c r="BE27" s="206">
        <f t="shared" si="29"/>
        <v>0</v>
      </c>
      <c r="BF27" s="206">
        <f t="shared" si="29"/>
        <v>0</v>
      </c>
      <c r="BG27" s="206">
        <f t="shared" si="29"/>
        <v>0</v>
      </c>
      <c r="BH27" s="206">
        <f t="shared" si="29"/>
        <v>0</v>
      </c>
      <c r="BI27" s="206">
        <f t="shared" si="29"/>
        <v>0</v>
      </c>
    </row>
    <row r="28" spans="1:61" ht="12.75" x14ac:dyDescent="0.2">
      <c r="A28" s="207"/>
      <c r="B28" s="15" t="s">
        <v>182</v>
      </c>
      <c r="C28" s="15" t="s">
        <v>166</v>
      </c>
      <c r="D28" s="15" t="str">
        <f t="shared" si="7"/>
        <v>Engineering</v>
      </c>
      <c r="E28" s="193">
        <v>165000</v>
      </c>
      <c r="F28" s="202"/>
      <c r="G28" s="191"/>
      <c r="H28" s="192">
        <v>0.09</v>
      </c>
      <c r="I28" s="193">
        <f t="shared" si="8"/>
        <v>550</v>
      </c>
      <c r="J28" s="193">
        <v>500</v>
      </c>
      <c r="K28" s="206">
        <f t="shared" si="3"/>
        <v>1050</v>
      </c>
      <c r="L28" s="6"/>
      <c r="M28" s="6"/>
      <c r="N28" s="206">
        <f t="shared" ref="N28:BI28" si="30">IF($F28=0,0, IF(AND(N$1&gt;=$G28,$G28&lt;&gt;0),0,IF(N$1&gt;=$F28,$E28/12,0)))</f>
        <v>0</v>
      </c>
      <c r="O28" s="206">
        <f t="shared" si="30"/>
        <v>0</v>
      </c>
      <c r="P28" s="206">
        <f t="shared" si="30"/>
        <v>0</v>
      </c>
      <c r="Q28" s="206">
        <f t="shared" si="30"/>
        <v>0</v>
      </c>
      <c r="R28" s="206">
        <f t="shared" si="30"/>
        <v>0</v>
      </c>
      <c r="S28" s="206">
        <f t="shared" si="30"/>
        <v>0</v>
      </c>
      <c r="T28" s="206">
        <f t="shared" si="30"/>
        <v>0</v>
      </c>
      <c r="U28" s="206">
        <f t="shared" si="30"/>
        <v>0</v>
      </c>
      <c r="V28" s="206">
        <f t="shared" si="30"/>
        <v>0</v>
      </c>
      <c r="W28" s="206">
        <f t="shared" si="30"/>
        <v>0</v>
      </c>
      <c r="X28" s="206">
        <f t="shared" si="30"/>
        <v>0</v>
      </c>
      <c r="Y28" s="206">
        <f t="shared" si="30"/>
        <v>0</v>
      </c>
      <c r="Z28" s="206">
        <f t="shared" si="30"/>
        <v>0</v>
      </c>
      <c r="AA28" s="206">
        <f t="shared" si="30"/>
        <v>0</v>
      </c>
      <c r="AB28" s="206">
        <f t="shared" si="30"/>
        <v>0</v>
      </c>
      <c r="AC28" s="206">
        <f t="shared" si="30"/>
        <v>0</v>
      </c>
      <c r="AD28" s="206">
        <f t="shared" si="30"/>
        <v>0</v>
      </c>
      <c r="AE28" s="206">
        <f t="shared" si="30"/>
        <v>0</v>
      </c>
      <c r="AF28" s="206">
        <f t="shared" si="30"/>
        <v>0</v>
      </c>
      <c r="AG28" s="206">
        <f t="shared" si="30"/>
        <v>0</v>
      </c>
      <c r="AH28" s="206">
        <f t="shared" si="30"/>
        <v>0</v>
      </c>
      <c r="AI28" s="206">
        <f t="shared" si="30"/>
        <v>0</v>
      </c>
      <c r="AJ28" s="206">
        <f t="shared" si="30"/>
        <v>0</v>
      </c>
      <c r="AK28" s="206">
        <f t="shared" si="30"/>
        <v>0</v>
      </c>
      <c r="AL28" s="206">
        <f t="shared" si="30"/>
        <v>0</v>
      </c>
      <c r="AM28" s="206">
        <f t="shared" si="30"/>
        <v>0</v>
      </c>
      <c r="AN28" s="206">
        <f t="shared" si="30"/>
        <v>0</v>
      </c>
      <c r="AO28" s="206">
        <f t="shared" si="30"/>
        <v>0</v>
      </c>
      <c r="AP28" s="206">
        <f t="shared" si="30"/>
        <v>0</v>
      </c>
      <c r="AQ28" s="206">
        <f t="shared" si="30"/>
        <v>0</v>
      </c>
      <c r="AR28" s="206">
        <f t="shared" si="30"/>
        <v>0</v>
      </c>
      <c r="AS28" s="206">
        <f t="shared" si="30"/>
        <v>0</v>
      </c>
      <c r="AT28" s="206">
        <f t="shared" si="30"/>
        <v>0</v>
      </c>
      <c r="AU28" s="206">
        <f t="shared" si="30"/>
        <v>0</v>
      </c>
      <c r="AV28" s="206">
        <f t="shared" si="30"/>
        <v>0</v>
      </c>
      <c r="AW28" s="206">
        <f t="shared" si="30"/>
        <v>0</v>
      </c>
      <c r="AX28" s="206">
        <f t="shared" si="30"/>
        <v>0</v>
      </c>
      <c r="AY28" s="206">
        <f t="shared" si="30"/>
        <v>0</v>
      </c>
      <c r="AZ28" s="206">
        <f t="shared" si="30"/>
        <v>0</v>
      </c>
      <c r="BA28" s="206">
        <f t="shared" si="30"/>
        <v>0</v>
      </c>
      <c r="BB28" s="206">
        <f t="shared" si="30"/>
        <v>0</v>
      </c>
      <c r="BC28" s="206">
        <f t="shared" si="30"/>
        <v>0</v>
      </c>
      <c r="BD28" s="206">
        <f t="shared" si="30"/>
        <v>0</v>
      </c>
      <c r="BE28" s="206">
        <f t="shared" si="30"/>
        <v>0</v>
      </c>
      <c r="BF28" s="206">
        <f t="shared" si="30"/>
        <v>0</v>
      </c>
      <c r="BG28" s="206">
        <f t="shared" si="30"/>
        <v>0</v>
      </c>
      <c r="BH28" s="206">
        <f t="shared" si="30"/>
        <v>0</v>
      </c>
      <c r="BI28" s="206">
        <f t="shared" si="30"/>
        <v>0</v>
      </c>
    </row>
    <row r="29" spans="1:61" ht="12.75" x14ac:dyDescent="0.2">
      <c r="A29" s="207"/>
      <c r="B29" s="15" t="s">
        <v>183</v>
      </c>
      <c r="C29" s="15" t="s">
        <v>166</v>
      </c>
      <c r="D29" s="15" t="str">
        <f t="shared" si="7"/>
        <v>Engineering</v>
      </c>
      <c r="E29" s="193">
        <v>165000</v>
      </c>
      <c r="F29" s="202"/>
      <c r="G29" s="191"/>
      <c r="H29" s="192">
        <v>0.09</v>
      </c>
      <c r="I29" s="193">
        <f t="shared" si="8"/>
        <v>550</v>
      </c>
      <c r="J29" s="193">
        <v>500</v>
      </c>
      <c r="K29" s="206">
        <f t="shared" si="3"/>
        <v>1050</v>
      </c>
      <c r="L29" s="6"/>
      <c r="M29" s="6"/>
      <c r="N29" s="206">
        <f t="shared" ref="N29:BI29" si="31">IF($F29=0,0, IF(AND(N$1&gt;=$G29,$G29&lt;&gt;0),0,IF(N$1&gt;=$F29,$E29/12,0)))</f>
        <v>0</v>
      </c>
      <c r="O29" s="206">
        <f t="shared" si="31"/>
        <v>0</v>
      </c>
      <c r="P29" s="206">
        <f t="shared" si="31"/>
        <v>0</v>
      </c>
      <c r="Q29" s="206">
        <f t="shared" si="31"/>
        <v>0</v>
      </c>
      <c r="R29" s="206">
        <f t="shared" si="31"/>
        <v>0</v>
      </c>
      <c r="S29" s="206">
        <f t="shared" si="31"/>
        <v>0</v>
      </c>
      <c r="T29" s="206">
        <f t="shared" si="31"/>
        <v>0</v>
      </c>
      <c r="U29" s="206">
        <f t="shared" si="31"/>
        <v>0</v>
      </c>
      <c r="V29" s="206">
        <f t="shared" si="31"/>
        <v>0</v>
      </c>
      <c r="W29" s="206">
        <f t="shared" si="31"/>
        <v>0</v>
      </c>
      <c r="X29" s="206">
        <f t="shared" si="31"/>
        <v>0</v>
      </c>
      <c r="Y29" s="206">
        <f t="shared" si="31"/>
        <v>0</v>
      </c>
      <c r="Z29" s="206">
        <f t="shared" si="31"/>
        <v>0</v>
      </c>
      <c r="AA29" s="206">
        <f t="shared" si="31"/>
        <v>0</v>
      </c>
      <c r="AB29" s="206">
        <f t="shared" si="31"/>
        <v>0</v>
      </c>
      <c r="AC29" s="206">
        <f t="shared" si="31"/>
        <v>0</v>
      </c>
      <c r="AD29" s="206">
        <f t="shared" si="31"/>
        <v>0</v>
      </c>
      <c r="AE29" s="206">
        <f t="shared" si="31"/>
        <v>0</v>
      </c>
      <c r="AF29" s="206">
        <f t="shared" si="31"/>
        <v>0</v>
      </c>
      <c r="AG29" s="206">
        <f t="shared" si="31"/>
        <v>0</v>
      </c>
      <c r="AH29" s="206">
        <f t="shared" si="31"/>
        <v>0</v>
      </c>
      <c r="AI29" s="206">
        <f t="shared" si="31"/>
        <v>0</v>
      </c>
      <c r="AJ29" s="206">
        <f t="shared" si="31"/>
        <v>0</v>
      </c>
      <c r="AK29" s="206">
        <f t="shared" si="31"/>
        <v>0</v>
      </c>
      <c r="AL29" s="206">
        <f t="shared" si="31"/>
        <v>0</v>
      </c>
      <c r="AM29" s="206">
        <f t="shared" si="31"/>
        <v>0</v>
      </c>
      <c r="AN29" s="206">
        <f t="shared" si="31"/>
        <v>0</v>
      </c>
      <c r="AO29" s="206">
        <f t="shared" si="31"/>
        <v>0</v>
      </c>
      <c r="AP29" s="206">
        <f t="shared" si="31"/>
        <v>0</v>
      </c>
      <c r="AQ29" s="206">
        <f t="shared" si="31"/>
        <v>0</v>
      </c>
      <c r="AR29" s="206">
        <f t="shared" si="31"/>
        <v>0</v>
      </c>
      <c r="AS29" s="206">
        <f t="shared" si="31"/>
        <v>0</v>
      </c>
      <c r="AT29" s="206">
        <f t="shared" si="31"/>
        <v>0</v>
      </c>
      <c r="AU29" s="206">
        <f t="shared" si="31"/>
        <v>0</v>
      </c>
      <c r="AV29" s="206">
        <f t="shared" si="31"/>
        <v>0</v>
      </c>
      <c r="AW29" s="206">
        <f t="shared" si="31"/>
        <v>0</v>
      </c>
      <c r="AX29" s="206">
        <f t="shared" si="31"/>
        <v>0</v>
      </c>
      <c r="AY29" s="206">
        <f t="shared" si="31"/>
        <v>0</v>
      </c>
      <c r="AZ29" s="206">
        <f t="shared" si="31"/>
        <v>0</v>
      </c>
      <c r="BA29" s="206">
        <f t="shared" si="31"/>
        <v>0</v>
      </c>
      <c r="BB29" s="206">
        <f t="shared" si="31"/>
        <v>0</v>
      </c>
      <c r="BC29" s="206">
        <f t="shared" si="31"/>
        <v>0</v>
      </c>
      <c r="BD29" s="206">
        <f t="shared" si="31"/>
        <v>0</v>
      </c>
      <c r="BE29" s="206">
        <f t="shared" si="31"/>
        <v>0</v>
      </c>
      <c r="BF29" s="206">
        <f t="shared" si="31"/>
        <v>0</v>
      </c>
      <c r="BG29" s="206">
        <f t="shared" si="31"/>
        <v>0</v>
      </c>
      <c r="BH29" s="206">
        <f t="shared" si="31"/>
        <v>0</v>
      </c>
      <c r="BI29" s="206">
        <f t="shared" si="31"/>
        <v>0</v>
      </c>
    </row>
    <row r="30" spans="1:61" ht="12.75" x14ac:dyDescent="0.2">
      <c r="A30" s="189"/>
      <c r="B30" s="15" t="s">
        <v>184</v>
      </c>
      <c r="C30" s="15" t="s">
        <v>166</v>
      </c>
      <c r="D30" s="15" t="str">
        <f t="shared" si="7"/>
        <v>Engineering</v>
      </c>
      <c r="E30" s="193">
        <v>165000</v>
      </c>
      <c r="F30" s="202"/>
      <c r="G30" s="191"/>
      <c r="H30" s="192">
        <v>0.09</v>
      </c>
      <c r="I30" s="193">
        <f t="shared" si="8"/>
        <v>550</v>
      </c>
      <c r="J30" s="193">
        <v>500</v>
      </c>
      <c r="K30" s="206">
        <f t="shared" si="3"/>
        <v>1050</v>
      </c>
      <c r="L30" s="6"/>
      <c r="M30" s="6"/>
      <c r="N30" s="206">
        <f t="shared" ref="N30:BI30" si="32">IF($F30=0,0, IF(AND(N$1&gt;=$G30,$G30&lt;&gt;0),0,IF(N$1&gt;=$F30,$E30/12,0)))</f>
        <v>0</v>
      </c>
      <c r="O30" s="206">
        <f t="shared" si="32"/>
        <v>0</v>
      </c>
      <c r="P30" s="206">
        <f t="shared" si="32"/>
        <v>0</v>
      </c>
      <c r="Q30" s="206">
        <f t="shared" si="32"/>
        <v>0</v>
      </c>
      <c r="R30" s="206">
        <f t="shared" si="32"/>
        <v>0</v>
      </c>
      <c r="S30" s="206">
        <f t="shared" si="32"/>
        <v>0</v>
      </c>
      <c r="T30" s="206">
        <f t="shared" si="32"/>
        <v>0</v>
      </c>
      <c r="U30" s="206">
        <f t="shared" si="32"/>
        <v>0</v>
      </c>
      <c r="V30" s="206">
        <f t="shared" si="32"/>
        <v>0</v>
      </c>
      <c r="W30" s="206">
        <f t="shared" si="32"/>
        <v>0</v>
      </c>
      <c r="X30" s="206">
        <f t="shared" si="32"/>
        <v>0</v>
      </c>
      <c r="Y30" s="206">
        <f t="shared" si="32"/>
        <v>0</v>
      </c>
      <c r="Z30" s="206">
        <f t="shared" si="32"/>
        <v>0</v>
      </c>
      <c r="AA30" s="206">
        <f t="shared" si="32"/>
        <v>0</v>
      </c>
      <c r="AB30" s="206">
        <f t="shared" si="32"/>
        <v>0</v>
      </c>
      <c r="AC30" s="206">
        <f t="shared" si="32"/>
        <v>0</v>
      </c>
      <c r="AD30" s="206">
        <f t="shared" si="32"/>
        <v>0</v>
      </c>
      <c r="AE30" s="206">
        <f t="shared" si="32"/>
        <v>0</v>
      </c>
      <c r="AF30" s="206">
        <f t="shared" si="32"/>
        <v>0</v>
      </c>
      <c r="AG30" s="206">
        <f t="shared" si="32"/>
        <v>0</v>
      </c>
      <c r="AH30" s="206">
        <f t="shared" si="32"/>
        <v>0</v>
      </c>
      <c r="AI30" s="206">
        <f t="shared" si="32"/>
        <v>0</v>
      </c>
      <c r="AJ30" s="206">
        <f t="shared" si="32"/>
        <v>0</v>
      </c>
      <c r="AK30" s="206">
        <f t="shared" si="32"/>
        <v>0</v>
      </c>
      <c r="AL30" s="206">
        <f t="shared" si="32"/>
        <v>0</v>
      </c>
      <c r="AM30" s="206">
        <f t="shared" si="32"/>
        <v>0</v>
      </c>
      <c r="AN30" s="206">
        <f t="shared" si="32"/>
        <v>0</v>
      </c>
      <c r="AO30" s="206">
        <f t="shared" si="32"/>
        <v>0</v>
      </c>
      <c r="AP30" s="206">
        <f t="shared" si="32"/>
        <v>0</v>
      </c>
      <c r="AQ30" s="206">
        <f t="shared" si="32"/>
        <v>0</v>
      </c>
      <c r="AR30" s="206">
        <f t="shared" si="32"/>
        <v>0</v>
      </c>
      <c r="AS30" s="206">
        <f t="shared" si="32"/>
        <v>0</v>
      </c>
      <c r="AT30" s="206">
        <f t="shared" si="32"/>
        <v>0</v>
      </c>
      <c r="AU30" s="206">
        <f t="shared" si="32"/>
        <v>0</v>
      </c>
      <c r="AV30" s="206">
        <f t="shared" si="32"/>
        <v>0</v>
      </c>
      <c r="AW30" s="206">
        <f t="shared" si="32"/>
        <v>0</v>
      </c>
      <c r="AX30" s="206">
        <f t="shared" si="32"/>
        <v>0</v>
      </c>
      <c r="AY30" s="206">
        <f t="shared" si="32"/>
        <v>0</v>
      </c>
      <c r="AZ30" s="206">
        <f t="shared" si="32"/>
        <v>0</v>
      </c>
      <c r="BA30" s="206">
        <f t="shared" si="32"/>
        <v>0</v>
      </c>
      <c r="BB30" s="206">
        <f t="shared" si="32"/>
        <v>0</v>
      </c>
      <c r="BC30" s="206">
        <f t="shared" si="32"/>
        <v>0</v>
      </c>
      <c r="BD30" s="206">
        <f t="shared" si="32"/>
        <v>0</v>
      </c>
      <c r="BE30" s="206">
        <f t="shared" si="32"/>
        <v>0</v>
      </c>
      <c r="BF30" s="206">
        <f t="shared" si="32"/>
        <v>0</v>
      </c>
      <c r="BG30" s="206">
        <f t="shared" si="32"/>
        <v>0</v>
      </c>
      <c r="BH30" s="206">
        <f t="shared" si="32"/>
        <v>0</v>
      </c>
      <c r="BI30" s="206">
        <f t="shared" si="32"/>
        <v>0</v>
      </c>
    </row>
    <row r="31" spans="1:61" ht="12.75" x14ac:dyDescent="0.2">
      <c r="A31" s="189"/>
      <c r="B31" s="15" t="s">
        <v>185</v>
      </c>
      <c r="C31" s="15" t="s">
        <v>163</v>
      </c>
      <c r="D31" s="15" t="str">
        <f t="shared" si="7"/>
        <v>Engineering</v>
      </c>
      <c r="E31" s="193">
        <v>165000</v>
      </c>
      <c r="F31" s="202"/>
      <c r="G31" s="191"/>
      <c r="H31" s="192">
        <v>0.09</v>
      </c>
      <c r="I31" s="193">
        <f t="shared" si="8"/>
        <v>550</v>
      </c>
      <c r="J31" s="193">
        <v>500</v>
      </c>
      <c r="K31" s="206">
        <f t="shared" si="3"/>
        <v>1050</v>
      </c>
      <c r="L31" s="6"/>
      <c r="M31" s="6"/>
      <c r="N31" s="206">
        <f t="shared" ref="N31:BI31" si="33">IF($F31=0,0, IF(AND(N$1&gt;=$G31,$G31&lt;&gt;0),0,IF(N$1&gt;=$F31,$E31/12,0)))</f>
        <v>0</v>
      </c>
      <c r="O31" s="206">
        <f t="shared" si="33"/>
        <v>0</v>
      </c>
      <c r="P31" s="206">
        <f t="shared" si="33"/>
        <v>0</v>
      </c>
      <c r="Q31" s="206">
        <f t="shared" si="33"/>
        <v>0</v>
      </c>
      <c r="R31" s="206">
        <f t="shared" si="33"/>
        <v>0</v>
      </c>
      <c r="S31" s="206">
        <f t="shared" si="33"/>
        <v>0</v>
      </c>
      <c r="T31" s="206">
        <f t="shared" si="33"/>
        <v>0</v>
      </c>
      <c r="U31" s="206">
        <f t="shared" si="33"/>
        <v>0</v>
      </c>
      <c r="V31" s="206">
        <f t="shared" si="33"/>
        <v>0</v>
      </c>
      <c r="W31" s="206">
        <f t="shared" si="33"/>
        <v>0</v>
      </c>
      <c r="X31" s="206">
        <f t="shared" si="33"/>
        <v>0</v>
      </c>
      <c r="Y31" s="206">
        <f t="shared" si="33"/>
        <v>0</v>
      </c>
      <c r="Z31" s="206">
        <f t="shared" si="33"/>
        <v>0</v>
      </c>
      <c r="AA31" s="206">
        <f t="shared" si="33"/>
        <v>0</v>
      </c>
      <c r="AB31" s="206">
        <f t="shared" si="33"/>
        <v>0</v>
      </c>
      <c r="AC31" s="206">
        <f t="shared" si="33"/>
        <v>0</v>
      </c>
      <c r="AD31" s="206">
        <f t="shared" si="33"/>
        <v>0</v>
      </c>
      <c r="AE31" s="206">
        <f t="shared" si="33"/>
        <v>0</v>
      </c>
      <c r="AF31" s="206">
        <f t="shared" si="33"/>
        <v>0</v>
      </c>
      <c r="AG31" s="206">
        <f t="shared" si="33"/>
        <v>0</v>
      </c>
      <c r="AH31" s="206">
        <f t="shared" si="33"/>
        <v>0</v>
      </c>
      <c r="AI31" s="206">
        <f t="shared" si="33"/>
        <v>0</v>
      </c>
      <c r="AJ31" s="206">
        <f t="shared" si="33"/>
        <v>0</v>
      </c>
      <c r="AK31" s="206">
        <f t="shared" si="33"/>
        <v>0</v>
      </c>
      <c r="AL31" s="206">
        <f t="shared" si="33"/>
        <v>0</v>
      </c>
      <c r="AM31" s="206">
        <f t="shared" si="33"/>
        <v>0</v>
      </c>
      <c r="AN31" s="206">
        <f t="shared" si="33"/>
        <v>0</v>
      </c>
      <c r="AO31" s="206">
        <f t="shared" si="33"/>
        <v>0</v>
      </c>
      <c r="AP31" s="206">
        <f t="shared" si="33"/>
        <v>0</v>
      </c>
      <c r="AQ31" s="206">
        <f t="shared" si="33"/>
        <v>0</v>
      </c>
      <c r="AR31" s="206">
        <f t="shared" si="33"/>
        <v>0</v>
      </c>
      <c r="AS31" s="206">
        <f t="shared" si="33"/>
        <v>0</v>
      </c>
      <c r="AT31" s="206">
        <f t="shared" si="33"/>
        <v>0</v>
      </c>
      <c r="AU31" s="206">
        <f t="shared" si="33"/>
        <v>0</v>
      </c>
      <c r="AV31" s="206">
        <f t="shared" si="33"/>
        <v>0</v>
      </c>
      <c r="AW31" s="206">
        <f t="shared" si="33"/>
        <v>0</v>
      </c>
      <c r="AX31" s="206">
        <f t="shared" si="33"/>
        <v>0</v>
      </c>
      <c r="AY31" s="206">
        <f t="shared" si="33"/>
        <v>0</v>
      </c>
      <c r="AZ31" s="206">
        <f t="shared" si="33"/>
        <v>0</v>
      </c>
      <c r="BA31" s="206">
        <f t="shared" si="33"/>
        <v>0</v>
      </c>
      <c r="BB31" s="206">
        <f t="shared" si="33"/>
        <v>0</v>
      </c>
      <c r="BC31" s="206">
        <f t="shared" si="33"/>
        <v>0</v>
      </c>
      <c r="BD31" s="206">
        <f t="shared" si="33"/>
        <v>0</v>
      </c>
      <c r="BE31" s="206">
        <f t="shared" si="33"/>
        <v>0</v>
      </c>
      <c r="BF31" s="206">
        <f t="shared" si="33"/>
        <v>0</v>
      </c>
      <c r="BG31" s="206">
        <f t="shared" si="33"/>
        <v>0</v>
      </c>
      <c r="BH31" s="206">
        <f t="shared" si="33"/>
        <v>0</v>
      </c>
      <c r="BI31" s="206">
        <f t="shared" si="33"/>
        <v>0</v>
      </c>
    </row>
    <row r="32" spans="1:61" ht="12.75" x14ac:dyDescent="0.2">
      <c r="A32" s="189"/>
      <c r="B32" s="189" t="s">
        <v>186</v>
      </c>
      <c r="C32" s="15"/>
      <c r="D32" s="15"/>
      <c r="E32" s="206"/>
      <c r="F32" s="194"/>
      <c r="G32" s="194"/>
      <c r="H32" s="208"/>
      <c r="I32" s="206"/>
      <c r="J32" s="206"/>
      <c r="K32" s="206">
        <f t="shared" si="3"/>
        <v>0</v>
      </c>
      <c r="L32" s="6"/>
      <c r="M32" s="6"/>
      <c r="N32" s="206">
        <f t="shared" ref="N32:BI32" si="34">IF($F32=0,0, IF(AND(N$1&gt;=$G32,$G32&lt;&gt;0),0,IF(N$1&gt;=$F32,$E32/12,0)))</f>
        <v>0</v>
      </c>
      <c r="O32" s="206">
        <f t="shared" si="34"/>
        <v>0</v>
      </c>
      <c r="P32" s="206">
        <f t="shared" si="34"/>
        <v>0</v>
      </c>
      <c r="Q32" s="206">
        <f t="shared" si="34"/>
        <v>0</v>
      </c>
      <c r="R32" s="206">
        <f t="shared" si="34"/>
        <v>0</v>
      </c>
      <c r="S32" s="206">
        <f t="shared" si="34"/>
        <v>0</v>
      </c>
      <c r="T32" s="206">
        <f t="shared" si="34"/>
        <v>0</v>
      </c>
      <c r="U32" s="206">
        <f t="shared" si="34"/>
        <v>0</v>
      </c>
      <c r="V32" s="206">
        <f t="shared" si="34"/>
        <v>0</v>
      </c>
      <c r="W32" s="206">
        <f t="shared" si="34"/>
        <v>0</v>
      </c>
      <c r="X32" s="206">
        <f t="shared" si="34"/>
        <v>0</v>
      </c>
      <c r="Y32" s="206">
        <f t="shared" si="34"/>
        <v>0</v>
      </c>
      <c r="Z32" s="206">
        <f t="shared" si="34"/>
        <v>0</v>
      </c>
      <c r="AA32" s="206">
        <f t="shared" si="34"/>
        <v>0</v>
      </c>
      <c r="AB32" s="206">
        <f t="shared" si="34"/>
        <v>0</v>
      </c>
      <c r="AC32" s="206">
        <f t="shared" si="34"/>
        <v>0</v>
      </c>
      <c r="AD32" s="206">
        <f t="shared" si="34"/>
        <v>0</v>
      </c>
      <c r="AE32" s="206">
        <f t="shared" si="34"/>
        <v>0</v>
      </c>
      <c r="AF32" s="206">
        <f t="shared" si="34"/>
        <v>0</v>
      </c>
      <c r="AG32" s="206">
        <f t="shared" si="34"/>
        <v>0</v>
      </c>
      <c r="AH32" s="206">
        <f t="shared" si="34"/>
        <v>0</v>
      </c>
      <c r="AI32" s="206">
        <f t="shared" si="34"/>
        <v>0</v>
      </c>
      <c r="AJ32" s="206">
        <f t="shared" si="34"/>
        <v>0</v>
      </c>
      <c r="AK32" s="206">
        <f t="shared" si="34"/>
        <v>0</v>
      </c>
      <c r="AL32" s="206">
        <f t="shared" si="34"/>
        <v>0</v>
      </c>
      <c r="AM32" s="206">
        <f t="shared" si="34"/>
        <v>0</v>
      </c>
      <c r="AN32" s="206">
        <f t="shared" si="34"/>
        <v>0</v>
      </c>
      <c r="AO32" s="206">
        <f t="shared" si="34"/>
        <v>0</v>
      </c>
      <c r="AP32" s="206">
        <f t="shared" si="34"/>
        <v>0</v>
      </c>
      <c r="AQ32" s="206">
        <f t="shared" si="34"/>
        <v>0</v>
      </c>
      <c r="AR32" s="206">
        <f t="shared" si="34"/>
        <v>0</v>
      </c>
      <c r="AS32" s="206">
        <f t="shared" si="34"/>
        <v>0</v>
      </c>
      <c r="AT32" s="206">
        <f t="shared" si="34"/>
        <v>0</v>
      </c>
      <c r="AU32" s="206">
        <f t="shared" si="34"/>
        <v>0</v>
      </c>
      <c r="AV32" s="206">
        <f t="shared" si="34"/>
        <v>0</v>
      </c>
      <c r="AW32" s="206">
        <f t="shared" si="34"/>
        <v>0</v>
      </c>
      <c r="AX32" s="206">
        <f t="shared" si="34"/>
        <v>0</v>
      </c>
      <c r="AY32" s="206">
        <f t="shared" si="34"/>
        <v>0</v>
      </c>
      <c r="AZ32" s="206">
        <f t="shared" si="34"/>
        <v>0</v>
      </c>
      <c r="BA32" s="206">
        <f t="shared" si="34"/>
        <v>0</v>
      </c>
      <c r="BB32" s="206">
        <f t="shared" si="34"/>
        <v>0</v>
      </c>
      <c r="BC32" s="206">
        <f t="shared" si="34"/>
        <v>0</v>
      </c>
      <c r="BD32" s="206">
        <f t="shared" si="34"/>
        <v>0</v>
      </c>
      <c r="BE32" s="206">
        <f t="shared" si="34"/>
        <v>0</v>
      </c>
      <c r="BF32" s="206">
        <f t="shared" si="34"/>
        <v>0</v>
      </c>
      <c r="BG32" s="206">
        <f t="shared" si="34"/>
        <v>0</v>
      </c>
      <c r="BH32" s="206">
        <f t="shared" si="34"/>
        <v>0</v>
      </c>
      <c r="BI32" s="206">
        <f t="shared" si="34"/>
        <v>0</v>
      </c>
    </row>
    <row r="33" spans="1:61" ht="12.75" x14ac:dyDescent="0.2">
      <c r="A33" s="15"/>
      <c r="B33" s="15" t="s">
        <v>188</v>
      </c>
      <c r="C33" s="15" t="s">
        <v>189</v>
      </c>
      <c r="D33" s="15" t="str">
        <f t="shared" ref="D33:D38" si="35">$B$32</f>
        <v>Marketing</v>
      </c>
      <c r="E33" s="190">
        <v>210000</v>
      </c>
      <c r="F33" s="191">
        <v>43678</v>
      </c>
      <c r="G33" s="191"/>
      <c r="H33" s="192">
        <v>0.09</v>
      </c>
      <c r="I33" s="193">
        <f t="shared" ref="I33:I38" si="36">0.04*E33/12</f>
        <v>700</v>
      </c>
      <c r="J33" s="193">
        <v>500</v>
      </c>
      <c r="K33" s="206">
        <f t="shared" si="3"/>
        <v>1200</v>
      </c>
      <c r="L33" s="6"/>
      <c r="M33" s="6"/>
      <c r="N33" s="206">
        <f t="shared" ref="N33:BI33" si="37">IF($F33=0,0, IF(AND(N$1&gt;=$G33,$G33&lt;&gt;0),0,IF(N$1&gt;=$F33,$E33/12,0)))</f>
        <v>17500</v>
      </c>
      <c r="O33" s="206">
        <f t="shared" si="37"/>
        <v>17500</v>
      </c>
      <c r="P33" s="206">
        <f t="shared" si="37"/>
        <v>17500</v>
      </c>
      <c r="Q33" s="206">
        <f t="shared" si="37"/>
        <v>17500</v>
      </c>
      <c r="R33" s="206">
        <f t="shared" si="37"/>
        <v>17500</v>
      </c>
      <c r="S33" s="206">
        <f t="shared" si="37"/>
        <v>17500</v>
      </c>
      <c r="T33" s="206">
        <f t="shared" si="37"/>
        <v>17500</v>
      </c>
      <c r="U33" s="206">
        <f t="shared" si="37"/>
        <v>17500</v>
      </c>
      <c r="V33" s="206">
        <f t="shared" si="37"/>
        <v>17500</v>
      </c>
      <c r="W33" s="206">
        <f t="shared" si="37"/>
        <v>17500</v>
      </c>
      <c r="X33" s="206">
        <f t="shared" si="37"/>
        <v>17500</v>
      </c>
      <c r="Y33" s="206">
        <f t="shared" si="37"/>
        <v>17500</v>
      </c>
      <c r="Z33" s="206">
        <f t="shared" si="37"/>
        <v>17500</v>
      </c>
      <c r="AA33" s="206">
        <f t="shared" si="37"/>
        <v>17500</v>
      </c>
      <c r="AB33" s="206">
        <f t="shared" si="37"/>
        <v>17500</v>
      </c>
      <c r="AC33" s="206">
        <f t="shared" si="37"/>
        <v>17500</v>
      </c>
      <c r="AD33" s="206">
        <f t="shared" si="37"/>
        <v>17500</v>
      </c>
      <c r="AE33" s="206">
        <f t="shared" si="37"/>
        <v>17500</v>
      </c>
      <c r="AF33" s="206">
        <f t="shared" si="37"/>
        <v>17500</v>
      </c>
      <c r="AG33" s="206">
        <f t="shared" si="37"/>
        <v>17500</v>
      </c>
      <c r="AH33" s="206">
        <f t="shared" si="37"/>
        <v>17500</v>
      </c>
      <c r="AI33" s="206">
        <f t="shared" si="37"/>
        <v>17500</v>
      </c>
      <c r="AJ33" s="206">
        <f t="shared" si="37"/>
        <v>17500</v>
      </c>
      <c r="AK33" s="206">
        <f t="shared" si="37"/>
        <v>17500</v>
      </c>
      <c r="AL33" s="206">
        <f t="shared" si="37"/>
        <v>17500</v>
      </c>
      <c r="AM33" s="206">
        <f t="shared" si="37"/>
        <v>17500</v>
      </c>
      <c r="AN33" s="206">
        <f t="shared" si="37"/>
        <v>17500</v>
      </c>
      <c r="AO33" s="206">
        <f t="shared" si="37"/>
        <v>17500</v>
      </c>
      <c r="AP33" s="206">
        <f t="shared" si="37"/>
        <v>17500</v>
      </c>
      <c r="AQ33" s="206">
        <f t="shared" si="37"/>
        <v>17500</v>
      </c>
      <c r="AR33" s="206">
        <f t="shared" si="37"/>
        <v>17500</v>
      </c>
      <c r="AS33" s="206">
        <f t="shared" si="37"/>
        <v>17500</v>
      </c>
      <c r="AT33" s="206">
        <f t="shared" si="37"/>
        <v>17500</v>
      </c>
      <c r="AU33" s="206">
        <f t="shared" si="37"/>
        <v>17500</v>
      </c>
      <c r="AV33" s="206">
        <f t="shared" si="37"/>
        <v>17500</v>
      </c>
      <c r="AW33" s="206">
        <f t="shared" si="37"/>
        <v>17500</v>
      </c>
      <c r="AX33" s="206">
        <f t="shared" si="37"/>
        <v>17500</v>
      </c>
      <c r="AY33" s="206">
        <f t="shared" si="37"/>
        <v>17500</v>
      </c>
      <c r="AZ33" s="206">
        <f t="shared" si="37"/>
        <v>17500</v>
      </c>
      <c r="BA33" s="206">
        <f t="shared" si="37"/>
        <v>17500</v>
      </c>
      <c r="BB33" s="206">
        <f t="shared" si="37"/>
        <v>17500</v>
      </c>
      <c r="BC33" s="206">
        <f t="shared" si="37"/>
        <v>17500</v>
      </c>
      <c r="BD33" s="206">
        <f t="shared" si="37"/>
        <v>17500</v>
      </c>
      <c r="BE33" s="206">
        <f t="shared" si="37"/>
        <v>17500</v>
      </c>
      <c r="BF33" s="206">
        <f t="shared" si="37"/>
        <v>17500</v>
      </c>
      <c r="BG33" s="206">
        <f t="shared" si="37"/>
        <v>17500</v>
      </c>
      <c r="BH33" s="206">
        <f t="shared" si="37"/>
        <v>17500</v>
      </c>
      <c r="BI33" s="206">
        <f t="shared" si="37"/>
        <v>17500</v>
      </c>
    </row>
    <row r="34" spans="1:61" ht="12.75" x14ac:dyDescent="0.2">
      <c r="A34" s="15"/>
      <c r="B34" s="15" t="s">
        <v>190</v>
      </c>
      <c r="C34" s="6" t="s">
        <v>191</v>
      </c>
      <c r="D34" s="6" t="str">
        <f t="shared" si="35"/>
        <v>Marketing</v>
      </c>
      <c r="E34" s="205">
        <v>100000</v>
      </c>
      <c r="F34" s="191">
        <v>43466</v>
      </c>
      <c r="G34" s="191"/>
      <c r="H34" s="192">
        <v>0.09</v>
      </c>
      <c r="I34" s="193">
        <f t="shared" si="36"/>
        <v>333.33333333333331</v>
      </c>
      <c r="J34" s="205">
        <v>500</v>
      </c>
      <c r="K34" s="206">
        <f t="shared" si="3"/>
        <v>833.33333333333326</v>
      </c>
      <c r="L34" s="6"/>
      <c r="M34" s="6"/>
      <c r="N34" s="206">
        <f t="shared" ref="N34:BI34" si="38">IF($F34=0,0, IF(AND(N$1&gt;=$G34,$G34&lt;&gt;0),0,IF(N$1&gt;=$F34,$E34/12,0)))</f>
        <v>8333.3333333333339</v>
      </c>
      <c r="O34" s="206">
        <f t="shared" si="38"/>
        <v>8333.3333333333339</v>
      </c>
      <c r="P34" s="206">
        <f t="shared" si="38"/>
        <v>8333.3333333333339</v>
      </c>
      <c r="Q34" s="206">
        <f t="shared" si="38"/>
        <v>8333.3333333333339</v>
      </c>
      <c r="R34" s="206">
        <f t="shared" si="38"/>
        <v>8333.3333333333339</v>
      </c>
      <c r="S34" s="206">
        <f t="shared" si="38"/>
        <v>8333.3333333333339</v>
      </c>
      <c r="T34" s="206">
        <f t="shared" si="38"/>
        <v>8333.3333333333339</v>
      </c>
      <c r="U34" s="206">
        <f t="shared" si="38"/>
        <v>8333.3333333333339</v>
      </c>
      <c r="V34" s="206">
        <f t="shared" si="38"/>
        <v>8333.3333333333339</v>
      </c>
      <c r="W34" s="206">
        <f t="shared" si="38"/>
        <v>8333.3333333333339</v>
      </c>
      <c r="X34" s="206">
        <f t="shared" si="38"/>
        <v>8333.3333333333339</v>
      </c>
      <c r="Y34" s="206">
        <f t="shared" si="38"/>
        <v>8333.3333333333339</v>
      </c>
      <c r="Z34" s="206">
        <f t="shared" si="38"/>
        <v>8333.3333333333339</v>
      </c>
      <c r="AA34" s="206">
        <f t="shared" si="38"/>
        <v>8333.3333333333339</v>
      </c>
      <c r="AB34" s="206">
        <f t="shared" si="38"/>
        <v>8333.3333333333339</v>
      </c>
      <c r="AC34" s="206">
        <f t="shared" si="38"/>
        <v>8333.3333333333339</v>
      </c>
      <c r="AD34" s="206">
        <f t="shared" si="38"/>
        <v>8333.3333333333339</v>
      </c>
      <c r="AE34" s="206">
        <f t="shared" si="38"/>
        <v>8333.3333333333339</v>
      </c>
      <c r="AF34" s="206">
        <f t="shared" si="38"/>
        <v>8333.3333333333339</v>
      </c>
      <c r="AG34" s="206">
        <f t="shared" si="38"/>
        <v>8333.3333333333339</v>
      </c>
      <c r="AH34" s="206">
        <f t="shared" si="38"/>
        <v>8333.3333333333339</v>
      </c>
      <c r="AI34" s="206">
        <f t="shared" si="38"/>
        <v>8333.3333333333339</v>
      </c>
      <c r="AJ34" s="206">
        <f t="shared" si="38"/>
        <v>8333.3333333333339</v>
      </c>
      <c r="AK34" s="206">
        <f t="shared" si="38"/>
        <v>8333.3333333333339</v>
      </c>
      <c r="AL34" s="206">
        <f t="shared" si="38"/>
        <v>8333.3333333333339</v>
      </c>
      <c r="AM34" s="206">
        <f t="shared" si="38"/>
        <v>8333.3333333333339</v>
      </c>
      <c r="AN34" s="206">
        <f t="shared" si="38"/>
        <v>8333.3333333333339</v>
      </c>
      <c r="AO34" s="206">
        <f t="shared" si="38"/>
        <v>8333.3333333333339</v>
      </c>
      <c r="AP34" s="206">
        <f t="shared" si="38"/>
        <v>8333.3333333333339</v>
      </c>
      <c r="AQ34" s="206">
        <f t="shared" si="38"/>
        <v>8333.3333333333339</v>
      </c>
      <c r="AR34" s="206">
        <f t="shared" si="38"/>
        <v>8333.3333333333339</v>
      </c>
      <c r="AS34" s="206">
        <f t="shared" si="38"/>
        <v>8333.3333333333339</v>
      </c>
      <c r="AT34" s="206">
        <f t="shared" si="38"/>
        <v>8333.3333333333339</v>
      </c>
      <c r="AU34" s="206">
        <f t="shared" si="38"/>
        <v>8333.3333333333339</v>
      </c>
      <c r="AV34" s="206">
        <f t="shared" si="38"/>
        <v>8333.3333333333339</v>
      </c>
      <c r="AW34" s="206">
        <f t="shared" si="38"/>
        <v>8333.3333333333339</v>
      </c>
      <c r="AX34" s="206">
        <f t="shared" si="38"/>
        <v>8333.3333333333339</v>
      </c>
      <c r="AY34" s="206">
        <f t="shared" si="38"/>
        <v>8333.3333333333339</v>
      </c>
      <c r="AZ34" s="206">
        <f t="shared" si="38"/>
        <v>8333.3333333333339</v>
      </c>
      <c r="BA34" s="206">
        <f t="shared" si="38"/>
        <v>8333.3333333333339</v>
      </c>
      <c r="BB34" s="206">
        <f t="shared" si="38"/>
        <v>8333.3333333333339</v>
      </c>
      <c r="BC34" s="206">
        <f t="shared" si="38"/>
        <v>8333.3333333333339</v>
      </c>
      <c r="BD34" s="206">
        <f t="shared" si="38"/>
        <v>8333.3333333333339</v>
      </c>
      <c r="BE34" s="206">
        <f t="shared" si="38"/>
        <v>8333.3333333333339</v>
      </c>
      <c r="BF34" s="206">
        <f t="shared" si="38"/>
        <v>8333.3333333333339</v>
      </c>
      <c r="BG34" s="206">
        <f t="shared" si="38"/>
        <v>8333.3333333333339</v>
      </c>
      <c r="BH34" s="206">
        <f t="shared" si="38"/>
        <v>8333.3333333333339</v>
      </c>
      <c r="BI34" s="206">
        <f t="shared" si="38"/>
        <v>8333.3333333333339</v>
      </c>
    </row>
    <row r="35" spans="1:61" ht="12.75" x14ac:dyDescent="0.2">
      <c r="A35" s="207"/>
      <c r="B35" s="15" t="s">
        <v>176</v>
      </c>
      <c r="C35" s="15" t="s">
        <v>192</v>
      </c>
      <c r="D35" s="15" t="str">
        <f t="shared" si="35"/>
        <v>Marketing</v>
      </c>
      <c r="E35" s="193">
        <v>100000</v>
      </c>
      <c r="F35" s="202"/>
      <c r="G35" s="191"/>
      <c r="H35" s="192">
        <v>0.09</v>
      </c>
      <c r="I35" s="193">
        <f t="shared" si="36"/>
        <v>333.33333333333331</v>
      </c>
      <c r="J35" s="193">
        <v>500</v>
      </c>
      <c r="K35" s="206">
        <f t="shared" si="3"/>
        <v>833.33333333333326</v>
      </c>
      <c r="L35" s="6"/>
      <c r="M35" s="6"/>
      <c r="N35" s="206">
        <f t="shared" ref="N35:BI35" si="39">IF($F35=0,0, IF(AND(N$1&gt;=$G35,$G35&lt;&gt;0),0,IF(N$1&gt;=$F35,$E35/12,0)))</f>
        <v>0</v>
      </c>
      <c r="O35" s="206">
        <f t="shared" si="39"/>
        <v>0</v>
      </c>
      <c r="P35" s="206">
        <f t="shared" si="39"/>
        <v>0</v>
      </c>
      <c r="Q35" s="206">
        <f t="shared" si="39"/>
        <v>0</v>
      </c>
      <c r="R35" s="206">
        <f t="shared" si="39"/>
        <v>0</v>
      </c>
      <c r="S35" s="206">
        <f t="shared" si="39"/>
        <v>0</v>
      </c>
      <c r="T35" s="206">
        <f t="shared" si="39"/>
        <v>0</v>
      </c>
      <c r="U35" s="206">
        <f t="shared" si="39"/>
        <v>0</v>
      </c>
      <c r="V35" s="206">
        <f t="shared" si="39"/>
        <v>0</v>
      </c>
      <c r="W35" s="206">
        <f t="shared" si="39"/>
        <v>0</v>
      </c>
      <c r="X35" s="206">
        <f t="shared" si="39"/>
        <v>0</v>
      </c>
      <c r="Y35" s="206">
        <f t="shared" si="39"/>
        <v>0</v>
      </c>
      <c r="Z35" s="206">
        <f t="shared" si="39"/>
        <v>0</v>
      </c>
      <c r="AA35" s="206">
        <f t="shared" si="39"/>
        <v>0</v>
      </c>
      <c r="AB35" s="206">
        <f t="shared" si="39"/>
        <v>0</v>
      </c>
      <c r="AC35" s="206">
        <f t="shared" si="39"/>
        <v>0</v>
      </c>
      <c r="AD35" s="206">
        <f t="shared" si="39"/>
        <v>0</v>
      </c>
      <c r="AE35" s="206">
        <f t="shared" si="39"/>
        <v>0</v>
      </c>
      <c r="AF35" s="206">
        <f t="shared" si="39"/>
        <v>0</v>
      </c>
      <c r="AG35" s="206">
        <f t="shared" si="39"/>
        <v>0</v>
      </c>
      <c r="AH35" s="206">
        <f t="shared" si="39"/>
        <v>0</v>
      </c>
      <c r="AI35" s="206">
        <f t="shared" si="39"/>
        <v>0</v>
      </c>
      <c r="AJ35" s="206">
        <f t="shared" si="39"/>
        <v>0</v>
      </c>
      <c r="AK35" s="206">
        <f t="shared" si="39"/>
        <v>0</v>
      </c>
      <c r="AL35" s="206">
        <f t="shared" si="39"/>
        <v>0</v>
      </c>
      <c r="AM35" s="206">
        <f t="shared" si="39"/>
        <v>0</v>
      </c>
      <c r="AN35" s="206">
        <f t="shared" si="39"/>
        <v>0</v>
      </c>
      <c r="AO35" s="206">
        <f t="shared" si="39"/>
        <v>0</v>
      </c>
      <c r="AP35" s="206">
        <f t="shared" si="39"/>
        <v>0</v>
      </c>
      <c r="AQ35" s="206">
        <f t="shared" si="39"/>
        <v>0</v>
      </c>
      <c r="AR35" s="206">
        <f t="shared" si="39"/>
        <v>0</v>
      </c>
      <c r="AS35" s="206">
        <f t="shared" si="39"/>
        <v>0</v>
      </c>
      <c r="AT35" s="206">
        <f t="shared" si="39"/>
        <v>0</v>
      </c>
      <c r="AU35" s="206">
        <f t="shared" si="39"/>
        <v>0</v>
      </c>
      <c r="AV35" s="206">
        <f t="shared" si="39"/>
        <v>0</v>
      </c>
      <c r="AW35" s="206">
        <f t="shared" si="39"/>
        <v>0</v>
      </c>
      <c r="AX35" s="206">
        <f t="shared" si="39"/>
        <v>0</v>
      </c>
      <c r="AY35" s="206">
        <f t="shared" si="39"/>
        <v>0</v>
      </c>
      <c r="AZ35" s="206">
        <f t="shared" si="39"/>
        <v>0</v>
      </c>
      <c r="BA35" s="206">
        <f t="shared" si="39"/>
        <v>0</v>
      </c>
      <c r="BB35" s="206">
        <f t="shared" si="39"/>
        <v>0</v>
      </c>
      <c r="BC35" s="206">
        <f t="shared" si="39"/>
        <v>0</v>
      </c>
      <c r="BD35" s="206">
        <f t="shared" si="39"/>
        <v>0</v>
      </c>
      <c r="BE35" s="206">
        <f t="shared" si="39"/>
        <v>0</v>
      </c>
      <c r="BF35" s="206">
        <f t="shared" si="39"/>
        <v>0</v>
      </c>
      <c r="BG35" s="206">
        <f t="shared" si="39"/>
        <v>0</v>
      </c>
      <c r="BH35" s="206">
        <f t="shared" si="39"/>
        <v>0</v>
      </c>
      <c r="BI35" s="206">
        <f t="shared" si="39"/>
        <v>0</v>
      </c>
    </row>
    <row r="36" spans="1:61" ht="12.75" x14ac:dyDescent="0.2">
      <c r="A36" s="207"/>
      <c r="B36" s="15" t="s">
        <v>177</v>
      </c>
      <c r="C36" s="15" t="s">
        <v>193</v>
      </c>
      <c r="D36" s="15" t="str">
        <f t="shared" si="35"/>
        <v>Marketing</v>
      </c>
      <c r="E36" s="193">
        <v>100000</v>
      </c>
      <c r="F36" s="202"/>
      <c r="G36" s="191"/>
      <c r="H36" s="192">
        <v>0.09</v>
      </c>
      <c r="I36" s="193">
        <f t="shared" si="36"/>
        <v>333.33333333333331</v>
      </c>
      <c r="J36" s="193">
        <v>500</v>
      </c>
      <c r="K36" s="206">
        <f t="shared" si="3"/>
        <v>833.33333333333326</v>
      </c>
      <c r="L36" s="6"/>
      <c r="M36" s="6"/>
      <c r="N36" s="206">
        <f t="shared" ref="N36:BI36" si="40">IF($F36=0,0, IF(AND(N$1&gt;=$G36,$G36&lt;&gt;0),0,IF(N$1&gt;=$F36,$E36/12,0)))</f>
        <v>0</v>
      </c>
      <c r="O36" s="206">
        <f t="shared" si="40"/>
        <v>0</v>
      </c>
      <c r="P36" s="206">
        <f t="shared" si="40"/>
        <v>0</v>
      </c>
      <c r="Q36" s="206">
        <f t="shared" si="40"/>
        <v>0</v>
      </c>
      <c r="R36" s="206">
        <f t="shared" si="40"/>
        <v>0</v>
      </c>
      <c r="S36" s="206">
        <f t="shared" si="40"/>
        <v>0</v>
      </c>
      <c r="T36" s="206">
        <f t="shared" si="40"/>
        <v>0</v>
      </c>
      <c r="U36" s="206">
        <f t="shared" si="40"/>
        <v>0</v>
      </c>
      <c r="V36" s="206">
        <f t="shared" si="40"/>
        <v>0</v>
      </c>
      <c r="W36" s="206">
        <f t="shared" si="40"/>
        <v>0</v>
      </c>
      <c r="X36" s="206">
        <f t="shared" si="40"/>
        <v>0</v>
      </c>
      <c r="Y36" s="206">
        <f t="shared" si="40"/>
        <v>0</v>
      </c>
      <c r="Z36" s="206">
        <f t="shared" si="40"/>
        <v>0</v>
      </c>
      <c r="AA36" s="206">
        <f t="shared" si="40"/>
        <v>0</v>
      </c>
      <c r="AB36" s="206">
        <f t="shared" si="40"/>
        <v>0</v>
      </c>
      <c r="AC36" s="206">
        <f t="shared" si="40"/>
        <v>0</v>
      </c>
      <c r="AD36" s="206">
        <f t="shared" si="40"/>
        <v>0</v>
      </c>
      <c r="AE36" s="206">
        <f t="shared" si="40"/>
        <v>0</v>
      </c>
      <c r="AF36" s="206">
        <f t="shared" si="40"/>
        <v>0</v>
      </c>
      <c r="AG36" s="206">
        <f t="shared" si="40"/>
        <v>0</v>
      </c>
      <c r="AH36" s="206">
        <f t="shared" si="40"/>
        <v>0</v>
      </c>
      <c r="AI36" s="206">
        <f t="shared" si="40"/>
        <v>0</v>
      </c>
      <c r="AJ36" s="206">
        <f t="shared" si="40"/>
        <v>0</v>
      </c>
      <c r="AK36" s="206">
        <f t="shared" si="40"/>
        <v>0</v>
      </c>
      <c r="AL36" s="206">
        <f t="shared" si="40"/>
        <v>0</v>
      </c>
      <c r="AM36" s="206">
        <f t="shared" si="40"/>
        <v>0</v>
      </c>
      <c r="AN36" s="206">
        <f t="shared" si="40"/>
        <v>0</v>
      </c>
      <c r="AO36" s="206">
        <f t="shared" si="40"/>
        <v>0</v>
      </c>
      <c r="AP36" s="206">
        <f t="shared" si="40"/>
        <v>0</v>
      </c>
      <c r="AQ36" s="206">
        <f t="shared" si="40"/>
        <v>0</v>
      </c>
      <c r="AR36" s="206">
        <f t="shared" si="40"/>
        <v>0</v>
      </c>
      <c r="AS36" s="206">
        <f t="shared" si="40"/>
        <v>0</v>
      </c>
      <c r="AT36" s="206">
        <f t="shared" si="40"/>
        <v>0</v>
      </c>
      <c r="AU36" s="206">
        <f t="shared" si="40"/>
        <v>0</v>
      </c>
      <c r="AV36" s="206">
        <f t="shared" si="40"/>
        <v>0</v>
      </c>
      <c r="AW36" s="206">
        <f t="shared" si="40"/>
        <v>0</v>
      </c>
      <c r="AX36" s="206">
        <f t="shared" si="40"/>
        <v>0</v>
      </c>
      <c r="AY36" s="206">
        <f t="shared" si="40"/>
        <v>0</v>
      </c>
      <c r="AZ36" s="206">
        <f t="shared" si="40"/>
        <v>0</v>
      </c>
      <c r="BA36" s="206">
        <f t="shared" si="40"/>
        <v>0</v>
      </c>
      <c r="BB36" s="206">
        <f t="shared" si="40"/>
        <v>0</v>
      </c>
      <c r="BC36" s="206">
        <f t="shared" si="40"/>
        <v>0</v>
      </c>
      <c r="BD36" s="206">
        <f t="shared" si="40"/>
        <v>0</v>
      </c>
      <c r="BE36" s="206">
        <f t="shared" si="40"/>
        <v>0</v>
      </c>
      <c r="BF36" s="206">
        <f t="shared" si="40"/>
        <v>0</v>
      </c>
      <c r="BG36" s="206">
        <f t="shared" si="40"/>
        <v>0</v>
      </c>
      <c r="BH36" s="206">
        <f t="shared" si="40"/>
        <v>0</v>
      </c>
      <c r="BI36" s="206">
        <f t="shared" si="40"/>
        <v>0</v>
      </c>
    </row>
    <row r="37" spans="1:61" ht="12.75" x14ac:dyDescent="0.2">
      <c r="A37" s="189"/>
      <c r="B37" s="15" t="s">
        <v>178</v>
      </c>
      <c r="C37" s="15" t="s">
        <v>194</v>
      </c>
      <c r="D37" s="15" t="str">
        <f t="shared" si="35"/>
        <v>Marketing</v>
      </c>
      <c r="E37" s="193">
        <v>100000</v>
      </c>
      <c r="F37" s="202"/>
      <c r="G37" s="191"/>
      <c r="H37" s="192">
        <v>0.09</v>
      </c>
      <c r="I37" s="193">
        <f t="shared" si="36"/>
        <v>333.33333333333331</v>
      </c>
      <c r="J37" s="193">
        <v>500</v>
      </c>
      <c r="K37" s="206">
        <f t="shared" si="3"/>
        <v>833.33333333333326</v>
      </c>
      <c r="L37" s="6"/>
      <c r="M37" s="6"/>
      <c r="N37" s="206">
        <f t="shared" ref="N37:BI37" si="41">IF($F37=0,0, IF(AND(N$1&gt;=$G37,$G37&lt;&gt;0),0,IF(N$1&gt;=$F37,$E37/12,0)))</f>
        <v>0</v>
      </c>
      <c r="O37" s="206">
        <f t="shared" si="41"/>
        <v>0</v>
      </c>
      <c r="P37" s="206">
        <f t="shared" si="41"/>
        <v>0</v>
      </c>
      <c r="Q37" s="206">
        <f t="shared" si="41"/>
        <v>0</v>
      </c>
      <c r="R37" s="206">
        <f t="shared" si="41"/>
        <v>0</v>
      </c>
      <c r="S37" s="206">
        <f t="shared" si="41"/>
        <v>0</v>
      </c>
      <c r="T37" s="206">
        <f t="shared" si="41"/>
        <v>0</v>
      </c>
      <c r="U37" s="206">
        <f t="shared" si="41"/>
        <v>0</v>
      </c>
      <c r="V37" s="206">
        <f t="shared" si="41"/>
        <v>0</v>
      </c>
      <c r="W37" s="206">
        <f t="shared" si="41"/>
        <v>0</v>
      </c>
      <c r="X37" s="206">
        <f t="shared" si="41"/>
        <v>0</v>
      </c>
      <c r="Y37" s="206">
        <f t="shared" si="41"/>
        <v>0</v>
      </c>
      <c r="Z37" s="206">
        <f t="shared" si="41"/>
        <v>0</v>
      </c>
      <c r="AA37" s="206">
        <f t="shared" si="41"/>
        <v>0</v>
      </c>
      <c r="AB37" s="206">
        <f t="shared" si="41"/>
        <v>0</v>
      </c>
      <c r="AC37" s="206">
        <f t="shared" si="41"/>
        <v>0</v>
      </c>
      <c r="AD37" s="206">
        <f t="shared" si="41"/>
        <v>0</v>
      </c>
      <c r="AE37" s="206">
        <f t="shared" si="41"/>
        <v>0</v>
      </c>
      <c r="AF37" s="206">
        <f t="shared" si="41"/>
        <v>0</v>
      </c>
      <c r="AG37" s="206">
        <f t="shared" si="41"/>
        <v>0</v>
      </c>
      <c r="AH37" s="206">
        <f t="shared" si="41"/>
        <v>0</v>
      </c>
      <c r="AI37" s="206">
        <f t="shared" si="41"/>
        <v>0</v>
      </c>
      <c r="AJ37" s="206">
        <f t="shared" si="41"/>
        <v>0</v>
      </c>
      <c r="AK37" s="206">
        <f t="shared" si="41"/>
        <v>0</v>
      </c>
      <c r="AL37" s="206">
        <f t="shared" si="41"/>
        <v>0</v>
      </c>
      <c r="AM37" s="206">
        <f t="shared" si="41"/>
        <v>0</v>
      </c>
      <c r="AN37" s="206">
        <f t="shared" si="41"/>
        <v>0</v>
      </c>
      <c r="AO37" s="206">
        <f t="shared" si="41"/>
        <v>0</v>
      </c>
      <c r="AP37" s="206">
        <f t="shared" si="41"/>
        <v>0</v>
      </c>
      <c r="AQ37" s="206">
        <f t="shared" si="41"/>
        <v>0</v>
      </c>
      <c r="AR37" s="206">
        <f t="shared" si="41"/>
        <v>0</v>
      </c>
      <c r="AS37" s="206">
        <f t="shared" si="41"/>
        <v>0</v>
      </c>
      <c r="AT37" s="206">
        <f t="shared" si="41"/>
        <v>0</v>
      </c>
      <c r="AU37" s="206">
        <f t="shared" si="41"/>
        <v>0</v>
      </c>
      <c r="AV37" s="206">
        <f t="shared" si="41"/>
        <v>0</v>
      </c>
      <c r="AW37" s="206">
        <f t="shared" si="41"/>
        <v>0</v>
      </c>
      <c r="AX37" s="206">
        <f t="shared" si="41"/>
        <v>0</v>
      </c>
      <c r="AY37" s="206">
        <f t="shared" si="41"/>
        <v>0</v>
      </c>
      <c r="AZ37" s="206">
        <f t="shared" si="41"/>
        <v>0</v>
      </c>
      <c r="BA37" s="206">
        <f t="shared" si="41"/>
        <v>0</v>
      </c>
      <c r="BB37" s="206">
        <f t="shared" si="41"/>
        <v>0</v>
      </c>
      <c r="BC37" s="206">
        <f t="shared" si="41"/>
        <v>0</v>
      </c>
      <c r="BD37" s="206">
        <f t="shared" si="41"/>
        <v>0</v>
      </c>
      <c r="BE37" s="206">
        <f t="shared" si="41"/>
        <v>0</v>
      </c>
      <c r="BF37" s="206">
        <f t="shared" si="41"/>
        <v>0</v>
      </c>
      <c r="BG37" s="206">
        <f t="shared" si="41"/>
        <v>0</v>
      </c>
      <c r="BH37" s="206">
        <f t="shared" si="41"/>
        <v>0</v>
      </c>
      <c r="BI37" s="206">
        <f t="shared" si="41"/>
        <v>0</v>
      </c>
    </row>
    <row r="38" spans="1:61" ht="12.75" x14ac:dyDescent="0.2">
      <c r="A38" s="189"/>
      <c r="B38" s="15" t="s">
        <v>179</v>
      </c>
      <c r="C38" s="15" t="s">
        <v>195</v>
      </c>
      <c r="D38" s="15" t="str">
        <f t="shared" si="35"/>
        <v>Marketing</v>
      </c>
      <c r="E38" s="193">
        <v>100000</v>
      </c>
      <c r="F38" s="202"/>
      <c r="G38" s="191"/>
      <c r="H38" s="192">
        <v>0.09</v>
      </c>
      <c r="I38" s="193">
        <f t="shared" si="36"/>
        <v>333.33333333333331</v>
      </c>
      <c r="J38" s="193">
        <v>500</v>
      </c>
      <c r="K38" s="206">
        <f t="shared" si="3"/>
        <v>833.33333333333326</v>
      </c>
      <c r="L38" s="6"/>
      <c r="M38" s="6"/>
      <c r="N38" s="206">
        <f t="shared" ref="N38:BI38" si="42">IF($F38=0,0, IF(AND(N$1&gt;=$G38,$G38&lt;&gt;0),0,IF(N$1&gt;=$F38,$E38/12,0)))</f>
        <v>0</v>
      </c>
      <c r="O38" s="206">
        <f t="shared" si="42"/>
        <v>0</v>
      </c>
      <c r="P38" s="206">
        <f t="shared" si="42"/>
        <v>0</v>
      </c>
      <c r="Q38" s="206">
        <f t="shared" si="42"/>
        <v>0</v>
      </c>
      <c r="R38" s="206">
        <f t="shared" si="42"/>
        <v>0</v>
      </c>
      <c r="S38" s="206">
        <f t="shared" si="42"/>
        <v>0</v>
      </c>
      <c r="T38" s="206">
        <f t="shared" si="42"/>
        <v>0</v>
      </c>
      <c r="U38" s="206">
        <f t="shared" si="42"/>
        <v>0</v>
      </c>
      <c r="V38" s="206">
        <f t="shared" si="42"/>
        <v>0</v>
      </c>
      <c r="W38" s="206">
        <f t="shared" si="42"/>
        <v>0</v>
      </c>
      <c r="X38" s="206">
        <f t="shared" si="42"/>
        <v>0</v>
      </c>
      <c r="Y38" s="206">
        <f t="shared" si="42"/>
        <v>0</v>
      </c>
      <c r="Z38" s="206">
        <f t="shared" si="42"/>
        <v>0</v>
      </c>
      <c r="AA38" s="206">
        <f t="shared" si="42"/>
        <v>0</v>
      </c>
      <c r="AB38" s="206">
        <f t="shared" si="42"/>
        <v>0</v>
      </c>
      <c r="AC38" s="206">
        <f t="shared" si="42"/>
        <v>0</v>
      </c>
      <c r="AD38" s="206">
        <f t="shared" si="42"/>
        <v>0</v>
      </c>
      <c r="AE38" s="206">
        <f t="shared" si="42"/>
        <v>0</v>
      </c>
      <c r="AF38" s="206">
        <f t="shared" si="42"/>
        <v>0</v>
      </c>
      <c r="AG38" s="206">
        <f t="shared" si="42"/>
        <v>0</v>
      </c>
      <c r="AH38" s="206">
        <f t="shared" si="42"/>
        <v>0</v>
      </c>
      <c r="AI38" s="206">
        <f t="shared" si="42"/>
        <v>0</v>
      </c>
      <c r="AJ38" s="206">
        <f t="shared" si="42"/>
        <v>0</v>
      </c>
      <c r="AK38" s="206">
        <f t="shared" si="42"/>
        <v>0</v>
      </c>
      <c r="AL38" s="206">
        <f t="shared" si="42"/>
        <v>0</v>
      </c>
      <c r="AM38" s="206">
        <f t="shared" si="42"/>
        <v>0</v>
      </c>
      <c r="AN38" s="206">
        <f t="shared" si="42"/>
        <v>0</v>
      </c>
      <c r="AO38" s="206">
        <f t="shared" si="42"/>
        <v>0</v>
      </c>
      <c r="AP38" s="206">
        <f t="shared" si="42"/>
        <v>0</v>
      </c>
      <c r="AQ38" s="206">
        <f t="shared" si="42"/>
        <v>0</v>
      </c>
      <c r="AR38" s="206">
        <f t="shared" si="42"/>
        <v>0</v>
      </c>
      <c r="AS38" s="206">
        <f t="shared" si="42"/>
        <v>0</v>
      </c>
      <c r="AT38" s="206">
        <f t="shared" si="42"/>
        <v>0</v>
      </c>
      <c r="AU38" s="206">
        <f t="shared" si="42"/>
        <v>0</v>
      </c>
      <c r="AV38" s="206">
        <f t="shared" si="42"/>
        <v>0</v>
      </c>
      <c r="AW38" s="206">
        <f t="shared" si="42"/>
        <v>0</v>
      </c>
      <c r="AX38" s="206">
        <f t="shared" si="42"/>
        <v>0</v>
      </c>
      <c r="AY38" s="206">
        <f t="shared" si="42"/>
        <v>0</v>
      </c>
      <c r="AZ38" s="206">
        <f t="shared" si="42"/>
        <v>0</v>
      </c>
      <c r="BA38" s="206">
        <f t="shared" si="42"/>
        <v>0</v>
      </c>
      <c r="BB38" s="206">
        <f t="shared" si="42"/>
        <v>0</v>
      </c>
      <c r="BC38" s="206">
        <f t="shared" si="42"/>
        <v>0</v>
      </c>
      <c r="BD38" s="206">
        <f t="shared" si="42"/>
        <v>0</v>
      </c>
      <c r="BE38" s="206">
        <f t="shared" si="42"/>
        <v>0</v>
      </c>
      <c r="BF38" s="206">
        <f t="shared" si="42"/>
        <v>0</v>
      </c>
      <c r="BG38" s="206">
        <f t="shared" si="42"/>
        <v>0</v>
      </c>
      <c r="BH38" s="206">
        <f t="shared" si="42"/>
        <v>0</v>
      </c>
      <c r="BI38" s="206">
        <f t="shared" si="42"/>
        <v>0</v>
      </c>
    </row>
    <row r="39" spans="1:61" ht="12.75" x14ac:dyDescent="0.2">
      <c r="A39" s="189"/>
      <c r="B39" s="189" t="s">
        <v>196</v>
      </c>
      <c r="C39" s="15"/>
      <c r="D39" s="15"/>
      <c r="E39" s="206"/>
      <c r="F39" s="194"/>
      <c r="G39" s="194"/>
      <c r="H39" s="208"/>
      <c r="I39" s="206"/>
      <c r="J39" s="206"/>
      <c r="K39" s="206">
        <f t="shared" si="3"/>
        <v>0</v>
      </c>
      <c r="L39" s="6"/>
      <c r="M39" s="6"/>
      <c r="N39" s="206">
        <f t="shared" ref="N39:BI39" si="43">IF($F39=0,0, IF(AND(N$1&gt;=$G39,$G39&lt;&gt;0),0,IF(N$1&gt;=$F39,$E39/12,0)))</f>
        <v>0</v>
      </c>
      <c r="O39" s="206">
        <f t="shared" si="43"/>
        <v>0</v>
      </c>
      <c r="P39" s="206">
        <f t="shared" si="43"/>
        <v>0</v>
      </c>
      <c r="Q39" s="206">
        <f t="shared" si="43"/>
        <v>0</v>
      </c>
      <c r="R39" s="206">
        <f t="shared" si="43"/>
        <v>0</v>
      </c>
      <c r="S39" s="206">
        <f t="shared" si="43"/>
        <v>0</v>
      </c>
      <c r="T39" s="206">
        <f t="shared" si="43"/>
        <v>0</v>
      </c>
      <c r="U39" s="206">
        <f t="shared" si="43"/>
        <v>0</v>
      </c>
      <c r="V39" s="206">
        <f t="shared" si="43"/>
        <v>0</v>
      </c>
      <c r="W39" s="206">
        <f t="shared" si="43"/>
        <v>0</v>
      </c>
      <c r="X39" s="206">
        <f t="shared" si="43"/>
        <v>0</v>
      </c>
      <c r="Y39" s="206">
        <f t="shared" si="43"/>
        <v>0</v>
      </c>
      <c r="Z39" s="206">
        <f t="shared" si="43"/>
        <v>0</v>
      </c>
      <c r="AA39" s="206">
        <f t="shared" si="43"/>
        <v>0</v>
      </c>
      <c r="AB39" s="206">
        <f t="shared" si="43"/>
        <v>0</v>
      </c>
      <c r="AC39" s="206">
        <f t="shared" si="43"/>
        <v>0</v>
      </c>
      <c r="AD39" s="206">
        <f t="shared" si="43"/>
        <v>0</v>
      </c>
      <c r="AE39" s="206">
        <f t="shared" si="43"/>
        <v>0</v>
      </c>
      <c r="AF39" s="206">
        <f t="shared" si="43"/>
        <v>0</v>
      </c>
      <c r="AG39" s="206">
        <f t="shared" si="43"/>
        <v>0</v>
      </c>
      <c r="AH39" s="206">
        <f t="shared" si="43"/>
        <v>0</v>
      </c>
      <c r="AI39" s="206">
        <f t="shared" si="43"/>
        <v>0</v>
      </c>
      <c r="AJ39" s="206">
        <f t="shared" si="43"/>
        <v>0</v>
      </c>
      <c r="AK39" s="206">
        <f t="shared" si="43"/>
        <v>0</v>
      </c>
      <c r="AL39" s="206">
        <f t="shared" si="43"/>
        <v>0</v>
      </c>
      <c r="AM39" s="206">
        <f t="shared" si="43"/>
        <v>0</v>
      </c>
      <c r="AN39" s="206">
        <f t="shared" si="43"/>
        <v>0</v>
      </c>
      <c r="AO39" s="206">
        <f t="shared" si="43"/>
        <v>0</v>
      </c>
      <c r="AP39" s="206">
        <f t="shared" si="43"/>
        <v>0</v>
      </c>
      <c r="AQ39" s="206">
        <f t="shared" si="43"/>
        <v>0</v>
      </c>
      <c r="AR39" s="206">
        <f t="shared" si="43"/>
        <v>0</v>
      </c>
      <c r="AS39" s="206">
        <f t="shared" si="43"/>
        <v>0</v>
      </c>
      <c r="AT39" s="206">
        <f t="shared" si="43"/>
        <v>0</v>
      </c>
      <c r="AU39" s="206">
        <f t="shared" si="43"/>
        <v>0</v>
      </c>
      <c r="AV39" s="206">
        <f t="shared" si="43"/>
        <v>0</v>
      </c>
      <c r="AW39" s="206">
        <f t="shared" si="43"/>
        <v>0</v>
      </c>
      <c r="AX39" s="206">
        <f t="shared" si="43"/>
        <v>0</v>
      </c>
      <c r="AY39" s="206">
        <f t="shared" si="43"/>
        <v>0</v>
      </c>
      <c r="AZ39" s="206">
        <f t="shared" si="43"/>
        <v>0</v>
      </c>
      <c r="BA39" s="206">
        <f t="shared" si="43"/>
        <v>0</v>
      </c>
      <c r="BB39" s="206">
        <f t="shared" si="43"/>
        <v>0</v>
      </c>
      <c r="BC39" s="206">
        <f t="shared" si="43"/>
        <v>0</v>
      </c>
      <c r="BD39" s="206">
        <f t="shared" si="43"/>
        <v>0</v>
      </c>
      <c r="BE39" s="206">
        <f t="shared" si="43"/>
        <v>0</v>
      </c>
      <c r="BF39" s="206">
        <f t="shared" si="43"/>
        <v>0</v>
      </c>
      <c r="BG39" s="206">
        <f t="shared" si="43"/>
        <v>0</v>
      </c>
      <c r="BH39" s="206">
        <f t="shared" si="43"/>
        <v>0</v>
      </c>
      <c r="BI39" s="206">
        <f t="shared" si="43"/>
        <v>0</v>
      </c>
    </row>
    <row r="40" spans="1:61" ht="12.75" x14ac:dyDescent="0.2">
      <c r="A40" s="15"/>
      <c r="B40" s="15" t="s">
        <v>197</v>
      </c>
      <c r="C40" s="15" t="s">
        <v>198</v>
      </c>
      <c r="D40" s="15" t="str">
        <f t="shared" ref="D40:D51" si="44">$B$39</f>
        <v>Sales</v>
      </c>
      <c r="E40" s="190">
        <f>250000*0.75</f>
        <v>187500</v>
      </c>
      <c r="F40" s="191">
        <v>43466</v>
      </c>
      <c r="G40" s="191"/>
      <c r="H40" s="192">
        <v>0.09</v>
      </c>
      <c r="I40" s="193">
        <f t="shared" ref="I40:I51" si="45">0.04*E40/12</f>
        <v>625</v>
      </c>
      <c r="J40" s="193">
        <v>500</v>
      </c>
      <c r="K40" s="206">
        <f t="shared" si="3"/>
        <v>1125</v>
      </c>
      <c r="L40" s="6"/>
      <c r="M40" s="6"/>
      <c r="N40" s="206">
        <f t="shared" ref="N40:BI40" si="46">IF($F40=0,0, IF(AND(N$1&gt;=$G40,$G40&lt;&gt;0),0,IF(N$1&gt;=$F40,$E40/12,0)))</f>
        <v>15625</v>
      </c>
      <c r="O40" s="206">
        <f t="shared" si="46"/>
        <v>15625</v>
      </c>
      <c r="P40" s="206">
        <f t="shared" si="46"/>
        <v>15625</v>
      </c>
      <c r="Q40" s="206">
        <f t="shared" si="46"/>
        <v>15625</v>
      </c>
      <c r="R40" s="206">
        <f t="shared" si="46"/>
        <v>15625</v>
      </c>
      <c r="S40" s="206">
        <f t="shared" si="46"/>
        <v>15625</v>
      </c>
      <c r="T40" s="206">
        <f t="shared" si="46"/>
        <v>15625</v>
      </c>
      <c r="U40" s="206">
        <f t="shared" si="46"/>
        <v>15625</v>
      </c>
      <c r="V40" s="206">
        <f t="shared" si="46"/>
        <v>15625</v>
      </c>
      <c r="W40" s="206">
        <f t="shared" si="46"/>
        <v>15625</v>
      </c>
      <c r="X40" s="206">
        <f t="shared" si="46"/>
        <v>15625</v>
      </c>
      <c r="Y40" s="206">
        <f t="shared" si="46"/>
        <v>15625</v>
      </c>
      <c r="Z40" s="206">
        <f t="shared" si="46"/>
        <v>15625</v>
      </c>
      <c r="AA40" s="206">
        <f t="shared" si="46"/>
        <v>15625</v>
      </c>
      <c r="AB40" s="206">
        <f t="shared" si="46"/>
        <v>15625</v>
      </c>
      <c r="AC40" s="206">
        <f t="shared" si="46"/>
        <v>15625</v>
      </c>
      <c r="AD40" s="206">
        <f t="shared" si="46"/>
        <v>15625</v>
      </c>
      <c r="AE40" s="206">
        <f t="shared" si="46"/>
        <v>15625</v>
      </c>
      <c r="AF40" s="206">
        <f t="shared" si="46"/>
        <v>15625</v>
      </c>
      <c r="AG40" s="206">
        <f t="shared" si="46"/>
        <v>15625</v>
      </c>
      <c r="AH40" s="206">
        <f t="shared" si="46"/>
        <v>15625</v>
      </c>
      <c r="AI40" s="206">
        <f t="shared" si="46"/>
        <v>15625</v>
      </c>
      <c r="AJ40" s="206">
        <f t="shared" si="46"/>
        <v>15625</v>
      </c>
      <c r="AK40" s="206">
        <f t="shared" si="46"/>
        <v>15625</v>
      </c>
      <c r="AL40" s="206">
        <f t="shared" si="46"/>
        <v>15625</v>
      </c>
      <c r="AM40" s="206">
        <f t="shared" si="46"/>
        <v>15625</v>
      </c>
      <c r="AN40" s="206">
        <f t="shared" si="46"/>
        <v>15625</v>
      </c>
      <c r="AO40" s="206">
        <f t="shared" si="46"/>
        <v>15625</v>
      </c>
      <c r="AP40" s="206">
        <f t="shared" si="46"/>
        <v>15625</v>
      </c>
      <c r="AQ40" s="206">
        <f t="shared" si="46"/>
        <v>15625</v>
      </c>
      <c r="AR40" s="206">
        <f t="shared" si="46"/>
        <v>15625</v>
      </c>
      <c r="AS40" s="206">
        <f t="shared" si="46"/>
        <v>15625</v>
      </c>
      <c r="AT40" s="206">
        <f t="shared" si="46"/>
        <v>15625</v>
      </c>
      <c r="AU40" s="206">
        <f t="shared" si="46"/>
        <v>15625</v>
      </c>
      <c r="AV40" s="206">
        <f t="shared" si="46"/>
        <v>15625</v>
      </c>
      <c r="AW40" s="206">
        <f t="shared" si="46"/>
        <v>15625</v>
      </c>
      <c r="AX40" s="206">
        <f t="shared" si="46"/>
        <v>15625</v>
      </c>
      <c r="AY40" s="206">
        <f t="shared" si="46"/>
        <v>15625</v>
      </c>
      <c r="AZ40" s="206">
        <f t="shared" si="46"/>
        <v>15625</v>
      </c>
      <c r="BA40" s="206">
        <f t="shared" si="46"/>
        <v>15625</v>
      </c>
      <c r="BB40" s="206">
        <f t="shared" si="46"/>
        <v>15625</v>
      </c>
      <c r="BC40" s="206">
        <f t="shared" si="46"/>
        <v>15625</v>
      </c>
      <c r="BD40" s="206">
        <f t="shared" si="46"/>
        <v>15625</v>
      </c>
      <c r="BE40" s="206">
        <f t="shared" si="46"/>
        <v>15625</v>
      </c>
      <c r="BF40" s="206">
        <f t="shared" si="46"/>
        <v>15625</v>
      </c>
      <c r="BG40" s="206">
        <f t="shared" si="46"/>
        <v>15625</v>
      </c>
      <c r="BH40" s="206">
        <f t="shared" si="46"/>
        <v>15625</v>
      </c>
      <c r="BI40" s="206">
        <f t="shared" si="46"/>
        <v>15625</v>
      </c>
    </row>
    <row r="41" spans="1:61" ht="12.75" x14ac:dyDescent="0.2">
      <c r="A41" s="15"/>
      <c r="B41" s="15" t="s">
        <v>168</v>
      </c>
      <c r="C41" s="15" t="s">
        <v>199</v>
      </c>
      <c r="D41" s="15" t="str">
        <f t="shared" si="44"/>
        <v>Sales</v>
      </c>
      <c r="E41" s="193">
        <v>80000</v>
      </c>
      <c r="F41" s="191">
        <v>43466</v>
      </c>
      <c r="G41" s="191"/>
      <c r="H41" s="192">
        <v>0.09</v>
      </c>
      <c r="I41" s="193">
        <f t="shared" si="45"/>
        <v>266.66666666666669</v>
      </c>
      <c r="J41" s="193">
        <v>500</v>
      </c>
      <c r="K41" s="206">
        <f t="shared" si="3"/>
        <v>766.66666666666674</v>
      </c>
      <c r="L41" s="6"/>
      <c r="M41" s="6"/>
      <c r="N41" s="206">
        <f t="shared" ref="N41:BI41" si="47">IF($F41=0,0, IF(AND(N$1&gt;=$G41,$G41&lt;&gt;0),0,IF(N$1&gt;=$F41,$E41/12,0)))</f>
        <v>6666.666666666667</v>
      </c>
      <c r="O41" s="206">
        <f t="shared" si="47"/>
        <v>6666.666666666667</v>
      </c>
      <c r="P41" s="206">
        <f t="shared" si="47"/>
        <v>6666.666666666667</v>
      </c>
      <c r="Q41" s="206">
        <f t="shared" si="47"/>
        <v>6666.666666666667</v>
      </c>
      <c r="R41" s="206">
        <f t="shared" si="47"/>
        <v>6666.666666666667</v>
      </c>
      <c r="S41" s="206">
        <f t="shared" si="47"/>
        <v>6666.666666666667</v>
      </c>
      <c r="T41" s="206">
        <f t="shared" si="47"/>
        <v>6666.666666666667</v>
      </c>
      <c r="U41" s="206">
        <f t="shared" si="47"/>
        <v>6666.666666666667</v>
      </c>
      <c r="V41" s="206">
        <f t="shared" si="47"/>
        <v>6666.666666666667</v>
      </c>
      <c r="W41" s="206">
        <f t="shared" si="47"/>
        <v>6666.666666666667</v>
      </c>
      <c r="X41" s="206">
        <f t="shared" si="47"/>
        <v>6666.666666666667</v>
      </c>
      <c r="Y41" s="206">
        <f t="shared" si="47"/>
        <v>6666.666666666667</v>
      </c>
      <c r="Z41" s="206">
        <f t="shared" si="47"/>
        <v>6666.666666666667</v>
      </c>
      <c r="AA41" s="206">
        <f t="shared" si="47"/>
        <v>6666.666666666667</v>
      </c>
      <c r="AB41" s="206">
        <f t="shared" si="47"/>
        <v>6666.666666666667</v>
      </c>
      <c r="AC41" s="206">
        <f t="shared" si="47"/>
        <v>6666.666666666667</v>
      </c>
      <c r="AD41" s="206">
        <f t="shared" si="47"/>
        <v>6666.666666666667</v>
      </c>
      <c r="AE41" s="206">
        <f t="shared" si="47"/>
        <v>6666.666666666667</v>
      </c>
      <c r="AF41" s="206">
        <f t="shared" si="47"/>
        <v>6666.666666666667</v>
      </c>
      <c r="AG41" s="206">
        <f t="shared" si="47"/>
        <v>6666.666666666667</v>
      </c>
      <c r="AH41" s="206">
        <f t="shared" si="47"/>
        <v>6666.666666666667</v>
      </c>
      <c r="AI41" s="206">
        <f t="shared" si="47"/>
        <v>6666.666666666667</v>
      </c>
      <c r="AJ41" s="206">
        <f t="shared" si="47"/>
        <v>6666.666666666667</v>
      </c>
      <c r="AK41" s="206">
        <f t="shared" si="47"/>
        <v>6666.666666666667</v>
      </c>
      <c r="AL41" s="206">
        <f t="shared" si="47"/>
        <v>6666.666666666667</v>
      </c>
      <c r="AM41" s="206">
        <f t="shared" si="47"/>
        <v>6666.666666666667</v>
      </c>
      <c r="AN41" s="206">
        <f t="shared" si="47"/>
        <v>6666.666666666667</v>
      </c>
      <c r="AO41" s="206">
        <f t="shared" si="47"/>
        <v>6666.666666666667</v>
      </c>
      <c r="AP41" s="206">
        <f t="shared" si="47"/>
        <v>6666.666666666667</v>
      </c>
      <c r="AQ41" s="206">
        <f t="shared" si="47"/>
        <v>6666.666666666667</v>
      </c>
      <c r="AR41" s="206">
        <f t="shared" si="47"/>
        <v>6666.666666666667</v>
      </c>
      <c r="AS41" s="206">
        <f t="shared" si="47"/>
        <v>6666.666666666667</v>
      </c>
      <c r="AT41" s="206">
        <f t="shared" si="47"/>
        <v>6666.666666666667</v>
      </c>
      <c r="AU41" s="206">
        <f t="shared" si="47"/>
        <v>6666.666666666667</v>
      </c>
      <c r="AV41" s="206">
        <f t="shared" si="47"/>
        <v>6666.666666666667</v>
      </c>
      <c r="AW41" s="206">
        <f t="shared" si="47"/>
        <v>6666.666666666667</v>
      </c>
      <c r="AX41" s="206">
        <f t="shared" si="47"/>
        <v>6666.666666666667</v>
      </c>
      <c r="AY41" s="206">
        <f t="shared" si="47"/>
        <v>6666.666666666667</v>
      </c>
      <c r="AZ41" s="206">
        <f t="shared" si="47"/>
        <v>6666.666666666667</v>
      </c>
      <c r="BA41" s="206">
        <f t="shared" si="47"/>
        <v>6666.666666666667</v>
      </c>
      <c r="BB41" s="206">
        <f t="shared" si="47"/>
        <v>6666.666666666667</v>
      </c>
      <c r="BC41" s="206">
        <f t="shared" si="47"/>
        <v>6666.666666666667</v>
      </c>
      <c r="BD41" s="206">
        <f t="shared" si="47"/>
        <v>6666.666666666667</v>
      </c>
      <c r="BE41" s="206">
        <f t="shared" si="47"/>
        <v>6666.666666666667</v>
      </c>
      <c r="BF41" s="206">
        <f t="shared" si="47"/>
        <v>6666.666666666667</v>
      </c>
      <c r="BG41" s="206">
        <f t="shared" si="47"/>
        <v>6666.666666666667</v>
      </c>
      <c r="BH41" s="206">
        <f t="shared" si="47"/>
        <v>6666.666666666667</v>
      </c>
      <c r="BI41" s="206">
        <f t="shared" si="47"/>
        <v>6666.666666666667</v>
      </c>
    </row>
    <row r="42" spans="1:61" ht="12.75" x14ac:dyDescent="0.2">
      <c r="A42" s="189"/>
      <c r="B42" s="15" t="s">
        <v>200</v>
      </c>
      <c r="C42" s="15" t="s">
        <v>201</v>
      </c>
      <c r="D42" s="15" t="str">
        <f t="shared" si="44"/>
        <v>Sales</v>
      </c>
      <c r="E42" s="193">
        <v>60000</v>
      </c>
      <c r="F42" s="191">
        <v>43831</v>
      </c>
      <c r="G42" s="191">
        <v>43951</v>
      </c>
      <c r="H42" s="192">
        <v>0.09</v>
      </c>
      <c r="I42" s="193">
        <f t="shared" si="45"/>
        <v>200</v>
      </c>
      <c r="J42" s="193">
        <v>500</v>
      </c>
      <c r="K42" s="206">
        <f t="shared" si="3"/>
        <v>700</v>
      </c>
      <c r="L42" s="6"/>
      <c r="M42" s="6"/>
      <c r="N42" s="206">
        <f t="shared" ref="N42:BI42" si="48">IF($F42=0,0, IF(AND(N$1&gt;=$G42,$G42&lt;&gt;0),0,IF(N$1&gt;=$F42,$E42/12,0)))</f>
        <v>0</v>
      </c>
      <c r="O42" s="206">
        <f t="shared" si="48"/>
        <v>0</v>
      </c>
      <c r="P42" s="206">
        <f t="shared" si="48"/>
        <v>0</v>
      </c>
      <c r="Q42" s="206">
        <f t="shared" si="48"/>
        <v>0</v>
      </c>
      <c r="R42" s="206">
        <f t="shared" si="48"/>
        <v>0</v>
      </c>
      <c r="S42" s="206">
        <f t="shared" si="48"/>
        <v>0</v>
      </c>
      <c r="T42" s="206">
        <f t="shared" si="48"/>
        <v>0</v>
      </c>
      <c r="U42" s="206">
        <f t="shared" si="48"/>
        <v>0</v>
      </c>
      <c r="V42" s="206">
        <f t="shared" si="48"/>
        <v>0</v>
      </c>
      <c r="W42" s="206">
        <f t="shared" si="48"/>
        <v>0</v>
      </c>
      <c r="X42" s="206">
        <f t="shared" si="48"/>
        <v>0</v>
      </c>
      <c r="Y42" s="206">
        <f t="shared" si="48"/>
        <v>0</v>
      </c>
      <c r="Z42" s="206">
        <f t="shared" si="48"/>
        <v>0</v>
      </c>
      <c r="AA42" s="206">
        <f t="shared" si="48"/>
        <v>0</v>
      </c>
      <c r="AB42" s="206">
        <f t="shared" si="48"/>
        <v>0</v>
      </c>
      <c r="AC42" s="206">
        <f t="shared" si="48"/>
        <v>0</v>
      </c>
      <c r="AD42" s="206">
        <f t="shared" si="48"/>
        <v>0</v>
      </c>
      <c r="AE42" s="206">
        <f t="shared" si="48"/>
        <v>0</v>
      </c>
      <c r="AF42" s="206">
        <f t="shared" si="48"/>
        <v>0</v>
      </c>
      <c r="AG42" s="206">
        <f t="shared" si="48"/>
        <v>0</v>
      </c>
      <c r="AH42" s="206">
        <f t="shared" si="48"/>
        <v>0</v>
      </c>
      <c r="AI42" s="206">
        <f t="shared" si="48"/>
        <v>0</v>
      </c>
      <c r="AJ42" s="206">
        <f t="shared" si="48"/>
        <v>0</v>
      </c>
      <c r="AK42" s="206">
        <f t="shared" si="48"/>
        <v>0</v>
      </c>
      <c r="AL42" s="206">
        <f t="shared" si="48"/>
        <v>0</v>
      </c>
      <c r="AM42" s="206">
        <f t="shared" si="48"/>
        <v>0</v>
      </c>
      <c r="AN42" s="206">
        <f t="shared" si="48"/>
        <v>0</v>
      </c>
      <c r="AO42" s="206">
        <f t="shared" si="48"/>
        <v>0</v>
      </c>
      <c r="AP42" s="206">
        <f t="shared" si="48"/>
        <v>0</v>
      </c>
      <c r="AQ42" s="206">
        <f t="shared" si="48"/>
        <v>0</v>
      </c>
      <c r="AR42" s="206">
        <f t="shared" si="48"/>
        <v>0</v>
      </c>
      <c r="AS42" s="206">
        <f t="shared" si="48"/>
        <v>0</v>
      </c>
      <c r="AT42" s="206">
        <f t="shared" si="48"/>
        <v>0</v>
      </c>
      <c r="AU42" s="206">
        <f t="shared" si="48"/>
        <v>0</v>
      </c>
      <c r="AV42" s="206">
        <f t="shared" si="48"/>
        <v>0</v>
      </c>
      <c r="AW42" s="206">
        <f t="shared" si="48"/>
        <v>0</v>
      </c>
      <c r="AX42" s="206">
        <f t="shared" si="48"/>
        <v>0</v>
      </c>
      <c r="AY42" s="206">
        <f t="shared" si="48"/>
        <v>0</v>
      </c>
      <c r="AZ42" s="206">
        <f t="shared" si="48"/>
        <v>0</v>
      </c>
      <c r="BA42" s="206">
        <f t="shared" si="48"/>
        <v>0</v>
      </c>
      <c r="BB42" s="206">
        <f t="shared" si="48"/>
        <v>0</v>
      </c>
      <c r="BC42" s="206">
        <f t="shared" si="48"/>
        <v>0</v>
      </c>
      <c r="BD42" s="206">
        <f t="shared" si="48"/>
        <v>0</v>
      </c>
      <c r="BE42" s="206">
        <f t="shared" si="48"/>
        <v>0</v>
      </c>
      <c r="BF42" s="206">
        <f t="shared" si="48"/>
        <v>0</v>
      </c>
      <c r="BG42" s="206">
        <f t="shared" si="48"/>
        <v>0</v>
      </c>
      <c r="BH42" s="206">
        <f t="shared" si="48"/>
        <v>0</v>
      </c>
      <c r="BI42" s="206">
        <f t="shared" si="48"/>
        <v>0</v>
      </c>
    </row>
    <row r="43" spans="1:61" ht="12.75" x14ac:dyDescent="0.2">
      <c r="A43" s="189"/>
      <c r="B43" s="15" t="s">
        <v>202</v>
      </c>
      <c r="C43" s="15" t="s">
        <v>201</v>
      </c>
      <c r="D43" s="15" t="str">
        <f t="shared" si="44"/>
        <v>Sales</v>
      </c>
      <c r="E43" s="193">
        <v>60000</v>
      </c>
      <c r="F43" s="191">
        <v>43831</v>
      </c>
      <c r="G43" s="191">
        <v>43951</v>
      </c>
      <c r="H43" s="192">
        <v>0.09</v>
      </c>
      <c r="I43" s="193">
        <f t="shared" si="45"/>
        <v>200</v>
      </c>
      <c r="J43" s="193">
        <v>500</v>
      </c>
      <c r="K43" s="206">
        <f t="shared" si="3"/>
        <v>700</v>
      </c>
      <c r="L43" s="6"/>
      <c r="M43" s="6"/>
      <c r="N43" s="206">
        <f t="shared" ref="N43:BI43" si="49">IF($F43=0,0, IF(AND(N$1&gt;=$G43,$G43&lt;&gt;0),0,IF(N$1&gt;=$F43,$E43/12,0)))</f>
        <v>0</v>
      </c>
      <c r="O43" s="206">
        <f t="shared" si="49"/>
        <v>0</v>
      </c>
      <c r="P43" s="206">
        <f t="shared" si="49"/>
        <v>0</v>
      </c>
      <c r="Q43" s="206">
        <f t="shared" si="49"/>
        <v>0</v>
      </c>
      <c r="R43" s="206">
        <f t="shared" si="49"/>
        <v>0</v>
      </c>
      <c r="S43" s="206">
        <f t="shared" si="49"/>
        <v>0</v>
      </c>
      <c r="T43" s="206">
        <f t="shared" si="49"/>
        <v>0</v>
      </c>
      <c r="U43" s="206">
        <f t="shared" si="49"/>
        <v>0</v>
      </c>
      <c r="V43" s="206">
        <f t="shared" si="49"/>
        <v>0</v>
      </c>
      <c r="W43" s="206">
        <f t="shared" si="49"/>
        <v>0</v>
      </c>
      <c r="X43" s="206">
        <f t="shared" si="49"/>
        <v>0</v>
      </c>
      <c r="Y43" s="206">
        <f t="shared" si="49"/>
        <v>0</v>
      </c>
      <c r="Z43" s="206">
        <f t="shared" si="49"/>
        <v>0</v>
      </c>
      <c r="AA43" s="206">
        <f t="shared" si="49"/>
        <v>0</v>
      </c>
      <c r="AB43" s="206">
        <f t="shared" si="49"/>
        <v>0</v>
      </c>
      <c r="AC43" s="206">
        <f t="shared" si="49"/>
        <v>0</v>
      </c>
      <c r="AD43" s="206">
        <f t="shared" si="49"/>
        <v>0</v>
      </c>
      <c r="AE43" s="206">
        <f t="shared" si="49"/>
        <v>0</v>
      </c>
      <c r="AF43" s="206">
        <f t="shared" si="49"/>
        <v>0</v>
      </c>
      <c r="AG43" s="206">
        <f t="shared" si="49"/>
        <v>0</v>
      </c>
      <c r="AH43" s="206">
        <f t="shared" si="49"/>
        <v>0</v>
      </c>
      <c r="AI43" s="206">
        <f t="shared" si="49"/>
        <v>0</v>
      </c>
      <c r="AJ43" s="206">
        <f t="shared" si="49"/>
        <v>0</v>
      </c>
      <c r="AK43" s="206">
        <f t="shared" si="49"/>
        <v>0</v>
      </c>
      <c r="AL43" s="206">
        <f t="shared" si="49"/>
        <v>0</v>
      </c>
      <c r="AM43" s="206">
        <f t="shared" si="49"/>
        <v>0</v>
      </c>
      <c r="AN43" s="206">
        <f t="shared" si="49"/>
        <v>0</v>
      </c>
      <c r="AO43" s="206">
        <f t="shared" si="49"/>
        <v>0</v>
      </c>
      <c r="AP43" s="206">
        <f t="shared" si="49"/>
        <v>0</v>
      </c>
      <c r="AQ43" s="206">
        <f t="shared" si="49"/>
        <v>0</v>
      </c>
      <c r="AR43" s="206">
        <f t="shared" si="49"/>
        <v>0</v>
      </c>
      <c r="AS43" s="206">
        <f t="shared" si="49"/>
        <v>0</v>
      </c>
      <c r="AT43" s="206">
        <f t="shared" si="49"/>
        <v>0</v>
      </c>
      <c r="AU43" s="206">
        <f t="shared" si="49"/>
        <v>0</v>
      </c>
      <c r="AV43" s="206">
        <f t="shared" si="49"/>
        <v>0</v>
      </c>
      <c r="AW43" s="206">
        <f t="shared" si="49"/>
        <v>0</v>
      </c>
      <c r="AX43" s="206">
        <f t="shared" si="49"/>
        <v>0</v>
      </c>
      <c r="AY43" s="206">
        <f t="shared" si="49"/>
        <v>0</v>
      </c>
      <c r="AZ43" s="206">
        <f t="shared" si="49"/>
        <v>0</v>
      </c>
      <c r="BA43" s="206">
        <f t="shared" si="49"/>
        <v>0</v>
      </c>
      <c r="BB43" s="206">
        <f t="shared" si="49"/>
        <v>0</v>
      </c>
      <c r="BC43" s="206">
        <f t="shared" si="49"/>
        <v>0</v>
      </c>
      <c r="BD43" s="206">
        <f t="shared" si="49"/>
        <v>0</v>
      </c>
      <c r="BE43" s="206">
        <f t="shared" si="49"/>
        <v>0</v>
      </c>
      <c r="BF43" s="206">
        <f t="shared" si="49"/>
        <v>0</v>
      </c>
      <c r="BG43" s="206">
        <f t="shared" si="49"/>
        <v>0</v>
      </c>
      <c r="BH43" s="206">
        <f t="shared" si="49"/>
        <v>0</v>
      </c>
      <c r="BI43" s="206">
        <f t="shared" si="49"/>
        <v>0</v>
      </c>
    </row>
    <row r="44" spans="1:61" ht="12.75" x14ac:dyDescent="0.2">
      <c r="A44" s="189"/>
      <c r="B44" s="15" t="s">
        <v>176</v>
      </c>
      <c r="C44" s="15" t="s">
        <v>203</v>
      </c>
      <c r="D44" s="15" t="str">
        <f t="shared" si="44"/>
        <v>Sales</v>
      </c>
      <c r="E44" s="193">
        <v>60000</v>
      </c>
      <c r="F44" s="202"/>
      <c r="G44" s="191"/>
      <c r="H44" s="192">
        <v>0.09</v>
      </c>
      <c r="I44" s="193">
        <f t="shared" si="45"/>
        <v>200</v>
      </c>
      <c r="J44" s="193">
        <v>500</v>
      </c>
      <c r="K44" s="206">
        <f t="shared" si="3"/>
        <v>700</v>
      </c>
      <c r="L44" s="6"/>
      <c r="M44" s="6"/>
      <c r="N44" s="206">
        <f t="shared" ref="N44:BI44" si="50">IF($F44=0,0, IF(AND(N$1&gt;=$G44,$G44&lt;&gt;0),0,IF(N$1&gt;=$F44,$E44/12,0)))</f>
        <v>0</v>
      </c>
      <c r="O44" s="206">
        <f t="shared" si="50"/>
        <v>0</v>
      </c>
      <c r="P44" s="206">
        <f t="shared" si="50"/>
        <v>0</v>
      </c>
      <c r="Q44" s="206">
        <f t="shared" si="50"/>
        <v>0</v>
      </c>
      <c r="R44" s="206">
        <f t="shared" si="50"/>
        <v>0</v>
      </c>
      <c r="S44" s="206">
        <f t="shared" si="50"/>
        <v>0</v>
      </c>
      <c r="T44" s="206">
        <f t="shared" si="50"/>
        <v>0</v>
      </c>
      <c r="U44" s="206">
        <f t="shared" si="50"/>
        <v>0</v>
      </c>
      <c r="V44" s="206">
        <f t="shared" si="50"/>
        <v>0</v>
      </c>
      <c r="W44" s="206">
        <f t="shared" si="50"/>
        <v>0</v>
      </c>
      <c r="X44" s="206">
        <f t="shared" si="50"/>
        <v>0</v>
      </c>
      <c r="Y44" s="206">
        <f t="shared" si="50"/>
        <v>0</v>
      </c>
      <c r="Z44" s="206">
        <f t="shared" si="50"/>
        <v>0</v>
      </c>
      <c r="AA44" s="206">
        <f t="shared" si="50"/>
        <v>0</v>
      </c>
      <c r="AB44" s="206">
        <f t="shared" si="50"/>
        <v>0</v>
      </c>
      <c r="AC44" s="206">
        <f t="shared" si="50"/>
        <v>0</v>
      </c>
      <c r="AD44" s="206">
        <f t="shared" si="50"/>
        <v>0</v>
      </c>
      <c r="AE44" s="206">
        <f t="shared" si="50"/>
        <v>0</v>
      </c>
      <c r="AF44" s="206">
        <f t="shared" si="50"/>
        <v>0</v>
      </c>
      <c r="AG44" s="206">
        <f t="shared" si="50"/>
        <v>0</v>
      </c>
      <c r="AH44" s="206">
        <f t="shared" si="50"/>
        <v>0</v>
      </c>
      <c r="AI44" s="206">
        <f t="shared" si="50"/>
        <v>0</v>
      </c>
      <c r="AJ44" s="206">
        <f t="shared" si="50"/>
        <v>0</v>
      </c>
      <c r="AK44" s="206">
        <f t="shared" si="50"/>
        <v>0</v>
      </c>
      <c r="AL44" s="206">
        <f t="shared" si="50"/>
        <v>0</v>
      </c>
      <c r="AM44" s="206">
        <f t="shared" si="50"/>
        <v>0</v>
      </c>
      <c r="AN44" s="206">
        <f t="shared" si="50"/>
        <v>0</v>
      </c>
      <c r="AO44" s="206">
        <f t="shared" si="50"/>
        <v>0</v>
      </c>
      <c r="AP44" s="206">
        <f t="shared" si="50"/>
        <v>0</v>
      </c>
      <c r="AQ44" s="206">
        <f t="shared" si="50"/>
        <v>0</v>
      </c>
      <c r="AR44" s="206">
        <f t="shared" si="50"/>
        <v>0</v>
      </c>
      <c r="AS44" s="206">
        <f t="shared" si="50"/>
        <v>0</v>
      </c>
      <c r="AT44" s="206">
        <f t="shared" si="50"/>
        <v>0</v>
      </c>
      <c r="AU44" s="206">
        <f t="shared" si="50"/>
        <v>0</v>
      </c>
      <c r="AV44" s="206">
        <f t="shared" si="50"/>
        <v>0</v>
      </c>
      <c r="AW44" s="206">
        <f t="shared" si="50"/>
        <v>0</v>
      </c>
      <c r="AX44" s="206">
        <f t="shared" si="50"/>
        <v>0</v>
      </c>
      <c r="AY44" s="206">
        <f t="shared" si="50"/>
        <v>0</v>
      </c>
      <c r="AZ44" s="206">
        <f t="shared" si="50"/>
        <v>0</v>
      </c>
      <c r="BA44" s="206">
        <f t="shared" si="50"/>
        <v>0</v>
      </c>
      <c r="BB44" s="206">
        <f t="shared" si="50"/>
        <v>0</v>
      </c>
      <c r="BC44" s="206">
        <f t="shared" si="50"/>
        <v>0</v>
      </c>
      <c r="BD44" s="206">
        <f t="shared" si="50"/>
        <v>0</v>
      </c>
      <c r="BE44" s="206">
        <f t="shared" si="50"/>
        <v>0</v>
      </c>
      <c r="BF44" s="206">
        <f t="shared" si="50"/>
        <v>0</v>
      </c>
      <c r="BG44" s="206">
        <f t="shared" si="50"/>
        <v>0</v>
      </c>
      <c r="BH44" s="206">
        <f t="shared" si="50"/>
        <v>0</v>
      </c>
      <c r="BI44" s="206">
        <f t="shared" si="50"/>
        <v>0</v>
      </c>
    </row>
    <row r="45" spans="1:61" ht="12.75" x14ac:dyDescent="0.2">
      <c r="A45" s="189"/>
      <c r="B45" s="15" t="s">
        <v>177</v>
      </c>
      <c r="C45" s="15" t="s">
        <v>204</v>
      </c>
      <c r="D45" s="15" t="str">
        <f t="shared" si="44"/>
        <v>Sales</v>
      </c>
      <c r="E45" s="193">
        <v>60000</v>
      </c>
      <c r="F45" s="202"/>
      <c r="G45" s="191"/>
      <c r="H45" s="192">
        <v>0.09</v>
      </c>
      <c r="I45" s="193">
        <f t="shared" si="45"/>
        <v>200</v>
      </c>
      <c r="J45" s="193">
        <v>500</v>
      </c>
      <c r="K45" s="206">
        <f t="shared" si="3"/>
        <v>700</v>
      </c>
      <c r="L45" s="6"/>
      <c r="M45" s="6"/>
      <c r="N45" s="206">
        <f t="shared" ref="N45:BI45" si="51">IF($F45=0,0, IF(AND(N$1&gt;=$G45,$G45&lt;&gt;0),0,IF(N$1&gt;=$F45,$E45/12,0)))</f>
        <v>0</v>
      </c>
      <c r="O45" s="206">
        <f t="shared" si="51"/>
        <v>0</v>
      </c>
      <c r="P45" s="206">
        <f t="shared" si="51"/>
        <v>0</v>
      </c>
      <c r="Q45" s="206">
        <f t="shared" si="51"/>
        <v>0</v>
      </c>
      <c r="R45" s="206">
        <f t="shared" si="51"/>
        <v>0</v>
      </c>
      <c r="S45" s="206">
        <f t="shared" si="51"/>
        <v>0</v>
      </c>
      <c r="T45" s="206">
        <f t="shared" si="51"/>
        <v>0</v>
      </c>
      <c r="U45" s="206">
        <f t="shared" si="51"/>
        <v>0</v>
      </c>
      <c r="V45" s="206">
        <f t="shared" si="51"/>
        <v>0</v>
      </c>
      <c r="W45" s="206">
        <f t="shared" si="51"/>
        <v>0</v>
      </c>
      <c r="X45" s="206">
        <f t="shared" si="51"/>
        <v>0</v>
      </c>
      <c r="Y45" s="206">
        <f t="shared" si="51"/>
        <v>0</v>
      </c>
      <c r="Z45" s="206">
        <f t="shared" si="51"/>
        <v>0</v>
      </c>
      <c r="AA45" s="206">
        <f t="shared" si="51"/>
        <v>0</v>
      </c>
      <c r="AB45" s="206">
        <f t="shared" si="51"/>
        <v>0</v>
      </c>
      <c r="AC45" s="206">
        <f t="shared" si="51"/>
        <v>0</v>
      </c>
      <c r="AD45" s="206">
        <f t="shared" si="51"/>
        <v>0</v>
      </c>
      <c r="AE45" s="206">
        <f t="shared" si="51"/>
        <v>0</v>
      </c>
      <c r="AF45" s="206">
        <f t="shared" si="51"/>
        <v>0</v>
      </c>
      <c r="AG45" s="206">
        <f t="shared" si="51"/>
        <v>0</v>
      </c>
      <c r="AH45" s="206">
        <f t="shared" si="51"/>
        <v>0</v>
      </c>
      <c r="AI45" s="206">
        <f t="shared" si="51"/>
        <v>0</v>
      </c>
      <c r="AJ45" s="206">
        <f t="shared" si="51"/>
        <v>0</v>
      </c>
      <c r="AK45" s="206">
        <f t="shared" si="51"/>
        <v>0</v>
      </c>
      <c r="AL45" s="206">
        <f t="shared" si="51"/>
        <v>0</v>
      </c>
      <c r="AM45" s="206">
        <f t="shared" si="51"/>
        <v>0</v>
      </c>
      <c r="AN45" s="206">
        <f t="shared" si="51"/>
        <v>0</v>
      </c>
      <c r="AO45" s="206">
        <f t="shared" si="51"/>
        <v>0</v>
      </c>
      <c r="AP45" s="206">
        <f t="shared" si="51"/>
        <v>0</v>
      </c>
      <c r="AQ45" s="206">
        <f t="shared" si="51"/>
        <v>0</v>
      </c>
      <c r="AR45" s="206">
        <f t="shared" si="51"/>
        <v>0</v>
      </c>
      <c r="AS45" s="206">
        <f t="shared" si="51"/>
        <v>0</v>
      </c>
      <c r="AT45" s="206">
        <f t="shared" si="51"/>
        <v>0</v>
      </c>
      <c r="AU45" s="206">
        <f t="shared" si="51"/>
        <v>0</v>
      </c>
      <c r="AV45" s="206">
        <f t="shared" si="51"/>
        <v>0</v>
      </c>
      <c r="AW45" s="206">
        <f t="shared" si="51"/>
        <v>0</v>
      </c>
      <c r="AX45" s="206">
        <f t="shared" si="51"/>
        <v>0</v>
      </c>
      <c r="AY45" s="206">
        <f t="shared" si="51"/>
        <v>0</v>
      </c>
      <c r="AZ45" s="206">
        <f t="shared" si="51"/>
        <v>0</v>
      </c>
      <c r="BA45" s="206">
        <f t="shared" si="51"/>
        <v>0</v>
      </c>
      <c r="BB45" s="206">
        <f t="shared" si="51"/>
        <v>0</v>
      </c>
      <c r="BC45" s="206">
        <f t="shared" si="51"/>
        <v>0</v>
      </c>
      <c r="BD45" s="206">
        <f t="shared" si="51"/>
        <v>0</v>
      </c>
      <c r="BE45" s="206">
        <f t="shared" si="51"/>
        <v>0</v>
      </c>
      <c r="BF45" s="206">
        <f t="shared" si="51"/>
        <v>0</v>
      </c>
      <c r="BG45" s="206">
        <f t="shared" si="51"/>
        <v>0</v>
      </c>
      <c r="BH45" s="206">
        <f t="shared" si="51"/>
        <v>0</v>
      </c>
      <c r="BI45" s="206">
        <f t="shared" si="51"/>
        <v>0</v>
      </c>
    </row>
    <row r="46" spans="1:61" ht="12.75" x14ac:dyDescent="0.2">
      <c r="A46" s="189"/>
      <c r="B46" s="15" t="s">
        <v>178</v>
      </c>
      <c r="C46" s="15" t="s">
        <v>205</v>
      </c>
      <c r="D46" s="15" t="str">
        <f t="shared" si="44"/>
        <v>Sales</v>
      </c>
      <c r="E46" s="193">
        <v>60000</v>
      </c>
      <c r="F46" s="202"/>
      <c r="G46" s="191"/>
      <c r="H46" s="192">
        <v>0.09</v>
      </c>
      <c r="I46" s="193">
        <f t="shared" si="45"/>
        <v>200</v>
      </c>
      <c r="J46" s="193">
        <v>500</v>
      </c>
      <c r="K46" s="206">
        <f t="shared" si="3"/>
        <v>700</v>
      </c>
      <c r="L46" s="6"/>
      <c r="M46" s="6"/>
      <c r="N46" s="206">
        <f t="shared" ref="N46:BI46" si="52">IF($F46=0,0, IF(AND(N$1&gt;=$G46,$G46&lt;&gt;0),0,IF(N$1&gt;=$F46,$E46/12,0)))</f>
        <v>0</v>
      </c>
      <c r="O46" s="206">
        <f t="shared" si="52"/>
        <v>0</v>
      </c>
      <c r="P46" s="206">
        <f t="shared" si="52"/>
        <v>0</v>
      </c>
      <c r="Q46" s="206">
        <f t="shared" si="52"/>
        <v>0</v>
      </c>
      <c r="R46" s="206">
        <f t="shared" si="52"/>
        <v>0</v>
      </c>
      <c r="S46" s="206">
        <f t="shared" si="52"/>
        <v>0</v>
      </c>
      <c r="T46" s="206">
        <f t="shared" si="52"/>
        <v>0</v>
      </c>
      <c r="U46" s="206">
        <f t="shared" si="52"/>
        <v>0</v>
      </c>
      <c r="V46" s="206">
        <f t="shared" si="52"/>
        <v>0</v>
      </c>
      <c r="W46" s="206">
        <f t="shared" si="52"/>
        <v>0</v>
      </c>
      <c r="X46" s="206">
        <f t="shared" si="52"/>
        <v>0</v>
      </c>
      <c r="Y46" s="206">
        <f t="shared" si="52"/>
        <v>0</v>
      </c>
      <c r="Z46" s="206">
        <f t="shared" si="52"/>
        <v>0</v>
      </c>
      <c r="AA46" s="206">
        <f t="shared" si="52"/>
        <v>0</v>
      </c>
      <c r="AB46" s="206">
        <f t="shared" si="52"/>
        <v>0</v>
      </c>
      <c r="AC46" s="206">
        <f t="shared" si="52"/>
        <v>0</v>
      </c>
      <c r="AD46" s="206">
        <f t="shared" si="52"/>
        <v>0</v>
      </c>
      <c r="AE46" s="206">
        <f t="shared" si="52"/>
        <v>0</v>
      </c>
      <c r="AF46" s="206">
        <f t="shared" si="52"/>
        <v>0</v>
      </c>
      <c r="AG46" s="206">
        <f t="shared" si="52"/>
        <v>0</v>
      </c>
      <c r="AH46" s="206">
        <f t="shared" si="52"/>
        <v>0</v>
      </c>
      <c r="AI46" s="206">
        <f t="shared" si="52"/>
        <v>0</v>
      </c>
      <c r="AJ46" s="206">
        <f t="shared" si="52"/>
        <v>0</v>
      </c>
      <c r="AK46" s="206">
        <f t="shared" si="52"/>
        <v>0</v>
      </c>
      <c r="AL46" s="206">
        <f t="shared" si="52"/>
        <v>0</v>
      </c>
      <c r="AM46" s="206">
        <f t="shared" si="52"/>
        <v>0</v>
      </c>
      <c r="AN46" s="206">
        <f t="shared" si="52"/>
        <v>0</v>
      </c>
      <c r="AO46" s="206">
        <f t="shared" si="52"/>
        <v>0</v>
      </c>
      <c r="AP46" s="206">
        <f t="shared" si="52"/>
        <v>0</v>
      </c>
      <c r="AQ46" s="206">
        <f t="shared" si="52"/>
        <v>0</v>
      </c>
      <c r="AR46" s="206">
        <f t="shared" si="52"/>
        <v>0</v>
      </c>
      <c r="AS46" s="206">
        <f t="shared" si="52"/>
        <v>0</v>
      </c>
      <c r="AT46" s="206">
        <f t="shared" si="52"/>
        <v>0</v>
      </c>
      <c r="AU46" s="206">
        <f t="shared" si="52"/>
        <v>0</v>
      </c>
      <c r="AV46" s="206">
        <f t="shared" si="52"/>
        <v>0</v>
      </c>
      <c r="AW46" s="206">
        <f t="shared" si="52"/>
        <v>0</v>
      </c>
      <c r="AX46" s="206">
        <f t="shared" si="52"/>
        <v>0</v>
      </c>
      <c r="AY46" s="206">
        <f t="shared" si="52"/>
        <v>0</v>
      </c>
      <c r="AZ46" s="206">
        <f t="shared" si="52"/>
        <v>0</v>
      </c>
      <c r="BA46" s="206">
        <f t="shared" si="52"/>
        <v>0</v>
      </c>
      <c r="BB46" s="206">
        <f t="shared" si="52"/>
        <v>0</v>
      </c>
      <c r="BC46" s="206">
        <f t="shared" si="52"/>
        <v>0</v>
      </c>
      <c r="BD46" s="206">
        <f t="shared" si="52"/>
        <v>0</v>
      </c>
      <c r="BE46" s="206">
        <f t="shared" si="52"/>
        <v>0</v>
      </c>
      <c r="BF46" s="206">
        <f t="shared" si="52"/>
        <v>0</v>
      </c>
      <c r="BG46" s="206">
        <f t="shared" si="52"/>
        <v>0</v>
      </c>
      <c r="BH46" s="206">
        <f t="shared" si="52"/>
        <v>0</v>
      </c>
      <c r="BI46" s="206">
        <f t="shared" si="52"/>
        <v>0</v>
      </c>
    </row>
    <row r="47" spans="1:61" ht="12.75" x14ac:dyDescent="0.2">
      <c r="A47" s="189"/>
      <c r="B47" s="15" t="s">
        <v>179</v>
      </c>
      <c r="C47" s="6" t="s">
        <v>206</v>
      </c>
      <c r="D47" s="6" t="str">
        <f t="shared" si="44"/>
        <v>Sales</v>
      </c>
      <c r="E47" s="205">
        <v>60000</v>
      </c>
      <c r="F47" s="202"/>
      <c r="G47" s="191"/>
      <c r="H47" s="192">
        <v>0.09</v>
      </c>
      <c r="I47" s="205">
        <f t="shared" si="45"/>
        <v>200</v>
      </c>
      <c r="J47" s="205">
        <v>500</v>
      </c>
      <c r="K47" s="206">
        <f t="shared" si="3"/>
        <v>700</v>
      </c>
      <c r="L47" s="6"/>
      <c r="M47" s="6"/>
      <c r="N47" s="206">
        <f t="shared" ref="N47:BI47" si="53">IF($F47=0,0, IF(AND(N$1&gt;=$G47,$G47&lt;&gt;0),0,IF(N$1&gt;=$F47,$E47/12,0)))</f>
        <v>0</v>
      </c>
      <c r="O47" s="206">
        <f t="shared" si="53"/>
        <v>0</v>
      </c>
      <c r="P47" s="206">
        <f t="shared" si="53"/>
        <v>0</v>
      </c>
      <c r="Q47" s="206">
        <f t="shared" si="53"/>
        <v>0</v>
      </c>
      <c r="R47" s="206">
        <f t="shared" si="53"/>
        <v>0</v>
      </c>
      <c r="S47" s="206">
        <f t="shared" si="53"/>
        <v>0</v>
      </c>
      <c r="T47" s="206">
        <f t="shared" si="53"/>
        <v>0</v>
      </c>
      <c r="U47" s="206">
        <f t="shared" si="53"/>
        <v>0</v>
      </c>
      <c r="V47" s="206">
        <f t="shared" si="53"/>
        <v>0</v>
      </c>
      <c r="W47" s="206">
        <f t="shared" si="53"/>
        <v>0</v>
      </c>
      <c r="X47" s="206">
        <f t="shared" si="53"/>
        <v>0</v>
      </c>
      <c r="Y47" s="206">
        <f t="shared" si="53"/>
        <v>0</v>
      </c>
      <c r="Z47" s="206">
        <f t="shared" si="53"/>
        <v>0</v>
      </c>
      <c r="AA47" s="206">
        <f t="shared" si="53"/>
        <v>0</v>
      </c>
      <c r="AB47" s="206">
        <f t="shared" si="53"/>
        <v>0</v>
      </c>
      <c r="AC47" s="206">
        <f t="shared" si="53"/>
        <v>0</v>
      </c>
      <c r="AD47" s="206">
        <f t="shared" si="53"/>
        <v>0</v>
      </c>
      <c r="AE47" s="206">
        <f t="shared" si="53"/>
        <v>0</v>
      </c>
      <c r="AF47" s="206">
        <f t="shared" si="53"/>
        <v>0</v>
      </c>
      <c r="AG47" s="206">
        <f t="shared" si="53"/>
        <v>0</v>
      </c>
      <c r="AH47" s="206">
        <f t="shared" si="53"/>
        <v>0</v>
      </c>
      <c r="AI47" s="206">
        <f t="shared" si="53"/>
        <v>0</v>
      </c>
      <c r="AJ47" s="206">
        <f t="shared" si="53"/>
        <v>0</v>
      </c>
      <c r="AK47" s="206">
        <f t="shared" si="53"/>
        <v>0</v>
      </c>
      <c r="AL47" s="206">
        <f t="shared" si="53"/>
        <v>0</v>
      </c>
      <c r="AM47" s="206">
        <f t="shared" si="53"/>
        <v>0</v>
      </c>
      <c r="AN47" s="206">
        <f t="shared" si="53"/>
        <v>0</v>
      </c>
      <c r="AO47" s="206">
        <f t="shared" si="53"/>
        <v>0</v>
      </c>
      <c r="AP47" s="206">
        <f t="shared" si="53"/>
        <v>0</v>
      </c>
      <c r="AQ47" s="206">
        <f t="shared" si="53"/>
        <v>0</v>
      </c>
      <c r="AR47" s="206">
        <f t="shared" si="53"/>
        <v>0</v>
      </c>
      <c r="AS47" s="206">
        <f t="shared" si="53"/>
        <v>0</v>
      </c>
      <c r="AT47" s="206">
        <f t="shared" si="53"/>
        <v>0</v>
      </c>
      <c r="AU47" s="206">
        <f t="shared" si="53"/>
        <v>0</v>
      </c>
      <c r="AV47" s="206">
        <f t="shared" si="53"/>
        <v>0</v>
      </c>
      <c r="AW47" s="206">
        <f t="shared" si="53"/>
        <v>0</v>
      </c>
      <c r="AX47" s="206">
        <f t="shared" si="53"/>
        <v>0</v>
      </c>
      <c r="AY47" s="206">
        <f t="shared" si="53"/>
        <v>0</v>
      </c>
      <c r="AZ47" s="206">
        <f t="shared" si="53"/>
        <v>0</v>
      </c>
      <c r="BA47" s="206">
        <f t="shared" si="53"/>
        <v>0</v>
      </c>
      <c r="BB47" s="206">
        <f t="shared" si="53"/>
        <v>0</v>
      </c>
      <c r="BC47" s="206">
        <f t="shared" si="53"/>
        <v>0</v>
      </c>
      <c r="BD47" s="206">
        <f t="shared" si="53"/>
        <v>0</v>
      </c>
      <c r="BE47" s="206">
        <f t="shared" si="53"/>
        <v>0</v>
      </c>
      <c r="BF47" s="206">
        <f t="shared" si="53"/>
        <v>0</v>
      </c>
      <c r="BG47" s="206">
        <f t="shared" si="53"/>
        <v>0</v>
      </c>
      <c r="BH47" s="206">
        <f t="shared" si="53"/>
        <v>0</v>
      </c>
      <c r="BI47" s="206">
        <f t="shared" si="53"/>
        <v>0</v>
      </c>
    </row>
    <row r="48" spans="1:61" ht="12.75" x14ac:dyDescent="0.2">
      <c r="A48" s="207"/>
      <c r="B48" s="15" t="s">
        <v>182</v>
      </c>
      <c r="C48" s="15" t="s">
        <v>207</v>
      </c>
      <c r="D48" s="15" t="str">
        <f t="shared" si="44"/>
        <v>Sales</v>
      </c>
      <c r="E48" s="193">
        <v>160000</v>
      </c>
      <c r="F48" s="202"/>
      <c r="G48" s="191"/>
      <c r="H48" s="192">
        <v>0.09</v>
      </c>
      <c r="I48" s="193">
        <f t="shared" si="45"/>
        <v>533.33333333333337</v>
      </c>
      <c r="J48" s="193">
        <v>500</v>
      </c>
      <c r="K48" s="206">
        <f t="shared" si="3"/>
        <v>1033.3333333333335</v>
      </c>
      <c r="L48" s="6"/>
      <c r="M48" s="6"/>
      <c r="N48" s="206">
        <f t="shared" ref="N48:BI48" si="54">IF($F48=0,0, IF(AND(N$1&gt;=$G48,$G48&lt;&gt;0),0,IF(N$1&gt;=$F48,$E48/12,0)))</f>
        <v>0</v>
      </c>
      <c r="O48" s="206">
        <f t="shared" si="54"/>
        <v>0</v>
      </c>
      <c r="P48" s="206">
        <f t="shared" si="54"/>
        <v>0</v>
      </c>
      <c r="Q48" s="206">
        <f t="shared" si="54"/>
        <v>0</v>
      </c>
      <c r="R48" s="206">
        <f t="shared" si="54"/>
        <v>0</v>
      </c>
      <c r="S48" s="206">
        <f t="shared" si="54"/>
        <v>0</v>
      </c>
      <c r="T48" s="206">
        <f t="shared" si="54"/>
        <v>0</v>
      </c>
      <c r="U48" s="206">
        <f t="shared" si="54"/>
        <v>0</v>
      </c>
      <c r="V48" s="206">
        <f t="shared" si="54"/>
        <v>0</v>
      </c>
      <c r="W48" s="206">
        <f t="shared" si="54"/>
        <v>0</v>
      </c>
      <c r="X48" s="206">
        <f t="shared" si="54"/>
        <v>0</v>
      </c>
      <c r="Y48" s="206">
        <f t="shared" si="54"/>
        <v>0</v>
      </c>
      <c r="Z48" s="206">
        <f t="shared" si="54"/>
        <v>0</v>
      </c>
      <c r="AA48" s="206">
        <f t="shared" si="54"/>
        <v>0</v>
      </c>
      <c r="AB48" s="206">
        <f t="shared" si="54"/>
        <v>0</v>
      </c>
      <c r="AC48" s="206">
        <f t="shared" si="54"/>
        <v>0</v>
      </c>
      <c r="AD48" s="206">
        <f t="shared" si="54"/>
        <v>0</v>
      </c>
      <c r="AE48" s="206">
        <f t="shared" si="54"/>
        <v>0</v>
      </c>
      <c r="AF48" s="206">
        <f t="shared" si="54"/>
        <v>0</v>
      </c>
      <c r="AG48" s="206">
        <f t="shared" si="54"/>
        <v>0</v>
      </c>
      <c r="AH48" s="206">
        <f t="shared" si="54"/>
        <v>0</v>
      </c>
      <c r="AI48" s="206">
        <f t="shared" si="54"/>
        <v>0</v>
      </c>
      <c r="AJ48" s="206">
        <f t="shared" si="54"/>
        <v>0</v>
      </c>
      <c r="AK48" s="206">
        <f t="shared" si="54"/>
        <v>0</v>
      </c>
      <c r="AL48" s="206">
        <f t="shared" si="54"/>
        <v>0</v>
      </c>
      <c r="AM48" s="206">
        <f t="shared" si="54"/>
        <v>0</v>
      </c>
      <c r="AN48" s="206">
        <f t="shared" si="54"/>
        <v>0</v>
      </c>
      <c r="AO48" s="206">
        <f t="shared" si="54"/>
        <v>0</v>
      </c>
      <c r="AP48" s="206">
        <f t="shared" si="54"/>
        <v>0</v>
      </c>
      <c r="AQ48" s="206">
        <f t="shared" si="54"/>
        <v>0</v>
      </c>
      <c r="AR48" s="206">
        <f t="shared" si="54"/>
        <v>0</v>
      </c>
      <c r="AS48" s="206">
        <f t="shared" si="54"/>
        <v>0</v>
      </c>
      <c r="AT48" s="206">
        <f t="shared" si="54"/>
        <v>0</v>
      </c>
      <c r="AU48" s="206">
        <f t="shared" si="54"/>
        <v>0</v>
      </c>
      <c r="AV48" s="206">
        <f t="shared" si="54"/>
        <v>0</v>
      </c>
      <c r="AW48" s="206">
        <f t="shared" si="54"/>
        <v>0</v>
      </c>
      <c r="AX48" s="206">
        <f t="shared" si="54"/>
        <v>0</v>
      </c>
      <c r="AY48" s="206">
        <f t="shared" si="54"/>
        <v>0</v>
      </c>
      <c r="AZ48" s="206">
        <f t="shared" si="54"/>
        <v>0</v>
      </c>
      <c r="BA48" s="206">
        <f t="shared" si="54"/>
        <v>0</v>
      </c>
      <c r="BB48" s="206">
        <f t="shared" si="54"/>
        <v>0</v>
      </c>
      <c r="BC48" s="206">
        <f t="shared" si="54"/>
        <v>0</v>
      </c>
      <c r="BD48" s="206">
        <f t="shared" si="54"/>
        <v>0</v>
      </c>
      <c r="BE48" s="206">
        <f t="shared" si="54"/>
        <v>0</v>
      </c>
      <c r="BF48" s="206">
        <f t="shared" si="54"/>
        <v>0</v>
      </c>
      <c r="BG48" s="206">
        <f t="shared" si="54"/>
        <v>0</v>
      </c>
      <c r="BH48" s="206">
        <f t="shared" si="54"/>
        <v>0</v>
      </c>
      <c r="BI48" s="206">
        <f t="shared" si="54"/>
        <v>0</v>
      </c>
    </row>
    <row r="49" spans="1:61" ht="12.75" x14ac:dyDescent="0.2">
      <c r="A49" s="207"/>
      <c r="B49" s="15" t="s">
        <v>183</v>
      </c>
      <c r="C49" s="15" t="s">
        <v>208</v>
      </c>
      <c r="D49" s="15" t="str">
        <f t="shared" si="44"/>
        <v>Sales</v>
      </c>
      <c r="E49" s="193">
        <v>160000</v>
      </c>
      <c r="F49" s="202"/>
      <c r="G49" s="191"/>
      <c r="H49" s="192">
        <v>0.09</v>
      </c>
      <c r="I49" s="193">
        <f t="shared" si="45"/>
        <v>533.33333333333337</v>
      </c>
      <c r="J49" s="193">
        <v>500</v>
      </c>
      <c r="K49" s="206">
        <f t="shared" si="3"/>
        <v>1033.3333333333335</v>
      </c>
      <c r="L49" s="6"/>
      <c r="M49" s="6"/>
      <c r="N49" s="206">
        <f t="shared" ref="N49:BI49" si="55">IF($F49=0,0, IF(AND(N$1&gt;=$G49,$G49&lt;&gt;0),0,IF(N$1&gt;=$F49,$E49/12,0)))</f>
        <v>0</v>
      </c>
      <c r="O49" s="206">
        <f t="shared" si="55"/>
        <v>0</v>
      </c>
      <c r="P49" s="206">
        <f t="shared" si="55"/>
        <v>0</v>
      </c>
      <c r="Q49" s="206">
        <f t="shared" si="55"/>
        <v>0</v>
      </c>
      <c r="R49" s="206">
        <f t="shared" si="55"/>
        <v>0</v>
      </c>
      <c r="S49" s="206">
        <f t="shared" si="55"/>
        <v>0</v>
      </c>
      <c r="T49" s="206">
        <f t="shared" si="55"/>
        <v>0</v>
      </c>
      <c r="U49" s="206">
        <f t="shared" si="55"/>
        <v>0</v>
      </c>
      <c r="V49" s="206">
        <f t="shared" si="55"/>
        <v>0</v>
      </c>
      <c r="W49" s="206">
        <f t="shared" si="55"/>
        <v>0</v>
      </c>
      <c r="X49" s="206">
        <f t="shared" si="55"/>
        <v>0</v>
      </c>
      <c r="Y49" s="206">
        <f t="shared" si="55"/>
        <v>0</v>
      </c>
      <c r="Z49" s="206">
        <f t="shared" si="55"/>
        <v>0</v>
      </c>
      <c r="AA49" s="206">
        <f t="shared" si="55"/>
        <v>0</v>
      </c>
      <c r="AB49" s="206">
        <f t="shared" si="55"/>
        <v>0</v>
      </c>
      <c r="AC49" s="206">
        <f t="shared" si="55"/>
        <v>0</v>
      </c>
      <c r="AD49" s="206">
        <f t="shared" si="55"/>
        <v>0</v>
      </c>
      <c r="AE49" s="206">
        <f t="shared" si="55"/>
        <v>0</v>
      </c>
      <c r="AF49" s="206">
        <f t="shared" si="55"/>
        <v>0</v>
      </c>
      <c r="AG49" s="206">
        <f t="shared" si="55"/>
        <v>0</v>
      </c>
      <c r="AH49" s="206">
        <f t="shared" si="55"/>
        <v>0</v>
      </c>
      <c r="AI49" s="206">
        <f t="shared" si="55"/>
        <v>0</v>
      </c>
      <c r="AJ49" s="206">
        <f t="shared" si="55"/>
        <v>0</v>
      </c>
      <c r="AK49" s="206">
        <f t="shared" si="55"/>
        <v>0</v>
      </c>
      <c r="AL49" s="206">
        <f t="shared" si="55"/>
        <v>0</v>
      </c>
      <c r="AM49" s="206">
        <f t="shared" si="55"/>
        <v>0</v>
      </c>
      <c r="AN49" s="206">
        <f t="shared" si="55"/>
        <v>0</v>
      </c>
      <c r="AO49" s="206">
        <f t="shared" si="55"/>
        <v>0</v>
      </c>
      <c r="AP49" s="206">
        <f t="shared" si="55"/>
        <v>0</v>
      </c>
      <c r="AQ49" s="206">
        <f t="shared" si="55"/>
        <v>0</v>
      </c>
      <c r="AR49" s="206">
        <f t="shared" si="55"/>
        <v>0</v>
      </c>
      <c r="AS49" s="206">
        <f t="shared" si="55"/>
        <v>0</v>
      </c>
      <c r="AT49" s="206">
        <f t="shared" si="55"/>
        <v>0</v>
      </c>
      <c r="AU49" s="206">
        <f t="shared" si="55"/>
        <v>0</v>
      </c>
      <c r="AV49" s="206">
        <f t="shared" si="55"/>
        <v>0</v>
      </c>
      <c r="AW49" s="206">
        <f t="shared" si="55"/>
        <v>0</v>
      </c>
      <c r="AX49" s="206">
        <f t="shared" si="55"/>
        <v>0</v>
      </c>
      <c r="AY49" s="206">
        <f t="shared" si="55"/>
        <v>0</v>
      </c>
      <c r="AZ49" s="206">
        <f t="shared" si="55"/>
        <v>0</v>
      </c>
      <c r="BA49" s="206">
        <f t="shared" si="55"/>
        <v>0</v>
      </c>
      <c r="BB49" s="206">
        <f t="shared" si="55"/>
        <v>0</v>
      </c>
      <c r="BC49" s="206">
        <f t="shared" si="55"/>
        <v>0</v>
      </c>
      <c r="BD49" s="206">
        <f t="shared" si="55"/>
        <v>0</v>
      </c>
      <c r="BE49" s="206">
        <f t="shared" si="55"/>
        <v>0</v>
      </c>
      <c r="BF49" s="206">
        <f t="shared" si="55"/>
        <v>0</v>
      </c>
      <c r="BG49" s="206">
        <f t="shared" si="55"/>
        <v>0</v>
      </c>
      <c r="BH49" s="206">
        <f t="shared" si="55"/>
        <v>0</v>
      </c>
      <c r="BI49" s="206">
        <f t="shared" si="55"/>
        <v>0</v>
      </c>
    </row>
    <row r="50" spans="1:61" ht="12.75" x14ac:dyDescent="0.2">
      <c r="A50" s="207"/>
      <c r="B50" s="15" t="s">
        <v>184</v>
      </c>
      <c r="C50" s="15" t="s">
        <v>209</v>
      </c>
      <c r="D50" s="15" t="str">
        <f t="shared" si="44"/>
        <v>Sales</v>
      </c>
      <c r="E50" s="193">
        <v>160000</v>
      </c>
      <c r="F50" s="202"/>
      <c r="G50" s="191"/>
      <c r="H50" s="192">
        <v>0.09</v>
      </c>
      <c r="I50" s="193">
        <f t="shared" si="45"/>
        <v>533.33333333333337</v>
      </c>
      <c r="J50" s="193">
        <v>500</v>
      </c>
      <c r="K50" s="206">
        <f t="shared" si="3"/>
        <v>1033.3333333333335</v>
      </c>
      <c r="L50" s="6"/>
      <c r="M50" s="6"/>
      <c r="N50" s="206">
        <f t="shared" ref="N50:BI50" si="56">IF($F50=0,0, IF(AND(N$1&gt;=$G50,$G50&lt;&gt;0),0,IF(N$1&gt;=$F50,$E50/12,0)))</f>
        <v>0</v>
      </c>
      <c r="O50" s="206">
        <f t="shared" si="56"/>
        <v>0</v>
      </c>
      <c r="P50" s="206">
        <f t="shared" si="56"/>
        <v>0</v>
      </c>
      <c r="Q50" s="206">
        <f t="shared" si="56"/>
        <v>0</v>
      </c>
      <c r="R50" s="206">
        <f t="shared" si="56"/>
        <v>0</v>
      </c>
      <c r="S50" s="206">
        <f t="shared" si="56"/>
        <v>0</v>
      </c>
      <c r="T50" s="206">
        <f t="shared" si="56"/>
        <v>0</v>
      </c>
      <c r="U50" s="206">
        <f t="shared" si="56"/>
        <v>0</v>
      </c>
      <c r="V50" s="206">
        <f t="shared" si="56"/>
        <v>0</v>
      </c>
      <c r="W50" s="206">
        <f t="shared" si="56"/>
        <v>0</v>
      </c>
      <c r="X50" s="206">
        <f t="shared" si="56"/>
        <v>0</v>
      </c>
      <c r="Y50" s="206">
        <f t="shared" si="56"/>
        <v>0</v>
      </c>
      <c r="Z50" s="206">
        <f t="shared" si="56"/>
        <v>0</v>
      </c>
      <c r="AA50" s="206">
        <f t="shared" si="56"/>
        <v>0</v>
      </c>
      <c r="AB50" s="206">
        <f t="shared" si="56"/>
        <v>0</v>
      </c>
      <c r="AC50" s="206">
        <f t="shared" si="56"/>
        <v>0</v>
      </c>
      <c r="AD50" s="206">
        <f t="shared" si="56"/>
        <v>0</v>
      </c>
      <c r="AE50" s="206">
        <f t="shared" si="56"/>
        <v>0</v>
      </c>
      <c r="AF50" s="206">
        <f t="shared" si="56"/>
        <v>0</v>
      </c>
      <c r="AG50" s="206">
        <f t="shared" si="56"/>
        <v>0</v>
      </c>
      <c r="AH50" s="206">
        <f t="shared" si="56"/>
        <v>0</v>
      </c>
      <c r="AI50" s="206">
        <f t="shared" si="56"/>
        <v>0</v>
      </c>
      <c r="AJ50" s="206">
        <f t="shared" si="56"/>
        <v>0</v>
      </c>
      <c r="AK50" s="206">
        <f t="shared" si="56"/>
        <v>0</v>
      </c>
      <c r="AL50" s="206">
        <f t="shared" si="56"/>
        <v>0</v>
      </c>
      <c r="AM50" s="206">
        <f t="shared" si="56"/>
        <v>0</v>
      </c>
      <c r="AN50" s="206">
        <f t="shared" si="56"/>
        <v>0</v>
      </c>
      <c r="AO50" s="206">
        <f t="shared" si="56"/>
        <v>0</v>
      </c>
      <c r="AP50" s="206">
        <f t="shared" si="56"/>
        <v>0</v>
      </c>
      <c r="AQ50" s="206">
        <f t="shared" si="56"/>
        <v>0</v>
      </c>
      <c r="AR50" s="206">
        <f t="shared" si="56"/>
        <v>0</v>
      </c>
      <c r="AS50" s="206">
        <f t="shared" si="56"/>
        <v>0</v>
      </c>
      <c r="AT50" s="206">
        <f t="shared" si="56"/>
        <v>0</v>
      </c>
      <c r="AU50" s="206">
        <f t="shared" si="56"/>
        <v>0</v>
      </c>
      <c r="AV50" s="206">
        <f t="shared" si="56"/>
        <v>0</v>
      </c>
      <c r="AW50" s="206">
        <f t="shared" si="56"/>
        <v>0</v>
      </c>
      <c r="AX50" s="206">
        <f t="shared" si="56"/>
        <v>0</v>
      </c>
      <c r="AY50" s="206">
        <f t="shared" si="56"/>
        <v>0</v>
      </c>
      <c r="AZ50" s="206">
        <f t="shared" si="56"/>
        <v>0</v>
      </c>
      <c r="BA50" s="206">
        <f t="shared" si="56"/>
        <v>0</v>
      </c>
      <c r="BB50" s="206">
        <f t="shared" si="56"/>
        <v>0</v>
      </c>
      <c r="BC50" s="206">
        <f t="shared" si="56"/>
        <v>0</v>
      </c>
      <c r="BD50" s="206">
        <f t="shared" si="56"/>
        <v>0</v>
      </c>
      <c r="BE50" s="206">
        <f t="shared" si="56"/>
        <v>0</v>
      </c>
      <c r="BF50" s="206">
        <f t="shared" si="56"/>
        <v>0</v>
      </c>
      <c r="BG50" s="206">
        <f t="shared" si="56"/>
        <v>0</v>
      </c>
      <c r="BH50" s="206">
        <f t="shared" si="56"/>
        <v>0</v>
      </c>
      <c r="BI50" s="206">
        <f t="shared" si="56"/>
        <v>0</v>
      </c>
    </row>
    <row r="51" spans="1:61" ht="12.75" x14ac:dyDescent="0.2">
      <c r="A51" s="207"/>
      <c r="B51" s="15" t="s">
        <v>185</v>
      </c>
      <c r="C51" s="15" t="s">
        <v>210</v>
      </c>
      <c r="D51" s="15" t="str">
        <f t="shared" si="44"/>
        <v>Sales</v>
      </c>
      <c r="E51" s="193">
        <v>160000</v>
      </c>
      <c r="F51" s="202"/>
      <c r="G51" s="191"/>
      <c r="H51" s="192">
        <v>0.09</v>
      </c>
      <c r="I51" s="193">
        <f t="shared" si="45"/>
        <v>533.33333333333337</v>
      </c>
      <c r="J51" s="193">
        <v>500</v>
      </c>
      <c r="K51" s="206">
        <f t="shared" si="3"/>
        <v>1033.3333333333335</v>
      </c>
      <c r="L51" s="6"/>
      <c r="M51" s="6"/>
      <c r="N51" s="206">
        <f t="shared" ref="N51:BI51" si="57">IF($F51=0,0, IF(AND(N$1&gt;=$G51,$G51&lt;&gt;0),0,IF(N$1&gt;=$F51,$E51/12,0)))</f>
        <v>0</v>
      </c>
      <c r="O51" s="206">
        <f t="shared" si="57"/>
        <v>0</v>
      </c>
      <c r="P51" s="206">
        <f t="shared" si="57"/>
        <v>0</v>
      </c>
      <c r="Q51" s="206">
        <f t="shared" si="57"/>
        <v>0</v>
      </c>
      <c r="R51" s="206">
        <f t="shared" si="57"/>
        <v>0</v>
      </c>
      <c r="S51" s="206">
        <f t="shared" si="57"/>
        <v>0</v>
      </c>
      <c r="T51" s="206">
        <f t="shared" si="57"/>
        <v>0</v>
      </c>
      <c r="U51" s="206">
        <f t="shared" si="57"/>
        <v>0</v>
      </c>
      <c r="V51" s="206">
        <f t="shared" si="57"/>
        <v>0</v>
      </c>
      <c r="W51" s="206">
        <f t="shared" si="57"/>
        <v>0</v>
      </c>
      <c r="X51" s="206">
        <f t="shared" si="57"/>
        <v>0</v>
      </c>
      <c r="Y51" s="206">
        <f t="shared" si="57"/>
        <v>0</v>
      </c>
      <c r="Z51" s="206">
        <f t="shared" si="57"/>
        <v>0</v>
      </c>
      <c r="AA51" s="206">
        <f t="shared" si="57"/>
        <v>0</v>
      </c>
      <c r="AB51" s="206">
        <f t="shared" si="57"/>
        <v>0</v>
      </c>
      <c r="AC51" s="206">
        <f t="shared" si="57"/>
        <v>0</v>
      </c>
      <c r="AD51" s="206">
        <f t="shared" si="57"/>
        <v>0</v>
      </c>
      <c r="AE51" s="206">
        <f t="shared" si="57"/>
        <v>0</v>
      </c>
      <c r="AF51" s="206">
        <f t="shared" si="57"/>
        <v>0</v>
      </c>
      <c r="AG51" s="206">
        <f t="shared" si="57"/>
        <v>0</v>
      </c>
      <c r="AH51" s="206">
        <f t="shared" si="57"/>
        <v>0</v>
      </c>
      <c r="AI51" s="206">
        <f t="shared" si="57"/>
        <v>0</v>
      </c>
      <c r="AJ51" s="206">
        <f t="shared" si="57"/>
        <v>0</v>
      </c>
      <c r="AK51" s="206">
        <f t="shared" si="57"/>
        <v>0</v>
      </c>
      <c r="AL51" s="206">
        <f t="shared" si="57"/>
        <v>0</v>
      </c>
      <c r="AM51" s="206">
        <f t="shared" si="57"/>
        <v>0</v>
      </c>
      <c r="AN51" s="206">
        <f t="shared" si="57"/>
        <v>0</v>
      </c>
      <c r="AO51" s="206">
        <f t="shared" si="57"/>
        <v>0</v>
      </c>
      <c r="AP51" s="206">
        <f t="shared" si="57"/>
        <v>0</v>
      </c>
      <c r="AQ51" s="206">
        <f t="shared" si="57"/>
        <v>0</v>
      </c>
      <c r="AR51" s="206">
        <f t="shared" si="57"/>
        <v>0</v>
      </c>
      <c r="AS51" s="206">
        <f t="shared" si="57"/>
        <v>0</v>
      </c>
      <c r="AT51" s="206">
        <f t="shared" si="57"/>
        <v>0</v>
      </c>
      <c r="AU51" s="206">
        <f t="shared" si="57"/>
        <v>0</v>
      </c>
      <c r="AV51" s="206">
        <f t="shared" si="57"/>
        <v>0</v>
      </c>
      <c r="AW51" s="206">
        <f t="shared" si="57"/>
        <v>0</v>
      </c>
      <c r="AX51" s="206">
        <f t="shared" si="57"/>
        <v>0</v>
      </c>
      <c r="AY51" s="206">
        <f t="shared" si="57"/>
        <v>0</v>
      </c>
      <c r="AZ51" s="206">
        <f t="shared" si="57"/>
        <v>0</v>
      </c>
      <c r="BA51" s="206">
        <f t="shared" si="57"/>
        <v>0</v>
      </c>
      <c r="BB51" s="206">
        <f t="shared" si="57"/>
        <v>0</v>
      </c>
      <c r="BC51" s="206">
        <f t="shared" si="57"/>
        <v>0</v>
      </c>
      <c r="BD51" s="206">
        <f t="shared" si="57"/>
        <v>0</v>
      </c>
      <c r="BE51" s="206">
        <f t="shared" si="57"/>
        <v>0</v>
      </c>
      <c r="BF51" s="206">
        <f t="shared" si="57"/>
        <v>0</v>
      </c>
      <c r="BG51" s="206">
        <f t="shared" si="57"/>
        <v>0</v>
      </c>
      <c r="BH51" s="206">
        <f t="shared" si="57"/>
        <v>0</v>
      </c>
      <c r="BI51" s="206">
        <f t="shared" si="57"/>
        <v>0</v>
      </c>
    </row>
    <row r="52" spans="1:61" ht="12.75" x14ac:dyDescent="0.2">
      <c r="A52" s="207"/>
      <c r="B52" s="189" t="s">
        <v>211</v>
      </c>
      <c r="C52" s="15"/>
      <c r="D52" s="15"/>
      <c r="E52" s="206"/>
      <c r="F52" s="194"/>
      <c r="G52" s="194"/>
      <c r="H52" s="208"/>
      <c r="I52" s="206"/>
      <c r="J52" s="206"/>
      <c r="K52" s="206">
        <f t="shared" si="3"/>
        <v>0</v>
      </c>
      <c r="L52" s="6"/>
      <c r="M52" s="6"/>
      <c r="N52" s="206">
        <f t="shared" ref="N52:BI52" si="58">IF($F52=0,0, IF(AND(N$1&gt;=$G52,$G52&lt;&gt;0),0,IF(N$1&gt;=$F52,$E52/12,0)))</f>
        <v>0</v>
      </c>
      <c r="O52" s="206">
        <f t="shared" si="58"/>
        <v>0</v>
      </c>
      <c r="P52" s="206">
        <f t="shared" si="58"/>
        <v>0</v>
      </c>
      <c r="Q52" s="206">
        <f t="shared" si="58"/>
        <v>0</v>
      </c>
      <c r="R52" s="206">
        <f t="shared" si="58"/>
        <v>0</v>
      </c>
      <c r="S52" s="206">
        <f t="shared" si="58"/>
        <v>0</v>
      </c>
      <c r="T52" s="206">
        <f t="shared" si="58"/>
        <v>0</v>
      </c>
      <c r="U52" s="206">
        <f t="shared" si="58"/>
        <v>0</v>
      </c>
      <c r="V52" s="206">
        <f t="shared" si="58"/>
        <v>0</v>
      </c>
      <c r="W52" s="206">
        <f t="shared" si="58"/>
        <v>0</v>
      </c>
      <c r="X52" s="206">
        <f t="shared" si="58"/>
        <v>0</v>
      </c>
      <c r="Y52" s="206">
        <f t="shared" si="58"/>
        <v>0</v>
      </c>
      <c r="Z52" s="206">
        <f t="shared" si="58"/>
        <v>0</v>
      </c>
      <c r="AA52" s="206">
        <f t="shared" si="58"/>
        <v>0</v>
      </c>
      <c r="AB52" s="206">
        <f t="shared" si="58"/>
        <v>0</v>
      </c>
      <c r="AC52" s="206">
        <f t="shared" si="58"/>
        <v>0</v>
      </c>
      <c r="AD52" s="206">
        <f t="shared" si="58"/>
        <v>0</v>
      </c>
      <c r="AE52" s="206">
        <f t="shared" si="58"/>
        <v>0</v>
      </c>
      <c r="AF52" s="206">
        <f t="shared" si="58"/>
        <v>0</v>
      </c>
      <c r="AG52" s="206">
        <f t="shared" si="58"/>
        <v>0</v>
      </c>
      <c r="AH52" s="206">
        <f t="shared" si="58"/>
        <v>0</v>
      </c>
      <c r="AI52" s="206">
        <f t="shared" si="58"/>
        <v>0</v>
      </c>
      <c r="AJ52" s="206">
        <f t="shared" si="58"/>
        <v>0</v>
      </c>
      <c r="AK52" s="206">
        <f t="shared" si="58"/>
        <v>0</v>
      </c>
      <c r="AL52" s="206">
        <f t="shared" si="58"/>
        <v>0</v>
      </c>
      <c r="AM52" s="206">
        <f t="shared" si="58"/>
        <v>0</v>
      </c>
      <c r="AN52" s="206">
        <f t="shared" si="58"/>
        <v>0</v>
      </c>
      <c r="AO52" s="206">
        <f t="shared" si="58"/>
        <v>0</v>
      </c>
      <c r="AP52" s="206">
        <f t="shared" si="58"/>
        <v>0</v>
      </c>
      <c r="AQ52" s="206">
        <f t="shared" si="58"/>
        <v>0</v>
      </c>
      <c r="AR52" s="206">
        <f t="shared" si="58"/>
        <v>0</v>
      </c>
      <c r="AS52" s="206">
        <f t="shared" si="58"/>
        <v>0</v>
      </c>
      <c r="AT52" s="206">
        <f t="shared" si="58"/>
        <v>0</v>
      </c>
      <c r="AU52" s="206">
        <f t="shared" si="58"/>
        <v>0</v>
      </c>
      <c r="AV52" s="206">
        <f t="shared" si="58"/>
        <v>0</v>
      </c>
      <c r="AW52" s="206">
        <f t="shared" si="58"/>
        <v>0</v>
      </c>
      <c r="AX52" s="206">
        <f t="shared" si="58"/>
        <v>0</v>
      </c>
      <c r="AY52" s="206">
        <f t="shared" si="58"/>
        <v>0</v>
      </c>
      <c r="AZ52" s="206">
        <f t="shared" si="58"/>
        <v>0</v>
      </c>
      <c r="BA52" s="206">
        <f t="shared" si="58"/>
        <v>0</v>
      </c>
      <c r="BB52" s="206">
        <f t="shared" si="58"/>
        <v>0</v>
      </c>
      <c r="BC52" s="206">
        <f t="shared" si="58"/>
        <v>0</v>
      </c>
      <c r="BD52" s="206">
        <f t="shared" si="58"/>
        <v>0</v>
      </c>
      <c r="BE52" s="206">
        <f t="shared" si="58"/>
        <v>0</v>
      </c>
      <c r="BF52" s="206">
        <f t="shared" si="58"/>
        <v>0</v>
      </c>
      <c r="BG52" s="206">
        <f t="shared" si="58"/>
        <v>0</v>
      </c>
      <c r="BH52" s="206">
        <f t="shared" si="58"/>
        <v>0</v>
      </c>
      <c r="BI52" s="206">
        <f t="shared" si="58"/>
        <v>0</v>
      </c>
    </row>
    <row r="53" spans="1:61" ht="12.75" x14ac:dyDescent="0.2">
      <c r="A53" s="6"/>
      <c r="B53" s="15" t="s">
        <v>212</v>
      </c>
      <c r="C53" s="15" t="s">
        <v>213</v>
      </c>
      <c r="D53" s="15" t="str">
        <f t="shared" ref="D53:D64" si="59">$B$52</f>
        <v>Support</v>
      </c>
      <c r="E53" s="190">
        <f>150000*0.75</f>
        <v>112500</v>
      </c>
      <c r="F53" s="191">
        <v>43497</v>
      </c>
      <c r="G53" s="191"/>
      <c r="H53" s="192">
        <v>0.09</v>
      </c>
      <c r="I53" s="193">
        <f t="shared" ref="I53:I64" si="60">0.04*E53/12</f>
        <v>375</v>
      </c>
      <c r="J53" s="193">
        <v>500</v>
      </c>
      <c r="K53" s="206">
        <f t="shared" si="3"/>
        <v>875</v>
      </c>
      <c r="L53" s="6"/>
      <c r="M53" s="6"/>
      <c r="N53" s="206">
        <f t="shared" ref="N53:BI53" si="61">IF($F53=0,0, IF(AND(N$1&gt;=$G53,$G53&lt;&gt;0),0,IF(N$1&gt;=$F53,$E53/12,0)))</f>
        <v>9375</v>
      </c>
      <c r="O53" s="206">
        <f t="shared" si="61"/>
        <v>9375</v>
      </c>
      <c r="P53" s="206">
        <f t="shared" si="61"/>
        <v>9375</v>
      </c>
      <c r="Q53" s="206">
        <f t="shared" si="61"/>
        <v>9375</v>
      </c>
      <c r="R53" s="206">
        <f t="shared" si="61"/>
        <v>9375</v>
      </c>
      <c r="S53" s="206">
        <f t="shared" si="61"/>
        <v>9375</v>
      </c>
      <c r="T53" s="206">
        <f t="shared" si="61"/>
        <v>9375</v>
      </c>
      <c r="U53" s="206">
        <f t="shared" si="61"/>
        <v>9375</v>
      </c>
      <c r="V53" s="206">
        <f t="shared" si="61"/>
        <v>9375</v>
      </c>
      <c r="W53" s="206">
        <f t="shared" si="61"/>
        <v>9375</v>
      </c>
      <c r="X53" s="206">
        <f t="shared" si="61"/>
        <v>9375</v>
      </c>
      <c r="Y53" s="206">
        <f t="shared" si="61"/>
        <v>9375</v>
      </c>
      <c r="Z53" s="206">
        <f t="shared" si="61"/>
        <v>9375</v>
      </c>
      <c r="AA53" s="206">
        <f t="shared" si="61"/>
        <v>9375</v>
      </c>
      <c r="AB53" s="206">
        <f t="shared" si="61"/>
        <v>9375</v>
      </c>
      <c r="AC53" s="206">
        <f t="shared" si="61"/>
        <v>9375</v>
      </c>
      <c r="AD53" s="206">
        <f t="shared" si="61"/>
        <v>9375</v>
      </c>
      <c r="AE53" s="206">
        <f t="shared" si="61"/>
        <v>9375</v>
      </c>
      <c r="AF53" s="206">
        <f t="shared" si="61"/>
        <v>9375</v>
      </c>
      <c r="AG53" s="206">
        <f t="shared" si="61"/>
        <v>9375</v>
      </c>
      <c r="AH53" s="206">
        <f t="shared" si="61"/>
        <v>9375</v>
      </c>
      <c r="AI53" s="206">
        <f t="shared" si="61"/>
        <v>9375</v>
      </c>
      <c r="AJ53" s="206">
        <f t="shared" si="61"/>
        <v>9375</v>
      </c>
      <c r="AK53" s="206">
        <f t="shared" si="61"/>
        <v>9375</v>
      </c>
      <c r="AL53" s="206">
        <f t="shared" si="61"/>
        <v>9375</v>
      </c>
      <c r="AM53" s="206">
        <f t="shared" si="61"/>
        <v>9375</v>
      </c>
      <c r="AN53" s="206">
        <f t="shared" si="61"/>
        <v>9375</v>
      </c>
      <c r="AO53" s="206">
        <f t="shared" si="61"/>
        <v>9375</v>
      </c>
      <c r="AP53" s="206">
        <f t="shared" si="61"/>
        <v>9375</v>
      </c>
      <c r="AQ53" s="206">
        <f t="shared" si="61"/>
        <v>9375</v>
      </c>
      <c r="AR53" s="206">
        <f t="shared" si="61"/>
        <v>9375</v>
      </c>
      <c r="AS53" s="206">
        <f t="shared" si="61"/>
        <v>9375</v>
      </c>
      <c r="AT53" s="206">
        <f t="shared" si="61"/>
        <v>9375</v>
      </c>
      <c r="AU53" s="206">
        <f t="shared" si="61"/>
        <v>9375</v>
      </c>
      <c r="AV53" s="206">
        <f t="shared" si="61"/>
        <v>9375</v>
      </c>
      <c r="AW53" s="206">
        <f t="shared" si="61"/>
        <v>9375</v>
      </c>
      <c r="AX53" s="206">
        <f t="shared" si="61"/>
        <v>9375</v>
      </c>
      <c r="AY53" s="206">
        <f t="shared" si="61"/>
        <v>9375</v>
      </c>
      <c r="AZ53" s="206">
        <f t="shared" si="61"/>
        <v>9375</v>
      </c>
      <c r="BA53" s="206">
        <f t="shared" si="61"/>
        <v>9375</v>
      </c>
      <c r="BB53" s="206">
        <f t="shared" si="61"/>
        <v>9375</v>
      </c>
      <c r="BC53" s="206">
        <f t="shared" si="61"/>
        <v>9375</v>
      </c>
      <c r="BD53" s="206">
        <f t="shared" si="61"/>
        <v>9375</v>
      </c>
      <c r="BE53" s="206">
        <f t="shared" si="61"/>
        <v>9375</v>
      </c>
      <c r="BF53" s="206">
        <f t="shared" si="61"/>
        <v>9375</v>
      </c>
      <c r="BG53" s="206">
        <f t="shared" si="61"/>
        <v>9375</v>
      </c>
      <c r="BH53" s="206">
        <f t="shared" si="61"/>
        <v>9375</v>
      </c>
      <c r="BI53" s="206">
        <f t="shared" si="61"/>
        <v>9375</v>
      </c>
    </row>
    <row r="54" spans="1:61" ht="12.75" x14ac:dyDescent="0.2">
      <c r="A54" s="6"/>
      <c r="B54" s="15" t="s">
        <v>214</v>
      </c>
      <c r="C54" s="15" t="s">
        <v>215</v>
      </c>
      <c r="D54" s="15" t="str">
        <f t="shared" si="59"/>
        <v>Support</v>
      </c>
      <c r="E54" s="193">
        <v>62400</v>
      </c>
      <c r="F54" s="191">
        <v>43101</v>
      </c>
      <c r="G54" s="191"/>
      <c r="H54" s="192">
        <v>0.09</v>
      </c>
      <c r="I54" s="193">
        <f t="shared" si="60"/>
        <v>208</v>
      </c>
      <c r="J54" s="193">
        <v>500</v>
      </c>
      <c r="K54" s="206">
        <f t="shared" si="3"/>
        <v>708</v>
      </c>
      <c r="L54" s="6"/>
      <c r="M54" s="6"/>
      <c r="N54" s="206">
        <f t="shared" ref="N54:BI54" si="62">IF($F54=0,0, IF(AND(N$1&gt;=$G54,$G54&lt;&gt;0),0,IF(N$1&gt;=$F54,$E54/12,0)))</f>
        <v>5200</v>
      </c>
      <c r="O54" s="206">
        <f t="shared" si="62"/>
        <v>5200</v>
      </c>
      <c r="P54" s="206">
        <f t="shared" si="62"/>
        <v>5200</v>
      </c>
      <c r="Q54" s="206">
        <f t="shared" si="62"/>
        <v>5200</v>
      </c>
      <c r="R54" s="206">
        <f t="shared" si="62"/>
        <v>5200</v>
      </c>
      <c r="S54" s="206">
        <f t="shared" si="62"/>
        <v>5200</v>
      </c>
      <c r="T54" s="206">
        <f t="shared" si="62"/>
        <v>5200</v>
      </c>
      <c r="U54" s="206">
        <f t="shared" si="62"/>
        <v>5200</v>
      </c>
      <c r="V54" s="206">
        <f t="shared" si="62"/>
        <v>5200</v>
      </c>
      <c r="W54" s="206">
        <f t="shared" si="62"/>
        <v>5200</v>
      </c>
      <c r="X54" s="206">
        <f t="shared" si="62"/>
        <v>5200</v>
      </c>
      <c r="Y54" s="206">
        <f t="shared" si="62"/>
        <v>5200</v>
      </c>
      <c r="Z54" s="206">
        <f t="shared" si="62"/>
        <v>5200</v>
      </c>
      <c r="AA54" s="206">
        <f t="shared" si="62"/>
        <v>5200</v>
      </c>
      <c r="AB54" s="206">
        <f t="shared" si="62"/>
        <v>5200</v>
      </c>
      <c r="AC54" s="206">
        <f t="shared" si="62"/>
        <v>5200</v>
      </c>
      <c r="AD54" s="206">
        <f t="shared" si="62"/>
        <v>5200</v>
      </c>
      <c r="AE54" s="206">
        <f t="shared" si="62"/>
        <v>5200</v>
      </c>
      <c r="AF54" s="206">
        <f t="shared" si="62"/>
        <v>5200</v>
      </c>
      <c r="AG54" s="206">
        <f t="shared" si="62"/>
        <v>5200</v>
      </c>
      <c r="AH54" s="206">
        <f t="shared" si="62"/>
        <v>5200</v>
      </c>
      <c r="AI54" s="206">
        <f t="shared" si="62"/>
        <v>5200</v>
      </c>
      <c r="AJ54" s="206">
        <f t="shared" si="62"/>
        <v>5200</v>
      </c>
      <c r="AK54" s="206">
        <f t="shared" si="62"/>
        <v>5200</v>
      </c>
      <c r="AL54" s="206">
        <f t="shared" si="62"/>
        <v>5200</v>
      </c>
      <c r="AM54" s="206">
        <f t="shared" si="62"/>
        <v>5200</v>
      </c>
      <c r="AN54" s="206">
        <f t="shared" si="62"/>
        <v>5200</v>
      </c>
      <c r="AO54" s="206">
        <f t="shared" si="62"/>
        <v>5200</v>
      </c>
      <c r="AP54" s="206">
        <f t="shared" si="62"/>
        <v>5200</v>
      </c>
      <c r="AQ54" s="206">
        <f t="shared" si="62"/>
        <v>5200</v>
      </c>
      <c r="AR54" s="206">
        <f t="shared" si="62"/>
        <v>5200</v>
      </c>
      <c r="AS54" s="206">
        <f t="shared" si="62"/>
        <v>5200</v>
      </c>
      <c r="AT54" s="206">
        <f t="shared" si="62"/>
        <v>5200</v>
      </c>
      <c r="AU54" s="206">
        <f t="shared" si="62"/>
        <v>5200</v>
      </c>
      <c r="AV54" s="206">
        <f t="shared" si="62"/>
        <v>5200</v>
      </c>
      <c r="AW54" s="206">
        <f t="shared" si="62"/>
        <v>5200</v>
      </c>
      <c r="AX54" s="206">
        <f t="shared" si="62"/>
        <v>5200</v>
      </c>
      <c r="AY54" s="206">
        <f t="shared" si="62"/>
        <v>5200</v>
      </c>
      <c r="AZ54" s="206">
        <f t="shared" si="62"/>
        <v>5200</v>
      </c>
      <c r="BA54" s="206">
        <f t="shared" si="62"/>
        <v>5200</v>
      </c>
      <c r="BB54" s="206">
        <f t="shared" si="62"/>
        <v>5200</v>
      </c>
      <c r="BC54" s="206">
        <f t="shared" si="62"/>
        <v>5200</v>
      </c>
      <c r="BD54" s="206">
        <f t="shared" si="62"/>
        <v>5200</v>
      </c>
      <c r="BE54" s="206">
        <f t="shared" si="62"/>
        <v>5200</v>
      </c>
      <c r="BF54" s="206">
        <f t="shared" si="62"/>
        <v>5200</v>
      </c>
      <c r="BG54" s="206">
        <f t="shared" si="62"/>
        <v>5200</v>
      </c>
      <c r="BH54" s="206">
        <f t="shared" si="62"/>
        <v>5200</v>
      </c>
      <c r="BI54" s="206">
        <f t="shared" si="62"/>
        <v>5200</v>
      </c>
    </row>
    <row r="55" spans="1:61" ht="12.75" x14ac:dyDescent="0.2">
      <c r="A55" s="6"/>
      <c r="B55" s="15" t="s">
        <v>216</v>
      </c>
      <c r="C55" s="15" t="s">
        <v>215</v>
      </c>
      <c r="D55" s="15" t="str">
        <f t="shared" si="59"/>
        <v>Support</v>
      </c>
      <c r="E55" s="193">
        <v>62400</v>
      </c>
      <c r="F55" s="191">
        <v>43101</v>
      </c>
      <c r="G55" s="191"/>
      <c r="H55" s="192">
        <v>0.09</v>
      </c>
      <c r="I55" s="193">
        <f t="shared" si="60"/>
        <v>208</v>
      </c>
      <c r="J55" s="193">
        <v>500</v>
      </c>
      <c r="K55" s="206">
        <f t="shared" si="3"/>
        <v>708</v>
      </c>
      <c r="L55" s="6"/>
      <c r="M55" s="6"/>
      <c r="N55" s="206">
        <f t="shared" ref="N55:BI55" si="63">IF($F55=0,0, IF(AND(N$1&gt;=$G55,$G55&lt;&gt;0),0,IF(N$1&gt;=$F55,$E55/12,0)))</f>
        <v>5200</v>
      </c>
      <c r="O55" s="206">
        <f t="shared" si="63"/>
        <v>5200</v>
      </c>
      <c r="P55" s="206">
        <f t="shared" si="63"/>
        <v>5200</v>
      </c>
      <c r="Q55" s="206">
        <f t="shared" si="63"/>
        <v>5200</v>
      </c>
      <c r="R55" s="206">
        <f t="shared" si="63"/>
        <v>5200</v>
      </c>
      <c r="S55" s="206">
        <f t="shared" si="63"/>
        <v>5200</v>
      </c>
      <c r="T55" s="206">
        <f t="shared" si="63"/>
        <v>5200</v>
      </c>
      <c r="U55" s="206">
        <f t="shared" si="63"/>
        <v>5200</v>
      </c>
      <c r="V55" s="206">
        <f t="shared" si="63"/>
        <v>5200</v>
      </c>
      <c r="W55" s="206">
        <f t="shared" si="63"/>
        <v>5200</v>
      </c>
      <c r="X55" s="206">
        <f t="shared" si="63"/>
        <v>5200</v>
      </c>
      <c r="Y55" s="206">
        <f t="shared" si="63"/>
        <v>5200</v>
      </c>
      <c r="Z55" s="206">
        <f t="shared" si="63"/>
        <v>5200</v>
      </c>
      <c r="AA55" s="206">
        <f t="shared" si="63"/>
        <v>5200</v>
      </c>
      <c r="AB55" s="206">
        <f t="shared" si="63"/>
        <v>5200</v>
      </c>
      <c r="AC55" s="206">
        <f t="shared" si="63"/>
        <v>5200</v>
      </c>
      <c r="AD55" s="206">
        <f t="shared" si="63"/>
        <v>5200</v>
      </c>
      <c r="AE55" s="206">
        <f t="shared" si="63"/>
        <v>5200</v>
      </c>
      <c r="AF55" s="206">
        <f t="shared" si="63"/>
        <v>5200</v>
      </c>
      <c r="AG55" s="206">
        <f t="shared" si="63"/>
        <v>5200</v>
      </c>
      <c r="AH55" s="206">
        <f t="shared" si="63"/>
        <v>5200</v>
      </c>
      <c r="AI55" s="206">
        <f t="shared" si="63"/>
        <v>5200</v>
      </c>
      <c r="AJ55" s="206">
        <f t="shared" si="63"/>
        <v>5200</v>
      </c>
      <c r="AK55" s="206">
        <f t="shared" si="63"/>
        <v>5200</v>
      </c>
      <c r="AL55" s="206">
        <f t="shared" si="63"/>
        <v>5200</v>
      </c>
      <c r="AM55" s="206">
        <f t="shared" si="63"/>
        <v>5200</v>
      </c>
      <c r="AN55" s="206">
        <f t="shared" si="63"/>
        <v>5200</v>
      </c>
      <c r="AO55" s="206">
        <f t="shared" si="63"/>
        <v>5200</v>
      </c>
      <c r="AP55" s="206">
        <f t="shared" si="63"/>
        <v>5200</v>
      </c>
      <c r="AQ55" s="206">
        <f t="shared" si="63"/>
        <v>5200</v>
      </c>
      <c r="AR55" s="206">
        <f t="shared" si="63"/>
        <v>5200</v>
      </c>
      <c r="AS55" s="206">
        <f t="shared" si="63"/>
        <v>5200</v>
      </c>
      <c r="AT55" s="206">
        <f t="shared" si="63"/>
        <v>5200</v>
      </c>
      <c r="AU55" s="206">
        <f t="shared" si="63"/>
        <v>5200</v>
      </c>
      <c r="AV55" s="206">
        <f t="shared" si="63"/>
        <v>5200</v>
      </c>
      <c r="AW55" s="206">
        <f t="shared" si="63"/>
        <v>5200</v>
      </c>
      <c r="AX55" s="206">
        <f t="shared" si="63"/>
        <v>5200</v>
      </c>
      <c r="AY55" s="206">
        <f t="shared" si="63"/>
        <v>5200</v>
      </c>
      <c r="AZ55" s="206">
        <f t="shared" si="63"/>
        <v>5200</v>
      </c>
      <c r="BA55" s="206">
        <f t="shared" si="63"/>
        <v>5200</v>
      </c>
      <c r="BB55" s="206">
        <f t="shared" si="63"/>
        <v>5200</v>
      </c>
      <c r="BC55" s="206">
        <f t="shared" si="63"/>
        <v>5200</v>
      </c>
      <c r="BD55" s="206">
        <f t="shared" si="63"/>
        <v>5200</v>
      </c>
      <c r="BE55" s="206">
        <f t="shared" si="63"/>
        <v>5200</v>
      </c>
      <c r="BF55" s="206">
        <f t="shared" si="63"/>
        <v>5200</v>
      </c>
      <c r="BG55" s="206">
        <f t="shared" si="63"/>
        <v>5200</v>
      </c>
      <c r="BH55" s="206">
        <f t="shared" si="63"/>
        <v>5200</v>
      </c>
      <c r="BI55" s="206">
        <f t="shared" si="63"/>
        <v>5200</v>
      </c>
    </row>
    <row r="56" spans="1:61" ht="12.75" x14ac:dyDescent="0.2">
      <c r="A56" s="6"/>
      <c r="B56" s="15" t="s">
        <v>217</v>
      </c>
      <c r="C56" s="15" t="s">
        <v>215</v>
      </c>
      <c r="D56" s="15" t="str">
        <f t="shared" si="59"/>
        <v>Support</v>
      </c>
      <c r="E56" s="193">
        <v>62400</v>
      </c>
      <c r="F56" s="191">
        <v>43101</v>
      </c>
      <c r="G56" s="191"/>
      <c r="H56" s="192">
        <v>0.09</v>
      </c>
      <c r="I56" s="193">
        <f t="shared" si="60"/>
        <v>208</v>
      </c>
      <c r="J56" s="193">
        <v>500</v>
      </c>
      <c r="K56" s="206">
        <f t="shared" si="3"/>
        <v>708</v>
      </c>
      <c r="L56" s="6"/>
      <c r="M56" s="6"/>
      <c r="N56" s="206">
        <f t="shared" ref="N56:BI56" si="64">IF($F56=0,0, IF(AND(N$1&gt;=$G56,$G56&lt;&gt;0),0,IF(N$1&gt;=$F56,$E56/12,0)))</f>
        <v>5200</v>
      </c>
      <c r="O56" s="206">
        <f t="shared" si="64"/>
        <v>5200</v>
      </c>
      <c r="P56" s="206">
        <f t="shared" si="64"/>
        <v>5200</v>
      </c>
      <c r="Q56" s="206">
        <f t="shared" si="64"/>
        <v>5200</v>
      </c>
      <c r="R56" s="206">
        <f t="shared" si="64"/>
        <v>5200</v>
      </c>
      <c r="S56" s="206">
        <f t="shared" si="64"/>
        <v>5200</v>
      </c>
      <c r="T56" s="206">
        <f t="shared" si="64"/>
        <v>5200</v>
      </c>
      <c r="U56" s="206">
        <f t="shared" si="64"/>
        <v>5200</v>
      </c>
      <c r="V56" s="206">
        <f t="shared" si="64"/>
        <v>5200</v>
      </c>
      <c r="W56" s="206">
        <f t="shared" si="64"/>
        <v>5200</v>
      </c>
      <c r="X56" s="206">
        <f t="shared" si="64"/>
        <v>5200</v>
      </c>
      <c r="Y56" s="206">
        <f t="shared" si="64"/>
        <v>5200</v>
      </c>
      <c r="Z56" s="206">
        <f t="shared" si="64"/>
        <v>5200</v>
      </c>
      <c r="AA56" s="206">
        <f t="shared" si="64"/>
        <v>5200</v>
      </c>
      <c r="AB56" s="206">
        <f t="shared" si="64"/>
        <v>5200</v>
      </c>
      <c r="AC56" s="206">
        <f t="shared" si="64"/>
        <v>5200</v>
      </c>
      <c r="AD56" s="206">
        <f t="shared" si="64"/>
        <v>5200</v>
      </c>
      <c r="AE56" s="206">
        <f t="shared" si="64"/>
        <v>5200</v>
      </c>
      <c r="AF56" s="206">
        <f t="shared" si="64"/>
        <v>5200</v>
      </c>
      <c r="AG56" s="206">
        <f t="shared" si="64"/>
        <v>5200</v>
      </c>
      <c r="AH56" s="206">
        <f t="shared" si="64"/>
        <v>5200</v>
      </c>
      <c r="AI56" s="206">
        <f t="shared" si="64"/>
        <v>5200</v>
      </c>
      <c r="AJ56" s="206">
        <f t="shared" si="64"/>
        <v>5200</v>
      </c>
      <c r="AK56" s="206">
        <f t="shared" si="64"/>
        <v>5200</v>
      </c>
      <c r="AL56" s="206">
        <f t="shared" si="64"/>
        <v>5200</v>
      </c>
      <c r="AM56" s="206">
        <f t="shared" si="64"/>
        <v>5200</v>
      </c>
      <c r="AN56" s="206">
        <f t="shared" si="64"/>
        <v>5200</v>
      </c>
      <c r="AO56" s="206">
        <f t="shared" si="64"/>
        <v>5200</v>
      </c>
      <c r="AP56" s="206">
        <f t="shared" si="64"/>
        <v>5200</v>
      </c>
      <c r="AQ56" s="206">
        <f t="shared" si="64"/>
        <v>5200</v>
      </c>
      <c r="AR56" s="206">
        <f t="shared" si="64"/>
        <v>5200</v>
      </c>
      <c r="AS56" s="206">
        <f t="shared" si="64"/>
        <v>5200</v>
      </c>
      <c r="AT56" s="206">
        <f t="shared" si="64"/>
        <v>5200</v>
      </c>
      <c r="AU56" s="206">
        <f t="shared" si="64"/>
        <v>5200</v>
      </c>
      <c r="AV56" s="206">
        <f t="shared" si="64"/>
        <v>5200</v>
      </c>
      <c r="AW56" s="206">
        <f t="shared" si="64"/>
        <v>5200</v>
      </c>
      <c r="AX56" s="206">
        <f t="shared" si="64"/>
        <v>5200</v>
      </c>
      <c r="AY56" s="206">
        <f t="shared" si="64"/>
        <v>5200</v>
      </c>
      <c r="AZ56" s="206">
        <f t="shared" si="64"/>
        <v>5200</v>
      </c>
      <c r="BA56" s="206">
        <f t="shared" si="64"/>
        <v>5200</v>
      </c>
      <c r="BB56" s="206">
        <f t="shared" si="64"/>
        <v>5200</v>
      </c>
      <c r="BC56" s="206">
        <f t="shared" si="64"/>
        <v>5200</v>
      </c>
      <c r="BD56" s="206">
        <f t="shared" si="64"/>
        <v>5200</v>
      </c>
      <c r="BE56" s="206">
        <f t="shared" si="64"/>
        <v>5200</v>
      </c>
      <c r="BF56" s="206">
        <f t="shared" si="64"/>
        <v>5200</v>
      </c>
      <c r="BG56" s="206">
        <f t="shared" si="64"/>
        <v>5200</v>
      </c>
      <c r="BH56" s="206">
        <f t="shared" si="64"/>
        <v>5200</v>
      </c>
      <c r="BI56" s="206">
        <f t="shared" si="64"/>
        <v>5200</v>
      </c>
    </row>
    <row r="57" spans="1:61" ht="12.75" x14ac:dyDescent="0.2">
      <c r="A57" s="6"/>
      <c r="B57" s="15" t="s">
        <v>218</v>
      </c>
      <c r="C57" s="15" t="s">
        <v>215</v>
      </c>
      <c r="D57" s="15" t="str">
        <f t="shared" si="59"/>
        <v>Support</v>
      </c>
      <c r="E57" s="193">
        <v>62400</v>
      </c>
      <c r="F57" s="191">
        <v>43070</v>
      </c>
      <c r="G57" s="191"/>
      <c r="H57" s="192">
        <v>0.09</v>
      </c>
      <c r="I57" s="193">
        <f t="shared" si="60"/>
        <v>208</v>
      </c>
      <c r="J57" s="193">
        <v>500</v>
      </c>
      <c r="K57" s="206">
        <f t="shared" si="3"/>
        <v>708</v>
      </c>
      <c r="L57" s="6"/>
      <c r="M57" s="6"/>
      <c r="N57" s="206">
        <f t="shared" ref="N57:BI57" si="65">IF($F57=0,0, IF(AND(N$1&gt;=$G57,$G57&lt;&gt;0),0,IF(N$1&gt;=$F57,$E57/12,0)))</f>
        <v>5200</v>
      </c>
      <c r="O57" s="206">
        <f t="shared" si="65"/>
        <v>5200</v>
      </c>
      <c r="P57" s="206">
        <f t="shared" si="65"/>
        <v>5200</v>
      </c>
      <c r="Q57" s="206">
        <f t="shared" si="65"/>
        <v>5200</v>
      </c>
      <c r="R57" s="206">
        <f t="shared" si="65"/>
        <v>5200</v>
      </c>
      <c r="S57" s="206">
        <f t="shared" si="65"/>
        <v>5200</v>
      </c>
      <c r="T57" s="206">
        <f t="shared" si="65"/>
        <v>5200</v>
      </c>
      <c r="U57" s="206">
        <f t="shared" si="65"/>
        <v>5200</v>
      </c>
      <c r="V57" s="206">
        <f t="shared" si="65"/>
        <v>5200</v>
      </c>
      <c r="W57" s="206">
        <f t="shared" si="65"/>
        <v>5200</v>
      </c>
      <c r="X57" s="206">
        <f t="shared" si="65"/>
        <v>5200</v>
      </c>
      <c r="Y57" s="206">
        <f t="shared" si="65"/>
        <v>5200</v>
      </c>
      <c r="Z57" s="206">
        <f t="shared" si="65"/>
        <v>5200</v>
      </c>
      <c r="AA57" s="206">
        <f t="shared" si="65"/>
        <v>5200</v>
      </c>
      <c r="AB57" s="206">
        <f t="shared" si="65"/>
        <v>5200</v>
      </c>
      <c r="AC57" s="206">
        <f t="shared" si="65"/>
        <v>5200</v>
      </c>
      <c r="AD57" s="206">
        <f t="shared" si="65"/>
        <v>5200</v>
      </c>
      <c r="AE57" s="206">
        <f t="shared" si="65"/>
        <v>5200</v>
      </c>
      <c r="AF57" s="206">
        <f t="shared" si="65"/>
        <v>5200</v>
      </c>
      <c r="AG57" s="206">
        <f t="shared" si="65"/>
        <v>5200</v>
      </c>
      <c r="AH57" s="206">
        <f t="shared" si="65"/>
        <v>5200</v>
      </c>
      <c r="AI57" s="206">
        <f t="shared" si="65"/>
        <v>5200</v>
      </c>
      <c r="AJ57" s="206">
        <f t="shared" si="65"/>
        <v>5200</v>
      </c>
      <c r="AK57" s="206">
        <f t="shared" si="65"/>
        <v>5200</v>
      </c>
      <c r="AL57" s="206">
        <f t="shared" si="65"/>
        <v>5200</v>
      </c>
      <c r="AM57" s="206">
        <f t="shared" si="65"/>
        <v>5200</v>
      </c>
      <c r="AN57" s="206">
        <f t="shared" si="65"/>
        <v>5200</v>
      </c>
      <c r="AO57" s="206">
        <f t="shared" si="65"/>
        <v>5200</v>
      </c>
      <c r="AP57" s="206">
        <f t="shared" si="65"/>
        <v>5200</v>
      </c>
      <c r="AQ57" s="206">
        <f t="shared" si="65"/>
        <v>5200</v>
      </c>
      <c r="AR57" s="206">
        <f t="shared" si="65"/>
        <v>5200</v>
      </c>
      <c r="AS57" s="206">
        <f t="shared" si="65"/>
        <v>5200</v>
      </c>
      <c r="AT57" s="206">
        <f t="shared" si="65"/>
        <v>5200</v>
      </c>
      <c r="AU57" s="206">
        <f t="shared" si="65"/>
        <v>5200</v>
      </c>
      <c r="AV57" s="206">
        <f t="shared" si="65"/>
        <v>5200</v>
      </c>
      <c r="AW57" s="206">
        <f t="shared" si="65"/>
        <v>5200</v>
      </c>
      <c r="AX57" s="206">
        <f t="shared" si="65"/>
        <v>5200</v>
      </c>
      <c r="AY57" s="206">
        <f t="shared" si="65"/>
        <v>5200</v>
      </c>
      <c r="AZ57" s="206">
        <f t="shared" si="65"/>
        <v>5200</v>
      </c>
      <c r="BA57" s="206">
        <f t="shared" si="65"/>
        <v>5200</v>
      </c>
      <c r="BB57" s="206">
        <f t="shared" si="65"/>
        <v>5200</v>
      </c>
      <c r="BC57" s="206">
        <f t="shared" si="65"/>
        <v>5200</v>
      </c>
      <c r="BD57" s="206">
        <f t="shared" si="65"/>
        <v>5200</v>
      </c>
      <c r="BE57" s="206">
        <f t="shared" si="65"/>
        <v>5200</v>
      </c>
      <c r="BF57" s="206">
        <f t="shared" si="65"/>
        <v>5200</v>
      </c>
      <c r="BG57" s="206">
        <f t="shared" si="65"/>
        <v>5200</v>
      </c>
      <c r="BH57" s="206">
        <f t="shared" si="65"/>
        <v>5200</v>
      </c>
      <c r="BI57" s="206">
        <f t="shared" si="65"/>
        <v>5200</v>
      </c>
    </row>
    <row r="58" spans="1:61" ht="12.75" x14ac:dyDescent="0.2">
      <c r="A58" s="6"/>
      <c r="B58" s="15" t="s">
        <v>219</v>
      </c>
      <c r="C58" s="15" t="s">
        <v>215</v>
      </c>
      <c r="D58" s="15" t="str">
        <f t="shared" si="59"/>
        <v>Support</v>
      </c>
      <c r="E58" s="193">
        <v>62400</v>
      </c>
      <c r="F58" s="191">
        <v>43174</v>
      </c>
      <c r="G58" s="191"/>
      <c r="H58" s="192">
        <v>0.09</v>
      </c>
      <c r="I58" s="193">
        <f t="shared" si="60"/>
        <v>208</v>
      </c>
      <c r="J58" s="193">
        <v>500</v>
      </c>
      <c r="K58" s="206">
        <f t="shared" si="3"/>
        <v>708</v>
      </c>
      <c r="L58" s="6"/>
      <c r="M58" s="6"/>
      <c r="N58" s="206">
        <f t="shared" ref="N58:BI58" si="66">IF($F58=0,0, IF(AND(N$1&gt;=$G58,$G58&lt;&gt;0),0,IF(N$1&gt;=$F58,$E58/12,0)))</f>
        <v>5200</v>
      </c>
      <c r="O58" s="206">
        <f t="shared" si="66"/>
        <v>5200</v>
      </c>
      <c r="P58" s="206">
        <f t="shared" si="66"/>
        <v>5200</v>
      </c>
      <c r="Q58" s="206">
        <f t="shared" si="66"/>
        <v>5200</v>
      </c>
      <c r="R58" s="206">
        <f t="shared" si="66"/>
        <v>5200</v>
      </c>
      <c r="S58" s="206">
        <f t="shared" si="66"/>
        <v>5200</v>
      </c>
      <c r="T58" s="206">
        <f t="shared" si="66"/>
        <v>5200</v>
      </c>
      <c r="U58" s="206">
        <f t="shared" si="66"/>
        <v>5200</v>
      </c>
      <c r="V58" s="206">
        <f t="shared" si="66"/>
        <v>5200</v>
      </c>
      <c r="W58" s="206">
        <f t="shared" si="66"/>
        <v>5200</v>
      </c>
      <c r="X58" s="206">
        <f t="shared" si="66"/>
        <v>5200</v>
      </c>
      <c r="Y58" s="206">
        <f t="shared" si="66"/>
        <v>5200</v>
      </c>
      <c r="Z58" s="206">
        <f t="shared" si="66"/>
        <v>5200</v>
      </c>
      <c r="AA58" s="206">
        <f t="shared" si="66"/>
        <v>5200</v>
      </c>
      <c r="AB58" s="206">
        <f t="shared" si="66"/>
        <v>5200</v>
      </c>
      <c r="AC58" s="206">
        <f t="shared" si="66"/>
        <v>5200</v>
      </c>
      <c r="AD58" s="206">
        <f t="shared" si="66"/>
        <v>5200</v>
      </c>
      <c r="AE58" s="206">
        <f t="shared" si="66"/>
        <v>5200</v>
      </c>
      <c r="AF58" s="206">
        <f t="shared" si="66"/>
        <v>5200</v>
      </c>
      <c r="AG58" s="206">
        <f t="shared" si="66"/>
        <v>5200</v>
      </c>
      <c r="AH58" s="206">
        <f t="shared" si="66"/>
        <v>5200</v>
      </c>
      <c r="AI58" s="206">
        <f t="shared" si="66"/>
        <v>5200</v>
      </c>
      <c r="AJ58" s="206">
        <f t="shared" si="66"/>
        <v>5200</v>
      </c>
      <c r="AK58" s="206">
        <f t="shared" si="66"/>
        <v>5200</v>
      </c>
      <c r="AL58" s="206">
        <f t="shared" si="66"/>
        <v>5200</v>
      </c>
      <c r="AM58" s="206">
        <f t="shared" si="66"/>
        <v>5200</v>
      </c>
      <c r="AN58" s="206">
        <f t="shared" si="66"/>
        <v>5200</v>
      </c>
      <c r="AO58" s="206">
        <f t="shared" si="66"/>
        <v>5200</v>
      </c>
      <c r="AP58" s="206">
        <f t="shared" si="66"/>
        <v>5200</v>
      </c>
      <c r="AQ58" s="206">
        <f t="shared" si="66"/>
        <v>5200</v>
      </c>
      <c r="AR58" s="206">
        <f t="shared" si="66"/>
        <v>5200</v>
      </c>
      <c r="AS58" s="206">
        <f t="shared" si="66"/>
        <v>5200</v>
      </c>
      <c r="AT58" s="206">
        <f t="shared" si="66"/>
        <v>5200</v>
      </c>
      <c r="AU58" s="206">
        <f t="shared" si="66"/>
        <v>5200</v>
      </c>
      <c r="AV58" s="206">
        <f t="shared" si="66"/>
        <v>5200</v>
      </c>
      <c r="AW58" s="206">
        <f t="shared" si="66"/>
        <v>5200</v>
      </c>
      <c r="AX58" s="206">
        <f t="shared" si="66"/>
        <v>5200</v>
      </c>
      <c r="AY58" s="206">
        <f t="shared" si="66"/>
        <v>5200</v>
      </c>
      <c r="AZ58" s="206">
        <f t="shared" si="66"/>
        <v>5200</v>
      </c>
      <c r="BA58" s="206">
        <f t="shared" si="66"/>
        <v>5200</v>
      </c>
      <c r="BB58" s="206">
        <f t="shared" si="66"/>
        <v>5200</v>
      </c>
      <c r="BC58" s="206">
        <f t="shared" si="66"/>
        <v>5200</v>
      </c>
      <c r="BD58" s="206">
        <f t="shared" si="66"/>
        <v>5200</v>
      </c>
      <c r="BE58" s="206">
        <f t="shared" si="66"/>
        <v>5200</v>
      </c>
      <c r="BF58" s="206">
        <f t="shared" si="66"/>
        <v>5200</v>
      </c>
      <c r="BG58" s="206">
        <f t="shared" si="66"/>
        <v>5200</v>
      </c>
      <c r="BH58" s="206">
        <f t="shared" si="66"/>
        <v>5200</v>
      </c>
      <c r="BI58" s="206">
        <f t="shared" si="66"/>
        <v>5200</v>
      </c>
    </row>
    <row r="59" spans="1:61" ht="12.75" x14ac:dyDescent="0.2">
      <c r="A59" s="6"/>
      <c r="B59" s="15" t="s">
        <v>220</v>
      </c>
      <c r="C59" s="15" t="s">
        <v>215</v>
      </c>
      <c r="D59" s="15" t="str">
        <f t="shared" si="59"/>
        <v>Support</v>
      </c>
      <c r="E59" s="193">
        <v>120000</v>
      </c>
      <c r="F59" s="191">
        <v>43678</v>
      </c>
      <c r="G59" s="191"/>
      <c r="H59" s="192">
        <v>0.09</v>
      </c>
      <c r="I59" s="193">
        <f t="shared" si="60"/>
        <v>400</v>
      </c>
      <c r="J59" s="193">
        <v>500</v>
      </c>
      <c r="K59" s="206">
        <f t="shared" si="3"/>
        <v>900</v>
      </c>
      <c r="L59" s="6"/>
      <c r="M59" s="6"/>
      <c r="N59" s="206">
        <f t="shared" ref="N59:BI59" si="67">IF($F59=0,0, IF(AND(N$1&gt;=$G59,$G59&lt;&gt;0),0,IF(N$1&gt;=$F59,$E59/12,0)))</f>
        <v>10000</v>
      </c>
      <c r="O59" s="206">
        <f t="shared" si="67"/>
        <v>10000</v>
      </c>
      <c r="P59" s="206">
        <f t="shared" si="67"/>
        <v>10000</v>
      </c>
      <c r="Q59" s="206">
        <f t="shared" si="67"/>
        <v>10000</v>
      </c>
      <c r="R59" s="206">
        <f t="shared" si="67"/>
        <v>10000</v>
      </c>
      <c r="S59" s="206">
        <f t="shared" si="67"/>
        <v>10000</v>
      </c>
      <c r="T59" s="206">
        <f t="shared" si="67"/>
        <v>10000</v>
      </c>
      <c r="U59" s="206">
        <f t="shared" si="67"/>
        <v>10000</v>
      </c>
      <c r="V59" s="206">
        <f t="shared" si="67"/>
        <v>10000</v>
      </c>
      <c r="W59" s="206">
        <f t="shared" si="67"/>
        <v>10000</v>
      </c>
      <c r="X59" s="206">
        <f t="shared" si="67"/>
        <v>10000</v>
      </c>
      <c r="Y59" s="206">
        <f t="shared" si="67"/>
        <v>10000</v>
      </c>
      <c r="Z59" s="206">
        <f t="shared" si="67"/>
        <v>10000</v>
      </c>
      <c r="AA59" s="206">
        <f t="shared" si="67"/>
        <v>10000</v>
      </c>
      <c r="AB59" s="206">
        <f t="shared" si="67"/>
        <v>10000</v>
      </c>
      <c r="AC59" s="206">
        <f t="shared" si="67"/>
        <v>10000</v>
      </c>
      <c r="AD59" s="206">
        <f t="shared" si="67"/>
        <v>10000</v>
      </c>
      <c r="AE59" s="206">
        <f t="shared" si="67"/>
        <v>10000</v>
      </c>
      <c r="AF59" s="206">
        <f t="shared" si="67"/>
        <v>10000</v>
      </c>
      <c r="AG59" s="206">
        <f t="shared" si="67"/>
        <v>10000</v>
      </c>
      <c r="AH59" s="206">
        <f t="shared" si="67"/>
        <v>10000</v>
      </c>
      <c r="AI59" s="206">
        <f t="shared" si="67"/>
        <v>10000</v>
      </c>
      <c r="AJ59" s="206">
        <f t="shared" si="67"/>
        <v>10000</v>
      </c>
      <c r="AK59" s="206">
        <f t="shared" si="67"/>
        <v>10000</v>
      </c>
      <c r="AL59" s="206">
        <f t="shared" si="67"/>
        <v>10000</v>
      </c>
      <c r="AM59" s="206">
        <f t="shared" si="67"/>
        <v>10000</v>
      </c>
      <c r="AN59" s="206">
        <f t="shared" si="67"/>
        <v>10000</v>
      </c>
      <c r="AO59" s="206">
        <f t="shared" si="67"/>
        <v>10000</v>
      </c>
      <c r="AP59" s="206">
        <f t="shared" si="67"/>
        <v>10000</v>
      </c>
      <c r="AQ59" s="206">
        <f t="shared" si="67"/>
        <v>10000</v>
      </c>
      <c r="AR59" s="206">
        <f t="shared" si="67"/>
        <v>10000</v>
      </c>
      <c r="AS59" s="206">
        <f t="shared" si="67"/>
        <v>10000</v>
      </c>
      <c r="AT59" s="206">
        <f t="shared" si="67"/>
        <v>10000</v>
      </c>
      <c r="AU59" s="206">
        <f t="shared" si="67"/>
        <v>10000</v>
      </c>
      <c r="AV59" s="206">
        <f t="shared" si="67"/>
        <v>10000</v>
      </c>
      <c r="AW59" s="206">
        <f t="shared" si="67"/>
        <v>10000</v>
      </c>
      <c r="AX59" s="206">
        <f t="shared" si="67"/>
        <v>10000</v>
      </c>
      <c r="AY59" s="206">
        <f t="shared" si="67"/>
        <v>10000</v>
      </c>
      <c r="AZ59" s="206">
        <f t="shared" si="67"/>
        <v>10000</v>
      </c>
      <c r="BA59" s="206">
        <f t="shared" si="67"/>
        <v>10000</v>
      </c>
      <c r="BB59" s="206">
        <f t="shared" si="67"/>
        <v>10000</v>
      </c>
      <c r="BC59" s="206">
        <f t="shared" si="67"/>
        <v>10000</v>
      </c>
      <c r="BD59" s="206">
        <f t="shared" si="67"/>
        <v>10000</v>
      </c>
      <c r="BE59" s="206">
        <f t="shared" si="67"/>
        <v>10000</v>
      </c>
      <c r="BF59" s="206">
        <f t="shared" si="67"/>
        <v>10000</v>
      </c>
      <c r="BG59" s="206">
        <f t="shared" si="67"/>
        <v>10000</v>
      </c>
      <c r="BH59" s="206">
        <f t="shared" si="67"/>
        <v>10000</v>
      </c>
      <c r="BI59" s="206">
        <f t="shared" si="67"/>
        <v>10000</v>
      </c>
    </row>
    <row r="60" spans="1:61" ht="12.75" x14ac:dyDescent="0.2">
      <c r="A60" s="6"/>
      <c r="B60" s="15" t="s">
        <v>221</v>
      </c>
      <c r="C60" s="15" t="s">
        <v>215</v>
      </c>
      <c r="D60" s="15" t="str">
        <f t="shared" si="59"/>
        <v>Support</v>
      </c>
      <c r="E60" s="193">
        <v>62400</v>
      </c>
      <c r="F60" s="191">
        <v>43709</v>
      </c>
      <c r="G60" s="191">
        <v>43951</v>
      </c>
      <c r="H60" s="192">
        <v>0.09</v>
      </c>
      <c r="I60" s="193">
        <f t="shared" si="60"/>
        <v>208</v>
      </c>
      <c r="J60" s="193">
        <v>500</v>
      </c>
      <c r="K60" s="206">
        <f t="shared" si="3"/>
        <v>708</v>
      </c>
      <c r="L60" s="6"/>
      <c r="M60" s="6"/>
      <c r="N60" s="206">
        <f t="shared" ref="N60:BI60" si="68">IF($F60=0,0, IF(AND(N$1&gt;=$G60,$G60&lt;&gt;0),0,IF(N$1&gt;=$F60,$E60/12,0)))</f>
        <v>0</v>
      </c>
      <c r="O60" s="206">
        <f t="shared" si="68"/>
        <v>0</v>
      </c>
      <c r="P60" s="206">
        <f t="shared" si="68"/>
        <v>0</v>
      </c>
      <c r="Q60" s="206">
        <f t="shared" si="68"/>
        <v>0</v>
      </c>
      <c r="R60" s="206">
        <f t="shared" si="68"/>
        <v>0</v>
      </c>
      <c r="S60" s="206">
        <f t="shared" si="68"/>
        <v>0</v>
      </c>
      <c r="T60" s="206">
        <f t="shared" si="68"/>
        <v>0</v>
      </c>
      <c r="U60" s="206">
        <f t="shared" si="68"/>
        <v>0</v>
      </c>
      <c r="V60" s="206">
        <f t="shared" si="68"/>
        <v>0</v>
      </c>
      <c r="W60" s="206">
        <f t="shared" si="68"/>
        <v>0</v>
      </c>
      <c r="X60" s="206">
        <f t="shared" si="68"/>
        <v>0</v>
      </c>
      <c r="Y60" s="206">
        <f t="shared" si="68"/>
        <v>0</v>
      </c>
      <c r="Z60" s="206">
        <f t="shared" si="68"/>
        <v>0</v>
      </c>
      <c r="AA60" s="206">
        <f t="shared" si="68"/>
        <v>0</v>
      </c>
      <c r="AB60" s="206">
        <f t="shared" si="68"/>
        <v>0</v>
      </c>
      <c r="AC60" s="206">
        <f t="shared" si="68"/>
        <v>0</v>
      </c>
      <c r="AD60" s="206">
        <f t="shared" si="68"/>
        <v>0</v>
      </c>
      <c r="AE60" s="206">
        <f t="shared" si="68"/>
        <v>0</v>
      </c>
      <c r="AF60" s="206">
        <f t="shared" si="68"/>
        <v>0</v>
      </c>
      <c r="AG60" s="206">
        <f t="shared" si="68"/>
        <v>0</v>
      </c>
      <c r="AH60" s="206">
        <f t="shared" si="68"/>
        <v>0</v>
      </c>
      <c r="AI60" s="206">
        <f t="shared" si="68"/>
        <v>0</v>
      </c>
      <c r="AJ60" s="206">
        <f t="shared" si="68"/>
        <v>0</v>
      </c>
      <c r="AK60" s="206">
        <f t="shared" si="68"/>
        <v>0</v>
      </c>
      <c r="AL60" s="206">
        <f t="shared" si="68"/>
        <v>0</v>
      </c>
      <c r="AM60" s="206">
        <f t="shared" si="68"/>
        <v>0</v>
      </c>
      <c r="AN60" s="206">
        <f t="shared" si="68"/>
        <v>0</v>
      </c>
      <c r="AO60" s="206">
        <f t="shared" si="68"/>
        <v>0</v>
      </c>
      <c r="AP60" s="206">
        <f t="shared" si="68"/>
        <v>0</v>
      </c>
      <c r="AQ60" s="206">
        <f t="shared" si="68"/>
        <v>0</v>
      </c>
      <c r="AR60" s="206">
        <f t="shared" si="68"/>
        <v>0</v>
      </c>
      <c r="AS60" s="206">
        <f t="shared" si="68"/>
        <v>0</v>
      </c>
      <c r="AT60" s="206">
        <f t="shared" si="68"/>
        <v>0</v>
      </c>
      <c r="AU60" s="206">
        <f t="shared" si="68"/>
        <v>0</v>
      </c>
      <c r="AV60" s="206">
        <f t="shared" si="68"/>
        <v>0</v>
      </c>
      <c r="AW60" s="206">
        <f t="shared" si="68"/>
        <v>0</v>
      </c>
      <c r="AX60" s="206">
        <f t="shared" si="68"/>
        <v>0</v>
      </c>
      <c r="AY60" s="206">
        <f t="shared" si="68"/>
        <v>0</v>
      </c>
      <c r="AZ60" s="206">
        <f t="shared" si="68"/>
        <v>0</v>
      </c>
      <c r="BA60" s="206">
        <f t="shared" si="68"/>
        <v>0</v>
      </c>
      <c r="BB60" s="206">
        <f t="shared" si="68"/>
        <v>0</v>
      </c>
      <c r="BC60" s="206">
        <f t="shared" si="68"/>
        <v>0</v>
      </c>
      <c r="BD60" s="206">
        <f t="shared" si="68"/>
        <v>0</v>
      </c>
      <c r="BE60" s="206">
        <f t="shared" si="68"/>
        <v>0</v>
      </c>
      <c r="BF60" s="206">
        <f t="shared" si="68"/>
        <v>0</v>
      </c>
      <c r="BG60" s="206">
        <f t="shared" si="68"/>
        <v>0</v>
      </c>
      <c r="BH60" s="206">
        <f t="shared" si="68"/>
        <v>0</v>
      </c>
      <c r="BI60" s="206">
        <f t="shared" si="68"/>
        <v>0</v>
      </c>
    </row>
    <row r="61" spans="1:61" ht="12.75" x14ac:dyDescent="0.2">
      <c r="A61" s="6"/>
      <c r="B61" s="15" t="s">
        <v>222</v>
      </c>
      <c r="C61" s="15" t="s">
        <v>215</v>
      </c>
      <c r="D61" s="15" t="str">
        <f t="shared" si="59"/>
        <v>Support</v>
      </c>
      <c r="E61" s="193">
        <v>80000</v>
      </c>
      <c r="F61" s="191">
        <v>43800</v>
      </c>
      <c r="G61" s="191">
        <v>43951</v>
      </c>
      <c r="H61" s="192">
        <v>0.09</v>
      </c>
      <c r="I61" s="193">
        <f t="shared" si="60"/>
        <v>266.66666666666669</v>
      </c>
      <c r="J61" s="193">
        <v>500</v>
      </c>
      <c r="K61" s="206">
        <f t="shared" si="3"/>
        <v>766.66666666666674</v>
      </c>
      <c r="L61" s="6"/>
      <c r="M61" s="6"/>
      <c r="N61" s="206">
        <f t="shared" ref="N61:BI61" si="69">IF($F61=0,0, IF(AND(N$1&gt;=$G61,$G61&lt;&gt;0),0,IF(N$1&gt;=$F61,$E61/12,0)))</f>
        <v>0</v>
      </c>
      <c r="O61" s="206">
        <f t="shared" si="69"/>
        <v>0</v>
      </c>
      <c r="P61" s="206">
        <f t="shared" si="69"/>
        <v>0</v>
      </c>
      <c r="Q61" s="206">
        <f t="shared" si="69"/>
        <v>0</v>
      </c>
      <c r="R61" s="206">
        <f t="shared" si="69"/>
        <v>0</v>
      </c>
      <c r="S61" s="206">
        <f t="shared" si="69"/>
        <v>0</v>
      </c>
      <c r="T61" s="206">
        <f t="shared" si="69"/>
        <v>0</v>
      </c>
      <c r="U61" s="206">
        <f t="shared" si="69"/>
        <v>0</v>
      </c>
      <c r="V61" s="206">
        <f t="shared" si="69"/>
        <v>0</v>
      </c>
      <c r="W61" s="206">
        <f t="shared" si="69"/>
        <v>0</v>
      </c>
      <c r="X61" s="206">
        <f t="shared" si="69"/>
        <v>0</v>
      </c>
      <c r="Y61" s="206">
        <f t="shared" si="69"/>
        <v>0</v>
      </c>
      <c r="Z61" s="206">
        <f t="shared" si="69"/>
        <v>0</v>
      </c>
      <c r="AA61" s="206">
        <f t="shared" si="69"/>
        <v>0</v>
      </c>
      <c r="AB61" s="206">
        <f t="shared" si="69"/>
        <v>0</v>
      </c>
      <c r="AC61" s="206">
        <f t="shared" si="69"/>
        <v>0</v>
      </c>
      <c r="AD61" s="206">
        <f t="shared" si="69"/>
        <v>0</v>
      </c>
      <c r="AE61" s="206">
        <f t="shared" si="69"/>
        <v>0</v>
      </c>
      <c r="AF61" s="206">
        <f t="shared" si="69"/>
        <v>0</v>
      </c>
      <c r="AG61" s="206">
        <f t="shared" si="69"/>
        <v>0</v>
      </c>
      <c r="AH61" s="206">
        <f t="shared" si="69"/>
        <v>0</v>
      </c>
      <c r="AI61" s="206">
        <f t="shared" si="69"/>
        <v>0</v>
      </c>
      <c r="AJ61" s="206">
        <f t="shared" si="69"/>
        <v>0</v>
      </c>
      <c r="AK61" s="206">
        <f t="shared" si="69"/>
        <v>0</v>
      </c>
      <c r="AL61" s="206">
        <f t="shared" si="69"/>
        <v>0</v>
      </c>
      <c r="AM61" s="206">
        <f t="shared" si="69"/>
        <v>0</v>
      </c>
      <c r="AN61" s="206">
        <f t="shared" si="69"/>
        <v>0</v>
      </c>
      <c r="AO61" s="206">
        <f t="shared" si="69"/>
        <v>0</v>
      </c>
      <c r="AP61" s="206">
        <f t="shared" si="69"/>
        <v>0</v>
      </c>
      <c r="AQ61" s="206">
        <f t="shared" si="69"/>
        <v>0</v>
      </c>
      <c r="AR61" s="206">
        <f t="shared" si="69"/>
        <v>0</v>
      </c>
      <c r="AS61" s="206">
        <f t="shared" si="69"/>
        <v>0</v>
      </c>
      <c r="AT61" s="206">
        <f t="shared" si="69"/>
        <v>0</v>
      </c>
      <c r="AU61" s="206">
        <f t="shared" si="69"/>
        <v>0</v>
      </c>
      <c r="AV61" s="206">
        <f t="shared" si="69"/>
        <v>0</v>
      </c>
      <c r="AW61" s="206">
        <f t="shared" si="69"/>
        <v>0</v>
      </c>
      <c r="AX61" s="206">
        <f t="shared" si="69"/>
        <v>0</v>
      </c>
      <c r="AY61" s="206">
        <f t="shared" si="69"/>
        <v>0</v>
      </c>
      <c r="AZ61" s="206">
        <f t="shared" si="69"/>
        <v>0</v>
      </c>
      <c r="BA61" s="206">
        <f t="shared" si="69"/>
        <v>0</v>
      </c>
      <c r="BB61" s="206">
        <f t="shared" si="69"/>
        <v>0</v>
      </c>
      <c r="BC61" s="206">
        <f t="shared" si="69"/>
        <v>0</v>
      </c>
      <c r="BD61" s="206">
        <f t="shared" si="69"/>
        <v>0</v>
      </c>
      <c r="BE61" s="206">
        <f t="shared" si="69"/>
        <v>0</v>
      </c>
      <c r="BF61" s="206">
        <f t="shared" si="69"/>
        <v>0</v>
      </c>
      <c r="BG61" s="206">
        <f t="shared" si="69"/>
        <v>0</v>
      </c>
      <c r="BH61" s="206">
        <f t="shared" si="69"/>
        <v>0</v>
      </c>
      <c r="BI61" s="206">
        <f t="shared" si="69"/>
        <v>0</v>
      </c>
    </row>
    <row r="62" spans="1:61" ht="12.75" x14ac:dyDescent="0.2">
      <c r="A62" s="6"/>
      <c r="B62" s="15" t="s">
        <v>223</v>
      </c>
      <c r="C62" s="15" t="s">
        <v>215</v>
      </c>
      <c r="D62" s="15" t="str">
        <f t="shared" si="59"/>
        <v>Support</v>
      </c>
      <c r="E62" s="193">
        <v>80000</v>
      </c>
      <c r="F62" s="202"/>
      <c r="G62" s="191"/>
      <c r="H62" s="192">
        <v>0.09</v>
      </c>
      <c r="I62" s="193">
        <f t="shared" si="60"/>
        <v>266.66666666666669</v>
      </c>
      <c r="J62" s="193">
        <v>500</v>
      </c>
      <c r="K62" s="206">
        <f t="shared" si="3"/>
        <v>766.66666666666674</v>
      </c>
      <c r="L62" s="6"/>
      <c r="M62" s="6"/>
      <c r="N62" s="206">
        <f t="shared" ref="N62:BI62" si="70">IF($F62=0,0, IF(AND(N$1&gt;=$G62,$G62&lt;&gt;0),0,IF(N$1&gt;=$F62,$E62/12,0)))</f>
        <v>0</v>
      </c>
      <c r="O62" s="206">
        <f t="shared" si="70"/>
        <v>0</v>
      </c>
      <c r="P62" s="206">
        <f t="shared" si="70"/>
        <v>0</v>
      </c>
      <c r="Q62" s="206">
        <f t="shared" si="70"/>
        <v>0</v>
      </c>
      <c r="R62" s="206">
        <f t="shared" si="70"/>
        <v>0</v>
      </c>
      <c r="S62" s="206">
        <f t="shared" si="70"/>
        <v>0</v>
      </c>
      <c r="T62" s="206">
        <f t="shared" si="70"/>
        <v>0</v>
      </c>
      <c r="U62" s="206">
        <f t="shared" si="70"/>
        <v>0</v>
      </c>
      <c r="V62" s="206">
        <f t="shared" si="70"/>
        <v>0</v>
      </c>
      <c r="W62" s="206">
        <f t="shared" si="70"/>
        <v>0</v>
      </c>
      <c r="X62" s="206">
        <f t="shared" si="70"/>
        <v>0</v>
      </c>
      <c r="Y62" s="206">
        <f t="shared" si="70"/>
        <v>0</v>
      </c>
      <c r="Z62" s="206">
        <f t="shared" si="70"/>
        <v>0</v>
      </c>
      <c r="AA62" s="206">
        <f t="shared" si="70"/>
        <v>0</v>
      </c>
      <c r="AB62" s="206">
        <f t="shared" si="70"/>
        <v>0</v>
      </c>
      <c r="AC62" s="206">
        <f t="shared" si="70"/>
        <v>0</v>
      </c>
      <c r="AD62" s="206">
        <f t="shared" si="70"/>
        <v>0</v>
      </c>
      <c r="AE62" s="206">
        <f t="shared" si="70"/>
        <v>0</v>
      </c>
      <c r="AF62" s="206">
        <f t="shared" si="70"/>
        <v>0</v>
      </c>
      <c r="AG62" s="206">
        <f t="shared" si="70"/>
        <v>0</v>
      </c>
      <c r="AH62" s="206">
        <f t="shared" si="70"/>
        <v>0</v>
      </c>
      <c r="AI62" s="206">
        <f t="shared" si="70"/>
        <v>0</v>
      </c>
      <c r="AJ62" s="206">
        <f t="shared" si="70"/>
        <v>0</v>
      </c>
      <c r="AK62" s="206">
        <f t="shared" si="70"/>
        <v>0</v>
      </c>
      <c r="AL62" s="206">
        <f t="shared" si="70"/>
        <v>0</v>
      </c>
      <c r="AM62" s="206">
        <f t="shared" si="70"/>
        <v>0</v>
      </c>
      <c r="AN62" s="206">
        <f t="shared" si="70"/>
        <v>0</v>
      </c>
      <c r="AO62" s="206">
        <f t="shared" si="70"/>
        <v>0</v>
      </c>
      <c r="AP62" s="206">
        <f t="shared" si="70"/>
        <v>0</v>
      </c>
      <c r="AQ62" s="206">
        <f t="shared" si="70"/>
        <v>0</v>
      </c>
      <c r="AR62" s="206">
        <f t="shared" si="70"/>
        <v>0</v>
      </c>
      <c r="AS62" s="206">
        <f t="shared" si="70"/>
        <v>0</v>
      </c>
      <c r="AT62" s="206">
        <f t="shared" si="70"/>
        <v>0</v>
      </c>
      <c r="AU62" s="206">
        <f t="shared" si="70"/>
        <v>0</v>
      </c>
      <c r="AV62" s="206">
        <f t="shared" si="70"/>
        <v>0</v>
      </c>
      <c r="AW62" s="206">
        <f t="shared" si="70"/>
        <v>0</v>
      </c>
      <c r="AX62" s="206">
        <f t="shared" si="70"/>
        <v>0</v>
      </c>
      <c r="AY62" s="206">
        <f t="shared" si="70"/>
        <v>0</v>
      </c>
      <c r="AZ62" s="206">
        <f t="shared" si="70"/>
        <v>0</v>
      </c>
      <c r="BA62" s="206">
        <f t="shared" si="70"/>
        <v>0</v>
      </c>
      <c r="BB62" s="206">
        <f t="shared" si="70"/>
        <v>0</v>
      </c>
      <c r="BC62" s="206">
        <f t="shared" si="70"/>
        <v>0</v>
      </c>
      <c r="BD62" s="206">
        <f t="shared" si="70"/>
        <v>0</v>
      </c>
      <c r="BE62" s="206">
        <f t="shared" si="70"/>
        <v>0</v>
      </c>
      <c r="BF62" s="206">
        <f t="shared" si="70"/>
        <v>0</v>
      </c>
      <c r="BG62" s="206">
        <f t="shared" si="70"/>
        <v>0</v>
      </c>
      <c r="BH62" s="206">
        <f t="shared" si="70"/>
        <v>0</v>
      </c>
      <c r="BI62" s="206">
        <f t="shared" si="70"/>
        <v>0</v>
      </c>
    </row>
    <row r="63" spans="1:61" ht="12.75" x14ac:dyDescent="0.2">
      <c r="A63" s="6"/>
      <c r="B63" s="15" t="s">
        <v>224</v>
      </c>
      <c r="C63" s="15" t="s">
        <v>215</v>
      </c>
      <c r="D63" s="15" t="str">
        <f t="shared" si="59"/>
        <v>Support</v>
      </c>
      <c r="E63" s="193">
        <v>85000</v>
      </c>
      <c r="F63" s="202"/>
      <c r="G63" s="191"/>
      <c r="H63" s="192">
        <v>0.09</v>
      </c>
      <c r="I63" s="193">
        <f t="shared" si="60"/>
        <v>283.33333333333331</v>
      </c>
      <c r="J63" s="193">
        <v>500</v>
      </c>
      <c r="K63" s="206">
        <f t="shared" si="3"/>
        <v>783.33333333333326</v>
      </c>
      <c r="L63" s="6"/>
      <c r="M63" s="6"/>
      <c r="N63" s="206">
        <f t="shared" ref="N63:BI63" si="71">IF($F63=0,0, IF(AND(N$1&gt;=$G63,$G63&lt;&gt;0),0,IF(N$1&gt;=$F63,$E63/12,0)))</f>
        <v>0</v>
      </c>
      <c r="O63" s="206">
        <f t="shared" si="71"/>
        <v>0</v>
      </c>
      <c r="P63" s="206">
        <f t="shared" si="71"/>
        <v>0</v>
      </c>
      <c r="Q63" s="206">
        <f t="shared" si="71"/>
        <v>0</v>
      </c>
      <c r="R63" s="206">
        <f t="shared" si="71"/>
        <v>0</v>
      </c>
      <c r="S63" s="206">
        <f t="shared" si="71"/>
        <v>0</v>
      </c>
      <c r="T63" s="206">
        <f t="shared" si="71"/>
        <v>0</v>
      </c>
      <c r="U63" s="206">
        <f t="shared" si="71"/>
        <v>0</v>
      </c>
      <c r="V63" s="206">
        <f t="shared" si="71"/>
        <v>0</v>
      </c>
      <c r="W63" s="206">
        <f t="shared" si="71"/>
        <v>0</v>
      </c>
      <c r="X63" s="206">
        <f t="shared" si="71"/>
        <v>0</v>
      </c>
      <c r="Y63" s="206">
        <f t="shared" si="71"/>
        <v>0</v>
      </c>
      <c r="Z63" s="206">
        <f t="shared" si="71"/>
        <v>0</v>
      </c>
      <c r="AA63" s="206">
        <f t="shared" si="71"/>
        <v>0</v>
      </c>
      <c r="AB63" s="206">
        <f t="shared" si="71"/>
        <v>0</v>
      </c>
      <c r="AC63" s="206">
        <f t="shared" si="71"/>
        <v>0</v>
      </c>
      <c r="AD63" s="206">
        <f t="shared" si="71"/>
        <v>0</v>
      </c>
      <c r="AE63" s="206">
        <f t="shared" si="71"/>
        <v>0</v>
      </c>
      <c r="AF63" s="206">
        <f t="shared" si="71"/>
        <v>0</v>
      </c>
      <c r="AG63" s="206">
        <f t="shared" si="71"/>
        <v>0</v>
      </c>
      <c r="AH63" s="206">
        <f t="shared" si="71"/>
        <v>0</v>
      </c>
      <c r="AI63" s="206">
        <f t="shared" si="71"/>
        <v>0</v>
      </c>
      <c r="AJ63" s="206">
        <f t="shared" si="71"/>
        <v>0</v>
      </c>
      <c r="AK63" s="206">
        <f t="shared" si="71"/>
        <v>0</v>
      </c>
      <c r="AL63" s="206">
        <f t="shared" si="71"/>
        <v>0</v>
      </c>
      <c r="AM63" s="206">
        <f t="shared" si="71"/>
        <v>0</v>
      </c>
      <c r="AN63" s="206">
        <f t="shared" si="71"/>
        <v>0</v>
      </c>
      <c r="AO63" s="206">
        <f t="shared" si="71"/>
        <v>0</v>
      </c>
      <c r="AP63" s="206">
        <f t="shared" si="71"/>
        <v>0</v>
      </c>
      <c r="AQ63" s="206">
        <f t="shared" si="71"/>
        <v>0</v>
      </c>
      <c r="AR63" s="206">
        <f t="shared" si="71"/>
        <v>0</v>
      </c>
      <c r="AS63" s="206">
        <f t="shared" si="71"/>
        <v>0</v>
      </c>
      <c r="AT63" s="206">
        <f t="shared" si="71"/>
        <v>0</v>
      </c>
      <c r="AU63" s="206">
        <f t="shared" si="71"/>
        <v>0</v>
      </c>
      <c r="AV63" s="206">
        <f t="shared" si="71"/>
        <v>0</v>
      </c>
      <c r="AW63" s="206">
        <f t="shared" si="71"/>
        <v>0</v>
      </c>
      <c r="AX63" s="206">
        <f t="shared" si="71"/>
        <v>0</v>
      </c>
      <c r="AY63" s="206">
        <f t="shared" si="71"/>
        <v>0</v>
      </c>
      <c r="AZ63" s="206">
        <f t="shared" si="71"/>
        <v>0</v>
      </c>
      <c r="BA63" s="206">
        <f t="shared" si="71"/>
        <v>0</v>
      </c>
      <c r="BB63" s="206">
        <f t="shared" si="71"/>
        <v>0</v>
      </c>
      <c r="BC63" s="206">
        <f t="shared" si="71"/>
        <v>0</v>
      </c>
      <c r="BD63" s="206">
        <f t="shared" si="71"/>
        <v>0</v>
      </c>
      <c r="BE63" s="206">
        <f t="shared" si="71"/>
        <v>0</v>
      </c>
      <c r="BF63" s="206">
        <f t="shared" si="71"/>
        <v>0</v>
      </c>
      <c r="BG63" s="206">
        <f t="shared" si="71"/>
        <v>0</v>
      </c>
      <c r="BH63" s="206">
        <f t="shared" si="71"/>
        <v>0</v>
      </c>
      <c r="BI63" s="206">
        <f t="shared" si="71"/>
        <v>0</v>
      </c>
    </row>
    <row r="64" spans="1:61" ht="12.75" x14ac:dyDescent="0.2">
      <c r="A64" s="6"/>
      <c r="B64" s="15" t="s">
        <v>225</v>
      </c>
      <c r="C64" s="15" t="s">
        <v>215</v>
      </c>
      <c r="D64" s="15" t="str">
        <f t="shared" si="59"/>
        <v>Support</v>
      </c>
      <c r="E64" s="193">
        <v>80000</v>
      </c>
      <c r="F64" s="202"/>
      <c r="G64" s="191"/>
      <c r="H64" s="192">
        <v>0.09</v>
      </c>
      <c r="I64" s="193">
        <f t="shared" si="60"/>
        <v>266.66666666666669</v>
      </c>
      <c r="J64" s="193">
        <v>500</v>
      </c>
      <c r="K64" s="206">
        <f t="shared" si="3"/>
        <v>766.66666666666674</v>
      </c>
      <c r="L64" s="6"/>
      <c r="M64" s="6"/>
      <c r="N64" s="206">
        <f t="shared" ref="N64:BI64" si="72">IF($F64=0,0, IF(AND(N$1&gt;=$G64,$G64&lt;&gt;0),0,IF(N$1&gt;=$F64,$E64/12,0)))</f>
        <v>0</v>
      </c>
      <c r="O64" s="206">
        <f t="shared" si="72"/>
        <v>0</v>
      </c>
      <c r="P64" s="206">
        <f t="shared" si="72"/>
        <v>0</v>
      </c>
      <c r="Q64" s="206">
        <f t="shared" si="72"/>
        <v>0</v>
      </c>
      <c r="R64" s="206">
        <f t="shared" si="72"/>
        <v>0</v>
      </c>
      <c r="S64" s="206">
        <f t="shared" si="72"/>
        <v>0</v>
      </c>
      <c r="T64" s="206">
        <f t="shared" si="72"/>
        <v>0</v>
      </c>
      <c r="U64" s="206">
        <f t="shared" si="72"/>
        <v>0</v>
      </c>
      <c r="V64" s="206">
        <f t="shared" si="72"/>
        <v>0</v>
      </c>
      <c r="W64" s="206">
        <f t="shared" si="72"/>
        <v>0</v>
      </c>
      <c r="X64" s="206">
        <f t="shared" si="72"/>
        <v>0</v>
      </c>
      <c r="Y64" s="206">
        <f t="shared" si="72"/>
        <v>0</v>
      </c>
      <c r="Z64" s="206">
        <f t="shared" si="72"/>
        <v>0</v>
      </c>
      <c r="AA64" s="206">
        <f t="shared" si="72"/>
        <v>0</v>
      </c>
      <c r="AB64" s="206">
        <f t="shared" si="72"/>
        <v>0</v>
      </c>
      <c r="AC64" s="206">
        <f t="shared" si="72"/>
        <v>0</v>
      </c>
      <c r="AD64" s="206">
        <f t="shared" si="72"/>
        <v>0</v>
      </c>
      <c r="AE64" s="206">
        <f t="shared" si="72"/>
        <v>0</v>
      </c>
      <c r="AF64" s="206">
        <f t="shared" si="72"/>
        <v>0</v>
      </c>
      <c r="AG64" s="206">
        <f t="shared" si="72"/>
        <v>0</v>
      </c>
      <c r="AH64" s="206">
        <f t="shared" si="72"/>
        <v>0</v>
      </c>
      <c r="AI64" s="206">
        <f t="shared" si="72"/>
        <v>0</v>
      </c>
      <c r="AJ64" s="206">
        <f t="shared" si="72"/>
        <v>0</v>
      </c>
      <c r="AK64" s="206">
        <f t="shared" si="72"/>
        <v>0</v>
      </c>
      <c r="AL64" s="206">
        <f t="shared" si="72"/>
        <v>0</v>
      </c>
      <c r="AM64" s="206">
        <f t="shared" si="72"/>
        <v>0</v>
      </c>
      <c r="AN64" s="206">
        <f t="shared" si="72"/>
        <v>0</v>
      </c>
      <c r="AO64" s="206">
        <f t="shared" si="72"/>
        <v>0</v>
      </c>
      <c r="AP64" s="206">
        <f t="shared" si="72"/>
        <v>0</v>
      </c>
      <c r="AQ64" s="206">
        <f t="shared" si="72"/>
        <v>0</v>
      </c>
      <c r="AR64" s="206">
        <f t="shared" si="72"/>
        <v>0</v>
      </c>
      <c r="AS64" s="206">
        <f t="shared" si="72"/>
        <v>0</v>
      </c>
      <c r="AT64" s="206">
        <f t="shared" si="72"/>
        <v>0</v>
      </c>
      <c r="AU64" s="206">
        <f t="shared" si="72"/>
        <v>0</v>
      </c>
      <c r="AV64" s="206">
        <f t="shared" si="72"/>
        <v>0</v>
      </c>
      <c r="AW64" s="206">
        <f t="shared" si="72"/>
        <v>0</v>
      </c>
      <c r="AX64" s="206">
        <f t="shared" si="72"/>
        <v>0</v>
      </c>
      <c r="AY64" s="206">
        <f t="shared" si="72"/>
        <v>0</v>
      </c>
      <c r="AZ64" s="206">
        <f t="shared" si="72"/>
        <v>0</v>
      </c>
      <c r="BA64" s="206">
        <f t="shared" si="72"/>
        <v>0</v>
      </c>
      <c r="BB64" s="206">
        <f t="shared" si="72"/>
        <v>0</v>
      </c>
      <c r="BC64" s="206">
        <f t="shared" si="72"/>
        <v>0</v>
      </c>
      <c r="BD64" s="206">
        <f t="shared" si="72"/>
        <v>0</v>
      </c>
      <c r="BE64" s="206">
        <f t="shared" si="72"/>
        <v>0</v>
      </c>
      <c r="BF64" s="206">
        <f t="shared" si="72"/>
        <v>0</v>
      </c>
      <c r="BG64" s="206">
        <f t="shared" si="72"/>
        <v>0</v>
      </c>
      <c r="BH64" s="206">
        <f t="shared" si="72"/>
        <v>0</v>
      </c>
      <c r="BI64" s="206">
        <f t="shared" si="72"/>
        <v>0</v>
      </c>
    </row>
    <row r="65" spans="1:61" ht="12.75" x14ac:dyDescent="0.2">
      <c r="A65" s="209" t="s">
        <v>226</v>
      </c>
      <c r="B65" s="210"/>
      <c r="C65" s="210"/>
      <c r="D65" s="210"/>
      <c r="E65" s="210"/>
      <c r="F65" s="210"/>
      <c r="G65" s="210"/>
      <c r="H65" s="210"/>
      <c r="I65" s="210"/>
      <c r="J65" s="210"/>
      <c r="K65" s="210"/>
      <c r="L65" s="210"/>
      <c r="M65" s="210"/>
      <c r="N65" s="220">
        <f t="shared" ref="N65:BI65" si="73">SUM(N4:N64)</f>
        <v>292000</v>
      </c>
      <c r="O65" s="220">
        <f t="shared" si="73"/>
        <v>292000</v>
      </c>
      <c r="P65" s="220">
        <f t="shared" si="73"/>
        <v>292000</v>
      </c>
      <c r="Q65" s="220">
        <f t="shared" si="73"/>
        <v>292000</v>
      </c>
      <c r="R65" s="220">
        <f t="shared" si="73"/>
        <v>292000</v>
      </c>
      <c r="S65" s="220">
        <f t="shared" si="73"/>
        <v>292000</v>
      </c>
      <c r="T65" s="220">
        <f t="shared" si="73"/>
        <v>292000</v>
      </c>
      <c r="U65" s="220">
        <f t="shared" si="73"/>
        <v>292000</v>
      </c>
      <c r="V65" s="220">
        <f t="shared" si="73"/>
        <v>292000</v>
      </c>
      <c r="W65" s="220">
        <f t="shared" si="73"/>
        <v>292000</v>
      </c>
      <c r="X65" s="220">
        <f t="shared" si="73"/>
        <v>292000</v>
      </c>
      <c r="Y65" s="220">
        <f t="shared" si="73"/>
        <v>292000</v>
      </c>
      <c r="Z65" s="220">
        <f t="shared" si="73"/>
        <v>292000</v>
      </c>
      <c r="AA65" s="220">
        <f t="shared" si="73"/>
        <v>292000</v>
      </c>
      <c r="AB65" s="220">
        <f t="shared" si="73"/>
        <v>292000</v>
      </c>
      <c r="AC65" s="220">
        <f t="shared" si="73"/>
        <v>292000</v>
      </c>
      <c r="AD65" s="220">
        <f t="shared" si="73"/>
        <v>292000</v>
      </c>
      <c r="AE65" s="220">
        <f t="shared" si="73"/>
        <v>292000</v>
      </c>
      <c r="AF65" s="220">
        <f t="shared" si="73"/>
        <v>292000</v>
      </c>
      <c r="AG65" s="220">
        <f t="shared" si="73"/>
        <v>292000</v>
      </c>
      <c r="AH65" s="220">
        <f t="shared" si="73"/>
        <v>292000</v>
      </c>
      <c r="AI65" s="220">
        <f t="shared" si="73"/>
        <v>292000</v>
      </c>
      <c r="AJ65" s="220">
        <f t="shared" si="73"/>
        <v>292000</v>
      </c>
      <c r="AK65" s="220">
        <f t="shared" si="73"/>
        <v>292000</v>
      </c>
      <c r="AL65" s="220">
        <f t="shared" si="73"/>
        <v>292000</v>
      </c>
      <c r="AM65" s="220">
        <f t="shared" si="73"/>
        <v>292000</v>
      </c>
      <c r="AN65" s="220">
        <f t="shared" si="73"/>
        <v>292000</v>
      </c>
      <c r="AO65" s="220">
        <f t="shared" si="73"/>
        <v>292000</v>
      </c>
      <c r="AP65" s="220">
        <f t="shared" si="73"/>
        <v>292000</v>
      </c>
      <c r="AQ65" s="220">
        <f t="shared" si="73"/>
        <v>292000</v>
      </c>
      <c r="AR65" s="220">
        <f t="shared" si="73"/>
        <v>292000</v>
      </c>
      <c r="AS65" s="220">
        <f t="shared" si="73"/>
        <v>292000</v>
      </c>
      <c r="AT65" s="220">
        <f t="shared" si="73"/>
        <v>292000</v>
      </c>
      <c r="AU65" s="220">
        <f t="shared" si="73"/>
        <v>292000</v>
      </c>
      <c r="AV65" s="220">
        <f t="shared" si="73"/>
        <v>292000</v>
      </c>
      <c r="AW65" s="220">
        <f t="shared" si="73"/>
        <v>292000</v>
      </c>
      <c r="AX65" s="220">
        <f t="shared" si="73"/>
        <v>292000</v>
      </c>
      <c r="AY65" s="220">
        <f t="shared" si="73"/>
        <v>292000</v>
      </c>
      <c r="AZ65" s="220">
        <f t="shared" si="73"/>
        <v>292000</v>
      </c>
      <c r="BA65" s="220">
        <f t="shared" si="73"/>
        <v>292000</v>
      </c>
      <c r="BB65" s="220">
        <f t="shared" si="73"/>
        <v>292000</v>
      </c>
      <c r="BC65" s="220">
        <f t="shared" si="73"/>
        <v>292000</v>
      </c>
      <c r="BD65" s="220">
        <f t="shared" si="73"/>
        <v>292000</v>
      </c>
      <c r="BE65" s="220">
        <f t="shared" si="73"/>
        <v>292000</v>
      </c>
      <c r="BF65" s="220">
        <f t="shared" si="73"/>
        <v>292000</v>
      </c>
      <c r="BG65" s="220">
        <f t="shared" si="73"/>
        <v>292000</v>
      </c>
      <c r="BH65" s="220">
        <f t="shared" si="73"/>
        <v>292000</v>
      </c>
      <c r="BI65" s="220">
        <f t="shared" si="73"/>
        <v>292000</v>
      </c>
    </row>
    <row r="66" spans="1:61" ht="12.75" x14ac:dyDescent="0.2">
      <c r="D66" s="214"/>
      <c r="E66" s="214"/>
      <c r="F66" s="214"/>
      <c r="G66" s="214"/>
      <c r="H66" s="214"/>
      <c r="I66" s="214"/>
      <c r="J66" s="214"/>
      <c r="K66" s="214"/>
    </row>
    <row r="67" spans="1:61" ht="12.75" x14ac:dyDescent="0.2">
      <c r="A67" s="21" t="s">
        <v>227</v>
      </c>
      <c r="D67" s="214"/>
      <c r="E67" s="214"/>
      <c r="F67" s="214"/>
      <c r="G67" s="214"/>
      <c r="H67" s="214"/>
      <c r="I67" s="214"/>
      <c r="J67" s="214"/>
      <c r="K67" s="214"/>
    </row>
    <row r="68" spans="1:61" ht="12.75" x14ac:dyDescent="0.2">
      <c r="B68" s="215" t="s">
        <v>72</v>
      </c>
      <c r="D68" s="214"/>
      <c r="E68" s="214"/>
      <c r="F68" s="214"/>
      <c r="G68" s="214"/>
      <c r="H68" s="214"/>
      <c r="I68" s="214"/>
      <c r="J68" s="214"/>
      <c r="K68" s="214"/>
      <c r="N68" s="188">
        <f t="shared" ref="N68:BI68" si="74">SUMIFS(N$4:N$64,$D$4:$D$64,$B68,$H$4:$H$64,"&gt;"&amp;0)</f>
        <v>16875</v>
      </c>
      <c r="O68" s="188">
        <f t="shared" si="74"/>
        <v>16875</v>
      </c>
      <c r="P68" s="188">
        <f t="shared" si="74"/>
        <v>16875</v>
      </c>
      <c r="Q68" s="188">
        <f t="shared" si="74"/>
        <v>16875</v>
      </c>
      <c r="R68" s="188">
        <f t="shared" si="74"/>
        <v>16875</v>
      </c>
      <c r="S68" s="188">
        <f t="shared" si="74"/>
        <v>16875</v>
      </c>
      <c r="T68" s="188">
        <f t="shared" si="74"/>
        <v>16875</v>
      </c>
      <c r="U68" s="188">
        <f t="shared" si="74"/>
        <v>16875</v>
      </c>
      <c r="V68" s="188">
        <f t="shared" si="74"/>
        <v>16875</v>
      </c>
      <c r="W68" s="188">
        <f t="shared" si="74"/>
        <v>16875</v>
      </c>
      <c r="X68" s="188">
        <f t="shared" si="74"/>
        <v>16875</v>
      </c>
      <c r="Y68" s="188">
        <f t="shared" si="74"/>
        <v>16875</v>
      </c>
      <c r="Z68" s="188">
        <f t="shared" si="74"/>
        <v>16875</v>
      </c>
      <c r="AA68" s="188">
        <f t="shared" si="74"/>
        <v>16875</v>
      </c>
      <c r="AB68" s="188">
        <f t="shared" si="74"/>
        <v>16875</v>
      </c>
      <c r="AC68" s="188">
        <f t="shared" si="74"/>
        <v>16875</v>
      </c>
      <c r="AD68" s="188">
        <f t="shared" si="74"/>
        <v>16875</v>
      </c>
      <c r="AE68" s="188">
        <f t="shared" si="74"/>
        <v>16875</v>
      </c>
      <c r="AF68" s="188">
        <f t="shared" si="74"/>
        <v>16875</v>
      </c>
      <c r="AG68" s="188">
        <f t="shared" si="74"/>
        <v>16875</v>
      </c>
      <c r="AH68" s="188">
        <f t="shared" si="74"/>
        <v>16875</v>
      </c>
      <c r="AI68" s="188">
        <f t="shared" si="74"/>
        <v>16875</v>
      </c>
      <c r="AJ68" s="188">
        <f t="shared" si="74"/>
        <v>16875</v>
      </c>
      <c r="AK68" s="188">
        <f t="shared" si="74"/>
        <v>16875</v>
      </c>
      <c r="AL68" s="188">
        <f t="shared" si="74"/>
        <v>16875</v>
      </c>
      <c r="AM68" s="188">
        <f t="shared" si="74"/>
        <v>16875</v>
      </c>
      <c r="AN68" s="188">
        <f t="shared" si="74"/>
        <v>16875</v>
      </c>
      <c r="AO68" s="188">
        <f t="shared" si="74"/>
        <v>16875</v>
      </c>
      <c r="AP68" s="188">
        <f t="shared" si="74"/>
        <v>16875</v>
      </c>
      <c r="AQ68" s="188">
        <f t="shared" si="74"/>
        <v>16875</v>
      </c>
      <c r="AR68" s="188">
        <f t="shared" si="74"/>
        <v>16875</v>
      </c>
      <c r="AS68" s="188">
        <f t="shared" si="74"/>
        <v>16875</v>
      </c>
      <c r="AT68" s="188">
        <f t="shared" si="74"/>
        <v>16875</v>
      </c>
      <c r="AU68" s="188">
        <f t="shared" si="74"/>
        <v>16875</v>
      </c>
      <c r="AV68" s="188">
        <f t="shared" si="74"/>
        <v>16875</v>
      </c>
      <c r="AW68" s="188">
        <f t="shared" si="74"/>
        <v>16875</v>
      </c>
      <c r="AX68" s="188">
        <f t="shared" si="74"/>
        <v>16875</v>
      </c>
      <c r="AY68" s="188">
        <f t="shared" si="74"/>
        <v>16875</v>
      </c>
      <c r="AZ68" s="188">
        <f t="shared" si="74"/>
        <v>16875</v>
      </c>
      <c r="BA68" s="188">
        <f t="shared" si="74"/>
        <v>16875</v>
      </c>
      <c r="BB68" s="188">
        <f t="shared" si="74"/>
        <v>16875</v>
      </c>
      <c r="BC68" s="188">
        <f t="shared" si="74"/>
        <v>16875</v>
      </c>
      <c r="BD68" s="188">
        <f t="shared" si="74"/>
        <v>16875</v>
      </c>
      <c r="BE68" s="188">
        <f t="shared" si="74"/>
        <v>16875</v>
      </c>
      <c r="BF68" s="188">
        <f t="shared" si="74"/>
        <v>16875</v>
      </c>
      <c r="BG68" s="188">
        <f t="shared" si="74"/>
        <v>16875</v>
      </c>
      <c r="BH68" s="188">
        <f t="shared" si="74"/>
        <v>16875</v>
      </c>
      <c r="BI68" s="188">
        <f t="shared" si="74"/>
        <v>16875</v>
      </c>
    </row>
    <row r="69" spans="1:61" ht="12.75" x14ac:dyDescent="0.2">
      <c r="B69" t="s">
        <v>76</v>
      </c>
      <c r="D69" s="214"/>
      <c r="E69" s="214"/>
      <c r="F69" s="214"/>
      <c r="G69" s="214"/>
      <c r="H69" s="214"/>
      <c r="I69" s="214"/>
      <c r="J69" s="214"/>
      <c r="K69" s="214"/>
      <c r="N69" s="188">
        <f t="shared" ref="N69:BI69" si="75">SUMIFS(N$4:N$64,$D$4:$D$64,$B69,$H$4:$H$64,"&gt;"&amp;0)</f>
        <v>181625</v>
      </c>
      <c r="O69" s="188">
        <f t="shared" si="75"/>
        <v>181625</v>
      </c>
      <c r="P69" s="188">
        <f t="shared" si="75"/>
        <v>181625</v>
      </c>
      <c r="Q69" s="188">
        <f t="shared" si="75"/>
        <v>181625</v>
      </c>
      <c r="R69" s="188">
        <f t="shared" si="75"/>
        <v>181625</v>
      </c>
      <c r="S69" s="188">
        <f t="shared" si="75"/>
        <v>181625</v>
      </c>
      <c r="T69" s="188">
        <f t="shared" si="75"/>
        <v>181625</v>
      </c>
      <c r="U69" s="188">
        <f t="shared" si="75"/>
        <v>181625</v>
      </c>
      <c r="V69" s="188">
        <f t="shared" si="75"/>
        <v>181625</v>
      </c>
      <c r="W69" s="188">
        <f t="shared" si="75"/>
        <v>181625</v>
      </c>
      <c r="X69" s="188">
        <f t="shared" si="75"/>
        <v>181625</v>
      </c>
      <c r="Y69" s="188">
        <f t="shared" si="75"/>
        <v>181625</v>
      </c>
      <c r="Z69" s="188">
        <f t="shared" si="75"/>
        <v>181625</v>
      </c>
      <c r="AA69" s="188">
        <f t="shared" si="75"/>
        <v>181625</v>
      </c>
      <c r="AB69" s="188">
        <f t="shared" si="75"/>
        <v>181625</v>
      </c>
      <c r="AC69" s="188">
        <f t="shared" si="75"/>
        <v>181625</v>
      </c>
      <c r="AD69" s="188">
        <f t="shared" si="75"/>
        <v>181625</v>
      </c>
      <c r="AE69" s="188">
        <f t="shared" si="75"/>
        <v>181625</v>
      </c>
      <c r="AF69" s="188">
        <f t="shared" si="75"/>
        <v>181625</v>
      </c>
      <c r="AG69" s="188">
        <f t="shared" si="75"/>
        <v>181625</v>
      </c>
      <c r="AH69" s="188">
        <f t="shared" si="75"/>
        <v>181625</v>
      </c>
      <c r="AI69" s="188">
        <f t="shared" si="75"/>
        <v>181625</v>
      </c>
      <c r="AJ69" s="188">
        <f t="shared" si="75"/>
        <v>181625</v>
      </c>
      <c r="AK69" s="188">
        <f t="shared" si="75"/>
        <v>181625</v>
      </c>
      <c r="AL69" s="188">
        <f t="shared" si="75"/>
        <v>181625</v>
      </c>
      <c r="AM69" s="188">
        <f t="shared" si="75"/>
        <v>181625</v>
      </c>
      <c r="AN69" s="188">
        <f t="shared" si="75"/>
        <v>181625</v>
      </c>
      <c r="AO69" s="188">
        <f t="shared" si="75"/>
        <v>181625</v>
      </c>
      <c r="AP69" s="188">
        <f t="shared" si="75"/>
        <v>181625</v>
      </c>
      <c r="AQ69" s="188">
        <f t="shared" si="75"/>
        <v>181625</v>
      </c>
      <c r="AR69" s="188">
        <f t="shared" si="75"/>
        <v>181625</v>
      </c>
      <c r="AS69" s="188">
        <f t="shared" si="75"/>
        <v>181625</v>
      </c>
      <c r="AT69" s="188">
        <f t="shared" si="75"/>
        <v>181625</v>
      </c>
      <c r="AU69" s="188">
        <f t="shared" si="75"/>
        <v>181625</v>
      </c>
      <c r="AV69" s="188">
        <f t="shared" si="75"/>
        <v>181625</v>
      </c>
      <c r="AW69" s="188">
        <f t="shared" si="75"/>
        <v>181625</v>
      </c>
      <c r="AX69" s="188">
        <f t="shared" si="75"/>
        <v>181625</v>
      </c>
      <c r="AY69" s="188">
        <f t="shared" si="75"/>
        <v>181625</v>
      </c>
      <c r="AZ69" s="188">
        <f t="shared" si="75"/>
        <v>181625</v>
      </c>
      <c r="BA69" s="188">
        <f t="shared" si="75"/>
        <v>181625</v>
      </c>
      <c r="BB69" s="188">
        <f t="shared" si="75"/>
        <v>181625</v>
      </c>
      <c r="BC69" s="188">
        <f t="shared" si="75"/>
        <v>181625</v>
      </c>
      <c r="BD69" s="188">
        <f t="shared" si="75"/>
        <v>181625</v>
      </c>
      <c r="BE69" s="188">
        <f t="shared" si="75"/>
        <v>181625</v>
      </c>
      <c r="BF69" s="188">
        <f t="shared" si="75"/>
        <v>181625</v>
      </c>
      <c r="BG69" s="188">
        <f t="shared" si="75"/>
        <v>181625</v>
      </c>
      <c r="BH69" s="188">
        <f t="shared" si="75"/>
        <v>181625</v>
      </c>
      <c r="BI69" s="188">
        <f t="shared" si="75"/>
        <v>181625</v>
      </c>
    </row>
    <row r="70" spans="1:61" ht="12.75" x14ac:dyDescent="0.2">
      <c r="B70" t="s">
        <v>186</v>
      </c>
      <c r="D70" s="214"/>
      <c r="E70" s="214"/>
      <c r="F70" s="214"/>
      <c r="G70" s="214"/>
      <c r="H70" s="214"/>
      <c r="I70" s="214"/>
      <c r="J70" s="214"/>
      <c r="K70" s="214"/>
      <c r="N70" s="188">
        <f t="shared" ref="N70:BI70" si="76">SUMIFS(N$4:N$64,$D$4:$D$64,$B70,$H$4:$H$64,"&gt;"&amp;0)</f>
        <v>25833.333333333336</v>
      </c>
      <c r="O70" s="188">
        <f t="shared" si="76"/>
        <v>25833.333333333336</v>
      </c>
      <c r="P70" s="188">
        <f t="shared" si="76"/>
        <v>25833.333333333336</v>
      </c>
      <c r="Q70" s="188">
        <f t="shared" si="76"/>
        <v>25833.333333333336</v>
      </c>
      <c r="R70" s="188">
        <f t="shared" si="76"/>
        <v>25833.333333333336</v>
      </c>
      <c r="S70" s="188">
        <f t="shared" si="76"/>
        <v>25833.333333333336</v>
      </c>
      <c r="T70" s="188">
        <f t="shared" si="76"/>
        <v>25833.333333333336</v>
      </c>
      <c r="U70" s="188">
        <f t="shared" si="76"/>
        <v>25833.333333333336</v>
      </c>
      <c r="V70" s="188">
        <f t="shared" si="76"/>
        <v>25833.333333333336</v>
      </c>
      <c r="W70" s="188">
        <f t="shared" si="76"/>
        <v>25833.333333333336</v>
      </c>
      <c r="X70" s="188">
        <f t="shared" si="76"/>
        <v>25833.333333333336</v>
      </c>
      <c r="Y70" s="188">
        <f t="shared" si="76"/>
        <v>25833.333333333336</v>
      </c>
      <c r="Z70" s="188">
        <f t="shared" si="76"/>
        <v>25833.333333333336</v>
      </c>
      <c r="AA70" s="188">
        <f t="shared" si="76"/>
        <v>25833.333333333336</v>
      </c>
      <c r="AB70" s="188">
        <f t="shared" si="76"/>
        <v>25833.333333333336</v>
      </c>
      <c r="AC70" s="188">
        <f t="shared" si="76"/>
        <v>25833.333333333336</v>
      </c>
      <c r="AD70" s="188">
        <f t="shared" si="76"/>
        <v>25833.333333333336</v>
      </c>
      <c r="AE70" s="188">
        <f t="shared" si="76"/>
        <v>25833.333333333336</v>
      </c>
      <c r="AF70" s="188">
        <f t="shared" si="76"/>
        <v>25833.333333333336</v>
      </c>
      <c r="AG70" s="188">
        <f t="shared" si="76"/>
        <v>25833.333333333336</v>
      </c>
      <c r="AH70" s="188">
        <f t="shared" si="76"/>
        <v>25833.333333333336</v>
      </c>
      <c r="AI70" s="188">
        <f t="shared" si="76"/>
        <v>25833.333333333336</v>
      </c>
      <c r="AJ70" s="188">
        <f t="shared" si="76"/>
        <v>25833.333333333336</v>
      </c>
      <c r="AK70" s="188">
        <f t="shared" si="76"/>
        <v>25833.333333333336</v>
      </c>
      <c r="AL70" s="188">
        <f t="shared" si="76"/>
        <v>25833.333333333336</v>
      </c>
      <c r="AM70" s="188">
        <f t="shared" si="76"/>
        <v>25833.333333333336</v>
      </c>
      <c r="AN70" s="188">
        <f t="shared" si="76"/>
        <v>25833.333333333336</v>
      </c>
      <c r="AO70" s="188">
        <f t="shared" si="76"/>
        <v>25833.333333333336</v>
      </c>
      <c r="AP70" s="188">
        <f t="shared" si="76"/>
        <v>25833.333333333336</v>
      </c>
      <c r="AQ70" s="188">
        <f t="shared" si="76"/>
        <v>25833.333333333336</v>
      </c>
      <c r="AR70" s="188">
        <f t="shared" si="76"/>
        <v>25833.333333333336</v>
      </c>
      <c r="AS70" s="188">
        <f t="shared" si="76"/>
        <v>25833.333333333336</v>
      </c>
      <c r="AT70" s="188">
        <f t="shared" si="76"/>
        <v>25833.333333333336</v>
      </c>
      <c r="AU70" s="188">
        <f t="shared" si="76"/>
        <v>25833.333333333336</v>
      </c>
      <c r="AV70" s="188">
        <f t="shared" si="76"/>
        <v>25833.333333333336</v>
      </c>
      <c r="AW70" s="188">
        <f t="shared" si="76"/>
        <v>25833.333333333336</v>
      </c>
      <c r="AX70" s="188">
        <f t="shared" si="76"/>
        <v>25833.333333333336</v>
      </c>
      <c r="AY70" s="188">
        <f t="shared" si="76"/>
        <v>25833.333333333336</v>
      </c>
      <c r="AZ70" s="188">
        <f t="shared" si="76"/>
        <v>25833.333333333336</v>
      </c>
      <c r="BA70" s="188">
        <f t="shared" si="76"/>
        <v>25833.333333333336</v>
      </c>
      <c r="BB70" s="188">
        <f t="shared" si="76"/>
        <v>25833.333333333336</v>
      </c>
      <c r="BC70" s="188">
        <f t="shared" si="76"/>
        <v>25833.333333333336</v>
      </c>
      <c r="BD70" s="188">
        <f t="shared" si="76"/>
        <v>25833.333333333336</v>
      </c>
      <c r="BE70" s="188">
        <f t="shared" si="76"/>
        <v>25833.333333333336</v>
      </c>
      <c r="BF70" s="188">
        <f t="shared" si="76"/>
        <v>25833.333333333336</v>
      </c>
      <c r="BG70" s="188">
        <f t="shared" si="76"/>
        <v>25833.333333333336</v>
      </c>
      <c r="BH70" s="188">
        <f t="shared" si="76"/>
        <v>25833.333333333336</v>
      </c>
      <c r="BI70" s="188">
        <f t="shared" si="76"/>
        <v>25833.333333333336</v>
      </c>
    </row>
    <row r="71" spans="1:61" ht="12.75" x14ac:dyDescent="0.2">
      <c r="B71" t="s">
        <v>196</v>
      </c>
      <c r="D71" s="214"/>
      <c r="E71" s="214"/>
      <c r="F71" s="214"/>
      <c r="G71" s="214"/>
      <c r="H71" s="214"/>
      <c r="I71" s="214"/>
      <c r="J71" s="214"/>
      <c r="K71" s="214"/>
      <c r="N71" s="188">
        <f t="shared" ref="N71:BI71" si="77">SUMIFS(N$4:N$64,$D$4:$D$64,$B71,$H$4:$H$64,"&gt;"&amp;0)</f>
        <v>22291.666666666668</v>
      </c>
      <c r="O71" s="188">
        <f t="shared" si="77"/>
        <v>22291.666666666668</v>
      </c>
      <c r="P71" s="188">
        <f t="shared" si="77"/>
        <v>22291.666666666668</v>
      </c>
      <c r="Q71" s="188">
        <f t="shared" si="77"/>
        <v>22291.666666666668</v>
      </c>
      <c r="R71" s="188">
        <f t="shared" si="77"/>
        <v>22291.666666666668</v>
      </c>
      <c r="S71" s="188">
        <f t="shared" si="77"/>
        <v>22291.666666666668</v>
      </c>
      <c r="T71" s="188">
        <f t="shared" si="77"/>
        <v>22291.666666666668</v>
      </c>
      <c r="U71" s="188">
        <f t="shared" si="77"/>
        <v>22291.666666666668</v>
      </c>
      <c r="V71" s="188">
        <f t="shared" si="77"/>
        <v>22291.666666666668</v>
      </c>
      <c r="W71" s="188">
        <f t="shared" si="77"/>
        <v>22291.666666666668</v>
      </c>
      <c r="X71" s="188">
        <f t="shared" si="77"/>
        <v>22291.666666666668</v>
      </c>
      <c r="Y71" s="188">
        <f t="shared" si="77"/>
        <v>22291.666666666668</v>
      </c>
      <c r="Z71" s="188">
        <f t="shared" si="77"/>
        <v>22291.666666666668</v>
      </c>
      <c r="AA71" s="188">
        <f t="shared" si="77"/>
        <v>22291.666666666668</v>
      </c>
      <c r="AB71" s="188">
        <f t="shared" si="77"/>
        <v>22291.666666666668</v>
      </c>
      <c r="AC71" s="188">
        <f t="shared" si="77"/>
        <v>22291.666666666668</v>
      </c>
      <c r="AD71" s="188">
        <f t="shared" si="77"/>
        <v>22291.666666666668</v>
      </c>
      <c r="AE71" s="188">
        <f t="shared" si="77"/>
        <v>22291.666666666668</v>
      </c>
      <c r="AF71" s="188">
        <f t="shared" si="77"/>
        <v>22291.666666666668</v>
      </c>
      <c r="AG71" s="188">
        <f t="shared" si="77"/>
        <v>22291.666666666668</v>
      </c>
      <c r="AH71" s="188">
        <f t="shared" si="77"/>
        <v>22291.666666666668</v>
      </c>
      <c r="AI71" s="188">
        <f t="shared" si="77"/>
        <v>22291.666666666668</v>
      </c>
      <c r="AJ71" s="188">
        <f t="shared" si="77"/>
        <v>22291.666666666668</v>
      </c>
      <c r="AK71" s="188">
        <f t="shared" si="77"/>
        <v>22291.666666666668</v>
      </c>
      <c r="AL71" s="188">
        <f t="shared" si="77"/>
        <v>22291.666666666668</v>
      </c>
      <c r="AM71" s="188">
        <f t="shared" si="77"/>
        <v>22291.666666666668</v>
      </c>
      <c r="AN71" s="188">
        <f t="shared" si="77"/>
        <v>22291.666666666668</v>
      </c>
      <c r="AO71" s="188">
        <f t="shared" si="77"/>
        <v>22291.666666666668</v>
      </c>
      <c r="AP71" s="188">
        <f t="shared" si="77"/>
        <v>22291.666666666668</v>
      </c>
      <c r="AQ71" s="188">
        <f t="shared" si="77"/>
        <v>22291.666666666668</v>
      </c>
      <c r="AR71" s="188">
        <f t="shared" si="77"/>
        <v>22291.666666666668</v>
      </c>
      <c r="AS71" s="188">
        <f t="shared" si="77"/>
        <v>22291.666666666668</v>
      </c>
      <c r="AT71" s="188">
        <f t="shared" si="77"/>
        <v>22291.666666666668</v>
      </c>
      <c r="AU71" s="188">
        <f t="shared" si="77"/>
        <v>22291.666666666668</v>
      </c>
      <c r="AV71" s="188">
        <f t="shared" si="77"/>
        <v>22291.666666666668</v>
      </c>
      <c r="AW71" s="188">
        <f t="shared" si="77"/>
        <v>22291.666666666668</v>
      </c>
      <c r="AX71" s="188">
        <f t="shared" si="77"/>
        <v>22291.666666666668</v>
      </c>
      <c r="AY71" s="188">
        <f t="shared" si="77"/>
        <v>22291.666666666668</v>
      </c>
      <c r="AZ71" s="188">
        <f t="shared" si="77"/>
        <v>22291.666666666668</v>
      </c>
      <c r="BA71" s="188">
        <f t="shared" si="77"/>
        <v>22291.666666666668</v>
      </c>
      <c r="BB71" s="188">
        <f t="shared" si="77"/>
        <v>22291.666666666668</v>
      </c>
      <c r="BC71" s="188">
        <f t="shared" si="77"/>
        <v>22291.666666666668</v>
      </c>
      <c r="BD71" s="188">
        <f t="shared" si="77"/>
        <v>22291.666666666668</v>
      </c>
      <c r="BE71" s="188">
        <f t="shared" si="77"/>
        <v>22291.666666666668</v>
      </c>
      <c r="BF71" s="188">
        <f t="shared" si="77"/>
        <v>22291.666666666668</v>
      </c>
      <c r="BG71" s="188">
        <f t="shared" si="77"/>
        <v>22291.666666666668</v>
      </c>
      <c r="BH71" s="188">
        <f t="shared" si="77"/>
        <v>22291.666666666668</v>
      </c>
      <c r="BI71" s="188">
        <f t="shared" si="77"/>
        <v>22291.666666666668</v>
      </c>
    </row>
    <row r="72" spans="1:61" ht="12.75" x14ac:dyDescent="0.2">
      <c r="B72" t="s">
        <v>211</v>
      </c>
      <c r="D72" s="214"/>
      <c r="E72" s="214"/>
      <c r="F72" s="214"/>
      <c r="G72" s="214"/>
      <c r="H72" s="214"/>
      <c r="I72" s="214"/>
      <c r="J72" s="214"/>
      <c r="K72" s="214"/>
      <c r="N72" s="188">
        <f t="shared" ref="N72:BI72" si="78">SUMIFS(N$4:N$64,$D$4:$D$64,$B72,$H$4:$H$64,"&gt;"&amp;0)</f>
        <v>45375</v>
      </c>
      <c r="O72" s="188">
        <f t="shared" si="78"/>
        <v>45375</v>
      </c>
      <c r="P72" s="188">
        <f t="shared" si="78"/>
        <v>45375</v>
      </c>
      <c r="Q72" s="188">
        <f t="shared" si="78"/>
        <v>45375</v>
      </c>
      <c r="R72" s="188">
        <f t="shared" si="78"/>
        <v>45375</v>
      </c>
      <c r="S72" s="188">
        <f t="shared" si="78"/>
        <v>45375</v>
      </c>
      <c r="T72" s="188">
        <f t="shared" si="78"/>
        <v>45375</v>
      </c>
      <c r="U72" s="188">
        <f t="shared" si="78"/>
        <v>45375</v>
      </c>
      <c r="V72" s="188">
        <f t="shared" si="78"/>
        <v>45375</v>
      </c>
      <c r="W72" s="188">
        <f t="shared" si="78"/>
        <v>45375</v>
      </c>
      <c r="X72" s="188">
        <f t="shared" si="78"/>
        <v>45375</v>
      </c>
      <c r="Y72" s="188">
        <f t="shared" si="78"/>
        <v>45375</v>
      </c>
      <c r="Z72" s="188">
        <f t="shared" si="78"/>
        <v>45375</v>
      </c>
      <c r="AA72" s="188">
        <f t="shared" si="78"/>
        <v>45375</v>
      </c>
      <c r="AB72" s="188">
        <f t="shared" si="78"/>
        <v>45375</v>
      </c>
      <c r="AC72" s="188">
        <f t="shared" si="78"/>
        <v>45375</v>
      </c>
      <c r="AD72" s="188">
        <f t="shared" si="78"/>
        <v>45375</v>
      </c>
      <c r="AE72" s="188">
        <f t="shared" si="78"/>
        <v>45375</v>
      </c>
      <c r="AF72" s="188">
        <f t="shared" si="78"/>
        <v>45375</v>
      </c>
      <c r="AG72" s="188">
        <f t="shared" si="78"/>
        <v>45375</v>
      </c>
      <c r="AH72" s="188">
        <f t="shared" si="78"/>
        <v>45375</v>
      </c>
      <c r="AI72" s="188">
        <f t="shared" si="78"/>
        <v>45375</v>
      </c>
      <c r="AJ72" s="188">
        <f t="shared" si="78"/>
        <v>45375</v>
      </c>
      <c r="AK72" s="188">
        <f t="shared" si="78"/>
        <v>45375</v>
      </c>
      <c r="AL72" s="188">
        <f t="shared" si="78"/>
        <v>45375</v>
      </c>
      <c r="AM72" s="188">
        <f t="shared" si="78"/>
        <v>45375</v>
      </c>
      <c r="AN72" s="188">
        <f t="shared" si="78"/>
        <v>45375</v>
      </c>
      <c r="AO72" s="188">
        <f t="shared" si="78"/>
        <v>45375</v>
      </c>
      <c r="AP72" s="188">
        <f t="shared" si="78"/>
        <v>45375</v>
      </c>
      <c r="AQ72" s="188">
        <f t="shared" si="78"/>
        <v>45375</v>
      </c>
      <c r="AR72" s="188">
        <f t="shared" si="78"/>
        <v>45375</v>
      </c>
      <c r="AS72" s="188">
        <f t="shared" si="78"/>
        <v>45375</v>
      </c>
      <c r="AT72" s="188">
        <f t="shared" si="78"/>
        <v>45375</v>
      </c>
      <c r="AU72" s="188">
        <f t="shared" si="78"/>
        <v>45375</v>
      </c>
      <c r="AV72" s="188">
        <f t="shared" si="78"/>
        <v>45375</v>
      </c>
      <c r="AW72" s="188">
        <f t="shared" si="78"/>
        <v>45375</v>
      </c>
      <c r="AX72" s="188">
        <f t="shared" si="78"/>
        <v>45375</v>
      </c>
      <c r="AY72" s="188">
        <f t="shared" si="78"/>
        <v>45375</v>
      </c>
      <c r="AZ72" s="188">
        <f t="shared" si="78"/>
        <v>45375</v>
      </c>
      <c r="BA72" s="188">
        <f t="shared" si="78"/>
        <v>45375</v>
      </c>
      <c r="BB72" s="188">
        <f t="shared" si="78"/>
        <v>45375</v>
      </c>
      <c r="BC72" s="188">
        <f t="shared" si="78"/>
        <v>45375</v>
      </c>
      <c r="BD72" s="188">
        <f t="shared" si="78"/>
        <v>45375</v>
      </c>
      <c r="BE72" s="188">
        <f t="shared" si="78"/>
        <v>45375</v>
      </c>
      <c r="BF72" s="188">
        <f t="shared" si="78"/>
        <v>45375</v>
      </c>
      <c r="BG72" s="188">
        <f t="shared" si="78"/>
        <v>45375</v>
      </c>
      <c r="BH72" s="188">
        <f t="shared" si="78"/>
        <v>45375</v>
      </c>
      <c r="BI72" s="188">
        <f t="shared" si="78"/>
        <v>45375</v>
      </c>
    </row>
    <row r="73" spans="1:61" ht="12.75" x14ac:dyDescent="0.2">
      <c r="A73" s="60" t="s">
        <v>228</v>
      </c>
      <c r="B73" s="51"/>
      <c r="C73" s="51"/>
      <c r="D73" s="216"/>
      <c r="E73" s="216"/>
      <c r="F73" s="216"/>
      <c r="G73" s="216"/>
      <c r="H73" s="216"/>
      <c r="I73" s="216"/>
      <c r="J73" s="216"/>
      <c r="K73" s="216"/>
      <c r="L73" s="51"/>
      <c r="M73" s="51"/>
      <c r="N73" s="213">
        <f t="shared" ref="N73:BI73" si="79">SUM(N68:N72)</f>
        <v>292000</v>
      </c>
      <c r="O73" s="213">
        <f t="shared" si="79"/>
        <v>292000</v>
      </c>
      <c r="P73" s="213">
        <f t="shared" si="79"/>
        <v>292000</v>
      </c>
      <c r="Q73" s="213">
        <f t="shared" si="79"/>
        <v>292000</v>
      </c>
      <c r="R73" s="213">
        <f t="shared" si="79"/>
        <v>292000</v>
      </c>
      <c r="S73" s="213">
        <f t="shared" si="79"/>
        <v>292000</v>
      </c>
      <c r="T73" s="213">
        <f t="shared" si="79"/>
        <v>292000</v>
      </c>
      <c r="U73" s="213">
        <f t="shared" si="79"/>
        <v>292000</v>
      </c>
      <c r="V73" s="213">
        <f t="shared" si="79"/>
        <v>292000</v>
      </c>
      <c r="W73" s="213">
        <f t="shared" si="79"/>
        <v>292000</v>
      </c>
      <c r="X73" s="213">
        <f t="shared" si="79"/>
        <v>292000</v>
      </c>
      <c r="Y73" s="213">
        <f t="shared" si="79"/>
        <v>292000</v>
      </c>
      <c r="Z73" s="213">
        <f t="shared" si="79"/>
        <v>292000</v>
      </c>
      <c r="AA73" s="213">
        <f t="shared" si="79"/>
        <v>292000</v>
      </c>
      <c r="AB73" s="213">
        <f t="shared" si="79"/>
        <v>292000</v>
      </c>
      <c r="AC73" s="213">
        <f t="shared" si="79"/>
        <v>292000</v>
      </c>
      <c r="AD73" s="213">
        <f t="shared" si="79"/>
        <v>292000</v>
      </c>
      <c r="AE73" s="213">
        <f t="shared" si="79"/>
        <v>292000</v>
      </c>
      <c r="AF73" s="213">
        <f t="shared" si="79"/>
        <v>292000</v>
      </c>
      <c r="AG73" s="213">
        <f t="shared" si="79"/>
        <v>292000</v>
      </c>
      <c r="AH73" s="213">
        <f t="shared" si="79"/>
        <v>292000</v>
      </c>
      <c r="AI73" s="213">
        <f t="shared" si="79"/>
        <v>292000</v>
      </c>
      <c r="AJ73" s="213">
        <f t="shared" si="79"/>
        <v>292000</v>
      </c>
      <c r="AK73" s="213">
        <f t="shared" si="79"/>
        <v>292000</v>
      </c>
      <c r="AL73" s="213">
        <f t="shared" si="79"/>
        <v>292000</v>
      </c>
      <c r="AM73" s="213">
        <f t="shared" si="79"/>
        <v>292000</v>
      </c>
      <c r="AN73" s="213">
        <f t="shared" si="79"/>
        <v>292000</v>
      </c>
      <c r="AO73" s="213">
        <f t="shared" si="79"/>
        <v>292000</v>
      </c>
      <c r="AP73" s="213">
        <f t="shared" si="79"/>
        <v>292000</v>
      </c>
      <c r="AQ73" s="213">
        <f t="shared" si="79"/>
        <v>292000</v>
      </c>
      <c r="AR73" s="213">
        <f t="shared" si="79"/>
        <v>292000</v>
      </c>
      <c r="AS73" s="213">
        <f t="shared" si="79"/>
        <v>292000</v>
      </c>
      <c r="AT73" s="213">
        <f t="shared" si="79"/>
        <v>292000</v>
      </c>
      <c r="AU73" s="213">
        <f t="shared" si="79"/>
        <v>292000</v>
      </c>
      <c r="AV73" s="213">
        <f t="shared" si="79"/>
        <v>292000</v>
      </c>
      <c r="AW73" s="213">
        <f t="shared" si="79"/>
        <v>292000</v>
      </c>
      <c r="AX73" s="213">
        <f t="shared" si="79"/>
        <v>292000</v>
      </c>
      <c r="AY73" s="213">
        <f t="shared" si="79"/>
        <v>292000</v>
      </c>
      <c r="AZ73" s="213">
        <f t="shared" si="79"/>
        <v>292000</v>
      </c>
      <c r="BA73" s="213">
        <f t="shared" si="79"/>
        <v>292000</v>
      </c>
      <c r="BB73" s="213">
        <f t="shared" si="79"/>
        <v>292000</v>
      </c>
      <c r="BC73" s="213">
        <f t="shared" si="79"/>
        <v>292000</v>
      </c>
      <c r="BD73" s="213">
        <f t="shared" si="79"/>
        <v>292000</v>
      </c>
      <c r="BE73" s="213">
        <f t="shared" si="79"/>
        <v>292000</v>
      </c>
      <c r="BF73" s="213">
        <f t="shared" si="79"/>
        <v>292000</v>
      </c>
      <c r="BG73" s="213">
        <f t="shared" si="79"/>
        <v>292000</v>
      </c>
      <c r="BH73" s="213">
        <f t="shared" si="79"/>
        <v>292000</v>
      </c>
      <c r="BI73" s="213">
        <f t="shared" si="79"/>
        <v>292000</v>
      </c>
    </row>
    <row r="74" spans="1:61" ht="12.75" x14ac:dyDescent="0.2">
      <c r="A74" s="69" t="s">
        <v>229</v>
      </c>
      <c r="B74" s="217"/>
      <c r="C74" s="217"/>
      <c r="D74" s="218"/>
      <c r="E74" s="218"/>
      <c r="F74" s="218"/>
      <c r="G74" s="218"/>
      <c r="H74" s="218"/>
      <c r="I74" s="218"/>
      <c r="J74" s="218"/>
      <c r="K74" s="218"/>
      <c r="L74" s="217"/>
      <c r="M74" s="217"/>
      <c r="N74" s="219">
        <f t="shared" ref="N74:BI74" si="80">ROUND(N73-N65+N97,2)</f>
        <v>0</v>
      </c>
      <c r="O74" s="219">
        <f t="shared" si="80"/>
        <v>0</v>
      </c>
      <c r="P74" s="219">
        <f t="shared" si="80"/>
        <v>0</v>
      </c>
      <c r="Q74" s="219">
        <f t="shared" si="80"/>
        <v>0</v>
      </c>
      <c r="R74" s="219">
        <f t="shared" si="80"/>
        <v>0</v>
      </c>
      <c r="S74" s="219">
        <f t="shared" si="80"/>
        <v>0</v>
      </c>
      <c r="T74" s="219">
        <f t="shared" si="80"/>
        <v>0</v>
      </c>
      <c r="U74" s="219">
        <f t="shared" si="80"/>
        <v>0</v>
      </c>
      <c r="V74" s="219">
        <f t="shared" si="80"/>
        <v>0</v>
      </c>
      <c r="W74" s="219">
        <f t="shared" si="80"/>
        <v>0</v>
      </c>
      <c r="X74" s="219">
        <f t="shared" si="80"/>
        <v>0</v>
      </c>
      <c r="Y74" s="219">
        <f t="shared" si="80"/>
        <v>0</v>
      </c>
      <c r="Z74" s="219">
        <f t="shared" si="80"/>
        <v>0</v>
      </c>
      <c r="AA74" s="219">
        <f t="shared" si="80"/>
        <v>0</v>
      </c>
      <c r="AB74" s="219">
        <f t="shared" si="80"/>
        <v>0</v>
      </c>
      <c r="AC74" s="219">
        <f t="shared" si="80"/>
        <v>0</v>
      </c>
      <c r="AD74" s="219">
        <f t="shared" si="80"/>
        <v>0</v>
      </c>
      <c r="AE74" s="219">
        <f t="shared" si="80"/>
        <v>0</v>
      </c>
      <c r="AF74" s="219">
        <f t="shared" si="80"/>
        <v>0</v>
      </c>
      <c r="AG74" s="219">
        <f t="shared" si="80"/>
        <v>0</v>
      </c>
      <c r="AH74" s="219">
        <f t="shared" si="80"/>
        <v>0</v>
      </c>
      <c r="AI74" s="219">
        <f t="shared" si="80"/>
        <v>0</v>
      </c>
      <c r="AJ74" s="219">
        <f t="shared" si="80"/>
        <v>0</v>
      </c>
      <c r="AK74" s="219">
        <f t="shared" si="80"/>
        <v>0</v>
      </c>
      <c r="AL74" s="219">
        <f t="shared" si="80"/>
        <v>0</v>
      </c>
      <c r="AM74" s="219">
        <f t="shared" si="80"/>
        <v>0</v>
      </c>
      <c r="AN74" s="219">
        <f t="shared" si="80"/>
        <v>0</v>
      </c>
      <c r="AO74" s="219">
        <f t="shared" si="80"/>
        <v>0</v>
      </c>
      <c r="AP74" s="219">
        <f t="shared" si="80"/>
        <v>0</v>
      </c>
      <c r="AQ74" s="219">
        <f t="shared" si="80"/>
        <v>0</v>
      </c>
      <c r="AR74" s="219">
        <f t="shared" si="80"/>
        <v>0</v>
      </c>
      <c r="AS74" s="219">
        <f t="shared" si="80"/>
        <v>0</v>
      </c>
      <c r="AT74" s="219">
        <f t="shared" si="80"/>
        <v>0</v>
      </c>
      <c r="AU74" s="219">
        <f t="shared" si="80"/>
        <v>0</v>
      </c>
      <c r="AV74" s="219">
        <f t="shared" si="80"/>
        <v>0</v>
      </c>
      <c r="AW74" s="219">
        <f t="shared" si="80"/>
        <v>0</v>
      </c>
      <c r="AX74" s="219">
        <f t="shared" si="80"/>
        <v>0</v>
      </c>
      <c r="AY74" s="219">
        <f t="shared" si="80"/>
        <v>0</v>
      </c>
      <c r="AZ74" s="219">
        <f t="shared" si="80"/>
        <v>0</v>
      </c>
      <c r="BA74" s="219">
        <f t="shared" si="80"/>
        <v>0</v>
      </c>
      <c r="BB74" s="219">
        <f t="shared" si="80"/>
        <v>0</v>
      </c>
      <c r="BC74" s="219">
        <f t="shared" si="80"/>
        <v>0</v>
      </c>
      <c r="BD74" s="219">
        <f t="shared" si="80"/>
        <v>0</v>
      </c>
      <c r="BE74" s="219">
        <f t="shared" si="80"/>
        <v>0</v>
      </c>
      <c r="BF74" s="219">
        <f t="shared" si="80"/>
        <v>0</v>
      </c>
      <c r="BG74" s="219">
        <f t="shared" si="80"/>
        <v>0</v>
      </c>
      <c r="BH74" s="219">
        <f t="shared" si="80"/>
        <v>0</v>
      </c>
      <c r="BI74" s="219">
        <f t="shared" si="80"/>
        <v>0</v>
      </c>
    </row>
    <row r="75" spans="1:61" ht="12.75" x14ac:dyDescent="0.2">
      <c r="A75" s="21" t="s">
        <v>230</v>
      </c>
      <c r="D75" s="214"/>
      <c r="E75" s="214"/>
      <c r="F75" s="214"/>
      <c r="G75" s="214"/>
      <c r="H75" s="214"/>
      <c r="I75" s="214"/>
      <c r="J75" s="214"/>
      <c r="K75" s="214"/>
    </row>
    <row r="76" spans="1:61" ht="12.75" x14ac:dyDescent="0.2">
      <c r="B76" s="215" t="str">
        <f t="shared" ref="B76:B80" si="81">B68</f>
        <v>General &amp; Admin</v>
      </c>
      <c r="D76" s="214"/>
      <c r="E76" s="214"/>
      <c r="F76" s="214"/>
      <c r="G76" s="214"/>
      <c r="H76" s="214"/>
      <c r="I76" s="214"/>
      <c r="J76" s="214"/>
      <c r="K76" s="214"/>
      <c r="N76" s="188" cm="1">
        <f t="array" ref="N76">SUMPRODUCT((N$4:N$64*($D$4:$D$64=$B76)),$H$4:$H$64)</f>
        <v>1518.75</v>
      </c>
      <c r="O76" s="188" cm="1">
        <f t="array" ref="O76">SUMPRODUCT((O$4:O$64*($D$4:$D$64=$B76)),$H$4:$H$64)</f>
        <v>1518.75</v>
      </c>
      <c r="P76" s="188" cm="1">
        <f t="array" ref="P76">SUMPRODUCT((P$4:P$64*($D$4:$D$64=$B76)),$H$4:$H$64)</f>
        <v>1518.75</v>
      </c>
      <c r="Q76" s="188" cm="1">
        <f t="array" ref="Q76">SUMPRODUCT((Q$4:Q$64*($D$4:$D$64=$B76)),$H$4:$H$64)</f>
        <v>1518.75</v>
      </c>
      <c r="R76" s="188" cm="1">
        <f t="array" ref="R76">SUMPRODUCT((R$4:R$64*($D$4:$D$64=$B76)),$H$4:$H$64)</f>
        <v>1518.75</v>
      </c>
      <c r="S76" s="188" cm="1">
        <f t="array" ref="S76">SUMPRODUCT((S$4:S$64*($D$4:$D$64=$B76)),$H$4:$H$64)</f>
        <v>1518.75</v>
      </c>
      <c r="T76" s="188" cm="1">
        <f t="array" ref="T76">SUMPRODUCT((T$4:T$64*($D$4:$D$64=$B76)),$H$4:$H$64)</f>
        <v>1518.75</v>
      </c>
      <c r="U76" s="188" cm="1">
        <f t="array" ref="U76">SUMPRODUCT((U$4:U$64*($D$4:$D$64=$B76)),$H$4:$H$64)</f>
        <v>1518.75</v>
      </c>
      <c r="V76" s="188" cm="1">
        <f t="array" ref="V76">SUMPRODUCT((V$4:V$64*($D$4:$D$64=$B76)),$H$4:$H$64)</f>
        <v>1518.75</v>
      </c>
      <c r="W76" s="188" cm="1">
        <f t="array" ref="W76">SUMPRODUCT((W$4:W$64*($D$4:$D$64=$B76)),$H$4:$H$64)</f>
        <v>1518.75</v>
      </c>
      <c r="X76" s="188" cm="1">
        <f t="array" ref="X76">SUMPRODUCT((X$4:X$64*($D$4:$D$64=$B76)),$H$4:$H$64)</f>
        <v>1518.75</v>
      </c>
      <c r="Y76" s="188" cm="1">
        <f t="array" ref="Y76">SUMPRODUCT((Y$4:Y$64*($D$4:$D$64=$B76)),$H$4:$H$64)</f>
        <v>1518.75</v>
      </c>
      <c r="Z76" s="188" cm="1">
        <f t="array" ref="Z76">SUMPRODUCT((Z$4:Z$64*($D$4:$D$64=$B76)),$H$4:$H$64)</f>
        <v>1518.75</v>
      </c>
      <c r="AA76" s="188" cm="1">
        <f t="array" ref="AA76">SUMPRODUCT((AA$4:AA$64*($D$4:$D$64=$B76)),$H$4:$H$64)</f>
        <v>1518.75</v>
      </c>
      <c r="AB76" s="188" cm="1">
        <f t="array" ref="AB76">SUMPRODUCT((AB$4:AB$64*($D$4:$D$64=$B76)),$H$4:$H$64)</f>
        <v>1518.75</v>
      </c>
      <c r="AC76" s="188" cm="1">
        <f t="array" ref="AC76">SUMPRODUCT((AC$4:AC$64*($D$4:$D$64=$B76)),$H$4:$H$64)</f>
        <v>1518.75</v>
      </c>
      <c r="AD76" s="188" cm="1">
        <f t="array" ref="AD76">SUMPRODUCT((AD$4:AD$64*($D$4:$D$64=$B76)),$H$4:$H$64)</f>
        <v>1518.75</v>
      </c>
      <c r="AE76" s="188" cm="1">
        <f t="array" ref="AE76">SUMPRODUCT((AE$4:AE$64*($D$4:$D$64=$B76)),$H$4:$H$64)</f>
        <v>1518.75</v>
      </c>
      <c r="AF76" s="188" cm="1">
        <f t="array" ref="AF76">SUMPRODUCT((AF$4:AF$64*($D$4:$D$64=$B76)),$H$4:$H$64)</f>
        <v>1518.75</v>
      </c>
      <c r="AG76" s="188" cm="1">
        <f t="array" ref="AG76">SUMPRODUCT((AG$4:AG$64*($D$4:$D$64=$B76)),$H$4:$H$64)</f>
        <v>1518.75</v>
      </c>
      <c r="AH76" s="188" cm="1">
        <f t="array" ref="AH76">SUMPRODUCT((AH$4:AH$64*($D$4:$D$64=$B76)),$H$4:$H$64)</f>
        <v>1518.75</v>
      </c>
      <c r="AI76" s="188" cm="1">
        <f t="array" ref="AI76">SUMPRODUCT((AI$4:AI$64*($D$4:$D$64=$B76)),$H$4:$H$64)</f>
        <v>1518.75</v>
      </c>
      <c r="AJ76" s="188" cm="1">
        <f t="array" ref="AJ76">SUMPRODUCT((AJ$4:AJ$64*($D$4:$D$64=$B76)),$H$4:$H$64)</f>
        <v>1518.75</v>
      </c>
      <c r="AK76" s="188" cm="1">
        <f t="array" ref="AK76">SUMPRODUCT((AK$4:AK$64*($D$4:$D$64=$B76)),$H$4:$H$64)</f>
        <v>1518.75</v>
      </c>
      <c r="AL76" s="188" cm="1">
        <f t="array" ref="AL76">SUMPRODUCT((AL$4:AL$64*($D$4:$D$64=$B76)),$H$4:$H$64)</f>
        <v>1518.75</v>
      </c>
      <c r="AM76" s="188" cm="1">
        <f t="array" ref="AM76">SUMPRODUCT((AM$4:AM$64*($D$4:$D$64=$B76)),$H$4:$H$64)</f>
        <v>1518.75</v>
      </c>
      <c r="AN76" s="188" cm="1">
        <f t="array" ref="AN76">SUMPRODUCT((AN$4:AN$64*($D$4:$D$64=$B76)),$H$4:$H$64)</f>
        <v>1518.75</v>
      </c>
      <c r="AO76" s="188" cm="1">
        <f t="array" ref="AO76">SUMPRODUCT((AO$4:AO$64*($D$4:$D$64=$B76)),$H$4:$H$64)</f>
        <v>1518.75</v>
      </c>
      <c r="AP76" s="188" cm="1">
        <f t="array" ref="AP76">SUMPRODUCT((AP$4:AP$64*($D$4:$D$64=$B76)),$H$4:$H$64)</f>
        <v>1518.75</v>
      </c>
      <c r="AQ76" s="188" cm="1">
        <f t="array" ref="AQ76">SUMPRODUCT((AQ$4:AQ$64*($D$4:$D$64=$B76)),$H$4:$H$64)</f>
        <v>1518.75</v>
      </c>
      <c r="AR76" s="188" cm="1">
        <f t="array" ref="AR76">SUMPRODUCT((AR$4:AR$64*($D$4:$D$64=$B76)),$H$4:$H$64)</f>
        <v>1518.75</v>
      </c>
      <c r="AS76" s="188" cm="1">
        <f t="array" ref="AS76">SUMPRODUCT((AS$4:AS$64*($D$4:$D$64=$B76)),$H$4:$H$64)</f>
        <v>1518.75</v>
      </c>
      <c r="AT76" s="188" cm="1">
        <f t="array" ref="AT76">SUMPRODUCT((AT$4:AT$64*($D$4:$D$64=$B76)),$H$4:$H$64)</f>
        <v>1518.75</v>
      </c>
      <c r="AU76" s="188" cm="1">
        <f t="array" ref="AU76">SUMPRODUCT((AU$4:AU$64*($D$4:$D$64=$B76)),$H$4:$H$64)</f>
        <v>1518.75</v>
      </c>
      <c r="AV76" s="188" cm="1">
        <f t="array" ref="AV76">SUMPRODUCT((AV$4:AV$64*($D$4:$D$64=$B76)),$H$4:$H$64)</f>
        <v>1518.75</v>
      </c>
      <c r="AW76" s="188" cm="1">
        <f t="array" ref="AW76">SUMPRODUCT((AW$4:AW$64*($D$4:$D$64=$B76)),$H$4:$H$64)</f>
        <v>1518.75</v>
      </c>
      <c r="AX76" s="188" cm="1">
        <f t="array" ref="AX76">SUMPRODUCT((AX$4:AX$64*($D$4:$D$64=$B76)),$H$4:$H$64)</f>
        <v>1518.75</v>
      </c>
      <c r="AY76" s="188" cm="1">
        <f t="array" ref="AY76">SUMPRODUCT((AY$4:AY$64*($D$4:$D$64=$B76)),$H$4:$H$64)</f>
        <v>1518.75</v>
      </c>
      <c r="AZ76" s="188" cm="1">
        <f t="array" ref="AZ76">SUMPRODUCT((AZ$4:AZ$64*($D$4:$D$64=$B76)),$H$4:$H$64)</f>
        <v>1518.75</v>
      </c>
      <c r="BA76" s="188" cm="1">
        <f t="array" ref="BA76">SUMPRODUCT((BA$4:BA$64*($D$4:$D$64=$B76)),$H$4:$H$64)</f>
        <v>1518.75</v>
      </c>
      <c r="BB76" s="188" cm="1">
        <f t="array" ref="BB76">SUMPRODUCT((BB$4:BB$64*($D$4:$D$64=$B76)),$H$4:$H$64)</f>
        <v>1518.75</v>
      </c>
      <c r="BC76" s="188" cm="1">
        <f t="array" ref="BC76">SUMPRODUCT((BC$4:BC$64*($D$4:$D$64=$B76)),$H$4:$H$64)</f>
        <v>1518.75</v>
      </c>
      <c r="BD76" s="188" cm="1">
        <f t="array" ref="BD76">SUMPRODUCT((BD$4:BD$64*($D$4:$D$64=$B76)),$H$4:$H$64)</f>
        <v>1518.75</v>
      </c>
      <c r="BE76" s="188" cm="1">
        <f t="array" ref="BE76">SUMPRODUCT((BE$4:BE$64*($D$4:$D$64=$B76)),$H$4:$H$64)</f>
        <v>1518.75</v>
      </c>
      <c r="BF76" s="188" cm="1">
        <f t="array" ref="BF76">SUMPRODUCT((BF$4:BF$64*($D$4:$D$64=$B76)),$H$4:$H$64)</f>
        <v>1518.75</v>
      </c>
      <c r="BG76" s="188" cm="1">
        <f t="array" ref="BG76">SUMPRODUCT((BG$4:BG$64*($D$4:$D$64=$B76)),$H$4:$H$64)</f>
        <v>1518.75</v>
      </c>
      <c r="BH76" s="188" cm="1">
        <f t="array" ref="BH76">SUMPRODUCT((BH$4:BH$64*($D$4:$D$64=$B76)),$H$4:$H$64)</f>
        <v>1518.75</v>
      </c>
      <c r="BI76" s="188" cm="1">
        <f t="array" ref="BI76">SUMPRODUCT((BI$4:BI$64*($D$4:$D$64=$B76)),$H$4:$H$64)</f>
        <v>1518.75</v>
      </c>
    </row>
    <row r="77" spans="1:61" ht="12.75" x14ac:dyDescent="0.2">
      <c r="B77" s="215" t="str">
        <f t="shared" si="81"/>
        <v>Engineering</v>
      </c>
      <c r="D77" s="214"/>
      <c r="E77" s="214"/>
      <c r="F77" s="214"/>
      <c r="G77" s="214"/>
      <c r="H77" s="214"/>
      <c r="I77" s="214"/>
      <c r="J77" s="214"/>
      <c r="K77" s="214"/>
      <c r="N77" s="188" cm="1">
        <f t="array" ref="N77">SUMPRODUCT((N$4:N$64*($D$4:$D$64=$B77)),$H$4:$H$64)</f>
        <v>16346.25</v>
      </c>
      <c r="O77" s="188" cm="1">
        <f t="array" ref="O77">SUMPRODUCT((O$4:O$64*($D$4:$D$64=$B77)),$H$4:$H$64)</f>
        <v>16346.25</v>
      </c>
      <c r="P77" s="188" cm="1">
        <f t="array" ref="P77">SUMPRODUCT((P$4:P$64*($D$4:$D$64=$B77)),$H$4:$H$64)</f>
        <v>16346.25</v>
      </c>
      <c r="Q77" s="188" cm="1">
        <f t="array" ref="Q77">SUMPRODUCT((Q$4:Q$64*($D$4:$D$64=$B77)),$H$4:$H$64)</f>
        <v>16346.25</v>
      </c>
      <c r="R77" s="188" cm="1">
        <f t="array" ref="R77">SUMPRODUCT((R$4:R$64*($D$4:$D$64=$B77)),$H$4:$H$64)</f>
        <v>16346.25</v>
      </c>
      <c r="S77" s="188" cm="1">
        <f t="array" ref="S77">SUMPRODUCT((S$4:S$64*($D$4:$D$64=$B77)),$H$4:$H$64)</f>
        <v>16346.25</v>
      </c>
      <c r="T77" s="188" cm="1">
        <f t="array" ref="T77">SUMPRODUCT((T$4:T$64*($D$4:$D$64=$B77)),$H$4:$H$64)</f>
        <v>16346.25</v>
      </c>
      <c r="U77" s="188" cm="1">
        <f t="array" ref="U77">SUMPRODUCT((U$4:U$64*($D$4:$D$64=$B77)),$H$4:$H$64)</f>
        <v>16346.25</v>
      </c>
      <c r="V77" s="188" cm="1">
        <f t="array" ref="V77">SUMPRODUCT((V$4:V$64*($D$4:$D$64=$B77)),$H$4:$H$64)</f>
        <v>16346.25</v>
      </c>
      <c r="W77" s="188" cm="1">
        <f t="array" ref="W77">SUMPRODUCT((W$4:W$64*($D$4:$D$64=$B77)),$H$4:$H$64)</f>
        <v>16346.25</v>
      </c>
      <c r="X77" s="188" cm="1">
        <f t="array" ref="X77">SUMPRODUCT((X$4:X$64*($D$4:$D$64=$B77)),$H$4:$H$64)</f>
        <v>16346.25</v>
      </c>
      <c r="Y77" s="188" cm="1">
        <f t="array" ref="Y77">SUMPRODUCT((Y$4:Y$64*($D$4:$D$64=$B77)),$H$4:$H$64)</f>
        <v>16346.25</v>
      </c>
      <c r="Z77" s="188" cm="1">
        <f t="array" ref="Z77">SUMPRODUCT((Z$4:Z$64*($D$4:$D$64=$B77)),$H$4:$H$64)</f>
        <v>16346.25</v>
      </c>
      <c r="AA77" s="188" cm="1">
        <f t="array" ref="AA77">SUMPRODUCT((AA$4:AA$64*($D$4:$D$64=$B77)),$H$4:$H$64)</f>
        <v>16346.25</v>
      </c>
      <c r="AB77" s="188" cm="1">
        <f t="array" ref="AB77">SUMPRODUCT((AB$4:AB$64*($D$4:$D$64=$B77)),$H$4:$H$64)</f>
        <v>16346.25</v>
      </c>
      <c r="AC77" s="188" cm="1">
        <f t="array" ref="AC77">SUMPRODUCT((AC$4:AC$64*($D$4:$D$64=$B77)),$H$4:$H$64)</f>
        <v>16346.25</v>
      </c>
      <c r="AD77" s="188" cm="1">
        <f t="array" ref="AD77">SUMPRODUCT((AD$4:AD$64*($D$4:$D$64=$B77)),$H$4:$H$64)</f>
        <v>16346.25</v>
      </c>
      <c r="AE77" s="188" cm="1">
        <f t="array" ref="AE77">SUMPRODUCT((AE$4:AE$64*($D$4:$D$64=$B77)),$H$4:$H$64)</f>
        <v>16346.25</v>
      </c>
      <c r="AF77" s="188" cm="1">
        <f t="array" ref="AF77">SUMPRODUCT((AF$4:AF$64*($D$4:$D$64=$B77)),$H$4:$H$64)</f>
        <v>16346.25</v>
      </c>
      <c r="AG77" s="188" cm="1">
        <f t="array" ref="AG77">SUMPRODUCT((AG$4:AG$64*($D$4:$D$64=$B77)),$H$4:$H$64)</f>
        <v>16346.25</v>
      </c>
      <c r="AH77" s="188" cm="1">
        <f t="array" ref="AH77">SUMPRODUCT((AH$4:AH$64*($D$4:$D$64=$B77)),$H$4:$H$64)</f>
        <v>16346.25</v>
      </c>
      <c r="AI77" s="188" cm="1">
        <f t="array" ref="AI77">SUMPRODUCT((AI$4:AI$64*($D$4:$D$64=$B77)),$H$4:$H$64)</f>
        <v>16346.25</v>
      </c>
      <c r="AJ77" s="188" cm="1">
        <f t="array" ref="AJ77">SUMPRODUCT((AJ$4:AJ$64*($D$4:$D$64=$B77)),$H$4:$H$64)</f>
        <v>16346.25</v>
      </c>
      <c r="AK77" s="188" cm="1">
        <f t="array" ref="AK77">SUMPRODUCT((AK$4:AK$64*($D$4:$D$64=$B77)),$H$4:$H$64)</f>
        <v>16346.25</v>
      </c>
      <c r="AL77" s="188" cm="1">
        <f t="array" ref="AL77">SUMPRODUCT((AL$4:AL$64*($D$4:$D$64=$B77)),$H$4:$H$64)</f>
        <v>16346.25</v>
      </c>
      <c r="AM77" s="188" cm="1">
        <f t="array" ref="AM77">SUMPRODUCT((AM$4:AM$64*($D$4:$D$64=$B77)),$H$4:$H$64)</f>
        <v>16346.25</v>
      </c>
      <c r="AN77" s="188" cm="1">
        <f t="array" ref="AN77">SUMPRODUCT((AN$4:AN$64*($D$4:$D$64=$B77)),$H$4:$H$64)</f>
        <v>16346.25</v>
      </c>
      <c r="AO77" s="188" cm="1">
        <f t="array" ref="AO77">SUMPRODUCT((AO$4:AO$64*($D$4:$D$64=$B77)),$H$4:$H$64)</f>
        <v>16346.25</v>
      </c>
      <c r="AP77" s="188" cm="1">
        <f t="array" ref="AP77">SUMPRODUCT((AP$4:AP$64*($D$4:$D$64=$B77)),$H$4:$H$64)</f>
        <v>16346.25</v>
      </c>
      <c r="AQ77" s="188" cm="1">
        <f t="array" ref="AQ77">SUMPRODUCT((AQ$4:AQ$64*($D$4:$D$64=$B77)),$H$4:$H$64)</f>
        <v>16346.25</v>
      </c>
      <c r="AR77" s="188" cm="1">
        <f t="array" ref="AR77">SUMPRODUCT((AR$4:AR$64*($D$4:$D$64=$B77)),$H$4:$H$64)</f>
        <v>16346.25</v>
      </c>
      <c r="AS77" s="188" cm="1">
        <f t="array" ref="AS77">SUMPRODUCT((AS$4:AS$64*($D$4:$D$64=$B77)),$H$4:$H$64)</f>
        <v>16346.25</v>
      </c>
      <c r="AT77" s="188" cm="1">
        <f t="array" ref="AT77">SUMPRODUCT((AT$4:AT$64*($D$4:$D$64=$B77)),$H$4:$H$64)</f>
        <v>16346.25</v>
      </c>
      <c r="AU77" s="188" cm="1">
        <f t="array" ref="AU77">SUMPRODUCT((AU$4:AU$64*($D$4:$D$64=$B77)),$H$4:$H$64)</f>
        <v>16346.25</v>
      </c>
      <c r="AV77" s="188" cm="1">
        <f t="array" ref="AV77">SUMPRODUCT((AV$4:AV$64*($D$4:$D$64=$B77)),$H$4:$H$64)</f>
        <v>16346.25</v>
      </c>
      <c r="AW77" s="188" cm="1">
        <f t="array" ref="AW77">SUMPRODUCT((AW$4:AW$64*($D$4:$D$64=$B77)),$H$4:$H$64)</f>
        <v>16346.25</v>
      </c>
      <c r="AX77" s="188" cm="1">
        <f t="array" ref="AX77">SUMPRODUCT((AX$4:AX$64*($D$4:$D$64=$B77)),$H$4:$H$64)</f>
        <v>16346.25</v>
      </c>
      <c r="AY77" s="188" cm="1">
        <f t="array" ref="AY77">SUMPRODUCT((AY$4:AY$64*($D$4:$D$64=$B77)),$H$4:$H$64)</f>
        <v>16346.25</v>
      </c>
      <c r="AZ77" s="188" cm="1">
        <f t="array" ref="AZ77">SUMPRODUCT((AZ$4:AZ$64*($D$4:$D$64=$B77)),$H$4:$H$64)</f>
        <v>16346.25</v>
      </c>
      <c r="BA77" s="188" cm="1">
        <f t="array" ref="BA77">SUMPRODUCT((BA$4:BA$64*($D$4:$D$64=$B77)),$H$4:$H$64)</f>
        <v>16346.25</v>
      </c>
      <c r="BB77" s="188" cm="1">
        <f t="array" ref="BB77">SUMPRODUCT((BB$4:BB$64*($D$4:$D$64=$B77)),$H$4:$H$64)</f>
        <v>16346.25</v>
      </c>
      <c r="BC77" s="188" cm="1">
        <f t="array" ref="BC77">SUMPRODUCT((BC$4:BC$64*($D$4:$D$64=$B77)),$H$4:$H$64)</f>
        <v>16346.25</v>
      </c>
      <c r="BD77" s="188" cm="1">
        <f t="array" ref="BD77">SUMPRODUCT((BD$4:BD$64*($D$4:$D$64=$B77)),$H$4:$H$64)</f>
        <v>16346.25</v>
      </c>
      <c r="BE77" s="188" cm="1">
        <f t="array" ref="BE77">SUMPRODUCT((BE$4:BE$64*($D$4:$D$64=$B77)),$H$4:$H$64)</f>
        <v>16346.25</v>
      </c>
      <c r="BF77" s="188" cm="1">
        <f t="array" ref="BF77">SUMPRODUCT((BF$4:BF$64*($D$4:$D$64=$B77)),$H$4:$H$64)</f>
        <v>16346.25</v>
      </c>
      <c r="BG77" s="188" cm="1">
        <f t="array" ref="BG77">SUMPRODUCT((BG$4:BG$64*($D$4:$D$64=$B77)),$H$4:$H$64)</f>
        <v>16346.25</v>
      </c>
      <c r="BH77" s="188" cm="1">
        <f t="array" ref="BH77">SUMPRODUCT((BH$4:BH$64*($D$4:$D$64=$B77)),$H$4:$H$64)</f>
        <v>16346.25</v>
      </c>
      <c r="BI77" s="188" cm="1">
        <f t="array" ref="BI77">SUMPRODUCT((BI$4:BI$64*($D$4:$D$64=$B77)),$H$4:$H$64)</f>
        <v>16346.25</v>
      </c>
    </row>
    <row r="78" spans="1:61" ht="12.75" x14ac:dyDescent="0.2">
      <c r="B78" s="215" t="str">
        <f t="shared" si="81"/>
        <v>Marketing</v>
      </c>
      <c r="D78" s="214"/>
      <c r="E78" s="214"/>
      <c r="F78" s="214"/>
      <c r="G78" s="214"/>
      <c r="H78" s="214"/>
      <c r="I78" s="214"/>
      <c r="J78" s="214"/>
      <c r="K78" s="214"/>
      <c r="N78" s="188" cm="1">
        <f t="array" ref="N78">SUMPRODUCT((N$4:N$64*($D$4:$D$64=$B78)),$H$4:$H$64)</f>
        <v>2325</v>
      </c>
      <c r="O78" s="188" cm="1">
        <f t="array" ref="O78">SUMPRODUCT((O$4:O$64*($D$4:$D$64=$B78)),$H$4:$H$64)</f>
        <v>2325</v>
      </c>
      <c r="P78" s="188" cm="1">
        <f t="array" ref="P78">SUMPRODUCT((P$4:P$64*($D$4:$D$64=$B78)),$H$4:$H$64)</f>
        <v>2325</v>
      </c>
      <c r="Q78" s="188" cm="1">
        <f t="array" ref="Q78">SUMPRODUCT((Q$4:Q$64*($D$4:$D$64=$B78)),$H$4:$H$64)</f>
        <v>2325</v>
      </c>
      <c r="R78" s="188" cm="1">
        <f t="array" ref="R78">SUMPRODUCT((R$4:R$64*($D$4:$D$64=$B78)),$H$4:$H$64)</f>
        <v>2325</v>
      </c>
      <c r="S78" s="188" cm="1">
        <f t="array" ref="S78">SUMPRODUCT((S$4:S$64*($D$4:$D$64=$B78)),$H$4:$H$64)</f>
        <v>2325</v>
      </c>
      <c r="T78" s="188" cm="1">
        <f t="array" ref="T78">SUMPRODUCT((T$4:T$64*($D$4:$D$64=$B78)),$H$4:$H$64)</f>
        <v>2325</v>
      </c>
      <c r="U78" s="188" cm="1">
        <f t="array" ref="U78">SUMPRODUCT((U$4:U$64*($D$4:$D$64=$B78)),$H$4:$H$64)</f>
        <v>2325</v>
      </c>
      <c r="V78" s="188" cm="1">
        <f t="array" ref="V78">SUMPRODUCT((V$4:V$64*($D$4:$D$64=$B78)),$H$4:$H$64)</f>
        <v>2325</v>
      </c>
      <c r="W78" s="188" cm="1">
        <f t="array" ref="W78">SUMPRODUCT((W$4:W$64*($D$4:$D$64=$B78)),$H$4:$H$64)</f>
        <v>2325</v>
      </c>
      <c r="X78" s="188" cm="1">
        <f t="array" ref="X78">SUMPRODUCT((X$4:X$64*($D$4:$D$64=$B78)),$H$4:$H$64)</f>
        <v>2325</v>
      </c>
      <c r="Y78" s="188" cm="1">
        <f t="array" ref="Y78">SUMPRODUCT((Y$4:Y$64*($D$4:$D$64=$B78)),$H$4:$H$64)</f>
        <v>2325</v>
      </c>
      <c r="Z78" s="188" cm="1">
        <f t="array" ref="Z78">SUMPRODUCT((Z$4:Z$64*($D$4:$D$64=$B78)),$H$4:$H$64)</f>
        <v>2325</v>
      </c>
      <c r="AA78" s="188" cm="1">
        <f t="array" ref="AA78">SUMPRODUCT((AA$4:AA$64*($D$4:$D$64=$B78)),$H$4:$H$64)</f>
        <v>2325</v>
      </c>
      <c r="AB78" s="188" cm="1">
        <f t="array" ref="AB78">SUMPRODUCT((AB$4:AB$64*($D$4:$D$64=$B78)),$H$4:$H$64)</f>
        <v>2325</v>
      </c>
      <c r="AC78" s="188" cm="1">
        <f t="array" ref="AC78">SUMPRODUCT((AC$4:AC$64*($D$4:$D$64=$B78)),$H$4:$H$64)</f>
        <v>2325</v>
      </c>
      <c r="AD78" s="188" cm="1">
        <f t="array" ref="AD78">SUMPRODUCT((AD$4:AD$64*($D$4:$D$64=$B78)),$H$4:$H$64)</f>
        <v>2325</v>
      </c>
      <c r="AE78" s="188" cm="1">
        <f t="array" ref="AE78">SUMPRODUCT((AE$4:AE$64*($D$4:$D$64=$B78)),$H$4:$H$64)</f>
        <v>2325</v>
      </c>
      <c r="AF78" s="188" cm="1">
        <f t="array" ref="AF78">SUMPRODUCT((AF$4:AF$64*($D$4:$D$64=$B78)),$H$4:$H$64)</f>
        <v>2325</v>
      </c>
      <c r="AG78" s="188" cm="1">
        <f t="array" ref="AG78">SUMPRODUCT((AG$4:AG$64*($D$4:$D$64=$B78)),$H$4:$H$64)</f>
        <v>2325</v>
      </c>
      <c r="AH78" s="188" cm="1">
        <f t="array" ref="AH78">SUMPRODUCT((AH$4:AH$64*($D$4:$D$64=$B78)),$H$4:$H$64)</f>
        <v>2325</v>
      </c>
      <c r="AI78" s="188" cm="1">
        <f t="array" ref="AI78">SUMPRODUCT((AI$4:AI$64*($D$4:$D$64=$B78)),$H$4:$H$64)</f>
        <v>2325</v>
      </c>
      <c r="AJ78" s="188" cm="1">
        <f t="array" ref="AJ78">SUMPRODUCT((AJ$4:AJ$64*($D$4:$D$64=$B78)),$H$4:$H$64)</f>
        <v>2325</v>
      </c>
      <c r="AK78" s="188" cm="1">
        <f t="array" ref="AK78">SUMPRODUCT((AK$4:AK$64*($D$4:$D$64=$B78)),$H$4:$H$64)</f>
        <v>2325</v>
      </c>
      <c r="AL78" s="188" cm="1">
        <f t="array" ref="AL78">SUMPRODUCT((AL$4:AL$64*($D$4:$D$64=$B78)),$H$4:$H$64)</f>
        <v>2325</v>
      </c>
      <c r="AM78" s="188" cm="1">
        <f t="array" ref="AM78">SUMPRODUCT((AM$4:AM$64*($D$4:$D$64=$B78)),$H$4:$H$64)</f>
        <v>2325</v>
      </c>
      <c r="AN78" s="188" cm="1">
        <f t="array" ref="AN78">SUMPRODUCT((AN$4:AN$64*($D$4:$D$64=$B78)),$H$4:$H$64)</f>
        <v>2325</v>
      </c>
      <c r="AO78" s="188" cm="1">
        <f t="array" ref="AO78">SUMPRODUCT((AO$4:AO$64*($D$4:$D$64=$B78)),$H$4:$H$64)</f>
        <v>2325</v>
      </c>
      <c r="AP78" s="188" cm="1">
        <f t="array" ref="AP78">SUMPRODUCT((AP$4:AP$64*($D$4:$D$64=$B78)),$H$4:$H$64)</f>
        <v>2325</v>
      </c>
      <c r="AQ78" s="188" cm="1">
        <f t="array" ref="AQ78">SUMPRODUCT((AQ$4:AQ$64*($D$4:$D$64=$B78)),$H$4:$H$64)</f>
        <v>2325</v>
      </c>
      <c r="AR78" s="188" cm="1">
        <f t="array" ref="AR78">SUMPRODUCT((AR$4:AR$64*($D$4:$D$64=$B78)),$H$4:$H$64)</f>
        <v>2325</v>
      </c>
      <c r="AS78" s="188" cm="1">
        <f t="array" ref="AS78">SUMPRODUCT((AS$4:AS$64*($D$4:$D$64=$B78)),$H$4:$H$64)</f>
        <v>2325</v>
      </c>
      <c r="AT78" s="188" cm="1">
        <f t="array" ref="AT78">SUMPRODUCT((AT$4:AT$64*($D$4:$D$64=$B78)),$H$4:$H$64)</f>
        <v>2325</v>
      </c>
      <c r="AU78" s="188" cm="1">
        <f t="array" ref="AU78">SUMPRODUCT((AU$4:AU$64*($D$4:$D$64=$B78)),$H$4:$H$64)</f>
        <v>2325</v>
      </c>
      <c r="AV78" s="188" cm="1">
        <f t="array" ref="AV78">SUMPRODUCT((AV$4:AV$64*($D$4:$D$64=$B78)),$H$4:$H$64)</f>
        <v>2325</v>
      </c>
      <c r="AW78" s="188" cm="1">
        <f t="array" ref="AW78">SUMPRODUCT((AW$4:AW$64*($D$4:$D$64=$B78)),$H$4:$H$64)</f>
        <v>2325</v>
      </c>
      <c r="AX78" s="188" cm="1">
        <f t="array" ref="AX78">SUMPRODUCT((AX$4:AX$64*($D$4:$D$64=$B78)),$H$4:$H$64)</f>
        <v>2325</v>
      </c>
      <c r="AY78" s="188" cm="1">
        <f t="array" ref="AY78">SUMPRODUCT((AY$4:AY$64*($D$4:$D$64=$B78)),$H$4:$H$64)</f>
        <v>2325</v>
      </c>
      <c r="AZ78" s="188" cm="1">
        <f t="array" ref="AZ78">SUMPRODUCT((AZ$4:AZ$64*($D$4:$D$64=$B78)),$H$4:$H$64)</f>
        <v>2325</v>
      </c>
      <c r="BA78" s="188" cm="1">
        <f t="array" ref="BA78">SUMPRODUCT((BA$4:BA$64*($D$4:$D$64=$B78)),$H$4:$H$64)</f>
        <v>2325</v>
      </c>
      <c r="BB78" s="188" cm="1">
        <f t="array" ref="BB78">SUMPRODUCT((BB$4:BB$64*($D$4:$D$64=$B78)),$H$4:$H$64)</f>
        <v>2325</v>
      </c>
      <c r="BC78" s="188" cm="1">
        <f t="array" ref="BC78">SUMPRODUCT((BC$4:BC$64*($D$4:$D$64=$B78)),$H$4:$H$64)</f>
        <v>2325</v>
      </c>
      <c r="BD78" s="188" cm="1">
        <f t="array" ref="BD78">SUMPRODUCT((BD$4:BD$64*($D$4:$D$64=$B78)),$H$4:$H$64)</f>
        <v>2325</v>
      </c>
      <c r="BE78" s="188" cm="1">
        <f t="array" ref="BE78">SUMPRODUCT((BE$4:BE$64*($D$4:$D$64=$B78)),$H$4:$H$64)</f>
        <v>2325</v>
      </c>
      <c r="BF78" s="188" cm="1">
        <f t="array" ref="BF78">SUMPRODUCT((BF$4:BF$64*($D$4:$D$64=$B78)),$H$4:$H$64)</f>
        <v>2325</v>
      </c>
      <c r="BG78" s="188" cm="1">
        <f t="array" ref="BG78">SUMPRODUCT((BG$4:BG$64*($D$4:$D$64=$B78)),$H$4:$H$64)</f>
        <v>2325</v>
      </c>
      <c r="BH78" s="188" cm="1">
        <f t="array" ref="BH78">SUMPRODUCT((BH$4:BH$64*($D$4:$D$64=$B78)),$H$4:$H$64)</f>
        <v>2325</v>
      </c>
      <c r="BI78" s="188" cm="1">
        <f t="array" ref="BI78">SUMPRODUCT((BI$4:BI$64*($D$4:$D$64=$B78)),$H$4:$H$64)</f>
        <v>2325</v>
      </c>
    </row>
    <row r="79" spans="1:61" ht="12.75" x14ac:dyDescent="0.2">
      <c r="B79" s="215" t="str">
        <f t="shared" si="81"/>
        <v>Sales</v>
      </c>
      <c r="D79" s="214"/>
      <c r="E79" s="214"/>
      <c r="F79" s="214"/>
      <c r="G79" s="214"/>
      <c r="H79" s="214"/>
      <c r="I79" s="214"/>
      <c r="J79" s="214"/>
      <c r="K79" s="214"/>
      <c r="N79" s="188" cm="1">
        <f t="array" ref="N79">SUMPRODUCT((N$4:N$64*($D$4:$D$64=$B79)),$H$4:$H$64)</f>
        <v>2006.25</v>
      </c>
      <c r="O79" s="188" cm="1">
        <f t="array" ref="O79">SUMPRODUCT((O$4:O$64*($D$4:$D$64=$B79)),$H$4:$H$64)</f>
        <v>2006.25</v>
      </c>
      <c r="P79" s="188" cm="1">
        <f t="array" ref="P79">SUMPRODUCT((P$4:P$64*($D$4:$D$64=$B79)),$H$4:$H$64)</f>
        <v>2006.25</v>
      </c>
      <c r="Q79" s="188" cm="1">
        <f t="array" ref="Q79">SUMPRODUCT((Q$4:Q$64*($D$4:$D$64=$B79)),$H$4:$H$64)</f>
        <v>2006.25</v>
      </c>
      <c r="R79" s="188" cm="1">
        <f t="array" ref="R79">SUMPRODUCT((R$4:R$64*($D$4:$D$64=$B79)),$H$4:$H$64)</f>
        <v>2006.25</v>
      </c>
      <c r="S79" s="188" cm="1">
        <f t="array" ref="S79">SUMPRODUCT((S$4:S$64*($D$4:$D$64=$B79)),$H$4:$H$64)</f>
        <v>2006.25</v>
      </c>
      <c r="T79" s="188" cm="1">
        <f t="array" ref="T79">SUMPRODUCT((T$4:T$64*($D$4:$D$64=$B79)),$H$4:$H$64)</f>
        <v>2006.25</v>
      </c>
      <c r="U79" s="188" cm="1">
        <f t="array" ref="U79">SUMPRODUCT((U$4:U$64*($D$4:$D$64=$B79)),$H$4:$H$64)</f>
        <v>2006.25</v>
      </c>
      <c r="V79" s="188" cm="1">
        <f t="array" ref="V79">SUMPRODUCT((V$4:V$64*($D$4:$D$64=$B79)),$H$4:$H$64)</f>
        <v>2006.25</v>
      </c>
      <c r="W79" s="188" cm="1">
        <f t="array" ref="W79">SUMPRODUCT((W$4:W$64*($D$4:$D$64=$B79)),$H$4:$H$64)</f>
        <v>2006.25</v>
      </c>
      <c r="X79" s="188" cm="1">
        <f t="array" ref="X79">SUMPRODUCT((X$4:X$64*($D$4:$D$64=$B79)),$H$4:$H$64)</f>
        <v>2006.25</v>
      </c>
      <c r="Y79" s="188" cm="1">
        <f t="array" ref="Y79">SUMPRODUCT((Y$4:Y$64*($D$4:$D$64=$B79)),$H$4:$H$64)</f>
        <v>2006.25</v>
      </c>
      <c r="Z79" s="188" cm="1">
        <f t="array" ref="Z79">SUMPRODUCT((Z$4:Z$64*($D$4:$D$64=$B79)),$H$4:$H$64)</f>
        <v>2006.25</v>
      </c>
      <c r="AA79" s="188" cm="1">
        <f t="array" ref="AA79">SUMPRODUCT((AA$4:AA$64*($D$4:$D$64=$B79)),$H$4:$H$64)</f>
        <v>2006.25</v>
      </c>
      <c r="AB79" s="188" cm="1">
        <f t="array" ref="AB79">SUMPRODUCT((AB$4:AB$64*($D$4:$D$64=$B79)),$H$4:$H$64)</f>
        <v>2006.25</v>
      </c>
      <c r="AC79" s="188" cm="1">
        <f t="array" ref="AC79">SUMPRODUCT((AC$4:AC$64*($D$4:$D$64=$B79)),$H$4:$H$64)</f>
        <v>2006.25</v>
      </c>
      <c r="AD79" s="188" cm="1">
        <f t="array" ref="AD79">SUMPRODUCT((AD$4:AD$64*($D$4:$D$64=$B79)),$H$4:$H$64)</f>
        <v>2006.25</v>
      </c>
      <c r="AE79" s="188" cm="1">
        <f t="array" ref="AE79">SUMPRODUCT((AE$4:AE$64*($D$4:$D$64=$B79)),$H$4:$H$64)</f>
        <v>2006.25</v>
      </c>
      <c r="AF79" s="188" cm="1">
        <f t="array" ref="AF79">SUMPRODUCT((AF$4:AF$64*($D$4:$D$64=$B79)),$H$4:$H$64)</f>
        <v>2006.25</v>
      </c>
      <c r="AG79" s="188" cm="1">
        <f t="array" ref="AG79">SUMPRODUCT((AG$4:AG$64*($D$4:$D$64=$B79)),$H$4:$H$64)</f>
        <v>2006.25</v>
      </c>
      <c r="AH79" s="188" cm="1">
        <f t="array" ref="AH79">SUMPRODUCT((AH$4:AH$64*($D$4:$D$64=$B79)),$H$4:$H$64)</f>
        <v>2006.25</v>
      </c>
      <c r="AI79" s="188" cm="1">
        <f t="array" ref="AI79">SUMPRODUCT((AI$4:AI$64*($D$4:$D$64=$B79)),$H$4:$H$64)</f>
        <v>2006.25</v>
      </c>
      <c r="AJ79" s="188" cm="1">
        <f t="array" ref="AJ79">SUMPRODUCT((AJ$4:AJ$64*($D$4:$D$64=$B79)),$H$4:$H$64)</f>
        <v>2006.25</v>
      </c>
      <c r="AK79" s="188" cm="1">
        <f t="array" ref="AK79">SUMPRODUCT((AK$4:AK$64*($D$4:$D$64=$B79)),$H$4:$H$64)</f>
        <v>2006.25</v>
      </c>
      <c r="AL79" s="188" cm="1">
        <f t="array" ref="AL79">SUMPRODUCT((AL$4:AL$64*($D$4:$D$64=$B79)),$H$4:$H$64)</f>
        <v>2006.25</v>
      </c>
      <c r="AM79" s="188" cm="1">
        <f t="array" ref="AM79">SUMPRODUCT((AM$4:AM$64*($D$4:$D$64=$B79)),$H$4:$H$64)</f>
        <v>2006.25</v>
      </c>
      <c r="AN79" s="188" cm="1">
        <f t="array" ref="AN79">SUMPRODUCT((AN$4:AN$64*($D$4:$D$64=$B79)),$H$4:$H$64)</f>
        <v>2006.25</v>
      </c>
      <c r="AO79" s="188" cm="1">
        <f t="array" ref="AO79">SUMPRODUCT((AO$4:AO$64*($D$4:$D$64=$B79)),$H$4:$H$64)</f>
        <v>2006.25</v>
      </c>
      <c r="AP79" s="188" cm="1">
        <f t="array" ref="AP79">SUMPRODUCT((AP$4:AP$64*($D$4:$D$64=$B79)),$H$4:$H$64)</f>
        <v>2006.25</v>
      </c>
      <c r="AQ79" s="188" cm="1">
        <f t="array" ref="AQ79">SUMPRODUCT((AQ$4:AQ$64*($D$4:$D$64=$B79)),$H$4:$H$64)</f>
        <v>2006.25</v>
      </c>
      <c r="AR79" s="188" cm="1">
        <f t="array" ref="AR79">SUMPRODUCT((AR$4:AR$64*($D$4:$D$64=$B79)),$H$4:$H$64)</f>
        <v>2006.25</v>
      </c>
      <c r="AS79" s="188" cm="1">
        <f t="array" ref="AS79">SUMPRODUCT((AS$4:AS$64*($D$4:$D$64=$B79)),$H$4:$H$64)</f>
        <v>2006.25</v>
      </c>
      <c r="AT79" s="188" cm="1">
        <f t="array" ref="AT79">SUMPRODUCT((AT$4:AT$64*($D$4:$D$64=$B79)),$H$4:$H$64)</f>
        <v>2006.25</v>
      </c>
      <c r="AU79" s="188" cm="1">
        <f t="array" ref="AU79">SUMPRODUCT((AU$4:AU$64*($D$4:$D$64=$B79)),$H$4:$H$64)</f>
        <v>2006.25</v>
      </c>
      <c r="AV79" s="188" cm="1">
        <f t="array" ref="AV79">SUMPRODUCT((AV$4:AV$64*($D$4:$D$64=$B79)),$H$4:$H$64)</f>
        <v>2006.25</v>
      </c>
      <c r="AW79" s="188" cm="1">
        <f t="array" ref="AW79">SUMPRODUCT((AW$4:AW$64*($D$4:$D$64=$B79)),$H$4:$H$64)</f>
        <v>2006.25</v>
      </c>
      <c r="AX79" s="188" cm="1">
        <f t="array" ref="AX79">SUMPRODUCT((AX$4:AX$64*($D$4:$D$64=$B79)),$H$4:$H$64)</f>
        <v>2006.25</v>
      </c>
      <c r="AY79" s="188" cm="1">
        <f t="array" ref="AY79">SUMPRODUCT((AY$4:AY$64*($D$4:$D$64=$B79)),$H$4:$H$64)</f>
        <v>2006.25</v>
      </c>
      <c r="AZ79" s="188" cm="1">
        <f t="array" ref="AZ79">SUMPRODUCT((AZ$4:AZ$64*($D$4:$D$64=$B79)),$H$4:$H$64)</f>
        <v>2006.25</v>
      </c>
      <c r="BA79" s="188" cm="1">
        <f t="array" ref="BA79">SUMPRODUCT((BA$4:BA$64*($D$4:$D$64=$B79)),$H$4:$H$64)</f>
        <v>2006.25</v>
      </c>
      <c r="BB79" s="188" cm="1">
        <f t="array" ref="BB79">SUMPRODUCT((BB$4:BB$64*($D$4:$D$64=$B79)),$H$4:$H$64)</f>
        <v>2006.25</v>
      </c>
      <c r="BC79" s="188" cm="1">
        <f t="array" ref="BC79">SUMPRODUCT((BC$4:BC$64*($D$4:$D$64=$B79)),$H$4:$H$64)</f>
        <v>2006.25</v>
      </c>
      <c r="BD79" s="188" cm="1">
        <f t="array" ref="BD79">SUMPRODUCT((BD$4:BD$64*($D$4:$D$64=$B79)),$H$4:$H$64)</f>
        <v>2006.25</v>
      </c>
      <c r="BE79" s="188" cm="1">
        <f t="array" ref="BE79">SUMPRODUCT((BE$4:BE$64*($D$4:$D$64=$B79)),$H$4:$H$64)</f>
        <v>2006.25</v>
      </c>
      <c r="BF79" s="188" cm="1">
        <f t="array" ref="BF79">SUMPRODUCT((BF$4:BF$64*($D$4:$D$64=$B79)),$H$4:$H$64)</f>
        <v>2006.25</v>
      </c>
      <c r="BG79" s="188" cm="1">
        <f t="array" ref="BG79">SUMPRODUCT((BG$4:BG$64*($D$4:$D$64=$B79)),$H$4:$H$64)</f>
        <v>2006.25</v>
      </c>
      <c r="BH79" s="188" cm="1">
        <f t="array" ref="BH79">SUMPRODUCT((BH$4:BH$64*($D$4:$D$64=$B79)),$H$4:$H$64)</f>
        <v>2006.25</v>
      </c>
      <c r="BI79" s="188" cm="1">
        <f t="array" ref="BI79">SUMPRODUCT((BI$4:BI$64*($D$4:$D$64=$B79)),$H$4:$H$64)</f>
        <v>2006.25</v>
      </c>
    </row>
    <row r="80" spans="1:61" ht="12.75" x14ac:dyDescent="0.2">
      <c r="B80" s="215" t="str">
        <f t="shared" si="81"/>
        <v>Support</v>
      </c>
      <c r="D80" s="214"/>
      <c r="E80" s="214"/>
      <c r="F80" s="214"/>
      <c r="G80" s="214"/>
      <c r="H80" s="214"/>
      <c r="I80" s="214"/>
      <c r="J80" s="214"/>
      <c r="K80" s="214"/>
      <c r="N80" s="188" cm="1">
        <f t="array" ref="N80">SUMPRODUCT((N$4:N$64*($D$4:$D$64=$B80)),$H$4:$H$64)</f>
        <v>4083.75</v>
      </c>
      <c r="O80" s="188" cm="1">
        <f t="array" ref="O80">SUMPRODUCT((O$4:O$64*($D$4:$D$64=$B80)),$H$4:$H$64)</f>
        <v>4083.75</v>
      </c>
      <c r="P80" s="188" cm="1">
        <f t="array" ref="P80">SUMPRODUCT((P$4:P$64*($D$4:$D$64=$B80)),$H$4:$H$64)</f>
        <v>4083.75</v>
      </c>
      <c r="Q80" s="188" cm="1">
        <f t="array" ref="Q80">SUMPRODUCT((Q$4:Q$64*($D$4:$D$64=$B80)),$H$4:$H$64)</f>
        <v>4083.75</v>
      </c>
      <c r="R80" s="188" cm="1">
        <f t="array" ref="R80">SUMPRODUCT((R$4:R$64*($D$4:$D$64=$B80)),$H$4:$H$64)</f>
        <v>4083.75</v>
      </c>
      <c r="S80" s="188" cm="1">
        <f t="array" ref="S80">SUMPRODUCT((S$4:S$64*($D$4:$D$64=$B80)),$H$4:$H$64)</f>
        <v>4083.75</v>
      </c>
      <c r="T80" s="188" cm="1">
        <f t="array" ref="T80">SUMPRODUCT((T$4:T$64*($D$4:$D$64=$B80)),$H$4:$H$64)</f>
        <v>4083.75</v>
      </c>
      <c r="U80" s="188" cm="1">
        <f t="array" ref="U80">SUMPRODUCT((U$4:U$64*($D$4:$D$64=$B80)),$H$4:$H$64)</f>
        <v>4083.75</v>
      </c>
      <c r="V80" s="188" cm="1">
        <f t="array" ref="V80">SUMPRODUCT((V$4:V$64*($D$4:$D$64=$B80)),$H$4:$H$64)</f>
        <v>4083.75</v>
      </c>
      <c r="W80" s="188" cm="1">
        <f t="array" ref="W80">SUMPRODUCT((W$4:W$64*($D$4:$D$64=$B80)),$H$4:$H$64)</f>
        <v>4083.75</v>
      </c>
      <c r="X80" s="188" cm="1">
        <f t="array" ref="X80">SUMPRODUCT((X$4:X$64*($D$4:$D$64=$B80)),$H$4:$H$64)</f>
        <v>4083.75</v>
      </c>
      <c r="Y80" s="188" cm="1">
        <f t="array" ref="Y80">SUMPRODUCT((Y$4:Y$64*($D$4:$D$64=$B80)),$H$4:$H$64)</f>
        <v>4083.75</v>
      </c>
      <c r="Z80" s="188" cm="1">
        <f t="array" ref="Z80">SUMPRODUCT((Z$4:Z$64*($D$4:$D$64=$B80)),$H$4:$H$64)</f>
        <v>4083.75</v>
      </c>
      <c r="AA80" s="188" cm="1">
        <f t="array" ref="AA80">SUMPRODUCT((AA$4:AA$64*($D$4:$D$64=$B80)),$H$4:$H$64)</f>
        <v>4083.75</v>
      </c>
      <c r="AB80" s="188" cm="1">
        <f t="array" ref="AB80">SUMPRODUCT((AB$4:AB$64*($D$4:$D$64=$B80)),$H$4:$H$64)</f>
        <v>4083.75</v>
      </c>
      <c r="AC80" s="188" cm="1">
        <f t="array" ref="AC80">SUMPRODUCT((AC$4:AC$64*($D$4:$D$64=$B80)),$H$4:$H$64)</f>
        <v>4083.75</v>
      </c>
      <c r="AD80" s="188" cm="1">
        <f t="array" ref="AD80">SUMPRODUCT((AD$4:AD$64*($D$4:$D$64=$B80)),$H$4:$H$64)</f>
        <v>4083.75</v>
      </c>
      <c r="AE80" s="188" cm="1">
        <f t="array" ref="AE80">SUMPRODUCT((AE$4:AE$64*($D$4:$D$64=$B80)),$H$4:$H$64)</f>
        <v>4083.75</v>
      </c>
      <c r="AF80" s="188" cm="1">
        <f t="array" ref="AF80">SUMPRODUCT((AF$4:AF$64*($D$4:$D$64=$B80)),$H$4:$H$64)</f>
        <v>4083.75</v>
      </c>
      <c r="AG80" s="188" cm="1">
        <f t="array" ref="AG80">SUMPRODUCT((AG$4:AG$64*($D$4:$D$64=$B80)),$H$4:$H$64)</f>
        <v>4083.75</v>
      </c>
      <c r="AH80" s="188" cm="1">
        <f t="array" ref="AH80">SUMPRODUCT((AH$4:AH$64*($D$4:$D$64=$B80)),$H$4:$H$64)</f>
        <v>4083.75</v>
      </c>
      <c r="AI80" s="188" cm="1">
        <f t="array" ref="AI80">SUMPRODUCT((AI$4:AI$64*($D$4:$D$64=$B80)),$H$4:$H$64)</f>
        <v>4083.75</v>
      </c>
      <c r="AJ80" s="188" cm="1">
        <f t="array" ref="AJ80">SUMPRODUCT((AJ$4:AJ$64*($D$4:$D$64=$B80)),$H$4:$H$64)</f>
        <v>4083.75</v>
      </c>
      <c r="AK80" s="188" cm="1">
        <f t="array" ref="AK80">SUMPRODUCT((AK$4:AK$64*($D$4:$D$64=$B80)),$H$4:$H$64)</f>
        <v>4083.75</v>
      </c>
      <c r="AL80" s="188" cm="1">
        <f t="array" ref="AL80">SUMPRODUCT((AL$4:AL$64*($D$4:$D$64=$B80)),$H$4:$H$64)</f>
        <v>4083.75</v>
      </c>
      <c r="AM80" s="188" cm="1">
        <f t="array" ref="AM80">SUMPRODUCT((AM$4:AM$64*($D$4:$D$64=$B80)),$H$4:$H$64)</f>
        <v>4083.75</v>
      </c>
      <c r="AN80" s="188" cm="1">
        <f t="array" ref="AN80">SUMPRODUCT((AN$4:AN$64*($D$4:$D$64=$B80)),$H$4:$H$64)</f>
        <v>4083.75</v>
      </c>
      <c r="AO80" s="188" cm="1">
        <f t="array" ref="AO80">SUMPRODUCT((AO$4:AO$64*($D$4:$D$64=$B80)),$H$4:$H$64)</f>
        <v>4083.75</v>
      </c>
      <c r="AP80" s="188" cm="1">
        <f t="array" ref="AP80">SUMPRODUCT((AP$4:AP$64*($D$4:$D$64=$B80)),$H$4:$H$64)</f>
        <v>4083.75</v>
      </c>
      <c r="AQ80" s="188" cm="1">
        <f t="array" ref="AQ80">SUMPRODUCT((AQ$4:AQ$64*($D$4:$D$64=$B80)),$H$4:$H$64)</f>
        <v>4083.75</v>
      </c>
      <c r="AR80" s="188" cm="1">
        <f t="array" ref="AR80">SUMPRODUCT((AR$4:AR$64*($D$4:$D$64=$B80)),$H$4:$H$64)</f>
        <v>4083.75</v>
      </c>
      <c r="AS80" s="188" cm="1">
        <f t="array" ref="AS80">SUMPRODUCT((AS$4:AS$64*($D$4:$D$64=$B80)),$H$4:$H$64)</f>
        <v>4083.75</v>
      </c>
      <c r="AT80" s="188" cm="1">
        <f t="array" ref="AT80">SUMPRODUCT((AT$4:AT$64*($D$4:$D$64=$B80)),$H$4:$H$64)</f>
        <v>4083.75</v>
      </c>
      <c r="AU80" s="188" cm="1">
        <f t="array" ref="AU80">SUMPRODUCT((AU$4:AU$64*($D$4:$D$64=$B80)),$H$4:$H$64)</f>
        <v>4083.75</v>
      </c>
      <c r="AV80" s="188" cm="1">
        <f t="array" ref="AV80">SUMPRODUCT((AV$4:AV$64*($D$4:$D$64=$B80)),$H$4:$H$64)</f>
        <v>4083.75</v>
      </c>
      <c r="AW80" s="188" cm="1">
        <f t="array" ref="AW80">SUMPRODUCT((AW$4:AW$64*($D$4:$D$64=$B80)),$H$4:$H$64)</f>
        <v>4083.75</v>
      </c>
      <c r="AX80" s="188" cm="1">
        <f t="array" ref="AX80">SUMPRODUCT((AX$4:AX$64*($D$4:$D$64=$B80)),$H$4:$H$64)</f>
        <v>4083.75</v>
      </c>
      <c r="AY80" s="188" cm="1">
        <f t="array" ref="AY80">SUMPRODUCT((AY$4:AY$64*($D$4:$D$64=$B80)),$H$4:$H$64)</f>
        <v>4083.75</v>
      </c>
      <c r="AZ80" s="188" cm="1">
        <f t="array" ref="AZ80">SUMPRODUCT((AZ$4:AZ$64*($D$4:$D$64=$B80)),$H$4:$H$64)</f>
        <v>4083.75</v>
      </c>
      <c r="BA80" s="188" cm="1">
        <f t="array" ref="BA80">SUMPRODUCT((BA$4:BA$64*($D$4:$D$64=$B80)),$H$4:$H$64)</f>
        <v>4083.75</v>
      </c>
      <c r="BB80" s="188" cm="1">
        <f t="array" ref="BB80">SUMPRODUCT((BB$4:BB$64*($D$4:$D$64=$B80)),$H$4:$H$64)</f>
        <v>4083.75</v>
      </c>
      <c r="BC80" s="188" cm="1">
        <f t="array" ref="BC80">SUMPRODUCT((BC$4:BC$64*($D$4:$D$64=$B80)),$H$4:$H$64)</f>
        <v>4083.75</v>
      </c>
      <c r="BD80" s="188" cm="1">
        <f t="array" ref="BD80">SUMPRODUCT((BD$4:BD$64*($D$4:$D$64=$B80)),$H$4:$H$64)</f>
        <v>4083.75</v>
      </c>
      <c r="BE80" s="188" cm="1">
        <f t="array" ref="BE80">SUMPRODUCT((BE$4:BE$64*($D$4:$D$64=$B80)),$H$4:$H$64)</f>
        <v>4083.75</v>
      </c>
      <c r="BF80" s="188" cm="1">
        <f t="array" ref="BF80">SUMPRODUCT((BF$4:BF$64*($D$4:$D$64=$B80)),$H$4:$H$64)</f>
        <v>4083.75</v>
      </c>
      <c r="BG80" s="188" cm="1">
        <f t="array" ref="BG80">SUMPRODUCT((BG$4:BG$64*($D$4:$D$64=$B80)),$H$4:$H$64)</f>
        <v>4083.75</v>
      </c>
      <c r="BH80" s="188" cm="1">
        <f t="array" ref="BH80">SUMPRODUCT((BH$4:BH$64*($D$4:$D$64=$B80)),$H$4:$H$64)</f>
        <v>4083.75</v>
      </c>
      <c r="BI80" s="188" cm="1">
        <f t="array" ref="BI80">SUMPRODUCT((BI$4:BI$64*($D$4:$D$64=$B80)),$H$4:$H$64)</f>
        <v>4083.75</v>
      </c>
    </row>
    <row r="81" spans="1:61" ht="12.75" x14ac:dyDescent="0.2">
      <c r="A81" s="21" t="s">
        <v>231</v>
      </c>
      <c r="B81" s="51"/>
      <c r="C81" s="51"/>
      <c r="D81" s="216"/>
      <c r="E81" s="216"/>
      <c r="F81" s="216"/>
      <c r="G81" s="216"/>
      <c r="H81" s="216"/>
      <c r="I81" s="216"/>
      <c r="J81" s="216"/>
      <c r="K81" s="216"/>
      <c r="L81" s="51"/>
      <c r="M81" s="51"/>
      <c r="N81" s="213">
        <f t="shared" ref="N81:BI81" si="82">SUM(N76:N80)</f>
        <v>26280</v>
      </c>
      <c r="O81" s="213">
        <f t="shared" si="82"/>
        <v>26280</v>
      </c>
      <c r="P81" s="213">
        <f t="shared" si="82"/>
        <v>26280</v>
      </c>
      <c r="Q81" s="213">
        <f t="shared" si="82"/>
        <v>26280</v>
      </c>
      <c r="R81" s="213">
        <f t="shared" si="82"/>
        <v>26280</v>
      </c>
      <c r="S81" s="213">
        <f t="shared" si="82"/>
        <v>26280</v>
      </c>
      <c r="T81" s="213">
        <f t="shared" si="82"/>
        <v>26280</v>
      </c>
      <c r="U81" s="213">
        <f t="shared" si="82"/>
        <v>26280</v>
      </c>
      <c r="V81" s="213">
        <f t="shared" si="82"/>
        <v>26280</v>
      </c>
      <c r="W81" s="213">
        <f t="shared" si="82"/>
        <v>26280</v>
      </c>
      <c r="X81" s="213">
        <f t="shared" si="82"/>
        <v>26280</v>
      </c>
      <c r="Y81" s="213">
        <f t="shared" si="82"/>
        <v>26280</v>
      </c>
      <c r="Z81" s="213">
        <f t="shared" si="82"/>
        <v>26280</v>
      </c>
      <c r="AA81" s="213">
        <f t="shared" si="82"/>
        <v>26280</v>
      </c>
      <c r="AB81" s="213">
        <f t="shared" si="82"/>
        <v>26280</v>
      </c>
      <c r="AC81" s="213">
        <f t="shared" si="82"/>
        <v>26280</v>
      </c>
      <c r="AD81" s="213">
        <f t="shared" si="82"/>
        <v>26280</v>
      </c>
      <c r="AE81" s="213">
        <f t="shared" si="82"/>
        <v>26280</v>
      </c>
      <c r="AF81" s="213">
        <f t="shared" si="82"/>
        <v>26280</v>
      </c>
      <c r="AG81" s="213">
        <f t="shared" si="82"/>
        <v>26280</v>
      </c>
      <c r="AH81" s="213">
        <f t="shared" si="82"/>
        <v>26280</v>
      </c>
      <c r="AI81" s="213">
        <f t="shared" si="82"/>
        <v>26280</v>
      </c>
      <c r="AJ81" s="213">
        <f t="shared" si="82"/>
        <v>26280</v>
      </c>
      <c r="AK81" s="213">
        <f t="shared" si="82"/>
        <v>26280</v>
      </c>
      <c r="AL81" s="213">
        <f t="shared" si="82"/>
        <v>26280</v>
      </c>
      <c r="AM81" s="213">
        <f t="shared" si="82"/>
        <v>26280</v>
      </c>
      <c r="AN81" s="213">
        <f t="shared" si="82"/>
        <v>26280</v>
      </c>
      <c r="AO81" s="213">
        <f t="shared" si="82"/>
        <v>26280</v>
      </c>
      <c r="AP81" s="213">
        <f t="shared" si="82"/>
        <v>26280</v>
      </c>
      <c r="AQ81" s="213">
        <f t="shared" si="82"/>
        <v>26280</v>
      </c>
      <c r="AR81" s="213">
        <f t="shared" si="82"/>
        <v>26280</v>
      </c>
      <c r="AS81" s="213">
        <f t="shared" si="82"/>
        <v>26280</v>
      </c>
      <c r="AT81" s="213">
        <f t="shared" si="82"/>
        <v>26280</v>
      </c>
      <c r="AU81" s="213">
        <f t="shared" si="82"/>
        <v>26280</v>
      </c>
      <c r="AV81" s="213">
        <f t="shared" si="82"/>
        <v>26280</v>
      </c>
      <c r="AW81" s="213">
        <f t="shared" si="82"/>
        <v>26280</v>
      </c>
      <c r="AX81" s="213">
        <f t="shared" si="82"/>
        <v>26280</v>
      </c>
      <c r="AY81" s="213">
        <f t="shared" si="82"/>
        <v>26280</v>
      </c>
      <c r="AZ81" s="213">
        <f t="shared" si="82"/>
        <v>26280</v>
      </c>
      <c r="BA81" s="213">
        <f t="shared" si="82"/>
        <v>26280</v>
      </c>
      <c r="BB81" s="213">
        <f t="shared" si="82"/>
        <v>26280</v>
      </c>
      <c r="BC81" s="213">
        <f t="shared" si="82"/>
        <v>26280</v>
      </c>
      <c r="BD81" s="213">
        <f t="shared" si="82"/>
        <v>26280</v>
      </c>
      <c r="BE81" s="213">
        <f t="shared" si="82"/>
        <v>26280</v>
      </c>
      <c r="BF81" s="213">
        <f t="shared" si="82"/>
        <v>26280</v>
      </c>
      <c r="BG81" s="213">
        <f t="shared" si="82"/>
        <v>26280</v>
      </c>
      <c r="BH81" s="213">
        <f t="shared" si="82"/>
        <v>26280</v>
      </c>
      <c r="BI81" s="213">
        <f t="shared" si="82"/>
        <v>26280</v>
      </c>
    </row>
    <row r="82" spans="1:61" ht="12.75" x14ac:dyDescent="0.2">
      <c r="A82" s="69" t="s">
        <v>229</v>
      </c>
      <c r="B82" s="217"/>
      <c r="C82" s="217"/>
      <c r="D82" s="218"/>
      <c r="E82" s="218"/>
      <c r="F82" s="218"/>
      <c r="G82" s="218"/>
      <c r="H82" s="218"/>
      <c r="I82" s="218"/>
      <c r="J82" s="218"/>
      <c r="K82" s="218"/>
      <c r="L82" s="217"/>
      <c r="M82" s="217"/>
      <c r="N82" s="219">
        <f t="shared" ref="N82:BI82" si="83">SUMPRODUCT(N$4:N$64,$H$4:$H$64)-N81</f>
        <v>0</v>
      </c>
      <c r="O82" s="219">
        <f t="shared" si="83"/>
        <v>0</v>
      </c>
      <c r="P82" s="219">
        <f t="shared" si="83"/>
        <v>0</v>
      </c>
      <c r="Q82" s="219">
        <f t="shared" si="83"/>
        <v>0</v>
      </c>
      <c r="R82" s="219">
        <f t="shared" si="83"/>
        <v>0</v>
      </c>
      <c r="S82" s="219">
        <f t="shared" si="83"/>
        <v>0</v>
      </c>
      <c r="T82" s="219">
        <f t="shared" si="83"/>
        <v>0</v>
      </c>
      <c r="U82" s="219">
        <f t="shared" si="83"/>
        <v>0</v>
      </c>
      <c r="V82" s="219">
        <f t="shared" si="83"/>
        <v>0</v>
      </c>
      <c r="W82" s="219">
        <f t="shared" si="83"/>
        <v>0</v>
      </c>
      <c r="X82" s="219">
        <f t="shared" si="83"/>
        <v>0</v>
      </c>
      <c r="Y82" s="219">
        <f t="shared" si="83"/>
        <v>0</v>
      </c>
      <c r="Z82" s="219">
        <f t="shared" si="83"/>
        <v>0</v>
      </c>
      <c r="AA82" s="219">
        <f t="shared" si="83"/>
        <v>0</v>
      </c>
      <c r="AB82" s="219">
        <f t="shared" si="83"/>
        <v>0</v>
      </c>
      <c r="AC82" s="219">
        <f t="shared" si="83"/>
        <v>0</v>
      </c>
      <c r="AD82" s="219">
        <f t="shared" si="83"/>
        <v>0</v>
      </c>
      <c r="AE82" s="219">
        <f t="shared" si="83"/>
        <v>0</v>
      </c>
      <c r="AF82" s="219">
        <f t="shared" si="83"/>
        <v>0</v>
      </c>
      <c r="AG82" s="219">
        <f t="shared" si="83"/>
        <v>0</v>
      </c>
      <c r="AH82" s="219">
        <f t="shared" si="83"/>
        <v>0</v>
      </c>
      <c r="AI82" s="219">
        <f t="shared" si="83"/>
        <v>0</v>
      </c>
      <c r="AJ82" s="219">
        <f t="shared" si="83"/>
        <v>0</v>
      </c>
      <c r="AK82" s="219">
        <f t="shared" si="83"/>
        <v>0</v>
      </c>
      <c r="AL82" s="219">
        <f t="shared" si="83"/>
        <v>0</v>
      </c>
      <c r="AM82" s="219">
        <f t="shared" si="83"/>
        <v>0</v>
      </c>
      <c r="AN82" s="219">
        <f t="shared" si="83"/>
        <v>0</v>
      </c>
      <c r="AO82" s="219">
        <f t="shared" si="83"/>
        <v>0</v>
      </c>
      <c r="AP82" s="219">
        <f t="shared" si="83"/>
        <v>0</v>
      </c>
      <c r="AQ82" s="219">
        <f t="shared" si="83"/>
        <v>0</v>
      </c>
      <c r="AR82" s="219">
        <f t="shared" si="83"/>
        <v>0</v>
      </c>
      <c r="AS82" s="219">
        <f t="shared" si="83"/>
        <v>0</v>
      </c>
      <c r="AT82" s="219">
        <f t="shared" si="83"/>
        <v>0</v>
      </c>
      <c r="AU82" s="219">
        <f t="shared" si="83"/>
        <v>0</v>
      </c>
      <c r="AV82" s="219">
        <f t="shared" si="83"/>
        <v>0</v>
      </c>
      <c r="AW82" s="219">
        <f t="shared" si="83"/>
        <v>0</v>
      </c>
      <c r="AX82" s="219">
        <f t="shared" si="83"/>
        <v>0</v>
      </c>
      <c r="AY82" s="219">
        <f t="shared" si="83"/>
        <v>0</v>
      </c>
      <c r="AZ82" s="219">
        <f t="shared" si="83"/>
        <v>0</v>
      </c>
      <c r="BA82" s="219">
        <f t="shared" si="83"/>
        <v>0</v>
      </c>
      <c r="BB82" s="219">
        <f t="shared" si="83"/>
        <v>0</v>
      </c>
      <c r="BC82" s="219">
        <f t="shared" si="83"/>
        <v>0</v>
      </c>
      <c r="BD82" s="219">
        <f t="shared" si="83"/>
        <v>0</v>
      </c>
      <c r="BE82" s="219">
        <f t="shared" si="83"/>
        <v>0</v>
      </c>
      <c r="BF82" s="219">
        <f t="shared" si="83"/>
        <v>0</v>
      </c>
      <c r="BG82" s="219">
        <f t="shared" si="83"/>
        <v>0</v>
      </c>
      <c r="BH82" s="219">
        <f t="shared" si="83"/>
        <v>0</v>
      </c>
      <c r="BI82" s="219">
        <f t="shared" si="83"/>
        <v>0</v>
      </c>
    </row>
    <row r="83" spans="1:61" ht="12.75" x14ac:dyDescent="0.2">
      <c r="A83" s="21" t="s">
        <v>232</v>
      </c>
      <c r="D83" s="214"/>
      <c r="E83" s="214"/>
      <c r="F83" s="214"/>
      <c r="G83" s="214"/>
      <c r="H83" s="214"/>
      <c r="I83" s="214"/>
      <c r="J83" s="214"/>
      <c r="K83" s="214"/>
    </row>
    <row r="84" spans="1:61" ht="12.75" x14ac:dyDescent="0.2">
      <c r="B84" s="215" t="str">
        <f t="shared" ref="B84:B88" si="84">B76</f>
        <v>General &amp; Admin</v>
      </c>
      <c r="D84" s="214"/>
      <c r="E84" s="214"/>
      <c r="F84" s="214"/>
      <c r="G84" s="214"/>
      <c r="H84" s="214"/>
      <c r="I84" s="214"/>
      <c r="J84" s="214"/>
      <c r="K84" s="214"/>
      <c r="N84" s="188">
        <f t="shared" ref="N84:BI84" si="85">SUMIFS($K$4:$K$64,N$4:N$64,"&gt;"&amp;0,$D$4:$D$64,$B84)</f>
        <v>1675</v>
      </c>
      <c r="O84" s="188">
        <f t="shared" si="85"/>
        <v>1675</v>
      </c>
      <c r="P84" s="188">
        <f t="shared" si="85"/>
        <v>1675</v>
      </c>
      <c r="Q84" s="188">
        <f t="shared" si="85"/>
        <v>1675</v>
      </c>
      <c r="R84" s="188">
        <f t="shared" si="85"/>
        <v>1675</v>
      </c>
      <c r="S84" s="188">
        <f t="shared" si="85"/>
        <v>1675</v>
      </c>
      <c r="T84" s="188">
        <f t="shared" si="85"/>
        <v>1675</v>
      </c>
      <c r="U84" s="188">
        <f t="shared" si="85"/>
        <v>1675</v>
      </c>
      <c r="V84" s="188">
        <f t="shared" si="85"/>
        <v>1675</v>
      </c>
      <c r="W84" s="188">
        <f t="shared" si="85"/>
        <v>1675</v>
      </c>
      <c r="X84" s="188">
        <f t="shared" si="85"/>
        <v>1675</v>
      </c>
      <c r="Y84" s="188">
        <f t="shared" si="85"/>
        <v>1675</v>
      </c>
      <c r="Z84" s="188">
        <f t="shared" si="85"/>
        <v>1675</v>
      </c>
      <c r="AA84" s="188">
        <f t="shared" si="85"/>
        <v>1675</v>
      </c>
      <c r="AB84" s="188">
        <f t="shared" si="85"/>
        <v>1675</v>
      </c>
      <c r="AC84" s="188">
        <f t="shared" si="85"/>
        <v>1675</v>
      </c>
      <c r="AD84" s="188">
        <f t="shared" si="85"/>
        <v>1675</v>
      </c>
      <c r="AE84" s="188">
        <f t="shared" si="85"/>
        <v>1675</v>
      </c>
      <c r="AF84" s="188">
        <f t="shared" si="85"/>
        <v>1675</v>
      </c>
      <c r="AG84" s="188">
        <f t="shared" si="85"/>
        <v>1675</v>
      </c>
      <c r="AH84" s="188">
        <f t="shared" si="85"/>
        <v>1675</v>
      </c>
      <c r="AI84" s="188">
        <f t="shared" si="85"/>
        <v>1675</v>
      </c>
      <c r="AJ84" s="188">
        <f t="shared" si="85"/>
        <v>1675</v>
      </c>
      <c r="AK84" s="188">
        <f t="shared" si="85"/>
        <v>1675</v>
      </c>
      <c r="AL84" s="188">
        <f t="shared" si="85"/>
        <v>1675</v>
      </c>
      <c r="AM84" s="188">
        <f t="shared" si="85"/>
        <v>1675</v>
      </c>
      <c r="AN84" s="188">
        <f t="shared" si="85"/>
        <v>1675</v>
      </c>
      <c r="AO84" s="188">
        <f t="shared" si="85"/>
        <v>1675</v>
      </c>
      <c r="AP84" s="188">
        <f t="shared" si="85"/>
        <v>1675</v>
      </c>
      <c r="AQ84" s="188">
        <f t="shared" si="85"/>
        <v>1675</v>
      </c>
      <c r="AR84" s="188">
        <f t="shared" si="85"/>
        <v>1675</v>
      </c>
      <c r="AS84" s="188">
        <f t="shared" si="85"/>
        <v>1675</v>
      </c>
      <c r="AT84" s="188">
        <f t="shared" si="85"/>
        <v>1675</v>
      </c>
      <c r="AU84" s="188">
        <f t="shared" si="85"/>
        <v>1675</v>
      </c>
      <c r="AV84" s="188">
        <f t="shared" si="85"/>
        <v>1675</v>
      </c>
      <c r="AW84" s="188">
        <f t="shared" si="85"/>
        <v>1675</v>
      </c>
      <c r="AX84" s="188">
        <f t="shared" si="85"/>
        <v>1675</v>
      </c>
      <c r="AY84" s="188">
        <f t="shared" si="85"/>
        <v>1675</v>
      </c>
      <c r="AZ84" s="188">
        <f t="shared" si="85"/>
        <v>1675</v>
      </c>
      <c r="BA84" s="188">
        <f t="shared" si="85"/>
        <v>1675</v>
      </c>
      <c r="BB84" s="188">
        <f t="shared" si="85"/>
        <v>1675</v>
      </c>
      <c r="BC84" s="188">
        <f t="shared" si="85"/>
        <v>1675</v>
      </c>
      <c r="BD84" s="188">
        <f t="shared" si="85"/>
        <v>1675</v>
      </c>
      <c r="BE84" s="188">
        <f t="shared" si="85"/>
        <v>1675</v>
      </c>
      <c r="BF84" s="188">
        <f t="shared" si="85"/>
        <v>1675</v>
      </c>
      <c r="BG84" s="188">
        <f t="shared" si="85"/>
        <v>1675</v>
      </c>
      <c r="BH84" s="188">
        <f t="shared" si="85"/>
        <v>1675</v>
      </c>
      <c r="BI84" s="188">
        <f t="shared" si="85"/>
        <v>1675</v>
      </c>
    </row>
    <row r="85" spans="1:61" ht="12.75" x14ac:dyDescent="0.2">
      <c r="B85" s="215" t="str">
        <f t="shared" si="84"/>
        <v>Engineering</v>
      </c>
      <c r="D85" s="214"/>
      <c r="E85" s="214"/>
      <c r="F85" s="214"/>
      <c r="G85" s="214"/>
      <c r="H85" s="214"/>
      <c r="I85" s="214"/>
      <c r="J85" s="214"/>
      <c r="K85" s="214"/>
      <c r="N85" s="188">
        <f t="shared" ref="N85:BI85" si="86">SUMIFS($K$4:$K$64,N$4:N$64,"&gt;"&amp;0,$D$4:$D$64,$B85)</f>
        <v>13265</v>
      </c>
      <c r="O85" s="188">
        <f t="shared" si="86"/>
        <v>13265</v>
      </c>
      <c r="P85" s="188">
        <f t="shared" si="86"/>
        <v>13265</v>
      </c>
      <c r="Q85" s="188">
        <f t="shared" si="86"/>
        <v>13265</v>
      </c>
      <c r="R85" s="188">
        <f t="shared" si="86"/>
        <v>13265</v>
      </c>
      <c r="S85" s="188">
        <f t="shared" si="86"/>
        <v>13265</v>
      </c>
      <c r="T85" s="188">
        <f t="shared" si="86"/>
        <v>13265</v>
      </c>
      <c r="U85" s="188">
        <f t="shared" si="86"/>
        <v>13265</v>
      </c>
      <c r="V85" s="188">
        <f t="shared" si="86"/>
        <v>13265</v>
      </c>
      <c r="W85" s="188">
        <f t="shared" si="86"/>
        <v>13265</v>
      </c>
      <c r="X85" s="188">
        <f t="shared" si="86"/>
        <v>13265</v>
      </c>
      <c r="Y85" s="188">
        <f t="shared" si="86"/>
        <v>13265</v>
      </c>
      <c r="Z85" s="188">
        <f t="shared" si="86"/>
        <v>13265</v>
      </c>
      <c r="AA85" s="188">
        <f t="shared" si="86"/>
        <v>13265</v>
      </c>
      <c r="AB85" s="188">
        <f t="shared" si="86"/>
        <v>13265</v>
      </c>
      <c r="AC85" s="188">
        <f t="shared" si="86"/>
        <v>13265</v>
      </c>
      <c r="AD85" s="188">
        <f t="shared" si="86"/>
        <v>13265</v>
      </c>
      <c r="AE85" s="188">
        <f t="shared" si="86"/>
        <v>13265</v>
      </c>
      <c r="AF85" s="188">
        <f t="shared" si="86"/>
        <v>13265</v>
      </c>
      <c r="AG85" s="188">
        <f t="shared" si="86"/>
        <v>13265</v>
      </c>
      <c r="AH85" s="188">
        <f t="shared" si="86"/>
        <v>13265</v>
      </c>
      <c r="AI85" s="188">
        <f t="shared" si="86"/>
        <v>13265</v>
      </c>
      <c r="AJ85" s="188">
        <f t="shared" si="86"/>
        <v>13265</v>
      </c>
      <c r="AK85" s="188">
        <f t="shared" si="86"/>
        <v>13265</v>
      </c>
      <c r="AL85" s="188">
        <f t="shared" si="86"/>
        <v>13265</v>
      </c>
      <c r="AM85" s="188">
        <f t="shared" si="86"/>
        <v>13265</v>
      </c>
      <c r="AN85" s="188">
        <f t="shared" si="86"/>
        <v>13265</v>
      </c>
      <c r="AO85" s="188">
        <f t="shared" si="86"/>
        <v>13265</v>
      </c>
      <c r="AP85" s="188">
        <f t="shared" si="86"/>
        <v>13265</v>
      </c>
      <c r="AQ85" s="188">
        <f t="shared" si="86"/>
        <v>13265</v>
      </c>
      <c r="AR85" s="188">
        <f t="shared" si="86"/>
        <v>13265</v>
      </c>
      <c r="AS85" s="188">
        <f t="shared" si="86"/>
        <v>13265</v>
      </c>
      <c r="AT85" s="188">
        <f t="shared" si="86"/>
        <v>13265</v>
      </c>
      <c r="AU85" s="188">
        <f t="shared" si="86"/>
        <v>13265</v>
      </c>
      <c r="AV85" s="188">
        <f t="shared" si="86"/>
        <v>13265</v>
      </c>
      <c r="AW85" s="188">
        <f t="shared" si="86"/>
        <v>13265</v>
      </c>
      <c r="AX85" s="188">
        <f t="shared" si="86"/>
        <v>13265</v>
      </c>
      <c r="AY85" s="188">
        <f t="shared" si="86"/>
        <v>13265</v>
      </c>
      <c r="AZ85" s="188">
        <f t="shared" si="86"/>
        <v>13265</v>
      </c>
      <c r="BA85" s="188">
        <f t="shared" si="86"/>
        <v>13265</v>
      </c>
      <c r="BB85" s="188">
        <f t="shared" si="86"/>
        <v>13265</v>
      </c>
      <c r="BC85" s="188">
        <f t="shared" si="86"/>
        <v>13265</v>
      </c>
      <c r="BD85" s="188">
        <f t="shared" si="86"/>
        <v>13265</v>
      </c>
      <c r="BE85" s="188">
        <f t="shared" si="86"/>
        <v>13265</v>
      </c>
      <c r="BF85" s="188">
        <f t="shared" si="86"/>
        <v>13265</v>
      </c>
      <c r="BG85" s="188">
        <f t="shared" si="86"/>
        <v>13265</v>
      </c>
      <c r="BH85" s="188">
        <f t="shared" si="86"/>
        <v>13265</v>
      </c>
      <c r="BI85" s="188">
        <f t="shared" si="86"/>
        <v>13265</v>
      </c>
    </row>
    <row r="86" spans="1:61" ht="12.75" x14ac:dyDescent="0.2">
      <c r="B86" s="215" t="str">
        <f t="shared" si="84"/>
        <v>Marketing</v>
      </c>
      <c r="D86" s="214"/>
      <c r="E86" s="214"/>
      <c r="F86" s="214"/>
      <c r="G86" s="214"/>
      <c r="H86" s="214"/>
      <c r="I86" s="214"/>
      <c r="J86" s="214"/>
      <c r="K86" s="214"/>
      <c r="N86" s="188">
        <f t="shared" ref="N86:BI86" si="87">SUMIFS($K$4:$K$64,N$4:N$64,"&gt;"&amp;0,$D$4:$D$64,$B86)</f>
        <v>2033.3333333333333</v>
      </c>
      <c r="O86" s="188">
        <f t="shared" si="87"/>
        <v>2033.3333333333333</v>
      </c>
      <c r="P86" s="188">
        <f t="shared" si="87"/>
        <v>2033.3333333333333</v>
      </c>
      <c r="Q86" s="188">
        <f t="shared" si="87"/>
        <v>2033.3333333333333</v>
      </c>
      <c r="R86" s="188">
        <f t="shared" si="87"/>
        <v>2033.3333333333333</v>
      </c>
      <c r="S86" s="188">
        <f t="shared" si="87"/>
        <v>2033.3333333333333</v>
      </c>
      <c r="T86" s="188">
        <f t="shared" si="87"/>
        <v>2033.3333333333333</v>
      </c>
      <c r="U86" s="188">
        <f t="shared" si="87"/>
        <v>2033.3333333333333</v>
      </c>
      <c r="V86" s="188">
        <f t="shared" si="87"/>
        <v>2033.3333333333333</v>
      </c>
      <c r="W86" s="188">
        <f t="shared" si="87"/>
        <v>2033.3333333333333</v>
      </c>
      <c r="X86" s="188">
        <f t="shared" si="87"/>
        <v>2033.3333333333333</v>
      </c>
      <c r="Y86" s="188">
        <f t="shared" si="87"/>
        <v>2033.3333333333333</v>
      </c>
      <c r="Z86" s="188">
        <f t="shared" si="87"/>
        <v>2033.3333333333333</v>
      </c>
      <c r="AA86" s="188">
        <f t="shared" si="87"/>
        <v>2033.3333333333333</v>
      </c>
      <c r="AB86" s="188">
        <f t="shared" si="87"/>
        <v>2033.3333333333333</v>
      </c>
      <c r="AC86" s="188">
        <f t="shared" si="87"/>
        <v>2033.3333333333333</v>
      </c>
      <c r="AD86" s="188">
        <f t="shared" si="87"/>
        <v>2033.3333333333333</v>
      </c>
      <c r="AE86" s="188">
        <f t="shared" si="87"/>
        <v>2033.3333333333333</v>
      </c>
      <c r="AF86" s="188">
        <f t="shared" si="87"/>
        <v>2033.3333333333333</v>
      </c>
      <c r="AG86" s="188">
        <f t="shared" si="87"/>
        <v>2033.3333333333333</v>
      </c>
      <c r="AH86" s="188">
        <f t="shared" si="87"/>
        <v>2033.3333333333333</v>
      </c>
      <c r="AI86" s="188">
        <f t="shared" si="87"/>
        <v>2033.3333333333333</v>
      </c>
      <c r="AJ86" s="188">
        <f t="shared" si="87"/>
        <v>2033.3333333333333</v>
      </c>
      <c r="AK86" s="188">
        <f t="shared" si="87"/>
        <v>2033.3333333333333</v>
      </c>
      <c r="AL86" s="188">
        <f t="shared" si="87"/>
        <v>2033.3333333333333</v>
      </c>
      <c r="AM86" s="188">
        <f t="shared" si="87"/>
        <v>2033.3333333333333</v>
      </c>
      <c r="AN86" s="188">
        <f t="shared" si="87"/>
        <v>2033.3333333333333</v>
      </c>
      <c r="AO86" s="188">
        <f t="shared" si="87"/>
        <v>2033.3333333333333</v>
      </c>
      <c r="AP86" s="188">
        <f t="shared" si="87"/>
        <v>2033.3333333333333</v>
      </c>
      <c r="AQ86" s="188">
        <f t="shared" si="87"/>
        <v>2033.3333333333333</v>
      </c>
      <c r="AR86" s="188">
        <f t="shared" si="87"/>
        <v>2033.3333333333333</v>
      </c>
      <c r="AS86" s="188">
        <f t="shared" si="87"/>
        <v>2033.3333333333333</v>
      </c>
      <c r="AT86" s="188">
        <f t="shared" si="87"/>
        <v>2033.3333333333333</v>
      </c>
      <c r="AU86" s="188">
        <f t="shared" si="87"/>
        <v>2033.3333333333333</v>
      </c>
      <c r="AV86" s="188">
        <f t="shared" si="87"/>
        <v>2033.3333333333333</v>
      </c>
      <c r="AW86" s="188">
        <f t="shared" si="87"/>
        <v>2033.3333333333333</v>
      </c>
      <c r="AX86" s="188">
        <f t="shared" si="87"/>
        <v>2033.3333333333333</v>
      </c>
      <c r="AY86" s="188">
        <f t="shared" si="87"/>
        <v>2033.3333333333333</v>
      </c>
      <c r="AZ86" s="188">
        <f t="shared" si="87"/>
        <v>2033.3333333333333</v>
      </c>
      <c r="BA86" s="188">
        <f t="shared" si="87"/>
        <v>2033.3333333333333</v>
      </c>
      <c r="BB86" s="188">
        <f t="shared" si="87"/>
        <v>2033.3333333333333</v>
      </c>
      <c r="BC86" s="188">
        <f t="shared" si="87"/>
        <v>2033.3333333333333</v>
      </c>
      <c r="BD86" s="188">
        <f t="shared" si="87"/>
        <v>2033.3333333333333</v>
      </c>
      <c r="BE86" s="188">
        <f t="shared" si="87"/>
        <v>2033.3333333333333</v>
      </c>
      <c r="BF86" s="188">
        <f t="shared" si="87"/>
        <v>2033.3333333333333</v>
      </c>
      <c r="BG86" s="188">
        <f t="shared" si="87"/>
        <v>2033.3333333333333</v>
      </c>
      <c r="BH86" s="188">
        <f t="shared" si="87"/>
        <v>2033.3333333333333</v>
      </c>
      <c r="BI86" s="188">
        <f t="shared" si="87"/>
        <v>2033.3333333333333</v>
      </c>
    </row>
    <row r="87" spans="1:61" ht="12.75" x14ac:dyDescent="0.2">
      <c r="B87" s="215" t="str">
        <f t="shared" si="84"/>
        <v>Sales</v>
      </c>
      <c r="D87" s="214"/>
      <c r="E87" s="214"/>
      <c r="F87" s="214"/>
      <c r="G87" s="214"/>
      <c r="H87" s="214"/>
      <c r="I87" s="214"/>
      <c r="J87" s="214"/>
      <c r="K87" s="214"/>
      <c r="N87" s="188">
        <f t="shared" ref="N87:BI87" si="88">SUMIFS($K$4:$K$64,N$4:N$64,"&gt;"&amp;0,$D$4:$D$64,$B87)</f>
        <v>1891.6666666666667</v>
      </c>
      <c r="O87" s="188">
        <f t="shared" si="88"/>
        <v>1891.6666666666667</v>
      </c>
      <c r="P87" s="188">
        <f t="shared" si="88"/>
        <v>1891.6666666666667</v>
      </c>
      <c r="Q87" s="188">
        <f t="shared" si="88"/>
        <v>1891.6666666666667</v>
      </c>
      <c r="R87" s="188">
        <f t="shared" si="88"/>
        <v>1891.6666666666667</v>
      </c>
      <c r="S87" s="188">
        <f t="shared" si="88"/>
        <v>1891.6666666666667</v>
      </c>
      <c r="T87" s="188">
        <f t="shared" si="88"/>
        <v>1891.6666666666667</v>
      </c>
      <c r="U87" s="188">
        <f t="shared" si="88"/>
        <v>1891.6666666666667</v>
      </c>
      <c r="V87" s="188">
        <f t="shared" si="88"/>
        <v>1891.6666666666667</v>
      </c>
      <c r="W87" s="188">
        <f t="shared" si="88"/>
        <v>1891.6666666666667</v>
      </c>
      <c r="X87" s="188">
        <f t="shared" si="88"/>
        <v>1891.6666666666667</v>
      </c>
      <c r="Y87" s="188">
        <f t="shared" si="88"/>
        <v>1891.6666666666667</v>
      </c>
      <c r="Z87" s="188">
        <f t="shared" si="88"/>
        <v>1891.6666666666667</v>
      </c>
      <c r="AA87" s="188">
        <f t="shared" si="88"/>
        <v>1891.6666666666667</v>
      </c>
      <c r="AB87" s="188">
        <f t="shared" si="88"/>
        <v>1891.6666666666667</v>
      </c>
      <c r="AC87" s="188">
        <f t="shared" si="88"/>
        <v>1891.6666666666667</v>
      </c>
      <c r="AD87" s="188">
        <f t="shared" si="88"/>
        <v>1891.6666666666667</v>
      </c>
      <c r="AE87" s="188">
        <f t="shared" si="88"/>
        <v>1891.6666666666667</v>
      </c>
      <c r="AF87" s="188">
        <f t="shared" si="88"/>
        <v>1891.6666666666667</v>
      </c>
      <c r="AG87" s="188">
        <f t="shared" si="88"/>
        <v>1891.6666666666667</v>
      </c>
      <c r="AH87" s="188">
        <f t="shared" si="88"/>
        <v>1891.6666666666667</v>
      </c>
      <c r="AI87" s="188">
        <f t="shared" si="88"/>
        <v>1891.6666666666667</v>
      </c>
      <c r="AJ87" s="188">
        <f t="shared" si="88"/>
        <v>1891.6666666666667</v>
      </c>
      <c r="AK87" s="188">
        <f t="shared" si="88"/>
        <v>1891.6666666666667</v>
      </c>
      <c r="AL87" s="188">
        <f t="shared" si="88"/>
        <v>1891.6666666666667</v>
      </c>
      <c r="AM87" s="188">
        <f t="shared" si="88"/>
        <v>1891.6666666666667</v>
      </c>
      <c r="AN87" s="188">
        <f t="shared" si="88"/>
        <v>1891.6666666666667</v>
      </c>
      <c r="AO87" s="188">
        <f t="shared" si="88"/>
        <v>1891.6666666666667</v>
      </c>
      <c r="AP87" s="188">
        <f t="shared" si="88"/>
        <v>1891.6666666666667</v>
      </c>
      <c r="AQ87" s="188">
        <f t="shared" si="88"/>
        <v>1891.6666666666667</v>
      </c>
      <c r="AR87" s="188">
        <f t="shared" si="88"/>
        <v>1891.6666666666667</v>
      </c>
      <c r="AS87" s="188">
        <f t="shared" si="88"/>
        <v>1891.6666666666667</v>
      </c>
      <c r="AT87" s="188">
        <f t="shared" si="88"/>
        <v>1891.6666666666667</v>
      </c>
      <c r="AU87" s="188">
        <f t="shared" si="88"/>
        <v>1891.6666666666667</v>
      </c>
      <c r="AV87" s="188">
        <f t="shared" si="88"/>
        <v>1891.6666666666667</v>
      </c>
      <c r="AW87" s="188">
        <f t="shared" si="88"/>
        <v>1891.6666666666667</v>
      </c>
      <c r="AX87" s="188">
        <f t="shared" si="88"/>
        <v>1891.6666666666667</v>
      </c>
      <c r="AY87" s="188">
        <f t="shared" si="88"/>
        <v>1891.6666666666667</v>
      </c>
      <c r="AZ87" s="188">
        <f t="shared" si="88"/>
        <v>1891.6666666666667</v>
      </c>
      <c r="BA87" s="188">
        <f t="shared" si="88"/>
        <v>1891.6666666666667</v>
      </c>
      <c r="BB87" s="188">
        <f t="shared" si="88"/>
        <v>1891.6666666666667</v>
      </c>
      <c r="BC87" s="188">
        <f t="shared" si="88"/>
        <v>1891.6666666666667</v>
      </c>
      <c r="BD87" s="188">
        <f t="shared" si="88"/>
        <v>1891.6666666666667</v>
      </c>
      <c r="BE87" s="188">
        <f t="shared" si="88"/>
        <v>1891.6666666666667</v>
      </c>
      <c r="BF87" s="188">
        <f t="shared" si="88"/>
        <v>1891.6666666666667</v>
      </c>
      <c r="BG87" s="188">
        <f t="shared" si="88"/>
        <v>1891.6666666666667</v>
      </c>
      <c r="BH87" s="188">
        <f t="shared" si="88"/>
        <v>1891.6666666666667</v>
      </c>
      <c r="BI87" s="188">
        <f t="shared" si="88"/>
        <v>1891.6666666666667</v>
      </c>
    </row>
    <row r="88" spans="1:61" ht="12.75" x14ac:dyDescent="0.2">
      <c r="B88" s="215" t="str">
        <f t="shared" si="84"/>
        <v>Support</v>
      </c>
      <c r="D88" s="214"/>
      <c r="E88" s="214"/>
      <c r="F88" s="214"/>
      <c r="G88" s="214"/>
      <c r="H88" s="214"/>
      <c r="I88" s="214"/>
      <c r="J88" s="214"/>
      <c r="K88" s="214"/>
      <c r="N88" s="188">
        <f t="shared" ref="N88:BI88" si="89">SUMIFS($K$4:$K$64,N$4:N$64,"&gt;"&amp;0,$D$4:$D$64,$B88)</f>
        <v>5315</v>
      </c>
      <c r="O88" s="188">
        <f t="shared" si="89"/>
        <v>5315</v>
      </c>
      <c r="P88" s="188">
        <f t="shared" si="89"/>
        <v>5315</v>
      </c>
      <c r="Q88" s="188">
        <f t="shared" si="89"/>
        <v>5315</v>
      </c>
      <c r="R88" s="188">
        <f t="shared" si="89"/>
        <v>5315</v>
      </c>
      <c r="S88" s="188">
        <f t="shared" si="89"/>
        <v>5315</v>
      </c>
      <c r="T88" s="188">
        <f t="shared" si="89"/>
        <v>5315</v>
      </c>
      <c r="U88" s="188">
        <f t="shared" si="89"/>
        <v>5315</v>
      </c>
      <c r="V88" s="188">
        <f t="shared" si="89"/>
        <v>5315</v>
      </c>
      <c r="W88" s="188">
        <f t="shared" si="89"/>
        <v>5315</v>
      </c>
      <c r="X88" s="188">
        <f t="shared" si="89"/>
        <v>5315</v>
      </c>
      <c r="Y88" s="188">
        <f t="shared" si="89"/>
        <v>5315</v>
      </c>
      <c r="Z88" s="188">
        <f t="shared" si="89"/>
        <v>5315</v>
      </c>
      <c r="AA88" s="188">
        <f t="shared" si="89"/>
        <v>5315</v>
      </c>
      <c r="AB88" s="188">
        <f t="shared" si="89"/>
        <v>5315</v>
      </c>
      <c r="AC88" s="188">
        <f t="shared" si="89"/>
        <v>5315</v>
      </c>
      <c r="AD88" s="188">
        <f t="shared" si="89"/>
        <v>5315</v>
      </c>
      <c r="AE88" s="188">
        <f t="shared" si="89"/>
        <v>5315</v>
      </c>
      <c r="AF88" s="188">
        <f t="shared" si="89"/>
        <v>5315</v>
      </c>
      <c r="AG88" s="188">
        <f t="shared" si="89"/>
        <v>5315</v>
      </c>
      <c r="AH88" s="188">
        <f t="shared" si="89"/>
        <v>5315</v>
      </c>
      <c r="AI88" s="188">
        <f t="shared" si="89"/>
        <v>5315</v>
      </c>
      <c r="AJ88" s="188">
        <f t="shared" si="89"/>
        <v>5315</v>
      </c>
      <c r="AK88" s="188">
        <f t="shared" si="89"/>
        <v>5315</v>
      </c>
      <c r="AL88" s="188">
        <f t="shared" si="89"/>
        <v>5315</v>
      </c>
      <c r="AM88" s="188">
        <f t="shared" si="89"/>
        <v>5315</v>
      </c>
      <c r="AN88" s="188">
        <f t="shared" si="89"/>
        <v>5315</v>
      </c>
      <c r="AO88" s="188">
        <f t="shared" si="89"/>
        <v>5315</v>
      </c>
      <c r="AP88" s="188">
        <f t="shared" si="89"/>
        <v>5315</v>
      </c>
      <c r="AQ88" s="188">
        <f t="shared" si="89"/>
        <v>5315</v>
      </c>
      <c r="AR88" s="188">
        <f t="shared" si="89"/>
        <v>5315</v>
      </c>
      <c r="AS88" s="188">
        <f t="shared" si="89"/>
        <v>5315</v>
      </c>
      <c r="AT88" s="188">
        <f t="shared" si="89"/>
        <v>5315</v>
      </c>
      <c r="AU88" s="188">
        <f t="shared" si="89"/>
        <v>5315</v>
      </c>
      <c r="AV88" s="188">
        <f t="shared" si="89"/>
        <v>5315</v>
      </c>
      <c r="AW88" s="188">
        <f t="shared" si="89"/>
        <v>5315</v>
      </c>
      <c r="AX88" s="188">
        <f t="shared" si="89"/>
        <v>5315</v>
      </c>
      <c r="AY88" s="188">
        <f t="shared" si="89"/>
        <v>5315</v>
      </c>
      <c r="AZ88" s="188">
        <f t="shared" si="89"/>
        <v>5315</v>
      </c>
      <c r="BA88" s="188">
        <f t="shared" si="89"/>
        <v>5315</v>
      </c>
      <c r="BB88" s="188">
        <f t="shared" si="89"/>
        <v>5315</v>
      </c>
      <c r="BC88" s="188">
        <f t="shared" si="89"/>
        <v>5315</v>
      </c>
      <c r="BD88" s="188">
        <f t="shared" si="89"/>
        <v>5315</v>
      </c>
      <c r="BE88" s="188">
        <f t="shared" si="89"/>
        <v>5315</v>
      </c>
      <c r="BF88" s="188">
        <f t="shared" si="89"/>
        <v>5315</v>
      </c>
      <c r="BG88" s="188">
        <f t="shared" si="89"/>
        <v>5315</v>
      </c>
      <c r="BH88" s="188">
        <f t="shared" si="89"/>
        <v>5315</v>
      </c>
      <c r="BI88" s="188">
        <f t="shared" si="89"/>
        <v>5315</v>
      </c>
    </row>
    <row r="89" spans="1:61" ht="12.75" x14ac:dyDescent="0.2">
      <c r="A89" s="21" t="s">
        <v>139</v>
      </c>
      <c r="B89" s="51"/>
      <c r="C89" s="51"/>
      <c r="D89" s="216"/>
      <c r="E89" s="216"/>
      <c r="F89" s="216"/>
      <c r="G89" s="216"/>
      <c r="H89" s="216"/>
      <c r="I89" s="216"/>
      <c r="J89" s="216"/>
      <c r="K89" s="216"/>
      <c r="L89" s="51"/>
      <c r="M89" s="51"/>
      <c r="N89" s="213">
        <f t="shared" ref="N89:BI89" si="90">SUM(N84:N88)</f>
        <v>24180</v>
      </c>
      <c r="O89" s="213">
        <f t="shared" si="90"/>
        <v>24180</v>
      </c>
      <c r="P89" s="213">
        <f t="shared" si="90"/>
        <v>24180</v>
      </c>
      <c r="Q89" s="213">
        <f t="shared" si="90"/>
        <v>24180</v>
      </c>
      <c r="R89" s="213">
        <f t="shared" si="90"/>
        <v>24180</v>
      </c>
      <c r="S89" s="213">
        <f t="shared" si="90"/>
        <v>24180</v>
      </c>
      <c r="T89" s="213">
        <f t="shared" si="90"/>
        <v>24180</v>
      </c>
      <c r="U89" s="213">
        <f t="shared" si="90"/>
        <v>24180</v>
      </c>
      <c r="V89" s="213">
        <f t="shared" si="90"/>
        <v>24180</v>
      </c>
      <c r="W89" s="213">
        <f t="shared" si="90"/>
        <v>24180</v>
      </c>
      <c r="X89" s="213">
        <f t="shared" si="90"/>
        <v>24180</v>
      </c>
      <c r="Y89" s="213">
        <f t="shared" si="90"/>
        <v>24180</v>
      </c>
      <c r="Z89" s="213">
        <f t="shared" si="90"/>
        <v>24180</v>
      </c>
      <c r="AA89" s="213">
        <f t="shared" si="90"/>
        <v>24180</v>
      </c>
      <c r="AB89" s="213">
        <f t="shared" si="90"/>
        <v>24180</v>
      </c>
      <c r="AC89" s="213">
        <f t="shared" si="90"/>
        <v>24180</v>
      </c>
      <c r="AD89" s="213">
        <f t="shared" si="90"/>
        <v>24180</v>
      </c>
      <c r="AE89" s="213">
        <f t="shared" si="90"/>
        <v>24180</v>
      </c>
      <c r="AF89" s="213">
        <f t="shared" si="90"/>
        <v>24180</v>
      </c>
      <c r="AG89" s="213">
        <f t="shared" si="90"/>
        <v>24180</v>
      </c>
      <c r="AH89" s="213">
        <f t="shared" si="90"/>
        <v>24180</v>
      </c>
      <c r="AI89" s="213">
        <f t="shared" si="90"/>
        <v>24180</v>
      </c>
      <c r="AJ89" s="213">
        <f t="shared" si="90"/>
        <v>24180</v>
      </c>
      <c r="AK89" s="213">
        <f t="shared" si="90"/>
        <v>24180</v>
      </c>
      <c r="AL89" s="213">
        <f t="shared" si="90"/>
        <v>24180</v>
      </c>
      <c r="AM89" s="213">
        <f t="shared" si="90"/>
        <v>24180</v>
      </c>
      <c r="AN89" s="213">
        <f t="shared" si="90"/>
        <v>24180</v>
      </c>
      <c r="AO89" s="213">
        <f t="shared" si="90"/>
        <v>24180</v>
      </c>
      <c r="AP89" s="213">
        <f t="shared" si="90"/>
        <v>24180</v>
      </c>
      <c r="AQ89" s="213">
        <f t="shared" si="90"/>
        <v>24180</v>
      </c>
      <c r="AR89" s="213">
        <f t="shared" si="90"/>
        <v>24180</v>
      </c>
      <c r="AS89" s="213">
        <f t="shared" si="90"/>
        <v>24180</v>
      </c>
      <c r="AT89" s="213">
        <f t="shared" si="90"/>
        <v>24180</v>
      </c>
      <c r="AU89" s="213">
        <f t="shared" si="90"/>
        <v>24180</v>
      </c>
      <c r="AV89" s="213">
        <f t="shared" si="90"/>
        <v>24180</v>
      </c>
      <c r="AW89" s="213">
        <f t="shared" si="90"/>
        <v>24180</v>
      </c>
      <c r="AX89" s="213">
        <f t="shared" si="90"/>
        <v>24180</v>
      </c>
      <c r="AY89" s="213">
        <f t="shared" si="90"/>
        <v>24180</v>
      </c>
      <c r="AZ89" s="213">
        <f t="shared" si="90"/>
        <v>24180</v>
      </c>
      <c r="BA89" s="213">
        <f t="shared" si="90"/>
        <v>24180</v>
      </c>
      <c r="BB89" s="213">
        <f t="shared" si="90"/>
        <v>24180</v>
      </c>
      <c r="BC89" s="213">
        <f t="shared" si="90"/>
        <v>24180</v>
      </c>
      <c r="BD89" s="213">
        <f t="shared" si="90"/>
        <v>24180</v>
      </c>
      <c r="BE89" s="213">
        <f t="shared" si="90"/>
        <v>24180</v>
      </c>
      <c r="BF89" s="213">
        <f t="shared" si="90"/>
        <v>24180</v>
      </c>
      <c r="BG89" s="213">
        <f t="shared" si="90"/>
        <v>24180</v>
      </c>
      <c r="BH89" s="213">
        <f t="shared" si="90"/>
        <v>24180</v>
      </c>
      <c r="BI89" s="213">
        <f t="shared" si="90"/>
        <v>24180</v>
      </c>
    </row>
    <row r="90" spans="1:61" ht="12.75" x14ac:dyDescent="0.2">
      <c r="A90" s="69" t="s">
        <v>229</v>
      </c>
      <c r="B90" s="217"/>
      <c r="C90" s="217"/>
      <c r="D90" s="218"/>
      <c r="E90" s="218"/>
      <c r="F90" s="218"/>
      <c r="G90" s="218"/>
      <c r="H90" s="218"/>
      <c r="I90" s="218"/>
      <c r="J90" s="218"/>
      <c r="K90" s="218"/>
      <c r="L90" s="217"/>
      <c r="M90" s="217"/>
      <c r="N90" s="219">
        <f t="shared" ref="N90:BI90" si="91">ROUND(SUMIFS($K$4:$K$64,N$4:N$64,"&gt;"&amp;0)-N89,2)</f>
        <v>0</v>
      </c>
      <c r="O90" s="219">
        <f t="shared" si="91"/>
        <v>0</v>
      </c>
      <c r="P90" s="219">
        <f t="shared" si="91"/>
        <v>0</v>
      </c>
      <c r="Q90" s="219">
        <f t="shared" si="91"/>
        <v>0</v>
      </c>
      <c r="R90" s="219">
        <f t="shared" si="91"/>
        <v>0</v>
      </c>
      <c r="S90" s="219">
        <f t="shared" si="91"/>
        <v>0</v>
      </c>
      <c r="T90" s="219">
        <f t="shared" si="91"/>
        <v>0</v>
      </c>
      <c r="U90" s="219">
        <f t="shared" si="91"/>
        <v>0</v>
      </c>
      <c r="V90" s="219">
        <f t="shared" si="91"/>
        <v>0</v>
      </c>
      <c r="W90" s="219">
        <f t="shared" si="91"/>
        <v>0</v>
      </c>
      <c r="X90" s="219">
        <f t="shared" si="91"/>
        <v>0</v>
      </c>
      <c r="Y90" s="219">
        <f t="shared" si="91"/>
        <v>0</v>
      </c>
      <c r="Z90" s="219">
        <f t="shared" si="91"/>
        <v>0</v>
      </c>
      <c r="AA90" s="219">
        <f t="shared" si="91"/>
        <v>0</v>
      </c>
      <c r="AB90" s="219">
        <f t="shared" si="91"/>
        <v>0</v>
      </c>
      <c r="AC90" s="219">
        <f t="shared" si="91"/>
        <v>0</v>
      </c>
      <c r="AD90" s="219">
        <f t="shared" si="91"/>
        <v>0</v>
      </c>
      <c r="AE90" s="219">
        <f t="shared" si="91"/>
        <v>0</v>
      </c>
      <c r="AF90" s="219">
        <f t="shared" si="91"/>
        <v>0</v>
      </c>
      <c r="AG90" s="219">
        <f t="shared" si="91"/>
        <v>0</v>
      </c>
      <c r="AH90" s="219">
        <f t="shared" si="91"/>
        <v>0</v>
      </c>
      <c r="AI90" s="219">
        <f t="shared" si="91"/>
        <v>0</v>
      </c>
      <c r="AJ90" s="219">
        <f t="shared" si="91"/>
        <v>0</v>
      </c>
      <c r="AK90" s="219">
        <f t="shared" si="91"/>
        <v>0</v>
      </c>
      <c r="AL90" s="219">
        <f t="shared" si="91"/>
        <v>0</v>
      </c>
      <c r="AM90" s="219">
        <f t="shared" si="91"/>
        <v>0</v>
      </c>
      <c r="AN90" s="219">
        <f t="shared" si="91"/>
        <v>0</v>
      </c>
      <c r="AO90" s="219">
        <f t="shared" si="91"/>
        <v>0</v>
      </c>
      <c r="AP90" s="219">
        <f t="shared" si="91"/>
        <v>0</v>
      </c>
      <c r="AQ90" s="219">
        <f t="shared" si="91"/>
        <v>0</v>
      </c>
      <c r="AR90" s="219">
        <f t="shared" si="91"/>
        <v>0</v>
      </c>
      <c r="AS90" s="219">
        <f t="shared" si="91"/>
        <v>0</v>
      </c>
      <c r="AT90" s="219">
        <f t="shared" si="91"/>
        <v>0</v>
      </c>
      <c r="AU90" s="219">
        <f t="shared" si="91"/>
        <v>0</v>
      </c>
      <c r="AV90" s="219">
        <f t="shared" si="91"/>
        <v>0</v>
      </c>
      <c r="AW90" s="219">
        <f t="shared" si="91"/>
        <v>0</v>
      </c>
      <c r="AX90" s="219">
        <f t="shared" si="91"/>
        <v>0</v>
      </c>
      <c r="AY90" s="219">
        <f t="shared" si="91"/>
        <v>0</v>
      </c>
      <c r="AZ90" s="219">
        <f t="shared" si="91"/>
        <v>0</v>
      </c>
      <c r="BA90" s="219">
        <f t="shared" si="91"/>
        <v>0</v>
      </c>
      <c r="BB90" s="219">
        <f t="shared" si="91"/>
        <v>0</v>
      </c>
      <c r="BC90" s="219">
        <f t="shared" si="91"/>
        <v>0</v>
      </c>
      <c r="BD90" s="219">
        <f t="shared" si="91"/>
        <v>0</v>
      </c>
      <c r="BE90" s="219">
        <f t="shared" si="91"/>
        <v>0</v>
      </c>
      <c r="BF90" s="219">
        <f t="shared" si="91"/>
        <v>0</v>
      </c>
      <c r="BG90" s="219">
        <f t="shared" si="91"/>
        <v>0</v>
      </c>
      <c r="BH90" s="219">
        <f t="shared" si="91"/>
        <v>0</v>
      </c>
      <c r="BI90" s="219">
        <f t="shared" si="91"/>
        <v>0</v>
      </c>
    </row>
    <row r="91" spans="1:61" ht="12.75" x14ac:dyDescent="0.2">
      <c r="A91" s="21" t="s">
        <v>235</v>
      </c>
      <c r="D91" s="214"/>
      <c r="E91" s="214"/>
      <c r="F91" s="214"/>
      <c r="G91" s="214"/>
      <c r="H91" s="214"/>
      <c r="I91" s="214"/>
      <c r="J91" s="214"/>
      <c r="K91" s="214"/>
    </row>
    <row r="92" spans="1:61" ht="12.75" x14ac:dyDescent="0.2">
      <c r="B92" s="215" t="str">
        <f t="shared" ref="B92:B96" si="92">B76</f>
        <v>General &amp; Admin</v>
      </c>
      <c r="D92" s="214"/>
      <c r="E92" s="214"/>
      <c r="F92" s="214"/>
      <c r="G92" s="214"/>
      <c r="H92" s="214"/>
      <c r="I92" s="214"/>
      <c r="J92" s="214"/>
      <c r="K92" s="214"/>
      <c r="N92" s="188">
        <f t="shared" ref="N92:BI92" si="93">SUMIFS(N$4:N$64,$D$4:$D$64,$B92,$H$4:$H$64,"")</f>
        <v>0</v>
      </c>
      <c r="O92" s="188">
        <f t="shared" si="93"/>
        <v>0</v>
      </c>
      <c r="P92" s="188">
        <f t="shared" si="93"/>
        <v>0</v>
      </c>
      <c r="Q92" s="188">
        <f t="shared" si="93"/>
        <v>0</v>
      </c>
      <c r="R92" s="188">
        <f t="shared" si="93"/>
        <v>0</v>
      </c>
      <c r="S92" s="188">
        <f t="shared" si="93"/>
        <v>0</v>
      </c>
      <c r="T92" s="188">
        <f t="shared" si="93"/>
        <v>0</v>
      </c>
      <c r="U92" s="188">
        <f t="shared" si="93"/>
        <v>0</v>
      </c>
      <c r="V92" s="188">
        <f t="shared" si="93"/>
        <v>0</v>
      </c>
      <c r="W92" s="188">
        <f t="shared" si="93"/>
        <v>0</v>
      </c>
      <c r="X92" s="188">
        <f t="shared" si="93"/>
        <v>0</v>
      </c>
      <c r="Y92" s="188">
        <f t="shared" si="93"/>
        <v>0</v>
      </c>
      <c r="Z92" s="188">
        <f t="shared" si="93"/>
        <v>0</v>
      </c>
      <c r="AA92" s="188">
        <f t="shared" si="93"/>
        <v>0</v>
      </c>
      <c r="AB92" s="188">
        <f t="shared" si="93"/>
        <v>0</v>
      </c>
      <c r="AC92" s="188">
        <f t="shared" si="93"/>
        <v>0</v>
      </c>
      <c r="AD92" s="188">
        <f t="shared" si="93"/>
        <v>0</v>
      </c>
      <c r="AE92" s="188">
        <f t="shared" si="93"/>
        <v>0</v>
      </c>
      <c r="AF92" s="188">
        <f t="shared" si="93"/>
        <v>0</v>
      </c>
      <c r="AG92" s="188">
        <f t="shared" si="93"/>
        <v>0</v>
      </c>
      <c r="AH92" s="188">
        <f t="shared" si="93"/>
        <v>0</v>
      </c>
      <c r="AI92" s="188">
        <f t="shared" si="93"/>
        <v>0</v>
      </c>
      <c r="AJ92" s="188">
        <f t="shared" si="93"/>
        <v>0</v>
      </c>
      <c r="AK92" s="188">
        <f t="shared" si="93"/>
        <v>0</v>
      </c>
      <c r="AL92" s="188">
        <f t="shared" si="93"/>
        <v>0</v>
      </c>
      <c r="AM92" s="188">
        <f t="shared" si="93"/>
        <v>0</v>
      </c>
      <c r="AN92" s="188">
        <f t="shared" si="93"/>
        <v>0</v>
      </c>
      <c r="AO92" s="188">
        <f t="shared" si="93"/>
        <v>0</v>
      </c>
      <c r="AP92" s="188">
        <f t="shared" si="93"/>
        <v>0</v>
      </c>
      <c r="AQ92" s="188">
        <f t="shared" si="93"/>
        <v>0</v>
      </c>
      <c r="AR92" s="188">
        <f t="shared" si="93"/>
        <v>0</v>
      </c>
      <c r="AS92" s="188">
        <f t="shared" si="93"/>
        <v>0</v>
      </c>
      <c r="AT92" s="188">
        <f t="shared" si="93"/>
        <v>0</v>
      </c>
      <c r="AU92" s="188">
        <f t="shared" si="93"/>
        <v>0</v>
      </c>
      <c r="AV92" s="188">
        <f t="shared" si="93"/>
        <v>0</v>
      </c>
      <c r="AW92" s="188">
        <f t="shared" si="93"/>
        <v>0</v>
      </c>
      <c r="AX92" s="188">
        <f t="shared" si="93"/>
        <v>0</v>
      </c>
      <c r="AY92" s="188">
        <f t="shared" si="93"/>
        <v>0</v>
      </c>
      <c r="AZ92" s="188">
        <f t="shared" si="93"/>
        <v>0</v>
      </c>
      <c r="BA92" s="188">
        <f t="shared" si="93"/>
        <v>0</v>
      </c>
      <c r="BB92" s="188">
        <f t="shared" si="93"/>
        <v>0</v>
      </c>
      <c r="BC92" s="188">
        <f t="shared" si="93"/>
        <v>0</v>
      </c>
      <c r="BD92" s="188">
        <f t="shared" si="93"/>
        <v>0</v>
      </c>
      <c r="BE92" s="188">
        <f t="shared" si="93"/>
        <v>0</v>
      </c>
      <c r="BF92" s="188">
        <f t="shared" si="93"/>
        <v>0</v>
      </c>
      <c r="BG92" s="188">
        <f t="shared" si="93"/>
        <v>0</v>
      </c>
      <c r="BH92" s="188">
        <f t="shared" si="93"/>
        <v>0</v>
      </c>
      <c r="BI92" s="188">
        <f t="shared" si="93"/>
        <v>0</v>
      </c>
    </row>
    <row r="93" spans="1:61" ht="12.75" x14ac:dyDescent="0.2">
      <c r="B93" s="215" t="str">
        <f t="shared" si="92"/>
        <v>Engineering</v>
      </c>
      <c r="D93" s="214"/>
      <c r="E93" s="214"/>
      <c r="F93" s="214"/>
      <c r="G93" s="214"/>
      <c r="H93" s="214"/>
      <c r="I93" s="214"/>
      <c r="J93" s="214"/>
      <c r="K93" s="214"/>
      <c r="N93" s="188">
        <f t="shared" ref="N93:BI93" si="94">SUMIFS(N$4:N$64,$D$4:$D$64,$B93,$H$4:$H$64,"")</f>
        <v>0</v>
      </c>
      <c r="O93" s="188">
        <f t="shared" si="94"/>
        <v>0</v>
      </c>
      <c r="P93" s="188">
        <f t="shared" si="94"/>
        <v>0</v>
      </c>
      <c r="Q93" s="188">
        <f t="shared" si="94"/>
        <v>0</v>
      </c>
      <c r="R93" s="188">
        <f t="shared" si="94"/>
        <v>0</v>
      </c>
      <c r="S93" s="188">
        <f t="shared" si="94"/>
        <v>0</v>
      </c>
      <c r="T93" s="188">
        <f t="shared" si="94"/>
        <v>0</v>
      </c>
      <c r="U93" s="188">
        <f t="shared" si="94"/>
        <v>0</v>
      </c>
      <c r="V93" s="188">
        <f t="shared" si="94"/>
        <v>0</v>
      </c>
      <c r="W93" s="188">
        <f t="shared" si="94"/>
        <v>0</v>
      </c>
      <c r="X93" s="188">
        <f t="shared" si="94"/>
        <v>0</v>
      </c>
      <c r="Y93" s="188">
        <f t="shared" si="94"/>
        <v>0</v>
      </c>
      <c r="Z93" s="188">
        <f t="shared" si="94"/>
        <v>0</v>
      </c>
      <c r="AA93" s="188">
        <f t="shared" si="94"/>
        <v>0</v>
      </c>
      <c r="AB93" s="188">
        <f t="shared" si="94"/>
        <v>0</v>
      </c>
      <c r="AC93" s="188">
        <f t="shared" si="94"/>
        <v>0</v>
      </c>
      <c r="AD93" s="188">
        <f t="shared" si="94"/>
        <v>0</v>
      </c>
      <c r="AE93" s="188">
        <f t="shared" si="94"/>
        <v>0</v>
      </c>
      <c r="AF93" s="188">
        <f t="shared" si="94"/>
        <v>0</v>
      </c>
      <c r="AG93" s="188">
        <f t="shared" si="94"/>
        <v>0</v>
      </c>
      <c r="AH93" s="188">
        <f t="shared" si="94"/>
        <v>0</v>
      </c>
      <c r="AI93" s="188">
        <f t="shared" si="94"/>
        <v>0</v>
      </c>
      <c r="AJ93" s="188">
        <f t="shared" si="94"/>
        <v>0</v>
      </c>
      <c r="AK93" s="188">
        <f t="shared" si="94"/>
        <v>0</v>
      </c>
      <c r="AL93" s="188">
        <f t="shared" si="94"/>
        <v>0</v>
      </c>
      <c r="AM93" s="188">
        <f t="shared" si="94"/>
        <v>0</v>
      </c>
      <c r="AN93" s="188">
        <f t="shared" si="94"/>
        <v>0</v>
      </c>
      <c r="AO93" s="188">
        <f t="shared" si="94"/>
        <v>0</v>
      </c>
      <c r="AP93" s="188">
        <f t="shared" si="94"/>
        <v>0</v>
      </c>
      <c r="AQ93" s="188">
        <f t="shared" si="94"/>
        <v>0</v>
      </c>
      <c r="AR93" s="188">
        <f t="shared" si="94"/>
        <v>0</v>
      </c>
      <c r="AS93" s="188">
        <f t="shared" si="94"/>
        <v>0</v>
      </c>
      <c r="AT93" s="188">
        <f t="shared" si="94"/>
        <v>0</v>
      </c>
      <c r="AU93" s="188">
        <f t="shared" si="94"/>
        <v>0</v>
      </c>
      <c r="AV93" s="188">
        <f t="shared" si="94"/>
        <v>0</v>
      </c>
      <c r="AW93" s="188">
        <f t="shared" si="94"/>
        <v>0</v>
      </c>
      <c r="AX93" s="188">
        <f t="shared" si="94"/>
        <v>0</v>
      </c>
      <c r="AY93" s="188">
        <f t="shared" si="94"/>
        <v>0</v>
      </c>
      <c r="AZ93" s="188">
        <f t="shared" si="94"/>
        <v>0</v>
      </c>
      <c r="BA93" s="188">
        <f t="shared" si="94"/>
        <v>0</v>
      </c>
      <c r="BB93" s="188">
        <f t="shared" si="94"/>
        <v>0</v>
      </c>
      <c r="BC93" s="188">
        <f t="shared" si="94"/>
        <v>0</v>
      </c>
      <c r="BD93" s="188">
        <f t="shared" si="94"/>
        <v>0</v>
      </c>
      <c r="BE93" s="188">
        <f t="shared" si="94"/>
        <v>0</v>
      </c>
      <c r="BF93" s="188">
        <f t="shared" si="94"/>
        <v>0</v>
      </c>
      <c r="BG93" s="188">
        <f t="shared" si="94"/>
        <v>0</v>
      </c>
      <c r="BH93" s="188">
        <f t="shared" si="94"/>
        <v>0</v>
      </c>
      <c r="BI93" s="188">
        <f t="shared" si="94"/>
        <v>0</v>
      </c>
    </row>
    <row r="94" spans="1:61" ht="12.75" x14ac:dyDescent="0.2">
      <c r="B94" s="215" t="str">
        <f t="shared" si="92"/>
        <v>Marketing</v>
      </c>
      <c r="D94" s="214"/>
      <c r="E94" s="214"/>
      <c r="F94" s="214"/>
      <c r="G94" s="214"/>
      <c r="H94" s="214"/>
      <c r="I94" s="214"/>
      <c r="J94" s="214"/>
      <c r="K94" s="214"/>
      <c r="N94" s="188">
        <f t="shared" ref="N94:BI94" si="95">SUMIFS(N$4:N$64,$D$4:$D$64,$B94,$H$4:$H$64,"")</f>
        <v>0</v>
      </c>
      <c r="O94" s="188">
        <f t="shared" si="95"/>
        <v>0</v>
      </c>
      <c r="P94" s="188">
        <f t="shared" si="95"/>
        <v>0</v>
      </c>
      <c r="Q94" s="188">
        <f t="shared" si="95"/>
        <v>0</v>
      </c>
      <c r="R94" s="188">
        <f t="shared" si="95"/>
        <v>0</v>
      </c>
      <c r="S94" s="188">
        <f t="shared" si="95"/>
        <v>0</v>
      </c>
      <c r="T94" s="188">
        <f t="shared" si="95"/>
        <v>0</v>
      </c>
      <c r="U94" s="188">
        <f t="shared" si="95"/>
        <v>0</v>
      </c>
      <c r="V94" s="188">
        <f t="shared" si="95"/>
        <v>0</v>
      </c>
      <c r="W94" s="188">
        <f t="shared" si="95"/>
        <v>0</v>
      </c>
      <c r="X94" s="188">
        <f t="shared" si="95"/>
        <v>0</v>
      </c>
      <c r="Y94" s="188">
        <f t="shared" si="95"/>
        <v>0</v>
      </c>
      <c r="Z94" s="188">
        <f t="shared" si="95"/>
        <v>0</v>
      </c>
      <c r="AA94" s="188">
        <f t="shared" si="95"/>
        <v>0</v>
      </c>
      <c r="AB94" s="188">
        <f t="shared" si="95"/>
        <v>0</v>
      </c>
      <c r="AC94" s="188">
        <f t="shared" si="95"/>
        <v>0</v>
      </c>
      <c r="AD94" s="188">
        <f t="shared" si="95"/>
        <v>0</v>
      </c>
      <c r="AE94" s="188">
        <f t="shared" si="95"/>
        <v>0</v>
      </c>
      <c r="AF94" s="188">
        <f t="shared" si="95"/>
        <v>0</v>
      </c>
      <c r="AG94" s="188">
        <f t="shared" si="95"/>
        <v>0</v>
      </c>
      <c r="AH94" s="188">
        <f t="shared" si="95"/>
        <v>0</v>
      </c>
      <c r="AI94" s="188">
        <f t="shared" si="95"/>
        <v>0</v>
      </c>
      <c r="AJ94" s="188">
        <f t="shared" si="95"/>
        <v>0</v>
      </c>
      <c r="AK94" s="188">
        <f t="shared" si="95"/>
        <v>0</v>
      </c>
      <c r="AL94" s="188">
        <f t="shared" si="95"/>
        <v>0</v>
      </c>
      <c r="AM94" s="188">
        <f t="shared" si="95"/>
        <v>0</v>
      </c>
      <c r="AN94" s="188">
        <f t="shared" si="95"/>
        <v>0</v>
      </c>
      <c r="AO94" s="188">
        <f t="shared" si="95"/>
        <v>0</v>
      </c>
      <c r="AP94" s="188">
        <f t="shared" si="95"/>
        <v>0</v>
      </c>
      <c r="AQ94" s="188">
        <f t="shared" si="95"/>
        <v>0</v>
      </c>
      <c r="AR94" s="188">
        <f t="shared" si="95"/>
        <v>0</v>
      </c>
      <c r="AS94" s="188">
        <f t="shared" si="95"/>
        <v>0</v>
      </c>
      <c r="AT94" s="188">
        <f t="shared" si="95"/>
        <v>0</v>
      </c>
      <c r="AU94" s="188">
        <f t="shared" si="95"/>
        <v>0</v>
      </c>
      <c r="AV94" s="188">
        <f t="shared" si="95"/>
        <v>0</v>
      </c>
      <c r="AW94" s="188">
        <f t="shared" si="95"/>
        <v>0</v>
      </c>
      <c r="AX94" s="188">
        <f t="shared" si="95"/>
        <v>0</v>
      </c>
      <c r="AY94" s="188">
        <f t="shared" si="95"/>
        <v>0</v>
      </c>
      <c r="AZ94" s="188">
        <f t="shared" si="95"/>
        <v>0</v>
      </c>
      <c r="BA94" s="188">
        <f t="shared" si="95"/>
        <v>0</v>
      </c>
      <c r="BB94" s="188">
        <f t="shared" si="95"/>
        <v>0</v>
      </c>
      <c r="BC94" s="188">
        <f t="shared" si="95"/>
        <v>0</v>
      </c>
      <c r="BD94" s="188">
        <f t="shared" si="95"/>
        <v>0</v>
      </c>
      <c r="BE94" s="188">
        <f t="shared" si="95"/>
        <v>0</v>
      </c>
      <c r="BF94" s="188">
        <f t="shared" si="95"/>
        <v>0</v>
      </c>
      <c r="BG94" s="188">
        <f t="shared" si="95"/>
        <v>0</v>
      </c>
      <c r="BH94" s="188">
        <f t="shared" si="95"/>
        <v>0</v>
      </c>
      <c r="BI94" s="188">
        <f t="shared" si="95"/>
        <v>0</v>
      </c>
    </row>
    <row r="95" spans="1:61" ht="12.75" x14ac:dyDescent="0.2">
      <c r="B95" s="215" t="str">
        <f t="shared" si="92"/>
        <v>Sales</v>
      </c>
      <c r="D95" s="214"/>
      <c r="E95" s="214"/>
      <c r="F95" s="214"/>
      <c r="G95" s="214"/>
      <c r="H95" s="214"/>
      <c r="I95" s="214"/>
      <c r="J95" s="214"/>
      <c r="K95" s="214"/>
      <c r="N95" s="188">
        <f t="shared" ref="N95:BI95" si="96">SUMIFS(N$4:N$64,$D$4:$D$64,$B95,$H$4:$H$64,"")</f>
        <v>0</v>
      </c>
      <c r="O95" s="188">
        <f t="shared" si="96"/>
        <v>0</v>
      </c>
      <c r="P95" s="188">
        <f t="shared" si="96"/>
        <v>0</v>
      </c>
      <c r="Q95" s="188">
        <f t="shared" si="96"/>
        <v>0</v>
      </c>
      <c r="R95" s="188">
        <f t="shared" si="96"/>
        <v>0</v>
      </c>
      <c r="S95" s="188">
        <f t="shared" si="96"/>
        <v>0</v>
      </c>
      <c r="T95" s="188">
        <f t="shared" si="96"/>
        <v>0</v>
      </c>
      <c r="U95" s="188">
        <f t="shared" si="96"/>
        <v>0</v>
      </c>
      <c r="V95" s="188">
        <f t="shared" si="96"/>
        <v>0</v>
      </c>
      <c r="W95" s="188">
        <f t="shared" si="96"/>
        <v>0</v>
      </c>
      <c r="X95" s="188">
        <f t="shared" si="96"/>
        <v>0</v>
      </c>
      <c r="Y95" s="188">
        <f t="shared" si="96"/>
        <v>0</v>
      </c>
      <c r="Z95" s="188">
        <f t="shared" si="96"/>
        <v>0</v>
      </c>
      <c r="AA95" s="188">
        <f t="shared" si="96"/>
        <v>0</v>
      </c>
      <c r="AB95" s="188">
        <f t="shared" si="96"/>
        <v>0</v>
      </c>
      <c r="AC95" s="188">
        <f t="shared" si="96"/>
        <v>0</v>
      </c>
      <c r="AD95" s="188">
        <f t="shared" si="96"/>
        <v>0</v>
      </c>
      <c r="AE95" s="188">
        <f t="shared" si="96"/>
        <v>0</v>
      </c>
      <c r="AF95" s="188">
        <f t="shared" si="96"/>
        <v>0</v>
      </c>
      <c r="AG95" s="188">
        <f t="shared" si="96"/>
        <v>0</v>
      </c>
      <c r="AH95" s="188">
        <f t="shared" si="96"/>
        <v>0</v>
      </c>
      <c r="AI95" s="188">
        <f t="shared" si="96"/>
        <v>0</v>
      </c>
      <c r="AJ95" s="188">
        <f t="shared" si="96"/>
        <v>0</v>
      </c>
      <c r="AK95" s="188">
        <f t="shared" si="96"/>
        <v>0</v>
      </c>
      <c r="AL95" s="188">
        <f t="shared" si="96"/>
        <v>0</v>
      </c>
      <c r="AM95" s="188">
        <f t="shared" si="96"/>
        <v>0</v>
      </c>
      <c r="AN95" s="188">
        <f t="shared" si="96"/>
        <v>0</v>
      </c>
      <c r="AO95" s="188">
        <f t="shared" si="96"/>
        <v>0</v>
      </c>
      <c r="AP95" s="188">
        <f t="shared" si="96"/>
        <v>0</v>
      </c>
      <c r="AQ95" s="188">
        <f t="shared" si="96"/>
        <v>0</v>
      </c>
      <c r="AR95" s="188">
        <f t="shared" si="96"/>
        <v>0</v>
      </c>
      <c r="AS95" s="188">
        <f t="shared" si="96"/>
        <v>0</v>
      </c>
      <c r="AT95" s="188">
        <f t="shared" si="96"/>
        <v>0</v>
      </c>
      <c r="AU95" s="188">
        <f t="shared" si="96"/>
        <v>0</v>
      </c>
      <c r="AV95" s="188">
        <f t="shared" si="96"/>
        <v>0</v>
      </c>
      <c r="AW95" s="188">
        <f t="shared" si="96"/>
        <v>0</v>
      </c>
      <c r="AX95" s="188">
        <f t="shared" si="96"/>
        <v>0</v>
      </c>
      <c r="AY95" s="188">
        <f t="shared" si="96"/>
        <v>0</v>
      </c>
      <c r="AZ95" s="188">
        <f t="shared" si="96"/>
        <v>0</v>
      </c>
      <c r="BA95" s="188">
        <f t="shared" si="96"/>
        <v>0</v>
      </c>
      <c r="BB95" s="188">
        <f t="shared" si="96"/>
        <v>0</v>
      </c>
      <c r="BC95" s="188">
        <f t="shared" si="96"/>
        <v>0</v>
      </c>
      <c r="BD95" s="188">
        <f t="shared" si="96"/>
        <v>0</v>
      </c>
      <c r="BE95" s="188">
        <f t="shared" si="96"/>
        <v>0</v>
      </c>
      <c r="BF95" s="188">
        <f t="shared" si="96"/>
        <v>0</v>
      </c>
      <c r="BG95" s="188">
        <f t="shared" si="96"/>
        <v>0</v>
      </c>
      <c r="BH95" s="188">
        <f t="shared" si="96"/>
        <v>0</v>
      </c>
      <c r="BI95" s="188">
        <f t="shared" si="96"/>
        <v>0</v>
      </c>
    </row>
    <row r="96" spans="1:61" ht="12.75" x14ac:dyDescent="0.2">
      <c r="B96" s="215" t="str">
        <f t="shared" si="92"/>
        <v>Support</v>
      </c>
      <c r="D96" s="214"/>
      <c r="E96" s="214"/>
      <c r="F96" s="214"/>
      <c r="G96" s="214"/>
      <c r="H96" s="214"/>
      <c r="I96" s="214"/>
      <c r="J96" s="214"/>
      <c r="K96" s="214"/>
      <c r="N96" s="188">
        <f t="shared" ref="N96:BI96" si="97">SUMIFS(N$4:N$64,$D$4:$D$64,$B96,$H$4:$H$64,"")</f>
        <v>0</v>
      </c>
      <c r="O96" s="188">
        <f t="shared" si="97"/>
        <v>0</v>
      </c>
      <c r="P96" s="188">
        <f t="shared" si="97"/>
        <v>0</v>
      </c>
      <c r="Q96" s="188">
        <f t="shared" si="97"/>
        <v>0</v>
      </c>
      <c r="R96" s="188">
        <f t="shared" si="97"/>
        <v>0</v>
      </c>
      <c r="S96" s="188">
        <f t="shared" si="97"/>
        <v>0</v>
      </c>
      <c r="T96" s="188">
        <f t="shared" si="97"/>
        <v>0</v>
      </c>
      <c r="U96" s="188">
        <f t="shared" si="97"/>
        <v>0</v>
      </c>
      <c r="V96" s="188">
        <f t="shared" si="97"/>
        <v>0</v>
      </c>
      <c r="W96" s="188">
        <f t="shared" si="97"/>
        <v>0</v>
      </c>
      <c r="X96" s="188">
        <f t="shared" si="97"/>
        <v>0</v>
      </c>
      <c r="Y96" s="188">
        <f t="shared" si="97"/>
        <v>0</v>
      </c>
      <c r="Z96" s="188">
        <f t="shared" si="97"/>
        <v>0</v>
      </c>
      <c r="AA96" s="188">
        <f t="shared" si="97"/>
        <v>0</v>
      </c>
      <c r="AB96" s="188">
        <f t="shared" si="97"/>
        <v>0</v>
      </c>
      <c r="AC96" s="188">
        <f t="shared" si="97"/>
        <v>0</v>
      </c>
      <c r="AD96" s="188">
        <f t="shared" si="97"/>
        <v>0</v>
      </c>
      <c r="AE96" s="188">
        <f t="shared" si="97"/>
        <v>0</v>
      </c>
      <c r="AF96" s="188">
        <f t="shared" si="97"/>
        <v>0</v>
      </c>
      <c r="AG96" s="188">
        <f t="shared" si="97"/>
        <v>0</v>
      </c>
      <c r="AH96" s="188">
        <f t="shared" si="97"/>
        <v>0</v>
      </c>
      <c r="AI96" s="188">
        <f t="shared" si="97"/>
        <v>0</v>
      </c>
      <c r="AJ96" s="188">
        <f t="shared" si="97"/>
        <v>0</v>
      </c>
      <c r="AK96" s="188">
        <f t="shared" si="97"/>
        <v>0</v>
      </c>
      <c r="AL96" s="188">
        <f t="shared" si="97"/>
        <v>0</v>
      </c>
      <c r="AM96" s="188">
        <f t="shared" si="97"/>
        <v>0</v>
      </c>
      <c r="AN96" s="188">
        <f t="shared" si="97"/>
        <v>0</v>
      </c>
      <c r="AO96" s="188">
        <f t="shared" si="97"/>
        <v>0</v>
      </c>
      <c r="AP96" s="188">
        <f t="shared" si="97"/>
        <v>0</v>
      </c>
      <c r="AQ96" s="188">
        <f t="shared" si="97"/>
        <v>0</v>
      </c>
      <c r="AR96" s="188">
        <f t="shared" si="97"/>
        <v>0</v>
      </c>
      <c r="AS96" s="188">
        <f t="shared" si="97"/>
        <v>0</v>
      </c>
      <c r="AT96" s="188">
        <f t="shared" si="97"/>
        <v>0</v>
      </c>
      <c r="AU96" s="188">
        <f t="shared" si="97"/>
        <v>0</v>
      </c>
      <c r="AV96" s="188">
        <f t="shared" si="97"/>
        <v>0</v>
      </c>
      <c r="AW96" s="188">
        <f t="shared" si="97"/>
        <v>0</v>
      </c>
      <c r="AX96" s="188">
        <f t="shared" si="97"/>
        <v>0</v>
      </c>
      <c r="AY96" s="188">
        <f t="shared" si="97"/>
        <v>0</v>
      </c>
      <c r="AZ96" s="188">
        <f t="shared" si="97"/>
        <v>0</v>
      </c>
      <c r="BA96" s="188">
        <f t="shared" si="97"/>
        <v>0</v>
      </c>
      <c r="BB96" s="188">
        <f t="shared" si="97"/>
        <v>0</v>
      </c>
      <c r="BC96" s="188">
        <f t="shared" si="97"/>
        <v>0</v>
      </c>
      <c r="BD96" s="188">
        <f t="shared" si="97"/>
        <v>0</v>
      </c>
      <c r="BE96" s="188">
        <f t="shared" si="97"/>
        <v>0</v>
      </c>
      <c r="BF96" s="188">
        <f t="shared" si="97"/>
        <v>0</v>
      </c>
      <c r="BG96" s="188">
        <f t="shared" si="97"/>
        <v>0</v>
      </c>
      <c r="BH96" s="188">
        <f t="shared" si="97"/>
        <v>0</v>
      </c>
      <c r="BI96" s="188">
        <f t="shared" si="97"/>
        <v>0</v>
      </c>
    </row>
    <row r="97" spans="1:61" ht="12.75" x14ac:dyDescent="0.2">
      <c r="A97" s="21" t="s">
        <v>234</v>
      </c>
      <c r="B97" s="51"/>
      <c r="C97" s="51"/>
      <c r="D97" s="216"/>
      <c r="E97" s="216"/>
      <c r="F97" s="216"/>
      <c r="G97" s="216"/>
      <c r="H97" s="216"/>
      <c r="I97" s="216"/>
      <c r="J97" s="216"/>
      <c r="K97" s="216"/>
      <c r="L97" s="51"/>
      <c r="M97" s="51"/>
      <c r="N97" s="213">
        <f t="shared" ref="N97:BI97" si="98">SUM(N92:N96)</f>
        <v>0</v>
      </c>
      <c r="O97" s="213">
        <f t="shared" si="98"/>
        <v>0</v>
      </c>
      <c r="P97" s="213">
        <f t="shared" si="98"/>
        <v>0</v>
      </c>
      <c r="Q97" s="213">
        <f t="shared" si="98"/>
        <v>0</v>
      </c>
      <c r="R97" s="213">
        <f t="shared" si="98"/>
        <v>0</v>
      </c>
      <c r="S97" s="213">
        <f t="shared" si="98"/>
        <v>0</v>
      </c>
      <c r="T97" s="213">
        <f t="shared" si="98"/>
        <v>0</v>
      </c>
      <c r="U97" s="213">
        <f t="shared" si="98"/>
        <v>0</v>
      </c>
      <c r="V97" s="213">
        <f t="shared" si="98"/>
        <v>0</v>
      </c>
      <c r="W97" s="213">
        <f t="shared" si="98"/>
        <v>0</v>
      </c>
      <c r="X97" s="213">
        <f t="shared" si="98"/>
        <v>0</v>
      </c>
      <c r="Y97" s="213">
        <f t="shared" si="98"/>
        <v>0</v>
      </c>
      <c r="Z97" s="213">
        <f t="shared" si="98"/>
        <v>0</v>
      </c>
      <c r="AA97" s="213">
        <f t="shared" si="98"/>
        <v>0</v>
      </c>
      <c r="AB97" s="213">
        <f t="shared" si="98"/>
        <v>0</v>
      </c>
      <c r="AC97" s="213">
        <f t="shared" si="98"/>
        <v>0</v>
      </c>
      <c r="AD97" s="213">
        <f t="shared" si="98"/>
        <v>0</v>
      </c>
      <c r="AE97" s="213">
        <f t="shared" si="98"/>
        <v>0</v>
      </c>
      <c r="AF97" s="213">
        <f t="shared" si="98"/>
        <v>0</v>
      </c>
      <c r="AG97" s="213">
        <f t="shared" si="98"/>
        <v>0</v>
      </c>
      <c r="AH97" s="213">
        <f t="shared" si="98"/>
        <v>0</v>
      </c>
      <c r="AI97" s="213">
        <f t="shared" si="98"/>
        <v>0</v>
      </c>
      <c r="AJ97" s="213">
        <f t="shared" si="98"/>
        <v>0</v>
      </c>
      <c r="AK97" s="213">
        <f t="shared" si="98"/>
        <v>0</v>
      </c>
      <c r="AL97" s="213">
        <f t="shared" si="98"/>
        <v>0</v>
      </c>
      <c r="AM97" s="213">
        <f t="shared" si="98"/>
        <v>0</v>
      </c>
      <c r="AN97" s="213">
        <f t="shared" si="98"/>
        <v>0</v>
      </c>
      <c r="AO97" s="213">
        <f t="shared" si="98"/>
        <v>0</v>
      </c>
      <c r="AP97" s="213">
        <f t="shared" si="98"/>
        <v>0</v>
      </c>
      <c r="AQ97" s="213">
        <f t="shared" si="98"/>
        <v>0</v>
      </c>
      <c r="AR97" s="213">
        <f t="shared" si="98"/>
        <v>0</v>
      </c>
      <c r="AS97" s="213">
        <f t="shared" si="98"/>
        <v>0</v>
      </c>
      <c r="AT97" s="213">
        <f t="shared" si="98"/>
        <v>0</v>
      </c>
      <c r="AU97" s="213">
        <f t="shared" si="98"/>
        <v>0</v>
      </c>
      <c r="AV97" s="213">
        <f t="shared" si="98"/>
        <v>0</v>
      </c>
      <c r="AW97" s="213">
        <f t="shared" si="98"/>
        <v>0</v>
      </c>
      <c r="AX97" s="213">
        <f t="shared" si="98"/>
        <v>0</v>
      </c>
      <c r="AY97" s="213">
        <f t="shared" si="98"/>
        <v>0</v>
      </c>
      <c r="AZ97" s="213">
        <f t="shared" si="98"/>
        <v>0</v>
      </c>
      <c r="BA97" s="213">
        <f t="shared" si="98"/>
        <v>0</v>
      </c>
      <c r="BB97" s="213">
        <f t="shared" si="98"/>
        <v>0</v>
      </c>
      <c r="BC97" s="213">
        <f t="shared" si="98"/>
        <v>0</v>
      </c>
      <c r="BD97" s="213">
        <f t="shared" si="98"/>
        <v>0</v>
      </c>
      <c r="BE97" s="213">
        <f t="shared" si="98"/>
        <v>0</v>
      </c>
      <c r="BF97" s="213">
        <f t="shared" si="98"/>
        <v>0</v>
      </c>
      <c r="BG97" s="213">
        <f t="shared" si="98"/>
        <v>0</v>
      </c>
      <c r="BH97" s="213">
        <f t="shared" si="98"/>
        <v>0</v>
      </c>
      <c r="BI97" s="213">
        <f t="shared" si="98"/>
        <v>0</v>
      </c>
    </row>
    <row r="98" spans="1:61" ht="12.75" x14ac:dyDescent="0.2">
      <c r="A98" s="69" t="s">
        <v>229</v>
      </c>
      <c r="B98" s="217"/>
      <c r="C98" s="217"/>
      <c r="D98" s="218"/>
      <c r="E98" s="218"/>
      <c r="F98" s="218"/>
      <c r="G98" s="218"/>
      <c r="H98" s="218"/>
      <c r="I98" s="218"/>
      <c r="J98" s="218"/>
      <c r="K98" s="218"/>
      <c r="L98" s="217"/>
      <c r="M98" s="217"/>
      <c r="N98" s="219">
        <f t="shared" ref="N98:BI98" si="99">SUMIFS(N$4:N$64,$H$4:$H$64,"")-N97</f>
        <v>0</v>
      </c>
      <c r="O98" s="219">
        <f t="shared" si="99"/>
        <v>0</v>
      </c>
      <c r="P98" s="219">
        <f t="shared" si="99"/>
        <v>0</v>
      </c>
      <c r="Q98" s="219">
        <f t="shared" si="99"/>
        <v>0</v>
      </c>
      <c r="R98" s="219">
        <f t="shared" si="99"/>
        <v>0</v>
      </c>
      <c r="S98" s="219">
        <f t="shared" si="99"/>
        <v>0</v>
      </c>
      <c r="T98" s="219">
        <f t="shared" si="99"/>
        <v>0</v>
      </c>
      <c r="U98" s="219">
        <f t="shared" si="99"/>
        <v>0</v>
      </c>
      <c r="V98" s="219">
        <f t="shared" si="99"/>
        <v>0</v>
      </c>
      <c r="W98" s="219">
        <f t="shared" si="99"/>
        <v>0</v>
      </c>
      <c r="X98" s="219">
        <f t="shared" si="99"/>
        <v>0</v>
      </c>
      <c r="Y98" s="219">
        <f t="shared" si="99"/>
        <v>0</v>
      </c>
      <c r="Z98" s="219">
        <f t="shared" si="99"/>
        <v>0</v>
      </c>
      <c r="AA98" s="219">
        <f t="shared" si="99"/>
        <v>0</v>
      </c>
      <c r="AB98" s="219">
        <f t="shared" si="99"/>
        <v>0</v>
      </c>
      <c r="AC98" s="219">
        <f t="shared" si="99"/>
        <v>0</v>
      </c>
      <c r="AD98" s="219">
        <f t="shared" si="99"/>
        <v>0</v>
      </c>
      <c r="AE98" s="219">
        <f t="shared" si="99"/>
        <v>0</v>
      </c>
      <c r="AF98" s="219">
        <f t="shared" si="99"/>
        <v>0</v>
      </c>
      <c r="AG98" s="219">
        <f t="shared" si="99"/>
        <v>0</v>
      </c>
      <c r="AH98" s="219">
        <f t="shared" si="99"/>
        <v>0</v>
      </c>
      <c r="AI98" s="219">
        <f t="shared" si="99"/>
        <v>0</v>
      </c>
      <c r="AJ98" s="219">
        <f t="shared" si="99"/>
        <v>0</v>
      </c>
      <c r="AK98" s="219">
        <f t="shared" si="99"/>
        <v>0</v>
      </c>
      <c r="AL98" s="219">
        <f t="shared" si="99"/>
        <v>0</v>
      </c>
      <c r="AM98" s="219">
        <f t="shared" si="99"/>
        <v>0</v>
      </c>
      <c r="AN98" s="219">
        <f t="shared" si="99"/>
        <v>0</v>
      </c>
      <c r="AO98" s="219">
        <f t="shared" si="99"/>
        <v>0</v>
      </c>
      <c r="AP98" s="219">
        <f t="shared" si="99"/>
        <v>0</v>
      </c>
      <c r="AQ98" s="219">
        <f t="shared" si="99"/>
        <v>0</v>
      </c>
      <c r="AR98" s="219">
        <f t="shared" si="99"/>
        <v>0</v>
      </c>
      <c r="AS98" s="219">
        <f t="shared" si="99"/>
        <v>0</v>
      </c>
      <c r="AT98" s="219">
        <f t="shared" si="99"/>
        <v>0</v>
      </c>
      <c r="AU98" s="219">
        <f t="shared" si="99"/>
        <v>0</v>
      </c>
      <c r="AV98" s="219">
        <f t="shared" si="99"/>
        <v>0</v>
      </c>
      <c r="AW98" s="219">
        <f t="shared" si="99"/>
        <v>0</v>
      </c>
      <c r="AX98" s="219">
        <f t="shared" si="99"/>
        <v>0</v>
      </c>
      <c r="AY98" s="219">
        <f t="shared" si="99"/>
        <v>0</v>
      </c>
      <c r="AZ98" s="219">
        <f t="shared" si="99"/>
        <v>0</v>
      </c>
      <c r="BA98" s="219">
        <f t="shared" si="99"/>
        <v>0</v>
      </c>
      <c r="BB98" s="219">
        <f t="shared" si="99"/>
        <v>0</v>
      </c>
      <c r="BC98" s="219">
        <f t="shared" si="99"/>
        <v>0</v>
      </c>
      <c r="BD98" s="219">
        <f t="shared" si="99"/>
        <v>0</v>
      </c>
      <c r="BE98" s="219">
        <f t="shared" si="99"/>
        <v>0</v>
      </c>
      <c r="BF98" s="219">
        <f t="shared" si="99"/>
        <v>0</v>
      </c>
      <c r="BG98" s="219">
        <f t="shared" si="99"/>
        <v>0</v>
      </c>
      <c r="BH98" s="219">
        <f t="shared" si="99"/>
        <v>0</v>
      </c>
      <c r="BI98" s="219">
        <f t="shared" si="99"/>
        <v>0</v>
      </c>
    </row>
    <row r="99" spans="1:61" ht="12.75" x14ac:dyDescent="0.2">
      <c r="D99" s="214"/>
      <c r="E99" s="214"/>
      <c r="F99" s="214"/>
      <c r="G99" s="214"/>
      <c r="H99" s="214"/>
      <c r="I99" s="214"/>
      <c r="J99" s="214"/>
      <c r="K99" s="214"/>
    </row>
    <row r="100" spans="1:61" ht="12.75" x14ac:dyDescent="0.2">
      <c r="D100" s="214"/>
      <c r="E100" s="214"/>
      <c r="F100" s="214"/>
      <c r="G100" s="214"/>
      <c r="H100" s="214"/>
      <c r="I100" s="214"/>
      <c r="J100" s="214"/>
      <c r="K100" s="214"/>
    </row>
    <row r="101" spans="1:61" ht="12.75" x14ac:dyDescent="0.2">
      <c r="D101" s="214"/>
      <c r="E101" s="214"/>
      <c r="F101" s="214"/>
      <c r="G101" s="214"/>
      <c r="H101" s="214"/>
      <c r="I101" s="214"/>
      <c r="J101" s="214"/>
      <c r="K101" s="214"/>
    </row>
    <row r="102" spans="1:61" ht="12.75" x14ac:dyDescent="0.2">
      <c r="D102" s="214"/>
      <c r="E102" s="214"/>
      <c r="F102" s="214"/>
      <c r="G102" s="214"/>
      <c r="H102" s="214"/>
      <c r="I102" s="214"/>
      <c r="J102" s="214"/>
      <c r="K102" s="214"/>
    </row>
    <row r="103" spans="1:61" ht="12.75" x14ac:dyDescent="0.2">
      <c r="D103" s="214"/>
      <c r="E103" s="214"/>
      <c r="F103" s="214"/>
      <c r="G103" s="214"/>
      <c r="H103" s="214"/>
      <c r="I103" s="214"/>
      <c r="J103" s="214"/>
      <c r="K103" s="214"/>
    </row>
    <row r="104" spans="1:61" ht="12.75" x14ac:dyDescent="0.2">
      <c r="D104" s="214"/>
      <c r="E104" s="214"/>
      <c r="F104" s="214"/>
      <c r="G104" s="214"/>
      <c r="H104" s="214"/>
      <c r="I104" s="214"/>
      <c r="J104" s="214"/>
      <c r="K104" s="214"/>
    </row>
    <row r="105" spans="1:61" ht="12.75" x14ac:dyDescent="0.2">
      <c r="D105" s="214"/>
      <c r="E105" s="214"/>
      <c r="F105" s="214"/>
      <c r="G105" s="214"/>
      <c r="H105" s="214"/>
      <c r="I105" s="214"/>
      <c r="J105" s="214"/>
      <c r="K105" s="214"/>
    </row>
    <row r="106" spans="1:61" ht="12.75" x14ac:dyDescent="0.2">
      <c r="D106" s="214"/>
      <c r="E106" s="214"/>
      <c r="F106" s="214"/>
      <c r="G106" s="214"/>
      <c r="H106" s="214"/>
      <c r="I106" s="214"/>
      <c r="J106" s="214"/>
      <c r="K106" s="214"/>
    </row>
    <row r="107" spans="1:61" ht="12.75" x14ac:dyDescent="0.2">
      <c r="D107" s="214"/>
      <c r="E107" s="214"/>
      <c r="F107" s="214"/>
      <c r="G107" s="214"/>
      <c r="H107" s="214"/>
      <c r="I107" s="214"/>
      <c r="J107" s="214"/>
      <c r="K107" s="214"/>
    </row>
    <row r="108" spans="1:61" ht="12.75" x14ac:dyDescent="0.2">
      <c r="D108" s="214"/>
      <c r="E108" s="214"/>
      <c r="F108" s="214"/>
      <c r="G108" s="214"/>
      <c r="H108" s="214"/>
      <c r="I108" s="214"/>
      <c r="J108" s="214"/>
      <c r="K108" s="214"/>
    </row>
    <row r="109" spans="1:61" ht="12.75" x14ac:dyDescent="0.2">
      <c r="D109" s="214"/>
      <c r="E109" s="214"/>
      <c r="F109" s="214"/>
      <c r="G109" s="214"/>
      <c r="H109" s="214"/>
      <c r="I109" s="214"/>
      <c r="J109" s="214"/>
      <c r="K109" s="214"/>
    </row>
    <row r="110" spans="1:61" ht="12.75" x14ac:dyDescent="0.2">
      <c r="D110" s="214"/>
      <c r="E110" s="214"/>
      <c r="F110" s="214"/>
      <c r="G110" s="214"/>
      <c r="H110" s="214"/>
      <c r="I110" s="214"/>
      <c r="J110" s="214"/>
      <c r="K110" s="214"/>
    </row>
    <row r="111" spans="1:61" ht="12.75" x14ac:dyDescent="0.2">
      <c r="D111" s="214"/>
      <c r="E111" s="214"/>
      <c r="F111" s="214"/>
      <c r="G111" s="214"/>
      <c r="H111" s="214"/>
      <c r="I111" s="214"/>
      <c r="J111" s="214"/>
      <c r="K111" s="214"/>
    </row>
    <row r="112" spans="1:61" ht="12.75" x14ac:dyDescent="0.2">
      <c r="D112" s="214"/>
      <c r="E112" s="214"/>
      <c r="F112" s="214"/>
      <c r="G112" s="214"/>
      <c r="H112" s="214"/>
      <c r="I112" s="214"/>
      <c r="J112" s="214"/>
      <c r="K112" s="214"/>
    </row>
    <row r="113" spans="4:11" ht="12.75" x14ac:dyDescent="0.2">
      <c r="D113" s="214"/>
      <c r="E113" s="214"/>
      <c r="F113" s="214"/>
      <c r="G113" s="214"/>
      <c r="H113" s="214"/>
      <c r="I113" s="214"/>
      <c r="J113" s="214"/>
      <c r="K113" s="214"/>
    </row>
    <row r="114" spans="4:11" ht="12.75" x14ac:dyDescent="0.2">
      <c r="D114" s="214"/>
      <c r="E114" s="214"/>
      <c r="F114" s="214"/>
      <c r="G114" s="214"/>
      <c r="H114" s="214"/>
      <c r="I114" s="214"/>
      <c r="J114" s="214"/>
      <c r="K114" s="214"/>
    </row>
    <row r="115" spans="4:11" ht="12.75" x14ac:dyDescent="0.2">
      <c r="D115" s="214"/>
      <c r="E115" s="214"/>
      <c r="F115" s="214"/>
      <c r="G115" s="214"/>
      <c r="H115" s="214"/>
      <c r="I115" s="214"/>
      <c r="J115" s="214"/>
      <c r="K115" s="214"/>
    </row>
    <row r="116" spans="4:11" ht="12.75" x14ac:dyDescent="0.2">
      <c r="D116" s="214"/>
      <c r="E116" s="214"/>
      <c r="F116" s="214"/>
      <c r="G116" s="214"/>
      <c r="H116" s="214"/>
      <c r="I116" s="214"/>
      <c r="J116" s="214"/>
      <c r="K116" s="214"/>
    </row>
    <row r="117" spans="4:11" ht="12.75" x14ac:dyDescent="0.2">
      <c r="D117" s="214"/>
      <c r="E117" s="214"/>
      <c r="F117" s="214"/>
      <c r="G117" s="214"/>
      <c r="H117" s="214"/>
      <c r="I117" s="214"/>
      <c r="J117" s="214"/>
      <c r="K117" s="214"/>
    </row>
    <row r="118" spans="4:11" ht="12.75" x14ac:dyDescent="0.2">
      <c r="D118" s="214"/>
      <c r="E118" s="214"/>
      <c r="F118" s="214"/>
      <c r="G118" s="214"/>
      <c r="H118" s="214"/>
      <c r="I118" s="214"/>
      <c r="J118" s="214"/>
      <c r="K118" s="214"/>
    </row>
    <row r="119" spans="4:11" ht="12.75" x14ac:dyDescent="0.2">
      <c r="D119" s="214"/>
      <c r="E119" s="214"/>
      <c r="F119" s="214"/>
      <c r="G119" s="214"/>
      <c r="H119" s="214"/>
      <c r="I119" s="214"/>
      <c r="J119" s="214"/>
      <c r="K119" s="214"/>
    </row>
    <row r="120" spans="4:11" ht="12.75" x14ac:dyDescent="0.2">
      <c r="D120" s="214"/>
      <c r="E120" s="214"/>
      <c r="F120" s="214"/>
      <c r="G120" s="214"/>
      <c r="H120" s="214"/>
      <c r="I120" s="214"/>
      <c r="J120" s="214"/>
      <c r="K120" s="214"/>
    </row>
    <row r="121" spans="4:11" ht="12.75" x14ac:dyDescent="0.2">
      <c r="D121" s="214"/>
      <c r="E121" s="214"/>
      <c r="F121" s="214"/>
      <c r="G121" s="214"/>
      <c r="H121" s="214"/>
      <c r="I121" s="214"/>
      <c r="J121" s="214"/>
      <c r="K121" s="214"/>
    </row>
    <row r="122" spans="4:11" ht="12.75" x14ac:dyDescent="0.2">
      <c r="D122" s="214"/>
      <c r="E122" s="214"/>
      <c r="F122" s="214"/>
      <c r="G122" s="214"/>
      <c r="H122" s="214"/>
      <c r="I122" s="214"/>
      <c r="J122" s="214"/>
      <c r="K122" s="214"/>
    </row>
    <row r="123" spans="4:11" ht="12.75" x14ac:dyDescent="0.2">
      <c r="D123" s="214"/>
      <c r="E123" s="214"/>
      <c r="F123" s="214"/>
      <c r="G123" s="214"/>
      <c r="H123" s="214"/>
      <c r="I123" s="214"/>
      <c r="J123" s="214"/>
      <c r="K123" s="214"/>
    </row>
    <row r="124" spans="4:11" ht="12.75" x14ac:dyDescent="0.2">
      <c r="D124" s="214"/>
      <c r="E124" s="214"/>
      <c r="F124" s="214"/>
      <c r="G124" s="214"/>
      <c r="H124" s="214"/>
      <c r="I124" s="214"/>
      <c r="J124" s="214"/>
      <c r="K124" s="214"/>
    </row>
    <row r="125" spans="4:11" ht="12.75" x14ac:dyDescent="0.2">
      <c r="D125" s="214"/>
      <c r="E125" s="214"/>
      <c r="F125" s="214"/>
      <c r="G125" s="214"/>
      <c r="H125" s="214"/>
      <c r="I125" s="214"/>
      <c r="J125" s="214"/>
      <c r="K125" s="214"/>
    </row>
    <row r="126" spans="4:11" ht="12.75" x14ac:dyDescent="0.2">
      <c r="D126" s="214"/>
      <c r="E126" s="214"/>
      <c r="F126" s="214"/>
      <c r="G126" s="214"/>
      <c r="H126" s="214"/>
      <c r="I126" s="214"/>
      <c r="J126" s="214"/>
      <c r="K126" s="214"/>
    </row>
    <row r="127" spans="4:11" ht="12.75" x14ac:dyDescent="0.2">
      <c r="D127" s="214"/>
      <c r="E127" s="214"/>
      <c r="F127" s="214"/>
      <c r="G127" s="214"/>
      <c r="H127" s="214"/>
      <c r="I127" s="214"/>
      <c r="J127" s="214"/>
      <c r="K127" s="214"/>
    </row>
    <row r="128" spans="4:11" ht="12.75" x14ac:dyDescent="0.2">
      <c r="D128" s="214"/>
      <c r="E128" s="214"/>
      <c r="F128" s="214"/>
      <c r="G128" s="214"/>
      <c r="H128" s="214"/>
      <c r="I128" s="214"/>
      <c r="J128" s="214"/>
      <c r="K128" s="214"/>
    </row>
    <row r="129" spans="4:11" ht="12.75" x14ac:dyDescent="0.2">
      <c r="D129" s="214"/>
      <c r="E129" s="214"/>
      <c r="F129" s="214"/>
      <c r="G129" s="214"/>
      <c r="H129" s="214"/>
      <c r="I129" s="214"/>
      <c r="J129" s="214"/>
      <c r="K129" s="214"/>
    </row>
    <row r="130" spans="4:11" ht="12.75" x14ac:dyDescent="0.2">
      <c r="D130" s="214"/>
      <c r="E130" s="214"/>
      <c r="F130" s="214"/>
      <c r="G130" s="214"/>
      <c r="H130" s="214"/>
      <c r="I130" s="214"/>
      <c r="J130" s="214"/>
      <c r="K130" s="214"/>
    </row>
    <row r="131" spans="4:11" ht="12.75" x14ac:dyDescent="0.2">
      <c r="D131" s="214"/>
      <c r="E131" s="214"/>
      <c r="F131" s="214"/>
      <c r="G131" s="214"/>
      <c r="H131" s="214"/>
      <c r="I131" s="214"/>
      <c r="J131" s="214"/>
      <c r="K131" s="214"/>
    </row>
    <row r="132" spans="4:11" ht="12.75" x14ac:dyDescent="0.2">
      <c r="D132" s="214"/>
      <c r="E132" s="214"/>
      <c r="F132" s="214"/>
      <c r="G132" s="214"/>
      <c r="H132" s="214"/>
      <c r="I132" s="214"/>
      <c r="J132" s="214"/>
      <c r="K132" s="214"/>
    </row>
    <row r="133" spans="4:11" ht="12.75" x14ac:dyDescent="0.2">
      <c r="D133" s="214"/>
      <c r="E133" s="214"/>
      <c r="F133" s="214"/>
      <c r="G133" s="214"/>
      <c r="H133" s="214"/>
      <c r="I133" s="214"/>
      <c r="J133" s="214"/>
      <c r="K133" s="214"/>
    </row>
    <row r="134" spans="4:11" ht="12.75" x14ac:dyDescent="0.2">
      <c r="D134" s="214"/>
      <c r="E134" s="214"/>
      <c r="F134" s="214"/>
      <c r="G134" s="214"/>
      <c r="H134" s="214"/>
      <c r="I134" s="214"/>
      <c r="J134" s="214"/>
      <c r="K134" s="214"/>
    </row>
    <row r="135" spans="4:11" ht="12.75" x14ac:dyDescent="0.2">
      <c r="D135" s="214"/>
      <c r="E135" s="214"/>
      <c r="F135" s="214"/>
      <c r="G135" s="214"/>
      <c r="H135" s="214"/>
      <c r="I135" s="214"/>
      <c r="J135" s="214"/>
      <c r="K135" s="214"/>
    </row>
    <row r="136" spans="4:11" ht="12.75" x14ac:dyDescent="0.2">
      <c r="D136" s="214"/>
      <c r="E136" s="214"/>
      <c r="F136" s="214"/>
      <c r="G136" s="214"/>
      <c r="H136" s="214"/>
      <c r="I136" s="214"/>
      <c r="J136" s="214"/>
      <c r="K136" s="214"/>
    </row>
    <row r="137" spans="4:11" ht="12.75" x14ac:dyDescent="0.2">
      <c r="D137" s="214"/>
      <c r="E137" s="214"/>
      <c r="F137" s="214"/>
      <c r="G137" s="214"/>
      <c r="H137" s="214"/>
      <c r="I137" s="214"/>
      <c r="J137" s="214"/>
      <c r="K137" s="214"/>
    </row>
    <row r="138" spans="4:11" ht="12.75" x14ac:dyDescent="0.2">
      <c r="D138" s="214"/>
      <c r="E138" s="214"/>
      <c r="F138" s="214"/>
      <c r="G138" s="214"/>
      <c r="H138" s="214"/>
      <c r="I138" s="214"/>
      <c r="J138" s="214"/>
      <c r="K138" s="214"/>
    </row>
    <row r="139" spans="4:11" ht="12.75" x14ac:dyDescent="0.2">
      <c r="D139" s="214"/>
      <c r="E139" s="214"/>
      <c r="F139" s="214"/>
      <c r="G139" s="214"/>
      <c r="H139" s="214"/>
      <c r="I139" s="214"/>
      <c r="J139" s="214"/>
      <c r="K139" s="214"/>
    </row>
    <row r="140" spans="4:11" ht="12.75" x14ac:dyDescent="0.2">
      <c r="D140" s="214"/>
      <c r="E140" s="214"/>
      <c r="F140" s="214"/>
      <c r="G140" s="214"/>
      <c r="H140" s="214"/>
      <c r="I140" s="214"/>
      <c r="J140" s="214"/>
      <c r="K140" s="214"/>
    </row>
    <row r="141" spans="4:11" ht="12.75" x14ac:dyDescent="0.2">
      <c r="D141" s="214"/>
      <c r="E141" s="214"/>
      <c r="F141" s="214"/>
      <c r="G141" s="214"/>
      <c r="H141" s="214"/>
      <c r="I141" s="214"/>
      <c r="J141" s="214"/>
      <c r="K141" s="214"/>
    </row>
    <row r="142" spans="4:11" ht="12.75" x14ac:dyDescent="0.2">
      <c r="D142" s="214"/>
      <c r="E142" s="214"/>
      <c r="F142" s="214"/>
      <c r="G142" s="214"/>
      <c r="H142" s="214"/>
      <c r="I142" s="214"/>
      <c r="J142" s="214"/>
      <c r="K142" s="214"/>
    </row>
    <row r="143" spans="4:11" ht="12.75" x14ac:dyDescent="0.2">
      <c r="D143" s="214"/>
      <c r="E143" s="214"/>
      <c r="F143" s="214"/>
      <c r="G143" s="214"/>
      <c r="H143" s="214"/>
      <c r="I143" s="214"/>
      <c r="J143" s="214"/>
      <c r="K143" s="214"/>
    </row>
    <row r="144" spans="4:11" ht="12.75" x14ac:dyDescent="0.2">
      <c r="D144" s="214"/>
      <c r="E144" s="214"/>
      <c r="F144" s="214"/>
      <c r="G144" s="214"/>
      <c r="H144" s="214"/>
      <c r="I144" s="214"/>
      <c r="J144" s="214"/>
      <c r="K144" s="214"/>
    </row>
    <row r="145" spans="4:11" ht="12.75" x14ac:dyDescent="0.2">
      <c r="D145" s="214"/>
      <c r="E145" s="214"/>
      <c r="F145" s="214"/>
      <c r="G145" s="214"/>
      <c r="H145" s="214"/>
      <c r="I145" s="214"/>
      <c r="J145" s="214"/>
      <c r="K145" s="214"/>
    </row>
    <row r="146" spans="4:11" ht="12.75" x14ac:dyDescent="0.2">
      <c r="D146" s="214"/>
      <c r="E146" s="214"/>
      <c r="F146" s="214"/>
      <c r="G146" s="214"/>
      <c r="H146" s="214"/>
      <c r="I146" s="214"/>
      <c r="J146" s="214"/>
      <c r="K146" s="214"/>
    </row>
    <row r="147" spans="4:11" ht="12.75" x14ac:dyDescent="0.2">
      <c r="D147" s="214"/>
      <c r="E147" s="214"/>
      <c r="F147" s="214"/>
      <c r="G147" s="214"/>
      <c r="H147" s="214"/>
      <c r="I147" s="214"/>
      <c r="J147" s="214"/>
      <c r="K147" s="214"/>
    </row>
    <row r="148" spans="4:11" ht="12.75" x14ac:dyDescent="0.2">
      <c r="D148" s="214"/>
      <c r="E148" s="214"/>
      <c r="F148" s="214"/>
      <c r="G148" s="214"/>
      <c r="H148" s="214"/>
      <c r="I148" s="214"/>
      <c r="J148" s="214"/>
      <c r="K148" s="214"/>
    </row>
    <row r="149" spans="4:11" ht="12.75" x14ac:dyDescent="0.2">
      <c r="D149" s="214"/>
      <c r="E149" s="214"/>
      <c r="F149" s="214"/>
      <c r="G149" s="214"/>
      <c r="H149" s="214"/>
      <c r="I149" s="214"/>
      <c r="J149" s="214"/>
      <c r="K149" s="214"/>
    </row>
    <row r="150" spans="4:11" ht="12.75" x14ac:dyDescent="0.2">
      <c r="D150" s="214"/>
      <c r="E150" s="214"/>
      <c r="F150" s="214"/>
      <c r="G150" s="214"/>
      <c r="H150" s="214"/>
      <c r="I150" s="214"/>
      <c r="J150" s="214"/>
      <c r="K150" s="214"/>
    </row>
    <row r="151" spans="4:11" ht="12.75" x14ac:dyDescent="0.2">
      <c r="D151" s="214"/>
      <c r="E151" s="214"/>
      <c r="F151" s="214"/>
      <c r="G151" s="214"/>
      <c r="H151" s="214"/>
      <c r="I151" s="214"/>
      <c r="J151" s="214"/>
      <c r="K151" s="214"/>
    </row>
    <row r="152" spans="4:11" ht="12.75" x14ac:dyDescent="0.2">
      <c r="D152" s="214"/>
      <c r="E152" s="214"/>
      <c r="F152" s="214"/>
      <c r="G152" s="214"/>
      <c r="H152" s="214"/>
      <c r="I152" s="214"/>
      <c r="J152" s="214"/>
      <c r="K152" s="214"/>
    </row>
    <row r="153" spans="4:11" ht="12.75" x14ac:dyDescent="0.2">
      <c r="D153" s="214"/>
      <c r="E153" s="214"/>
      <c r="F153" s="214"/>
      <c r="G153" s="214"/>
      <c r="H153" s="214"/>
      <c r="I153" s="214"/>
      <c r="J153" s="214"/>
      <c r="K153" s="214"/>
    </row>
    <row r="154" spans="4:11" ht="12.75" x14ac:dyDescent="0.2">
      <c r="D154" s="214"/>
      <c r="E154" s="214"/>
      <c r="F154" s="214"/>
      <c r="G154" s="214"/>
      <c r="H154" s="214"/>
      <c r="I154" s="214"/>
      <c r="J154" s="214"/>
      <c r="K154" s="214"/>
    </row>
    <row r="155" spans="4:11" ht="12.75" x14ac:dyDescent="0.2">
      <c r="D155" s="214"/>
      <c r="E155" s="214"/>
      <c r="F155" s="214"/>
      <c r="G155" s="214"/>
      <c r="H155" s="214"/>
      <c r="I155" s="214"/>
      <c r="J155" s="214"/>
      <c r="K155" s="214"/>
    </row>
    <row r="156" spans="4:11" ht="12.75" x14ac:dyDescent="0.2">
      <c r="D156" s="214"/>
      <c r="E156" s="214"/>
      <c r="F156" s="214"/>
      <c r="G156" s="214"/>
      <c r="H156" s="214"/>
      <c r="I156" s="214"/>
      <c r="J156" s="214"/>
      <c r="K156" s="214"/>
    </row>
    <row r="157" spans="4:11" ht="12.75" x14ac:dyDescent="0.2">
      <c r="D157" s="214"/>
      <c r="E157" s="214"/>
      <c r="F157" s="214"/>
      <c r="G157" s="214"/>
      <c r="H157" s="214"/>
      <c r="I157" s="214"/>
      <c r="J157" s="214"/>
      <c r="K157" s="214"/>
    </row>
    <row r="158" spans="4:11" ht="12.75" x14ac:dyDescent="0.2">
      <c r="D158" s="214"/>
      <c r="E158" s="214"/>
      <c r="F158" s="214"/>
      <c r="G158" s="214"/>
      <c r="H158" s="214"/>
      <c r="I158" s="214"/>
      <c r="J158" s="214"/>
      <c r="K158" s="214"/>
    </row>
    <row r="159" spans="4:11" ht="12.75" x14ac:dyDescent="0.2">
      <c r="D159" s="214"/>
      <c r="E159" s="214"/>
      <c r="F159" s="214"/>
      <c r="G159" s="214"/>
      <c r="H159" s="214"/>
      <c r="I159" s="214"/>
      <c r="J159" s="214"/>
      <c r="K159" s="214"/>
    </row>
    <row r="160" spans="4:11" ht="12.75" x14ac:dyDescent="0.2">
      <c r="D160" s="214"/>
      <c r="E160" s="214"/>
      <c r="F160" s="214"/>
      <c r="G160" s="214"/>
      <c r="H160" s="214"/>
      <c r="I160" s="214"/>
      <c r="J160" s="214"/>
      <c r="K160" s="214"/>
    </row>
    <row r="161" spans="4:11" ht="12.75" x14ac:dyDescent="0.2">
      <c r="D161" s="214"/>
      <c r="E161" s="214"/>
      <c r="F161" s="214"/>
      <c r="G161" s="214"/>
      <c r="H161" s="214"/>
      <c r="I161" s="214"/>
      <c r="J161" s="214"/>
      <c r="K161" s="214"/>
    </row>
    <row r="162" spans="4:11" ht="12.75" x14ac:dyDescent="0.2">
      <c r="D162" s="214"/>
      <c r="E162" s="214"/>
      <c r="F162" s="214"/>
      <c r="G162" s="214"/>
      <c r="H162" s="214"/>
      <c r="I162" s="214"/>
      <c r="J162" s="214"/>
      <c r="K162" s="214"/>
    </row>
    <row r="163" spans="4:11" ht="12.75" x14ac:dyDescent="0.2">
      <c r="D163" s="214"/>
      <c r="E163" s="214"/>
      <c r="F163" s="214"/>
      <c r="G163" s="214"/>
      <c r="H163" s="214"/>
      <c r="I163" s="214"/>
      <c r="J163" s="214"/>
      <c r="K163" s="214"/>
    </row>
    <row r="164" spans="4:11" ht="12.75" x14ac:dyDescent="0.2">
      <c r="D164" s="214"/>
      <c r="E164" s="214"/>
      <c r="F164" s="214"/>
      <c r="G164" s="214"/>
      <c r="H164" s="214"/>
      <c r="I164" s="214"/>
      <c r="J164" s="214"/>
      <c r="K164" s="214"/>
    </row>
    <row r="165" spans="4:11" ht="12.75" x14ac:dyDescent="0.2">
      <c r="D165" s="214"/>
      <c r="E165" s="214"/>
      <c r="F165" s="214"/>
      <c r="G165" s="214"/>
      <c r="H165" s="214"/>
      <c r="I165" s="214"/>
      <c r="J165" s="214"/>
      <c r="K165" s="214"/>
    </row>
    <row r="166" spans="4:11" ht="12.75" x14ac:dyDescent="0.2">
      <c r="D166" s="214"/>
      <c r="E166" s="214"/>
      <c r="F166" s="214"/>
      <c r="G166" s="214"/>
      <c r="H166" s="214"/>
      <c r="I166" s="214"/>
      <c r="J166" s="214"/>
      <c r="K166" s="214"/>
    </row>
    <row r="167" spans="4:11" ht="12.75" x14ac:dyDescent="0.2">
      <c r="D167" s="214"/>
      <c r="E167" s="214"/>
      <c r="F167" s="214"/>
      <c r="G167" s="214"/>
      <c r="H167" s="214"/>
      <c r="I167" s="214"/>
      <c r="J167" s="214"/>
      <c r="K167" s="214"/>
    </row>
    <row r="168" spans="4:11" ht="12.75" x14ac:dyDescent="0.2">
      <c r="D168" s="214"/>
      <c r="E168" s="214"/>
      <c r="F168" s="214"/>
      <c r="G168" s="214"/>
      <c r="H168" s="214"/>
      <c r="I168" s="214"/>
      <c r="J168" s="214"/>
      <c r="K168" s="214"/>
    </row>
    <row r="169" spans="4:11" ht="12.75" x14ac:dyDescent="0.2">
      <c r="D169" s="214"/>
      <c r="E169" s="214"/>
      <c r="F169" s="214"/>
      <c r="G169" s="214"/>
      <c r="H169" s="214"/>
      <c r="I169" s="214"/>
      <c r="J169" s="214"/>
      <c r="K169" s="214"/>
    </row>
    <row r="170" spans="4:11" ht="12.75" x14ac:dyDescent="0.2">
      <c r="D170" s="214"/>
      <c r="E170" s="214"/>
      <c r="F170" s="214"/>
      <c r="G170" s="214"/>
      <c r="H170" s="214"/>
      <c r="I170" s="214"/>
      <c r="J170" s="214"/>
      <c r="K170" s="214"/>
    </row>
    <row r="171" spans="4:11" ht="12.75" x14ac:dyDescent="0.2">
      <c r="D171" s="214"/>
      <c r="E171" s="214"/>
      <c r="F171" s="214"/>
      <c r="G171" s="214"/>
      <c r="H171" s="214"/>
      <c r="I171" s="214"/>
      <c r="J171" s="214"/>
      <c r="K171" s="214"/>
    </row>
    <row r="172" spans="4:11" ht="12.75" x14ac:dyDescent="0.2">
      <c r="D172" s="214"/>
      <c r="E172" s="214"/>
      <c r="F172" s="214"/>
      <c r="G172" s="214"/>
      <c r="H172" s="214"/>
      <c r="I172" s="214"/>
      <c r="J172" s="214"/>
      <c r="K172" s="214"/>
    </row>
    <row r="173" spans="4:11" ht="12.75" x14ac:dyDescent="0.2">
      <c r="D173" s="214"/>
      <c r="E173" s="214"/>
      <c r="F173" s="214"/>
      <c r="G173" s="214"/>
      <c r="H173" s="214"/>
      <c r="I173" s="214"/>
      <c r="J173" s="214"/>
      <c r="K173" s="214"/>
    </row>
    <row r="174" spans="4:11" ht="12.75" x14ac:dyDescent="0.2">
      <c r="D174" s="214"/>
      <c r="E174" s="214"/>
      <c r="F174" s="214"/>
      <c r="G174" s="214"/>
      <c r="H174" s="214"/>
      <c r="I174" s="214"/>
      <c r="J174" s="214"/>
      <c r="K174" s="214"/>
    </row>
    <row r="175" spans="4:11" ht="12.75" x14ac:dyDescent="0.2">
      <c r="D175" s="214"/>
      <c r="E175" s="214"/>
      <c r="F175" s="214"/>
      <c r="G175" s="214"/>
      <c r="H175" s="214"/>
      <c r="I175" s="214"/>
      <c r="J175" s="214"/>
      <c r="K175" s="214"/>
    </row>
    <row r="176" spans="4:11" ht="12.75" x14ac:dyDescent="0.2">
      <c r="D176" s="214"/>
      <c r="E176" s="214"/>
      <c r="F176" s="214"/>
      <c r="G176" s="214"/>
      <c r="H176" s="214"/>
      <c r="I176" s="214"/>
      <c r="J176" s="214"/>
      <c r="K176" s="214"/>
    </row>
    <row r="177" spans="4:11" ht="12.75" x14ac:dyDescent="0.2">
      <c r="D177" s="214"/>
      <c r="E177" s="214"/>
      <c r="F177" s="214"/>
      <c r="G177" s="214"/>
      <c r="H177" s="214"/>
      <c r="I177" s="214"/>
      <c r="J177" s="214"/>
      <c r="K177" s="214"/>
    </row>
    <row r="178" spans="4:11" ht="12.75" x14ac:dyDescent="0.2">
      <c r="D178" s="214"/>
      <c r="E178" s="214"/>
      <c r="F178" s="214"/>
      <c r="G178" s="214"/>
      <c r="H178" s="214"/>
      <c r="I178" s="214"/>
      <c r="J178" s="214"/>
      <c r="K178" s="214"/>
    </row>
    <row r="179" spans="4:11" ht="12.75" x14ac:dyDescent="0.2">
      <c r="D179" s="214"/>
      <c r="E179" s="214"/>
      <c r="F179" s="214"/>
      <c r="G179" s="214"/>
      <c r="H179" s="214"/>
      <c r="I179" s="214"/>
      <c r="J179" s="214"/>
      <c r="K179" s="214"/>
    </row>
    <row r="180" spans="4:11" ht="12.75" x14ac:dyDescent="0.2">
      <c r="D180" s="214"/>
      <c r="E180" s="214"/>
      <c r="F180" s="214"/>
      <c r="G180" s="214"/>
      <c r="H180" s="214"/>
      <c r="I180" s="214"/>
      <c r="J180" s="214"/>
      <c r="K180" s="214"/>
    </row>
    <row r="181" spans="4:11" ht="12.75" x14ac:dyDescent="0.2">
      <c r="D181" s="214"/>
      <c r="E181" s="214"/>
      <c r="F181" s="214"/>
      <c r="G181" s="214"/>
      <c r="H181" s="214"/>
      <c r="I181" s="214"/>
      <c r="J181" s="214"/>
      <c r="K181" s="214"/>
    </row>
    <row r="182" spans="4:11" ht="12.75" x14ac:dyDescent="0.2">
      <c r="D182" s="214"/>
      <c r="E182" s="214"/>
      <c r="F182" s="214"/>
      <c r="G182" s="214"/>
      <c r="H182" s="214"/>
      <c r="I182" s="214"/>
      <c r="J182" s="214"/>
      <c r="K182" s="214"/>
    </row>
    <row r="183" spans="4:11" ht="12.75" x14ac:dyDescent="0.2">
      <c r="D183" s="214"/>
      <c r="E183" s="214"/>
      <c r="F183" s="214"/>
      <c r="G183" s="214"/>
      <c r="H183" s="214"/>
      <c r="I183" s="214"/>
      <c r="J183" s="214"/>
      <c r="K183" s="214"/>
    </row>
    <row r="184" spans="4:11" ht="12.75" x14ac:dyDescent="0.2">
      <c r="D184" s="214"/>
      <c r="E184" s="214"/>
      <c r="F184" s="214"/>
      <c r="G184" s="214"/>
      <c r="H184" s="214"/>
      <c r="I184" s="214"/>
      <c r="J184" s="214"/>
      <c r="K184" s="214"/>
    </row>
    <row r="185" spans="4:11" ht="12.75" x14ac:dyDescent="0.2">
      <c r="D185" s="214"/>
      <c r="E185" s="214"/>
      <c r="F185" s="214"/>
      <c r="G185" s="214"/>
      <c r="H185" s="214"/>
      <c r="I185" s="214"/>
      <c r="J185" s="214"/>
      <c r="K185" s="214"/>
    </row>
    <row r="186" spans="4:11" ht="12.75" x14ac:dyDescent="0.2">
      <c r="D186" s="214"/>
      <c r="E186" s="214"/>
      <c r="F186" s="214"/>
      <c r="G186" s="214"/>
      <c r="H186" s="214"/>
      <c r="I186" s="214"/>
      <c r="J186" s="214"/>
      <c r="K186" s="214"/>
    </row>
    <row r="187" spans="4:11" ht="12.75" x14ac:dyDescent="0.2">
      <c r="D187" s="214"/>
      <c r="E187" s="214"/>
      <c r="F187" s="214"/>
      <c r="G187" s="214"/>
      <c r="H187" s="214"/>
      <c r="I187" s="214"/>
      <c r="J187" s="214"/>
      <c r="K187" s="214"/>
    </row>
    <row r="188" spans="4:11" ht="12.75" x14ac:dyDescent="0.2">
      <c r="D188" s="214"/>
      <c r="E188" s="214"/>
      <c r="F188" s="214"/>
      <c r="G188" s="214"/>
      <c r="H188" s="214"/>
      <c r="I188" s="214"/>
      <c r="J188" s="214"/>
      <c r="K188" s="214"/>
    </row>
    <row r="189" spans="4:11" ht="12.75" x14ac:dyDescent="0.2">
      <c r="D189" s="214"/>
      <c r="E189" s="214"/>
      <c r="F189" s="214"/>
      <c r="G189" s="214"/>
      <c r="H189" s="214"/>
      <c r="I189" s="214"/>
      <c r="J189" s="214"/>
      <c r="K189" s="214"/>
    </row>
    <row r="190" spans="4:11" ht="12.75" x14ac:dyDescent="0.2">
      <c r="D190" s="214"/>
      <c r="E190" s="214"/>
      <c r="F190" s="214"/>
      <c r="G190" s="214"/>
      <c r="H190" s="214"/>
      <c r="I190" s="214"/>
      <c r="J190" s="214"/>
      <c r="K190" s="214"/>
    </row>
    <row r="191" spans="4:11" ht="12.75" x14ac:dyDescent="0.2">
      <c r="D191" s="214"/>
      <c r="E191" s="214"/>
      <c r="F191" s="214"/>
      <c r="G191" s="214"/>
      <c r="H191" s="214"/>
      <c r="I191" s="214"/>
      <c r="J191" s="214"/>
      <c r="K191" s="214"/>
    </row>
    <row r="192" spans="4:11" ht="12.75" x14ac:dyDescent="0.2">
      <c r="D192" s="214"/>
      <c r="E192" s="214"/>
      <c r="F192" s="214"/>
      <c r="G192" s="214"/>
      <c r="H192" s="214"/>
      <c r="I192" s="214"/>
      <c r="J192" s="214"/>
      <c r="K192" s="214"/>
    </row>
    <row r="193" spans="4:11" ht="12.75" x14ac:dyDescent="0.2">
      <c r="D193" s="214"/>
      <c r="E193" s="214"/>
      <c r="F193" s="214"/>
      <c r="G193" s="214"/>
      <c r="H193" s="214"/>
      <c r="I193" s="214"/>
      <c r="J193" s="214"/>
      <c r="K193" s="214"/>
    </row>
    <row r="194" spans="4:11" ht="12.75" x14ac:dyDescent="0.2">
      <c r="D194" s="214"/>
      <c r="E194" s="214"/>
      <c r="F194" s="214"/>
      <c r="G194" s="214"/>
      <c r="H194" s="214"/>
      <c r="I194" s="214"/>
      <c r="J194" s="214"/>
      <c r="K194" s="214"/>
    </row>
    <row r="195" spans="4:11" ht="12.75" x14ac:dyDescent="0.2">
      <c r="D195" s="214"/>
      <c r="E195" s="214"/>
      <c r="F195" s="214"/>
      <c r="G195" s="214"/>
      <c r="H195" s="214"/>
      <c r="I195" s="214"/>
      <c r="J195" s="214"/>
      <c r="K195" s="214"/>
    </row>
    <row r="196" spans="4:11" ht="12.75" x14ac:dyDescent="0.2">
      <c r="D196" s="214"/>
      <c r="E196" s="214"/>
      <c r="F196" s="214"/>
      <c r="G196" s="214"/>
      <c r="H196" s="214"/>
      <c r="I196" s="214"/>
      <c r="J196" s="214"/>
      <c r="K196" s="214"/>
    </row>
    <row r="197" spans="4:11" ht="12.75" x14ac:dyDescent="0.2">
      <c r="D197" s="214"/>
      <c r="E197" s="214"/>
      <c r="F197" s="214"/>
      <c r="G197" s="214"/>
      <c r="H197" s="214"/>
      <c r="I197" s="214"/>
      <c r="J197" s="214"/>
      <c r="K197" s="214"/>
    </row>
    <row r="198" spans="4:11" ht="12.75" x14ac:dyDescent="0.2">
      <c r="D198" s="214"/>
      <c r="E198" s="214"/>
      <c r="F198" s="214"/>
      <c r="G198" s="214"/>
      <c r="H198" s="214"/>
      <c r="I198" s="214"/>
      <c r="J198" s="214"/>
      <c r="K198" s="214"/>
    </row>
    <row r="199" spans="4:11" ht="12.75" x14ac:dyDescent="0.2">
      <c r="D199" s="214"/>
      <c r="E199" s="214"/>
      <c r="F199" s="214"/>
      <c r="G199" s="214"/>
      <c r="H199" s="214"/>
      <c r="I199" s="214"/>
      <c r="J199" s="214"/>
      <c r="K199" s="214"/>
    </row>
    <row r="200" spans="4:11" ht="12.75" x14ac:dyDescent="0.2">
      <c r="D200" s="214"/>
      <c r="E200" s="214"/>
      <c r="F200" s="214"/>
      <c r="G200" s="214"/>
      <c r="H200" s="214"/>
      <c r="I200" s="214"/>
      <c r="J200" s="214"/>
      <c r="K200" s="214"/>
    </row>
    <row r="201" spans="4:11" ht="12.75" x14ac:dyDescent="0.2">
      <c r="D201" s="214"/>
      <c r="E201" s="214"/>
      <c r="F201" s="214"/>
      <c r="G201" s="214"/>
      <c r="H201" s="214"/>
      <c r="I201" s="214"/>
      <c r="J201" s="214"/>
      <c r="K201" s="214"/>
    </row>
    <row r="202" spans="4:11" ht="12.75" x14ac:dyDescent="0.2">
      <c r="D202" s="214"/>
      <c r="E202" s="214"/>
      <c r="F202" s="214"/>
      <c r="G202" s="214"/>
      <c r="H202" s="214"/>
      <c r="I202" s="214"/>
      <c r="J202" s="214"/>
      <c r="K202" s="214"/>
    </row>
    <row r="203" spans="4:11" ht="12.75" x14ac:dyDescent="0.2">
      <c r="D203" s="214"/>
      <c r="E203" s="214"/>
      <c r="F203" s="214"/>
      <c r="G203" s="214"/>
      <c r="H203" s="214"/>
      <c r="I203" s="214"/>
      <c r="J203" s="214"/>
      <c r="K203" s="214"/>
    </row>
    <row r="204" spans="4:11" ht="12.75" x14ac:dyDescent="0.2">
      <c r="D204" s="214"/>
      <c r="E204" s="214"/>
      <c r="F204" s="214"/>
      <c r="G204" s="214"/>
      <c r="H204" s="214"/>
      <c r="I204" s="214"/>
      <c r="J204" s="214"/>
      <c r="K204" s="214"/>
    </row>
    <row r="205" spans="4:11" ht="12.75" x14ac:dyDescent="0.2">
      <c r="D205" s="214"/>
      <c r="E205" s="214"/>
      <c r="F205" s="214"/>
      <c r="G205" s="214"/>
      <c r="H205" s="214"/>
      <c r="I205" s="214"/>
      <c r="J205" s="214"/>
      <c r="K205" s="214"/>
    </row>
    <row r="206" spans="4:11" ht="12.75" x14ac:dyDescent="0.2">
      <c r="D206" s="214"/>
      <c r="E206" s="214"/>
      <c r="F206" s="214"/>
      <c r="G206" s="214"/>
      <c r="H206" s="214"/>
      <c r="I206" s="214"/>
      <c r="J206" s="214"/>
      <c r="K206" s="214"/>
    </row>
    <row r="207" spans="4:11" ht="12.75" x14ac:dyDescent="0.2">
      <c r="D207" s="214"/>
      <c r="E207" s="214"/>
      <c r="F207" s="214"/>
      <c r="G207" s="214"/>
      <c r="H207" s="214"/>
      <c r="I207" s="214"/>
      <c r="J207" s="214"/>
      <c r="K207" s="214"/>
    </row>
    <row r="208" spans="4:11" ht="12.75" x14ac:dyDescent="0.2">
      <c r="D208" s="214"/>
      <c r="E208" s="214"/>
      <c r="F208" s="214"/>
      <c r="G208" s="214"/>
      <c r="H208" s="214"/>
      <c r="I208" s="214"/>
      <c r="J208" s="214"/>
      <c r="K208" s="214"/>
    </row>
    <row r="209" spans="4:11" ht="12.75" x14ac:dyDescent="0.2">
      <c r="D209" s="214"/>
      <c r="E209" s="214"/>
      <c r="F209" s="214"/>
      <c r="G209" s="214"/>
      <c r="H209" s="214"/>
      <c r="I209" s="214"/>
      <c r="J209" s="214"/>
      <c r="K209" s="214"/>
    </row>
    <row r="210" spans="4:11" ht="12.75" x14ac:dyDescent="0.2">
      <c r="D210" s="214"/>
      <c r="E210" s="214"/>
      <c r="F210" s="214"/>
      <c r="G210" s="214"/>
      <c r="H210" s="214"/>
      <c r="I210" s="214"/>
      <c r="J210" s="214"/>
      <c r="K210" s="214"/>
    </row>
    <row r="211" spans="4:11" ht="12.75" x14ac:dyDescent="0.2">
      <c r="D211" s="214"/>
      <c r="E211" s="214"/>
      <c r="F211" s="214"/>
      <c r="G211" s="214"/>
      <c r="H211" s="214"/>
      <c r="I211" s="214"/>
      <c r="J211" s="214"/>
      <c r="K211" s="214"/>
    </row>
    <row r="212" spans="4:11" ht="12.75" x14ac:dyDescent="0.2">
      <c r="D212" s="214"/>
      <c r="E212" s="214"/>
      <c r="F212" s="214"/>
      <c r="G212" s="214"/>
      <c r="H212" s="214"/>
      <c r="I212" s="214"/>
      <c r="J212" s="214"/>
      <c r="K212" s="214"/>
    </row>
    <row r="213" spans="4:11" ht="12.75" x14ac:dyDescent="0.2">
      <c r="D213" s="214"/>
      <c r="E213" s="214"/>
      <c r="F213" s="214"/>
      <c r="G213" s="214"/>
      <c r="H213" s="214"/>
      <c r="I213" s="214"/>
      <c r="J213" s="214"/>
      <c r="K213" s="214"/>
    </row>
    <row r="214" spans="4:11" ht="12.75" x14ac:dyDescent="0.2">
      <c r="D214" s="214"/>
      <c r="E214" s="214"/>
      <c r="F214" s="214"/>
      <c r="G214" s="214"/>
      <c r="H214" s="214"/>
      <c r="I214" s="214"/>
      <c r="J214" s="214"/>
      <c r="K214" s="214"/>
    </row>
    <row r="215" spans="4:11" ht="12.75" x14ac:dyDescent="0.2">
      <c r="D215" s="214"/>
      <c r="E215" s="214"/>
      <c r="F215" s="214"/>
      <c r="G215" s="214"/>
      <c r="H215" s="214"/>
      <c r="I215" s="214"/>
      <c r="J215" s="214"/>
      <c r="K215" s="214"/>
    </row>
    <row r="216" spans="4:11" ht="12.75" x14ac:dyDescent="0.2">
      <c r="D216" s="214"/>
      <c r="E216" s="214"/>
      <c r="F216" s="214"/>
      <c r="G216" s="214"/>
      <c r="H216" s="214"/>
      <c r="I216" s="214"/>
      <c r="J216" s="214"/>
      <c r="K216" s="214"/>
    </row>
    <row r="217" spans="4:11" ht="12.75" x14ac:dyDescent="0.2">
      <c r="D217" s="214"/>
      <c r="E217" s="214"/>
      <c r="F217" s="214"/>
      <c r="G217" s="214"/>
      <c r="H217" s="214"/>
      <c r="I217" s="214"/>
      <c r="J217" s="214"/>
      <c r="K217" s="214"/>
    </row>
    <row r="218" spans="4:11" ht="12.75" x14ac:dyDescent="0.2">
      <c r="D218" s="214"/>
      <c r="E218" s="214"/>
      <c r="F218" s="214"/>
      <c r="G218" s="214"/>
      <c r="H218" s="214"/>
      <c r="I218" s="214"/>
      <c r="J218" s="214"/>
      <c r="K218" s="214"/>
    </row>
    <row r="219" spans="4:11" ht="12.75" x14ac:dyDescent="0.2">
      <c r="D219" s="214"/>
      <c r="E219" s="214"/>
      <c r="F219" s="214"/>
      <c r="G219" s="214"/>
      <c r="H219" s="214"/>
      <c r="I219" s="214"/>
      <c r="J219" s="214"/>
      <c r="K219" s="214"/>
    </row>
    <row r="220" spans="4:11" ht="12.75" x14ac:dyDescent="0.2">
      <c r="D220" s="214"/>
      <c r="E220" s="214"/>
      <c r="F220" s="214"/>
      <c r="G220" s="214"/>
      <c r="H220" s="214"/>
      <c r="I220" s="214"/>
      <c r="J220" s="214"/>
      <c r="K220" s="214"/>
    </row>
    <row r="221" spans="4:11" ht="12.75" x14ac:dyDescent="0.2">
      <c r="D221" s="214"/>
      <c r="E221" s="214"/>
      <c r="F221" s="214"/>
      <c r="G221" s="214"/>
      <c r="H221" s="214"/>
      <c r="I221" s="214"/>
      <c r="J221" s="214"/>
      <c r="K221" s="214"/>
    </row>
    <row r="222" spans="4:11" ht="12.75" x14ac:dyDescent="0.2">
      <c r="D222" s="214"/>
      <c r="E222" s="214"/>
      <c r="F222" s="214"/>
      <c r="G222" s="214"/>
      <c r="H222" s="214"/>
      <c r="I222" s="214"/>
      <c r="J222" s="214"/>
      <c r="K222" s="214"/>
    </row>
    <row r="223" spans="4:11" ht="12.75" x14ac:dyDescent="0.2">
      <c r="D223" s="214"/>
      <c r="E223" s="214"/>
      <c r="F223" s="214"/>
      <c r="G223" s="214"/>
      <c r="H223" s="214"/>
      <c r="I223" s="214"/>
      <c r="J223" s="214"/>
      <c r="K223" s="214"/>
    </row>
    <row r="224" spans="4:11" ht="12.75" x14ac:dyDescent="0.2">
      <c r="D224" s="214"/>
      <c r="E224" s="214"/>
      <c r="F224" s="214"/>
      <c r="G224" s="214"/>
      <c r="H224" s="214"/>
      <c r="I224" s="214"/>
      <c r="J224" s="214"/>
      <c r="K224" s="214"/>
    </row>
    <row r="225" spans="4:11" ht="12.75" x14ac:dyDescent="0.2">
      <c r="D225" s="214"/>
      <c r="E225" s="214"/>
      <c r="F225" s="214"/>
      <c r="G225" s="214"/>
      <c r="H225" s="214"/>
      <c r="I225" s="214"/>
      <c r="J225" s="214"/>
      <c r="K225" s="214"/>
    </row>
    <row r="226" spans="4:11" ht="12.75" x14ac:dyDescent="0.2">
      <c r="D226" s="214"/>
      <c r="E226" s="214"/>
      <c r="F226" s="214"/>
      <c r="G226" s="214"/>
      <c r="H226" s="214"/>
      <c r="I226" s="214"/>
      <c r="J226" s="214"/>
      <c r="K226" s="214"/>
    </row>
    <row r="227" spans="4:11" ht="12.75" x14ac:dyDescent="0.2">
      <c r="D227" s="214"/>
      <c r="E227" s="214"/>
      <c r="F227" s="214"/>
      <c r="G227" s="214"/>
      <c r="H227" s="214"/>
      <c r="I227" s="214"/>
      <c r="J227" s="214"/>
      <c r="K227" s="214"/>
    </row>
    <row r="228" spans="4:11" ht="12.75" x14ac:dyDescent="0.2">
      <c r="D228" s="214"/>
      <c r="E228" s="214"/>
      <c r="F228" s="214"/>
      <c r="G228" s="214"/>
      <c r="H228" s="214"/>
      <c r="I228" s="214"/>
      <c r="J228" s="214"/>
      <c r="K228" s="214"/>
    </row>
    <row r="229" spans="4:11" ht="12.75" x14ac:dyDescent="0.2">
      <c r="D229" s="214"/>
      <c r="E229" s="214"/>
      <c r="F229" s="214"/>
      <c r="G229" s="214"/>
      <c r="H229" s="214"/>
      <c r="I229" s="214"/>
      <c r="J229" s="214"/>
      <c r="K229" s="214"/>
    </row>
    <row r="230" spans="4:11" ht="12.75" x14ac:dyDescent="0.2">
      <c r="D230" s="214"/>
      <c r="E230" s="214"/>
      <c r="F230" s="214"/>
      <c r="G230" s="214"/>
      <c r="H230" s="214"/>
      <c r="I230" s="214"/>
      <c r="J230" s="214"/>
      <c r="K230" s="214"/>
    </row>
    <row r="231" spans="4:11" ht="12.75" x14ac:dyDescent="0.2">
      <c r="D231" s="214"/>
      <c r="E231" s="214"/>
      <c r="F231" s="214"/>
      <c r="G231" s="214"/>
      <c r="H231" s="214"/>
      <c r="I231" s="214"/>
      <c r="J231" s="214"/>
      <c r="K231" s="214"/>
    </row>
    <row r="232" spans="4:11" ht="12.75" x14ac:dyDescent="0.2">
      <c r="D232" s="214"/>
      <c r="E232" s="214"/>
      <c r="F232" s="214"/>
      <c r="G232" s="214"/>
      <c r="H232" s="214"/>
      <c r="I232" s="214"/>
      <c r="J232" s="214"/>
      <c r="K232" s="214"/>
    </row>
    <row r="233" spans="4:11" ht="12.75" x14ac:dyDescent="0.2">
      <c r="D233" s="214"/>
      <c r="E233" s="214"/>
      <c r="F233" s="214"/>
      <c r="G233" s="214"/>
      <c r="H233" s="214"/>
      <c r="I233" s="214"/>
      <c r="J233" s="214"/>
      <c r="K233" s="214"/>
    </row>
    <row r="234" spans="4:11" ht="12.75" x14ac:dyDescent="0.2">
      <c r="D234" s="214"/>
      <c r="E234" s="214"/>
      <c r="F234" s="214"/>
      <c r="G234" s="214"/>
      <c r="H234" s="214"/>
      <c r="I234" s="214"/>
      <c r="J234" s="214"/>
      <c r="K234" s="214"/>
    </row>
    <row r="235" spans="4:11" ht="12.75" x14ac:dyDescent="0.2">
      <c r="D235" s="214"/>
      <c r="E235" s="214"/>
      <c r="F235" s="214"/>
      <c r="G235" s="214"/>
      <c r="H235" s="214"/>
      <c r="I235" s="214"/>
      <c r="J235" s="214"/>
      <c r="K235" s="214"/>
    </row>
    <row r="236" spans="4:11" ht="12.75" x14ac:dyDescent="0.2">
      <c r="D236" s="214"/>
      <c r="E236" s="214"/>
      <c r="F236" s="214"/>
      <c r="G236" s="214"/>
      <c r="H236" s="214"/>
      <c r="I236" s="214"/>
      <c r="J236" s="214"/>
      <c r="K236" s="214"/>
    </row>
    <row r="237" spans="4:11" ht="12.75" x14ac:dyDescent="0.2">
      <c r="D237" s="214"/>
      <c r="E237" s="214"/>
      <c r="F237" s="214"/>
      <c r="G237" s="214"/>
      <c r="H237" s="214"/>
      <c r="I237" s="214"/>
      <c r="J237" s="214"/>
      <c r="K237" s="214"/>
    </row>
    <row r="238" spans="4:11" ht="12.75" x14ac:dyDescent="0.2">
      <c r="D238" s="214"/>
      <c r="E238" s="214"/>
      <c r="F238" s="214"/>
      <c r="G238" s="214"/>
      <c r="H238" s="214"/>
      <c r="I238" s="214"/>
      <c r="J238" s="214"/>
      <c r="K238" s="214"/>
    </row>
    <row r="239" spans="4:11" ht="12.75" x14ac:dyDescent="0.2">
      <c r="D239" s="214"/>
      <c r="E239" s="214"/>
      <c r="F239" s="214"/>
      <c r="G239" s="214"/>
      <c r="H239" s="214"/>
      <c r="I239" s="214"/>
      <c r="J239" s="214"/>
      <c r="K239" s="214"/>
    </row>
    <row r="240" spans="4:11" ht="12.75" x14ac:dyDescent="0.2">
      <c r="D240" s="214"/>
      <c r="E240" s="214"/>
      <c r="F240" s="214"/>
      <c r="G240" s="214"/>
      <c r="H240" s="214"/>
      <c r="I240" s="214"/>
      <c r="J240" s="214"/>
      <c r="K240" s="214"/>
    </row>
    <row r="241" spans="4:11" ht="12.75" x14ac:dyDescent="0.2">
      <c r="D241" s="214"/>
      <c r="E241" s="214"/>
      <c r="F241" s="214"/>
      <c r="G241" s="214"/>
      <c r="H241" s="214"/>
      <c r="I241" s="214"/>
      <c r="J241" s="214"/>
      <c r="K241" s="214"/>
    </row>
    <row r="242" spans="4:11" ht="12.75" x14ac:dyDescent="0.2">
      <c r="D242" s="214"/>
      <c r="E242" s="214"/>
      <c r="F242" s="214"/>
      <c r="G242" s="214"/>
      <c r="H242" s="214"/>
      <c r="I242" s="214"/>
      <c r="J242" s="214"/>
      <c r="K242" s="214"/>
    </row>
    <row r="243" spans="4:11" ht="12.75" x14ac:dyDescent="0.2">
      <c r="D243" s="214"/>
      <c r="E243" s="214"/>
      <c r="F243" s="214"/>
      <c r="G243" s="214"/>
      <c r="H243" s="214"/>
      <c r="I243" s="214"/>
      <c r="J243" s="214"/>
      <c r="K243" s="214"/>
    </row>
    <row r="244" spans="4:11" ht="12.75" x14ac:dyDescent="0.2">
      <c r="D244" s="214"/>
      <c r="E244" s="214"/>
      <c r="F244" s="214"/>
      <c r="G244" s="214"/>
      <c r="H244" s="214"/>
      <c r="I244" s="214"/>
      <c r="J244" s="214"/>
      <c r="K244" s="214"/>
    </row>
    <row r="245" spans="4:11" ht="12.75" x14ac:dyDescent="0.2">
      <c r="D245" s="214"/>
      <c r="E245" s="214"/>
      <c r="F245" s="214"/>
      <c r="G245" s="214"/>
      <c r="H245" s="214"/>
      <c r="I245" s="214"/>
      <c r="J245" s="214"/>
      <c r="K245" s="214"/>
    </row>
    <row r="246" spans="4:11" ht="12.75" x14ac:dyDescent="0.2">
      <c r="D246" s="214"/>
      <c r="E246" s="214"/>
      <c r="F246" s="214"/>
      <c r="G246" s="214"/>
      <c r="H246" s="214"/>
      <c r="I246" s="214"/>
      <c r="J246" s="214"/>
      <c r="K246" s="214"/>
    </row>
    <row r="247" spans="4:11" ht="12.75" x14ac:dyDescent="0.2">
      <c r="D247" s="214"/>
      <c r="E247" s="214"/>
      <c r="F247" s="214"/>
      <c r="G247" s="214"/>
      <c r="H247" s="214"/>
      <c r="I247" s="214"/>
      <c r="J247" s="214"/>
      <c r="K247" s="214"/>
    </row>
    <row r="248" spans="4:11" ht="12.75" x14ac:dyDescent="0.2">
      <c r="D248" s="214"/>
      <c r="E248" s="214"/>
      <c r="F248" s="214"/>
      <c r="G248" s="214"/>
      <c r="H248" s="214"/>
      <c r="I248" s="214"/>
      <c r="J248" s="214"/>
      <c r="K248" s="214"/>
    </row>
    <row r="249" spans="4:11" ht="12.75" x14ac:dyDescent="0.2">
      <c r="D249" s="214"/>
      <c r="E249" s="214"/>
      <c r="F249" s="214"/>
      <c r="G249" s="214"/>
      <c r="H249" s="214"/>
      <c r="I249" s="214"/>
      <c r="J249" s="214"/>
      <c r="K249" s="214"/>
    </row>
    <row r="250" spans="4:11" ht="12.75" x14ac:dyDescent="0.2">
      <c r="D250" s="214"/>
      <c r="E250" s="214"/>
      <c r="F250" s="214"/>
      <c r="G250" s="214"/>
      <c r="H250" s="214"/>
      <c r="I250" s="214"/>
      <c r="J250" s="214"/>
      <c r="K250" s="214"/>
    </row>
    <row r="251" spans="4:11" ht="12.75" x14ac:dyDescent="0.2">
      <c r="D251" s="214"/>
      <c r="E251" s="214"/>
      <c r="F251" s="214"/>
      <c r="G251" s="214"/>
      <c r="H251" s="214"/>
      <c r="I251" s="214"/>
      <c r="J251" s="214"/>
      <c r="K251" s="214"/>
    </row>
    <row r="252" spans="4:11" ht="12.75" x14ac:dyDescent="0.2">
      <c r="D252" s="214"/>
      <c r="E252" s="214"/>
      <c r="F252" s="214"/>
      <c r="G252" s="214"/>
      <c r="H252" s="214"/>
      <c r="I252" s="214"/>
      <c r="J252" s="214"/>
      <c r="K252" s="214"/>
    </row>
    <row r="253" spans="4:11" ht="12.75" x14ac:dyDescent="0.2">
      <c r="D253" s="214"/>
      <c r="E253" s="214"/>
      <c r="F253" s="214"/>
      <c r="G253" s="214"/>
      <c r="H253" s="214"/>
      <c r="I253" s="214"/>
      <c r="J253" s="214"/>
      <c r="K253" s="214"/>
    </row>
    <row r="254" spans="4:11" ht="12.75" x14ac:dyDescent="0.2">
      <c r="D254" s="214"/>
      <c r="E254" s="214"/>
      <c r="F254" s="214"/>
      <c r="G254" s="214"/>
      <c r="H254" s="214"/>
      <c r="I254" s="214"/>
      <c r="J254" s="214"/>
      <c r="K254" s="214"/>
    </row>
    <row r="255" spans="4:11" ht="12.75" x14ac:dyDescent="0.2">
      <c r="D255" s="214"/>
      <c r="E255" s="214"/>
      <c r="F255" s="214"/>
      <c r="G255" s="214"/>
      <c r="H255" s="214"/>
      <c r="I255" s="214"/>
      <c r="J255" s="214"/>
      <c r="K255" s="214"/>
    </row>
    <row r="256" spans="4:11" ht="12.75" x14ac:dyDescent="0.2">
      <c r="D256" s="214"/>
      <c r="E256" s="214"/>
      <c r="F256" s="214"/>
      <c r="G256" s="214"/>
      <c r="H256" s="214"/>
      <c r="I256" s="214"/>
      <c r="J256" s="214"/>
      <c r="K256" s="214"/>
    </row>
    <row r="257" spans="4:11" ht="12.75" x14ac:dyDescent="0.2">
      <c r="D257" s="214"/>
      <c r="E257" s="214"/>
      <c r="F257" s="214"/>
      <c r="G257" s="214"/>
      <c r="H257" s="214"/>
      <c r="I257" s="214"/>
      <c r="J257" s="214"/>
      <c r="K257" s="214"/>
    </row>
    <row r="258" spans="4:11" ht="12.75" x14ac:dyDescent="0.2">
      <c r="D258" s="214"/>
      <c r="E258" s="214"/>
      <c r="F258" s="214"/>
      <c r="G258" s="214"/>
      <c r="H258" s="214"/>
      <c r="I258" s="214"/>
      <c r="J258" s="214"/>
      <c r="K258" s="214"/>
    </row>
    <row r="259" spans="4:11" ht="12.75" x14ac:dyDescent="0.2">
      <c r="D259" s="214"/>
      <c r="E259" s="214"/>
      <c r="F259" s="214"/>
      <c r="G259" s="214"/>
      <c r="H259" s="214"/>
      <c r="I259" s="214"/>
      <c r="J259" s="214"/>
      <c r="K259" s="214"/>
    </row>
    <row r="260" spans="4:11" ht="12.75" x14ac:dyDescent="0.2">
      <c r="D260" s="214"/>
      <c r="E260" s="214"/>
      <c r="F260" s="214"/>
      <c r="G260" s="214"/>
      <c r="H260" s="214"/>
      <c r="I260" s="214"/>
      <c r="J260" s="214"/>
      <c r="K260" s="214"/>
    </row>
    <row r="261" spans="4:11" ht="12.75" x14ac:dyDescent="0.2">
      <c r="D261" s="214"/>
      <c r="E261" s="214"/>
      <c r="F261" s="214"/>
      <c r="G261" s="214"/>
      <c r="H261" s="214"/>
      <c r="I261" s="214"/>
      <c r="J261" s="214"/>
      <c r="K261" s="214"/>
    </row>
    <row r="262" spans="4:11" ht="12.75" x14ac:dyDescent="0.2">
      <c r="D262" s="214"/>
      <c r="E262" s="214"/>
      <c r="F262" s="214"/>
      <c r="G262" s="214"/>
      <c r="H262" s="214"/>
      <c r="I262" s="214"/>
      <c r="J262" s="214"/>
      <c r="K262" s="214"/>
    </row>
    <row r="263" spans="4:11" ht="12.75" x14ac:dyDescent="0.2">
      <c r="D263" s="214"/>
      <c r="E263" s="214"/>
      <c r="F263" s="214"/>
      <c r="G263" s="214"/>
      <c r="H263" s="214"/>
      <c r="I263" s="214"/>
      <c r="J263" s="214"/>
      <c r="K263" s="214"/>
    </row>
    <row r="264" spans="4:11" ht="12.75" x14ac:dyDescent="0.2">
      <c r="D264" s="214"/>
      <c r="E264" s="214"/>
      <c r="F264" s="214"/>
      <c r="G264" s="214"/>
      <c r="H264" s="214"/>
      <c r="I264" s="214"/>
      <c r="J264" s="214"/>
      <c r="K264" s="214"/>
    </row>
    <row r="265" spans="4:11" ht="12.75" x14ac:dyDescent="0.2">
      <c r="D265" s="214"/>
      <c r="E265" s="214"/>
      <c r="F265" s="214"/>
      <c r="G265" s="214"/>
      <c r="H265" s="214"/>
      <c r="I265" s="214"/>
      <c r="J265" s="214"/>
      <c r="K265" s="214"/>
    </row>
    <row r="266" spans="4:11" ht="12.75" x14ac:dyDescent="0.2">
      <c r="D266" s="214"/>
      <c r="E266" s="214"/>
      <c r="F266" s="214"/>
      <c r="G266" s="214"/>
      <c r="H266" s="214"/>
      <c r="I266" s="214"/>
      <c r="J266" s="214"/>
      <c r="K266" s="214"/>
    </row>
    <row r="267" spans="4:11" ht="12.75" x14ac:dyDescent="0.2">
      <c r="D267" s="214"/>
      <c r="E267" s="214"/>
      <c r="F267" s="214"/>
      <c r="G267" s="214"/>
      <c r="H267" s="214"/>
      <c r="I267" s="214"/>
      <c r="J267" s="214"/>
      <c r="K267" s="214"/>
    </row>
    <row r="268" spans="4:11" ht="12.75" x14ac:dyDescent="0.2">
      <c r="D268" s="214"/>
      <c r="E268" s="214"/>
      <c r="F268" s="214"/>
      <c r="G268" s="214"/>
      <c r="H268" s="214"/>
      <c r="I268" s="214"/>
      <c r="J268" s="214"/>
      <c r="K268" s="214"/>
    </row>
    <row r="269" spans="4:11" ht="12.75" x14ac:dyDescent="0.2">
      <c r="D269" s="214"/>
      <c r="E269" s="214"/>
      <c r="F269" s="214"/>
      <c r="G269" s="214"/>
      <c r="H269" s="214"/>
      <c r="I269" s="214"/>
      <c r="J269" s="214"/>
      <c r="K269" s="214"/>
    </row>
    <row r="270" spans="4:11" ht="12.75" x14ac:dyDescent="0.2">
      <c r="D270" s="214"/>
      <c r="E270" s="214"/>
      <c r="F270" s="214"/>
      <c r="G270" s="214"/>
      <c r="H270" s="214"/>
      <c r="I270" s="214"/>
      <c r="J270" s="214"/>
      <c r="K270" s="214"/>
    </row>
    <row r="271" spans="4:11" ht="12.75" x14ac:dyDescent="0.2">
      <c r="D271" s="214"/>
      <c r="E271" s="214"/>
      <c r="F271" s="214"/>
      <c r="G271" s="214"/>
      <c r="H271" s="214"/>
      <c r="I271" s="214"/>
      <c r="J271" s="214"/>
      <c r="K271" s="214"/>
    </row>
    <row r="272" spans="4:11" ht="12.75" x14ac:dyDescent="0.2">
      <c r="D272" s="214"/>
      <c r="E272" s="214"/>
      <c r="F272" s="214"/>
      <c r="G272" s="214"/>
      <c r="H272" s="214"/>
      <c r="I272" s="214"/>
      <c r="J272" s="214"/>
      <c r="K272" s="214"/>
    </row>
    <row r="273" spans="4:11" ht="12.75" x14ac:dyDescent="0.2">
      <c r="D273" s="214"/>
      <c r="E273" s="214"/>
      <c r="F273" s="214"/>
      <c r="G273" s="214"/>
      <c r="H273" s="214"/>
      <c r="I273" s="214"/>
      <c r="J273" s="214"/>
      <c r="K273" s="214"/>
    </row>
    <row r="274" spans="4:11" ht="12.75" x14ac:dyDescent="0.2">
      <c r="D274" s="214"/>
      <c r="E274" s="214"/>
      <c r="F274" s="214"/>
      <c r="G274" s="214"/>
      <c r="H274" s="214"/>
      <c r="I274" s="214"/>
      <c r="J274" s="214"/>
      <c r="K274" s="214"/>
    </row>
    <row r="275" spans="4:11" ht="12.75" x14ac:dyDescent="0.2">
      <c r="D275" s="214"/>
      <c r="E275" s="214"/>
      <c r="F275" s="214"/>
      <c r="G275" s="214"/>
      <c r="H275" s="214"/>
      <c r="I275" s="214"/>
      <c r="J275" s="214"/>
      <c r="K275" s="214"/>
    </row>
    <row r="276" spans="4:11" ht="12.75" x14ac:dyDescent="0.2">
      <c r="D276" s="214"/>
      <c r="E276" s="214"/>
      <c r="F276" s="214"/>
      <c r="G276" s="214"/>
      <c r="H276" s="214"/>
      <c r="I276" s="214"/>
      <c r="J276" s="214"/>
      <c r="K276" s="214"/>
    </row>
    <row r="277" spans="4:11" ht="12.75" x14ac:dyDescent="0.2">
      <c r="D277" s="214"/>
      <c r="E277" s="214"/>
      <c r="F277" s="214"/>
      <c r="G277" s="214"/>
      <c r="H277" s="214"/>
      <c r="I277" s="214"/>
      <c r="J277" s="214"/>
      <c r="K277" s="214"/>
    </row>
    <row r="278" spans="4:11" ht="12.75" x14ac:dyDescent="0.2">
      <c r="D278" s="214"/>
      <c r="E278" s="214"/>
      <c r="F278" s="214"/>
      <c r="G278" s="214"/>
      <c r="H278" s="214"/>
      <c r="I278" s="214"/>
      <c r="J278" s="214"/>
      <c r="K278" s="214"/>
    </row>
    <row r="279" spans="4:11" ht="12.75" x14ac:dyDescent="0.2">
      <c r="D279" s="214"/>
      <c r="E279" s="214"/>
      <c r="F279" s="214"/>
      <c r="G279" s="214"/>
      <c r="H279" s="214"/>
      <c r="I279" s="214"/>
      <c r="J279" s="214"/>
      <c r="K279" s="214"/>
    </row>
    <row r="280" spans="4:11" ht="12.75" x14ac:dyDescent="0.2">
      <c r="D280" s="214"/>
      <c r="E280" s="214"/>
      <c r="F280" s="214"/>
      <c r="G280" s="214"/>
      <c r="H280" s="214"/>
      <c r="I280" s="214"/>
      <c r="J280" s="214"/>
      <c r="K280" s="214"/>
    </row>
    <row r="281" spans="4:11" ht="12.75" x14ac:dyDescent="0.2">
      <c r="D281" s="214"/>
      <c r="E281" s="214"/>
      <c r="F281" s="214"/>
      <c r="G281" s="214"/>
      <c r="H281" s="214"/>
      <c r="I281" s="214"/>
      <c r="J281" s="214"/>
      <c r="K281" s="214"/>
    </row>
    <row r="282" spans="4:11" ht="12.75" x14ac:dyDescent="0.2">
      <c r="D282" s="214"/>
      <c r="E282" s="214"/>
      <c r="F282" s="214"/>
      <c r="G282" s="214"/>
      <c r="H282" s="214"/>
      <c r="I282" s="214"/>
      <c r="J282" s="214"/>
      <c r="K282" s="214"/>
    </row>
    <row r="283" spans="4:11" ht="12.75" x14ac:dyDescent="0.2">
      <c r="D283" s="214"/>
      <c r="E283" s="214"/>
      <c r="F283" s="214"/>
      <c r="G283" s="214"/>
      <c r="H283" s="214"/>
      <c r="I283" s="214"/>
      <c r="J283" s="214"/>
      <c r="K283" s="214"/>
    </row>
    <row r="284" spans="4:11" ht="12.75" x14ac:dyDescent="0.2">
      <c r="D284" s="214"/>
      <c r="E284" s="214"/>
      <c r="F284" s="214"/>
      <c r="G284" s="214"/>
      <c r="H284" s="214"/>
      <c r="I284" s="214"/>
      <c r="J284" s="214"/>
      <c r="K284" s="214"/>
    </row>
    <row r="285" spans="4:11" ht="12.75" x14ac:dyDescent="0.2">
      <c r="D285" s="214"/>
      <c r="E285" s="214"/>
      <c r="F285" s="214"/>
      <c r="G285" s="214"/>
      <c r="H285" s="214"/>
      <c r="I285" s="214"/>
      <c r="J285" s="214"/>
      <c r="K285" s="214"/>
    </row>
    <row r="286" spans="4:11" ht="12.75" x14ac:dyDescent="0.2">
      <c r="D286" s="214"/>
      <c r="E286" s="214"/>
      <c r="F286" s="214"/>
      <c r="G286" s="214"/>
      <c r="H286" s="214"/>
      <c r="I286" s="214"/>
      <c r="J286" s="214"/>
      <c r="K286" s="214"/>
    </row>
    <row r="287" spans="4:11" ht="12.75" x14ac:dyDescent="0.2">
      <c r="D287" s="214"/>
      <c r="E287" s="214"/>
      <c r="F287" s="214"/>
      <c r="G287" s="214"/>
      <c r="H287" s="214"/>
      <c r="I287" s="214"/>
      <c r="J287" s="214"/>
      <c r="K287" s="214"/>
    </row>
    <row r="288" spans="4:11" ht="12.75" x14ac:dyDescent="0.2">
      <c r="D288" s="214"/>
      <c r="E288" s="214"/>
      <c r="F288" s="214"/>
      <c r="G288" s="214"/>
      <c r="H288" s="214"/>
      <c r="I288" s="214"/>
      <c r="J288" s="214"/>
      <c r="K288" s="214"/>
    </row>
    <row r="289" spans="4:11" ht="12.75" x14ac:dyDescent="0.2">
      <c r="D289" s="214"/>
      <c r="E289" s="214"/>
      <c r="F289" s="214"/>
      <c r="G289" s="214"/>
      <c r="H289" s="214"/>
      <c r="I289" s="214"/>
      <c r="J289" s="214"/>
      <c r="K289" s="214"/>
    </row>
    <row r="290" spans="4:11" ht="12.75" x14ac:dyDescent="0.2">
      <c r="D290" s="214"/>
      <c r="E290" s="214"/>
      <c r="F290" s="214"/>
      <c r="G290" s="214"/>
      <c r="H290" s="214"/>
      <c r="I290" s="214"/>
      <c r="J290" s="214"/>
      <c r="K290" s="214"/>
    </row>
    <row r="291" spans="4:11" ht="12.75" x14ac:dyDescent="0.2">
      <c r="D291" s="214"/>
      <c r="E291" s="214"/>
      <c r="F291" s="214"/>
      <c r="G291" s="214"/>
      <c r="H291" s="214"/>
      <c r="I291" s="214"/>
      <c r="J291" s="214"/>
      <c r="K291" s="214"/>
    </row>
    <row r="292" spans="4:11" ht="12.75" x14ac:dyDescent="0.2">
      <c r="D292" s="214"/>
      <c r="E292" s="214"/>
      <c r="F292" s="214"/>
      <c r="G292" s="214"/>
      <c r="H292" s="214"/>
      <c r="I292" s="214"/>
      <c r="J292" s="214"/>
      <c r="K292" s="214"/>
    </row>
    <row r="293" spans="4:11" ht="12.75" x14ac:dyDescent="0.2">
      <c r="D293" s="214"/>
      <c r="E293" s="214"/>
      <c r="F293" s="214"/>
      <c r="G293" s="214"/>
      <c r="H293" s="214"/>
      <c r="I293" s="214"/>
      <c r="J293" s="214"/>
      <c r="K293" s="214"/>
    </row>
    <row r="294" spans="4:11" ht="12.75" x14ac:dyDescent="0.2">
      <c r="D294" s="214"/>
      <c r="E294" s="214"/>
      <c r="F294" s="214"/>
      <c r="G294" s="214"/>
      <c r="H294" s="214"/>
      <c r="I294" s="214"/>
      <c r="J294" s="214"/>
      <c r="K294" s="214"/>
    </row>
    <row r="295" spans="4:11" ht="12.75" x14ac:dyDescent="0.2">
      <c r="D295" s="214"/>
      <c r="E295" s="214"/>
      <c r="F295" s="214"/>
      <c r="G295" s="214"/>
      <c r="H295" s="214"/>
      <c r="I295" s="214"/>
      <c r="J295" s="214"/>
      <c r="K295" s="214"/>
    </row>
    <row r="296" spans="4:11" ht="12.75" x14ac:dyDescent="0.2">
      <c r="D296" s="214"/>
      <c r="E296" s="214"/>
      <c r="F296" s="214"/>
      <c r="G296" s="214"/>
      <c r="H296" s="214"/>
      <c r="I296" s="214"/>
      <c r="J296" s="214"/>
      <c r="K296" s="214"/>
    </row>
    <row r="297" spans="4:11" ht="12.75" x14ac:dyDescent="0.2">
      <c r="D297" s="214"/>
      <c r="E297" s="214"/>
      <c r="F297" s="214"/>
      <c r="G297" s="214"/>
      <c r="H297" s="214"/>
      <c r="I297" s="214"/>
      <c r="J297" s="214"/>
      <c r="K297" s="214"/>
    </row>
    <row r="298" spans="4:11" ht="12.75" x14ac:dyDescent="0.2">
      <c r="D298" s="214"/>
      <c r="E298" s="214"/>
      <c r="F298" s="214"/>
      <c r="G298" s="214"/>
      <c r="H298" s="214"/>
      <c r="I298" s="214"/>
      <c r="J298" s="214"/>
      <c r="K298" s="214"/>
    </row>
    <row r="299" spans="4:11" ht="12.75" x14ac:dyDescent="0.2">
      <c r="D299" s="214"/>
      <c r="E299" s="214"/>
      <c r="F299" s="214"/>
      <c r="G299" s="214"/>
      <c r="H299" s="214"/>
      <c r="I299" s="214"/>
      <c r="J299" s="214"/>
      <c r="K299" s="214"/>
    </row>
    <row r="300" spans="4:11" ht="12.75" x14ac:dyDescent="0.2">
      <c r="D300" s="214"/>
      <c r="E300" s="214"/>
      <c r="F300" s="214"/>
      <c r="G300" s="214"/>
      <c r="H300" s="214"/>
      <c r="I300" s="214"/>
      <c r="J300" s="214"/>
      <c r="K300" s="214"/>
    </row>
    <row r="301" spans="4:11" ht="12.75" x14ac:dyDescent="0.2">
      <c r="D301" s="214"/>
      <c r="E301" s="214"/>
      <c r="F301" s="214"/>
      <c r="G301" s="214"/>
      <c r="H301" s="214"/>
      <c r="I301" s="214"/>
      <c r="J301" s="214"/>
      <c r="K301" s="214"/>
    </row>
    <row r="302" spans="4:11" ht="12.75" x14ac:dyDescent="0.2">
      <c r="D302" s="214"/>
      <c r="E302" s="214"/>
      <c r="F302" s="214"/>
      <c r="G302" s="214"/>
      <c r="H302" s="214"/>
      <c r="I302" s="214"/>
      <c r="J302" s="214"/>
      <c r="K302" s="214"/>
    </row>
    <row r="303" spans="4:11" ht="12.75" x14ac:dyDescent="0.2">
      <c r="D303" s="214"/>
      <c r="E303" s="214"/>
      <c r="F303" s="214"/>
      <c r="G303" s="214"/>
      <c r="H303" s="214"/>
      <c r="I303" s="214"/>
      <c r="J303" s="214"/>
      <c r="K303" s="214"/>
    </row>
    <row r="304" spans="4:11" ht="12.75" x14ac:dyDescent="0.2">
      <c r="D304" s="214"/>
      <c r="E304" s="214"/>
      <c r="F304" s="214"/>
      <c r="G304" s="214"/>
      <c r="H304" s="214"/>
      <c r="I304" s="214"/>
      <c r="J304" s="214"/>
      <c r="K304" s="214"/>
    </row>
    <row r="305" spans="4:11" ht="12.75" x14ac:dyDescent="0.2">
      <c r="D305" s="214"/>
      <c r="E305" s="214"/>
      <c r="F305" s="214"/>
      <c r="G305" s="214"/>
      <c r="H305" s="214"/>
      <c r="I305" s="214"/>
      <c r="J305" s="214"/>
      <c r="K305" s="214"/>
    </row>
    <row r="306" spans="4:11" ht="12.75" x14ac:dyDescent="0.2">
      <c r="D306" s="214"/>
      <c r="E306" s="214"/>
      <c r="F306" s="214"/>
      <c r="G306" s="214"/>
      <c r="H306" s="214"/>
      <c r="I306" s="214"/>
      <c r="J306" s="214"/>
      <c r="K306" s="214"/>
    </row>
    <row r="307" spans="4:11" ht="12.75" x14ac:dyDescent="0.2">
      <c r="D307" s="214"/>
      <c r="E307" s="214"/>
      <c r="F307" s="214"/>
      <c r="G307" s="214"/>
      <c r="H307" s="214"/>
      <c r="I307" s="214"/>
      <c r="J307" s="214"/>
      <c r="K307" s="214"/>
    </row>
    <row r="308" spans="4:11" ht="12.75" x14ac:dyDescent="0.2">
      <c r="D308" s="214"/>
      <c r="E308" s="214"/>
      <c r="F308" s="214"/>
      <c r="G308" s="214"/>
      <c r="H308" s="214"/>
      <c r="I308" s="214"/>
      <c r="J308" s="214"/>
      <c r="K308" s="214"/>
    </row>
    <row r="309" spans="4:11" ht="12.75" x14ac:dyDescent="0.2">
      <c r="D309" s="214"/>
      <c r="E309" s="214"/>
      <c r="F309" s="214"/>
      <c r="G309" s="214"/>
      <c r="H309" s="214"/>
      <c r="I309" s="214"/>
      <c r="J309" s="214"/>
      <c r="K309" s="214"/>
    </row>
    <row r="310" spans="4:11" ht="12.75" x14ac:dyDescent="0.2">
      <c r="D310" s="214"/>
      <c r="E310" s="214"/>
      <c r="F310" s="214"/>
      <c r="G310" s="214"/>
      <c r="H310" s="214"/>
      <c r="I310" s="214"/>
      <c r="J310" s="214"/>
      <c r="K310" s="214"/>
    </row>
    <row r="311" spans="4:11" ht="12.75" x14ac:dyDescent="0.2">
      <c r="D311" s="214"/>
      <c r="E311" s="214"/>
      <c r="F311" s="214"/>
      <c r="G311" s="214"/>
      <c r="H311" s="214"/>
      <c r="I311" s="214"/>
      <c r="J311" s="214"/>
      <c r="K311" s="214"/>
    </row>
    <row r="312" spans="4:11" ht="12.75" x14ac:dyDescent="0.2">
      <c r="D312" s="214"/>
      <c r="E312" s="214"/>
      <c r="F312" s="214"/>
      <c r="G312" s="214"/>
      <c r="H312" s="214"/>
      <c r="I312" s="214"/>
      <c r="J312" s="214"/>
      <c r="K312" s="214"/>
    </row>
    <row r="313" spans="4:11" ht="12.75" x14ac:dyDescent="0.2">
      <c r="D313" s="214"/>
      <c r="E313" s="214"/>
      <c r="F313" s="214"/>
      <c r="G313" s="214"/>
      <c r="H313" s="214"/>
      <c r="I313" s="214"/>
      <c r="J313" s="214"/>
      <c r="K313" s="214"/>
    </row>
    <row r="314" spans="4:11" ht="12.75" x14ac:dyDescent="0.2">
      <c r="D314" s="214"/>
      <c r="E314" s="214"/>
      <c r="F314" s="214"/>
      <c r="G314" s="214"/>
      <c r="H314" s="214"/>
      <c r="I314" s="214"/>
      <c r="J314" s="214"/>
      <c r="K314" s="214"/>
    </row>
    <row r="315" spans="4:11" ht="12.75" x14ac:dyDescent="0.2">
      <c r="D315" s="214"/>
      <c r="E315" s="214"/>
      <c r="F315" s="214"/>
      <c r="G315" s="214"/>
      <c r="H315" s="214"/>
      <c r="I315" s="214"/>
      <c r="J315" s="214"/>
      <c r="K315" s="214"/>
    </row>
    <row r="316" spans="4:11" ht="12.75" x14ac:dyDescent="0.2">
      <c r="D316" s="214"/>
      <c r="E316" s="214"/>
      <c r="F316" s="214"/>
      <c r="G316" s="214"/>
      <c r="H316" s="214"/>
      <c r="I316" s="214"/>
      <c r="J316" s="214"/>
      <c r="K316" s="214"/>
    </row>
    <row r="317" spans="4:11" ht="12.75" x14ac:dyDescent="0.2">
      <c r="D317" s="214"/>
      <c r="E317" s="214"/>
      <c r="F317" s="214"/>
      <c r="G317" s="214"/>
      <c r="H317" s="214"/>
      <c r="I317" s="214"/>
      <c r="J317" s="214"/>
      <c r="K317" s="214"/>
    </row>
    <row r="318" spans="4:11" ht="12.75" x14ac:dyDescent="0.2">
      <c r="D318" s="214"/>
      <c r="E318" s="214"/>
      <c r="F318" s="214"/>
      <c r="G318" s="214"/>
      <c r="H318" s="214"/>
      <c r="I318" s="214"/>
      <c r="J318" s="214"/>
      <c r="K318" s="214"/>
    </row>
    <row r="319" spans="4:11" ht="12.75" x14ac:dyDescent="0.2">
      <c r="D319" s="214"/>
      <c r="E319" s="214"/>
      <c r="F319" s="214"/>
      <c r="G319" s="214"/>
      <c r="H319" s="214"/>
      <c r="I319" s="214"/>
      <c r="J319" s="214"/>
      <c r="K319" s="214"/>
    </row>
    <row r="320" spans="4:11" ht="12.75" x14ac:dyDescent="0.2">
      <c r="D320" s="214"/>
      <c r="E320" s="214"/>
      <c r="F320" s="214"/>
      <c r="G320" s="214"/>
      <c r="H320" s="214"/>
      <c r="I320" s="214"/>
      <c r="J320" s="214"/>
      <c r="K320" s="214"/>
    </row>
    <row r="321" spans="4:11" ht="12.75" x14ac:dyDescent="0.2">
      <c r="D321" s="214"/>
      <c r="E321" s="214"/>
      <c r="F321" s="214"/>
      <c r="G321" s="214"/>
      <c r="H321" s="214"/>
      <c r="I321" s="214"/>
      <c r="J321" s="214"/>
      <c r="K321" s="214"/>
    </row>
    <row r="322" spans="4:11" ht="12.75" x14ac:dyDescent="0.2">
      <c r="D322" s="214"/>
      <c r="E322" s="214"/>
      <c r="F322" s="214"/>
      <c r="G322" s="214"/>
      <c r="H322" s="214"/>
      <c r="I322" s="214"/>
      <c r="J322" s="214"/>
      <c r="K322" s="214"/>
    </row>
    <row r="323" spans="4:11" ht="12.75" x14ac:dyDescent="0.2">
      <c r="D323" s="214"/>
      <c r="E323" s="214"/>
      <c r="F323" s="214"/>
      <c r="G323" s="214"/>
      <c r="H323" s="214"/>
      <c r="I323" s="214"/>
      <c r="J323" s="214"/>
      <c r="K323" s="214"/>
    </row>
    <row r="324" spans="4:11" ht="12.75" x14ac:dyDescent="0.2">
      <c r="D324" s="214"/>
      <c r="E324" s="214"/>
      <c r="F324" s="214"/>
      <c r="G324" s="214"/>
      <c r="H324" s="214"/>
      <c r="I324" s="214"/>
      <c r="J324" s="214"/>
      <c r="K324" s="214"/>
    </row>
    <row r="325" spans="4:11" ht="12.75" x14ac:dyDescent="0.2">
      <c r="D325" s="214"/>
      <c r="E325" s="214"/>
      <c r="F325" s="214"/>
      <c r="G325" s="214"/>
      <c r="H325" s="214"/>
      <c r="I325" s="214"/>
      <c r="J325" s="214"/>
      <c r="K325" s="214"/>
    </row>
    <row r="326" spans="4:11" ht="12.75" x14ac:dyDescent="0.2">
      <c r="D326" s="214"/>
      <c r="E326" s="214"/>
      <c r="F326" s="214"/>
      <c r="G326" s="214"/>
      <c r="H326" s="214"/>
      <c r="I326" s="214"/>
      <c r="J326" s="214"/>
      <c r="K326" s="214"/>
    </row>
    <row r="327" spans="4:11" ht="12.75" x14ac:dyDescent="0.2">
      <c r="D327" s="214"/>
      <c r="E327" s="214"/>
      <c r="F327" s="214"/>
      <c r="G327" s="214"/>
      <c r="H327" s="214"/>
      <c r="I327" s="214"/>
      <c r="J327" s="214"/>
      <c r="K327" s="214"/>
    </row>
    <row r="328" spans="4:11" ht="12.75" x14ac:dyDescent="0.2">
      <c r="D328" s="214"/>
      <c r="E328" s="214"/>
      <c r="F328" s="214"/>
      <c r="G328" s="214"/>
      <c r="H328" s="214"/>
      <c r="I328" s="214"/>
      <c r="J328" s="214"/>
      <c r="K328" s="214"/>
    </row>
    <row r="329" spans="4:11" ht="12.75" x14ac:dyDescent="0.2">
      <c r="D329" s="214"/>
      <c r="E329" s="214"/>
      <c r="F329" s="214"/>
      <c r="G329" s="214"/>
      <c r="H329" s="214"/>
      <c r="I329" s="214"/>
      <c r="J329" s="214"/>
      <c r="K329" s="214"/>
    </row>
    <row r="330" spans="4:11" ht="12.75" x14ac:dyDescent="0.2">
      <c r="D330" s="214"/>
      <c r="E330" s="214"/>
      <c r="F330" s="214"/>
      <c r="G330" s="214"/>
      <c r="H330" s="214"/>
      <c r="I330" s="214"/>
      <c r="J330" s="214"/>
      <c r="K330" s="214"/>
    </row>
    <row r="331" spans="4:11" ht="12.75" x14ac:dyDescent="0.2">
      <c r="D331" s="214"/>
      <c r="E331" s="214"/>
      <c r="F331" s="214"/>
      <c r="G331" s="214"/>
      <c r="H331" s="214"/>
      <c r="I331" s="214"/>
      <c r="J331" s="214"/>
      <c r="K331" s="214"/>
    </row>
    <row r="332" spans="4:11" ht="12.75" x14ac:dyDescent="0.2">
      <c r="D332" s="214"/>
      <c r="E332" s="214"/>
      <c r="F332" s="214"/>
      <c r="G332" s="214"/>
      <c r="H332" s="214"/>
      <c r="I332" s="214"/>
      <c r="J332" s="214"/>
      <c r="K332" s="214"/>
    </row>
    <row r="333" spans="4:11" ht="12.75" x14ac:dyDescent="0.2">
      <c r="D333" s="214"/>
      <c r="E333" s="214"/>
      <c r="F333" s="214"/>
      <c r="G333" s="214"/>
      <c r="H333" s="214"/>
      <c r="I333" s="214"/>
      <c r="J333" s="214"/>
      <c r="K333" s="214"/>
    </row>
    <row r="334" spans="4:11" ht="12.75" x14ac:dyDescent="0.2">
      <c r="D334" s="214"/>
      <c r="E334" s="214"/>
      <c r="F334" s="214"/>
      <c r="G334" s="214"/>
      <c r="H334" s="214"/>
      <c r="I334" s="214"/>
      <c r="J334" s="214"/>
      <c r="K334" s="214"/>
    </row>
    <row r="335" spans="4:11" ht="12.75" x14ac:dyDescent="0.2">
      <c r="D335" s="214"/>
      <c r="E335" s="214"/>
      <c r="F335" s="214"/>
      <c r="G335" s="214"/>
      <c r="H335" s="214"/>
      <c r="I335" s="214"/>
      <c r="J335" s="214"/>
      <c r="K335" s="214"/>
    </row>
    <row r="336" spans="4:11" ht="12.75" x14ac:dyDescent="0.2">
      <c r="D336" s="214"/>
      <c r="E336" s="214"/>
      <c r="F336" s="214"/>
      <c r="G336" s="214"/>
      <c r="H336" s="214"/>
      <c r="I336" s="214"/>
      <c r="J336" s="214"/>
      <c r="K336" s="214"/>
    </row>
    <row r="337" spans="4:11" ht="12.75" x14ac:dyDescent="0.2">
      <c r="D337" s="214"/>
      <c r="E337" s="214"/>
      <c r="F337" s="214"/>
      <c r="G337" s="214"/>
      <c r="H337" s="214"/>
      <c r="I337" s="214"/>
      <c r="J337" s="214"/>
      <c r="K337" s="214"/>
    </row>
    <row r="338" spans="4:11" ht="12.75" x14ac:dyDescent="0.2">
      <c r="D338" s="214"/>
      <c r="E338" s="214"/>
      <c r="F338" s="214"/>
      <c r="G338" s="214"/>
      <c r="H338" s="214"/>
      <c r="I338" s="214"/>
      <c r="J338" s="214"/>
      <c r="K338" s="214"/>
    </row>
    <row r="339" spans="4:11" ht="12.75" x14ac:dyDescent="0.2">
      <c r="D339" s="214"/>
      <c r="E339" s="214"/>
      <c r="F339" s="214"/>
      <c r="G339" s="214"/>
      <c r="H339" s="214"/>
      <c r="I339" s="214"/>
      <c r="J339" s="214"/>
      <c r="K339" s="214"/>
    </row>
    <row r="340" spans="4:11" ht="12.75" x14ac:dyDescent="0.2">
      <c r="D340" s="214"/>
      <c r="E340" s="214"/>
      <c r="F340" s="214"/>
      <c r="G340" s="214"/>
      <c r="H340" s="214"/>
      <c r="I340" s="214"/>
      <c r="J340" s="214"/>
      <c r="K340" s="214"/>
    </row>
    <row r="341" spans="4:11" ht="12.75" x14ac:dyDescent="0.2">
      <c r="D341" s="214"/>
      <c r="E341" s="214"/>
      <c r="F341" s="214"/>
      <c r="G341" s="214"/>
      <c r="H341" s="214"/>
      <c r="I341" s="214"/>
      <c r="J341" s="214"/>
      <c r="K341" s="214"/>
    </row>
    <row r="342" spans="4:11" ht="12.75" x14ac:dyDescent="0.2">
      <c r="D342" s="214"/>
      <c r="E342" s="214"/>
      <c r="F342" s="214"/>
      <c r="G342" s="214"/>
      <c r="H342" s="214"/>
      <c r="I342" s="214"/>
      <c r="J342" s="214"/>
      <c r="K342" s="214"/>
    </row>
    <row r="343" spans="4:11" ht="12.75" x14ac:dyDescent="0.2">
      <c r="D343" s="214"/>
      <c r="E343" s="214"/>
      <c r="F343" s="214"/>
      <c r="G343" s="214"/>
      <c r="H343" s="214"/>
      <c r="I343" s="214"/>
      <c r="J343" s="214"/>
      <c r="K343" s="214"/>
    </row>
    <row r="344" spans="4:11" ht="12.75" x14ac:dyDescent="0.2">
      <c r="D344" s="214"/>
      <c r="E344" s="214"/>
      <c r="F344" s="214"/>
      <c r="G344" s="214"/>
      <c r="H344" s="214"/>
      <c r="I344" s="214"/>
      <c r="J344" s="214"/>
      <c r="K344" s="214"/>
    </row>
    <row r="345" spans="4:11" ht="12.75" x14ac:dyDescent="0.2">
      <c r="D345" s="214"/>
      <c r="E345" s="214"/>
      <c r="F345" s="214"/>
      <c r="G345" s="214"/>
      <c r="H345" s="214"/>
      <c r="I345" s="214"/>
      <c r="J345" s="214"/>
      <c r="K345" s="214"/>
    </row>
    <row r="346" spans="4:11" ht="12.75" x14ac:dyDescent="0.2">
      <c r="D346" s="214"/>
      <c r="E346" s="214"/>
      <c r="F346" s="214"/>
      <c r="G346" s="214"/>
      <c r="H346" s="214"/>
      <c r="I346" s="214"/>
      <c r="J346" s="214"/>
      <c r="K346" s="214"/>
    </row>
    <row r="347" spans="4:11" ht="12.75" x14ac:dyDescent="0.2">
      <c r="D347" s="214"/>
      <c r="E347" s="214"/>
      <c r="F347" s="214"/>
      <c r="G347" s="214"/>
      <c r="H347" s="214"/>
      <c r="I347" s="214"/>
      <c r="J347" s="214"/>
      <c r="K347" s="214"/>
    </row>
    <row r="348" spans="4:11" ht="12.75" x14ac:dyDescent="0.2">
      <c r="D348" s="214"/>
      <c r="E348" s="214"/>
      <c r="F348" s="214"/>
      <c r="G348" s="214"/>
      <c r="H348" s="214"/>
      <c r="I348" s="214"/>
      <c r="J348" s="214"/>
      <c r="K348" s="214"/>
    </row>
    <row r="349" spans="4:11" ht="12.75" x14ac:dyDescent="0.2">
      <c r="D349" s="214"/>
      <c r="E349" s="214"/>
      <c r="F349" s="214"/>
      <c r="G349" s="214"/>
      <c r="H349" s="214"/>
      <c r="I349" s="214"/>
      <c r="J349" s="214"/>
      <c r="K349" s="214"/>
    </row>
    <row r="350" spans="4:11" ht="12.75" x14ac:dyDescent="0.2">
      <c r="D350" s="214"/>
      <c r="E350" s="214"/>
      <c r="F350" s="214"/>
      <c r="G350" s="214"/>
      <c r="H350" s="214"/>
      <c r="I350" s="214"/>
      <c r="J350" s="214"/>
      <c r="K350" s="214"/>
    </row>
    <row r="351" spans="4:11" ht="12.75" x14ac:dyDescent="0.2">
      <c r="D351" s="214"/>
      <c r="E351" s="214"/>
      <c r="F351" s="214"/>
      <c r="G351" s="214"/>
      <c r="H351" s="214"/>
      <c r="I351" s="214"/>
      <c r="J351" s="214"/>
      <c r="K351" s="214"/>
    </row>
    <row r="352" spans="4:11" ht="12.75" x14ac:dyDescent="0.2">
      <c r="D352" s="214"/>
      <c r="E352" s="214"/>
      <c r="F352" s="214"/>
      <c r="G352" s="214"/>
      <c r="H352" s="214"/>
      <c r="I352" s="214"/>
      <c r="J352" s="214"/>
      <c r="K352" s="214"/>
    </row>
    <row r="353" spans="4:11" ht="12.75" x14ac:dyDescent="0.2">
      <c r="D353" s="214"/>
      <c r="E353" s="214"/>
      <c r="F353" s="214"/>
      <c r="G353" s="214"/>
      <c r="H353" s="214"/>
      <c r="I353" s="214"/>
      <c r="J353" s="214"/>
      <c r="K353" s="214"/>
    </row>
    <row r="354" spans="4:11" ht="12.75" x14ac:dyDescent="0.2">
      <c r="D354" s="214"/>
      <c r="E354" s="214"/>
      <c r="F354" s="214"/>
      <c r="G354" s="214"/>
      <c r="H354" s="214"/>
      <c r="I354" s="214"/>
      <c r="J354" s="214"/>
      <c r="K354" s="214"/>
    </row>
    <row r="355" spans="4:11" ht="12.75" x14ac:dyDescent="0.2">
      <c r="D355" s="214"/>
      <c r="E355" s="214"/>
      <c r="F355" s="214"/>
      <c r="G355" s="214"/>
      <c r="H355" s="214"/>
      <c r="I355" s="214"/>
      <c r="J355" s="214"/>
      <c r="K355" s="214"/>
    </row>
    <row r="356" spans="4:11" ht="12.75" x14ac:dyDescent="0.2">
      <c r="D356" s="214"/>
      <c r="E356" s="214"/>
      <c r="F356" s="214"/>
      <c r="G356" s="214"/>
      <c r="H356" s="214"/>
      <c r="I356" s="214"/>
      <c r="J356" s="214"/>
      <c r="K356" s="214"/>
    </row>
    <row r="357" spans="4:11" ht="12.75" x14ac:dyDescent="0.2">
      <c r="D357" s="214"/>
      <c r="E357" s="214"/>
      <c r="F357" s="214"/>
      <c r="G357" s="214"/>
      <c r="H357" s="214"/>
      <c r="I357" s="214"/>
      <c r="J357" s="214"/>
      <c r="K357" s="214"/>
    </row>
    <row r="358" spans="4:11" ht="12.75" x14ac:dyDescent="0.2">
      <c r="D358" s="214"/>
      <c r="E358" s="214"/>
      <c r="F358" s="214"/>
      <c r="G358" s="214"/>
      <c r="H358" s="214"/>
      <c r="I358" s="214"/>
      <c r="J358" s="214"/>
      <c r="K358" s="214"/>
    </row>
    <row r="359" spans="4:11" ht="12.75" x14ac:dyDescent="0.2">
      <c r="D359" s="214"/>
      <c r="E359" s="214"/>
      <c r="F359" s="214"/>
      <c r="G359" s="214"/>
      <c r="H359" s="214"/>
      <c r="I359" s="214"/>
      <c r="J359" s="214"/>
      <c r="K359" s="214"/>
    </row>
    <row r="360" spans="4:11" ht="12.75" x14ac:dyDescent="0.2">
      <c r="D360" s="214"/>
      <c r="E360" s="214"/>
      <c r="F360" s="214"/>
      <c r="G360" s="214"/>
      <c r="H360" s="214"/>
      <c r="I360" s="214"/>
      <c r="J360" s="214"/>
      <c r="K360" s="214"/>
    </row>
    <row r="361" spans="4:11" ht="12.75" x14ac:dyDescent="0.2">
      <c r="D361" s="214"/>
      <c r="E361" s="214"/>
      <c r="F361" s="214"/>
      <c r="G361" s="214"/>
      <c r="H361" s="214"/>
      <c r="I361" s="214"/>
      <c r="J361" s="214"/>
      <c r="K361" s="214"/>
    </row>
    <row r="362" spans="4:11" ht="12.75" x14ac:dyDescent="0.2">
      <c r="D362" s="214"/>
      <c r="E362" s="214"/>
      <c r="F362" s="214"/>
      <c r="G362" s="214"/>
      <c r="H362" s="214"/>
      <c r="I362" s="214"/>
      <c r="J362" s="214"/>
      <c r="K362" s="214"/>
    </row>
    <row r="363" spans="4:11" ht="12.75" x14ac:dyDescent="0.2">
      <c r="D363" s="214"/>
      <c r="E363" s="214"/>
      <c r="F363" s="214"/>
      <c r="G363" s="214"/>
      <c r="H363" s="214"/>
      <c r="I363" s="214"/>
      <c r="J363" s="214"/>
      <c r="K363" s="214"/>
    </row>
    <row r="364" spans="4:11" ht="12.75" x14ac:dyDescent="0.2">
      <c r="D364" s="214"/>
      <c r="E364" s="214"/>
      <c r="F364" s="214"/>
      <c r="G364" s="214"/>
      <c r="H364" s="214"/>
      <c r="I364" s="214"/>
      <c r="J364" s="214"/>
      <c r="K364" s="214"/>
    </row>
    <row r="365" spans="4:11" ht="12.75" x14ac:dyDescent="0.2">
      <c r="D365" s="214"/>
      <c r="E365" s="214"/>
      <c r="F365" s="214"/>
      <c r="G365" s="214"/>
      <c r="H365" s="214"/>
      <c r="I365" s="214"/>
      <c r="J365" s="214"/>
      <c r="K365" s="214"/>
    </row>
    <row r="366" spans="4:11" ht="12.75" x14ac:dyDescent="0.2">
      <c r="D366" s="214"/>
      <c r="E366" s="214"/>
      <c r="F366" s="214"/>
      <c r="G366" s="214"/>
      <c r="H366" s="214"/>
      <c r="I366" s="214"/>
      <c r="J366" s="214"/>
      <c r="K366" s="214"/>
    </row>
    <row r="367" spans="4:11" ht="12.75" x14ac:dyDescent="0.2">
      <c r="D367" s="214"/>
      <c r="E367" s="214"/>
      <c r="F367" s="214"/>
      <c r="G367" s="214"/>
      <c r="H367" s="214"/>
      <c r="I367" s="214"/>
      <c r="J367" s="214"/>
      <c r="K367" s="214"/>
    </row>
    <row r="368" spans="4:11" ht="12.75" x14ac:dyDescent="0.2">
      <c r="D368" s="214"/>
      <c r="E368" s="214"/>
      <c r="F368" s="214"/>
      <c r="G368" s="214"/>
      <c r="H368" s="214"/>
      <c r="I368" s="214"/>
      <c r="J368" s="214"/>
      <c r="K368" s="214"/>
    </row>
    <row r="369" spans="4:11" ht="12.75" x14ac:dyDescent="0.2">
      <c r="D369" s="214"/>
      <c r="E369" s="214"/>
      <c r="F369" s="214"/>
      <c r="G369" s="214"/>
      <c r="H369" s="214"/>
      <c r="I369" s="214"/>
      <c r="J369" s="214"/>
      <c r="K369" s="214"/>
    </row>
    <row r="370" spans="4:11" ht="12.75" x14ac:dyDescent="0.2">
      <c r="D370" s="214"/>
      <c r="E370" s="214"/>
      <c r="F370" s="214"/>
      <c r="G370" s="214"/>
      <c r="H370" s="214"/>
      <c r="I370" s="214"/>
      <c r="J370" s="214"/>
      <c r="K370" s="214"/>
    </row>
    <row r="371" spans="4:11" ht="12.75" x14ac:dyDescent="0.2">
      <c r="D371" s="214"/>
      <c r="E371" s="214"/>
      <c r="F371" s="214"/>
      <c r="G371" s="214"/>
      <c r="H371" s="214"/>
      <c r="I371" s="214"/>
      <c r="J371" s="214"/>
      <c r="K371" s="214"/>
    </row>
    <row r="372" spans="4:11" ht="12.75" x14ac:dyDescent="0.2">
      <c r="D372" s="214"/>
      <c r="E372" s="214"/>
      <c r="F372" s="214"/>
      <c r="G372" s="214"/>
      <c r="H372" s="214"/>
      <c r="I372" s="214"/>
      <c r="J372" s="214"/>
      <c r="K372" s="214"/>
    </row>
    <row r="373" spans="4:11" ht="12.75" x14ac:dyDescent="0.2">
      <c r="D373" s="214"/>
      <c r="E373" s="214"/>
      <c r="F373" s="214"/>
      <c r="G373" s="214"/>
      <c r="H373" s="214"/>
      <c r="I373" s="214"/>
      <c r="J373" s="214"/>
      <c r="K373" s="214"/>
    </row>
    <row r="374" spans="4:11" ht="12.75" x14ac:dyDescent="0.2">
      <c r="D374" s="214"/>
      <c r="E374" s="214"/>
      <c r="F374" s="214"/>
      <c r="G374" s="214"/>
      <c r="H374" s="214"/>
      <c r="I374" s="214"/>
      <c r="J374" s="214"/>
      <c r="K374" s="214"/>
    </row>
    <row r="375" spans="4:11" ht="12.75" x14ac:dyDescent="0.2">
      <c r="D375" s="214"/>
      <c r="E375" s="214"/>
      <c r="F375" s="214"/>
      <c r="G375" s="214"/>
      <c r="H375" s="214"/>
      <c r="I375" s="214"/>
      <c r="J375" s="214"/>
      <c r="K375" s="214"/>
    </row>
    <row r="376" spans="4:11" ht="12.75" x14ac:dyDescent="0.2">
      <c r="D376" s="214"/>
      <c r="E376" s="214"/>
      <c r="F376" s="214"/>
      <c r="G376" s="214"/>
      <c r="H376" s="214"/>
      <c r="I376" s="214"/>
      <c r="J376" s="214"/>
      <c r="K376" s="214"/>
    </row>
    <row r="377" spans="4:11" ht="12.75" x14ac:dyDescent="0.2">
      <c r="D377" s="214"/>
      <c r="E377" s="214"/>
      <c r="F377" s="214"/>
      <c r="G377" s="214"/>
      <c r="H377" s="214"/>
      <c r="I377" s="214"/>
      <c r="J377" s="214"/>
      <c r="K377" s="214"/>
    </row>
    <row r="378" spans="4:11" ht="12.75" x14ac:dyDescent="0.2">
      <c r="D378" s="214"/>
      <c r="E378" s="214"/>
      <c r="F378" s="214"/>
      <c r="G378" s="214"/>
      <c r="H378" s="214"/>
      <c r="I378" s="214"/>
      <c r="J378" s="214"/>
      <c r="K378" s="214"/>
    </row>
    <row r="379" spans="4:11" ht="12.75" x14ac:dyDescent="0.2">
      <c r="D379" s="214"/>
      <c r="E379" s="214"/>
      <c r="F379" s="214"/>
      <c r="G379" s="214"/>
      <c r="H379" s="214"/>
      <c r="I379" s="214"/>
      <c r="J379" s="214"/>
      <c r="K379" s="214"/>
    </row>
    <row r="380" spans="4:11" ht="12.75" x14ac:dyDescent="0.2">
      <c r="D380" s="214"/>
      <c r="E380" s="214"/>
      <c r="F380" s="214"/>
      <c r="G380" s="214"/>
      <c r="H380" s="214"/>
      <c r="I380" s="214"/>
      <c r="J380" s="214"/>
      <c r="K380" s="214"/>
    </row>
    <row r="381" spans="4:11" ht="12.75" x14ac:dyDescent="0.2">
      <c r="D381" s="214"/>
      <c r="E381" s="214"/>
      <c r="F381" s="214"/>
      <c r="G381" s="214"/>
      <c r="H381" s="214"/>
      <c r="I381" s="214"/>
      <c r="J381" s="214"/>
      <c r="K381" s="214"/>
    </row>
    <row r="382" spans="4:11" ht="12.75" x14ac:dyDescent="0.2">
      <c r="D382" s="214"/>
      <c r="E382" s="214"/>
      <c r="F382" s="214"/>
      <c r="G382" s="214"/>
      <c r="H382" s="214"/>
      <c r="I382" s="214"/>
      <c r="J382" s="214"/>
      <c r="K382" s="214"/>
    </row>
    <row r="383" spans="4:11" ht="12.75" x14ac:dyDescent="0.2">
      <c r="D383" s="214"/>
      <c r="E383" s="214"/>
      <c r="F383" s="214"/>
      <c r="G383" s="214"/>
      <c r="H383" s="214"/>
      <c r="I383" s="214"/>
      <c r="J383" s="214"/>
      <c r="K383" s="214"/>
    </row>
    <row r="384" spans="4:11" ht="12.75" x14ac:dyDescent="0.2">
      <c r="D384" s="214"/>
      <c r="E384" s="214"/>
      <c r="F384" s="214"/>
      <c r="G384" s="214"/>
      <c r="H384" s="214"/>
      <c r="I384" s="214"/>
      <c r="J384" s="214"/>
      <c r="K384" s="214"/>
    </row>
    <row r="385" spans="4:11" ht="12.75" x14ac:dyDescent="0.2">
      <c r="D385" s="214"/>
      <c r="E385" s="214"/>
      <c r="F385" s="214"/>
      <c r="G385" s="214"/>
      <c r="H385" s="214"/>
      <c r="I385" s="214"/>
      <c r="J385" s="214"/>
      <c r="K385" s="214"/>
    </row>
    <row r="386" spans="4:11" ht="12.75" x14ac:dyDescent="0.2">
      <c r="D386" s="214"/>
      <c r="E386" s="214"/>
      <c r="F386" s="214"/>
      <c r="G386" s="214"/>
      <c r="H386" s="214"/>
      <c r="I386" s="214"/>
      <c r="J386" s="214"/>
      <c r="K386" s="214"/>
    </row>
    <row r="387" spans="4:11" ht="12.75" x14ac:dyDescent="0.2">
      <c r="D387" s="214"/>
      <c r="E387" s="214"/>
      <c r="F387" s="214"/>
      <c r="G387" s="214"/>
      <c r="H387" s="214"/>
      <c r="I387" s="214"/>
      <c r="J387" s="214"/>
      <c r="K387" s="214"/>
    </row>
    <row r="388" spans="4:11" ht="12.75" x14ac:dyDescent="0.2">
      <c r="D388" s="214"/>
      <c r="E388" s="214"/>
      <c r="F388" s="214"/>
      <c r="G388" s="214"/>
      <c r="H388" s="214"/>
      <c r="I388" s="214"/>
      <c r="J388" s="214"/>
      <c r="K388" s="214"/>
    </row>
    <row r="389" spans="4:11" ht="12.75" x14ac:dyDescent="0.2">
      <c r="D389" s="214"/>
      <c r="E389" s="214"/>
      <c r="F389" s="214"/>
      <c r="G389" s="214"/>
      <c r="H389" s="214"/>
      <c r="I389" s="214"/>
      <c r="J389" s="214"/>
      <c r="K389" s="214"/>
    </row>
    <row r="390" spans="4:11" ht="12.75" x14ac:dyDescent="0.2">
      <c r="D390" s="214"/>
      <c r="E390" s="214"/>
      <c r="F390" s="214"/>
      <c r="G390" s="214"/>
      <c r="H390" s="214"/>
      <c r="I390" s="214"/>
      <c r="J390" s="214"/>
      <c r="K390" s="214"/>
    </row>
    <row r="391" spans="4:11" ht="12.75" x14ac:dyDescent="0.2">
      <c r="D391" s="214"/>
      <c r="E391" s="214"/>
      <c r="F391" s="214"/>
      <c r="G391" s="214"/>
      <c r="H391" s="214"/>
      <c r="I391" s="214"/>
      <c r="J391" s="214"/>
      <c r="K391" s="214"/>
    </row>
    <row r="392" spans="4:11" ht="12.75" x14ac:dyDescent="0.2">
      <c r="D392" s="214"/>
      <c r="E392" s="214"/>
      <c r="F392" s="214"/>
      <c r="G392" s="214"/>
      <c r="H392" s="214"/>
      <c r="I392" s="214"/>
      <c r="J392" s="214"/>
      <c r="K392" s="214"/>
    </row>
    <row r="393" spans="4:11" ht="12.75" x14ac:dyDescent="0.2">
      <c r="D393" s="214"/>
      <c r="E393" s="214"/>
      <c r="F393" s="214"/>
      <c r="G393" s="214"/>
      <c r="H393" s="214"/>
      <c r="I393" s="214"/>
      <c r="J393" s="214"/>
      <c r="K393" s="214"/>
    </row>
    <row r="394" spans="4:11" ht="12.75" x14ac:dyDescent="0.2">
      <c r="D394" s="214"/>
      <c r="E394" s="214"/>
      <c r="F394" s="214"/>
      <c r="G394" s="214"/>
      <c r="H394" s="214"/>
      <c r="I394" s="214"/>
      <c r="J394" s="214"/>
      <c r="K394" s="214"/>
    </row>
    <row r="395" spans="4:11" ht="12.75" x14ac:dyDescent="0.2">
      <c r="D395" s="214"/>
      <c r="E395" s="214"/>
      <c r="F395" s="214"/>
      <c r="G395" s="214"/>
      <c r="H395" s="214"/>
      <c r="I395" s="214"/>
      <c r="J395" s="214"/>
      <c r="K395" s="214"/>
    </row>
    <row r="396" spans="4:11" ht="12.75" x14ac:dyDescent="0.2">
      <c r="D396" s="214"/>
      <c r="E396" s="214"/>
      <c r="F396" s="214"/>
      <c r="G396" s="214"/>
      <c r="H396" s="214"/>
      <c r="I396" s="214"/>
      <c r="J396" s="214"/>
      <c r="K396" s="214"/>
    </row>
    <row r="397" spans="4:11" ht="12.75" x14ac:dyDescent="0.2">
      <c r="D397" s="214"/>
      <c r="E397" s="214"/>
      <c r="F397" s="214"/>
      <c r="G397" s="214"/>
      <c r="H397" s="214"/>
      <c r="I397" s="214"/>
      <c r="J397" s="214"/>
      <c r="K397" s="214"/>
    </row>
    <row r="398" spans="4:11" ht="12.75" x14ac:dyDescent="0.2">
      <c r="D398" s="214"/>
      <c r="E398" s="214"/>
      <c r="F398" s="214"/>
      <c r="G398" s="214"/>
      <c r="H398" s="214"/>
      <c r="I398" s="214"/>
      <c r="J398" s="214"/>
      <c r="K398" s="214"/>
    </row>
    <row r="399" spans="4:11" ht="12.75" x14ac:dyDescent="0.2">
      <c r="D399" s="214"/>
      <c r="E399" s="214"/>
      <c r="F399" s="214"/>
      <c r="G399" s="214"/>
      <c r="H399" s="214"/>
      <c r="I399" s="214"/>
      <c r="J399" s="214"/>
      <c r="K399" s="214"/>
    </row>
    <row r="400" spans="4:11" ht="12.75" x14ac:dyDescent="0.2">
      <c r="D400" s="214"/>
      <c r="E400" s="214"/>
      <c r="F400" s="214"/>
      <c r="G400" s="214"/>
      <c r="H400" s="214"/>
      <c r="I400" s="214"/>
      <c r="J400" s="214"/>
      <c r="K400" s="214"/>
    </row>
    <row r="401" spans="4:11" ht="12.75" x14ac:dyDescent="0.2">
      <c r="D401" s="214"/>
      <c r="E401" s="214"/>
      <c r="F401" s="214"/>
      <c r="G401" s="214"/>
      <c r="H401" s="214"/>
      <c r="I401" s="214"/>
      <c r="J401" s="214"/>
      <c r="K401" s="214"/>
    </row>
    <row r="402" spans="4:11" ht="12.75" x14ac:dyDescent="0.2">
      <c r="D402" s="214"/>
      <c r="E402" s="214"/>
      <c r="F402" s="214"/>
      <c r="G402" s="214"/>
      <c r="H402" s="214"/>
      <c r="I402" s="214"/>
      <c r="J402" s="214"/>
      <c r="K402" s="214"/>
    </row>
    <row r="403" spans="4:11" ht="12.75" x14ac:dyDescent="0.2">
      <c r="D403" s="214"/>
      <c r="E403" s="214"/>
      <c r="F403" s="214"/>
      <c r="G403" s="214"/>
      <c r="H403" s="214"/>
      <c r="I403" s="214"/>
      <c r="J403" s="214"/>
      <c r="K403" s="214"/>
    </row>
    <row r="404" spans="4:11" ht="12.75" x14ac:dyDescent="0.2">
      <c r="D404" s="214"/>
      <c r="E404" s="214"/>
      <c r="F404" s="214"/>
      <c r="G404" s="214"/>
      <c r="H404" s="214"/>
      <c r="I404" s="214"/>
      <c r="J404" s="214"/>
      <c r="K404" s="214"/>
    </row>
    <row r="405" spans="4:11" ht="12.75" x14ac:dyDescent="0.2">
      <c r="D405" s="214"/>
      <c r="E405" s="214"/>
      <c r="F405" s="214"/>
      <c r="G405" s="214"/>
      <c r="H405" s="214"/>
      <c r="I405" s="214"/>
      <c r="J405" s="214"/>
      <c r="K405" s="214"/>
    </row>
    <row r="406" spans="4:11" ht="12.75" x14ac:dyDescent="0.2">
      <c r="D406" s="214"/>
      <c r="E406" s="214"/>
      <c r="F406" s="214"/>
      <c r="G406" s="214"/>
      <c r="H406" s="214"/>
      <c r="I406" s="214"/>
      <c r="J406" s="214"/>
      <c r="K406" s="214"/>
    </row>
    <row r="407" spans="4:11" ht="12.75" x14ac:dyDescent="0.2">
      <c r="D407" s="214"/>
      <c r="E407" s="214"/>
      <c r="F407" s="214"/>
      <c r="G407" s="214"/>
      <c r="H407" s="214"/>
      <c r="I407" s="214"/>
      <c r="J407" s="214"/>
      <c r="K407" s="214"/>
    </row>
    <row r="408" spans="4:11" ht="12.75" x14ac:dyDescent="0.2">
      <c r="D408" s="214"/>
      <c r="E408" s="214"/>
      <c r="F408" s="214"/>
      <c r="G408" s="214"/>
      <c r="H408" s="214"/>
      <c r="I408" s="214"/>
      <c r="J408" s="214"/>
      <c r="K408" s="214"/>
    </row>
    <row r="409" spans="4:11" ht="12.75" x14ac:dyDescent="0.2">
      <c r="D409" s="214"/>
      <c r="E409" s="214"/>
      <c r="F409" s="214"/>
      <c r="G409" s="214"/>
      <c r="H409" s="214"/>
      <c r="I409" s="214"/>
      <c r="J409" s="214"/>
      <c r="K409" s="214"/>
    </row>
    <row r="410" spans="4:11" ht="12.75" x14ac:dyDescent="0.2">
      <c r="D410" s="214"/>
      <c r="E410" s="214"/>
      <c r="F410" s="214"/>
      <c r="G410" s="214"/>
      <c r="H410" s="214"/>
      <c r="I410" s="214"/>
      <c r="J410" s="214"/>
      <c r="K410" s="214"/>
    </row>
    <row r="411" spans="4:11" ht="12.75" x14ac:dyDescent="0.2">
      <c r="D411" s="214"/>
      <c r="E411" s="214"/>
      <c r="F411" s="214"/>
      <c r="G411" s="214"/>
      <c r="H411" s="214"/>
      <c r="I411" s="214"/>
      <c r="J411" s="214"/>
      <c r="K411" s="214"/>
    </row>
    <row r="412" spans="4:11" ht="12.75" x14ac:dyDescent="0.2">
      <c r="D412" s="214"/>
      <c r="E412" s="214"/>
      <c r="F412" s="214"/>
      <c r="G412" s="214"/>
      <c r="H412" s="214"/>
      <c r="I412" s="214"/>
      <c r="J412" s="214"/>
      <c r="K412" s="214"/>
    </row>
    <row r="413" spans="4:11" ht="12.75" x14ac:dyDescent="0.2">
      <c r="D413" s="214"/>
      <c r="E413" s="214"/>
      <c r="F413" s="214"/>
      <c r="G413" s="214"/>
      <c r="H413" s="214"/>
      <c r="I413" s="214"/>
      <c r="J413" s="214"/>
      <c r="K413" s="214"/>
    </row>
    <row r="414" spans="4:11" ht="12.75" x14ac:dyDescent="0.2">
      <c r="D414" s="214"/>
      <c r="E414" s="214"/>
      <c r="F414" s="214"/>
      <c r="G414" s="214"/>
      <c r="H414" s="214"/>
      <c r="I414" s="214"/>
      <c r="J414" s="214"/>
      <c r="K414" s="214"/>
    </row>
    <row r="415" spans="4:11" ht="12.75" x14ac:dyDescent="0.2">
      <c r="D415" s="214"/>
      <c r="E415" s="214"/>
      <c r="F415" s="214"/>
      <c r="G415" s="214"/>
      <c r="H415" s="214"/>
      <c r="I415" s="214"/>
      <c r="J415" s="214"/>
      <c r="K415" s="214"/>
    </row>
    <row r="416" spans="4:11" ht="12.75" x14ac:dyDescent="0.2">
      <c r="D416" s="214"/>
      <c r="E416" s="214"/>
      <c r="F416" s="214"/>
      <c r="G416" s="214"/>
      <c r="H416" s="214"/>
      <c r="I416" s="214"/>
      <c r="J416" s="214"/>
      <c r="K416" s="214"/>
    </row>
    <row r="417" spans="4:11" ht="12.75" x14ac:dyDescent="0.2">
      <c r="D417" s="214"/>
      <c r="E417" s="214"/>
      <c r="F417" s="214"/>
      <c r="G417" s="214"/>
      <c r="H417" s="214"/>
      <c r="I417" s="214"/>
      <c r="J417" s="214"/>
      <c r="K417" s="214"/>
    </row>
    <row r="418" spans="4:11" ht="12.75" x14ac:dyDescent="0.2">
      <c r="D418" s="214"/>
      <c r="E418" s="214"/>
      <c r="F418" s="214"/>
      <c r="G418" s="214"/>
      <c r="H418" s="214"/>
      <c r="I418" s="214"/>
      <c r="J418" s="214"/>
      <c r="K418" s="214"/>
    </row>
    <row r="419" spans="4:11" ht="12.75" x14ac:dyDescent="0.2">
      <c r="D419" s="214"/>
      <c r="E419" s="214"/>
      <c r="F419" s="214"/>
      <c r="G419" s="214"/>
      <c r="H419" s="214"/>
      <c r="I419" s="214"/>
      <c r="J419" s="214"/>
      <c r="K419" s="214"/>
    </row>
    <row r="420" spans="4:11" ht="12.75" x14ac:dyDescent="0.2">
      <c r="D420" s="214"/>
      <c r="E420" s="214"/>
      <c r="F420" s="214"/>
      <c r="G420" s="214"/>
      <c r="H420" s="214"/>
      <c r="I420" s="214"/>
      <c r="J420" s="214"/>
      <c r="K420" s="214"/>
    </row>
    <row r="421" spans="4:11" ht="12.75" x14ac:dyDescent="0.2">
      <c r="D421" s="214"/>
      <c r="E421" s="214"/>
      <c r="F421" s="214"/>
      <c r="G421" s="214"/>
      <c r="H421" s="214"/>
      <c r="I421" s="214"/>
      <c r="J421" s="214"/>
      <c r="K421" s="214"/>
    </row>
    <row r="422" spans="4:11" ht="12.75" x14ac:dyDescent="0.2">
      <c r="D422" s="214"/>
      <c r="E422" s="214"/>
      <c r="F422" s="214"/>
      <c r="G422" s="214"/>
      <c r="H422" s="214"/>
      <c r="I422" s="214"/>
      <c r="J422" s="214"/>
      <c r="K422" s="214"/>
    </row>
    <row r="423" spans="4:11" ht="12.75" x14ac:dyDescent="0.2">
      <c r="D423" s="214"/>
      <c r="E423" s="214"/>
      <c r="F423" s="214"/>
      <c r="G423" s="214"/>
      <c r="H423" s="214"/>
      <c r="I423" s="214"/>
      <c r="J423" s="214"/>
      <c r="K423" s="214"/>
    </row>
    <row r="424" spans="4:11" ht="12.75" x14ac:dyDescent="0.2">
      <c r="D424" s="214"/>
      <c r="E424" s="214"/>
      <c r="F424" s="214"/>
      <c r="G424" s="214"/>
      <c r="H424" s="214"/>
      <c r="I424" s="214"/>
      <c r="J424" s="214"/>
      <c r="K424" s="214"/>
    </row>
    <row r="425" spans="4:11" ht="12.75" x14ac:dyDescent="0.2">
      <c r="D425" s="214"/>
      <c r="E425" s="214"/>
      <c r="F425" s="214"/>
      <c r="G425" s="214"/>
      <c r="H425" s="214"/>
      <c r="I425" s="214"/>
      <c r="J425" s="214"/>
      <c r="K425" s="214"/>
    </row>
    <row r="426" spans="4:11" ht="12.75" x14ac:dyDescent="0.2">
      <c r="D426" s="214"/>
      <c r="E426" s="214"/>
      <c r="F426" s="214"/>
      <c r="G426" s="214"/>
      <c r="H426" s="214"/>
      <c r="I426" s="214"/>
      <c r="J426" s="214"/>
      <c r="K426" s="214"/>
    </row>
    <row r="427" spans="4:11" ht="12.75" x14ac:dyDescent="0.2">
      <c r="D427" s="214"/>
      <c r="E427" s="214"/>
      <c r="F427" s="214"/>
      <c r="G427" s="214"/>
      <c r="H427" s="214"/>
      <c r="I427" s="214"/>
      <c r="J427" s="214"/>
      <c r="K427" s="214"/>
    </row>
    <row r="428" spans="4:11" ht="12.75" x14ac:dyDescent="0.2">
      <c r="D428" s="214"/>
      <c r="E428" s="214"/>
      <c r="F428" s="214"/>
      <c r="G428" s="214"/>
      <c r="H428" s="214"/>
      <c r="I428" s="214"/>
      <c r="J428" s="214"/>
      <c r="K428" s="214"/>
    </row>
    <row r="429" spans="4:11" ht="12.75" x14ac:dyDescent="0.2">
      <c r="D429" s="214"/>
      <c r="E429" s="214"/>
      <c r="F429" s="214"/>
      <c r="G429" s="214"/>
      <c r="H429" s="214"/>
      <c r="I429" s="214"/>
      <c r="J429" s="214"/>
      <c r="K429" s="214"/>
    </row>
    <row r="430" spans="4:11" ht="12.75" x14ac:dyDescent="0.2">
      <c r="D430" s="214"/>
      <c r="E430" s="214"/>
      <c r="F430" s="214"/>
      <c r="G430" s="214"/>
      <c r="H430" s="214"/>
      <c r="I430" s="214"/>
      <c r="J430" s="214"/>
      <c r="K430" s="214"/>
    </row>
    <row r="431" spans="4:11" ht="12.75" x14ac:dyDescent="0.2">
      <c r="D431" s="214"/>
      <c r="E431" s="214"/>
      <c r="F431" s="214"/>
      <c r="G431" s="214"/>
      <c r="H431" s="214"/>
      <c r="I431" s="214"/>
      <c r="J431" s="214"/>
      <c r="K431" s="214"/>
    </row>
    <row r="432" spans="4:11" ht="12.75" x14ac:dyDescent="0.2">
      <c r="D432" s="214"/>
      <c r="E432" s="214"/>
      <c r="F432" s="214"/>
      <c r="G432" s="214"/>
      <c r="H432" s="214"/>
      <c r="I432" s="214"/>
      <c r="J432" s="214"/>
      <c r="K432" s="214"/>
    </row>
    <row r="433" spans="4:11" ht="12.75" x14ac:dyDescent="0.2">
      <c r="D433" s="214"/>
      <c r="E433" s="214"/>
      <c r="F433" s="214"/>
      <c r="G433" s="214"/>
      <c r="H433" s="214"/>
      <c r="I433" s="214"/>
      <c r="J433" s="214"/>
      <c r="K433" s="214"/>
    </row>
    <row r="434" spans="4:11" ht="12.75" x14ac:dyDescent="0.2">
      <c r="D434" s="214"/>
      <c r="E434" s="214"/>
      <c r="F434" s="214"/>
      <c r="G434" s="214"/>
      <c r="H434" s="214"/>
      <c r="I434" s="214"/>
      <c r="J434" s="214"/>
      <c r="K434" s="214"/>
    </row>
    <row r="435" spans="4:11" ht="12.75" x14ac:dyDescent="0.2">
      <c r="D435" s="214"/>
      <c r="E435" s="214"/>
      <c r="F435" s="214"/>
      <c r="G435" s="214"/>
      <c r="H435" s="214"/>
      <c r="I435" s="214"/>
      <c r="J435" s="214"/>
      <c r="K435" s="214"/>
    </row>
    <row r="436" spans="4:11" ht="12.75" x14ac:dyDescent="0.2">
      <c r="D436" s="214"/>
      <c r="E436" s="214"/>
      <c r="F436" s="214"/>
      <c r="G436" s="214"/>
      <c r="H436" s="214"/>
      <c r="I436" s="214"/>
      <c r="J436" s="214"/>
      <c r="K436" s="214"/>
    </row>
    <row r="437" spans="4:11" ht="12.75" x14ac:dyDescent="0.2">
      <c r="D437" s="214"/>
      <c r="E437" s="214"/>
      <c r="F437" s="214"/>
      <c r="G437" s="214"/>
      <c r="H437" s="214"/>
      <c r="I437" s="214"/>
      <c r="J437" s="214"/>
      <c r="K437" s="214"/>
    </row>
    <row r="438" spans="4:11" ht="12.75" x14ac:dyDescent="0.2">
      <c r="D438" s="214"/>
      <c r="E438" s="214"/>
      <c r="F438" s="214"/>
      <c r="G438" s="214"/>
      <c r="H438" s="214"/>
      <c r="I438" s="214"/>
      <c r="J438" s="214"/>
      <c r="K438" s="214"/>
    </row>
    <row r="439" spans="4:11" ht="12.75" x14ac:dyDescent="0.2">
      <c r="D439" s="214"/>
      <c r="E439" s="214"/>
      <c r="F439" s="214"/>
      <c r="G439" s="214"/>
      <c r="H439" s="214"/>
      <c r="I439" s="214"/>
      <c r="J439" s="214"/>
      <c r="K439" s="214"/>
    </row>
    <row r="440" spans="4:11" ht="12.75" x14ac:dyDescent="0.2">
      <c r="D440" s="214"/>
      <c r="E440" s="214"/>
      <c r="F440" s="214"/>
      <c r="G440" s="214"/>
      <c r="H440" s="214"/>
      <c r="I440" s="214"/>
      <c r="J440" s="214"/>
      <c r="K440" s="214"/>
    </row>
    <row r="441" spans="4:11" ht="12.75" x14ac:dyDescent="0.2">
      <c r="D441" s="214"/>
      <c r="E441" s="214"/>
      <c r="F441" s="214"/>
      <c r="G441" s="214"/>
      <c r="H441" s="214"/>
      <c r="I441" s="214"/>
      <c r="J441" s="214"/>
      <c r="K441" s="214"/>
    </row>
    <row r="442" spans="4:11" ht="12.75" x14ac:dyDescent="0.2">
      <c r="D442" s="214"/>
      <c r="E442" s="214"/>
      <c r="F442" s="214"/>
      <c r="G442" s="214"/>
      <c r="H442" s="214"/>
      <c r="I442" s="214"/>
      <c r="J442" s="214"/>
      <c r="K442" s="214"/>
    </row>
    <row r="443" spans="4:11" ht="12.75" x14ac:dyDescent="0.2">
      <c r="D443" s="214"/>
      <c r="E443" s="214"/>
      <c r="F443" s="214"/>
      <c r="G443" s="214"/>
      <c r="H443" s="214"/>
      <c r="I443" s="214"/>
      <c r="J443" s="214"/>
      <c r="K443" s="214"/>
    </row>
    <row r="444" spans="4:11" ht="12.75" x14ac:dyDescent="0.2">
      <c r="D444" s="214"/>
      <c r="E444" s="214"/>
      <c r="F444" s="214"/>
      <c r="G444" s="214"/>
      <c r="H444" s="214"/>
      <c r="I444" s="214"/>
      <c r="J444" s="214"/>
      <c r="K444" s="214"/>
    </row>
    <row r="445" spans="4:11" ht="12.75" x14ac:dyDescent="0.2">
      <c r="D445" s="214"/>
      <c r="E445" s="214"/>
      <c r="F445" s="214"/>
      <c r="G445" s="214"/>
      <c r="H445" s="214"/>
      <c r="I445" s="214"/>
      <c r="J445" s="214"/>
      <c r="K445" s="214"/>
    </row>
    <row r="446" spans="4:11" ht="12.75" x14ac:dyDescent="0.2">
      <c r="D446" s="214"/>
      <c r="E446" s="214"/>
      <c r="F446" s="214"/>
      <c r="G446" s="214"/>
      <c r="H446" s="214"/>
      <c r="I446" s="214"/>
      <c r="J446" s="214"/>
      <c r="K446" s="214"/>
    </row>
    <row r="447" spans="4:11" ht="12.75" x14ac:dyDescent="0.2">
      <c r="D447" s="214"/>
      <c r="E447" s="214"/>
      <c r="F447" s="214"/>
      <c r="G447" s="214"/>
      <c r="H447" s="214"/>
      <c r="I447" s="214"/>
      <c r="J447" s="214"/>
      <c r="K447" s="214"/>
    </row>
    <row r="448" spans="4:11" ht="12.75" x14ac:dyDescent="0.2">
      <c r="D448" s="214"/>
      <c r="E448" s="214"/>
      <c r="F448" s="214"/>
      <c r="G448" s="214"/>
      <c r="H448" s="214"/>
      <c r="I448" s="214"/>
      <c r="J448" s="214"/>
      <c r="K448" s="214"/>
    </row>
    <row r="449" spans="4:11" ht="12.75" x14ac:dyDescent="0.2">
      <c r="D449" s="214"/>
      <c r="E449" s="214"/>
      <c r="F449" s="214"/>
      <c r="G449" s="214"/>
      <c r="H449" s="214"/>
      <c r="I449" s="214"/>
      <c r="J449" s="214"/>
      <c r="K449" s="214"/>
    </row>
    <row r="450" spans="4:11" ht="12.75" x14ac:dyDescent="0.2">
      <c r="D450" s="214"/>
      <c r="E450" s="214"/>
      <c r="F450" s="214"/>
      <c r="G450" s="214"/>
      <c r="H450" s="214"/>
      <c r="I450" s="214"/>
      <c r="J450" s="214"/>
      <c r="K450" s="214"/>
    </row>
    <row r="451" spans="4:11" ht="12.75" x14ac:dyDescent="0.2">
      <c r="D451" s="214"/>
      <c r="E451" s="214"/>
      <c r="F451" s="214"/>
      <c r="G451" s="214"/>
      <c r="H451" s="214"/>
      <c r="I451" s="214"/>
      <c r="J451" s="214"/>
      <c r="K451" s="214"/>
    </row>
    <row r="452" spans="4:11" ht="12.75" x14ac:dyDescent="0.2">
      <c r="D452" s="214"/>
      <c r="E452" s="214"/>
      <c r="F452" s="214"/>
      <c r="G452" s="214"/>
      <c r="H452" s="214"/>
      <c r="I452" s="214"/>
      <c r="J452" s="214"/>
      <c r="K452" s="214"/>
    </row>
    <row r="453" spans="4:11" ht="12.75" x14ac:dyDescent="0.2">
      <c r="D453" s="214"/>
      <c r="E453" s="214"/>
      <c r="F453" s="214"/>
      <c r="G453" s="214"/>
      <c r="H453" s="214"/>
      <c r="I453" s="214"/>
      <c r="J453" s="214"/>
      <c r="K453" s="214"/>
    </row>
    <row r="454" spans="4:11" ht="12.75" x14ac:dyDescent="0.2">
      <c r="D454" s="214"/>
      <c r="E454" s="214"/>
      <c r="F454" s="214"/>
      <c r="G454" s="214"/>
      <c r="H454" s="214"/>
      <c r="I454" s="214"/>
      <c r="J454" s="214"/>
      <c r="K454" s="214"/>
    </row>
    <row r="455" spans="4:11" ht="12.75" x14ac:dyDescent="0.2">
      <c r="D455" s="214"/>
      <c r="E455" s="214"/>
      <c r="F455" s="214"/>
      <c r="G455" s="214"/>
      <c r="H455" s="214"/>
      <c r="I455" s="214"/>
      <c r="J455" s="214"/>
      <c r="K455" s="214"/>
    </row>
    <row r="456" spans="4:11" ht="12.75" x14ac:dyDescent="0.2">
      <c r="D456" s="214"/>
      <c r="E456" s="214"/>
      <c r="F456" s="214"/>
      <c r="G456" s="214"/>
      <c r="H456" s="214"/>
      <c r="I456" s="214"/>
      <c r="J456" s="214"/>
      <c r="K456" s="214"/>
    </row>
    <row r="457" spans="4:11" ht="12.75" x14ac:dyDescent="0.2">
      <c r="D457" s="214"/>
      <c r="E457" s="214"/>
      <c r="F457" s="214"/>
      <c r="G457" s="214"/>
      <c r="H457" s="214"/>
      <c r="I457" s="214"/>
      <c r="J457" s="214"/>
      <c r="K457" s="214"/>
    </row>
    <row r="458" spans="4:11" ht="12.75" x14ac:dyDescent="0.2">
      <c r="D458" s="214"/>
      <c r="E458" s="214"/>
      <c r="F458" s="214"/>
      <c r="G458" s="214"/>
      <c r="H458" s="214"/>
      <c r="I458" s="214"/>
      <c r="J458" s="214"/>
      <c r="K458" s="214"/>
    </row>
    <row r="459" spans="4:11" ht="12.75" x14ac:dyDescent="0.2">
      <c r="D459" s="214"/>
      <c r="E459" s="214"/>
      <c r="F459" s="214"/>
      <c r="G459" s="214"/>
      <c r="H459" s="214"/>
      <c r="I459" s="214"/>
      <c r="J459" s="214"/>
      <c r="K459" s="214"/>
    </row>
    <row r="460" spans="4:11" ht="12.75" x14ac:dyDescent="0.2">
      <c r="D460" s="214"/>
      <c r="E460" s="214"/>
      <c r="F460" s="214"/>
      <c r="G460" s="214"/>
      <c r="H460" s="214"/>
      <c r="I460" s="214"/>
      <c r="J460" s="214"/>
      <c r="K460" s="214"/>
    </row>
    <row r="461" spans="4:11" ht="12.75" x14ac:dyDescent="0.2">
      <c r="D461" s="214"/>
      <c r="E461" s="214"/>
      <c r="F461" s="214"/>
      <c r="G461" s="214"/>
      <c r="H461" s="214"/>
      <c r="I461" s="214"/>
      <c r="J461" s="214"/>
      <c r="K461" s="214"/>
    </row>
    <row r="462" spans="4:11" ht="12.75" x14ac:dyDescent="0.2">
      <c r="D462" s="214"/>
      <c r="E462" s="214"/>
      <c r="F462" s="214"/>
      <c r="G462" s="214"/>
      <c r="H462" s="214"/>
      <c r="I462" s="214"/>
      <c r="J462" s="214"/>
      <c r="K462" s="214"/>
    </row>
    <row r="463" spans="4:11" ht="12.75" x14ac:dyDescent="0.2">
      <c r="D463" s="214"/>
      <c r="E463" s="214"/>
      <c r="F463" s="214"/>
      <c r="G463" s="214"/>
      <c r="H463" s="214"/>
      <c r="I463" s="214"/>
      <c r="J463" s="214"/>
      <c r="K463" s="214"/>
    </row>
    <row r="464" spans="4:11" ht="12.75" x14ac:dyDescent="0.2">
      <c r="D464" s="214"/>
      <c r="E464" s="214"/>
      <c r="F464" s="214"/>
      <c r="G464" s="214"/>
      <c r="H464" s="214"/>
      <c r="I464" s="214"/>
      <c r="J464" s="214"/>
      <c r="K464" s="214"/>
    </row>
    <row r="465" spans="4:11" ht="12.75" x14ac:dyDescent="0.2">
      <c r="D465" s="214"/>
      <c r="E465" s="214"/>
      <c r="F465" s="214"/>
      <c r="G465" s="214"/>
      <c r="H465" s="214"/>
      <c r="I465" s="214"/>
      <c r="J465" s="214"/>
      <c r="K465" s="214"/>
    </row>
    <row r="466" spans="4:11" ht="12.75" x14ac:dyDescent="0.2">
      <c r="D466" s="214"/>
      <c r="E466" s="214"/>
      <c r="F466" s="214"/>
      <c r="G466" s="214"/>
      <c r="H466" s="214"/>
      <c r="I466" s="214"/>
      <c r="J466" s="214"/>
      <c r="K466" s="214"/>
    </row>
    <row r="467" spans="4:11" ht="12.75" x14ac:dyDescent="0.2">
      <c r="D467" s="214"/>
      <c r="E467" s="214"/>
      <c r="F467" s="214"/>
      <c r="G467" s="214"/>
      <c r="H467" s="214"/>
      <c r="I467" s="214"/>
      <c r="J467" s="214"/>
      <c r="K467" s="214"/>
    </row>
    <row r="468" spans="4:11" ht="12.75" x14ac:dyDescent="0.2">
      <c r="D468" s="214"/>
      <c r="E468" s="214"/>
      <c r="F468" s="214"/>
      <c r="G468" s="214"/>
      <c r="H468" s="214"/>
      <c r="I468" s="214"/>
      <c r="J468" s="214"/>
      <c r="K468" s="214"/>
    </row>
    <row r="469" spans="4:11" ht="12.75" x14ac:dyDescent="0.2">
      <c r="D469" s="214"/>
      <c r="E469" s="214"/>
      <c r="F469" s="214"/>
      <c r="G469" s="214"/>
      <c r="H469" s="214"/>
      <c r="I469" s="214"/>
      <c r="J469" s="214"/>
      <c r="K469" s="214"/>
    </row>
    <row r="470" spans="4:11" ht="12.75" x14ac:dyDescent="0.2">
      <c r="D470" s="214"/>
      <c r="E470" s="214"/>
      <c r="F470" s="214"/>
      <c r="G470" s="214"/>
      <c r="H470" s="214"/>
      <c r="I470" s="214"/>
      <c r="J470" s="214"/>
      <c r="K470" s="214"/>
    </row>
    <row r="471" spans="4:11" ht="12.75" x14ac:dyDescent="0.2">
      <c r="D471" s="214"/>
      <c r="E471" s="214"/>
      <c r="F471" s="214"/>
      <c r="G471" s="214"/>
      <c r="H471" s="214"/>
      <c r="I471" s="214"/>
      <c r="J471" s="214"/>
      <c r="K471" s="214"/>
    </row>
    <row r="472" spans="4:11" ht="12.75" x14ac:dyDescent="0.2">
      <c r="D472" s="214"/>
      <c r="E472" s="214"/>
      <c r="F472" s="214"/>
      <c r="G472" s="214"/>
      <c r="H472" s="214"/>
      <c r="I472" s="214"/>
      <c r="J472" s="214"/>
      <c r="K472" s="214"/>
    </row>
    <row r="473" spans="4:11" ht="12.75" x14ac:dyDescent="0.2">
      <c r="D473" s="214"/>
      <c r="E473" s="214"/>
      <c r="F473" s="214"/>
      <c r="G473" s="214"/>
      <c r="H473" s="214"/>
      <c r="I473" s="214"/>
      <c r="J473" s="214"/>
      <c r="K473" s="214"/>
    </row>
    <row r="474" spans="4:11" ht="12.75" x14ac:dyDescent="0.2">
      <c r="D474" s="214"/>
      <c r="E474" s="214"/>
      <c r="F474" s="214"/>
      <c r="G474" s="214"/>
      <c r="H474" s="214"/>
      <c r="I474" s="214"/>
      <c r="J474" s="214"/>
      <c r="K474" s="214"/>
    </row>
    <row r="475" spans="4:11" ht="12.75" x14ac:dyDescent="0.2">
      <c r="D475" s="214"/>
      <c r="E475" s="214"/>
      <c r="F475" s="214"/>
      <c r="G475" s="214"/>
      <c r="H475" s="214"/>
      <c r="I475" s="214"/>
      <c r="J475" s="214"/>
      <c r="K475" s="214"/>
    </row>
    <row r="476" spans="4:11" ht="12.75" x14ac:dyDescent="0.2">
      <c r="D476" s="214"/>
      <c r="E476" s="214"/>
      <c r="F476" s="214"/>
      <c r="G476" s="214"/>
      <c r="H476" s="214"/>
      <c r="I476" s="214"/>
      <c r="J476" s="214"/>
      <c r="K476" s="214"/>
    </row>
    <row r="477" spans="4:11" ht="12.75" x14ac:dyDescent="0.2">
      <c r="D477" s="214"/>
      <c r="E477" s="214"/>
      <c r="F477" s="214"/>
      <c r="G477" s="214"/>
      <c r="H477" s="214"/>
      <c r="I477" s="214"/>
      <c r="J477" s="214"/>
      <c r="K477" s="214"/>
    </row>
    <row r="478" spans="4:11" ht="12.75" x14ac:dyDescent="0.2">
      <c r="D478" s="214"/>
      <c r="E478" s="214"/>
      <c r="F478" s="214"/>
      <c r="G478" s="214"/>
      <c r="H478" s="214"/>
      <c r="I478" s="214"/>
      <c r="J478" s="214"/>
      <c r="K478" s="214"/>
    </row>
    <row r="479" spans="4:11" ht="12.75" x14ac:dyDescent="0.2">
      <c r="D479" s="214"/>
      <c r="E479" s="214"/>
      <c r="F479" s="214"/>
      <c r="G479" s="214"/>
      <c r="H479" s="214"/>
      <c r="I479" s="214"/>
      <c r="J479" s="214"/>
      <c r="K479" s="214"/>
    </row>
    <row r="480" spans="4:11" ht="12.75" x14ac:dyDescent="0.2">
      <c r="D480" s="214"/>
      <c r="E480" s="214"/>
      <c r="F480" s="214"/>
      <c r="G480" s="214"/>
      <c r="H480" s="214"/>
      <c r="I480" s="214"/>
      <c r="J480" s="214"/>
      <c r="K480" s="214"/>
    </row>
    <row r="481" spans="4:11" ht="12.75" x14ac:dyDescent="0.2">
      <c r="D481" s="214"/>
      <c r="E481" s="214"/>
      <c r="F481" s="214"/>
      <c r="G481" s="214"/>
      <c r="H481" s="214"/>
      <c r="I481" s="214"/>
      <c r="J481" s="214"/>
      <c r="K481" s="214"/>
    </row>
    <row r="482" spans="4:11" ht="12.75" x14ac:dyDescent="0.2">
      <c r="D482" s="214"/>
      <c r="E482" s="214"/>
      <c r="F482" s="214"/>
      <c r="G482" s="214"/>
      <c r="H482" s="214"/>
      <c r="I482" s="214"/>
      <c r="J482" s="214"/>
      <c r="K482" s="214"/>
    </row>
    <row r="483" spans="4:11" ht="12.75" x14ac:dyDescent="0.2">
      <c r="D483" s="214"/>
      <c r="E483" s="214"/>
      <c r="F483" s="214"/>
      <c r="G483" s="214"/>
      <c r="H483" s="214"/>
      <c r="I483" s="214"/>
      <c r="J483" s="214"/>
      <c r="K483" s="214"/>
    </row>
    <row r="484" spans="4:11" ht="12.75" x14ac:dyDescent="0.2">
      <c r="D484" s="214"/>
      <c r="E484" s="214"/>
      <c r="F484" s="214"/>
      <c r="G484" s="214"/>
      <c r="H484" s="214"/>
      <c r="I484" s="214"/>
      <c r="J484" s="214"/>
      <c r="K484" s="214"/>
    </row>
    <row r="485" spans="4:11" ht="12.75" x14ac:dyDescent="0.2">
      <c r="D485" s="214"/>
      <c r="E485" s="214"/>
      <c r="F485" s="214"/>
      <c r="G485" s="214"/>
      <c r="H485" s="214"/>
      <c r="I485" s="214"/>
      <c r="J485" s="214"/>
      <c r="K485" s="214"/>
    </row>
    <row r="486" spans="4:11" ht="12.75" x14ac:dyDescent="0.2">
      <c r="D486" s="214"/>
      <c r="E486" s="214"/>
      <c r="F486" s="214"/>
      <c r="G486" s="214"/>
      <c r="H486" s="214"/>
      <c r="I486" s="214"/>
      <c r="J486" s="214"/>
      <c r="K486" s="214"/>
    </row>
    <row r="487" spans="4:11" ht="12.75" x14ac:dyDescent="0.2">
      <c r="D487" s="214"/>
      <c r="E487" s="214"/>
      <c r="F487" s="214"/>
      <c r="G487" s="214"/>
      <c r="H487" s="214"/>
      <c r="I487" s="214"/>
      <c r="J487" s="214"/>
      <c r="K487" s="214"/>
    </row>
    <row r="488" spans="4:11" ht="12.75" x14ac:dyDescent="0.2">
      <c r="D488" s="214"/>
      <c r="E488" s="214"/>
      <c r="F488" s="214"/>
      <c r="G488" s="214"/>
      <c r="H488" s="214"/>
      <c r="I488" s="214"/>
      <c r="J488" s="214"/>
      <c r="K488" s="214"/>
    </row>
    <row r="489" spans="4:11" ht="12.75" x14ac:dyDescent="0.2">
      <c r="D489" s="214"/>
      <c r="E489" s="214"/>
      <c r="F489" s="214"/>
      <c r="G489" s="214"/>
      <c r="H489" s="214"/>
      <c r="I489" s="214"/>
      <c r="J489" s="214"/>
      <c r="K489" s="214"/>
    </row>
    <row r="490" spans="4:11" ht="12.75" x14ac:dyDescent="0.2">
      <c r="D490" s="214"/>
      <c r="E490" s="214"/>
      <c r="F490" s="214"/>
      <c r="G490" s="214"/>
      <c r="H490" s="214"/>
      <c r="I490" s="214"/>
      <c r="J490" s="214"/>
      <c r="K490" s="214"/>
    </row>
    <row r="491" spans="4:11" ht="12.75" x14ac:dyDescent="0.2">
      <c r="D491" s="214"/>
      <c r="E491" s="214"/>
      <c r="F491" s="214"/>
      <c r="G491" s="214"/>
      <c r="H491" s="214"/>
      <c r="I491" s="214"/>
      <c r="J491" s="214"/>
      <c r="K491" s="214"/>
    </row>
    <row r="492" spans="4:11" ht="12.75" x14ac:dyDescent="0.2">
      <c r="D492" s="214"/>
      <c r="E492" s="214"/>
      <c r="F492" s="214"/>
      <c r="G492" s="214"/>
      <c r="H492" s="214"/>
      <c r="I492" s="214"/>
      <c r="J492" s="214"/>
      <c r="K492" s="214"/>
    </row>
    <row r="493" spans="4:11" ht="12.75" x14ac:dyDescent="0.2">
      <c r="D493" s="214"/>
      <c r="E493" s="214"/>
      <c r="F493" s="214"/>
      <c r="G493" s="214"/>
      <c r="H493" s="214"/>
      <c r="I493" s="214"/>
      <c r="J493" s="214"/>
      <c r="K493" s="214"/>
    </row>
    <row r="494" spans="4:11" ht="12.75" x14ac:dyDescent="0.2">
      <c r="D494" s="214"/>
      <c r="E494" s="214"/>
      <c r="F494" s="214"/>
      <c r="G494" s="214"/>
      <c r="H494" s="214"/>
      <c r="I494" s="214"/>
      <c r="J494" s="214"/>
      <c r="K494" s="214"/>
    </row>
    <row r="495" spans="4:11" ht="12.75" x14ac:dyDescent="0.2">
      <c r="D495" s="214"/>
      <c r="E495" s="214"/>
      <c r="F495" s="214"/>
      <c r="G495" s="214"/>
      <c r="H495" s="214"/>
      <c r="I495" s="214"/>
      <c r="J495" s="214"/>
      <c r="K495" s="214"/>
    </row>
    <row r="496" spans="4:11" ht="12.75" x14ac:dyDescent="0.2">
      <c r="D496" s="214"/>
      <c r="E496" s="214"/>
      <c r="F496" s="214"/>
      <c r="G496" s="214"/>
      <c r="H496" s="214"/>
      <c r="I496" s="214"/>
      <c r="J496" s="214"/>
      <c r="K496" s="214"/>
    </row>
    <row r="497" spans="4:11" ht="12.75" x14ac:dyDescent="0.2">
      <c r="D497" s="214"/>
      <c r="E497" s="214"/>
      <c r="F497" s="214"/>
      <c r="G497" s="214"/>
      <c r="H497" s="214"/>
      <c r="I497" s="214"/>
      <c r="J497" s="214"/>
      <c r="K497" s="214"/>
    </row>
    <row r="498" spans="4:11" ht="12.75" x14ac:dyDescent="0.2">
      <c r="D498" s="214"/>
      <c r="E498" s="214"/>
      <c r="F498" s="214"/>
      <c r="G498" s="214"/>
      <c r="H498" s="214"/>
      <c r="I498" s="214"/>
      <c r="J498" s="214"/>
      <c r="K498" s="214"/>
    </row>
    <row r="499" spans="4:11" ht="12.75" x14ac:dyDescent="0.2">
      <c r="D499" s="214"/>
      <c r="E499" s="214"/>
      <c r="F499" s="214"/>
      <c r="G499" s="214"/>
      <c r="H499" s="214"/>
      <c r="I499" s="214"/>
      <c r="J499" s="214"/>
      <c r="K499" s="214"/>
    </row>
    <row r="500" spans="4:11" ht="12.75" x14ac:dyDescent="0.2">
      <c r="D500" s="214"/>
      <c r="E500" s="214"/>
      <c r="F500" s="214"/>
      <c r="G500" s="214"/>
      <c r="H500" s="214"/>
      <c r="I500" s="214"/>
      <c r="J500" s="214"/>
      <c r="K500" s="214"/>
    </row>
    <row r="501" spans="4:11" ht="12.75" x14ac:dyDescent="0.2">
      <c r="D501" s="214"/>
      <c r="E501" s="214"/>
      <c r="F501" s="214"/>
      <c r="G501" s="214"/>
      <c r="H501" s="214"/>
      <c r="I501" s="214"/>
      <c r="J501" s="214"/>
      <c r="K501" s="214"/>
    </row>
    <row r="502" spans="4:11" ht="12.75" x14ac:dyDescent="0.2">
      <c r="D502" s="214"/>
      <c r="E502" s="214"/>
      <c r="F502" s="214"/>
      <c r="G502" s="214"/>
      <c r="H502" s="214"/>
      <c r="I502" s="214"/>
      <c r="J502" s="214"/>
      <c r="K502" s="214"/>
    </row>
    <row r="503" spans="4:11" ht="12.75" x14ac:dyDescent="0.2">
      <c r="D503" s="214"/>
      <c r="E503" s="214"/>
      <c r="F503" s="214"/>
      <c r="G503" s="214"/>
      <c r="H503" s="214"/>
      <c r="I503" s="214"/>
      <c r="J503" s="214"/>
      <c r="K503" s="214"/>
    </row>
    <row r="504" spans="4:11" ht="12.75" x14ac:dyDescent="0.2">
      <c r="D504" s="214"/>
      <c r="E504" s="214"/>
      <c r="F504" s="214"/>
      <c r="G504" s="214"/>
      <c r="H504" s="214"/>
      <c r="I504" s="214"/>
      <c r="J504" s="214"/>
      <c r="K504" s="214"/>
    </row>
    <row r="505" spans="4:11" ht="12.75" x14ac:dyDescent="0.2">
      <c r="D505" s="214"/>
      <c r="E505" s="214"/>
      <c r="F505" s="214"/>
      <c r="G505" s="214"/>
      <c r="H505" s="214"/>
      <c r="I505" s="214"/>
      <c r="J505" s="214"/>
      <c r="K505" s="214"/>
    </row>
    <row r="506" spans="4:11" ht="12.75" x14ac:dyDescent="0.2">
      <c r="D506" s="214"/>
      <c r="E506" s="214"/>
      <c r="F506" s="214"/>
      <c r="G506" s="214"/>
      <c r="H506" s="214"/>
      <c r="I506" s="214"/>
      <c r="J506" s="214"/>
      <c r="K506" s="214"/>
    </row>
    <row r="507" spans="4:11" ht="12.75" x14ac:dyDescent="0.2">
      <c r="D507" s="214"/>
      <c r="E507" s="214"/>
      <c r="F507" s="214"/>
      <c r="G507" s="214"/>
      <c r="H507" s="214"/>
      <c r="I507" s="214"/>
      <c r="J507" s="214"/>
      <c r="K507" s="214"/>
    </row>
    <row r="508" spans="4:11" ht="12.75" x14ac:dyDescent="0.2">
      <c r="D508" s="214"/>
      <c r="E508" s="214"/>
      <c r="F508" s="214"/>
      <c r="G508" s="214"/>
      <c r="H508" s="214"/>
      <c r="I508" s="214"/>
      <c r="J508" s="214"/>
      <c r="K508" s="214"/>
    </row>
    <row r="509" spans="4:11" ht="12.75" x14ac:dyDescent="0.2">
      <c r="D509" s="214"/>
      <c r="E509" s="214"/>
      <c r="F509" s="214"/>
      <c r="G509" s="214"/>
      <c r="H509" s="214"/>
      <c r="I509" s="214"/>
      <c r="J509" s="214"/>
      <c r="K509" s="214"/>
    </row>
    <row r="510" spans="4:11" ht="12.75" x14ac:dyDescent="0.2">
      <c r="D510" s="214"/>
      <c r="E510" s="214"/>
      <c r="F510" s="214"/>
      <c r="G510" s="214"/>
      <c r="H510" s="214"/>
      <c r="I510" s="214"/>
      <c r="J510" s="214"/>
      <c r="K510" s="214"/>
    </row>
    <row r="511" spans="4:11" ht="12.75" x14ac:dyDescent="0.2">
      <c r="D511" s="214"/>
      <c r="E511" s="214"/>
      <c r="F511" s="214"/>
      <c r="G511" s="214"/>
      <c r="H511" s="214"/>
      <c r="I511" s="214"/>
      <c r="J511" s="214"/>
      <c r="K511" s="214"/>
    </row>
    <row r="512" spans="4:11" ht="12.75" x14ac:dyDescent="0.2">
      <c r="D512" s="214"/>
      <c r="E512" s="214"/>
      <c r="F512" s="214"/>
      <c r="G512" s="214"/>
      <c r="H512" s="214"/>
      <c r="I512" s="214"/>
      <c r="J512" s="214"/>
      <c r="K512" s="214"/>
    </row>
    <row r="513" spans="4:11" ht="12.75" x14ac:dyDescent="0.2">
      <c r="D513" s="214"/>
      <c r="E513" s="214"/>
      <c r="F513" s="214"/>
      <c r="G513" s="214"/>
      <c r="H513" s="214"/>
      <c r="I513" s="214"/>
      <c r="J513" s="214"/>
      <c r="K513" s="214"/>
    </row>
    <row r="514" spans="4:11" ht="12.75" x14ac:dyDescent="0.2">
      <c r="D514" s="214"/>
      <c r="E514" s="214"/>
      <c r="F514" s="214"/>
      <c r="G514" s="214"/>
      <c r="H514" s="214"/>
      <c r="I514" s="214"/>
      <c r="J514" s="214"/>
      <c r="K514" s="214"/>
    </row>
    <row r="515" spans="4:11" ht="12.75" x14ac:dyDescent="0.2">
      <c r="D515" s="214"/>
      <c r="E515" s="214"/>
      <c r="F515" s="214"/>
      <c r="G515" s="214"/>
      <c r="H515" s="214"/>
      <c r="I515" s="214"/>
      <c r="J515" s="214"/>
      <c r="K515" s="214"/>
    </row>
    <row r="516" spans="4:11" ht="12.75" x14ac:dyDescent="0.2">
      <c r="D516" s="214"/>
      <c r="E516" s="214"/>
      <c r="F516" s="214"/>
      <c r="G516" s="214"/>
      <c r="H516" s="214"/>
      <c r="I516" s="214"/>
      <c r="J516" s="214"/>
      <c r="K516" s="214"/>
    </row>
    <row r="517" spans="4:11" ht="12.75" x14ac:dyDescent="0.2">
      <c r="D517" s="214"/>
      <c r="E517" s="214"/>
      <c r="F517" s="214"/>
      <c r="G517" s="214"/>
      <c r="H517" s="214"/>
      <c r="I517" s="214"/>
      <c r="J517" s="214"/>
      <c r="K517" s="214"/>
    </row>
    <row r="518" spans="4:11" ht="12.75" x14ac:dyDescent="0.2">
      <c r="D518" s="214"/>
      <c r="E518" s="214"/>
      <c r="F518" s="214"/>
      <c r="G518" s="214"/>
      <c r="H518" s="214"/>
      <c r="I518" s="214"/>
      <c r="J518" s="214"/>
      <c r="K518" s="214"/>
    </row>
    <row r="519" spans="4:11" ht="12.75" x14ac:dyDescent="0.2">
      <c r="D519" s="214"/>
      <c r="E519" s="214"/>
      <c r="F519" s="214"/>
      <c r="G519" s="214"/>
      <c r="H519" s="214"/>
      <c r="I519" s="214"/>
      <c r="J519" s="214"/>
      <c r="K519" s="214"/>
    </row>
    <row r="520" spans="4:11" ht="12.75" x14ac:dyDescent="0.2">
      <c r="D520" s="214"/>
      <c r="E520" s="214"/>
      <c r="F520" s="214"/>
      <c r="G520" s="214"/>
      <c r="H520" s="214"/>
      <c r="I520" s="214"/>
      <c r="J520" s="214"/>
      <c r="K520" s="214"/>
    </row>
    <row r="521" spans="4:11" ht="12.75" x14ac:dyDescent="0.2">
      <c r="D521" s="214"/>
      <c r="E521" s="214"/>
      <c r="F521" s="214"/>
      <c r="G521" s="214"/>
      <c r="H521" s="214"/>
      <c r="I521" s="214"/>
      <c r="J521" s="214"/>
      <c r="K521" s="214"/>
    </row>
    <row r="522" spans="4:11" ht="12.75" x14ac:dyDescent="0.2">
      <c r="D522" s="214"/>
      <c r="E522" s="214"/>
      <c r="F522" s="214"/>
      <c r="G522" s="214"/>
      <c r="H522" s="214"/>
      <c r="I522" s="214"/>
      <c r="J522" s="214"/>
      <c r="K522" s="214"/>
    </row>
    <row r="523" spans="4:11" ht="12.75" x14ac:dyDescent="0.2">
      <c r="D523" s="214"/>
      <c r="E523" s="214"/>
      <c r="F523" s="214"/>
      <c r="G523" s="214"/>
      <c r="H523" s="214"/>
      <c r="I523" s="214"/>
      <c r="J523" s="214"/>
      <c r="K523" s="214"/>
    </row>
    <row r="524" spans="4:11" ht="12.75" x14ac:dyDescent="0.2">
      <c r="D524" s="214"/>
      <c r="E524" s="214"/>
      <c r="F524" s="214"/>
      <c r="G524" s="214"/>
      <c r="H524" s="214"/>
      <c r="I524" s="214"/>
      <c r="J524" s="214"/>
      <c r="K524" s="214"/>
    </row>
    <row r="525" spans="4:11" ht="12.75" x14ac:dyDescent="0.2">
      <c r="D525" s="214"/>
      <c r="E525" s="214"/>
      <c r="F525" s="214"/>
      <c r="G525" s="214"/>
      <c r="H525" s="214"/>
      <c r="I525" s="214"/>
      <c r="J525" s="214"/>
      <c r="K525" s="214"/>
    </row>
    <row r="526" spans="4:11" ht="12.75" x14ac:dyDescent="0.2">
      <c r="D526" s="214"/>
      <c r="E526" s="214"/>
      <c r="F526" s="214"/>
      <c r="G526" s="214"/>
      <c r="H526" s="214"/>
      <c r="I526" s="214"/>
      <c r="J526" s="214"/>
      <c r="K526" s="214"/>
    </row>
    <row r="527" spans="4:11" ht="12.75" x14ac:dyDescent="0.2">
      <c r="D527" s="214"/>
      <c r="E527" s="214"/>
      <c r="F527" s="214"/>
      <c r="G527" s="214"/>
      <c r="H527" s="214"/>
      <c r="I527" s="214"/>
      <c r="J527" s="214"/>
      <c r="K527" s="214"/>
    </row>
    <row r="528" spans="4:11" ht="12.75" x14ac:dyDescent="0.2">
      <c r="D528" s="214"/>
      <c r="E528" s="214"/>
      <c r="F528" s="214"/>
      <c r="G528" s="214"/>
      <c r="H528" s="214"/>
      <c r="I528" s="214"/>
      <c r="J528" s="214"/>
      <c r="K528" s="214"/>
    </row>
    <row r="529" spans="4:11" ht="12.75" x14ac:dyDescent="0.2">
      <c r="D529" s="214"/>
      <c r="E529" s="214"/>
      <c r="F529" s="214"/>
      <c r="G529" s="214"/>
      <c r="H529" s="214"/>
      <c r="I529" s="214"/>
      <c r="J529" s="214"/>
      <c r="K529" s="214"/>
    </row>
    <row r="530" spans="4:11" ht="12.75" x14ac:dyDescent="0.2">
      <c r="D530" s="214"/>
      <c r="E530" s="214"/>
      <c r="F530" s="214"/>
      <c r="G530" s="214"/>
      <c r="H530" s="214"/>
      <c r="I530" s="214"/>
      <c r="J530" s="214"/>
      <c r="K530" s="214"/>
    </row>
    <row r="531" spans="4:11" ht="12.75" x14ac:dyDescent="0.2">
      <c r="D531" s="214"/>
      <c r="E531" s="214"/>
      <c r="F531" s="214"/>
      <c r="G531" s="214"/>
      <c r="H531" s="214"/>
      <c r="I531" s="214"/>
      <c r="J531" s="214"/>
      <c r="K531" s="214"/>
    </row>
    <row r="532" spans="4:11" ht="12.75" x14ac:dyDescent="0.2">
      <c r="D532" s="214"/>
      <c r="E532" s="214"/>
      <c r="F532" s="214"/>
      <c r="G532" s="214"/>
      <c r="H532" s="214"/>
      <c r="I532" s="214"/>
      <c r="J532" s="214"/>
      <c r="K532" s="214"/>
    </row>
    <row r="533" spans="4:11" ht="12.75" x14ac:dyDescent="0.2">
      <c r="D533" s="214"/>
      <c r="E533" s="214"/>
      <c r="F533" s="214"/>
      <c r="G533" s="214"/>
      <c r="H533" s="214"/>
      <c r="I533" s="214"/>
      <c r="J533" s="214"/>
      <c r="K533" s="214"/>
    </row>
    <row r="534" spans="4:11" ht="12.75" x14ac:dyDescent="0.2">
      <c r="D534" s="214"/>
      <c r="E534" s="214"/>
      <c r="F534" s="214"/>
      <c r="G534" s="214"/>
      <c r="H534" s="214"/>
      <c r="I534" s="214"/>
      <c r="J534" s="214"/>
      <c r="K534" s="214"/>
    </row>
    <row r="535" spans="4:11" ht="12.75" x14ac:dyDescent="0.2">
      <c r="D535" s="214"/>
      <c r="E535" s="214"/>
      <c r="F535" s="214"/>
      <c r="G535" s="214"/>
      <c r="H535" s="214"/>
      <c r="I535" s="214"/>
      <c r="J535" s="214"/>
      <c r="K535" s="214"/>
    </row>
    <row r="536" spans="4:11" ht="12.75" x14ac:dyDescent="0.2">
      <c r="D536" s="214"/>
      <c r="E536" s="214"/>
      <c r="F536" s="214"/>
      <c r="G536" s="214"/>
      <c r="H536" s="214"/>
      <c r="I536" s="214"/>
      <c r="J536" s="214"/>
      <c r="K536" s="214"/>
    </row>
    <row r="537" spans="4:11" ht="12.75" x14ac:dyDescent="0.2">
      <c r="D537" s="214"/>
      <c r="E537" s="214"/>
      <c r="F537" s="214"/>
      <c r="G537" s="214"/>
      <c r="H537" s="214"/>
      <c r="I537" s="214"/>
      <c r="J537" s="214"/>
      <c r="K537" s="214"/>
    </row>
    <row r="538" spans="4:11" ht="12.75" x14ac:dyDescent="0.2">
      <c r="D538" s="214"/>
      <c r="E538" s="214"/>
      <c r="F538" s="214"/>
      <c r="G538" s="214"/>
      <c r="H538" s="214"/>
      <c r="I538" s="214"/>
      <c r="J538" s="214"/>
      <c r="K538" s="214"/>
    </row>
    <row r="539" spans="4:11" ht="12.75" x14ac:dyDescent="0.2">
      <c r="D539" s="214"/>
      <c r="E539" s="214"/>
      <c r="F539" s="214"/>
      <c r="G539" s="214"/>
      <c r="H539" s="214"/>
      <c r="I539" s="214"/>
      <c r="J539" s="214"/>
      <c r="K539" s="214"/>
    </row>
    <row r="540" spans="4:11" ht="12.75" x14ac:dyDescent="0.2">
      <c r="D540" s="214"/>
      <c r="E540" s="214"/>
      <c r="F540" s="214"/>
      <c r="G540" s="214"/>
      <c r="H540" s="214"/>
      <c r="I540" s="214"/>
      <c r="J540" s="214"/>
      <c r="K540" s="214"/>
    </row>
    <row r="541" spans="4:11" ht="12.75" x14ac:dyDescent="0.2">
      <c r="D541" s="214"/>
      <c r="E541" s="214"/>
      <c r="F541" s="214"/>
      <c r="G541" s="214"/>
      <c r="H541" s="214"/>
      <c r="I541" s="214"/>
      <c r="J541" s="214"/>
      <c r="K541" s="214"/>
    </row>
    <row r="542" spans="4:11" ht="12.75" x14ac:dyDescent="0.2">
      <c r="D542" s="214"/>
      <c r="E542" s="214"/>
      <c r="F542" s="214"/>
      <c r="G542" s="214"/>
      <c r="H542" s="214"/>
      <c r="I542" s="214"/>
      <c r="J542" s="214"/>
      <c r="K542" s="214"/>
    </row>
    <row r="543" spans="4:11" ht="12.75" x14ac:dyDescent="0.2">
      <c r="D543" s="214"/>
      <c r="E543" s="214"/>
      <c r="F543" s="214"/>
      <c r="G543" s="214"/>
      <c r="H543" s="214"/>
      <c r="I543" s="214"/>
      <c r="J543" s="214"/>
      <c r="K543" s="214"/>
    </row>
    <row r="544" spans="4:11" ht="12.75" x14ac:dyDescent="0.2">
      <c r="D544" s="214"/>
      <c r="E544" s="214"/>
      <c r="F544" s="214"/>
      <c r="G544" s="214"/>
      <c r="H544" s="214"/>
      <c r="I544" s="214"/>
      <c r="J544" s="214"/>
      <c r="K544" s="214"/>
    </row>
    <row r="545" spans="4:11" ht="12.75" x14ac:dyDescent="0.2">
      <c r="D545" s="214"/>
      <c r="E545" s="214"/>
      <c r="F545" s="214"/>
      <c r="G545" s="214"/>
      <c r="H545" s="214"/>
      <c r="I545" s="214"/>
      <c r="J545" s="214"/>
      <c r="K545" s="214"/>
    </row>
    <row r="546" spans="4:11" ht="12.75" x14ac:dyDescent="0.2">
      <c r="D546" s="214"/>
      <c r="E546" s="214"/>
      <c r="F546" s="214"/>
      <c r="G546" s="214"/>
      <c r="H546" s="214"/>
      <c r="I546" s="214"/>
      <c r="J546" s="214"/>
      <c r="K546" s="214"/>
    </row>
    <row r="547" spans="4:11" ht="12.75" x14ac:dyDescent="0.2">
      <c r="D547" s="214"/>
      <c r="E547" s="214"/>
      <c r="F547" s="214"/>
      <c r="G547" s="214"/>
      <c r="H547" s="214"/>
      <c r="I547" s="214"/>
      <c r="J547" s="214"/>
      <c r="K547" s="214"/>
    </row>
    <row r="548" spans="4:11" ht="12.75" x14ac:dyDescent="0.2">
      <c r="D548" s="214"/>
      <c r="E548" s="214"/>
      <c r="F548" s="214"/>
      <c r="G548" s="214"/>
      <c r="H548" s="214"/>
      <c r="I548" s="214"/>
      <c r="J548" s="214"/>
      <c r="K548" s="214"/>
    </row>
    <row r="549" spans="4:11" ht="12.75" x14ac:dyDescent="0.2">
      <c r="D549" s="214"/>
      <c r="E549" s="214"/>
      <c r="F549" s="214"/>
      <c r="G549" s="214"/>
      <c r="H549" s="214"/>
      <c r="I549" s="214"/>
      <c r="J549" s="214"/>
      <c r="K549" s="214"/>
    </row>
    <row r="550" spans="4:11" ht="12.75" x14ac:dyDescent="0.2">
      <c r="D550" s="214"/>
      <c r="E550" s="214"/>
      <c r="F550" s="214"/>
      <c r="G550" s="214"/>
      <c r="H550" s="214"/>
      <c r="I550" s="214"/>
      <c r="J550" s="214"/>
      <c r="K550" s="214"/>
    </row>
    <row r="551" spans="4:11" ht="12.75" x14ac:dyDescent="0.2">
      <c r="D551" s="214"/>
      <c r="E551" s="214"/>
      <c r="F551" s="214"/>
      <c r="G551" s="214"/>
      <c r="H551" s="214"/>
      <c r="I551" s="214"/>
      <c r="J551" s="214"/>
      <c r="K551" s="214"/>
    </row>
    <row r="552" spans="4:11" ht="12.75" x14ac:dyDescent="0.2">
      <c r="D552" s="214"/>
      <c r="E552" s="214"/>
      <c r="F552" s="214"/>
      <c r="G552" s="214"/>
      <c r="H552" s="214"/>
      <c r="I552" s="214"/>
      <c r="J552" s="214"/>
      <c r="K552" s="214"/>
    </row>
    <row r="553" spans="4:11" ht="12.75" x14ac:dyDescent="0.2">
      <c r="D553" s="214"/>
      <c r="E553" s="214"/>
      <c r="F553" s="214"/>
      <c r="G553" s="214"/>
      <c r="H553" s="214"/>
      <c r="I553" s="214"/>
      <c r="J553" s="214"/>
      <c r="K553" s="214"/>
    </row>
    <row r="554" spans="4:11" ht="12.75" x14ac:dyDescent="0.2">
      <c r="D554" s="214"/>
      <c r="E554" s="214"/>
      <c r="F554" s="214"/>
      <c r="G554" s="214"/>
      <c r="H554" s="214"/>
      <c r="I554" s="214"/>
      <c r="J554" s="214"/>
      <c r="K554" s="214"/>
    </row>
    <row r="555" spans="4:11" ht="12.75" x14ac:dyDescent="0.2">
      <c r="D555" s="214"/>
      <c r="E555" s="214"/>
      <c r="F555" s="214"/>
      <c r="G555" s="214"/>
      <c r="H555" s="214"/>
      <c r="I555" s="214"/>
      <c r="J555" s="214"/>
      <c r="K555" s="214"/>
    </row>
    <row r="556" spans="4:11" ht="12.75" x14ac:dyDescent="0.2">
      <c r="D556" s="214"/>
      <c r="E556" s="214"/>
      <c r="F556" s="214"/>
      <c r="G556" s="214"/>
      <c r="H556" s="214"/>
      <c r="I556" s="214"/>
      <c r="J556" s="214"/>
      <c r="K556" s="214"/>
    </row>
    <row r="557" spans="4:11" ht="12.75" x14ac:dyDescent="0.2">
      <c r="D557" s="214"/>
      <c r="E557" s="214"/>
      <c r="F557" s="214"/>
      <c r="G557" s="214"/>
      <c r="H557" s="214"/>
      <c r="I557" s="214"/>
      <c r="J557" s="214"/>
      <c r="K557" s="214"/>
    </row>
    <row r="558" spans="4:11" ht="12.75" x14ac:dyDescent="0.2">
      <c r="D558" s="214"/>
      <c r="E558" s="214"/>
      <c r="F558" s="214"/>
      <c r="G558" s="214"/>
      <c r="H558" s="214"/>
      <c r="I558" s="214"/>
      <c r="J558" s="214"/>
      <c r="K558" s="214"/>
    </row>
    <row r="559" spans="4:11" ht="12.75" x14ac:dyDescent="0.2">
      <c r="D559" s="214"/>
      <c r="E559" s="214"/>
      <c r="F559" s="214"/>
      <c r="G559" s="214"/>
      <c r="H559" s="214"/>
      <c r="I559" s="214"/>
      <c r="J559" s="214"/>
      <c r="K559" s="214"/>
    </row>
    <row r="560" spans="4:11" ht="12.75" x14ac:dyDescent="0.2">
      <c r="D560" s="214"/>
      <c r="E560" s="214"/>
      <c r="F560" s="214"/>
      <c r="G560" s="214"/>
      <c r="H560" s="214"/>
      <c r="I560" s="214"/>
      <c r="J560" s="214"/>
      <c r="K560" s="214"/>
    </row>
    <row r="561" spans="4:11" ht="12.75" x14ac:dyDescent="0.2">
      <c r="D561" s="214"/>
      <c r="E561" s="214"/>
      <c r="F561" s="214"/>
      <c r="G561" s="214"/>
      <c r="H561" s="214"/>
      <c r="I561" s="214"/>
      <c r="J561" s="214"/>
      <c r="K561" s="214"/>
    </row>
    <row r="562" spans="4:11" ht="12.75" x14ac:dyDescent="0.2">
      <c r="D562" s="214"/>
      <c r="E562" s="214"/>
      <c r="F562" s="214"/>
      <c r="G562" s="214"/>
      <c r="H562" s="214"/>
      <c r="I562" s="214"/>
      <c r="J562" s="214"/>
      <c r="K562" s="214"/>
    </row>
    <row r="563" spans="4:11" ht="12.75" x14ac:dyDescent="0.2">
      <c r="D563" s="214"/>
      <c r="E563" s="214"/>
      <c r="F563" s="214"/>
      <c r="G563" s="214"/>
      <c r="H563" s="214"/>
      <c r="I563" s="214"/>
      <c r="J563" s="214"/>
      <c r="K563" s="214"/>
    </row>
    <row r="564" spans="4:11" ht="12.75" x14ac:dyDescent="0.2">
      <c r="D564" s="214"/>
      <c r="E564" s="214"/>
      <c r="F564" s="214"/>
      <c r="G564" s="214"/>
      <c r="H564" s="214"/>
      <c r="I564" s="214"/>
      <c r="J564" s="214"/>
      <c r="K564" s="214"/>
    </row>
    <row r="565" spans="4:11" ht="12.75" x14ac:dyDescent="0.2">
      <c r="D565" s="214"/>
      <c r="E565" s="214"/>
      <c r="F565" s="214"/>
      <c r="G565" s="214"/>
      <c r="H565" s="214"/>
      <c r="I565" s="214"/>
      <c r="J565" s="214"/>
      <c r="K565" s="214"/>
    </row>
    <row r="566" spans="4:11" ht="12.75" x14ac:dyDescent="0.2">
      <c r="D566" s="214"/>
      <c r="E566" s="214"/>
      <c r="F566" s="214"/>
      <c r="G566" s="214"/>
      <c r="H566" s="214"/>
      <c r="I566" s="214"/>
      <c r="J566" s="214"/>
      <c r="K566" s="214"/>
    </row>
    <row r="567" spans="4:11" ht="12.75" x14ac:dyDescent="0.2">
      <c r="D567" s="214"/>
      <c r="E567" s="214"/>
      <c r="F567" s="214"/>
      <c r="G567" s="214"/>
      <c r="H567" s="214"/>
      <c r="I567" s="214"/>
      <c r="J567" s="214"/>
      <c r="K567" s="214"/>
    </row>
    <row r="568" spans="4:11" ht="12.75" x14ac:dyDescent="0.2">
      <c r="D568" s="214"/>
      <c r="E568" s="214"/>
      <c r="F568" s="214"/>
      <c r="G568" s="214"/>
      <c r="H568" s="214"/>
      <c r="I568" s="214"/>
      <c r="J568" s="214"/>
      <c r="K568" s="214"/>
    </row>
    <row r="569" spans="4:11" ht="12.75" x14ac:dyDescent="0.2">
      <c r="D569" s="214"/>
      <c r="E569" s="214"/>
      <c r="F569" s="214"/>
      <c r="G569" s="214"/>
      <c r="H569" s="214"/>
      <c r="I569" s="214"/>
      <c r="J569" s="214"/>
      <c r="K569" s="214"/>
    </row>
    <row r="570" spans="4:11" ht="12.75" x14ac:dyDescent="0.2">
      <c r="D570" s="214"/>
      <c r="E570" s="214"/>
      <c r="F570" s="214"/>
      <c r="G570" s="214"/>
      <c r="H570" s="214"/>
      <c r="I570" s="214"/>
      <c r="J570" s="214"/>
      <c r="K570" s="214"/>
    </row>
    <row r="571" spans="4:11" ht="12.75" x14ac:dyDescent="0.2">
      <c r="D571" s="214"/>
      <c r="E571" s="214"/>
      <c r="F571" s="214"/>
      <c r="G571" s="214"/>
      <c r="H571" s="214"/>
      <c r="I571" s="214"/>
      <c r="J571" s="214"/>
      <c r="K571" s="214"/>
    </row>
    <row r="572" spans="4:11" ht="12.75" x14ac:dyDescent="0.2">
      <c r="D572" s="214"/>
      <c r="E572" s="214"/>
      <c r="F572" s="214"/>
      <c r="G572" s="214"/>
      <c r="H572" s="214"/>
      <c r="I572" s="214"/>
      <c r="J572" s="214"/>
      <c r="K572" s="214"/>
    </row>
    <row r="573" spans="4:11" ht="12.75" x14ac:dyDescent="0.2">
      <c r="D573" s="214"/>
      <c r="E573" s="214"/>
      <c r="F573" s="214"/>
      <c r="G573" s="214"/>
      <c r="H573" s="214"/>
      <c r="I573" s="214"/>
      <c r="J573" s="214"/>
      <c r="K573" s="214"/>
    </row>
    <row r="574" spans="4:11" ht="12.75" x14ac:dyDescent="0.2">
      <c r="D574" s="214"/>
      <c r="E574" s="214"/>
      <c r="F574" s="214"/>
      <c r="G574" s="214"/>
      <c r="H574" s="214"/>
      <c r="I574" s="214"/>
      <c r="J574" s="214"/>
      <c r="K574" s="214"/>
    </row>
    <row r="575" spans="4:11" ht="12.75" x14ac:dyDescent="0.2">
      <c r="D575" s="214"/>
      <c r="E575" s="214"/>
      <c r="F575" s="214"/>
      <c r="G575" s="214"/>
      <c r="H575" s="214"/>
      <c r="I575" s="214"/>
      <c r="J575" s="214"/>
      <c r="K575" s="214"/>
    </row>
    <row r="576" spans="4:11" ht="12.75" x14ac:dyDescent="0.2">
      <c r="D576" s="214"/>
      <c r="E576" s="214"/>
      <c r="F576" s="214"/>
      <c r="G576" s="214"/>
      <c r="H576" s="214"/>
      <c r="I576" s="214"/>
      <c r="J576" s="214"/>
      <c r="K576" s="214"/>
    </row>
    <row r="577" spans="4:11" ht="12.75" x14ac:dyDescent="0.2">
      <c r="D577" s="214"/>
      <c r="E577" s="214"/>
      <c r="F577" s="214"/>
      <c r="G577" s="214"/>
      <c r="H577" s="214"/>
      <c r="I577" s="214"/>
      <c r="J577" s="214"/>
      <c r="K577" s="214"/>
    </row>
    <row r="578" spans="4:11" ht="12.75" x14ac:dyDescent="0.2">
      <c r="D578" s="214"/>
      <c r="E578" s="214"/>
      <c r="F578" s="214"/>
      <c r="G578" s="214"/>
      <c r="H578" s="214"/>
      <c r="I578" s="214"/>
      <c r="J578" s="214"/>
      <c r="K578" s="214"/>
    </row>
    <row r="579" spans="4:11" ht="12.75" x14ac:dyDescent="0.2">
      <c r="D579" s="214"/>
      <c r="E579" s="214"/>
      <c r="F579" s="214"/>
      <c r="G579" s="214"/>
      <c r="H579" s="214"/>
      <c r="I579" s="214"/>
      <c r="J579" s="214"/>
      <c r="K579" s="214"/>
    </row>
    <row r="580" spans="4:11" ht="12.75" x14ac:dyDescent="0.2">
      <c r="D580" s="214"/>
      <c r="E580" s="214"/>
      <c r="F580" s="214"/>
      <c r="G580" s="214"/>
      <c r="H580" s="214"/>
      <c r="I580" s="214"/>
      <c r="J580" s="214"/>
      <c r="K580" s="214"/>
    </row>
    <row r="581" spans="4:11" ht="12.75" x14ac:dyDescent="0.2">
      <c r="D581" s="214"/>
      <c r="E581" s="214"/>
      <c r="F581" s="214"/>
      <c r="G581" s="214"/>
      <c r="H581" s="214"/>
      <c r="I581" s="214"/>
      <c r="J581" s="214"/>
      <c r="K581" s="214"/>
    </row>
    <row r="582" spans="4:11" ht="12.75" x14ac:dyDescent="0.2">
      <c r="D582" s="214"/>
      <c r="E582" s="214"/>
      <c r="F582" s="214"/>
      <c r="G582" s="214"/>
      <c r="H582" s="214"/>
      <c r="I582" s="214"/>
      <c r="J582" s="214"/>
      <c r="K582" s="214"/>
    </row>
    <row r="583" spans="4:11" ht="12.75" x14ac:dyDescent="0.2">
      <c r="D583" s="214"/>
      <c r="E583" s="214"/>
      <c r="F583" s="214"/>
      <c r="G583" s="214"/>
      <c r="H583" s="214"/>
      <c r="I583" s="214"/>
      <c r="J583" s="214"/>
      <c r="K583" s="214"/>
    </row>
    <row r="584" spans="4:11" ht="12.75" x14ac:dyDescent="0.2">
      <c r="D584" s="214"/>
      <c r="E584" s="214"/>
      <c r="F584" s="214"/>
      <c r="G584" s="214"/>
      <c r="H584" s="214"/>
      <c r="I584" s="214"/>
      <c r="J584" s="214"/>
      <c r="K584" s="214"/>
    </row>
    <row r="585" spans="4:11" ht="12.75" x14ac:dyDescent="0.2">
      <c r="D585" s="214"/>
      <c r="E585" s="214"/>
      <c r="F585" s="214"/>
      <c r="G585" s="214"/>
      <c r="H585" s="214"/>
      <c r="I585" s="214"/>
      <c r="J585" s="214"/>
      <c r="K585" s="214"/>
    </row>
    <row r="586" spans="4:11" ht="12.75" x14ac:dyDescent="0.2">
      <c r="D586" s="214"/>
      <c r="E586" s="214"/>
      <c r="F586" s="214"/>
      <c r="G586" s="214"/>
      <c r="H586" s="214"/>
      <c r="I586" s="214"/>
      <c r="J586" s="214"/>
      <c r="K586" s="214"/>
    </row>
    <row r="587" spans="4:11" ht="12.75" x14ac:dyDescent="0.2">
      <c r="D587" s="214"/>
      <c r="E587" s="214"/>
      <c r="F587" s="214"/>
      <c r="G587" s="214"/>
      <c r="H587" s="214"/>
      <c r="I587" s="214"/>
      <c r="J587" s="214"/>
      <c r="K587" s="214"/>
    </row>
    <row r="588" spans="4:11" ht="12.75" x14ac:dyDescent="0.2">
      <c r="D588" s="214"/>
      <c r="E588" s="214"/>
      <c r="F588" s="214"/>
      <c r="G588" s="214"/>
      <c r="H588" s="214"/>
      <c r="I588" s="214"/>
      <c r="J588" s="214"/>
      <c r="K588" s="214"/>
    </row>
    <row r="589" spans="4:11" ht="12.75" x14ac:dyDescent="0.2">
      <c r="D589" s="214"/>
      <c r="E589" s="214"/>
      <c r="F589" s="214"/>
      <c r="G589" s="214"/>
      <c r="H589" s="214"/>
      <c r="I589" s="214"/>
      <c r="J589" s="214"/>
      <c r="K589" s="214"/>
    </row>
    <row r="590" spans="4:11" ht="12.75" x14ac:dyDescent="0.2">
      <c r="D590" s="214"/>
      <c r="E590" s="214"/>
      <c r="F590" s="214"/>
      <c r="G590" s="214"/>
      <c r="H590" s="214"/>
      <c r="I590" s="214"/>
      <c r="J590" s="214"/>
      <c r="K590" s="214"/>
    </row>
    <row r="591" spans="4:11" ht="12.75" x14ac:dyDescent="0.2">
      <c r="D591" s="214"/>
      <c r="E591" s="214"/>
      <c r="F591" s="214"/>
      <c r="G591" s="214"/>
      <c r="H591" s="214"/>
      <c r="I591" s="214"/>
      <c r="J591" s="214"/>
      <c r="K591" s="214"/>
    </row>
    <row r="592" spans="4:11" ht="12.75" x14ac:dyDescent="0.2">
      <c r="D592" s="214"/>
      <c r="E592" s="214"/>
      <c r="F592" s="214"/>
      <c r="G592" s="214"/>
      <c r="H592" s="214"/>
      <c r="I592" s="214"/>
      <c r="J592" s="214"/>
      <c r="K592" s="214"/>
    </row>
    <row r="593" spans="4:11" ht="12.75" x14ac:dyDescent="0.2">
      <c r="D593" s="214"/>
      <c r="E593" s="214"/>
      <c r="F593" s="214"/>
      <c r="G593" s="214"/>
      <c r="H593" s="214"/>
      <c r="I593" s="214"/>
      <c r="J593" s="214"/>
      <c r="K593" s="214"/>
    </row>
    <row r="594" spans="4:11" ht="12.75" x14ac:dyDescent="0.2">
      <c r="D594" s="214"/>
      <c r="E594" s="214"/>
      <c r="F594" s="214"/>
      <c r="G594" s="214"/>
      <c r="H594" s="214"/>
      <c r="I594" s="214"/>
      <c r="J594" s="214"/>
      <c r="K594" s="214"/>
    </row>
    <row r="595" spans="4:11" ht="12.75" x14ac:dyDescent="0.2">
      <c r="D595" s="214"/>
      <c r="E595" s="214"/>
      <c r="F595" s="214"/>
      <c r="G595" s="214"/>
      <c r="H595" s="214"/>
      <c r="I595" s="214"/>
      <c r="J595" s="214"/>
      <c r="K595" s="214"/>
    </row>
    <row r="596" spans="4:11" ht="12.75" x14ac:dyDescent="0.2">
      <c r="D596" s="214"/>
      <c r="E596" s="214"/>
      <c r="F596" s="214"/>
      <c r="G596" s="214"/>
      <c r="H596" s="214"/>
      <c r="I596" s="214"/>
      <c r="J596" s="214"/>
      <c r="K596" s="214"/>
    </row>
    <row r="597" spans="4:11" ht="12.75" x14ac:dyDescent="0.2">
      <c r="D597" s="214"/>
      <c r="E597" s="214"/>
      <c r="F597" s="214"/>
      <c r="G597" s="214"/>
      <c r="H597" s="214"/>
      <c r="I597" s="214"/>
      <c r="J597" s="214"/>
      <c r="K597" s="214"/>
    </row>
    <row r="598" spans="4:11" ht="12.75" x14ac:dyDescent="0.2">
      <c r="D598" s="214"/>
      <c r="E598" s="214"/>
      <c r="F598" s="214"/>
      <c r="G598" s="214"/>
      <c r="H598" s="214"/>
      <c r="I598" s="214"/>
      <c r="J598" s="214"/>
      <c r="K598" s="214"/>
    </row>
    <row r="599" spans="4:11" ht="12.75" x14ac:dyDescent="0.2">
      <c r="D599" s="214"/>
      <c r="E599" s="214"/>
      <c r="F599" s="214"/>
      <c r="G599" s="214"/>
      <c r="H599" s="214"/>
      <c r="I599" s="214"/>
      <c r="J599" s="214"/>
      <c r="K599" s="214"/>
    </row>
    <row r="600" spans="4:11" ht="12.75" x14ac:dyDescent="0.2">
      <c r="D600" s="214"/>
      <c r="E600" s="214"/>
      <c r="F600" s="214"/>
      <c r="G600" s="214"/>
      <c r="H600" s="214"/>
      <c r="I600" s="214"/>
      <c r="J600" s="214"/>
      <c r="K600" s="214"/>
    </row>
    <row r="601" spans="4:11" ht="12.75" x14ac:dyDescent="0.2">
      <c r="D601" s="214"/>
      <c r="E601" s="214"/>
      <c r="F601" s="214"/>
      <c r="G601" s="214"/>
      <c r="H601" s="214"/>
      <c r="I601" s="214"/>
      <c r="J601" s="214"/>
      <c r="K601" s="214"/>
    </row>
    <row r="602" spans="4:11" ht="12.75" x14ac:dyDescent="0.2">
      <c r="D602" s="214"/>
      <c r="E602" s="214"/>
      <c r="F602" s="214"/>
      <c r="G602" s="214"/>
      <c r="H602" s="214"/>
      <c r="I602" s="214"/>
      <c r="J602" s="214"/>
      <c r="K602" s="214"/>
    </row>
    <row r="603" spans="4:11" ht="12.75" x14ac:dyDescent="0.2">
      <c r="D603" s="214"/>
      <c r="E603" s="214"/>
      <c r="F603" s="214"/>
      <c r="G603" s="214"/>
      <c r="H603" s="214"/>
      <c r="I603" s="214"/>
      <c r="J603" s="214"/>
      <c r="K603" s="214"/>
    </row>
    <row r="604" spans="4:11" ht="12.75" x14ac:dyDescent="0.2">
      <c r="D604" s="214"/>
      <c r="E604" s="214"/>
      <c r="F604" s="214"/>
      <c r="G604" s="214"/>
      <c r="H604" s="214"/>
      <c r="I604" s="214"/>
      <c r="J604" s="214"/>
      <c r="K604" s="214"/>
    </row>
    <row r="605" spans="4:11" ht="12.75" x14ac:dyDescent="0.2">
      <c r="D605" s="214"/>
      <c r="E605" s="214"/>
      <c r="F605" s="214"/>
      <c r="G605" s="214"/>
      <c r="H605" s="214"/>
      <c r="I605" s="214"/>
      <c r="J605" s="214"/>
      <c r="K605" s="214"/>
    </row>
    <row r="606" spans="4:11" ht="12.75" x14ac:dyDescent="0.2">
      <c r="D606" s="214"/>
      <c r="E606" s="214"/>
      <c r="F606" s="214"/>
      <c r="G606" s="214"/>
      <c r="H606" s="214"/>
      <c r="I606" s="214"/>
      <c r="J606" s="214"/>
      <c r="K606" s="214"/>
    </row>
    <row r="607" spans="4:11" ht="12.75" x14ac:dyDescent="0.2">
      <c r="D607" s="214"/>
      <c r="E607" s="214"/>
      <c r="F607" s="214"/>
      <c r="G607" s="214"/>
      <c r="H607" s="214"/>
      <c r="I607" s="214"/>
      <c r="J607" s="214"/>
      <c r="K607" s="214"/>
    </row>
    <row r="608" spans="4:11" ht="12.75" x14ac:dyDescent="0.2">
      <c r="D608" s="214"/>
      <c r="E608" s="214"/>
      <c r="F608" s="214"/>
      <c r="G608" s="214"/>
      <c r="H608" s="214"/>
      <c r="I608" s="214"/>
      <c r="J608" s="214"/>
      <c r="K608" s="214"/>
    </row>
    <row r="609" spans="4:11" ht="12.75" x14ac:dyDescent="0.2">
      <c r="D609" s="214"/>
      <c r="E609" s="214"/>
      <c r="F609" s="214"/>
      <c r="G609" s="214"/>
      <c r="H609" s="214"/>
      <c r="I609" s="214"/>
      <c r="J609" s="214"/>
      <c r="K609" s="214"/>
    </row>
    <row r="610" spans="4:11" ht="12.75" x14ac:dyDescent="0.2">
      <c r="D610" s="214"/>
      <c r="E610" s="214"/>
      <c r="F610" s="214"/>
      <c r="G610" s="214"/>
      <c r="H610" s="214"/>
      <c r="I610" s="214"/>
      <c r="J610" s="214"/>
      <c r="K610" s="214"/>
    </row>
    <row r="611" spans="4:11" ht="12.75" x14ac:dyDescent="0.2">
      <c r="D611" s="214"/>
      <c r="E611" s="214"/>
      <c r="F611" s="214"/>
      <c r="G611" s="214"/>
      <c r="H611" s="214"/>
      <c r="I611" s="214"/>
      <c r="J611" s="214"/>
      <c r="K611" s="214"/>
    </row>
    <row r="612" spans="4:11" ht="12.75" x14ac:dyDescent="0.2">
      <c r="D612" s="214"/>
      <c r="E612" s="214"/>
      <c r="F612" s="214"/>
      <c r="G612" s="214"/>
      <c r="H612" s="214"/>
      <c r="I612" s="214"/>
      <c r="J612" s="214"/>
      <c r="K612" s="214"/>
    </row>
    <row r="613" spans="4:11" ht="12.75" x14ac:dyDescent="0.2">
      <c r="D613" s="214"/>
      <c r="E613" s="214"/>
      <c r="F613" s="214"/>
      <c r="G613" s="214"/>
      <c r="H613" s="214"/>
      <c r="I613" s="214"/>
      <c r="J613" s="214"/>
      <c r="K613" s="214"/>
    </row>
    <row r="614" spans="4:11" ht="12.75" x14ac:dyDescent="0.2">
      <c r="D614" s="214"/>
      <c r="E614" s="214"/>
      <c r="F614" s="214"/>
      <c r="G614" s="214"/>
      <c r="H614" s="214"/>
      <c r="I614" s="214"/>
      <c r="J614" s="214"/>
      <c r="K614" s="214"/>
    </row>
    <row r="615" spans="4:11" ht="12.75" x14ac:dyDescent="0.2">
      <c r="D615" s="214"/>
      <c r="E615" s="214"/>
      <c r="F615" s="214"/>
      <c r="G615" s="214"/>
      <c r="H615" s="214"/>
      <c r="I615" s="214"/>
      <c r="J615" s="214"/>
      <c r="K615" s="214"/>
    </row>
    <row r="616" spans="4:11" ht="12.75" x14ac:dyDescent="0.2">
      <c r="D616" s="214"/>
      <c r="E616" s="214"/>
      <c r="F616" s="214"/>
      <c r="G616" s="214"/>
      <c r="H616" s="214"/>
      <c r="I616" s="214"/>
      <c r="J616" s="214"/>
      <c r="K616" s="214"/>
    </row>
    <row r="617" spans="4:11" ht="12.75" x14ac:dyDescent="0.2">
      <c r="D617" s="214"/>
      <c r="E617" s="214"/>
      <c r="F617" s="214"/>
      <c r="G617" s="214"/>
      <c r="H617" s="214"/>
      <c r="I617" s="214"/>
      <c r="J617" s="214"/>
      <c r="K617" s="214"/>
    </row>
    <row r="618" spans="4:11" ht="12.75" x14ac:dyDescent="0.2">
      <c r="D618" s="214"/>
      <c r="E618" s="214"/>
      <c r="F618" s="214"/>
      <c r="G618" s="214"/>
      <c r="H618" s="214"/>
      <c r="I618" s="214"/>
      <c r="J618" s="214"/>
      <c r="K618" s="214"/>
    </row>
    <row r="619" spans="4:11" ht="12.75" x14ac:dyDescent="0.2">
      <c r="D619" s="214"/>
      <c r="E619" s="214"/>
      <c r="F619" s="214"/>
      <c r="G619" s="214"/>
      <c r="H619" s="214"/>
      <c r="I619" s="214"/>
      <c r="J619" s="214"/>
      <c r="K619" s="214"/>
    </row>
    <row r="620" spans="4:11" ht="12.75" x14ac:dyDescent="0.2">
      <c r="D620" s="214"/>
      <c r="E620" s="214"/>
      <c r="F620" s="214"/>
      <c r="G620" s="214"/>
      <c r="H620" s="214"/>
      <c r="I620" s="214"/>
      <c r="J620" s="214"/>
      <c r="K620" s="214"/>
    </row>
    <row r="621" spans="4:11" ht="12.75" x14ac:dyDescent="0.2">
      <c r="D621" s="214"/>
      <c r="E621" s="214"/>
      <c r="F621" s="214"/>
      <c r="G621" s="214"/>
      <c r="H621" s="214"/>
      <c r="I621" s="214"/>
      <c r="J621" s="214"/>
      <c r="K621" s="214"/>
    </row>
    <row r="622" spans="4:11" ht="12.75" x14ac:dyDescent="0.2">
      <c r="D622" s="214"/>
      <c r="E622" s="214"/>
      <c r="F622" s="214"/>
      <c r="G622" s="214"/>
      <c r="H622" s="214"/>
      <c r="I622" s="214"/>
      <c r="J622" s="214"/>
      <c r="K622" s="214"/>
    </row>
    <row r="623" spans="4:11" ht="12.75" x14ac:dyDescent="0.2">
      <c r="D623" s="214"/>
      <c r="E623" s="214"/>
      <c r="F623" s="214"/>
      <c r="G623" s="214"/>
      <c r="H623" s="214"/>
      <c r="I623" s="214"/>
      <c r="J623" s="214"/>
      <c r="K623" s="214"/>
    </row>
    <row r="624" spans="4:11" ht="12.75" x14ac:dyDescent="0.2">
      <c r="D624" s="214"/>
      <c r="E624" s="214"/>
      <c r="F624" s="214"/>
      <c r="G624" s="214"/>
      <c r="H624" s="214"/>
      <c r="I624" s="214"/>
      <c r="J624" s="214"/>
      <c r="K624" s="214"/>
    </row>
    <row r="625" spans="4:11" ht="12.75" x14ac:dyDescent="0.2">
      <c r="D625" s="214"/>
      <c r="E625" s="214"/>
      <c r="F625" s="214"/>
      <c r="G625" s="214"/>
      <c r="H625" s="214"/>
      <c r="I625" s="214"/>
      <c r="J625" s="214"/>
      <c r="K625" s="214"/>
    </row>
    <row r="626" spans="4:11" ht="12.75" x14ac:dyDescent="0.2">
      <c r="D626" s="214"/>
      <c r="E626" s="214"/>
      <c r="F626" s="214"/>
      <c r="G626" s="214"/>
      <c r="H626" s="214"/>
      <c r="I626" s="214"/>
      <c r="J626" s="214"/>
      <c r="K626" s="214"/>
    </row>
    <row r="627" spans="4:11" ht="12.75" x14ac:dyDescent="0.2">
      <c r="D627" s="214"/>
      <c r="E627" s="214"/>
      <c r="F627" s="214"/>
      <c r="G627" s="214"/>
      <c r="H627" s="214"/>
      <c r="I627" s="214"/>
      <c r="J627" s="214"/>
      <c r="K627" s="214"/>
    </row>
    <row r="628" spans="4:11" ht="12.75" x14ac:dyDescent="0.2">
      <c r="D628" s="214"/>
      <c r="E628" s="214"/>
      <c r="F628" s="214"/>
      <c r="G628" s="214"/>
      <c r="H628" s="214"/>
      <c r="I628" s="214"/>
      <c r="J628" s="214"/>
      <c r="K628" s="214"/>
    </row>
    <row r="629" spans="4:11" ht="12.75" x14ac:dyDescent="0.2">
      <c r="D629" s="214"/>
      <c r="E629" s="214"/>
      <c r="F629" s="214"/>
      <c r="G629" s="214"/>
      <c r="H629" s="214"/>
      <c r="I629" s="214"/>
      <c r="J629" s="214"/>
      <c r="K629" s="214"/>
    </row>
    <row r="630" spans="4:11" ht="12.75" x14ac:dyDescent="0.2">
      <c r="D630" s="214"/>
      <c r="E630" s="214"/>
      <c r="F630" s="214"/>
      <c r="G630" s="214"/>
      <c r="H630" s="214"/>
      <c r="I630" s="214"/>
      <c r="J630" s="214"/>
      <c r="K630" s="214"/>
    </row>
    <row r="631" spans="4:11" ht="12.75" x14ac:dyDescent="0.2">
      <c r="D631" s="214"/>
      <c r="E631" s="214"/>
      <c r="F631" s="214"/>
      <c r="G631" s="214"/>
      <c r="H631" s="214"/>
      <c r="I631" s="214"/>
      <c r="J631" s="214"/>
      <c r="K631" s="214"/>
    </row>
    <row r="632" spans="4:11" ht="12.75" x14ac:dyDescent="0.2">
      <c r="D632" s="214"/>
      <c r="E632" s="214"/>
      <c r="F632" s="214"/>
      <c r="G632" s="214"/>
      <c r="H632" s="214"/>
      <c r="I632" s="214"/>
      <c r="J632" s="214"/>
      <c r="K632" s="214"/>
    </row>
    <row r="633" spans="4:11" ht="12.75" x14ac:dyDescent="0.2">
      <c r="D633" s="214"/>
      <c r="E633" s="214"/>
      <c r="F633" s="214"/>
      <c r="G633" s="214"/>
      <c r="H633" s="214"/>
      <c r="I633" s="214"/>
      <c r="J633" s="214"/>
      <c r="K633" s="214"/>
    </row>
    <row r="634" spans="4:11" ht="12.75" x14ac:dyDescent="0.2">
      <c r="D634" s="214"/>
      <c r="E634" s="214"/>
      <c r="F634" s="214"/>
      <c r="G634" s="214"/>
      <c r="H634" s="214"/>
      <c r="I634" s="214"/>
      <c r="J634" s="214"/>
      <c r="K634" s="214"/>
    </row>
    <row r="635" spans="4:11" ht="12.75" x14ac:dyDescent="0.2">
      <c r="D635" s="214"/>
      <c r="E635" s="214"/>
      <c r="F635" s="214"/>
      <c r="G635" s="214"/>
      <c r="H635" s="214"/>
      <c r="I635" s="214"/>
      <c r="J635" s="214"/>
      <c r="K635" s="214"/>
    </row>
    <row r="636" spans="4:11" ht="12.75" x14ac:dyDescent="0.2">
      <c r="D636" s="214"/>
      <c r="E636" s="214"/>
      <c r="F636" s="214"/>
      <c r="G636" s="214"/>
      <c r="H636" s="214"/>
      <c r="I636" s="214"/>
      <c r="J636" s="214"/>
      <c r="K636" s="214"/>
    </row>
    <row r="637" spans="4:11" ht="12.75" x14ac:dyDescent="0.2">
      <c r="D637" s="214"/>
      <c r="E637" s="214"/>
      <c r="F637" s="214"/>
      <c r="G637" s="214"/>
      <c r="H637" s="214"/>
      <c r="I637" s="214"/>
      <c r="J637" s="214"/>
      <c r="K637" s="214"/>
    </row>
    <row r="638" spans="4:11" ht="12.75" x14ac:dyDescent="0.2">
      <c r="D638" s="214"/>
      <c r="E638" s="214"/>
      <c r="F638" s="214"/>
      <c r="G638" s="214"/>
      <c r="H638" s="214"/>
      <c r="I638" s="214"/>
      <c r="J638" s="214"/>
      <c r="K638" s="214"/>
    </row>
    <row r="639" spans="4:11" ht="12.75" x14ac:dyDescent="0.2">
      <c r="D639" s="214"/>
      <c r="E639" s="214"/>
      <c r="F639" s="214"/>
      <c r="G639" s="214"/>
      <c r="H639" s="214"/>
      <c r="I639" s="214"/>
      <c r="J639" s="214"/>
      <c r="K639" s="214"/>
    </row>
    <row r="640" spans="4:11" ht="12.75" x14ac:dyDescent="0.2">
      <c r="D640" s="214"/>
      <c r="E640" s="214"/>
      <c r="F640" s="214"/>
      <c r="G640" s="214"/>
      <c r="H640" s="214"/>
      <c r="I640" s="214"/>
      <c r="J640" s="214"/>
      <c r="K640" s="214"/>
    </row>
    <row r="641" spans="4:11" ht="12.75" x14ac:dyDescent="0.2">
      <c r="D641" s="214"/>
      <c r="E641" s="214"/>
      <c r="F641" s="214"/>
      <c r="G641" s="214"/>
      <c r="H641" s="214"/>
      <c r="I641" s="214"/>
      <c r="J641" s="214"/>
      <c r="K641" s="214"/>
    </row>
    <row r="642" spans="4:11" ht="12.75" x14ac:dyDescent="0.2">
      <c r="D642" s="214"/>
      <c r="E642" s="214"/>
      <c r="F642" s="214"/>
      <c r="G642" s="214"/>
      <c r="H642" s="214"/>
      <c r="I642" s="214"/>
      <c r="J642" s="214"/>
      <c r="K642" s="214"/>
    </row>
    <row r="643" spans="4:11" ht="12.75" x14ac:dyDescent="0.2">
      <c r="D643" s="214"/>
      <c r="E643" s="214"/>
      <c r="F643" s="214"/>
      <c r="G643" s="214"/>
      <c r="H643" s="214"/>
      <c r="I643" s="214"/>
      <c r="J643" s="214"/>
      <c r="K643" s="214"/>
    </row>
    <row r="644" spans="4:11" ht="12.75" x14ac:dyDescent="0.2">
      <c r="D644" s="214"/>
      <c r="E644" s="214"/>
      <c r="F644" s="214"/>
      <c r="G644" s="214"/>
      <c r="H644" s="214"/>
      <c r="I644" s="214"/>
      <c r="J644" s="214"/>
      <c r="K644" s="214"/>
    </row>
    <row r="645" spans="4:11" ht="12.75" x14ac:dyDescent="0.2">
      <c r="D645" s="214"/>
      <c r="E645" s="214"/>
      <c r="F645" s="214"/>
      <c r="G645" s="214"/>
      <c r="H645" s="214"/>
      <c r="I645" s="214"/>
      <c r="J645" s="214"/>
      <c r="K645" s="214"/>
    </row>
    <row r="646" spans="4:11" ht="12.75" x14ac:dyDescent="0.2">
      <c r="D646" s="214"/>
      <c r="E646" s="214"/>
      <c r="F646" s="214"/>
      <c r="G646" s="214"/>
      <c r="H646" s="214"/>
      <c r="I646" s="214"/>
      <c r="J646" s="214"/>
      <c r="K646" s="214"/>
    </row>
    <row r="647" spans="4:11" ht="12.75" x14ac:dyDescent="0.2">
      <c r="D647" s="214"/>
      <c r="E647" s="214"/>
      <c r="F647" s="214"/>
      <c r="G647" s="214"/>
      <c r="H647" s="214"/>
      <c r="I647" s="214"/>
      <c r="J647" s="214"/>
      <c r="K647" s="214"/>
    </row>
    <row r="648" spans="4:11" ht="12.75" x14ac:dyDescent="0.2">
      <c r="D648" s="214"/>
      <c r="E648" s="214"/>
      <c r="F648" s="214"/>
      <c r="G648" s="214"/>
      <c r="H648" s="214"/>
      <c r="I648" s="214"/>
      <c r="J648" s="214"/>
      <c r="K648" s="214"/>
    </row>
    <row r="649" spans="4:11" ht="12.75" x14ac:dyDescent="0.2">
      <c r="D649" s="214"/>
      <c r="E649" s="214"/>
      <c r="F649" s="214"/>
      <c r="G649" s="214"/>
      <c r="H649" s="214"/>
      <c r="I649" s="214"/>
      <c r="J649" s="214"/>
      <c r="K649" s="214"/>
    </row>
    <row r="650" spans="4:11" ht="12.75" x14ac:dyDescent="0.2">
      <c r="D650" s="214"/>
      <c r="E650" s="214"/>
      <c r="F650" s="214"/>
      <c r="G650" s="214"/>
      <c r="H650" s="214"/>
      <c r="I650" s="214"/>
      <c r="J650" s="214"/>
      <c r="K650" s="214"/>
    </row>
    <row r="651" spans="4:11" ht="12.75" x14ac:dyDescent="0.2">
      <c r="D651" s="214"/>
      <c r="E651" s="214"/>
      <c r="F651" s="214"/>
      <c r="G651" s="214"/>
      <c r="H651" s="214"/>
      <c r="I651" s="214"/>
      <c r="J651" s="214"/>
      <c r="K651" s="214"/>
    </row>
    <row r="652" spans="4:11" ht="12.75" x14ac:dyDescent="0.2">
      <c r="D652" s="214"/>
      <c r="E652" s="214"/>
      <c r="F652" s="214"/>
      <c r="G652" s="214"/>
      <c r="H652" s="214"/>
      <c r="I652" s="214"/>
      <c r="J652" s="214"/>
      <c r="K652" s="214"/>
    </row>
    <row r="653" spans="4:11" ht="12.75" x14ac:dyDescent="0.2">
      <c r="D653" s="214"/>
      <c r="E653" s="214"/>
      <c r="F653" s="214"/>
      <c r="G653" s="214"/>
      <c r="H653" s="214"/>
      <c r="I653" s="214"/>
      <c r="J653" s="214"/>
      <c r="K653" s="214"/>
    </row>
    <row r="654" spans="4:11" ht="12.75" x14ac:dyDescent="0.2">
      <c r="D654" s="214"/>
      <c r="E654" s="214"/>
      <c r="F654" s="214"/>
      <c r="G654" s="214"/>
      <c r="H654" s="214"/>
      <c r="I654" s="214"/>
      <c r="J654" s="214"/>
      <c r="K654" s="214"/>
    </row>
    <row r="655" spans="4:11" ht="12.75" x14ac:dyDescent="0.2">
      <c r="D655" s="214"/>
      <c r="E655" s="214"/>
      <c r="F655" s="214"/>
      <c r="G655" s="214"/>
      <c r="H655" s="214"/>
      <c r="I655" s="214"/>
      <c r="J655" s="214"/>
      <c r="K655" s="214"/>
    </row>
    <row r="656" spans="4:11" ht="12.75" x14ac:dyDescent="0.2">
      <c r="D656" s="214"/>
      <c r="E656" s="214"/>
      <c r="F656" s="214"/>
      <c r="G656" s="214"/>
      <c r="H656" s="214"/>
      <c r="I656" s="214"/>
      <c r="J656" s="214"/>
      <c r="K656" s="214"/>
    </row>
    <row r="657" spans="4:11" ht="12.75" x14ac:dyDescent="0.2">
      <c r="D657" s="214"/>
      <c r="E657" s="214"/>
      <c r="F657" s="214"/>
      <c r="G657" s="214"/>
      <c r="H657" s="214"/>
      <c r="I657" s="214"/>
      <c r="J657" s="214"/>
      <c r="K657" s="214"/>
    </row>
    <row r="658" spans="4:11" ht="12.75" x14ac:dyDescent="0.2">
      <c r="D658" s="214"/>
      <c r="E658" s="214"/>
      <c r="F658" s="214"/>
      <c r="G658" s="214"/>
      <c r="H658" s="214"/>
      <c r="I658" s="214"/>
      <c r="J658" s="214"/>
      <c r="K658" s="214"/>
    </row>
    <row r="659" spans="4:11" ht="12.75" x14ac:dyDescent="0.2">
      <c r="D659" s="214"/>
      <c r="E659" s="214"/>
      <c r="F659" s="214"/>
      <c r="G659" s="214"/>
      <c r="H659" s="214"/>
      <c r="I659" s="214"/>
      <c r="J659" s="214"/>
      <c r="K659" s="214"/>
    </row>
    <row r="660" spans="4:11" ht="12.75" x14ac:dyDescent="0.2">
      <c r="D660" s="214"/>
      <c r="E660" s="214"/>
      <c r="F660" s="214"/>
      <c r="G660" s="214"/>
      <c r="H660" s="214"/>
      <c r="I660" s="214"/>
      <c r="J660" s="214"/>
      <c r="K660" s="214"/>
    </row>
    <row r="661" spans="4:11" ht="12.75" x14ac:dyDescent="0.2">
      <c r="D661" s="214"/>
      <c r="E661" s="214"/>
      <c r="F661" s="214"/>
      <c r="G661" s="214"/>
      <c r="H661" s="214"/>
      <c r="I661" s="214"/>
      <c r="J661" s="214"/>
      <c r="K661" s="214"/>
    </row>
    <row r="662" spans="4:11" ht="12.75" x14ac:dyDescent="0.2">
      <c r="D662" s="214"/>
      <c r="E662" s="214"/>
      <c r="F662" s="214"/>
      <c r="G662" s="214"/>
      <c r="H662" s="214"/>
      <c r="I662" s="214"/>
      <c r="J662" s="214"/>
      <c r="K662" s="214"/>
    </row>
    <row r="663" spans="4:11" ht="12.75" x14ac:dyDescent="0.2">
      <c r="D663" s="214"/>
      <c r="E663" s="214"/>
      <c r="F663" s="214"/>
      <c r="G663" s="214"/>
      <c r="H663" s="214"/>
      <c r="I663" s="214"/>
      <c r="J663" s="214"/>
      <c r="K663" s="214"/>
    </row>
    <row r="664" spans="4:11" ht="12.75" x14ac:dyDescent="0.2">
      <c r="D664" s="214"/>
      <c r="E664" s="214"/>
      <c r="F664" s="214"/>
      <c r="G664" s="214"/>
      <c r="H664" s="214"/>
      <c r="I664" s="214"/>
      <c r="J664" s="214"/>
      <c r="K664" s="214"/>
    </row>
    <row r="665" spans="4:11" ht="12.75" x14ac:dyDescent="0.2">
      <c r="D665" s="214"/>
      <c r="E665" s="214"/>
      <c r="F665" s="214"/>
      <c r="G665" s="214"/>
      <c r="H665" s="214"/>
      <c r="I665" s="214"/>
      <c r="J665" s="214"/>
      <c r="K665" s="214"/>
    </row>
    <row r="666" spans="4:11" ht="12.75" x14ac:dyDescent="0.2">
      <c r="D666" s="214"/>
      <c r="E666" s="214"/>
      <c r="F666" s="214"/>
      <c r="G666" s="214"/>
      <c r="H666" s="214"/>
      <c r="I666" s="214"/>
      <c r="J666" s="214"/>
      <c r="K666" s="214"/>
    </row>
    <row r="667" spans="4:11" ht="12.75" x14ac:dyDescent="0.2">
      <c r="D667" s="214"/>
      <c r="E667" s="214"/>
      <c r="F667" s="214"/>
      <c r="G667" s="214"/>
      <c r="H667" s="214"/>
      <c r="I667" s="214"/>
      <c r="J667" s="214"/>
      <c r="K667" s="214"/>
    </row>
    <row r="668" spans="4:11" ht="12.75" x14ac:dyDescent="0.2">
      <c r="D668" s="214"/>
      <c r="E668" s="214"/>
      <c r="F668" s="214"/>
      <c r="G668" s="214"/>
      <c r="H668" s="214"/>
      <c r="I668" s="214"/>
      <c r="J668" s="214"/>
      <c r="K668" s="214"/>
    </row>
    <row r="669" spans="4:11" ht="12.75" x14ac:dyDescent="0.2">
      <c r="D669" s="214"/>
      <c r="E669" s="214"/>
      <c r="F669" s="214"/>
      <c r="G669" s="214"/>
      <c r="H669" s="214"/>
      <c r="I669" s="214"/>
      <c r="J669" s="214"/>
      <c r="K669" s="214"/>
    </row>
    <row r="670" spans="4:11" ht="12.75" x14ac:dyDescent="0.2">
      <c r="D670" s="214"/>
      <c r="E670" s="214"/>
      <c r="F670" s="214"/>
      <c r="G670" s="214"/>
      <c r="H670" s="214"/>
      <c r="I670" s="214"/>
      <c r="J670" s="214"/>
      <c r="K670" s="214"/>
    </row>
    <row r="671" spans="4:11" ht="12.75" x14ac:dyDescent="0.2">
      <c r="D671" s="214"/>
      <c r="E671" s="214"/>
      <c r="F671" s="214"/>
      <c r="G671" s="214"/>
      <c r="H671" s="214"/>
      <c r="I671" s="214"/>
      <c r="J671" s="214"/>
      <c r="K671" s="214"/>
    </row>
    <row r="672" spans="4:11" ht="12.75" x14ac:dyDescent="0.2">
      <c r="D672" s="214"/>
      <c r="E672" s="214"/>
      <c r="F672" s="214"/>
      <c r="G672" s="214"/>
      <c r="H672" s="214"/>
      <c r="I672" s="214"/>
      <c r="J672" s="214"/>
      <c r="K672" s="214"/>
    </row>
    <row r="673" spans="4:11" ht="12.75" x14ac:dyDescent="0.2">
      <c r="D673" s="214"/>
      <c r="E673" s="214"/>
      <c r="F673" s="214"/>
      <c r="G673" s="214"/>
      <c r="H673" s="214"/>
      <c r="I673" s="214"/>
      <c r="J673" s="214"/>
      <c r="K673" s="214"/>
    </row>
    <row r="674" spans="4:11" ht="12.75" x14ac:dyDescent="0.2">
      <c r="D674" s="214"/>
      <c r="E674" s="214"/>
      <c r="F674" s="214"/>
      <c r="G674" s="214"/>
      <c r="H674" s="214"/>
      <c r="I674" s="214"/>
      <c r="J674" s="214"/>
      <c r="K674" s="214"/>
    </row>
    <row r="675" spans="4:11" ht="12.75" x14ac:dyDescent="0.2">
      <c r="D675" s="214"/>
      <c r="E675" s="214"/>
      <c r="F675" s="214"/>
      <c r="G675" s="214"/>
      <c r="H675" s="214"/>
      <c r="I675" s="214"/>
      <c r="J675" s="214"/>
      <c r="K675" s="214"/>
    </row>
    <row r="676" spans="4:11" ht="12.75" x14ac:dyDescent="0.2">
      <c r="D676" s="214"/>
      <c r="E676" s="214"/>
      <c r="F676" s="214"/>
      <c r="G676" s="214"/>
      <c r="H676" s="214"/>
      <c r="I676" s="214"/>
      <c r="J676" s="214"/>
      <c r="K676" s="214"/>
    </row>
    <row r="677" spans="4:11" ht="12.75" x14ac:dyDescent="0.2">
      <c r="D677" s="214"/>
      <c r="E677" s="214"/>
      <c r="F677" s="214"/>
      <c r="G677" s="214"/>
      <c r="H677" s="214"/>
      <c r="I677" s="214"/>
      <c r="J677" s="214"/>
      <c r="K677" s="214"/>
    </row>
    <row r="678" spans="4:11" ht="12.75" x14ac:dyDescent="0.2">
      <c r="D678" s="214"/>
      <c r="E678" s="214"/>
      <c r="F678" s="214"/>
      <c r="G678" s="214"/>
      <c r="H678" s="214"/>
      <c r="I678" s="214"/>
      <c r="J678" s="214"/>
      <c r="K678" s="214"/>
    </row>
    <row r="679" spans="4:11" ht="12.75" x14ac:dyDescent="0.2">
      <c r="D679" s="214"/>
      <c r="E679" s="214"/>
      <c r="F679" s="214"/>
      <c r="G679" s="214"/>
      <c r="H679" s="214"/>
      <c r="I679" s="214"/>
      <c r="J679" s="214"/>
      <c r="K679" s="214"/>
    </row>
    <row r="680" spans="4:11" ht="12.75" x14ac:dyDescent="0.2">
      <c r="D680" s="214"/>
      <c r="E680" s="214"/>
      <c r="F680" s="214"/>
      <c r="G680" s="214"/>
      <c r="H680" s="214"/>
      <c r="I680" s="214"/>
      <c r="J680" s="214"/>
      <c r="K680" s="214"/>
    </row>
    <row r="681" spans="4:11" ht="12.75" x14ac:dyDescent="0.2">
      <c r="D681" s="214"/>
      <c r="E681" s="214"/>
      <c r="F681" s="214"/>
      <c r="G681" s="214"/>
      <c r="H681" s="214"/>
      <c r="I681" s="214"/>
      <c r="J681" s="214"/>
      <c r="K681" s="214"/>
    </row>
    <row r="682" spans="4:11" ht="12.75" x14ac:dyDescent="0.2">
      <c r="D682" s="214"/>
      <c r="E682" s="214"/>
      <c r="F682" s="214"/>
      <c r="G682" s="214"/>
      <c r="H682" s="214"/>
      <c r="I682" s="214"/>
      <c r="J682" s="214"/>
      <c r="K682" s="214"/>
    </row>
    <row r="683" spans="4:11" ht="12.75" x14ac:dyDescent="0.2">
      <c r="D683" s="214"/>
      <c r="E683" s="214"/>
      <c r="F683" s="214"/>
      <c r="G683" s="214"/>
      <c r="H683" s="214"/>
      <c r="I683" s="214"/>
      <c r="J683" s="214"/>
      <c r="K683" s="214"/>
    </row>
    <row r="684" spans="4:11" ht="12.75" x14ac:dyDescent="0.2">
      <c r="D684" s="214"/>
      <c r="E684" s="214"/>
      <c r="F684" s="214"/>
      <c r="G684" s="214"/>
      <c r="H684" s="214"/>
      <c r="I684" s="214"/>
      <c r="J684" s="214"/>
      <c r="K684" s="214"/>
    </row>
    <row r="685" spans="4:11" ht="12.75" x14ac:dyDescent="0.2">
      <c r="D685" s="214"/>
      <c r="E685" s="214"/>
      <c r="F685" s="214"/>
      <c r="G685" s="214"/>
      <c r="H685" s="214"/>
      <c r="I685" s="214"/>
      <c r="J685" s="214"/>
      <c r="K685" s="214"/>
    </row>
    <row r="686" spans="4:11" ht="12.75" x14ac:dyDescent="0.2">
      <c r="D686" s="214"/>
      <c r="E686" s="214"/>
      <c r="F686" s="214"/>
      <c r="G686" s="214"/>
      <c r="H686" s="214"/>
      <c r="I686" s="214"/>
      <c r="J686" s="214"/>
      <c r="K686" s="214"/>
    </row>
    <row r="687" spans="4:11" ht="12.75" x14ac:dyDescent="0.2">
      <c r="D687" s="214"/>
      <c r="E687" s="214"/>
      <c r="F687" s="214"/>
      <c r="G687" s="214"/>
      <c r="H687" s="214"/>
      <c r="I687" s="214"/>
      <c r="J687" s="214"/>
      <c r="K687" s="214"/>
    </row>
    <row r="688" spans="4:11" ht="12.75" x14ac:dyDescent="0.2">
      <c r="D688" s="214"/>
      <c r="E688" s="214"/>
      <c r="F688" s="214"/>
      <c r="G688" s="214"/>
      <c r="H688" s="214"/>
      <c r="I688" s="214"/>
      <c r="J688" s="214"/>
      <c r="K688" s="214"/>
    </row>
    <row r="689" spans="4:11" ht="12.75" x14ac:dyDescent="0.2">
      <c r="D689" s="214"/>
      <c r="E689" s="214"/>
      <c r="F689" s="214"/>
      <c r="G689" s="214"/>
      <c r="H689" s="214"/>
      <c r="I689" s="214"/>
      <c r="J689" s="214"/>
      <c r="K689" s="214"/>
    </row>
    <row r="690" spans="4:11" ht="12.75" x14ac:dyDescent="0.2">
      <c r="D690" s="214"/>
      <c r="E690" s="214"/>
      <c r="F690" s="214"/>
      <c r="G690" s="214"/>
      <c r="H690" s="214"/>
      <c r="I690" s="214"/>
      <c r="J690" s="214"/>
      <c r="K690" s="214"/>
    </row>
    <row r="691" spans="4:11" ht="12.75" x14ac:dyDescent="0.2">
      <c r="D691" s="214"/>
      <c r="E691" s="214"/>
      <c r="F691" s="214"/>
      <c r="G691" s="214"/>
      <c r="H691" s="214"/>
      <c r="I691" s="214"/>
      <c r="J691" s="214"/>
      <c r="K691" s="214"/>
    </row>
    <row r="692" spans="4:11" ht="12.75" x14ac:dyDescent="0.2">
      <c r="D692" s="214"/>
      <c r="E692" s="214"/>
      <c r="F692" s="214"/>
      <c r="G692" s="214"/>
      <c r="H692" s="214"/>
      <c r="I692" s="214"/>
      <c r="J692" s="214"/>
      <c r="K692" s="214"/>
    </row>
    <row r="693" spans="4:11" ht="12.75" x14ac:dyDescent="0.2">
      <c r="D693" s="214"/>
      <c r="E693" s="214"/>
      <c r="F693" s="214"/>
      <c r="G693" s="214"/>
      <c r="H693" s="214"/>
      <c r="I693" s="214"/>
      <c r="J693" s="214"/>
      <c r="K693" s="214"/>
    </row>
    <row r="694" spans="4:11" ht="12.75" x14ac:dyDescent="0.2">
      <c r="D694" s="214"/>
      <c r="E694" s="214"/>
      <c r="F694" s="214"/>
      <c r="G694" s="214"/>
      <c r="H694" s="214"/>
      <c r="I694" s="214"/>
      <c r="J694" s="214"/>
      <c r="K694" s="214"/>
    </row>
    <row r="695" spans="4:11" ht="12.75" x14ac:dyDescent="0.2">
      <c r="D695" s="214"/>
      <c r="E695" s="214"/>
      <c r="F695" s="214"/>
      <c r="G695" s="214"/>
      <c r="H695" s="214"/>
      <c r="I695" s="214"/>
      <c r="J695" s="214"/>
      <c r="K695" s="214"/>
    </row>
    <row r="696" spans="4:11" ht="12.75" x14ac:dyDescent="0.2">
      <c r="D696" s="214"/>
      <c r="E696" s="214"/>
      <c r="F696" s="214"/>
      <c r="G696" s="214"/>
      <c r="H696" s="214"/>
      <c r="I696" s="214"/>
      <c r="J696" s="214"/>
      <c r="K696" s="214"/>
    </row>
    <row r="697" spans="4:11" ht="12.75" x14ac:dyDescent="0.2">
      <c r="D697" s="214"/>
      <c r="E697" s="214"/>
      <c r="F697" s="214"/>
      <c r="G697" s="214"/>
      <c r="H697" s="214"/>
      <c r="I697" s="214"/>
      <c r="J697" s="214"/>
      <c r="K697" s="214"/>
    </row>
    <row r="698" spans="4:11" ht="12.75" x14ac:dyDescent="0.2">
      <c r="D698" s="214"/>
      <c r="E698" s="214"/>
      <c r="F698" s="214"/>
      <c r="G698" s="214"/>
      <c r="H698" s="214"/>
      <c r="I698" s="214"/>
      <c r="J698" s="214"/>
      <c r="K698" s="214"/>
    </row>
    <row r="699" spans="4:11" ht="12.75" x14ac:dyDescent="0.2">
      <c r="D699" s="214"/>
      <c r="E699" s="214"/>
      <c r="F699" s="214"/>
      <c r="G699" s="214"/>
      <c r="H699" s="214"/>
      <c r="I699" s="214"/>
      <c r="J699" s="214"/>
      <c r="K699" s="214"/>
    </row>
    <row r="700" spans="4:11" ht="12.75" x14ac:dyDescent="0.2">
      <c r="D700" s="214"/>
      <c r="E700" s="214"/>
      <c r="F700" s="214"/>
      <c r="G700" s="214"/>
      <c r="H700" s="214"/>
      <c r="I700" s="214"/>
      <c r="J700" s="214"/>
      <c r="K700" s="214"/>
    </row>
    <row r="701" spans="4:11" ht="12.75" x14ac:dyDescent="0.2">
      <c r="D701" s="214"/>
      <c r="E701" s="214"/>
      <c r="F701" s="214"/>
      <c r="G701" s="214"/>
      <c r="H701" s="214"/>
      <c r="I701" s="214"/>
      <c r="J701" s="214"/>
      <c r="K701" s="214"/>
    </row>
    <row r="702" spans="4:11" ht="12.75" x14ac:dyDescent="0.2">
      <c r="D702" s="214"/>
      <c r="E702" s="214"/>
      <c r="F702" s="214"/>
      <c r="G702" s="214"/>
      <c r="H702" s="214"/>
      <c r="I702" s="214"/>
      <c r="J702" s="214"/>
      <c r="K702" s="214"/>
    </row>
    <row r="703" spans="4:11" ht="12.75" x14ac:dyDescent="0.2">
      <c r="D703" s="214"/>
      <c r="E703" s="214"/>
      <c r="F703" s="214"/>
      <c r="G703" s="214"/>
      <c r="H703" s="214"/>
      <c r="I703" s="214"/>
      <c r="J703" s="214"/>
      <c r="K703" s="214"/>
    </row>
    <row r="704" spans="4:11" ht="12.75" x14ac:dyDescent="0.2">
      <c r="D704" s="214"/>
      <c r="E704" s="214"/>
      <c r="F704" s="214"/>
      <c r="G704" s="214"/>
      <c r="H704" s="214"/>
      <c r="I704" s="214"/>
      <c r="J704" s="214"/>
      <c r="K704" s="214"/>
    </row>
    <row r="705" spans="4:11" ht="12.75" x14ac:dyDescent="0.2">
      <c r="D705" s="214"/>
      <c r="E705" s="214"/>
      <c r="F705" s="214"/>
      <c r="G705" s="214"/>
      <c r="H705" s="214"/>
      <c r="I705" s="214"/>
      <c r="J705" s="214"/>
      <c r="K705" s="214"/>
    </row>
    <row r="706" spans="4:11" ht="12.75" x14ac:dyDescent="0.2">
      <c r="D706" s="214"/>
      <c r="E706" s="214"/>
      <c r="F706" s="214"/>
      <c r="G706" s="214"/>
      <c r="H706" s="214"/>
      <c r="I706" s="214"/>
      <c r="J706" s="214"/>
      <c r="K706" s="214"/>
    </row>
    <row r="707" spans="4:11" ht="12.75" x14ac:dyDescent="0.2">
      <c r="D707" s="214"/>
      <c r="E707" s="214"/>
      <c r="F707" s="214"/>
      <c r="G707" s="214"/>
      <c r="H707" s="214"/>
      <c r="I707" s="214"/>
      <c r="J707" s="214"/>
      <c r="K707" s="214"/>
    </row>
    <row r="708" spans="4:11" ht="12.75" x14ac:dyDescent="0.2">
      <c r="D708" s="214"/>
      <c r="E708" s="214"/>
      <c r="F708" s="214"/>
      <c r="G708" s="214"/>
      <c r="H708" s="214"/>
      <c r="I708" s="214"/>
      <c r="J708" s="214"/>
      <c r="K708" s="214"/>
    </row>
    <row r="709" spans="4:11" ht="12.75" x14ac:dyDescent="0.2">
      <c r="D709" s="214"/>
      <c r="E709" s="214"/>
      <c r="F709" s="214"/>
      <c r="G709" s="214"/>
      <c r="H709" s="214"/>
      <c r="I709" s="214"/>
      <c r="J709" s="214"/>
      <c r="K709" s="214"/>
    </row>
    <row r="710" spans="4:11" ht="12.75" x14ac:dyDescent="0.2">
      <c r="D710" s="214"/>
      <c r="E710" s="214"/>
      <c r="F710" s="214"/>
      <c r="G710" s="214"/>
      <c r="H710" s="214"/>
      <c r="I710" s="214"/>
      <c r="J710" s="214"/>
      <c r="K710" s="214"/>
    </row>
    <row r="711" spans="4:11" ht="12.75" x14ac:dyDescent="0.2">
      <c r="D711" s="214"/>
      <c r="E711" s="214"/>
      <c r="F711" s="214"/>
      <c r="G711" s="214"/>
      <c r="H711" s="214"/>
      <c r="I711" s="214"/>
      <c r="J711" s="214"/>
      <c r="K711" s="214"/>
    </row>
    <row r="712" spans="4:11" ht="12.75" x14ac:dyDescent="0.2">
      <c r="D712" s="214"/>
      <c r="E712" s="214"/>
      <c r="F712" s="214"/>
      <c r="G712" s="214"/>
      <c r="H712" s="214"/>
      <c r="I712" s="214"/>
      <c r="J712" s="214"/>
      <c r="K712" s="214"/>
    </row>
    <row r="713" spans="4:11" ht="12.75" x14ac:dyDescent="0.2">
      <c r="D713" s="214"/>
      <c r="E713" s="214"/>
      <c r="F713" s="214"/>
      <c r="G713" s="214"/>
      <c r="H713" s="214"/>
      <c r="I713" s="214"/>
      <c r="J713" s="214"/>
      <c r="K713" s="214"/>
    </row>
    <row r="714" spans="4:11" ht="12.75" x14ac:dyDescent="0.2">
      <c r="D714" s="214"/>
      <c r="E714" s="214"/>
      <c r="F714" s="214"/>
      <c r="G714" s="214"/>
      <c r="H714" s="214"/>
      <c r="I714" s="214"/>
      <c r="J714" s="214"/>
      <c r="K714" s="214"/>
    </row>
    <row r="715" spans="4:11" ht="12.75" x14ac:dyDescent="0.2">
      <c r="D715" s="214"/>
      <c r="E715" s="214"/>
      <c r="F715" s="214"/>
      <c r="G715" s="214"/>
      <c r="H715" s="214"/>
      <c r="I715" s="214"/>
      <c r="J715" s="214"/>
      <c r="K715" s="214"/>
    </row>
    <row r="716" spans="4:11" ht="12.75" x14ac:dyDescent="0.2">
      <c r="D716" s="214"/>
      <c r="E716" s="214"/>
      <c r="F716" s="214"/>
      <c r="G716" s="214"/>
      <c r="H716" s="214"/>
      <c r="I716" s="214"/>
      <c r="J716" s="214"/>
      <c r="K716" s="214"/>
    </row>
    <row r="717" spans="4:11" ht="12.75" x14ac:dyDescent="0.2">
      <c r="D717" s="214"/>
      <c r="E717" s="214"/>
      <c r="F717" s="214"/>
      <c r="G717" s="214"/>
      <c r="H717" s="214"/>
      <c r="I717" s="214"/>
      <c r="J717" s="214"/>
      <c r="K717" s="214"/>
    </row>
    <row r="718" spans="4:11" ht="12.75" x14ac:dyDescent="0.2">
      <c r="D718" s="214"/>
      <c r="E718" s="214"/>
      <c r="F718" s="214"/>
      <c r="G718" s="214"/>
      <c r="H718" s="214"/>
      <c r="I718" s="214"/>
      <c r="J718" s="214"/>
      <c r="K718" s="214"/>
    </row>
    <row r="719" spans="4:11" ht="12.75" x14ac:dyDescent="0.2">
      <c r="D719" s="214"/>
      <c r="E719" s="214"/>
      <c r="F719" s="214"/>
      <c r="G719" s="214"/>
      <c r="H719" s="214"/>
      <c r="I719" s="214"/>
      <c r="J719" s="214"/>
      <c r="K719" s="214"/>
    </row>
    <row r="720" spans="4:11" ht="12.75" x14ac:dyDescent="0.2">
      <c r="D720" s="214"/>
      <c r="E720" s="214"/>
      <c r="F720" s="214"/>
      <c r="G720" s="214"/>
      <c r="H720" s="214"/>
      <c r="I720" s="214"/>
      <c r="J720" s="214"/>
      <c r="K720" s="214"/>
    </row>
    <row r="721" spans="4:11" ht="12.75" x14ac:dyDescent="0.2">
      <c r="D721" s="214"/>
      <c r="E721" s="214"/>
      <c r="F721" s="214"/>
      <c r="G721" s="214"/>
      <c r="H721" s="214"/>
      <c r="I721" s="214"/>
      <c r="J721" s="214"/>
      <c r="K721" s="214"/>
    </row>
    <row r="722" spans="4:11" ht="12.75" x14ac:dyDescent="0.2">
      <c r="D722" s="214"/>
      <c r="E722" s="214"/>
      <c r="F722" s="214"/>
      <c r="G722" s="214"/>
      <c r="H722" s="214"/>
      <c r="I722" s="214"/>
      <c r="J722" s="214"/>
      <c r="K722" s="214"/>
    </row>
    <row r="723" spans="4:11" ht="12.75" x14ac:dyDescent="0.2">
      <c r="D723" s="214"/>
      <c r="E723" s="214"/>
      <c r="F723" s="214"/>
      <c r="G723" s="214"/>
      <c r="H723" s="214"/>
      <c r="I723" s="214"/>
      <c r="J723" s="214"/>
      <c r="K723" s="214"/>
    </row>
    <row r="724" spans="4:11" ht="12.75" x14ac:dyDescent="0.2">
      <c r="D724" s="214"/>
      <c r="E724" s="214"/>
      <c r="F724" s="214"/>
      <c r="G724" s="214"/>
      <c r="H724" s="214"/>
      <c r="I724" s="214"/>
      <c r="J724" s="214"/>
      <c r="K724" s="214"/>
    </row>
    <row r="725" spans="4:11" ht="12.75" x14ac:dyDescent="0.2">
      <c r="D725" s="214"/>
      <c r="E725" s="214"/>
      <c r="F725" s="214"/>
      <c r="G725" s="214"/>
      <c r="H725" s="214"/>
      <c r="I725" s="214"/>
      <c r="J725" s="214"/>
      <c r="K725" s="214"/>
    </row>
    <row r="726" spans="4:11" ht="12.75" x14ac:dyDescent="0.2">
      <c r="D726" s="214"/>
      <c r="E726" s="214"/>
      <c r="F726" s="214"/>
      <c r="G726" s="214"/>
      <c r="H726" s="214"/>
      <c r="I726" s="214"/>
      <c r="J726" s="214"/>
      <c r="K726" s="214"/>
    </row>
    <row r="727" spans="4:11" ht="12.75" x14ac:dyDescent="0.2">
      <c r="D727" s="214"/>
      <c r="E727" s="214"/>
      <c r="F727" s="214"/>
      <c r="G727" s="214"/>
      <c r="H727" s="214"/>
      <c r="I727" s="214"/>
      <c r="J727" s="214"/>
      <c r="K727" s="214"/>
    </row>
    <row r="728" spans="4:11" ht="12.75" x14ac:dyDescent="0.2">
      <c r="D728" s="214"/>
      <c r="E728" s="214"/>
      <c r="F728" s="214"/>
      <c r="G728" s="214"/>
      <c r="H728" s="214"/>
      <c r="I728" s="214"/>
      <c r="J728" s="214"/>
      <c r="K728" s="214"/>
    </row>
    <row r="729" spans="4:11" ht="12.75" x14ac:dyDescent="0.2">
      <c r="D729" s="214"/>
      <c r="E729" s="214"/>
      <c r="F729" s="214"/>
      <c r="G729" s="214"/>
      <c r="H729" s="214"/>
      <c r="I729" s="214"/>
      <c r="J729" s="214"/>
      <c r="K729" s="214"/>
    </row>
    <row r="730" spans="4:11" ht="12.75" x14ac:dyDescent="0.2">
      <c r="D730" s="214"/>
      <c r="E730" s="214"/>
      <c r="F730" s="214"/>
      <c r="G730" s="214"/>
      <c r="H730" s="214"/>
      <c r="I730" s="214"/>
      <c r="J730" s="214"/>
      <c r="K730" s="214"/>
    </row>
    <row r="731" spans="4:11" ht="12.75" x14ac:dyDescent="0.2">
      <c r="D731" s="214"/>
      <c r="E731" s="214"/>
      <c r="F731" s="214"/>
      <c r="G731" s="214"/>
      <c r="H731" s="214"/>
      <c r="I731" s="214"/>
      <c r="J731" s="214"/>
      <c r="K731" s="214"/>
    </row>
    <row r="732" spans="4:11" ht="12.75" x14ac:dyDescent="0.2">
      <c r="D732" s="214"/>
      <c r="E732" s="214"/>
      <c r="F732" s="214"/>
      <c r="G732" s="214"/>
      <c r="H732" s="214"/>
      <c r="I732" s="214"/>
      <c r="J732" s="214"/>
      <c r="K732" s="214"/>
    </row>
    <row r="733" spans="4:11" ht="12.75" x14ac:dyDescent="0.2">
      <c r="D733" s="214"/>
      <c r="E733" s="214"/>
      <c r="F733" s="214"/>
      <c r="G733" s="214"/>
      <c r="H733" s="214"/>
      <c r="I733" s="214"/>
      <c r="J733" s="214"/>
      <c r="K733" s="214"/>
    </row>
    <row r="734" spans="4:11" ht="12.75" x14ac:dyDescent="0.2">
      <c r="D734" s="214"/>
      <c r="E734" s="214"/>
      <c r="F734" s="214"/>
      <c r="G734" s="214"/>
      <c r="H734" s="214"/>
      <c r="I734" s="214"/>
      <c r="J734" s="214"/>
      <c r="K734" s="214"/>
    </row>
    <row r="735" spans="4:11" ht="12.75" x14ac:dyDescent="0.2">
      <c r="D735" s="214"/>
      <c r="E735" s="214"/>
      <c r="F735" s="214"/>
      <c r="G735" s="214"/>
      <c r="H735" s="214"/>
      <c r="I735" s="214"/>
      <c r="J735" s="214"/>
      <c r="K735" s="214"/>
    </row>
    <row r="736" spans="4:11" ht="12.75" x14ac:dyDescent="0.2">
      <c r="D736" s="214"/>
      <c r="E736" s="214"/>
      <c r="F736" s="214"/>
      <c r="G736" s="214"/>
      <c r="H736" s="214"/>
      <c r="I736" s="214"/>
      <c r="J736" s="214"/>
      <c r="K736" s="214"/>
    </row>
    <row r="737" spans="4:11" ht="12.75" x14ac:dyDescent="0.2">
      <c r="D737" s="214"/>
      <c r="E737" s="214"/>
      <c r="F737" s="214"/>
      <c r="G737" s="214"/>
      <c r="H737" s="214"/>
      <c r="I737" s="214"/>
      <c r="J737" s="214"/>
      <c r="K737" s="214"/>
    </row>
    <row r="738" spans="4:11" ht="12.75" x14ac:dyDescent="0.2">
      <c r="D738" s="214"/>
      <c r="E738" s="214"/>
      <c r="F738" s="214"/>
      <c r="G738" s="214"/>
      <c r="H738" s="214"/>
      <c r="I738" s="214"/>
      <c r="J738" s="214"/>
      <c r="K738" s="214"/>
    </row>
    <row r="739" spans="4:11" ht="12.75" x14ac:dyDescent="0.2">
      <c r="D739" s="214"/>
      <c r="E739" s="214"/>
      <c r="F739" s="214"/>
      <c r="G739" s="214"/>
      <c r="H739" s="214"/>
      <c r="I739" s="214"/>
      <c r="J739" s="214"/>
      <c r="K739" s="214"/>
    </row>
    <row r="740" spans="4:11" ht="12.75" x14ac:dyDescent="0.2">
      <c r="D740" s="214"/>
      <c r="E740" s="214"/>
      <c r="F740" s="214"/>
      <c r="G740" s="214"/>
      <c r="H740" s="214"/>
      <c r="I740" s="214"/>
      <c r="J740" s="214"/>
      <c r="K740" s="214"/>
    </row>
    <row r="741" spans="4:11" ht="12.75" x14ac:dyDescent="0.2">
      <c r="D741" s="214"/>
      <c r="E741" s="214"/>
      <c r="F741" s="214"/>
      <c r="G741" s="214"/>
      <c r="H741" s="214"/>
      <c r="I741" s="214"/>
      <c r="J741" s="214"/>
      <c r="K741" s="214"/>
    </row>
    <row r="742" spans="4:11" ht="12.75" x14ac:dyDescent="0.2">
      <c r="D742" s="214"/>
      <c r="E742" s="214"/>
      <c r="F742" s="214"/>
      <c r="G742" s="214"/>
      <c r="H742" s="214"/>
      <c r="I742" s="214"/>
      <c r="J742" s="214"/>
      <c r="K742" s="214"/>
    </row>
    <row r="743" spans="4:11" ht="12.75" x14ac:dyDescent="0.2">
      <c r="D743" s="214"/>
      <c r="E743" s="214"/>
      <c r="F743" s="214"/>
      <c r="G743" s="214"/>
      <c r="H743" s="214"/>
      <c r="I743" s="214"/>
      <c r="J743" s="214"/>
      <c r="K743" s="214"/>
    </row>
    <row r="744" spans="4:11" ht="12.75" x14ac:dyDescent="0.2">
      <c r="D744" s="214"/>
      <c r="E744" s="214"/>
      <c r="F744" s="214"/>
      <c r="G744" s="214"/>
      <c r="H744" s="214"/>
      <c r="I744" s="214"/>
      <c r="J744" s="214"/>
      <c r="K744" s="214"/>
    </row>
    <row r="745" spans="4:11" ht="12.75" x14ac:dyDescent="0.2">
      <c r="D745" s="214"/>
      <c r="E745" s="214"/>
      <c r="F745" s="214"/>
      <c r="G745" s="214"/>
      <c r="H745" s="214"/>
      <c r="I745" s="214"/>
      <c r="J745" s="214"/>
      <c r="K745" s="214"/>
    </row>
    <row r="746" spans="4:11" ht="12.75" x14ac:dyDescent="0.2">
      <c r="D746" s="214"/>
      <c r="E746" s="214"/>
      <c r="F746" s="214"/>
      <c r="G746" s="214"/>
      <c r="H746" s="214"/>
      <c r="I746" s="214"/>
      <c r="J746" s="214"/>
      <c r="K746" s="214"/>
    </row>
    <row r="747" spans="4:11" ht="12.75" x14ac:dyDescent="0.2">
      <c r="D747" s="214"/>
      <c r="E747" s="214"/>
      <c r="F747" s="214"/>
      <c r="G747" s="214"/>
      <c r="H747" s="214"/>
      <c r="I747" s="214"/>
      <c r="J747" s="214"/>
      <c r="K747" s="214"/>
    </row>
    <row r="748" spans="4:11" ht="12.75" x14ac:dyDescent="0.2">
      <c r="D748" s="214"/>
      <c r="E748" s="214"/>
      <c r="F748" s="214"/>
      <c r="G748" s="214"/>
      <c r="H748" s="214"/>
      <c r="I748" s="214"/>
      <c r="J748" s="214"/>
      <c r="K748" s="214"/>
    </row>
    <row r="749" spans="4:11" ht="12.75" x14ac:dyDescent="0.2">
      <c r="D749" s="214"/>
      <c r="E749" s="214"/>
      <c r="F749" s="214"/>
      <c r="G749" s="214"/>
      <c r="H749" s="214"/>
      <c r="I749" s="214"/>
      <c r="J749" s="214"/>
      <c r="K749" s="214"/>
    </row>
    <row r="750" spans="4:11" ht="12.75" x14ac:dyDescent="0.2">
      <c r="D750" s="214"/>
      <c r="E750" s="214"/>
      <c r="F750" s="214"/>
      <c r="G750" s="214"/>
      <c r="H750" s="214"/>
      <c r="I750" s="214"/>
      <c r="J750" s="214"/>
      <c r="K750" s="214"/>
    </row>
    <row r="751" spans="4:11" ht="12.75" x14ac:dyDescent="0.2">
      <c r="D751" s="214"/>
      <c r="E751" s="214"/>
      <c r="F751" s="214"/>
      <c r="G751" s="214"/>
      <c r="H751" s="214"/>
      <c r="I751" s="214"/>
      <c r="J751" s="214"/>
      <c r="K751" s="214"/>
    </row>
    <row r="752" spans="4:11" ht="12.75" x14ac:dyDescent="0.2">
      <c r="D752" s="214"/>
      <c r="E752" s="214"/>
      <c r="F752" s="214"/>
      <c r="G752" s="214"/>
      <c r="H752" s="214"/>
      <c r="I752" s="214"/>
      <c r="J752" s="214"/>
      <c r="K752" s="214"/>
    </row>
    <row r="753" spans="4:11" ht="12.75" x14ac:dyDescent="0.2">
      <c r="D753" s="214"/>
      <c r="E753" s="214"/>
      <c r="F753" s="214"/>
      <c r="G753" s="214"/>
      <c r="H753" s="214"/>
      <c r="I753" s="214"/>
      <c r="J753" s="214"/>
      <c r="K753" s="214"/>
    </row>
    <row r="754" spans="4:11" ht="12.75" x14ac:dyDescent="0.2">
      <c r="D754" s="214"/>
      <c r="E754" s="214"/>
      <c r="F754" s="214"/>
      <c r="G754" s="214"/>
      <c r="H754" s="214"/>
      <c r="I754" s="214"/>
      <c r="J754" s="214"/>
      <c r="K754" s="214"/>
    </row>
    <row r="755" spans="4:11" ht="12.75" x14ac:dyDescent="0.2">
      <c r="D755" s="214"/>
      <c r="E755" s="214"/>
      <c r="F755" s="214"/>
      <c r="G755" s="214"/>
      <c r="H755" s="214"/>
      <c r="I755" s="214"/>
      <c r="J755" s="214"/>
      <c r="K755" s="214"/>
    </row>
    <row r="756" spans="4:11" ht="12.75" x14ac:dyDescent="0.2">
      <c r="D756" s="214"/>
      <c r="E756" s="214"/>
      <c r="F756" s="214"/>
      <c r="G756" s="214"/>
      <c r="H756" s="214"/>
      <c r="I756" s="214"/>
      <c r="J756" s="214"/>
      <c r="K756" s="214"/>
    </row>
    <row r="757" spans="4:11" ht="12.75" x14ac:dyDescent="0.2">
      <c r="D757" s="214"/>
      <c r="E757" s="214"/>
      <c r="F757" s="214"/>
      <c r="G757" s="214"/>
      <c r="H757" s="214"/>
      <c r="I757" s="214"/>
      <c r="J757" s="214"/>
      <c r="K757" s="214"/>
    </row>
    <row r="758" spans="4:11" ht="12.75" x14ac:dyDescent="0.2">
      <c r="D758" s="214"/>
      <c r="E758" s="214"/>
      <c r="F758" s="214"/>
      <c r="G758" s="214"/>
      <c r="H758" s="214"/>
      <c r="I758" s="214"/>
      <c r="J758" s="214"/>
      <c r="K758" s="214"/>
    </row>
    <row r="759" spans="4:11" ht="12.75" x14ac:dyDescent="0.2">
      <c r="D759" s="214"/>
      <c r="E759" s="214"/>
      <c r="F759" s="214"/>
      <c r="G759" s="214"/>
      <c r="H759" s="214"/>
      <c r="I759" s="214"/>
      <c r="J759" s="214"/>
      <c r="K759" s="214"/>
    </row>
    <row r="760" spans="4:11" ht="12.75" x14ac:dyDescent="0.2">
      <c r="D760" s="214"/>
      <c r="E760" s="214"/>
      <c r="F760" s="214"/>
      <c r="G760" s="214"/>
      <c r="H760" s="214"/>
      <c r="I760" s="214"/>
      <c r="J760" s="214"/>
      <c r="K760" s="214"/>
    </row>
    <row r="761" spans="4:11" ht="12.75" x14ac:dyDescent="0.2">
      <c r="D761" s="214"/>
      <c r="E761" s="214"/>
      <c r="F761" s="214"/>
      <c r="G761" s="214"/>
      <c r="H761" s="214"/>
      <c r="I761" s="214"/>
      <c r="J761" s="214"/>
      <c r="K761" s="214"/>
    </row>
    <row r="762" spans="4:11" ht="12.75" x14ac:dyDescent="0.2">
      <c r="D762" s="214"/>
      <c r="E762" s="214"/>
      <c r="F762" s="214"/>
      <c r="G762" s="214"/>
      <c r="H762" s="214"/>
      <c r="I762" s="214"/>
      <c r="J762" s="214"/>
      <c r="K762" s="214"/>
    </row>
    <row r="763" spans="4:11" ht="12.75" x14ac:dyDescent="0.2">
      <c r="D763" s="214"/>
      <c r="E763" s="214"/>
      <c r="F763" s="214"/>
      <c r="G763" s="214"/>
      <c r="H763" s="214"/>
      <c r="I763" s="214"/>
      <c r="J763" s="214"/>
      <c r="K763" s="214"/>
    </row>
    <row r="764" spans="4:11" ht="12.75" x14ac:dyDescent="0.2">
      <c r="D764" s="214"/>
      <c r="E764" s="214"/>
      <c r="F764" s="214"/>
      <c r="G764" s="214"/>
      <c r="H764" s="214"/>
      <c r="I764" s="214"/>
      <c r="J764" s="214"/>
      <c r="K764" s="214"/>
    </row>
    <row r="765" spans="4:11" ht="12.75" x14ac:dyDescent="0.2">
      <c r="D765" s="214"/>
      <c r="E765" s="214"/>
      <c r="F765" s="214"/>
      <c r="G765" s="214"/>
      <c r="H765" s="214"/>
      <c r="I765" s="214"/>
      <c r="J765" s="214"/>
      <c r="K765" s="214"/>
    </row>
    <row r="766" spans="4:11" ht="12.75" x14ac:dyDescent="0.2">
      <c r="D766" s="214"/>
      <c r="E766" s="214"/>
      <c r="F766" s="214"/>
      <c r="G766" s="214"/>
      <c r="H766" s="214"/>
      <c r="I766" s="214"/>
      <c r="J766" s="214"/>
      <c r="K766" s="214"/>
    </row>
    <row r="767" spans="4:11" ht="12.75" x14ac:dyDescent="0.2">
      <c r="D767" s="214"/>
      <c r="E767" s="214"/>
      <c r="F767" s="214"/>
      <c r="G767" s="214"/>
      <c r="H767" s="214"/>
      <c r="I767" s="214"/>
      <c r="J767" s="214"/>
      <c r="K767" s="214"/>
    </row>
    <row r="768" spans="4:11" ht="12.75" x14ac:dyDescent="0.2">
      <c r="D768" s="214"/>
      <c r="E768" s="214"/>
      <c r="F768" s="214"/>
      <c r="G768" s="214"/>
      <c r="H768" s="214"/>
      <c r="I768" s="214"/>
      <c r="J768" s="214"/>
      <c r="K768" s="214"/>
    </row>
    <row r="769" spans="4:11" ht="12.75" x14ac:dyDescent="0.2">
      <c r="D769" s="214"/>
      <c r="E769" s="214"/>
      <c r="F769" s="214"/>
      <c r="G769" s="214"/>
      <c r="H769" s="214"/>
      <c r="I769" s="214"/>
      <c r="J769" s="214"/>
      <c r="K769" s="214"/>
    </row>
    <row r="770" spans="4:11" ht="12.75" x14ac:dyDescent="0.2">
      <c r="D770" s="214"/>
      <c r="E770" s="214"/>
      <c r="F770" s="214"/>
      <c r="G770" s="214"/>
      <c r="H770" s="214"/>
      <c r="I770" s="214"/>
      <c r="J770" s="214"/>
      <c r="K770" s="214"/>
    </row>
    <row r="771" spans="4:11" ht="12.75" x14ac:dyDescent="0.2">
      <c r="D771" s="214"/>
      <c r="E771" s="214"/>
      <c r="F771" s="214"/>
      <c r="G771" s="214"/>
      <c r="H771" s="214"/>
      <c r="I771" s="214"/>
      <c r="J771" s="214"/>
      <c r="K771" s="214"/>
    </row>
    <row r="772" spans="4:11" ht="12.75" x14ac:dyDescent="0.2">
      <c r="D772" s="214"/>
      <c r="E772" s="214"/>
      <c r="F772" s="214"/>
      <c r="G772" s="214"/>
      <c r="H772" s="214"/>
      <c r="I772" s="214"/>
      <c r="J772" s="214"/>
      <c r="K772" s="214"/>
    </row>
    <row r="773" spans="4:11" ht="12.75" x14ac:dyDescent="0.2">
      <c r="D773" s="214"/>
      <c r="E773" s="214"/>
      <c r="F773" s="214"/>
      <c r="G773" s="214"/>
      <c r="H773" s="214"/>
      <c r="I773" s="214"/>
      <c r="J773" s="214"/>
      <c r="K773" s="214"/>
    </row>
    <row r="774" spans="4:11" ht="12.75" x14ac:dyDescent="0.2">
      <c r="D774" s="214"/>
      <c r="E774" s="214"/>
      <c r="F774" s="214"/>
      <c r="G774" s="214"/>
      <c r="H774" s="214"/>
      <c r="I774" s="214"/>
      <c r="J774" s="214"/>
      <c r="K774" s="214"/>
    </row>
    <row r="775" spans="4:11" ht="12.75" x14ac:dyDescent="0.2">
      <c r="D775" s="214"/>
      <c r="E775" s="214"/>
      <c r="F775" s="214"/>
      <c r="G775" s="214"/>
      <c r="H775" s="214"/>
      <c r="I775" s="214"/>
      <c r="J775" s="214"/>
      <c r="K775" s="214"/>
    </row>
    <row r="776" spans="4:11" ht="12.75" x14ac:dyDescent="0.2">
      <c r="D776" s="214"/>
      <c r="E776" s="214"/>
      <c r="F776" s="214"/>
      <c r="G776" s="214"/>
      <c r="H776" s="214"/>
      <c r="I776" s="214"/>
      <c r="J776" s="214"/>
      <c r="K776" s="214"/>
    </row>
    <row r="777" spans="4:11" ht="12.75" x14ac:dyDescent="0.2">
      <c r="D777" s="214"/>
      <c r="E777" s="214"/>
      <c r="F777" s="214"/>
      <c r="G777" s="214"/>
      <c r="H777" s="214"/>
      <c r="I777" s="214"/>
      <c r="J777" s="214"/>
      <c r="K777" s="214"/>
    </row>
    <row r="778" spans="4:11" ht="12.75" x14ac:dyDescent="0.2">
      <c r="D778" s="214"/>
      <c r="E778" s="214"/>
      <c r="F778" s="214"/>
      <c r="G778" s="214"/>
      <c r="H778" s="214"/>
      <c r="I778" s="214"/>
      <c r="J778" s="214"/>
      <c r="K778" s="214"/>
    </row>
    <row r="779" spans="4:11" ht="12.75" x14ac:dyDescent="0.2">
      <c r="D779" s="214"/>
      <c r="E779" s="214"/>
      <c r="F779" s="214"/>
      <c r="G779" s="214"/>
      <c r="H779" s="214"/>
      <c r="I779" s="214"/>
      <c r="J779" s="214"/>
      <c r="K779" s="214"/>
    </row>
    <row r="780" spans="4:11" ht="12.75" x14ac:dyDescent="0.2">
      <c r="D780" s="214"/>
      <c r="E780" s="214"/>
      <c r="F780" s="214"/>
      <c r="G780" s="214"/>
      <c r="H780" s="214"/>
      <c r="I780" s="214"/>
      <c r="J780" s="214"/>
      <c r="K780" s="214"/>
    </row>
    <row r="781" spans="4:11" ht="12.75" x14ac:dyDescent="0.2">
      <c r="D781" s="214"/>
      <c r="E781" s="214"/>
      <c r="F781" s="214"/>
      <c r="G781" s="214"/>
      <c r="H781" s="214"/>
      <c r="I781" s="214"/>
      <c r="J781" s="214"/>
      <c r="K781" s="214"/>
    </row>
    <row r="782" spans="4:11" ht="12.75" x14ac:dyDescent="0.2">
      <c r="D782" s="214"/>
      <c r="E782" s="214"/>
      <c r="F782" s="214"/>
      <c r="G782" s="214"/>
      <c r="H782" s="214"/>
      <c r="I782" s="214"/>
      <c r="J782" s="214"/>
      <c r="K782" s="214"/>
    </row>
    <row r="783" spans="4:11" ht="12.75" x14ac:dyDescent="0.2">
      <c r="D783" s="214"/>
      <c r="E783" s="214"/>
      <c r="F783" s="214"/>
      <c r="G783" s="214"/>
      <c r="H783" s="214"/>
      <c r="I783" s="214"/>
      <c r="J783" s="214"/>
      <c r="K783" s="214"/>
    </row>
    <row r="784" spans="4:11" ht="12.75" x14ac:dyDescent="0.2">
      <c r="D784" s="214"/>
      <c r="E784" s="214"/>
      <c r="F784" s="214"/>
      <c r="G784" s="214"/>
      <c r="H784" s="214"/>
      <c r="I784" s="214"/>
      <c r="J784" s="214"/>
      <c r="K784" s="214"/>
    </row>
    <row r="785" spans="4:11" ht="12.75" x14ac:dyDescent="0.2">
      <c r="D785" s="214"/>
      <c r="E785" s="214"/>
      <c r="F785" s="214"/>
      <c r="G785" s="214"/>
      <c r="H785" s="214"/>
      <c r="I785" s="214"/>
      <c r="J785" s="214"/>
      <c r="K785" s="214"/>
    </row>
    <row r="786" spans="4:11" ht="12.75" x14ac:dyDescent="0.2">
      <c r="D786" s="214"/>
      <c r="E786" s="214"/>
      <c r="F786" s="214"/>
      <c r="G786" s="214"/>
      <c r="H786" s="214"/>
      <c r="I786" s="214"/>
      <c r="J786" s="214"/>
      <c r="K786" s="214"/>
    </row>
    <row r="787" spans="4:11" ht="12.75" x14ac:dyDescent="0.2">
      <c r="D787" s="214"/>
      <c r="E787" s="214"/>
      <c r="F787" s="214"/>
      <c r="G787" s="214"/>
      <c r="H787" s="214"/>
      <c r="I787" s="214"/>
      <c r="J787" s="214"/>
      <c r="K787" s="214"/>
    </row>
    <row r="788" spans="4:11" ht="12.75" x14ac:dyDescent="0.2">
      <c r="D788" s="214"/>
      <c r="E788" s="214"/>
      <c r="F788" s="214"/>
      <c r="G788" s="214"/>
      <c r="H788" s="214"/>
      <c r="I788" s="214"/>
      <c r="J788" s="214"/>
      <c r="K788" s="214"/>
    </row>
    <row r="789" spans="4:11" ht="12.75" x14ac:dyDescent="0.2">
      <c r="D789" s="214"/>
      <c r="E789" s="214"/>
      <c r="F789" s="214"/>
      <c r="G789" s="214"/>
      <c r="H789" s="214"/>
      <c r="I789" s="214"/>
      <c r="J789" s="214"/>
      <c r="K789" s="214"/>
    </row>
    <row r="790" spans="4:11" ht="12.75" x14ac:dyDescent="0.2">
      <c r="D790" s="214"/>
      <c r="E790" s="214"/>
      <c r="F790" s="214"/>
      <c r="G790" s="214"/>
      <c r="H790" s="214"/>
      <c r="I790" s="214"/>
      <c r="J790" s="214"/>
      <c r="K790" s="214"/>
    </row>
    <row r="791" spans="4:11" ht="12.75" x14ac:dyDescent="0.2">
      <c r="D791" s="214"/>
      <c r="E791" s="214"/>
      <c r="F791" s="214"/>
      <c r="G791" s="214"/>
      <c r="H791" s="214"/>
      <c r="I791" s="214"/>
      <c r="J791" s="214"/>
      <c r="K791" s="214"/>
    </row>
    <row r="792" spans="4:11" ht="12.75" x14ac:dyDescent="0.2">
      <c r="D792" s="214"/>
      <c r="E792" s="214"/>
      <c r="F792" s="214"/>
      <c r="G792" s="214"/>
      <c r="H792" s="214"/>
      <c r="I792" s="214"/>
      <c r="J792" s="214"/>
      <c r="K792" s="214"/>
    </row>
    <row r="793" spans="4:11" ht="12.75" x14ac:dyDescent="0.2">
      <c r="D793" s="214"/>
      <c r="E793" s="214"/>
      <c r="F793" s="214"/>
      <c r="G793" s="214"/>
      <c r="H793" s="214"/>
      <c r="I793" s="214"/>
      <c r="J793" s="214"/>
      <c r="K793" s="214"/>
    </row>
    <row r="794" spans="4:11" ht="12.75" x14ac:dyDescent="0.2">
      <c r="D794" s="214"/>
      <c r="E794" s="214"/>
      <c r="F794" s="214"/>
      <c r="G794" s="214"/>
      <c r="H794" s="214"/>
      <c r="I794" s="214"/>
      <c r="J794" s="214"/>
      <c r="K794" s="214"/>
    </row>
    <row r="795" spans="4:11" ht="12.75" x14ac:dyDescent="0.2">
      <c r="D795" s="214"/>
      <c r="E795" s="214"/>
      <c r="F795" s="214"/>
      <c r="G795" s="214"/>
      <c r="H795" s="214"/>
      <c r="I795" s="214"/>
      <c r="J795" s="214"/>
      <c r="K795" s="214"/>
    </row>
    <row r="796" spans="4:11" ht="12.75" x14ac:dyDescent="0.2">
      <c r="D796" s="214"/>
      <c r="E796" s="214"/>
      <c r="F796" s="214"/>
      <c r="G796" s="214"/>
      <c r="H796" s="214"/>
      <c r="I796" s="214"/>
      <c r="J796" s="214"/>
      <c r="K796" s="214"/>
    </row>
    <row r="797" spans="4:11" ht="12.75" x14ac:dyDescent="0.2">
      <c r="D797" s="214"/>
      <c r="E797" s="214"/>
      <c r="F797" s="214"/>
      <c r="G797" s="214"/>
      <c r="H797" s="214"/>
      <c r="I797" s="214"/>
      <c r="J797" s="214"/>
      <c r="K797" s="214"/>
    </row>
    <row r="798" spans="4:11" ht="12.75" x14ac:dyDescent="0.2">
      <c r="D798" s="214"/>
      <c r="E798" s="214"/>
      <c r="F798" s="214"/>
      <c r="G798" s="214"/>
      <c r="H798" s="214"/>
      <c r="I798" s="214"/>
      <c r="J798" s="214"/>
      <c r="K798" s="214"/>
    </row>
    <row r="799" spans="4:11" ht="12.75" x14ac:dyDescent="0.2">
      <c r="D799" s="214"/>
      <c r="E799" s="214"/>
      <c r="F799" s="214"/>
      <c r="G799" s="214"/>
      <c r="H799" s="214"/>
      <c r="I799" s="214"/>
      <c r="J799" s="214"/>
      <c r="K799" s="214"/>
    </row>
    <row r="800" spans="4:11" ht="12.75" x14ac:dyDescent="0.2">
      <c r="D800" s="214"/>
      <c r="E800" s="214"/>
      <c r="F800" s="214"/>
      <c r="G800" s="214"/>
      <c r="H800" s="214"/>
      <c r="I800" s="214"/>
      <c r="J800" s="214"/>
      <c r="K800" s="214"/>
    </row>
    <row r="801" spans="4:11" ht="12.75" x14ac:dyDescent="0.2">
      <c r="D801" s="214"/>
      <c r="E801" s="214"/>
      <c r="F801" s="214"/>
      <c r="G801" s="214"/>
      <c r="H801" s="214"/>
      <c r="I801" s="214"/>
      <c r="J801" s="214"/>
      <c r="K801" s="214"/>
    </row>
    <row r="802" spans="4:11" ht="12.75" x14ac:dyDescent="0.2">
      <c r="D802" s="214"/>
      <c r="E802" s="214"/>
      <c r="F802" s="214"/>
      <c r="G802" s="214"/>
      <c r="H802" s="214"/>
      <c r="I802" s="214"/>
      <c r="J802" s="214"/>
      <c r="K802" s="214"/>
    </row>
    <row r="803" spans="4:11" ht="12.75" x14ac:dyDescent="0.2">
      <c r="D803" s="214"/>
      <c r="E803" s="214"/>
      <c r="F803" s="214"/>
      <c r="G803" s="214"/>
      <c r="H803" s="214"/>
      <c r="I803" s="214"/>
      <c r="J803" s="214"/>
      <c r="K803" s="214"/>
    </row>
    <row r="804" spans="4:11" ht="12.75" x14ac:dyDescent="0.2">
      <c r="D804" s="214"/>
      <c r="E804" s="214"/>
      <c r="F804" s="214"/>
      <c r="G804" s="214"/>
      <c r="H804" s="214"/>
      <c r="I804" s="214"/>
      <c r="J804" s="214"/>
      <c r="K804" s="214"/>
    </row>
    <row r="805" spans="4:11" ht="12.75" x14ac:dyDescent="0.2">
      <c r="D805" s="214"/>
      <c r="E805" s="214"/>
      <c r="F805" s="214"/>
      <c r="G805" s="214"/>
      <c r="H805" s="214"/>
      <c r="I805" s="214"/>
      <c r="J805" s="214"/>
      <c r="K805" s="214"/>
    </row>
    <row r="806" spans="4:11" ht="12.75" x14ac:dyDescent="0.2">
      <c r="D806" s="214"/>
      <c r="E806" s="214"/>
      <c r="F806" s="214"/>
      <c r="G806" s="214"/>
      <c r="H806" s="214"/>
      <c r="I806" s="214"/>
      <c r="J806" s="214"/>
      <c r="K806" s="214"/>
    </row>
    <row r="807" spans="4:11" ht="12.75" x14ac:dyDescent="0.2">
      <c r="D807" s="214"/>
      <c r="E807" s="214"/>
      <c r="F807" s="214"/>
      <c r="G807" s="214"/>
      <c r="H807" s="214"/>
      <c r="I807" s="214"/>
      <c r="J807" s="214"/>
      <c r="K807" s="214"/>
    </row>
    <row r="808" spans="4:11" ht="12.75" x14ac:dyDescent="0.2">
      <c r="D808" s="214"/>
      <c r="E808" s="214"/>
      <c r="F808" s="214"/>
      <c r="G808" s="214"/>
      <c r="H808" s="214"/>
      <c r="I808" s="214"/>
      <c r="J808" s="214"/>
      <c r="K808" s="214"/>
    </row>
    <row r="809" spans="4:11" ht="12.75" x14ac:dyDescent="0.2">
      <c r="D809" s="214"/>
      <c r="E809" s="214"/>
      <c r="F809" s="214"/>
      <c r="G809" s="214"/>
      <c r="H809" s="214"/>
      <c r="I809" s="214"/>
      <c r="J809" s="214"/>
      <c r="K809" s="214"/>
    </row>
    <row r="810" spans="4:11" ht="12.75" x14ac:dyDescent="0.2">
      <c r="D810" s="214"/>
      <c r="E810" s="214"/>
      <c r="F810" s="214"/>
      <c r="G810" s="214"/>
      <c r="H810" s="214"/>
      <c r="I810" s="214"/>
      <c r="J810" s="214"/>
      <c r="K810" s="214"/>
    </row>
    <row r="811" spans="4:11" ht="12.75" x14ac:dyDescent="0.2">
      <c r="D811" s="214"/>
      <c r="E811" s="214"/>
      <c r="F811" s="214"/>
      <c r="G811" s="214"/>
      <c r="H811" s="214"/>
      <c r="I811" s="214"/>
      <c r="J811" s="214"/>
      <c r="K811" s="214"/>
    </row>
    <row r="812" spans="4:11" ht="12.75" x14ac:dyDescent="0.2">
      <c r="D812" s="214"/>
      <c r="E812" s="214"/>
      <c r="F812" s="214"/>
      <c r="G812" s="214"/>
      <c r="H812" s="214"/>
      <c r="I812" s="214"/>
      <c r="J812" s="214"/>
      <c r="K812" s="214"/>
    </row>
    <row r="813" spans="4:11" ht="12.75" x14ac:dyDescent="0.2">
      <c r="D813" s="214"/>
      <c r="E813" s="214"/>
      <c r="F813" s="214"/>
      <c r="G813" s="214"/>
      <c r="H813" s="214"/>
      <c r="I813" s="214"/>
      <c r="J813" s="214"/>
      <c r="K813" s="214"/>
    </row>
    <row r="814" spans="4:11" ht="12.75" x14ac:dyDescent="0.2">
      <c r="D814" s="214"/>
      <c r="E814" s="214"/>
      <c r="F814" s="214"/>
      <c r="G814" s="214"/>
      <c r="H814" s="214"/>
      <c r="I814" s="214"/>
      <c r="J814" s="214"/>
      <c r="K814" s="214"/>
    </row>
    <row r="815" spans="4:11" ht="12.75" x14ac:dyDescent="0.2">
      <c r="D815" s="214"/>
      <c r="E815" s="214"/>
      <c r="F815" s="214"/>
      <c r="G815" s="214"/>
      <c r="H815" s="214"/>
      <c r="I815" s="214"/>
      <c r="J815" s="214"/>
      <c r="K815" s="214"/>
    </row>
    <row r="816" spans="4:11" ht="12.75" x14ac:dyDescent="0.2">
      <c r="D816" s="214"/>
      <c r="E816" s="214"/>
      <c r="F816" s="214"/>
      <c r="G816" s="214"/>
      <c r="H816" s="214"/>
      <c r="I816" s="214"/>
      <c r="J816" s="214"/>
      <c r="K816" s="214"/>
    </row>
    <row r="817" spans="4:11" ht="12.75" x14ac:dyDescent="0.2">
      <c r="D817" s="214"/>
      <c r="E817" s="214"/>
      <c r="F817" s="214"/>
      <c r="G817" s="214"/>
      <c r="H817" s="214"/>
      <c r="I817" s="214"/>
      <c r="J817" s="214"/>
      <c r="K817" s="214"/>
    </row>
    <row r="818" spans="4:11" ht="12.75" x14ac:dyDescent="0.2">
      <c r="D818" s="214"/>
      <c r="E818" s="214"/>
      <c r="F818" s="214"/>
      <c r="G818" s="214"/>
      <c r="H818" s="214"/>
      <c r="I818" s="214"/>
      <c r="J818" s="214"/>
      <c r="K818" s="214"/>
    </row>
    <row r="819" spans="4:11" ht="12.75" x14ac:dyDescent="0.2">
      <c r="D819" s="214"/>
      <c r="E819" s="214"/>
      <c r="F819" s="214"/>
      <c r="G819" s="214"/>
      <c r="H819" s="214"/>
      <c r="I819" s="214"/>
      <c r="J819" s="214"/>
      <c r="K819" s="214"/>
    </row>
    <row r="820" spans="4:11" ht="12.75" x14ac:dyDescent="0.2">
      <c r="D820" s="214"/>
      <c r="E820" s="214"/>
      <c r="F820" s="214"/>
      <c r="G820" s="214"/>
      <c r="H820" s="214"/>
      <c r="I820" s="214"/>
      <c r="J820" s="214"/>
      <c r="K820" s="214"/>
    </row>
    <row r="821" spans="4:11" ht="12.75" x14ac:dyDescent="0.2">
      <c r="D821" s="214"/>
      <c r="E821" s="214"/>
      <c r="F821" s="214"/>
      <c r="G821" s="214"/>
      <c r="H821" s="214"/>
      <c r="I821" s="214"/>
      <c r="J821" s="214"/>
      <c r="K821" s="214"/>
    </row>
    <row r="822" spans="4:11" ht="12.75" x14ac:dyDescent="0.2">
      <c r="D822" s="214"/>
      <c r="E822" s="214"/>
      <c r="F822" s="214"/>
      <c r="G822" s="214"/>
      <c r="H822" s="214"/>
      <c r="I822" s="214"/>
      <c r="J822" s="214"/>
      <c r="K822" s="214"/>
    </row>
    <row r="823" spans="4:11" ht="12.75" x14ac:dyDescent="0.2">
      <c r="D823" s="214"/>
      <c r="E823" s="214"/>
      <c r="F823" s="214"/>
      <c r="G823" s="214"/>
      <c r="H823" s="214"/>
      <c r="I823" s="214"/>
      <c r="J823" s="214"/>
      <c r="K823" s="214"/>
    </row>
    <row r="824" spans="4:11" ht="12.75" x14ac:dyDescent="0.2">
      <c r="D824" s="214"/>
      <c r="E824" s="214"/>
      <c r="F824" s="214"/>
      <c r="G824" s="214"/>
      <c r="H824" s="214"/>
      <c r="I824" s="214"/>
      <c r="J824" s="214"/>
      <c r="K824" s="214"/>
    </row>
    <row r="825" spans="4:11" ht="12.75" x14ac:dyDescent="0.2">
      <c r="D825" s="214"/>
      <c r="E825" s="214"/>
      <c r="F825" s="214"/>
      <c r="G825" s="214"/>
      <c r="H825" s="214"/>
      <c r="I825" s="214"/>
      <c r="J825" s="214"/>
      <c r="K825" s="214"/>
    </row>
    <row r="826" spans="4:11" ht="12.75" x14ac:dyDescent="0.2">
      <c r="D826" s="214"/>
      <c r="E826" s="214"/>
      <c r="F826" s="214"/>
      <c r="G826" s="214"/>
      <c r="H826" s="214"/>
      <c r="I826" s="214"/>
      <c r="J826" s="214"/>
      <c r="K826" s="214"/>
    </row>
    <row r="827" spans="4:11" ht="12.75" x14ac:dyDescent="0.2">
      <c r="D827" s="214"/>
      <c r="E827" s="214"/>
      <c r="F827" s="214"/>
      <c r="G827" s="214"/>
      <c r="H827" s="214"/>
      <c r="I827" s="214"/>
      <c r="J827" s="214"/>
      <c r="K827" s="214"/>
    </row>
    <row r="828" spans="4:11" ht="12.75" x14ac:dyDescent="0.2">
      <c r="D828" s="214"/>
      <c r="E828" s="214"/>
      <c r="F828" s="214"/>
      <c r="G828" s="214"/>
      <c r="H828" s="214"/>
      <c r="I828" s="214"/>
      <c r="J828" s="214"/>
      <c r="K828" s="214"/>
    </row>
    <row r="829" spans="4:11" ht="12.75" x14ac:dyDescent="0.2">
      <c r="D829" s="214"/>
      <c r="E829" s="214"/>
      <c r="F829" s="214"/>
      <c r="G829" s="214"/>
      <c r="H829" s="214"/>
      <c r="I829" s="214"/>
      <c r="J829" s="214"/>
      <c r="K829" s="214"/>
    </row>
    <row r="830" spans="4:11" ht="12.75" x14ac:dyDescent="0.2">
      <c r="D830" s="214"/>
      <c r="E830" s="214"/>
      <c r="F830" s="214"/>
      <c r="G830" s="214"/>
      <c r="H830" s="214"/>
      <c r="I830" s="214"/>
      <c r="J830" s="214"/>
      <c r="K830" s="214"/>
    </row>
    <row r="831" spans="4:11" ht="12.75" x14ac:dyDescent="0.2">
      <c r="D831" s="214"/>
      <c r="E831" s="214"/>
      <c r="F831" s="214"/>
      <c r="G831" s="214"/>
      <c r="H831" s="214"/>
      <c r="I831" s="214"/>
      <c r="J831" s="214"/>
      <c r="K831" s="214"/>
    </row>
    <row r="832" spans="4:11" ht="12.75" x14ac:dyDescent="0.2">
      <c r="D832" s="214"/>
      <c r="E832" s="214"/>
      <c r="F832" s="214"/>
      <c r="G832" s="214"/>
      <c r="H832" s="214"/>
      <c r="I832" s="214"/>
      <c r="J832" s="214"/>
      <c r="K832" s="214"/>
    </row>
    <row r="833" spans="4:11" ht="12.75" x14ac:dyDescent="0.2">
      <c r="D833" s="214"/>
      <c r="E833" s="214"/>
      <c r="F833" s="214"/>
      <c r="G833" s="214"/>
      <c r="H833" s="214"/>
      <c r="I833" s="214"/>
      <c r="J833" s="214"/>
      <c r="K833" s="214"/>
    </row>
    <row r="834" spans="4:11" ht="12.75" x14ac:dyDescent="0.2">
      <c r="D834" s="214"/>
      <c r="E834" s="214"/>
      <c r="F834" s="214"/>
      <c r="G834" s="214"/>
      <c r="H834" s="214"/>
      <c r="I834" s="214"/>
      <c r="J834" s="214"/>
      <c r="K834" s="214"/>
    </row>
    <row r="835" spans="4:11" ht="12.75" x14ac:dyDescent="0.2">
      <c r="D835" s="214"/>
      <c r="E835" s="214"/>
      <c r="F835" s="214"/>
      <c r="G835" s="214"/>
      <c r="H835" s="214"/>
      <c r="I835" s="214"/>
      <c r="J835" s="214"/>
      <c r="K835" s="214"/>
    </row>
    <row r="836" spans="4:11" ht="12.75" x14ac:dyDescent="0.2">
      <c r="D836" s="214"/>
      <c r="E836" s="214"/>
      <c r="F836" s="214"/>
      <c r="G836" s="214"/>
      <c r="H836" s="214"/>
      <c r="I836" s="214"/>
      <c r="J836" s="214"/>
      <c r="K836" s="214"/>
    </row>
    <row r="837" spans="4:11" ht="12.75" x14ac:dyDescent="0.2">
      <c r="D837" s="214"/>
      <c r="E837" s="214"/>
      <c r="F837" s="214"/>
      <c r="G837" s="214"/>
      <c r="H837" s="214"/>
      <c r="I837" s="214"/>
      <c r="J837" s="214"/>
      <c r="K837" s="214"/>
    </row>
    <row r="838" spans="4:11" ht="12.75" x14ac:dyDescent="0.2">
      <c r="D838" s="214"/>
      <c r="E838" s="214"/>
      <c r="F838" s="214"/>
      <c r="G838" s="214"/>
      <c r="H838" s="214"/>
      <c r="I838" s="214"/>
      <c r="J838" s="214"/>
      <c r="K838" s="214"/>
    </row>
    <row r="839" spans="4:11" ht="12.75" x14ac:dyDescent="0.2">
      <c r="D839" s="214"/>
      <c r="E839" s="214"/>
      <c r="F839" s="214"/>
      <c r="G839" s="214"/>
      <c r="H839" s="214"/>
      <c r="I839" s="214"/>
      <c r="J839" s="214"/>
      <c r="K839" s="214"/>
    </row>
    <row r="840" spans="4:11" ht="12.75" x14ac:dyDescent="0.2">
      <c r="D840" s="214"/>
      <c r="E840" s="214"/>
      <c r="F840" s="214"/>
      <c r="G840" s="214"/>
      <c r="H840" s="214"/>
      <c r="I840" s="214"/>
      <c r="J840" s="214"/>
      <c r="K840" s="214"/>
    </row>
    <row r="841" spans="4:11" ht="12.75" x14ac:dyDescent="0.2">
      <c r="D841" s="214"/>
      <c r="E841" s="214"/>
      <c r="F841" s="214"/>
      <c r="G841" s="214"/>
      <c r="H841" s="214"/>
      <c r="I841" s="214"/>
      <c r="J841" s="214"/>
      <c r="K841" s="214"/>
    </row>
    <row r="842" spans="4:11" ht="12.75" x14ac:dyDescent="0.2">
      <c r="D842" s="214"/>
      <c r="E842" s="214"/>
      <c r="F842" s="214"/>
      <c r="G842" s="214"/>
      <c r="H842" s="214"/>
      <c r="I842" s="214"/>
      <c r="J842" s="214"/>
      <c r="K842" s="214"/>
    </row>
    <row r="843" spans="4:11" ht="12.75" x14ac:dyDescent="0.2">
      <c r="D843" s="214"/>
      <c r="E843" s="214"/>
      <c r="F843" s="214"/>
      <c r="G843" s="214"/>
      <c r="H843" s="214"/>
      <c r="I843" s="214"/>
      <c r="J843" s="214"/>
      <c r="K843" s="214"/>
    </row>
    <row r="844" spans="4:11" ht="12.75" x14ac:dyDescent="0.2">
      <c r="D844" s="214"/>
      <c r="E844" s="214"/>
      <c r="F844" s="214"/>
      <c r="G844" s="214"/>
      <c r="H844" s="214"/>
      <c r="I844" s="214"/>
      <c r="J844" s="214"/>
      <c r="K844" s="214"/>
    </row>
    <row r="845" spans="4:11" ht="12.75" x14ac:dyDescent="0.2">
      <c r="D845" s="214"/>
      <c r="E845" s="214"/>
      <c r="F845" s="214"/>
      <c r="G845" s="214"/>
      <c r="H845" s="214"/>
      <c r="I845" s="214"/>
      <c r="J845" s="214"/>
      <c r="K845" s="214"/>
    </row>
    <row r="846" spans="4:11" ht="12.75" x14ac:dyDescent="0.2">
      <c r="D846" s="214"/>
      <c r="E846" s="214"/>
      <c r="F846" s="214"/>
      <c r="G846" s="214"/>
      <c r="H846" s="214"/>
      <c r="I846" s="214"/>
      <c r="J846" s="214"/>
      <c r="K846" s="214"/>
    </row>
    <row r="847" spans="4:11" ht="12.75" x14ac:dyDescent="0.2">
      <c r="D847" s="214"/>
      <c r="E847" s="214"/>
      <c r="F847" s="214"/>
      <c r="G847" s="214"/>
      <c r="H847" s="214"/>
      <c r="I847" s="214"/>
      <c r="J847" s="214"/>
      <c r="K847" s="214"/>
    </row>
    <row r="848" spans="4:11" ht="12.75" x14ac:dyDescent="0.2">
      <c r="D848" s="214"/>
      <c r="E848" s="214"/>
      <c r="F848" s="214"/>
      <c r="G848" s="214"/>
      <c r="H848" s="214"/>
      <c r="I848" s="214"/>
      <c r="J848" s="214"/>
      <c r="K848" s="214"/>
    </row>
    <row r="849" spans="4:11" ht="12.75" x14ac:dyDescent="0.2">
      <c r="D849" s="214"/>
      <c r="E849" s="214"/>
      <c r="F849" s="214"/>
      <c r="G849" s="214"/>
      <c r="H849" s="214"/>
      <c r="I849" s="214"/>
      <c r="J849" s="214"/>
      <c r="K849" s="214"/>
    </row>
    <row r="850" spans="4:11" ht="12.75" x14ac:dyDescent="0.2">
      <c r="D850" s="214"/>
      <c r="E850" s="214"/>
      <c r="F850" s="214"/>
      <c r="G850" s="214"/>
      <c r="H850" s="214"/>
      <c r="I850" s="214"/>
      <c r="J850" s="214"/>
      <c r="K850" s="214"/>
    </row>
    <row r="851" spans="4:11" ht="12.75" x14ac:dyDescent="0.2">
      <c r="D851" s="214"/>
      <c r="E851" s="214"/>
      <c r="F851" s="214"/>
      <c r="G851" s="214"/>
      <c r="H851" s="214"/>
      <c r="I851" s="214"/>
      <c r="J851" s="214"/>
      <c r="K851" s="214"/>
    </row>
    <row r="852" spans="4:11" ht="12.75" x14ac:dyDescent="0.2">
      <c r="D852" s="214"/>
      <c r="E852" s="214"/>
      <c r="F852" s="214"/>
      <c r="G852" s="214"/>
      <c r="H852" s="214"/>
      <c r="I852" s="214"/>
      <c r="J852" s="214"/>
      <c r="K852" s="214"/>
    </row>
    <row r="853" spans="4:11" ht="12.75" x14ac:dyDescent="0.2">
      <c r="D853" s="214"/>
      <c r="E853" s="214"/>
      <c r="F853" s="214"/>
      <c r="G853" s="214"/>
      <c r="H853" s="214"/>
      <c r="I853" s="214"/>
      <c r="J853" s="214"/>
      <c r="K853" s="214"/>
    </row>
    <row r="854" spans="4:11" ht="12.75" x14ac:dyDescent="0.2">
      <c r="D854" s="214"/>
      <c r="E854" s="214"/>
      <c r="F854" s="214"/>
      <c r="G854" s="214"/>
      <c r="H854" s="214"/>
      <c r="I854" s="214"/>
      <c r="J854" s="214"/>
      <c r="K854" s="214"/>
    </row>
    <row r="855" spans="4:11" ht="12.75" x14ac:dyDescent="0.2">
      <c r="D855" s="214"/>
      <c r="E855" s="214"/>
      <c r="F855" s="214"/>
      <c r="G855" s="214"/>
      <c r="H855" s="214"/>
      <c r="I855" s="214"/>
      <c r="J855" s="214"/>
      <c r="K855" s="214"/>
    </row>
    <row r="856" spans="4:11" ht="12.75" x14ac:dyDescent="0.2">
      <c r="D856" s="214"/>
      <c r="E856" s="214"/>
      <c r="F856" s="214"/>
      <c r="G856" s="214"/>
      <c r="H856" s="214"/>
      <c r="I856" s="214"/>
      <c r="J856" s="214"/>
      <c r="K856" s="214"/>
    </row>
    <row r="857" spans="4:11" ht="12.75" x14ac:dyDescent="0.2">
      <c r="D857" s="214"/>
      <c r="E857" s="214"/>
      <c r="F857" s="214"/>
      <c r="G857" s="214"/>
      <c r="H857" s="214"/>
      <c r="I857" s="214"/>
      <c r="J857" s="214"/>
      <c r="K857" s="214"/>
    </row>
    <row r="858" spans="4:11" ht="12.75" x14ac:dyDescent="0.2">
      <c r="D858" s="214"/>
      <c r="E858" s="214"/>
      <c r="F858" s="214"/>
      <c r="G858" s="214"/>
      <c r="H858" s="214"/>
      <c r="I858" s="214"/>
      <c r="J858" s="214"/>
      <c r="K858" s="214"/>
    </row>
    <row r="859" spans="4:11" ht="12.75" x14ac:dyDescent="0.2">
      <c r="D859" s="214"/>
      <c r="E859" s="214"/>
      <c r="F859" s="214"/>
      <c r="G859" s="214"/>
      <c r="H859" s="214"/>
      <c r="I859" s="214"/>
      <c r="J859" s="214"/>
      <c r="K859" s="214"/>
    </row>
    <row r="860" spans="4:11" ht="12.75" x14ac:dyDescent="0.2">
      <c r="D860" s="214"/>
      <c r="E860" s="214"/>
      <c r="F860" s="214"/>
      <c r="G860" s="214"/>
      <c r="H860" s="214"/>
      <c r="I860" s="214"/>
      <c r="J860" s="214"/>
      <c r="K860" s="214"/>
    </row>
    <row r="861" spans="4:11" ht="12.75" x14ac:dyDescent="0.2">
      <c r="D861" s="214"/>
      <c r="E861" s="214"/>
      <c r="F861" s="214"/>
      <c r="G861" s="214"/>
      <c r="H861" s="214"/>
      <c r="I861" s="214"/>
      <c r="J861" s="214"/>
      <c r="K861" s="214"/>
    </row>
    <row r="862" spans="4:11" ht="12.75" x14ac:dyDescent="0.2">
      <c r="D862" s="214"/>
      <c r="E862" s="214"/>
      <c r="F862" s="214"/>
      <c r="G862" s="214"/>
      <c r="H862" s="214"/>
      <c r="I862" s="214"/>
      <c r="J862" s="214"/>
      <c r="K862" s="214"/>
    </row>
    <row r="863" spans="4:11" ht="12.75" x14ac:dyDescent="0.2">
      <c r="D863" s="214"/>
      <c r="E863" s="214"/>
      <c r="F863" s="214"/>
      <c r="G863" s="214"/>
      <c r="H863" s="214"/>
      <c r="I863" s="214"/>
      <c r="J863" s="214"/>
      <c r="K863" s="214"/>
    </row>
    <row r="864" spans="4:11" ht="12.75" x14ac:dyDescent="0.2">
      <c r="D864" s="214"/>
      <c r="E864" s="214"/>
      <c r="F864" s="214"/>
      <c r="G864" s="214"/>
      <c r="H864" s="214"/>
      <c r="I864" s="214"/>
      <c r="J864" s="214"/>
      <c r="K864" s="214"/>
    </row>
    <row r="865" spans="4:11" ht="12.75" x14ac:dyDescent="0.2">
      <c r="D865" s="214"/>
      <c r="E865" s="214"/>
      <c r="F865" s="214"/>
      <c r="G865" s="214"/>
      <c r="H865" s="214"/>
      <c r="I865" s="214"/>
      <c r="J865" s="214"/>
      <c r="K865" s="214"/>
    </row>
    <row r="866" spans="4:11" ht="12.75" x14ac:dyDescent="0.2">
      <c r="D866" s="214"/>
      <c r="E866" s="214"/>
      <c r="F866" s="214"/>
      <c r="G866" s="214"/>
      <c r="H866" s="214"/>
      <c r="I866" s="214"/>
      <c r="J866" s="214"/>
      <c r="K866" s="214"/>
    </row>
    <row r="867" spans="4:11" ht="12.75" x14ac:dyDescent="0.2">
      <c r="D867" s="214"/>
      <c r="E867" s="214"/>
      <c r="F867" s="214"/>
      <c r="G867" s="214"/>
      <c r="H867" s="214"/>
      <c r="I867" s="214"/>
      <c r="J867" s="214"/>
      <c r="K867" s="214"/>
    </row>
    <row r="868" spans="4:11" ht="12.75" x14ac:dyDescent="0.2">
      <c r="D868" s="214"/>
      <c r="E868" s="214"/>
      <c r="F868" s="214"/>
      <c r="G868" s="214"/>
      <c r="H868" s="214"/>
      <c r="I868" s="214"/>
      <c r="J868" s="214"/>
      <c r="K868" s="214"/>
    </row>
    <row r="869" spans="4:11" ht="12.75" x14ac:dyDescent="0.2">
      <c r="D869" s="214"/>
      <c r="E869" s="214"/>
      <c r="F869" s="214"/>
      <c r="G869" s="214"/>
      <c r="H869" s="214"/>
      <c r="I869" s="214"/>
      <c r="J869" s="214"/>
      <c r="K869" s="214"/>
    </row>
    <row r="870" spans="4:11" ht="12.75" x14ac:dyDescent="0.2">
      <c r="D870" s="214"/>
      <c r="E870" s="214"/>
      <c r="F870" s="214"/>
      <c r="G870" s="214"/>
      <c r="H870" s="214"/>
      <c r="I870" s="214"/>
      <c r="J870" s="214"/>
      <c r="K870" s="214"/>
    </row>
    <row r="871" spans="4:11" ht="12.75" x14ac:dyDescent="0.2">
      <c r="D871" s="214"/>
      <c r="E871" s="214"/>
      <c r="F871" s="214"/>
      <c r="G871" s="214"/>
      <c r="H871" s="214"/>
      <c r="I871" s="214"/>
      <c r="J871" s="214"/>
      <c r="K871" s="214"/>
    </row>
    <row r="872" spans="4:11" ht="12.75" x14ac:dyDescent="0.2">
      <c r="D872" s="214"/>
      <c r="E872" s="214"/>
      <c r="F872" s="214"/>
      <c r="G872" s="214"/>
      <c r="H872" s="214"/>
      <c r="I872" s="214"/>
      <c r="J872" s="214"/>
      <c r="K872" s="214"/>
    </row>
    <row r="873" spans="4:11" ht="12.75" x14ac:dyDescent="0.2">
      <c r="D873" s="214"/>
      <c r="E873" s="214"/>
      <c r="F873" s="214"/>
      <c r="G873" s="214"/>
      <c r="H873" s="214"/>
      <c r="I873" s="214"/>
      <c r="J873" s="214"/>
      <c r="K873" s="214"/>
    </row>
    <row r="874" spans="4:11" ht="12.75" x14ac:dyDescent="0.2">
      <c r="D874" s="214"/>
      <c r="E874" s="214"/>
      <c r="F874" s="214"/>
      <c r="G874" s="214"/>
      <c r="H874" s="214"/>
      <c r="I874" s="214"/>
      <c r="J874" s="214"/>
      <c r="K874" s="214"/>
    </row>
    <row r="875" spans="4:11" ht="12.75" x14ac:dyDescent="0.2">
      <c r="D875" s="214"/>
      <c r="E875" s="214"/>
      <c r="F875" s="214"/>
      <c r="G875" s="214"/>
      <c r="H875" s="214"/>
      <c r="I875" s="214"/>
      <c r="J875" s="214"/>
      <c r="K875" s="214"/>
    </row>
    <row r="876" spans="4:11" ht="12.75" x14ac:dyDescent="0.2">
      <c r="D876" s="214"/>
      <c r="E876" s="214"/>
      <c r="F876" s="214"/>
      <c r="G876" s="214"/>
      <c r="H876" s="214"/>
      <c r="I876" s="214"/>
      <c r="J876" s="214"/>
      <c r="K876" s="214"/>
    </row>
    <row r="877" spans="4:11" ht="12.75" x14ac:dyDescent="0.2">
      <c r="D877" s="214"/>
      <c r="E877" s="214"/>
      <c r="F877" s="214"/>
      <c r="G877" s="214"/>
      <c r="H877" s="214"/>
      <c r="I877" s="214"/>
      <c r="J877" s="214"/>
      <c r="K877" s="214"/>
    </row>
    <row r="878" spans="4:11" ht="12.75" x14ac:dyDescent="0.2">
      <c r="D878" s="214"/>
      <c r="E878" s="214"/>
      <c r="F878" s="214"/>
      <c r="G878" s="214"/>
      <c r="H878" s="214"/>
      <c r="I878" s="214"/>
      <c r="J878" s="214"/>
      <c r="K878" s="214"/>
    </row>
    <row r="879" spans="4:11" ht="12.75" x14ac:dyDescent="0.2">
      <c r="D879" s="214"/>
      <c r="E879" s="214"/>
      <c r="F879" s="214"/>
      <c r="G879" s="214"/>
      <c r="H879" s="214"/>
      <c r="I879" s="214"/>
      <c r="J879" s="214"/>
      <c r="K879" s="214"/>
    </row>
    <row r="880" spans="4:11" ht="12.75" x14ac:dyDescent="0.2">
      <c r="D880" s="214"/>
      <c r="E880" s="214"/>
      <c r="F880" s="214"/>
      <c r="G880" s="214"/>
      <c r="H880" s="214"/>
      <c r="I880" s="214"/>
      <c r="J880" s="214"/>
      <c r="K880" s="214"/>
    </row>
    <row r="881" spans="4:11" ht="12.75" x14ac:dyDescent="0.2">
      <c r="D881" s="214"/>
      <c r="E881" s="214"/>
      <c r="F881" s="214"/>
      <c r="G881" s="214"/>
      <c r="H881" s="214"/>
      <c r="I881" s="214"/>
      <c r="J881" s="214"/>
      <c r="K881" s="214"/>
    </row>
    <row r="882" spans="4:11" ht="12.75" x14ac:dyDescent="0.2">
      <c r="D882" s="214"/>
      <c r="E882" s="214"/>
      <c r="F882" s="214"/>
      <c r="G882" s="214"/>
      <c r="H882" s="214"/>
      <c r="I882" s="214"/>
      <c r="J882" s="214"/>
      <c r="K882" s="214"/>
    </row>
    <row r="883" spans="4:11" ht="12.75" x14ac:dyDescent="0.2">
      <c r="D883" s="214"/>
      <c r="E883" s="214"/>
      <c r="F883" s="214"/>
      <c r="G883" s="214"/>
      <c r="H883" s="214"/>
      <c r="I883" s="214"/>
      <c r="J883" s="214"/>
      <c r="K883" s="214"/>
    </row>
    <row r="884" spans="4:11" ht="12.75" x14ac:dyDescent="0.2">
      <c r="D884" s="214"/>
      <c r="E884" s="214"/>
      <c r="F884" s="214"/>
      <c r="G884" s="214"/>
      <c r="H884" s="214"/>
      <c r="I884" s="214"/>
      <c r="J884" s="214"/>
      <c r="K884" s="214"/>
    </row>
    <row r="885" spans="4:11" ht="12.75" x14ac:dyDescent="0.2">
      <c r="D885" s="214"/>
      <c r="E885" s="214"/>
      <c r="F885" s="214"/>
      <c r="G885" s="214"/>
      <c r="H885" s="214"/>
      <c r="I885" s="214"/>
      <c r="J885" s="214"/>
      <c r="K885" s="214"/>
    </row>
    <row r="886" spans="4:11" ht="12.75" x14ac:dyDescent="0.2">
      <c r="D886" s="214"/>
      <c r="E886" s="214"/>
      <c r="F886" s="214"/>
      <c r="G886" s="214"/>
      <c r="H886" s="214"/>
      <c r="I886" s="214"/>
      <c r="J886" s="214"/>
      <c r="K886" s="214"/>
    </row>
    <row r="887" spans="4:11" ht="12.75" x14ac:dyDescent="0.2">
      <c r="D887" s="214"/>
      <c r="E887" s="214"/>
      <c r="F887" s="214"/>
      <c r="G887" s="214"/>
      <c r="H887" s="214"/>
      <c r="I887" s="214"/>
      <c r="J887" s="214"/>
      <c r="K887" s="214"/>
    </row>
    <row r="888" spans="4:11" ht="12.75" x14ac:dyDescent="0.2">
      <c r="D888" s="214"/>
      <c r="E888" s="214"/>
      <c r="F888" s="214"/>
      <c r="G888" s="214"/>
      <c r="H888" s="214"/>
      <c r="I888" s="214"/>
      <c r="J888" s="214"/>
      <c r="K888" s="214"/>
    </row>
    <row r="889" spans="4:11" ht="12.75" x14ac:dyDescent="0.2">
      <c r="D889" s="214"/>
      <c r="E889" s="214"/>
      <c r="F889" s="214"/>
      <c r="G889" s="214"/>
      <c r="H889" s="214"/>
      <c r="I889" s="214"/>
      <c r="J889" s="214"/>
      <c r="K889" s="214"/>
    </row>
    <row r="890" spans="4:11" ht="12.75" x14ac:dyDescent="0.2">
      <c r="D890" s="214"/>
      <c r="E890" s="214"/>
      <c r="F890" s="214"/>
      <c r="G890" s="214"/>
      <c r="H890" s="214"/>
      <c r="I890" s="214"/>
      <c r="J890" s="214"/>
      <c r="K890" s="214"/>
    </row>
    <row r="891" spans="4:11" ht="12.75" x14ac:dyDescent="0.2">
      <c r="D891" s="214"/>
      <c r="E891" s="214"/>
      <c r="F891" s="214"/>
      <c r="G891" s="214"/>
      <c r="H891" s="214"/>
      <c r="I891" s="214"/>
      <c r="J891" s="214"/>
      <c r="K891" s="214"/>
    </row>
    <row r="892" spans="4:11" ht="12.75" x14ac:dyDescent="0.2">
      <c r="D892" s="214"/>
      <c r="E892" s="214"/>
      <c r="F892" s="214"/>
      <c r="G892" s="214"/>
      <c r="H892" s="214"/>
      <c r="I892" s="214"/>
      <c r="J892" s="214"/>
      <c r="K892" s="214"/>
    </row>
    <row r="893" spans="4:11" ht="12.75" x14ac:dyDescent="0.2">
      <c r="D893" s="214"/>
      <c r="E893" s="214"/>
      <c r="F893" s="214"/>
      <c r="G893" s="214"/>
      <c r="H893" s="214"/>
      <c r="I893" s="214"/>
      <c r="J893" s="214"/>
      <c r="K893" s="214"/>
    </row>
    <row r="894" spans="4:11" ht="12.75" x14ac:dyDescent="0.2">
      <c r="D894" s="214"/>
      <c r="E894" s="214"/>
      <c r="F894" s="214"/>
      <c r="G894" s="214"/>
      <c r="H894" s="214"/>
      <c r="I894" s="214"/>
      <c r="J894" s="214"/>
      <c r="K894" s="214"/>
    </row>
    <row r="895" spans="4:11" ht="12.75" x14ac:dyDescent="0.2">
      <c r="D895" s="214"/>
      <c r="E895" s="214"/>
      <c r="F895" s="214"/>
      <c r="G895" s="214"/>
      <c r="H895" s="214"/>
      <c r="I895" s="214"/>
      <c r="J895" s="214"/>
      <c r="K895" s="214"/>
    </row>
    <row r="896" spans="4:11" ht="12.75" x14ac:dyDescent="0.2">
      <c r="D896" s="214"/>
      <c r="E896" s="214"/>
      <c r="F896" s="214"/>
      <c r="G896" s="214"/>
      <c r="H896" s="214"/>
      <c r="I896" s="214"/>
      <c r="J896" s="214"/>
      <c r="K896" s="214"/>
    </row>
    <row r="897" spans="4:11" ht="12.75" x14ac:dyDescent="0.2">
      <c r="D897" s="214"/>
      <c r="E897" s="214"/>
      <c r="F897" s="214"/>
      <c r="G897" s="214"/>
      <c r="H897" s="214"/>
      <c r="I897" s="214"/>
      <c r="J897" s="214"/>
      <c r="K897" s="214"/>
    </row>
    <row r="898" spans="4:11" ht="12.75" x14ac:dyDescent="0.2">
      <c r="D898" s="214"/>
      <c r="E898" s="214"/>
      <c r="F898" s="214"/>
      <c r="G898" s="214"/>
      <c r="H898" s="214"/>
      <c r="I898" s="214"/>
      <c r="J898" s="214"/>
      <c r="K898" s="214"/>
    </row>
    <row r="899" spans="4:11" ht="12.75" x14ac:dyDescent="0.2">
      <c r="D899" s="214"/>
      <c r="E899" s="214"/>
      <c r="F899" s="214"/>
      <c r="G899" s="214"/>
      <c r="H899" s="214"/>
      <c r="I899" s="214"/>
      <c r="J899" s="214"/>
      <c r="K899" s="214"/>
    </row>
    <row r="900" spans="4:11" ht="12.75" x14ac:dyDescent="0.2">
      <c r="D900" s="214"/>
      <c r="E900" s="214"/>
      <c r="F900" s="214"/>
      <c r="G900" s="214"/>
      <c r="H900" s="214"/>
      <c r="I900" s="214"/>
      <c r="J900" s="214"/>
      <c r="K900" s="214"/>
    </row>
    <row r="901" spans="4:11" ht="12.75" x14ac:dyDescent="0.2">
      <c r="D901" s="214"/>
      <c r="E901" s="214"/>
      <c r="F901" s="214"/>
      <c r="G901" s="214"/>
      <c r="H901" s="214"/>
      <c r="I901" s="214"/>
      <c r="J901" s="214"/>
      <c r="K901" s="214"/>
    </row>
    <row r="902" spans="4:11" ht="12.75" x14ac:dyDescent="0.2">
      <c r="D902" s="214"/>
      <c r="E902" s="214"/>
      <c r="F902" s="214"/>
      <c r="G902" s="214"/>
      <c r="H902" s="214"/>
      <c r="I902" s="214"/>
      <c r="J902" s="214"/>
      <c r="K902" s="214"/>
    </row>
    <row r="903" spans="4:11" ht="12.75" x14ac:dyDescent="0.2">
      <c r="D903" s="214"/>
      <c r="E903" s="214"/>
      <c r="F903" s="214"/>
      <c r="G903" s="214"/>
      <c r="H903" s="214"/>
      <c r="I903" s="214"/>
      <c r="J903" s="214"/>
      <c r="K903" s="214"/>
    </row>
    <row r="904" spans="4:11" ht="12.75" x14ac:dyDescent="0.2">
      <c r="D904" s="214"/>
      <c r="E904" s="214"/>
      <c r="F904" s="214"/>
      <c r="G904" s="214"/>
      <c r="H904" s="214"/>
      <c r="I904" s="214"/>
      <c r="J904" s="214"/>
      <c r="K904" s="214"/>
    </row>
    <row r="905" spans="4:11" ht="12.75" x14ac:dyDescent="0.2">
      <c r="D905" s="214"/>
      <c r="E905" s="214"/>
      <c r="F905" s="214"/>
      <c r="G905" s="214"/>
      <c r="H905" s="214"/>
      <c r="I905" s="214"/>
      <c r="J905" s="214"/>
      <c r="K905" s="214"/>
    </row>
    <row r="906" spans="4:11" ht="12.75" x14ac:dyDescent="0.2">
      <c r="D906" s="214"/>
      <c r="E906" s="214"/>
      <c r="F906" s="214"/>
      <c r="G906" s="214"/>
      <c r="H906" s="214"/>
      <c r="I906" s="214"/>
      <c r="J906" s="214"/>
      <c r="K906" s="214"/>
    </row>
    <row r="907" spans="4:11" ht="12.75" x14ac:dyDescent="0.2">
      <c r="D907" s="214"/>
      <c r="E907" s="214"/>
      <c r="F907" s="214"/>
      <c r="G907" s="214"/>
      <c r="H907" s="214"/>
      <c r="I907" s="214"/>
      <c r="J907" s="214"/>
      <c r="K907" s="214"/>
    </row>
    <row r="908" spans="4:11" ht="12.75" x14ac:dyDescent="0.2">
      <c r="D908" s="214"/>
      <c r="E908" s="214"/>
      <c r="F908" s="214"/>
      <c r="G908" s="214"/>
      <c r="H908" s="214"/>
      <c r="I908" s="214"/>
      <c r="J908" s="214"/>
      <c r="K908" s="214"/>
    </row>
    <row r="909" spans="4:11" ht="12.75" x14ac:dyDescent="0.2">
      <c r="D909" s="214"/>
      <c r="E909" s="214"/>
      <c r="F909" s="214"/>
      <c r="G909" s="214"/>
      <c r="H909" s="214"/>
      <c r="I909" s="214"/>
      <c r="J909" s="214"/>
      <c r="K909" s="214"/>
    </row>
    <row r="910" spans="4:11" ht="12.75" x14ac:dyDescent="0.2">
      <c r="D910" s="214"/>
      <c r="E910" s="214"/>
      <c r="F910" s="214"/>
      <c r="G910" s="214"/>
      <c r="H910" s="214"/>
      <c r="I910" s="214"/>
      <c r="J910" s="214"/>
      <c r="K910" s="214"/>
    </row>
    <row r="911" spans="4:11" ht="12.75" x14ac:dyDescent="0.2">
      <c r="D911" s="214"/>
      <c r="E911" s="214"/>
      <c r="F911" s="214"/>
      <c r="G911" s="214"/>
      <c r="H911" s="214"/>
      <c r="I911" s="214"/>
      <c r="J911" s="214"/>
      <c r="K911" s="214"/>
    </row>
    <row r="912" spans="4:11" ht="12.75" x14ac:dyDescent="0.2">
      <c r="D912" s="214"/>
      <c r="E912" s="214"/>
      <c r="F912" s="214"/>
      <c r="G912" s="214"/>
      <c r="H912" s="214"/>
      <c r="I912" s="214"/>
      <c r="J912" s="214"/>
      <c r="K912" s="214"/>
    </row>
    <row r="913" spans="4:11" ht="12.75" x14ac:dyDescent="0.2">
      <c r="D913" s="214"/>
      <c r="E913" s="214"/>
      <c r="F913" s="214"/>
      <c r="G913" s="214"/>
      <c r="H913" s="214"/>
      <c r="I913" s="214"/>
      <c r="J913" s="214"/>
      <c r="K913" s="214"/>
    </row>
    <row r="914" spans="4:11" ht="12.75" x14ac:dyDescent="0.2">
      <c r="D914" s="214"/>
      <c r="E914" s="214"/>
      <c r="F914" s="214"/>
      <c r="G914" s="214"/>
      <c r="H914" s="214"/>
      <c r="I914" s="214"/>
      <c r="J914" s="214"/>
      <c r="K914" s="214"/>
    </row>
    <row r="915" spans="4:11" ht="12.75" x14ac:dyDescent="0.2">
      <c r="D915" s="214"/>
      <c r="E915" s="214"/>
      <c r="F915" s="214"/>
      <c r="G915" s="214"/>
      <c r="H915" s="214"/>
      <c r="I915" s="214"/>
      <c r="J915" s="214"/>
      <c r="K915" s="214"/>
    </row>
    <row r="916" spans="4:11" ht="12.75" x14ac:dyDescent="0.2">
      <c r="D916" s="214"/>
      <c r="E916" s="214"/>
      <c r="F916" s="214"/>
      <c r="G916" s="214"/>
      <c r="H916" s="214"/>
      <c r="I916" s="214"/>
      <c r="J916" s="214"/>
      <c r="K916" s="214"/>
    </row>
    <row r="917" spans="4:11" ht="12.75" x14ac:dyDescent="0.2">
      <c r="D917" s="214"/>
      <c r="E917" s="214"/>
      <c r="F917" s="214"/>
      <c r="G917" s="214"/>
      <c r="H917" s="214"/>
      <c r="I917" s="214"/>
      <c r="J917" s="214"/>
      <c r="K917" s="214"/>
    </row>
    <row r="918" spans="4:11" ht="12.75" x14ac:dyDescent="0.2">
      <c r="D918" s="214"/>
      <c r="E918" s="214"/>
      <c r="F918" s="214"/>
      <c r="G918" s="214"/>
      <c r="H918" s="214"/>
      <c r="I918" s="214"/>
      <c r="J918" s="214"/>
      <c r="K918" s="214"/>
    </row>
    <row r="919" spans="4:11" ht="12.75" x14ac:dyDescent="0.2">
      <c r="D919" s="214"/>
      <c r="E919" s="214"/>
      <c r="F919" s="214"/>
      <c r="G919" s="214"/>
      <c r="H919" s="214"/>
      <c r="I919" s="214"/>
      <c r="J919" s="214"/>
      <c r="K919" s="214"/>
    </row>
    <row r="920" spans="4:11" ht="12.75" x14ac:dyDescent="0.2">
      <c r="D920" s="214"/>
      <c r="E920" s="214"/>
      <c r="F920" s="214"/>
      <c r="G920" s="214"/>
      <c r="H920" s="214"/>
      <c r="I920" s="214"/>
      <c r="J920" s="214"/>
      <c r="K920" s="214"/>
    </row>
    <row r="921" spans="4:11" ht="12.75" x14ac:dyDescent="0.2">
      <c r="D921" s="214"/>
      <c r="E921" s="214"/>
      <c r="F921" s="214"/>
      <c r="G921" s="214"/>
      <c r="H921" s="214"/>
      <c r="I921" s="214"/>
      <c r="J921" s="214"/>
      <c r="K921" s="214"/>
    </row>
    <row r="922" spans="4:11" ht="12.75" x14ac:dyDescent="0.2">
      <c r="D922" s="214"/>
      <c r="E922" s="214"/>
      <c r="F922" s="214"/>
      <c r="G922" s="214"/>
      <c r="H922" s="214"/>
      <c r="I922" s="214"/>
      <c r="J922" s="214"/>
      <c r="K922" s="214"/>
    </row>
    <row r="923" spans="4:11" ht="12.75" x14ac:dyDescent="0.2">
      <c r="D923" s="214"/>
      <c r="E923" s="214"/>
      <c r="F923" s="214"/>
      <c r="G923" s="214"/>
      <c r="H923" s="214"/>
      <c r="I923" s="214"/>
      <c r="J923" s="214"/>
      <c r="K923" s="214"/>
    </row>
    <row r="924" spans="4:11" ht="12.75" x14ac:dyDescent="0.2">
      <c r="D924" s="214"/>
      <c r="E924" s="214"/>
      <c r="F924" s="214"/>
      <c r="G924" s="214"/>
      <c r="H924" s="214"/>
      <c r="I924" s="214"/>
      <c r="J924" s="214"/>
      <c r="K924" s="214"/>
    </row>
    <row r="925" spans="4:11" ht="12.75" x14ac:dyDescent="0.2">
      <c r="D925" s="214"/>
      <c r="E925" s="214"/>
      <c r="F925" s="214"/>
      <c r="G925" s="214"/>
      <c r="H925" s="214"/>
      <c r="I925" s="214"/>
      <c r="J925" s="214"/>
      <c r="K925" s="214"/>
    </row>
    <row r="926" spans="4:11" ht="12.75" x14ac:dyDescent="0.2">
      <c r="D926" s="214"/>
      <c r="E926" s="214"/>
      <c r="F926" s="214"/>
      <c r="G926" s="214"/>
      <c r="H926" s="214"/>
      <c r="I926" s="214"/>
      <c r="J926" s="214"/>
      <c r="K926" s="214"/>
    </row>
    <row r="927" spans="4:11" ht="12.75" x14ac:dyDescent="0.2">
      <c r="D927" s="214"/>
      <c r="E927" s="214"/>
      <c r="F927" s="214"/>
      <c r="G927" s="214"/>
      <c r="H927" s="214"/>
      <c r="I927" s="214"/>
      <c r="J927" s="214"/>
      <c r="K927" s="214"/>
    </row>
    <row r="928" spans="4:11" ht="12.75" x14ac:dyDescent="0.2">
      <c r="D928" s="214"/>
      <c r="E928" s="214"/>
      <c r="F928" s="214"/>
      <c r="G928" s="214"/>
      <c r="H928" s="214"/>
      <c r="I928" s="214"/>
      <c r="J928" s="214"/>
      <c r="K928" s="214"/>
    </row>
    <row r="929" spans="4:11" ht="12.75" x14ac:dyDescent="0.2">
      <c r="D929" s="214"/>
      <c r="E929" s="214"/>
      <c r="F929" s="214"/>
      <c r="G929" s="214"/>
      <c r="H929" s="214"/>
      <c r="I929" s="214"/>
      <c r="J929" s="214"/>
      <c r="K929" s="214"/>
    </row>
    <row r="930" spans="4:11" ht="12.75" x14ac:dyDescent="0.2">
      <c r="D930" s="214"/>
      <c r="E930" s="214"/>
      <c r="F930" s="214"/>
      <c r="G930" s="214"/>
      <c r="H930" s="214"/>
      <c r="I930" s="214"/>
      <c r="J930" s="214"/>
      <c r="K930" s="214"/>
    </row>
    <row r="931" spans="4:11" ht="12.75" x14ac:dyDescent="0.2">
      <c r="D931" s="214"/>
      <c r="E931" s="214"/>
      <c r="F931" s="214"/>
      <c r="G931" s="214"/>
      <c r="H931" s="214"/>
      <c r="I931" s="214"/>
      <c r="J931" s="214"/>
      <c r="K931" s="214"/>
    </row>
    <row r="932" spans="4:11" ht="12.75" x14ac:dyDescent="0.2">
      <c r="D932" s="214"/>
      <c r="E932" s="214"/>
      <c r="F932" s="214"/>
      <c r="G932" s="214"/>
      <c r="H932" s="214"/>
      <c r="I932" s="214"/>
      <c r="J932" s="214"/>
      <c r="K932" s="214"/>
    </row>
    <row r="933" spans="4:11" ht="12.75" x14ac:dyDescent="0.2">
      <c r="D933" s="214"/>
      <c r="E933" s="214"/>
      <c r="F933" s="214"/>
      <c r="G933" s="214"/>
      <c r="H933" s="214"/>
      <c r="I933" s="214"/>
      <c r="J933" s="214"/>
      <c r="K933" s="214"/>
    </row>
    <row r="934" spans="4:11" ht="12.75" x14ac:dyDescent="0.2">
      <c r="D934" s="214"/>
      <c r="E934" s="214"/>
      <c r="F934" s="214"/>
      <c r="G934" s="214"/>
      <c r="H934" s="214"/>
      <c r="I934" s="214"/>
      <c r="J934" s="214"/>
      <c r="K934" s="214"/>
    </row>
    <row r="935" spans="4:11" ht="12.75" x14ac:dyDescent="0.2">
      <c r="D935" s="214"/>
      <c r="E935" s="214"/>
      <c r="F935" s="214"/>
      <c r="G935" s="214"/>
      <c r="H935" s="214"/>
      <c r="I935" s="214"/>
      <c r="J935" s="214"/>
      <c r="K935" s="214"/>
    </row>
    <row r="936" spans="4:11" ht="12.75" x14ac:dyDescent="0.2">
      <c r="D936" s="214"/>
      <c r="E936" s="214"/>
      <c r="F936" s="214"/>
      <c r="G936" s="214"/>
      <c r="H936" s="214"/>
      <c r="I936" s="214"/>
      <c r="J936" s="214"/>
      <c r="K936" s="214"/>
    </row>
    <row r="937" spans="4:11" ht="12.75" x14ac:dyDescent="0.2">
      <c r="D937" s="214"/>
      <c r="E937" s="214"/>
      <c r="F937" s="214"/>
      <c r="G937" s="214"/>
      <c r="H937" s="214"/>
      <c r="I937" s="214"/>
      <c r="J937" s="214"/>
      <c r="K937" s="214"/>
    </row>
    <row r="938" spans="4:11" ht="12.75" x14ac:dyDescent="0.2">
      <c r="D938" s="214"/>
      <c r="E938" s="214"/>
      <c r="F938" s="214"/>
      <c r="G938" s="214"/>
      <c r="H938" s="214"/>
      <c r="I938" s="214"/>
      <c r="J938" s="214"/>
      <c r="K938" s="214"/>
    </row>
    <row r="939" spans="4:11" ht="12.75" x14ac:dyDescent="0.2">
      <c r="D939" s="214"/>
      <c r="E939" s="214"/>
      <c r="F939" s="214"/>
      <c r="G939" s="214"/>
      <c r="H939" s="214"/>
      <c r="I939" s="214"/>
      <c r="J939" s="214"/>
      <c r="K939" s="214"/>
    </row>
    <row r="940" spans="4:11" ht="12.75" x14ac:dyDescent="0.2">
      <c r="D940" s="214"/>
      <c r="E940" s="214"/>
      <c r="F940" s="214"/>
      <c r="G940" s="214"/>
      <c r="H940" s="214"/>
      <c r="I940" s="214"/>
      <c r="J940" s="214"/>
      <c r="K940" s="214"/>
    </row>
    <row r="941" spans="4:11" ht="12.75" x14ac:dyDescent="0.2">
      <c r="D941" s="214"/>
      <c r="E941" s="214"/>
      <c r="F941" s="214"/>
      <c r="G941" s="214"/>
      <c r="H941" s="214"/>
      <c r="I941" s="214"/>
      <c r="J941" s="214"/>
      <c r="K941" s="214"/>
    </row>
    <row r="942" spans="4:11" ht="12.75" x14ac:dyDescent="0.2">
      <c r="D942" s="214"/>
      <c r="E942" s="214"/>
      <c r="F942" s="214"/>
      <c r="G942" s="214"/>
      <c r="H942" s="214"/>
      <c r="I942" s="214"/>
      <c r="J942" s="214"/>
      <c r="K942" s="214"/>
    </row>
    <row r="943" spans="4:11" ht="12.75" x14ac:dyDescent="0.2">
      <c r="D943" s="214"/>
      <c r="E943" s="214"/>
      <c r="F943" s="214"/>
      <c r="G943" s="214"/>
      <c r="H943" s="214"/>
      <c r="I943" s="214"/>
      <c r="J943" s="214"/>
      <c r="K943" s="214"/>
    </row>
    <row r="944" spans="4:11" ht="12.75" x14ac:dyDescent="0.2">
      <c r="D944" s="214"/>
      <c r="E944" s="214"/>
      <c r="F944" s="214"/>
      <c r="G944" s="214"/>
      <c r="H944" s="214"/>
      <c r="I944" s="214"/>
      <c r="J944" s="214"/>
      <c r="K944" s="214"/>
    </row>
    <row r="945" spans="4:11" ht="12.75" x14ac:dyDescent="0.2">
      <c r="D945" s="214"/>
      <c r="E945" s="214"/>
      <c r="F945" s="214"/>
      <c r="G945" s="214"/>
      <c r="H945" s="214"/>
      <c r="I945" s="214"/>
      <c r="J945" s="214"/>
      <c r="K945" s="214"/>
    </row>
    <row r="946" spans="4:11" ht="12.75" x14ac:dyDescent="0.2">
      <c r="D946" s="214"/>
      <c r="E946" s="214"/>
      <c r="F946" s="214"/>
      <c r="G946" s="214"/>
      <c r="H946" s="214"/>
      <c r="I946" s="214"/>
      <c r="J946" s="214"/>
      <c r="K946" s="214"/>
    </row>
    <row r="947" spans="4:11" ht="12.75" x14ac:dyDescent="0.2">
      <c r="D947" s="214"/>
      <c r="E947" s="214"/>
      <c r="F947" s="214"/>
      <c r="G947" s="214"/>
      <c r="H947" s="214"/>
      <c r="I947" s="214"/>
      <c r="J947" s="214"/>
      <c r="K947" s="214"/>
    </row>
    <row r="948" spans="4:11" ht="12.75" x14ac:dyDescent="0.2">
      <c r="D948" s="214"/>
      <c r="E948" s="214"/>
      <c r="F948" s="214"/>
      <c r="G948" s="214"/>
      <c r="H948" s="214"/>
      <c r="I948" s="214"/>
      <c r="J948" s="214"/>
      <c r="K948" s="214"/>
    </row>
    <row r="949" spans="4:11" ht="12.75" x14ac:dyDescent="0.2">
      <c r="D949" s="214"/>
      <c r="E949" s="214"/>
      <c r="F949" s="214"/>
      <c r="G949" s="214"/>
      <c r="H949" s="214"/>
      <c r="I949" s="214"/>
      <c r="J949" s="214"/>
      <c r="K949" s="214"/>
    </row>
    <row r="950" spans="4:11" ht="12.75" x14ac:dyDescent="0.2">
      <c r="D950" s="214"/>
      <c r="E950" s="214"/>
      <c r="F950" s="214"/>
      <c r="G950" s="214"/>
      <c r="H950" s="214"/>
      <c r="I950" s="214"/>
      <c r="J950" s="214"/>
      <c r="K950" s="214"/>
    </row>
    <row r="951" spans="4:11" ht="12.75" x14ac:dyDescent="0.2">
      <c r="D951" s="214"/>
      <c r="E951" s="214"/>
      <c r="F951" s="214"/>
      <c r="G951" s="214"/>
      <c r="H951" s="214"/>
      <c r="I951" s="214"/>
      <c r="J951" s="214"/>
      <c r="K951" s="214"/>
    </row>
    <row r="952" spans="4:11" ht="12.75" x14ac:dyDescent="0.2">
      <c r="D952" s="214"/>
      <c r="E952" s="214"/>
      <c r="F952" s="214"/>
      <c r="G952" s="214"/>
      <c r="H952" s="214"/>
      <c r="I952" s="214"/>
      <c r="J952" s="214"/>
      <c r="K952" s="214"/>
    </row>
    <row r="953" spans="4:11" ht="12.75" x14ac:dyDescent="0.2">
      <c r="D953" s="214"/>
      <c r="E953" s="214"/>
      <c r="F953" s="214"/>
      <c r="G953" s="214"/>
      <c r="H953" s="214"/>
      <c r="I953" s="214"/>
      <c r="J953" s="214"/>
      <c r="K953" s="214"/>
    </row>
    <row r="954" spans="4:11" ht="12.75" x14ac:dyDescent="0.2">
      <c r="D954" s="214"/>
      <c r="E954" s="214"/>
      <c r="F954" s="214"/>
      <c r="G954" s="214"/>
      <c r="H954" s="214"/>
      <c r="I954" s="214"/>
      <c r="J954" s="214"/>
      <c r="K954" s="214"/>
    </row>
    <row r="955" spans="4:11" ht="12.75" x14ac:dyDescent="0.2">
      <c r="D955" s="214"/>
      <c r="E955" s="214"/>
      <c r="F955" s="214"/>
      <c r="G955" s="214"/>
      <c r="H955" s="214"/>
      <c r="I955" s="214"/>
      <c r="J955" s="214"/>
      <c r="K955" s="214"/>
    </row>
    <row r="956" spans="4:11" ht="12.75" x14ac:dyDescent="0.2">
      <c r="D956" s="214"/>
      <c r="E956" s="214"/>
      <c r="F956" s="214"/>
      <c r="G956" s="214"/>
      <c r="H956" s="214"/>
      <c r="I956" s="214"/>
      <c r="J956" s="214"/>
      <c r="K956" s="214"/>
    </row>
    <row r="957" spans="4:11" ht="12.75" x14ac:dyDescent="0.2">
      <c r="D957" s="214"/>
      <c r="E957" s="214"/>
      <c r="F957" s="214"/>
      <c r="G957" s="214"/>
      <c r="H957" s="214"/>
      <c r="I957" s="214"/>
      <c r="J957" s="214"/>
      <c r="K957" s="214"/>
    </row>
    <row r="958" spans="4:11" ht="12.75" x14ac:dyDescent="0.2">
      <c r="D958" s="214"/>
      <c r="E958" s="214"/>
      <c r="F958" s="214"/>
      <c r="G958" s="214"/>
      <c r="H958" s="214"/>
      <c r="I958" s="214"/>
      <c r="J958" s="214"/>
      <c r="K958" s="214"/>
    </row>
    <row r="959" spans="4:11" ht="12.75" x14ac:dyDescent="0.2">
      <c r="D959" s="214"/>
      <c r="E959" s="214"/>
      <c r="F959" s="214"/>
      <c r="G959" s="214"/>
      <c r="H959" s="214"/>
      <c r="I959" s="214"/>
      <c r="J959" s="214"/>
      <c r="K959" s="214"/>
    </row>
    <row r="960" spans="4:11" ht="12.75" x14ac:dyDescent="0.2">
      <c r="D960" s="214"/>
      <c r="E960" s="214"/>
      <c r="F960" s="214"/>
      <c r="G960" s="214"/>
      <c r="H960" s="214"/>
      <c r="I960" s="214"/>
      <c r="J960" s="214"/>
      <c r="K960" s="214"/>
    </row>
    <row r="961" spans="4:11" ht="12.75" x14ac:dyDescent="0.2">
      <c r="D961" s="214"/>
      <c r="E961" s="214"/>
      <c r="F961" s="214"/>
      <c r="G961" s="214"/>
      <c r="H961" s="214"/>
      <c r="I961" s="214"/>
      <c r="J961" s="214"/>
      <c r="K961" s="214"/>
    </row>
    <row r="962" spans="4:11" ht="12.75" x14ac:dyDescent="0.2">
      <c r="D962" s="214"/>
      <c r="E962" s="214"/>
      <c r="F962" s="214"/>
      <c r="G962" s="214"/>
      <c r="H962" s="214"/>
      <c r="I962" s="214"/>
      <c r="J962" s="214"/>
      <c r="K962" s="214"/>
    </row>
    <row r="963" spans="4:11" ht="12.75" x14ac:dyDescent="0.2">
      <c r="D963" s="214"/>
      <c r="E963" s="214"/>
      <c r="F963" s="214"/>
      <c r="G963" s="214"/>
      <c r="H963" s="214"/>
      <c r="I963" s="214"/>
      <c r="J963" s="214"/>
      <c r="K963" s="214"/>
    </row>
    <row r="964" spans="4:11" ht="12.75" x14ac:dyDescent="0.2">
      <c r="D964" s="214"/>
      <c r="E964" s="214"/>
      <c r="F964" s="214"/>
      <c r="G964" s="214"/>
      <c r="H964" s="214"/>
      <c r="I964" s="214"/>
      <c r="J964" s="214"/>
      <c r="K964" s="214"/>
    </row>
    <row r="965" spans="4:11" ht="12.75" x14ac:dyDescent="0.2">
      <c r="D965" s="214"/>
      <c r="E965" s="214"/>
      <c r="F965" s="214"/>
      <c r="G965" s="214"/>
      <c r="H965" s="214"/>
      <c r="I965" s="214"/>
      <c r="J965" s="214"/>
      <c r="K965" s="214"/>
    </row>
    <row r="966" spans="4:11" ht="12.75" x14ac:dyDescent="0.2">
      <c r="D966" s="214"/>
      <c r="E966" s="214"/>
      <c r="F966" s="214"/>
      <c r="G966" s="214"/>
      <c r="H966" s="214"/>
      <c r="I966" s="214"/>
      <c r="J966" s="214"/>
      <c r="K966" s="214"/>
    </row>
    <row r="967" spans="4:11" ht="12.75" x14ac:dyDescent="0.2">
      <c r="D967" s="214"/>
      <c r="E967" s="214"/>
      <c r="F967" s="214"/>
      <c r="G967" s="214"/>
      <c r="H967" s="214"/>
      <c r="I967" s="214"/>
      <c r="J967" s="214"/>
      <c r="K967" s="214"/>
    </row>
    <row r="968" spans="4:11" ht="12.75" x14ac:dyDescent="0.2">
      <c r="D968" s="214"/>
      <c r="E968" s="214"/>
      <c r="F968" s="214"/>
      <c r="G968" s="214"/>
      <c r="H968" s="214"/>
      <c r="I968" s="214"/>
      <c r="J968" s="214"/>
      <c r="K968" s="214"/>
    </row>
    <row r="969" spans="4:11" ht="12.75" x14ac:dyDescent="0.2">
      <c r="D969" s="214"/>
      <c r="E969" s="214"/>
      <c r="F969" s="214"/>
      <c r="G969" s="214"/>
      <c r="H969" s="214"/>
      <c r="I969" s="214"/>
      <c r="J969" s="214"/>
      <c r="K969" s="214"/>
    </row>
    <row r="970" spans="4:11" ht="12.75" x14ac:dyDescent="0.2">
      <c r="D970" s="214"/>
      <c r="E970" s="214"/>
      <c r="F970" s="214"/>
      <c r="G970" s="214"/>
      <c r="H970" s="214"/>
      <c r="I970" s="214"/>
      <c r="J970" s="214"/>
      <c r="K970" s="214"/>
    </row>
    <row r="971" spans="4:11" ht="12.75" x14ac:dyDescent="0.2">
      <c r="D971" s="214"/>
      <c r="E971" s="214"/>
      <c r="F971" s="214"/>
      <c r="G971" s="214"/>
      <c r="H971" s="214"/>
      <c r="I971" s="214"/>
      <c r="J971" s="214"/>
      <c r="K971" s="214"/>
    </row>
    <row r="972" spans="4:11" ht="12.75" x14ac:dyDescent="0.2">
      <c r="D972" s="214"/>
      <c r="E972" s="214"/>
      <c r="F972" s="214"/>
      <c r="G972" s="214"/>
      <c r="H972" s="214"/>
      <c r="I972" s="214"/>
      <c r="J972" s="214"/>
      <c r="K972" s="214"/>
    </row>
    <row r="973" spans="4:11" ht="12.75" x14ac:dyDescent="0.2">
      <c r="D973" s="214"/>
      <c r="E973" s="214"/>
      <c r="F973" s="214"/>
      <c r="G973" s="214"/>
      <c r="H973" s="214"/>
      <c r="I973" s="214"/>
      <c r="J973" s="214"/>
      <c r="K973" s="214"/>
    </row>
    <row r="974" spans="4:11" ht="12.75" x14ac:dyDescent="0.2">
      <c r="D974" s="214"/>
      <c r="E974" s="214"/>
      <c r="F974" s="214"/>
      <c r="G974" s="214"/>
      <c r="H974" s="214"/>
      <c r="I974" s="214"/>
      <c r="J974" s="214"/>
      <c r="K974" s="214"/>
    </row>
    <row r="975" spans="4:11" ht="12.75" x14ac:dyDescent="0.2">
      <c r="D975" s="214"/>
      <c r="E975" s="214"/>
      <c r="F975" s="214"/>
      <c r="G975" s="214"/>
      <c r="H975" s="214"/>
      <c r="I975" s="214"/>
      <c r="J975" s="214"/>
      <c r="K975" s="214"/>
    </row>
    <row r="976" spans="4:11" ht="12.75" x14ac:dyDescent="0.2">
      <c r="D976" s="214"/>
      <c r="E976" s="214"/>
      <c r="F976" s="214"/>
      <c r="G976" s="214"/>
      <c r="H976" s="214"/>
      <c r="I976" s="214"/>
      <c r="J976" s="214"/>
      <c r="K976" s="214"/>
    </row>
    <row r="977" spans="4:11" ht="12.75" x14ac:dyDescent="0.2">
      <c r="D977" s="214"/>
      <c r="E977" s="214"/>
      <c r="F977" s="214"/>
      <c r="G977" s="214"/>
      <c r="H977" s="214"/>
      <c r="I977" s="214"/>
      <c r="J977" s="214"/>
      <c r="K977" s="214"/>
    </row>
    <row r="978" spans="4:11" ht="12.75" x14ac:dyDescent="0.2">
      <c r="D978" s="214"/>
      <c r="E978" s="214"/>
      <c r="F978" s="214"/>
      <c r="G978" s="214"/>
      <c r="H978" s="214"/>
      <c r="I978" s="214"/>
      <c r="J978" s="214"/>
      <c r="K978" s="214"/>
    </row>
    <row r="979" spans="4:11" ht="12.75" x14ac:dyDescent="0.2">
      <c r="D979" s="214"/>
      <c r="E979" s="214"/>
      <c r="F979" s="214"/>
      <c r="G979" s="214"/>
      <c r="H979" s="214"/>
      <c r="I979" s="214"/>
      <c r="J979" s="214"/>
      <c r="K979" s="214"/>
    </row>
    <row r="980" spans="4:11" ht="12.75" x14ac:dyDescent="0.2">
      <c r="D980" s="214"/>
      <c r="E980" s="214"/>
      <c r="F980" s="214"/>
      <c r="G980" s="214"/>
      <c r="H980" s="214"/>
      <c r="I980" s="214"/>
      <c r="J980" s="214"/>
      <c r="K980" s="214"/>
    </row>
    <row r="981" spans="4:11" ht="12.75" x14ac:dyDescent="0.2">
      <c r="D981" s="214"/>
      <c r="E981" s="214"/>
      <c r="F981" s="214"/>
      <c r="G981" s="214"/>
      <c r="H981" s="214"/>
      <c r="I981" s="214"/>
      <c r="J981" s="214"/>
      <c r="K981" s="214"/>
    </row>
    <row r="982" spans="4:11" ht="12.75" x14ac:dyDescent="0.2">
      <c r="D982" s="214"/>
      <c r="E982" s="214"/>
      <c r="F982" s="214"/>
      <c r="G982" s="214"/>
      <c r="H982" s="214"/>
      <c r="I982" s="214"/>
      <c r="J982" s="214"/>
      <c r="K982" s="214"/>
    </row>
    <row r="983" spans="4:11" ht="12.75" x14ac:dyDescent="0.2">
      <c r="D983" s="214"/>
      <c r="E983" s="214"/>
      <c r="F983" s="214"/>
      <c r="G983" s="214"/>
      <c r="H983" s="214"/>
      <c r="I983" s="214"/>
      <c r="J983" s="214"/>
      <c r="K983" s="214"/>
    </row>
    <row r="984" spans="4:11" ht="12.75" x14ac:dyDescent="0.2">
      <c r="D984" s="214"/>
      <c r="E984" s="214"/>
      <c r="F984" s="214"/>
      <c r="G984" s="214"/>
      <c r="H984" s="214"/>
      <c r="I984" s="214"/>
      <c r="J984" s="214"/>
      <c r="K984" s="214"/>
    </row>
    <row r="985" spans="4:11" ht="12.75" x14ac:dyDescent="0.2">
      <c r="D985" s="214"/>
      <c r="E985" s="214"/>
      <c r="F985" s="214"/>
      <c r="G985" s="214"/>
      <c r="H985" s="214"/>
      <c r="I985" s="214"/>
      <c r="J985" s="214"/>
      <c r="K985" s="214"/>
    </row>
    <row r="986" spans="4:11" ht="12.75" x14ac:dyDescent="0.2">
      <c r="D986" s="214"/>
      <c r="E986" s="214"/>
      <c r="F986" s="214"/>
      <c r="G986" s="214"/>
      <c r="H986" s="214"/>
      <c r="I986" s="214"/>
      <c r="J986" s="214"/>
      <c r="K986" s="214"/>
    </row>
    <row r="987" spans="4:11" ht="12.75" x14ac:dyDescent="0.2">
      <c r="D987" s="214"/>
      <c r="E987" s="214"/>
      <c r="F987" s="214"/>
      <c r="G987" s="214"/>
      <c r="H987" s="214"/>
      <c r="I987" s="214"/>
      <c r="J987" s="214"/>
      <c r="K987" s="214"/>
    </row>
    <row r="988" spans="4:11" ht="12.75" x14ac:dyDescent="0.2">
      <c r="D988" s="214"/>
      <c r="E988" s="214"/>
      <c r="F988" s="214"/>
      <c r="G988" s="214"/>
      <c r="H988" s="214"/>
      <c r="I988" s="214"/>
      <c r="J988" s="214"/>
      <c r="K988" s="214"/>
    </row>
    <row r="989" spans="4:11" ht="12.75" x14ac:dyDescent="0.2">
      <c r="D989" s="214"/>
      <c r="E989" s="214"/>
      <c r="F989" s="214"/>
      <c r="G989" s="214"/>
      <c r="H989" s="214"/>
      <c r="I989" s="214"/>
      <c r="J989" s="214"/>
      <c r="K989" s="214"/>
    </row>
    <row r="990" spans="4:11" ht="12.75" x14ac:dyDescent="0.2">
      <c r="D990" s="214"/>
      <c r="E990" s="214"/>
      <c r="F990" s="214"/>
      <c r="G990" s="214"/>
      <c r="H990" s="214"/>
      <c r="I990" s="214"/>
      <c r="J990" s="214"/>
      <c r="K990" s="214"/>
    </row>
    <row r="991" spans="4:11" ht="12.75" x14ac:dyDescent="0.2">
      <c r="D991" s="214"/>
      <c r="E991" s="214"/>
      <c r="F991" s="214"/>
      <c r="G991" s="214"/>
      <c r="H991" s="214"/>
      <c r="I991" s="214"/>
      <c r="J991" s="214"/>
      <c r="K991" s="214"/>
    </row>
    <row r="992" spans="4:11" ht="12.75" x14ac:dyDescent="0.2">
      <c r="D992" s="214"/>
      <c r="E992" s="214"/>
      <c r="F992" s="214"/>
      <c r="G992" s="214"/>
      <c r="H992" s="214"/>
      <c r="I992" s="214"/>
      <c r="J992" s="214"/>
      <c r="K992" s="214"/>
    </row>
    <row r="993" spans="4:11" ht="12.75" x14ac:dyDescent="0.2">
      <c r="D993" s="214"/>
      <c r="E993" s="214"/>
      <c r="F993" s="214"/>
      <c r="G993" s="214"/>
      <c r="H993" s="214"/>
      <c r="I993" s="214"/>
      <c r="J993" s="214"/>
      <c r="K993" s="214"/>
    </row>
    <row r="994" spans="4:11" ht="12.75" x14ac:dyDescent="0.2">
      <c r="D994" s="214"/>
      <c r="E994" s="214"/>
      <c r="F994" s="214"/>
      <c r="G994" s="214"/>
      <c r="H994" s="214"/>
      <c r="I994" s="214"/>
      <c r="J994" s="214"/>
      <c r="K994" s="214"/>
    </row>
    <row r="995" spans="4:11" ht="12.75" x14ac:dyDescent="0.2">
      <c r="D995" s="214"/>
      <c r="E995" s="214"/>
      <c r="F995" s="214"/>
      <c r="G995" s="214"/>
      <c r="H995" s="214"/>
      <c r="I995" s="214"/>
      <c r="J995" s="214"/>
      <c r="K995" s="214"/>
    </row>
    <row r="996" spans="4:11" ht="12.75" x14ac:dyDescent="0.2">
      <c r="D996" s="214"/>
      <c r="E996" s="214"/>
      <c r="F996" s="214"/>
      <c r="G996" s="214"/>
      <c r="H996" s="214"/>
      <c r="I996" s="214"/>
      <c r="J996" s="214"/>
      <c r="K996" s="214"/>
    </row>
    <row r="997" spans="4:11" ht="12.75" x14ac:dyDescent="0.2">
      <c r="D997" s="214"/>
      <c r="E997" s="214"/>
      <c r="F997" s="214"/>
      <c r="G997" s="214"/>
      <c r="H997" s="214"/>
      <c r="I997" s="214"/>
      <c r="J997" s="214"/>
      <c r="K997" s="214"/>
    </row>
    <row r="998" spans="4:11" ht="12.75" x14ac:dyDescent="0.2">
      <c r="D998" s="214"/>
      <c r="E998" s="214"/>
      <c r="F998" s="214"/>
      <c r="G998" s="214"/>
      <c r="H998" s="214"/>
      <c r="I998" s="214"/>
      <c r="J998" s="214"/>
      <c r="K998" s="214"/>
    </row>
    <row r="999" spans="4:11" ht="12.75" x14ac:dyDescent="0.2">
      <c r="D999" s="214"/>
      <c r="E999" s="214"/>
      <c r="F999" s="214"/>
      <c r="G999" s="214"/>
      <c r="H999" s="214"/>
      <c r="I999" s="214"/>
      <c r="J999" s="214"/>
      <c r="K999" s="214"/>
    </row>
    <row r="1000" spans="4:11" ht="12.75" x14ac:dyDescent="0.2">
      <c r="D1000" s="214"/>
      <c r="E1000" s="214"/>
      <c r="F1000" s="214"/>
      <c r="G1000" s="214"/>
      <c r="H1000" s="214"/>
      <c r="I1000" s="214"/>
      <c r="J1000" s="214"/>
      <c r="K1000" s="214"/>
    </row>
    <row r="1001" spans="4:11" ht="12.75" x14ac:dyDescent="0.2">
      <c r="D1001" s="214"/>
      <c r="E1001" s="214"/>
      <c r="F1001" s="214"/>
      <c r="G1001" s="214"/>
      <c r="H1001" s="214"/>
      <c r="I1001" s="214"/>
      <c r="J1001" s="214"/>
      <c r="K1001" s="214"/>
    </row>
    <row r="1002" spans="4:11" ht="12.75" x14ac:dyDescent="0.2">
      <c r="D1002" s="214"/>
      <c r="E1002" s="214"/>
      <c r="F1002" s="214"/>
      <c r="G1002" s="214"/>
      <c r="H1002" s="214"/>
      <c r="I1002" s="214"/>
      <c r="J1002" s="214"/>
      <c r="K1002" s="214"/>
    </row>
    <row r="1003" spans="4:11" ht="12.75" x14ac:dyDescent="0.2">
      <c r="D1003" s="214"/>
      <c r="E1003" s="214"/>
      <c r="F1003" s="214"/>
      <c r="G1003" s="214"/>
      <c r="H1003" s="214"/>
      <c r="I1003" s="214"/>
      <c r="J1003" s="214"/>
      <c r="K1003" s="214"/>
    </row>
    <row r="1004" spans="4:11" ht="12.75" x14ac:dyDescent="0.2">
      <c r="D1004" s="214"/>
      <c r="E1004" s="214"/>
      <c r="F1004" s="214"/>
      <c r="G1004" s="214"/>
      <c r="H1004" s="214"/>
      <c r="I1004" s="214"/>
      <c r="J1004" s="214"/>
      <c r="K1004" s="214"/>
    </row>
    <row r="1005" spans="4:11" ht="12.75" x14ac:dyDescent="0.2">
      <c r="D1005" s="214"/>
      <c r="E1005" s="214"/>
      <c r="F1005" s="214"/>
      <c r="G1005" s="214"/>
      <c r="H1005" s="214"/>
      <c r="I1005" s="214"/>
      <c r="J1005" s="214"/>
      <c r="K1005" s="214"/>
    </row>
    <row r="1006" spans="4:11" ht="12.75" x14ac:dyDescent="0.2">
      <c r="D1006" s="214"/>
      <c r="E1006" s="214"/>
      <c r="F1006" s="214"/>
      <c r="G1006" s="214"/>
      <c r="H1006" s="214"/>
      <c r="I1006" s="214"/>
      <c r="J1006" s="214"/>
      <c r="K1006" s="214"/>
    </row>
    <row r="1007" spans="4:11" ht="12.75" x14ac:dyDescent="0.2">
      <c r="D1007" s="214"/>
      <c r="E1007" s="214"/>
      <c r="F1007" s="214"/>
      <c r="G1007" s="214"/>
      <c r="H1007" s="214"/>
      <c r="I1007" s="214"/>
      <c r="J1007" s="214"/>
      <c r="K1007" s="214"/>
    </row>
    <row r="1008" spans="4:11" ht="12.75" x14ac:dyDescent="0.2">
      <c r="D1008" s="214"/>
      <c r="E1008" s="214"/>
      <c r="F1008" s="214"/>
      <c r="G1008" s="214"/>
      <c r="H1008" s="214"/>
      <c r="I1008" s="214"/>
      <c r="J1008" s="214"/>
      <c r="K1008" s="214"/>
    </row>
    <row r="1009" spans="4:11" ht="12.75" x14ac:dyDescent="0.2">
      <c r="D1009" s="214"/>
      <c r="E1009" s="214"/>
      <c r="F1009" s="214"/>
      <c r="G1009" s="214"/>
      <c r="H1009" s="214"/>
      <c r="I1009" s="214"/>
      <c r="J1009" s="214"/>
      <c r="K1009" s="214"/>
    </row>
    <row r="1010" spans="4:11" ht="12.75" x14ac:dyDescent="0.2">
      <c r="D1010" s="214"/>
      <c r="E1010" s="214"/>
      <c r="F1010" s="214"/>
      <c r="G1010" s="214"/>
      <c r="H1010" s="214"/>
      <c r="I1010" s="214"/>
      <c r="J1010" s="214"/>
      <c r="K1010" s="214"/>
    </row>
    <row r="1011" spans="4:11" ht="12.75" x14ac:dyDescent="0.2">
      <c r="D1011" s="214"/>
      <c r="E1011" s="214"/>
      <c r="F1011" s="214"/>
      <c r="G1011" s="214"/>
      <c r="H1011" s="214"/>
      <c r="I1011" s="214"/>
      <c r="J1011" s="214"/>
      <c r="K1011" s="214"/>
    </row>
    <row r="1012" spans="4:11" ht="12.75" x14ac:dyDescent="0.2">
      <c r="D1012" s="214"/>
      <c r="E1012" s="214"/>
      <c r="F1012" s="214"/>
      <c r="G1012" s="214"/>
      <c r="H1012" s="214"/>
      <c r="I1012" s="214"/>
      <c r="J1012" s="214"/>
      <c r="K1012" s="214"/>
    </row>
    <row r="1013" spans="4:11" ht="12.75" x14ac:dyDescent="0.2">
      <c r="D1013" s="214"/>
      <c r="E1013" s="214"/>
      <c r="F1013" s="214"/>
      <c r="G1013" s="214"/>
      <c r="H1013" s="214"/>
      <c r="I1013" s="214"/>
      <c r="J1013" s="214"/>
      <c r="K1013" s="214"/>
    </row>
    <row r="1014" spans="4:11" ht="12.75" x14ac:dyDescent="0.2">
      <c r="D1014" s="214"/>
      <c r="E1014" s="214"/>
      <c r="F1014" s="214"/>
      <c r="G1014" s="214"/>
      <c r="H1014" s="214"/>
      <c r="I1014" s="214"/>
      <c r="J1014" s="214"/>
      <c r="K1014" s="214"/>
    </row>
    <row r="1015" spans="4:11" ht="12.75" x14ac:dyDescent="0.2">
      <c r="D1015" s="214"/>
      <c r="E1015" s="214"/>
      <c r="F1015" s="214"/>
      <c r="G1015" s="214"/>
      <c r="H1015" s="214"/>
      <c r="I1015" s="214"/>
      <c r="J1015" s="214"/>
      <c r="K1015" s="214"/>
    </row>
    <row r="1016" spans="4:11" ht="12.75" x14ac:dyDescent="0.2">
      <c r="D1016" s="214"/>
      <c r="E1016" s="214"/>
      <c r="F1016" s="214"/>
      <c r="G1016" s="214"/>
      <c r="H1016" s="214"/>
      <c r="I1016" s="214"/>
      <c r="J1016" s="214"/>
      <c r="K1016" s="214"/>
    </row>
    <row r="1017" spans="4:11" ht="12.75" x14ac:dyDescent="0.2">
      <c r="D1017" s="214"/>
      <c r="E1017" s="214"/>
      <c r="F1017" s="214"/>
      <c r="G1017" s="214"/>
      <c r="H1017" s="214"/>
      <c r="I1017" s="214"/>
      <c r="J1017" s="214"/>
      <c r="K1017" s="214"/>
    </row>
    <row r="1018" spans="4:11" ht="12.75" x14ac:dyDescent="0.2">
      <c r="D1018" s="214"/>
      <c r="E1018" s="214"/>
      <c r="F1018" s="214"/>
      <c r="G1018" s="214"/>
      <c r="H1018" s="214"/>
      <c r="I1018" s="214"/>
      <c r="J1018" s="214"/>
      <c r="K1018" s="214"/>
    </row>
    <row r="1019" spans="4:11" ht="12.75" x14ac:dyDescent="0.2">
      <c r="D1019" s="214"/>
      <c r="E1019" s="214"/>
      <c r="F1019" s="214"/>
      <c r="G1019" s="214"/>
      <c r="H1019" s="214"/>
      <c r="I1019" s="214"/>
      <c r="J1019" s="214"/>
      <c r="K1019" s="214"/>
    </row>
    <row r="1020" spans="4:11" ht="12.75" x14ac:dyDescent="0.2">
      <c r="D1020" s="214"/>
      <c r="E1020" s="214"/>
      <c r="F1020" s="214"/>
      <c r="G1020" s="214"/>
      <c r="H1020" s="214"/>
      <c r="I1020" s="214"/>
      <c r="J1020" s="214"/>
      <c r="K1020" s="214"/>
    </row>
    <row r="1021" spans="4:11" ht="12.75" x14ac:dyDescent="0.2">
      <c r="D1021" s="214"/>
      <c r="E1021" s="214"/>
      <c r="F1021" s="214"/>
      <c r="G1021" s="214"/>
      <c r="H1021" s="214"/>
      <c r="I1021" s="214"/>
      <c r="J1021" s="214"/>
      <c r="K1021" s="214"/>
    </row>
    <row r="1022" spans="4:11" ht="12.75" x14ac:dyDescent="0.2">
      <c r="D1022" s="214"/>
      <c r="E1022" s="214"/>
      <c r="F1022" s="214"/>
      <c r="G1022" s="214"/>
      <c r="H1022" s="214"/>
      <c r="I1022" s="214"/>
      <c r="J1022" s="214"/>
      <c r="K1022" s="214"/>
    </row>
    <row r="1023" spans="4:11" ht="12.75" x14ac:dyDescent="0.2">
      <c r="D1023" s="214"/>
      <c r="E1023" s="214"/>
      <c r="F1023" s="214"/>
      <c r="G1023" s="214"/>
      <c r="H1023" s="214"/>
      <c r="I1023" s="214"/>
      <c r="J1023" s="214"/>
      <c r="K1023" s="214"/>
    </row>
    <row r="1024" spans="4:11" ht="12.75" x14ac:dyDescent="0.2">
      <c r="D1024" s="214"/>
      <c r="E1024" s="214"/>
      <c r="F1024" s="214"/>
      <c r="G1024" s="214"/>
      <c r="H1024" s="214"/>
      <c r="I1024" s="214"/>
      <c r="J1024" s="214"/>
      <c r="K1024" s="214"/>
    </row>
    <row r="1025" spans="4:11" ht="12.75" x14ac:dyDescent="0.2">
      <c r="D1025" s="214"/>
      <c r="E1025" s="214"/>
      <c r="F1025" s="214"/>
      <c r="G1025" s="214"/>
      <c r="H1025" s="214"/>
      <c r="I1025" s="214"/>
      <c r="J1025" s="214"/>
      <c r="K1025" s="214"/>
    </row>
    <row r="1026" spans="4:11" ht="12.75" x14ac:dyDescent="0.2">
      <c r="D1026" s="214"/>
      <c r="E1026" s="214"/>
      <c r="F1026" s="214"/>
      <c r="G1026" s="214"/>
      <c r="H1026" s="214"/>
      <c r="I1026" s="214"/>
      <c r="J1026" s="214"/>
      <c r="K1026" s="214"/>
    </row>
    <row r="1027" spans="4:11" ht="12.75" x14ac:dyDescent="0.2">
      <c r="D1027" s="214"/>
      <c r="E1027" s="214"/>
      <c r="F1027" s="214"/>
      <c r="G1027" s="214"/>
      <c r="H1027" s="214"/>
      <c r="I1027" s="214"/>
      <c r="J1027" s="214"/>
      <c r="K1027" s="214"/>
    </row>
    <row r="1028" spans="4:11" ht="12.75" x14ac:dyDescent="0.2">
      <c r="D1028" s="214"/>
      <c r="E1028" s="214"/>
      <c r="F1028" s="214"/>
      <c r="G1028" s="214"/>
      <c r="H1028" s="214"/>
      <c r="I1028" s="214"/>
      <c r="J1028" s="214"/>
      <c r="K1028" s="214"/>
    </row>
    <row r="1029" spans="4:11" ht="12.75" x14ac:dyDescent="0.2">
      <c r="D1029" s="214"/>
      <c r="E1029" s="214"/>
      <c r="F1029" s="214"/>
      <c r="G1029" s="214"/>
      <c r="H1029" s="214"/>
      <c r="I1029" s="214"/>
      <c r="J1029" s="214"/>
      <c r="K1029" s="214"/>
    </row>
    <row r="1030" spans="4:11" ht="12.75" x14ac:dyDescent="0.2">
      <c r="D1030" s="214"/>
      <c r="E1030" s="214"/>
      <c r="F1030" s="214"/>
      <c r="G1030" s="214"/>
      <c r="H1030" s="214"/>
      <c r="I1030" s="214"/>
      <c r="J1030" s="214"/>
      <c r="K1030" s="214"/>
    </row>
    <row r="1031" spans="4:11" ht="12.75" x14ac:dyDescent="0.2">
      <c r="D1031" s="214"/>
      <c r="E1031" s="214"/>
      <c r="F1031" s="214"/>
      <c r="G1031" s="214"/>
      <c r="H1031" s="214"/>
      <c r="I1031" s="214"/>
      <c r="J1031" s="214"/>
      <c r="K1031" s="214"/>
    </row>
    <row r="1032" spans="4:11" ht="12.75" x14ac:dyDescent="0.2">
      <c r="D1032" s="214"/>
      <c r="E1032" s="214"/>
      <c r="F1032" s="214"/>
      <c r="G1032" s="214"/>
      <c r="H1032" s="214"/>
      <c r="I1032" s="214"/>
      <c r="J1032" s="214"/>
      <c r="K1032" s="214"/>
    </row>
    <row r="1033" spans="4:11" ht="12.75" x14ac:dyDescent="0.2">
      <c r="D1033" s="214"/>
      <c r="E1033" s="214"/>
      <c r="F1033" s="214"/>
      <c r="G1033" s="214"/>
      <c r="H1033" s="214"/>
      <c r="I1033" s="214"/>
      <c r="J1033" s="214"/>
      <c r="K1033" s="214"/>
    </row>
    <row r="1034" spans="4:11" ht="12.75" x14ac:dyDescent="0.2">
      <c r="D1034" s="214"/>
      <c r="E1034" s="214"/>
      <c r="F1034" s="214"/>
      <c r="G1034" s="214"/>
      <c r="H1034" s="214"/>
      <c r="I1034" s="214"/>
      <c r="J1034" s="214"/>
      <c r="K1034" s="214"/>
    </row>
    <row r="1035" spans="4:11" ht="12.75" x14ac:dyDescent="0.2">
      <c r="D1035" s="214"/>
      <c r="E1035" s="214"/>
      <c r="F1035" s="214"/>
      <c r="G1035" s="214"/>
      <c r="H1035" s="214"/>
      <c r="I1035" s="214"/>
      <c r="J1035" s="214"/>
      <c r="K1035" s="214"/>
    </row>
    <row r="1036" spans="4:11" ht="12.75" x14ac:dyDescent="0.2">
      <c r="D1036" s="214"/>
      <c r="E1036" s="214"/>
      <c r="F1036" s="214"/>
      <c r="G1036" s="214"/>
      <c r="H1036" s="214"/>
      <c r="I1036" s="214"/>
      <c r="J1036" s="214"/>
      <c r="K1036" s="214"/>
    </row>
    <row r="1037" spans="4:11" ht="12.75" x14ac:dyDescent="0.2">
      <c r="D1037" s="214"/>
      <c r="E1037" s="214"/>
      <c r="F1037" s="214"/>
      <c r="G1037" s="214"/>
      <c r="H1037" s="214"/>
      <c r="I1037" s="214"/>
      <c r="J1037" s="214"/>
      <c r="K1037" s="214"/>
    </row>
    <row r="1038" spans="4:11" ht="12.75" x14ac:dyDescent="0.2">
      <c r="D1038" s="214"/>
      <c r="E1038" s="214"/>
      <c r="F1038" s="214"/>
      <c r="G1038" s="214"/>
      <c r="H1038" s="214"/>
      <c r="I1038" s="214"/>
      <c r="J1038" s="214"/>
      <c r="K1038" s="214"/>
    </row>
    <row r="1039" spans="4:11" ht="12.75" x14ac:dyDescent="0.2">
      <c r="D1039" s="214"/>
      <c r="E1039" s="214"/>
      <c r="F1039" s="214"/>
      <c r="G1039" s="214"/>
      <c r="H1039" s="214"/>
      <c r="I1039" s="214"/>
      <c r="J1039" s="214"/>
      <c r="K1039" s="214"/>
    </row>
    <row r="1040" spans="4:11" ht="12.75" x14ac:dyDescent="0.2">
      <c r="D1040" s="214"/>
      <c r="E1040" s="214"/>
      <c r="F1040" s="214"/>
      <c r="G1040" s="214"/>
      <c r="H1040" s="214"/>
      <c r="I1040" s="214"/>
      <c r="J1040" s="214"/>
      <c r="K1040" s="214"/>
    </row>
    <row r="1041" spans="4:11" ht="12.75" x14ac:dyDescent="0.2">
      <c r="D1041" s="214"/>
      <c r="E1041" s="214"/>
      <c r="F1041" s="214"/>
      <c r="G1041" s="214"/>
      <c r="H1041" s="214"/>
      <c r="I1041" s="214"/>
      <c r="J1041" s="214"/>
      <c r="K1041" s="214"/>
    </row>
    <row r="1042" spans="4:11" ht="12.75" x14ac:dyDescent="0.2">
      <c r="D1042" s="214"/>
      <c r="E1042" s="214"/>
      <c r="F1042" s="214"/>
      <c r="G1042" s="214"/>
      <c r="H1042" s="214"/>
      <c r="I1042" s="214"/>
      <c r="J1042" s="214"/>
      <c r="K1042" s="214"/>
    </row>
    <row r="1043" spans="4:11" ht="12.75" x14ac:dyDescent="0.2">
      <c r="D1043" s="214"/>
      <c r="E1043" s="214"/>
      <c r="F1043" s="214"/>
      <c r="G1043" s="214"/>
      <c r="H1043" s="214"/>
      <c r="I1043" s="214"/>
      <c r="J1043" s="214"/>
      <c r="K1043" s="214"/>
    </row>
    <row r="1044" spans="4:11" ht="12.75" x14ac:dyDescent="0.2">
      <c r="D1044" s="214"/>
      <c r="E1044" s="214"/>
      <c r="F1044" s="214"/>
      <c r="G1044" s="214"/>
      <c r="H1044" s="214"/>
      <c r="I1044" s="214"/>
      <c r="J1044" s="214"/>
      <c r="K1044" s="214"/>
    </row>
    <row r="1045" spans="4:11" ht="12.75" x14ac:dyDescent="0.2">
      <c r="D1045" s="214"/>
      <c r="E1045" s="214"/>
      <c r="F1045" s="214"/>
      <c r="G1045" s="214"/>
      <c r="H1045" s="214"/>
      <c r="I1045" s="214"/>
      <c r="J1045" s="214"/>
      <c r="K1045" s="214"/>
    </row>
    <row r="1046" spans="4:11" ht="12.75" x14ac:dyDescent="0.2">
      <c r="D1046" s="214"/>
      <c r="E1046" s="214"/>
      <c r="F1046" s="214"/>
      <c r="G1046" s="214"/>
      <c r="H1046" s="214"/>
      <c r="I1046" s="214"/>
      <c r="J1046" s="214"/>
      <c r="K1046" s="214"/>
    </row>
    <row r="1047" spans="4:11" ht="12.75" x14ac:dyDescent="0.2">
      <c r="D1047" s="214"/>
      <c r="E1047" s="214"/>
      <c r="F1047" s="214"/>
      <c r="G1047" s="214"/>
      <c r="H1047" s="214"/>
      <c r="I1047" s="214"/>
      <c r="J1047" s="214"/>
      <c r="K1047" s="214"/>
    </row>
    <row r="1048" spans="4:11" ht="12.75" x14ac:dyDescent="0.2">
      <c r="D1048" s="214"/>
      <c r="E1048" s="214"/>
      <c r="F1048" s="214"/>
      <c r="G1048" s="214"/>
      <c r="H1048" s="214"/>
      <c r="I1048" s="214"/>
      <c r="J1048" s="214"/>
      <c r="K1048" s="214"/>
    </row>
    <row r="1049" spans="4:11" ht="12.75" x14ac:dyDescent="0.2">
      <c r="D1049" s="214"/>
      <c r="E1049" s="214"/>
      <c r="F1049" s="214"/>
      <c r="G1049" s="214"/>
      <c r="H1049" s="214"/>
      <c r="I1049" s="214"/>
      <c r="J1049" s="214"/>
      <c r="K1049" s="214"/>
    </row>
    <row r="1050" spans="4:11" ht="12.75" x14ac:dyDescent="0.2">
      <c r="D1050" s="214"/>
      <c r="E1050" s="214"/>
      <c r="F1050" s="214"/>
      <c r="G1050" s="214"/>
      <c r="H1050" s="214"/>
      <c r="I1050" s="214"/>
      <c r="J1050" s="214"/>
      <c r="K1050" s="214"/>
    </row>
    <row r="1051" spans="4:11" ht="12.75" x14ac:dyDescent="0.2">
      <c r="D1051" s="214"/>
      <c r="E1051" s="214"/>
      <c r="F1051" s="214"/>
      <c r="G1051" s="214"/>
      <c r="H1051" s="214"/>
      <c r="I1051" s="214"/>
      <c r="J1051" s="214"/>
      <c r="K1051" s="214"/>
    </row>
    <row r="1052" spans="4:11" ht="12.75" x14ac:dyDescent="0.2">
      <c r="D1052" s="214"/>
      <c r="E1052" s="214"/>
      <c r="F1052" s="214"/>
      <c r="G1052" s="214"/>
      <c r="H1052" s="214"/>
      <c r="I1052" s="214"/>
      <c r="J1052" s="214"/>
      <c r="K1052" s="214"/>
    </row>
    <row r="1053" spans="4:11" ht="12.75" x14ac:dyDescent="0.2">
      <c r="D1053" s="214"/>
      <c r="E1053" s="214"/>
      <c r="F1053" s="214"/>
      <c r="G1053" s="214"/>
      <c r="H1053" s="214"/>
      <c r="I1053" s="214"/>
      <c r="J1053" s="214"/>
      <c r="K1053" s="214"/>
    </row>
    <row r="1054" spans="4:11" ht="12.75" x14ac:dyDescent="0.2">
      <c r="D1054" s="214"/>
      <c r="E1054" s="214"/>
      <c r="F1054" s="214"/>
      <c r="G1054" s="214"/>
      <c r="H1054" s="214"/>
      <c r="I1054" s="214"/>
      <c r="J1054" s="214"/>
      <c r="K1054" s="214"/>
    </row>
  </sheetData>
  <conditionalFormatting sqref="N74:BI74 N82:BI82 N90:BI90 N98:BI98">
    <cfRule type="cellIs" dxfId="7" priority="1" operator="equal">
      <formula>0</formula>
    </cfRule>
  </conditionalFormatting>
  <conditionalFormatting sqref="N74:BI74 N82:BI82 N90:BI90 N98:BI98">
    <cfRule type="cellIs" dxfId="6" priority="2" operator="not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8B888"/>
    <outlinePr summaryBelow="0" summaryRight="0"/>
  </sheetPr>
  <dimension ref="A1:BW1115"/>
  <sheetViews>
    <sheetView showGridLines="0" workbookViewId="0">
      <pane xSplit="2" ySplit="1" topLeftCell="AE2" activePane="bottomRight" state="frozen"/>
      <selection pane="topRight" activeCell="C1" sqref="C1"/>
      <selection pane="bottomLeft" activeCell="A2" sqref="A2"/>
      <selection pane="bottomRight" activeCell="AG87" sqref="AG87"/>
    </sheetView>
  </sheetViews>
  <sheetFormatPr defaultColWidth="14.42578125" defaultRowHeight="15.75" customHeight="1" x14ac:dyDescent="0.2"/>
  <cols>
    <col min="1" max="1" width="67.140625" customWidth="1"/>
    <col min="3" max="3" width="2.5703125" customWidth="1"/>
  </cols>
  <sheetData>
    <row r="1" spans="1:75" ht="22.5" customHeight="1" x14ac:dyDescent="0.2">
      <c r="A1" s="5" t="s">
        <v>236</v>
      </c>
      <c r="B1" s="184" t="s">
        <v>237</v>
      </c>
      <c r="C1" s="184"/>
      <c r="D1" s="20">
        <v>43101</v>
      </c>
      <c r="E1" s="20">
        <f t="shared" ref="E1:BW1" si="0">EDATE(D1,1)</f>
        <v>43132</v>
      </c>
      <c r="F1" s="20">
        <f t="shared" si="0"/>
        <v>43160</v>
      </c>
      <c r="G1" s="20">
        <f t="shared" si="0"/>
        <v>43191</v>
      </c>
      <c r="H1" s="20">
        <f t="shared" si="0"/>
        <v>43221</v>
      </c>
      <c r="I1" s="20">
        <f t="shared" si="0"/>
        <v>43252</v>
      </c>
      <c r="J1" s="20">
        <f t="shared" si="0"/>
        <v>43282</v>
      </c>
      <c r="K1" s="20">
        <f t="shared" si="0"/>
        <v>43313</v>
      </c>
      <c r="L1" s="20">
        <f t="shared" si="0"/>
        <v>43344</v>
      </c>
      <c r="M1" s="20">
        <f t="shared" si="0"/>
        <v>43374</v>
      </c>
      <c r="N1" s="20">
        <f t="shared" si="0"/>
        <v>43405</v>
      </c>
      <c r="O1" s="20">
        <f t="shared" si="0"/>
        <v>43435</v>
      </c>
      <c r="P1" s="20">
        <f t="shared" si="0"/>
        <v>43466</v>
      </c>
      <c r="Q1" s="20">
        <f t="shared" si="0"/>
        <v>43497</v>
      </c>
      <c r="R1" s="20">
        <f t="shared" si="0"/>
        <v>43525</v>
      </c>
      <c r="S1" s="20">
        <f t="shared" si="0"/>
        <v>43556</v>
      </c>
      <c r="T1" s="20">
        <f t="shared" si="0"/>
        <v>43586</v>
      </c>
      <c r="U1" s="20">
        <f t="shared" si="0"/>
        <v>43617</v>
      </c>
      <c r="V1" s="20">
        <f t="shared" si="0"/>
        <v>43647</v>
      </c>
      <c r="W1" s="20">
        <f t="shared" si="0"/>
        <v>43678</v>
      </c>
      <c r="X1" s="20">
        <f t="shared" si="0"/>
        <v>43709</v>
      </c>
      <c r="Y1" s="20">
        <f t="shared" si="0"/>
        <v>43739</v>
      </c>
      <c r="Z1" s="20">
        <f t="shared" si="0"/>
        <v>43770</v>
      </c>
      <c r="AA1" s="20">
        <f t="shared" si="0"/>
        <v>43800</v>
      </c>
      <c r="AB1" s="20">
        <f t="shared" si="0"/>
        <v>43831</v>
      </c>
      <c r="AC1" s="20">
        <f t="shared" si="0"/>
        <v>43862</v>
      </c>
      <c r="AD1" s="20">
        <f t="shared" si="0"/>
        <v>43891</v>
      </c>
      <c r="AE1" s="20">
        <f t="shared" si="0"/>
        <v>43922</v>
      </c>
      <c r="AF1" s="20">
        <f t="shared" si="0"/>
        <v>43952</v>
      </c>
      <c r="AG1" s="20">
        <f t="shared" si="0"/>
        <v>43983</v>
      </c>
      <c r="AH1" s="20">
        <f t="shared" si="0"/>
        <v>44013</v>
      </c>
      <c r="AI1" s="20">
        <f t="shared" si="0"/>
        <v>44044</v>
      </c>
      <c r="AJ1" s="20">
        <f t="shared" si="0"/>
        <v>44075</v>
      </c>
      <c r="AK1" s="20">
        <f t="shared" si="0"/>
        <v>44105</v>
      </c>
      <c r="AL1" s="20">
        <f t="shared" si="0"/>
        <v>44136</v>
      </c>
      <c r="AM1" s="20">
        <f t="shared" si="0"/>
        <v>44166</v>
      </c>
      <c r="AN1" s="20">
        <f t="shared" si="0"/>
        <v>44197</v>
      </c>
      <c r="AO1" s="20">
        <f t="shared" si="0"/>
        <v>44228</v>
      </c>
      <c r="AP1" s="20">
        <f t="shared" si="0"/>
        <v>44256</v>
      </c>
      <c r="AQ1" s="20">
        <f t="shared" si="0"/>
        <v>44287</v>
      </c>
      <c r="AR1" s="20">
        <f t="shared" si="0"/>
        <v>44317</v>
      </c>
      <c r="AS1" s="20">
        <f t="shared" si="0"/>
        <v>44348</v>
      </c>
      <c r="AT1" s="20">
        <f t="shared" si="0"/>
        <v>44378</v>
      </c>
      <c r="AU1" s="20">
        <f t="shared" si="0"/>
        <v>44409</v>
      </c>
      <c r="AV1" s="20">
        <f t="shared" si="0"/>
        <v>44440</v>
      </c>
      <c r="AW1" s="20">
        <f t="shared" si="0"/>
        <v>44470</v>
      </c>
      <c r="AX1" s="20">
        <f t="shared" si="0"/>
        <v>44501</v>
      </c>
      <c r="AY1" s="20">
        <f t="shared" si="0"/>
        <v>44531</v>
      </c>
      <c r="AZ1" s="20">
        <f t="shared" si="0"/>
        <v>44562</v>
      </c>
      <c r="BA1" s="20">
        <f t="shared" si="0"/>
        <v>44593</v>
      </c>
      <c r="BB1" s="20">
        <f t="shared" si="0"/>
        <v>44621</v>
      </c>
      <c r="BC1" s="20">
        <f t="shared" si="0"/>
        <v>44652</v>
      </c>
      <c r="BD1" s="20">
        <f t="shared" si="0"/>
        <v>44682</v>
      </c>
      <c r="BE1" s="20">
        <f t="shared" si="0"/>
        <v>44713</v>
      </c>
      <c r="BF1" s="20">
        <f t="shared" si="0"/>
        <v>44743</v>
      </c>
      <c r="BG1" s="20">
        <f t="shared" si="0"/>
        <v>44774</v>
      </c>
      <c r="BH1" s="20">
        <f t="shared" si="0"/>
        <v>44805</v>
      </c>
      <c r="BI1" s="20">
        <f t="shared" si="0"/>
        <v>44835</v>
      </c>
      <c r="BJ1" s="20">
        <f t="shared" si="0"/>
        <v>44866</v>
      </c>
      <c r="BK1" s="20">
        <f t="shared" si="0"/>
        <v>44896</v>
      </c>
      <c r="BL1" s="20">
        <f t="shared" si="0"/>
        <v>44927</v>
      </c>
      <c r="BM1" s="20">
        <f t="shared" si="0"/>
        <v>44958</v>
      </c>
      <c r="BN1" s="20">
        <f t="shared" si="0"/>
        <v>44986</v>
      </c>
      <c r="BO1" s="20">
        <f t="shared" si="0"/>
        <v>45017</v>
      </c>
      <c r="BP1" s="20">
        <f t="shared" si="0"/>
        <v>45047</v>
      </c>
      <c r="BQ1" s="20">
        <f t="shared" si="0"/>
        <v>45078</v>
      </c>
      <c r="BR1" s="20">
        <f t="shared" si="0"/>
        <v>45108</v>
      </c>
      <c r="BS1" s="20">
        <f t="shared" si="0"/>
        <v>45139</v>
      </c>
      <c r="BT1" s="20">
        <f t="shared" si="0"/>
        <v>45170</v>
      </c>
      <c r="BU1" s="20">
        <f t="shared" si="0"/>
        <v>45200</v>
      </c>
      <c r="BV1" s="20">
        <f t="shared" si="0"/>
        <v>45231</v>
      </c>
      <c r="BW1" s="20">
        <f t="shared" si="0"/>
        <v>45261</v>
      </c>
    </row>
    <row r="2" spans="1:75" ht="12.75" x14ac:dyDescent="0.2">
      <c r="A2" s="21" t="s">
        <v>238</v>
      </c>
      <c r="B2" s="221"/>
      <c r="AZ2" s="222" t="s">
        <v>239</v>
      </c>
      <c r="BA2" s="223"/>
      <c r="BB2" s="223"/>
      <c r="BC2" s="223"/>
      <c r="BD2" s="223"/>
      <c r="BE2" s="223"/>
      <c r="BF2" s="223"/>
      <c r="BG2" s="223"/>
      <c r="BH2" s="223"/>
      <c r="BI2" s="223"/>
      <c r="BJ2" s="223"/>
      <c r="BK2" s="223"/>
      <c r="BL2" s="223"/>
      <c r="BM2" s="223"/>
      <c r="BN2" s="223"/>
      <c r="BO2" s="223"/>
      <c r="BP2" s="223"/>
      <c r="BQ2" s="223"/>
      <c r="BR2" s="223"/>
      <c r="BS2" s="223"/>
      <c r="BT2" s="223"/>
      <c r="BU2" s="223"/>
      <c r="BV2" s="223"/>
      <c r="BW2" s="223"/>
    </row>
    <row r="3" spans="1:75" ht="12.75" x14ac:dyDescent="0.2">
      <c r="A3" s="69" t="s">
        <v>240</v>
      </c>
      <c r="B3" s="221"/>
    </row>
    <row r="4" spans="1:75" ht="12.75" x14ac:dyDescent="0.2">
      <c r="A4" s="23" t="s">
        <v>241</v>
      </c>
      <c r="B4" s="224">
        <f ca="1">AVERAGEIFS(4:4,$1:$1,"&gt;="&amp;DATE(YEAR(Current_Month),MONTH(Current_Month)-2,DAY(Current_Month)),$1:$1,"&lt;="&amp;EOMONTH(Current_Month,0))</f>
        <v>820098.39666666661</v>
      </c>
      <c r="D4" s="115">
        <f t="array" aca="1" ref="D4" ca="1">INDEX(INDIRECT("PnL_"&amp;TEXT(D$1,"mmm")&amp;"_"&amp;TEXT(D$1,"yyyy")),MATCH(TRIM($A4),PnL_Accounts,0))</f>
        <v>303373</v>
      </c>
      <c r="E4" s="115">
        <f t="array" aca="1" ref="E4" ca="1">INDEX(INDIRECT("PnL_"&amp;TEXT(E$1,"mmm")&amp;"_"&amp;TEXT(E$1,"yyyy")),MATCH(TRIM($A4),PnL_Accounts,0))</f>
        <v>321057</v>
      </c>
      <c r="F4" s="115">
        <f t="array" aca="1" ref="F4" ca="1">INDEX(INDIRECT("PnL_"&amp;TEXT(F$1,"mmm")&amp;"_"&amp;TEXT(F$1,"yyyy")),MATCH(TRIM($A4),PnL_Accounts,0))</f>
        <v>340521</v>
      </c>
      <c r="G4" s="115">
        <f t="array" aca="1" ref="G4" ca="1">INDEX(INDIRECT("PnL_"&amp;TEXT(G$1,"mmm")&amp;"_"&amp;TEXT(G$1,"yyyy")),MATCH(TRIM($A4),PnL_Accounts,0))</f>
        <v>360770</v>
      </c>
      <c r="H4" s="115">
        <f t="array" aca="1" ref="H4" ca="1">INDEX(INDIRECT("PnL_"&amp;TEXT(H$1,"mmm")&amp;"_"&amp;TEXT(H$1,"yyyy")),MATCH(TRIM($A4),PnL_Accounts,0))</f>
        <v>386024</v>
      </c>
      <c r="I4" s="115">
        <f t="array" aca="1" ref="I4" ca="1">INDEX(INDIRECT("PnL_"&amp;TEXT(I$1,"mmm")&amp;"_"&amp;TEXT(I$1,"yyyy")),MATCH(TRIM($A4),PnL_Accounts,0))</f>
        <v>401465</v>
      </c>
      <c r="J4" s="115">
        <f t="array" aca="1" ref="J4" ca="1">INDEX(INDIRECT("PnL_"&amp;TEXT(J$1,"mmm")&amp;"_"&amp;TEXT(J$1,"yyyy")),MATCH(TRIM($A4),PnL_Accounts,0))</f>
        <v>424939</v>
      </c>
      <c r="K4" s="115">
        <f t="array" aca="1" ref="K4" ca="1">INDEX(INDIRECT("PnL_"&amp;TEXT(K$1,"mmm")&amp;"_"&amp;TEXT(K$1,"yyyy")),MATCH(TRIM($A4),PnL_Accounts,0))</f>
        <v>438925</v>
      </c>
      <c r="L4" s="115">
        <f t="array" aca="1" ref="L4" ca="1">INDEX(INDIRECT("PnL_"&amp;TEXT(L$1,"mmm")&amp;"_"&amp;TEXT(L$1,"yyyy")),MATCH(TRIM($A4),PnL_Accounts,0))</f>
        <v>452768</v>
      </c>
      <c r="M4" s="115">
        <f t="array" aca="1" ref="M4" ca="1">INDEX(INDIRECT("PnL_"&amp;TEXT(M$1,"mmm")&amp;"_"&amp;TEXT(M$1,"yyyy")),MATCH(TRIM($A4),PnL_Accounts,0))</f>
        <v>465957</v>
      </c>
      <c r="N4" s="115">
        <f t="array" aca="1" ref="N4" ca="1">INDEX(INDIRECT("PnL_"&amp;TEXT(N$1,"mmm")&amp;"_"&amp;TEXT(N$1,"yyyy")),MATCH(TRIM($A4),PnL_Accounts,0))</f>
        <v>479118</v>
      </c>
      <c r="O4" s="115">
        <f t="array" aca="1" ref="O4" ca="1">INDEX(INDIRECT("PnL_"&amp;TEXT(O$1,"mmm")&amp;"_"&amp;TEXT(O$1,"yyyy")),MATCH(TRIM($A4),PnL_Accounts,0))</f>
        <v>491501</v>
      </c>
      <c r="P4" s="115">
        <f t="array" aca="1" ref="P4" ca="1">INDEX(INDIRECT("PnL_"&amp;TEXT(P$1,"mmm")&amp;"_"&amp;TEXT(P$1,"yyyy")),MATCH(TRIM($A4),PnL_Accounts,0))</f>
        <v>505058</v>
      </c>
      <c r="Q4" s="115">
        <f t="array" aca="1" ref="Q4" ca="1">INDEX(INDIRECT("PnL_"&amp;TEXT(Q$1,"mmm")&amp;"_"&amp;TEXT(Q$1,"yyyy")),MATCH(TRIM($A4),PnL_Accounts,0))</f>
        <v>525437</v>
      </c>
      <c r="R4" s="115">
        <f t="array" aca="1" ref="R4" ca="1">INDEX(INDIRECT("PnL_"&amp;TEXT(R$1,"mmm")&amp;"_"&amp;TEXT(R$1,"yyyy")),MATCH(TRIM($A4),PnL_Accounts,0))</f>
        <v>542733</v>
      </c>
      <c r="S4" s="115">
        <f t="array" aca="1" ref="S4" ca="1">INDEX(INDIRECT("PnL_"&amp;TEXT(S$1,"mmm")&amp;"_"&amp;TEXT(S$1,"yyyy")),MATCH(TRIM($A4),PnL_Accounts,0))</f>
        <v>598887</v>
      </c>
      <c r="T4" s="115">
        <f t="array" aca="1" ref="T4" ca="1">INDEX(INDIRECT("PnL_"&amp;TEXT(T$1,"mmm")&amp;"_"&amp;TEXT(T$1,"yyyy")),MATCH(TRIM($A4),PnL_Accounts,0))</f>
        <v>614053</v>
      </c>
      <c r="U4" s="115">
        <f t="array" aca="1" ref="U4" ca="1">INDEX(INDIRECT("PnL_"&amp;TEXT(U$1,"mmm")&amp;"_"&amp;TEXT(U$1,"yyyy")),MATCH(TRIM($A4),PnL_Accounts,0))</f>
        <v>637488</v>
      </c>
      <c r="V4" s="115">
        <f t="array" aca="1" ref="V4" ca="1">INDEX(INDIRECT("PnL_"&amp;TEXT(V$1,"mmm")&amp;"_"&amp;TEXT(V$1,"yyyy")),MATCH(TRIM($A4),PnL_Accounts,0))</f>
        <v>657516</v>
      </c>
      <c r="W4" s="115">
        <f t="array" aca="1" ref="W4" ca="1">INDEX(INDIRECT("PnL_"&amp;TEXT(W$1,"mmm")&amp;"_"&amp;TEXT(W$1,"yyyy")),MATCH(TRIM($A4),PnL_Accounts,0))</f>
        <v>685483</v>
      </c>
      <c r="X4" s="115">
        <f t="array" aca="1" ref="X4" ca="1">INDEX(INDIRECT("PnL_"&amp;TEXT(X$1,"mmm")&amp;"_"&amp;TEXT(X$1,"yyyy")),MATCH(TRIM($A4),PnL_Accounts,0))</f>
        <v>718774</v>
      </c>
      <c r="Y4" s="115">
        <f t="array" aca="1" ref="Y4" ca="1">INDEX(INDIRECT("PnL_"&amp;TEXT(Y$1,"mmm")&amp;"_"&amp;TEXT(Y$1,"yyyy")),MATCH(TRIM($A4),PnL_Accounts,0))</f>
        <v>754542</v>
      </c>
      <c r="Z4" s="115">
        <f t="array" aca="1" ref="Z4" ca="1">INDEX(INDIRECT("PnL_"&amp;TEXT(Z$1,"mmm")&amp;"_"&amp;TEXT(Z$1,"yyyy")),MATCH(TRIM($A4),PnL_Accounts,0))</f>
        <v>787554</v>
      </c>
      <c r="AA4" s="115">
        <f t="array" aca="1" ref="AA4" ca="1">INDEX(INDIRECT("PnL_"&amp;TEXT(AA$1,"mmm")&amp;"_"&amp;TEXT(AA$1,"yyyy")),MATCH(TRIM($A4),PnL_Accounts,0))</f>
        <v>808046</v>
      </c>
      <c r="AB4" s="115">
        <f t="array" aca="1" ref="AB4" ca="1">INDEX(INDIRECT("PnL_"&amp;TEXT(AB$1,"mmm")&amp;"_"&amp;TEXT(AB$1,"yyyy")),MATCH(TRIM($A4),PnL_Accounts,0))</f>
        <v>824529</v>
      </c>
      <c r="AC4" s="115">
        <f t="array" aca="1" ref="AC4" ca="1">INDEX(INDIRECT("PnL_"&amp;TEXT(AC$1,"mmm")&amp;"_"&amp;TEXT(AC$1,"yyyy")),MATCH(TRIM($A4),PnL_Accounts,0))</f>
        <v>844626</v>
      </c>
      <c r="AD4" s="115">
        <f t="array" aca="1" ref="AD4" ca="1">INDEX(INDIRECT("PnL_"&amp;TEXT(AD$1,"mmm")&amp;"_"&amp;TEXT(AD$1,"yyyy")),MATCH(TRIM($A4),PnL_Accounts,0))</f>
        <v>819162.19</v>
      </c>
      <c r="AE4" s="115">
        <f t="array" aca="1" ref="AE4" ca="1">INDEX(INDIRECT("PnL_"&amp;TEXT(AE$1,"mmm")&amp;"_"&amp;TEXT(AE$1,"yyyy")),MATCH(TRIM($A4),PnL_Accounts,0))</f>
        <v>796507</v>
      </c>
      <c r="AF4" s="25">
        <f t="array" aca="1" ref="AF4" ca="1">INDEX(Revenue_Model_MRR,MATCH(AF$1,Revenue_Model_Months,0))</f>
        <v>780349.42888759938</v>
      </c>
      <c r="AG4" s="25">
        <f t="array" aca="1" ref="AG4" ca="1">INDEX(Revenue_Model_MRR,MATCH(AG$1,Revenue_Model_Months,0))</f>
        <v>776838.89834164642</v>
      </c>
      <c r="AH4" s="25">
        <f t="array" aca="1" ref="AH4" ca="1">INDEX(Revenue_Model_MRR,MATCH(AH$1,Revenue_Model_Months,0))</f>
        <v>784307.49639270024</v>
      </c>
      <c r="AI4" s="25">
        <f t="array" aca="1" ref="AI4" ca="1">INDEX(Revenue_Model_MRR,MATCH(AI$1,Revenue_Model_Months,0))</f>
        <v>794270.11839480256</v>
      </c>
      <c r="AJ4" s="25">
        <f t="array" aca="1" ref="AJ4" ca="1">INDEX(Revenue_Model_MRR,MATCH(AJ$1,Revenue_Model_Months,0))</f>
        <v>810446.91710921796</v>
      </c>
      <c r="AK4" s="25">
        <f t="array" aca="1" ref="AK4" ca="1">INDEX(Revenue_Model_MRR,MATCH(AK$1,Revenue_Model_Months,0))</f>
        <v>828843.4436886058</v>
      </c>
      <c r="AL4" s="25">
        <f t="array" aca="1" ref="AL4" ca="1">INDEX(Revenue_Model_MRR,MATCH(AL$1,Revenue_Model_Months,0))</f>
        <v>846201.42083742563</v>
      </c>
      <c r="AM4" s="25">
        <f t="array" aca="1" ref="AM4" ca="1">INDEX(Revenue_Model_MRR,MATCH(AM$1,Revenue_Model_Months,0))</f>
        <v>864575.11305563885</v>
      </c>
      <c r="AN4" s="25">
        <f t="array" aca="1" ref="AN4" ca="1">INDEX(Revenue_Model_MRR,MATCH(AN$1,Revenue_Model_Months,0))</f>
        <v>882839.9823146424</v>
      </c>
      <c r="AO4" s="25">
        <f t="array" aca="1" ref="AO4" ca="1">INDEX(Revenue_Model_MRR,MATCH(AO$1,Revenue_Model_Months,0))</f>
        <v>902246.59964331996</v>
      </c>
      <c r="AP4" s="25">
        <f t="array" aca="1" ref="AP4" ca="1">INDEX(Revenue_Model_MRR,MATCH(AP$1,Revenue_Model_Months,0))</f>
        <v>921493.21251495357</v>
      </c>
      <c r="AQ4" s="25">
        <f t="array" aca="1" ref="AQ4" ca="1">INDEX(Revenue_Model_MRR,MATCH(AQ$1,Revenue_Model_Months,0))</f>
        <v>941858.92249037873</v>
      </c>
      <c r="AR4" s="25">
        <f t="array" aca="1" ref="AR4" ca="1">INDEX(Revenue_Model_MRR,MATCH(AR$1,Revenue_Model_Months,0))</f>
        <v>963330.71914236806</v>
      </c>
      <c r="AS4" s="25">
        <f t="array" aca="1" ref="AS4" ca="1">INDEX(Revenue_Model_MRR,MATCH(AS$1,Revenue_Model_Months,0))</f>
        <v>984645.77349427529</v>
      </c>
      <c r="AT4" s="25">
        <f t="array" aca="1" ref="AT4" ca="1">INDEX(Revenue_Model_MRR,MATCH(AT$1,Revenue_Model_Months,0))</f>
        <v>1007059.4490605886</v>
      </c>
      <c r="AU4" s="25">
        <f t="array" aca="1" ref="AU4" ca="1">INDEX(Revenue_Model_MRR,MATCH(AU$1,Revenue_Model_Months,0))</f>
        <v>1029314.1493517382</v>
      </c>
      <c r="AV4" s="25">
        <f t="array" aca="1" ref="AV4" ca="1">INDEX(Revenue_Model_MRR,MATCH(AV$1,Revenue_Model_Months,0))</f>
        <v>1052658.0192075358</v>
      </c>
      <c r="AW4" s="25">
        <f t="array" aca="1" ref="AW4" ca="1">INDEX(Revenue_Model_MRR,MATCH(AW$1,Revenue_Model_Months,0))</f>
        <v>1077084.2720350875</v>
      </c>
      <c r="AX4" s="25">
        <f t="array" aca="1" ref="AX4" ca="1">INDEX(Revenue_Model_MRR,MATCH(AX$1,Revenue_Model_Months,0))</f>
        <v>1101336.8030746204</v>
      </c>
      <c r="AY4" s="25">
        <f t="array" aca="1" ref="AY4" ca="1">INDEX(Revenue_Model_MRR,MATCH(AY$1,Revenue_Model_Months,0))</f>
        <v>1126664.7198087142</v>
      </c>
      <c r="AZ4" s="25">
        <f t="array" aca="1" ref="AZ4" ca="1">INDEX(Revenue_Model_MRR,MATCH(AZ$1,Revenue_Model_Months,0))</f>
        <v>1160464.6614029757</v>
      </c>
      <c r="BA4" s="25">
        <f t="array" aca="1" ref="BA4" ca="1">INDEX(Revenue_Model_MRR,MATCH(BA$1,Revenue_Model_Months,0))</f>
        <v>1195278.601245065</v>
      </c>
      <c r="BB4" s="25">
        <f t="array" aca="1" ref="BB4" ca="1">INDEX(Revenue_Model_MRR,MATCH(BB$1,Revenue_Model_Months,0))</f>
        <v>1231136.9592824169</v>
      </c>
      <c r="BC4" s="25">
        <f t="array" aca="1" ref="BC4" ca="1">INDEX(Revenue_Model_MRR,MATCH(BC$1,Revenue_Model_Months,0))</f>
        <v>1268071.0680608894</v>
      </c>
      <c r="BD4" s="25">
        <f t="array" aca="1" ref="BD4" ca="1">INDEX(Revenue_Model_MRR,MATCH(BD$1,Revenue_Model_Months,0))</f>
        <v>1306113.200102716</v>
      </c>
      <c r="BE4" s="25">
        <f t="array" aca="1" ref="BE4" ca="1">INDEX(Revenue_Model_MRR,MATCH(BE$1,Revenue_Model_Months,0))</f>
        <v>1345296.5961057974</v>
      </c>
      <c r="BF4" s="25">
        <f t="array" aca="1" ref="BF4" ca="1">INDEX(Revenue_Model_MRR,MATCH(BF$1,Revenue_Model_Months,0))</f>
        <v>1385655.4939889715</v>
      </c>
      <c r="BG4" s="25">
        <f t="array" aca="1" ref="BG4" ca="1">INDEX(Revenue_Model_MRR,MATCH(BG$1,Revenue_Model_Months,0))</f>
        <v>1427225.1588086407</v>
      </c>
      <c r="BH4" s="25">
        <f t="array" aca="1" ref="BH4" ca="1">INDEX(Revenue_Model_MRR,MATCH(BH$1,Revenue_Model_Months,0))</f>
        <v>1470041.9135729</v>
      </c>
      <c r="BI4" s="25">
        <f t="array" aca="1" ref="BI4" ca="1">INDEX(Revenue_Model_MRR,MATCH(BI$1,Revenue_Model_Months,0))</f>
        <v>1514143.170980087</v>
      </c>
      <c r="BJ4" s="25">
        <f t="array" aca="1" ref="BJ4" ca="1">INDEX(Revenue_Model_MRR,MATCH(BJ$1,Revenue_Model_Months,0))</f>
        <v>1559567.4661094896</v>
      </c>
      <c r="BK4" s="25">
        <f t="array" aca="1" ref="BK4" ca="1">INDEX(Revenue_Model_MRR,MATCH(BK$1,Revenue_Model_Months,0))</f>
        <v>1606354.4900927742</v>
      </c>
      <c r="BL4" s="25">
        <f t="array" aca="1" ref="BL4" ca="1">INDEX(Revenue_Model_MRR,MATCH(BL$1,Revenue_Model_Months,0))</f>
        <v>1654545.1247955575</v>
      </c>
      <c r="BM4" s="25">
        <f t="array" aca="1" ref="BM4" ca="1">INDEX(Revenue_Model_MRR,MATCH(BM$1,Revenue_Model_Months,0))</f>
        <v>1704181.4785394242</v>
      </c>
      <c r="BN4" s="25">
        <f t="array" aca="1" ref="BN4" ca="1">INDEX(Revenue_Model_MRR,MATCH(BN$1,Revenue_Model_Months,0))</f>
        <v>1755306.9228956071</v>
      </c>
      <c r="BO4" s="25">
        <f t="array" aca="1" ref="BO4" ca="1">INDEX(Revenue_Model_MRR,MATCH(BO$1,Revenue_Model_Months,0))</f>
        <v>1807966.1305824753</v>
      </c>
      <c r="BP4" s="25">
        <f t="array" aca="1" ref="BP4" ca="1">INDEX(Revenue_Model_MRR,MATCH(BP$1,Revenue_Model_Months,0))</f>
        <v>1862205.1144999496</v>
      </c>
      <c r="BQ4" s="25">
        <f t="array" aca="1" ref="BQ4" ca="1">INDEX(Revenue_Model_MRR,MATCH(BQ$1,Revenue_Model_Months,0))</f>
        <v>1918071.2679349482</v>
      </c>
      <c r="BR4" s="25">
        <f t="array" aca="1" ref="BR4" ca="1">INDEX(Revenue_Model_MRR,MATCH(BR$1,Revenue_Model_Months,0))</f>
        <v>1975613.4059729967</v>
      </c>
      <c r="BS4" s="25">
        <f t="array" aca="1" ref="BS4" ca="1">INDEX(Revenue_Model_MRR,MATCH(BS$1,Revenue_Model_Months,0))</f>
        <v>2034881.8081521867</v>
      </c>
      <c r="BT4" s="25">
        <f t="array" aca="1" ref="BT4" ca="1">INDEX(Revenue_Model_MRR,MATCH(BT$1,Revenue_Model_Months,0))</f>
        <v>2095928.2623967524</v>
      </c>
      <c r="BU4" s="25">
        <f t="array" aca="1" ref="BU4" ca="1">INDEX(Revenue_Model_MRR,MATCH(BU$1,Revenue_Model_Months,0))</f>
        <v>2158806.1102686548</v>
      </c>
      <c r="BV4" s="25">
        <f t="array" aca="1" ref="BV4" ca="1">INDEX(Revenue_Model_MRR,MATCH(BV$1,Revenue_Model_Months,0))</f>
        <v>2223570.2935767146</v>
      </c>
      <c r="BW4" s="25">
        <f t="array" aca="1" ref="BW4" ca="1">INDEX(Revenue_Model_MRR,MATCH(BW$1,Revenue_Model_Months,0))</f>
        <v>2290277.4023840162</v>
      </c>
    </row>
    <row r="5" spans="1:75" ht="12.75" x14ac:dyDescent="0.2">
      <c r="A5" s="60" t="s">
        <v>242</v>
      </c>
      <c r="B5" s="225"/>
      <c r="C5" s="226"/>
      <c r="D5" s="226">
        <f t="shared" ref="D5:BW5" ca="1" si="1">SUM(D3:D4)</f>
        <v>303373</v>
      </c>
      <c r="E5" s="226">
        <f t="shared" ca="1" si="1"/>
        <v>321057</v>
      </c>
      <c r="F5" s="226">
        <f t="shared" ca="1" si="1"/>
        <v>340521</v>
      </c>
      <c r="G5" s="226">
        <f t="shared" ca="1" si="1"/>
        <v>360770</v>
      </c>
      <c r="H5" s="226">
        <f t="shared" ca="1" si="1"/>
        <v>386024</v>
      </c>
      <c r="I5" s="226">
        <f t="shared" ca="1" si="1"/>
        <v>401465</v>
      </c>
      <c r="J5" s="226">
        <f t="shared" ca="1" si="1"/>
        <v>424939</v>
      </c>
      <c r="K5" s="226">
        <f t="shared" ca="1" si="1"/>
        <v>438925</v>
      </c>
      <c r="L5" s="226">
        <f t="shared" ca="1" si="1"/>
        <v>452768</v>
      </c>
      <c r="M5" s="226">
        <f t="shared" ca="1" si="1"/>
        <v>465957</v>
      </c>
      <c r="N5" s="226">
        <f t="shared" ca="1" si="1"/>
        <v>479118</v>
      </c>
      <c r="O5" s="226">
        <f t="shared" ca="1" si="1"/>
        <v>491501</v>
      </c>
      <c r="P5" s="226">
        <f t="shared" ca="1" si="1"/>
        <v>505058</v>
      </c>
      <c r="Q5" s="226">
        <f t="shared" ca="1" si="1"/>
        <v>525437</v>
      </c>
      <c r="R5" s="226">
        <f t="shared" ca="1" si="1"/>
        <v>542733</v>
      </c>
      <c r="S5" s="226">
        <f t="shared" ca="1" si="1"/>
        <v>598887</v>
      </c>
      <c r="T5" s="226">
        <f t="shared" ca="1" si="1"/>
        <v>614053</v>
      </c>
      <c r="U5" s="226">
        <f t="shared" ca="1" si="1"/>
        <v>637488</v>
      </c>
      <c r="V5" s="226">
        <f t="shared" ca="1" si="1"/>
        <v>657516</v>
      </c>
      <c r="W5" s="226">
        <f t="shared" ca="1" si="1"/>
        <v>685483</v>
      </c>
      <c r="X5" s="226">
        <f t="shared" ca="1" si="1"/>
        <v>718774</v>
      </c>
      <c r="Y5" s="226">
        <f t="shared" ca="1" si="1"/>
        <v>754542</v>
      </c>
      <c r="Z5" s="226">
        <f t="shared" ca="1" si="1"/>
        <v>787554</v>
      </c>
      <c r="AA5" s="226">
        <f t="shared" ca="1" si="1"/>
        <v>808046</v>
      </c>
      <c r="AB5" s="226">
        <f t="shared" ca="1" si="1"/>
        <v>824529</v>
      </c>
      <c r="AC5" s="226">
        <f t="shared" ca="1" si="1"/>
        <v>844626</v>
      </c>
      <c r="AD5" s="226">
        <f t="shared" ca="1" si="1"/>
        <v>819162.19</v>
      </c>
      <c r="AE5" s="226">
        <f t="shared" ca="1" si="1"/>
        <v>796507</v>
      </c>
      <c r="AF5" s="226">
        <f t="shared" ca="1" si="1"/>
        <v>780349.42888759938</v>
      </c>
      <c r="AG5" s="226">
        <f t="shared" ca="1" si="1"/>
        <v>776838.89834164642</v>
      </c>
      <c r="AH5" s="226">
        <f t="shared" ca="1" si="1"/>
        <v>784307.49639270024</v>
      </c>
      <c r="AI5" s="226">
        <f t="shared" ca="1" si="1"/>
        <v>794270.11839480256</v>
      </c>
      <c r="AJ5" s="226">
        <f t="shared" ca="1" si="1"/>
        <v>810446.91710921796</v>
      </c>
      <c r="AK5" s="226">
        <f t="shared" ca="1" si="1"/>
        <v>828843.4436886058</v>
      </c>
      <c r="AL5" s="226">
        <f t="shared" ca="1" si="1"/>
        <v>846201.42083742563</v>
      </c>
      <c r="AM5" s="226">
        <f t="shared" ca="1" si="1"/>
        <v>864575.11305563885</v>
      </c>
      <c r="AN5" s="226">
        <f t="shared" ca="1" si="1"/>
        <v>882839.9823146424</v>
      </c>
      <c r="AO5" s="226">
        <f t="shared" ca="1" si="1"/>
        <v>902246.59964331996</v>
      </c>
      <c r="AP5" s="226">
        <f t="shared" ca="1" si="1"/>
        <v>921493.21251495357</v>
      </c>
      <c r="AQ5" s="226">
        <f t="shared" ca="1" si="1"/>
        <v>941858.92249037873</v>
      </c>
      <c r="AR5" s="226">
        <f t="shared" ca="1" si="1"/>
        <v>963330.71914236806</v>
      </c>
      <c r="AS5" s="226">
        <f t="shared" ca="1" si="1"/>
        <v>984645.77349427529</v>
      </c>
      <c r="AT5" s="226">
        <f t="shared" ca="1" si="1"/>
        <v>1007059.4490605886</v>
      </c>
      <c r="AU5" s="226">
        <f t="shared" ca="1" si="1"/>
        <v>1029314.1493517382</v>
      </c>
      <c r="AV5" s="226">
        <f t="shared" ca="1" si="1"/>
        <v>1052658.0192075358</v>
      </c>
      <c r="AW5" s="226">
        <f t="shared" ca="1" si="1"/>
        <v>1077084.2720350875</v>
      </c>
      <c r="AX5" s="226">
        <f t="shared" ca="1" si="1"/>
        <v>1101336.8030746204</v>
      </c>
      <c r="AY5" s="226">
        <f t="shared" ca="1" si="1"/>
        <v>1126664.7198087142</v>
      </c>
      <c r="AZ5" s="226">
        <f t="shared" ca="1" si="1"/>
        <v>1160464.6614029757</v>
      </c>
      <c r="BA5" s="226">
        <f t="shared" ca="1" si="1"/>
        <v>1195278.601245065</v>
      </c>
      <c r="BB5" s="226">
        <f t="shared" ca="1" si="1"/>
        <v>1231136.9592824169</v>
      </c>
      <c r="BC5" s="226">
        <f t="shared" ca="1" si="1"/>
        <v>1268071.0680608894</v>
      </c>
      <c r="BD5" s="226">
        <f t="shared" ca="1" si="1"/>
        <v>1306113.200102716</v>
      </c>
      <c r="BE5" s="226">
        <f t="shared" ca="1" si="1"/>
        <v>1345296.5961057974</v>
      </c>
      <c r="BF5" s="226">
        <f t="shared" ca="1" si="1"/>
        <v>1385655.4939889715</v>
      </c>
      <c r="BG5" s="226">
        <f t="shared" ca="1" si="1"/>
        <v>1427225.1588086407</v>
      </c>
      <c r="BH5" s="226">
        <f t="shared" ca="1" si="1"/>
        <v>1470041.9135729</v>
      </c>
      <c r="BI5" s="226">
        <f t="shared" ca="1" si="1"/>
        <v>1514143.170980087</v>
      </c>
      <c r="BJ5" s="226">
        <f t="shared" ca="1" si="1"/>
        <v>1559567.4661094896</v>
      </c>
      <c r="BK5" s="226">
        <f t="shared" ca="1" si="1"/>
        <v>1606354.4900927742</v>
      </c>
      <c r="BL5" s="226">
        <f t="shared" ca="1" si="1"/>
        <v>1654545.1247955575</v>
      </c>
      <c r="BM5" s="226">
        <f t="shared" ca="1" si="1"/>
        <v>1704181.4785394242</v>
      </c>
      <c r="BN5" s="226">
        <f t="shared" ca="1" si="1"/>
        <v>1755306.9228956071</v>
      </c>
      <c r="BO5" s="226">
        <f t="shared" ca="1" si="1"/>
        <v>1807966.1305824753</v>
      </c>
      <c r="BP5" s="226">
        <f t="shared" ca="1" si="1"/>
        <v>1862205.1144999496</v>
      </c>
      <c r="BQ5" s="226">
        <f t="shared" ca="1" si="1"/>
        <v>1918071.2679349482</v>
      </c>
      <c r="BR5" s="226">
        <f t="shared" ca="1" si="1"/>
        <v>1975613.4059729967</v>
      </c>
      <c r="BS5" s="226">
        <f t="shared" ca="1" si="1"/>
        <v>2034881.8081521867</v>
      </c>
      <c r="BT5" s="226">
        <f t="shared" ca="1" si="1"/>
        <v>2095928.2623967524</v>
      </c>
      <c r="BU5" s="226">
        <f t="shared" ca="1" si="1"/>
        <v>2158806.1102686548</v>
      </c>
      <c r="BV5" s="226">
        <f t="shared" ca="1" si="1"/>
        <v>2223570.2935767146</v>
      </c>
      <c r="BW5" s="226">
        <f t="shared" ca="1" si="1"/>
        <v>2290277.4023840162</v>
      </c>
    </row>
    <row r="6" spans="1:75" ht="12.75" x14ac:dyDescent="0.2">
      <c r="A6" s="69" t="s">
        <v>244</v>
      </c>
      <c r="B6" s="221"/>
      <c r="D6" s="115">
        <f t="array" aca="1" ref="D6" ca="1">INDEX(INDIRECT("PnL_"&amp;TEXT(D$1,"mmm")&amp;"_"&amp;TEXT(D$1,"yyyy")),MATCH(TRIM($A5),PnL_Accounts,0))-D5</f>
        <v>0</v>
      </c>
      <c r="E6" s="115">
        <f t="array" aca="1" ref="E6" ca="1">INDEX(INDIRECT("PnL_"&amp;TEXT(E$1,"mmm")&amp;"_"&amp;TEXT(E$1,"yyyy")),MATCH(TRIM($A5),PnL_Accounts,0))-E5</f>
        <v>0</v>
      </c>
      <c r="F6" s="115">
        <f t="array" aca="1" ref="F6" ca="1">INDEX(INDIRECT("PnL_"&amp;TEXT(F$1,"mmm")&amp;"_"&amp;TEXT(F$1,"yyyy")),MATCH(TRIM($A5),PnL_Accounts,0))-F5</f>
        <v>0</v>
      </c>
      <c r="G6" s="115">
        <f t="array" aca="1" ref="G6" ca="1">INDEX(INDIRECT("PnL_"&amp;TEXT(G$1,"mmm")&amp;"_"&amp;TEXT(G$1,"yyyy")),MATCH(TRIM($A5),PnL_Accounts,0))-G5</f>
        <v>0</v>
      </c>
      <c r="H6" s="115">
        <f t="array" aca="1" ref="H6" ca="1">INDEX(INDIRECT("PnL_"&amp;TEXT(H$1,"mmm")&amp;"_"&amp;TEXT(H$1,"yyyy")),MATCH(TRIM($A5),PnL_Accounts,0))-H5</f>
        <v>0</v>
      </c>
      <c r="I6" s="115">
        <f t="array" aca="1" ref="I6" ca="1">INDEX(INDIRECT("PnL_"&amp;TEXT(I$1,"mmm")&amp;"_"&amp;TEXT(I$1,"yyyy")),MATCH(TRIM($A5),PnL_Accounts,0))-I5</f>
        <v>0</v>
      </c>
      <c r="J6" s="115">
        <f t="array" aca="1" ref="J6" ca="1">INDEX(INDIRECT("PnL_"&amp;TEXT(J$1,"mmm")&amp;"_"&amp;TEXT(J$1,"yyyy")),MATCH(TRIM($A5),PnL_Accounts,0))-J5</f>
        <v>0</v>
      </c>
      <c r="K6" s="115">
        <f t="array" aca="1" ref="K6" ca="1">INDEX(INDIRECT("PnL_"&amp;TEXT(K$1,"mmm")&amp;"_"&amp;TEXT(K$1,"yyyy")),MATCH(TRIM($A5),PnL_Accounts,0))-K5</f>
        <v>0</v>
      </c>
      <c r="L6" s="115">
        <f t="array" aca="1" ref="L6" ca="1">INDEX(INDIRECT("PnL_"&amp;TEXT(L$1,"mmm")&amp;"_"&amp;TEXT(L$1,"yyyy")),MATCH(TRIM($A5),PnL_Accounts,0))-L5</f>
        <v>0</v>
      </c>
      <c r="M6" s="115">
        <f t="array" aca="1" ref="M6" ca="1">INDEX(INDIRECT("PnL_"&amp;TEXT(M$1,"mmm")&amp;"_"&amp;TEXT(M$1,"yyyy")),MATCH(TRIM($A5),PnL_Accounts,0))-M5</f>
        <v>0</v>
      </c>
      <c r="N6" s="115">
        <f t="array" aca="1" ref="N6" ca="1">INDEX(INDIRECT("PnL_"&amp;TEXT(N$1,"mmm")&amp;"_"&amp;TEXT(N$1,"yyyy")),MATCH(TRIM($A5),PnL_Accounts,0))-N5</f>
        <v>0</v>
      </c>
      <c r="O6" s="115">
        <f t="array" aca="1" ref="O6" ca="1">INDEX(INDIRECT("PnL_"&amp;TEXT(O$1,"mmm")&amp;"_"&amp;TEXT(O$1,"yyyy")),MATCH(TRIM($A5),PnL_Accounts,0))-O5</f>
        <v>0</v>
      </c>
      <c r="P6" s="115">
        <f t="array" aca="1" ref="P6" ca="1">INDEX(INDIRECT("PnL_"&amp;TEXT(P$1,"mmm")&amp;"_"&amp;TEXT(P$1,"yyyy")),MATCH(TRIM($A5),PnL_Accounts,0))-P5</f>
        <v>0</v>
      </c>
      <c r="Q6" s="115">
        <f t="array" aca="1" ref="Q6" ca="1">INDEX(INDIRECT("PnL_"&amp;TEXT(Q$1,"mmm")&amp;"_"&amp;TEXT(Q$1,"yyyy")),MATCH(TRIM($A5),PnL_Accounts,0))-Q5</f>
        <v>0</v>
      </c>
      <c r="R6" s="115">
        <f t="array" aca="1" ref="R6" ca="1">INDEX(INDIRECT("PnL_"&amp;TEXT(R$1,"mmm")&amp;"_"&amp;TEXT(R$1,"yyyy")),MATCH(TRIM($A5),PnL_Accounts,0))-R5</f>
        <v>0</v>
      </c>
      <c r="S6" s="115">
        <f t="array" aca="1" ref="S6" ca="1">INDEX(INDIRECT("PnL_"&amp;TEXT(S$1,"mmm")&amp;"_"&amp;TEXT(S$1,"yyyy")),MATCH(TRIM($A5),PnL_Accounts,0))-S5</f>
        <v>0</v>
      </c>
      <c r="T6" s="115">
        <f t="array" aca="1" ref="T6" ca="1">INDEX(INDIRECT("PnL_"&amp;TEXT(T$1,"mmm")&amp;"_"&amp;TEXT(T$1,"yyyy")),MATCH(TRIM($A5),PnL_Accounts,0))-T5</f>
        <v>0</v>
      </c>
      <c r="U6" s="115">
        <f t="array" aca="1" ref="U6" ca="1">INDEX(INDIRECT("PnL_"&amp;TEXT(U$1,"mmm")&amp;"_"&amp;TEXT(U$1,"yyyy")),MATCH(TRIM($A5),PnL_Accounts,0))-U5</f>
        <v>0</v>
      </c>
      <c r="V6" s="115">
        <f t="array" aca="1" ref="V6" ca="1">INDEX(INDIRECT("PnL_"&amp;TEXT(V$1,"mmm")&amp;"_"&amp;TEXT(V$1,"yyyy")),MATCH(TRIM($A5),PnL_Accounts,0))-V5</f>
        <v>0</v>
      </c>
      <c r="W6" s="115">
        <f t="array" aca="1" ref="W6" ca="1">INDEX(INDIRECT("PnL_"&amp;TEXT(W$1,"mmm")&amp;"_"&amp;TEXT(W$1,"yyyy")),MATCH(TRIM($A5),PnL_Accounts,0))-W5</f>
        <v>0</v>
      </c>
      <c r="X6" s="115">
        <f t="array" aca="1" ref="X6" ca="1">INDEX(INDIRECT("PnL_"&amp;TEXT(X$1,"mmm")&amp;"_"&amp;TEXT(X$1,"yyyy")),MATCH(TRIM($A5),PnL_Accounts,0))-X5</f>
        <v>0</v>
      </c>
      <c r="Y6" s="115">
        <f t="array" aca="1" ref="Y6" ca="1">INDEX(INDIRECT("PnL_"&amp;TEXT(Y$1,"mmm")&amp;"_"&amp;TEXT(Y$1,"yyyy")),MATCH(TRIM($A5),PnL_Accounts,0))-Y5</f>
        <v>0</v>
      </c>
      <c r="Z6" s="115">
        <f t="array" aca="1" ref="Z6" ca="1">INDEX(INDIRECT("PnL_"&amp;TEXT(Z$1,"mmm")&amp;"_"&amp;TEXT(Z$1,"yyyy")),MATCH(TRIM($A5),PnL_Accounts,0))-Z5</f>
        <v>0</v>
      </c>
      <c r="AA6" s="115">
        <f t="array" aca="1" ref="AA6" ca="1">INDEX(INDIRECT("PnL_"&amp;TEXT(AA$1,"mmm")&amp;"_"&amp;TEXT(AA$1,"yyyy")),MATCH(TRIM($A5),PnL_Accounts,0))-AA5</f>
        <v>0</v>
      </c>
      <c r="AB6" s="115">
        <f t="array" aca="1" ref="AB6" ca="1">INDEX(INDIRECT("PnL_"&amp;TEXT(AB$1,"mmm")&amp;"_"&amp;TEXT(AB$1,"yyyy")),MATCH(TRIM($A5),PnL_Accounts,0))-AB5</f>
        <v>0</v>
      </c>
      <c r="AC6" s="115">
        <f t="array" aca="1" ref="AC6" ca="1">INDEX(INDIRECT("PnL_"&amp;TEXT(AC$1,"mmm")&amp;"_"&amp;TEXT(AC$1,"yyyy")),MATCH(TRIM($A5),PnL_Accounts,0))-AC5</f>
        <v>0</v>
      </c>
      <c r="AD6" s="115">
        <f t="array" aca="1" ref="AD6" ca="1">INDEX(INDIRECT("PnL_"&amp;TEXT(AD$1,"mmm")&amp;"_"&amp;TEXT(AD$1,"yyyy")),MATCH(TRIM($A5),PnL_Accounts,0))-AD5</f>
        <v>0</v>
      </c>
      <c r="AE6" s="115">
        <f t="array" aca="1" ref="AE6" ca="1">INDEX(INDIRECT("PnL_"&amp;TEXT(AE$1,"mmm")&amp;"_"&amp;TEXT(AE$1,"yyyy")),MATCH(TRIM($A5),PnL_Accounts,0))-AE5</f>
        <v>0</v>
      </c>
    </row>
    <row r="7" spans="1:75" ht="12.75" x14ac:dyDescent="0.2">
      <c r="A7" s="69" t="s">
        <v>245</v>
      </c>
      <c r="B7" s="221"/>
    </row>
    <row r="8" spans="1:75" ht="12.75" x14ac:dyDescent="0.2">
      <c r="A8" s="23" t="s">
        <v>246</v>
      </c>
      <c r="B8" s="221"/>
      <c r="D8" s="115">
        <f t="array" aca="1" ref="D8" ca="1">INDEX(INDIRECT("PnL_"&amp;TEXT(D$1,"mmm")&amp;"_"&amp;TEXT(D$1,"yyyy")),MATCH(TRIM($A8),PnL_Accounts,0))</f>
        <v>0</v>
      </c>
      <c r="E8" s="115">
        <f t="array" aca="1" ref="E8" ca="1">INDEX(INDIRECT("PnL_"&amp;TEXT(E$1,"mmm")&amp;"_"&amp;TEXT(E$1,"yyyy")),MATCH(TRIM($A8),PnL_Accounts,0))</f>
        <v>0</v>
      </c>
      <c r="F8" s="115">
        <f t="array" aca="1" ref="F8" ca="1">INDEX(INDIRECT("PnL_"&amp;TEXT(F$1,"mmm")&amp;"_"&amp;TEXT(F$1,"yyyy")),MATCH(TRIM($A8),PnL_Accounts,0))</f>
        <v>0</v>
      </c>
      <c r="G8" s="115">
        <f t="array" aca="1" ref="G8" ca="1">INDEX(INDIRECT("PnL_"&amp;TEXT(G$1,"mmm")&amp;"_"&amp;TEXT(G$1,"yyyy")),MATCH(TRIM($A8),PnL_Accounts,0))</f>
        <v>0</v>
      </c>
      <c r="H8" s="115">
        <f t="array" aca="1" ref="H8" ca="1">INDEX(INDIRECT("PnL_"&amp;TEXT(H$1,"mmm")&amp;"_"&amp;TEXT(H$1,"yyyy")),MATCH(TRIM($A8),PnL_Accounts,0))</f>
        <v>0</v>
      </c>
      <c r="I8" s="115">
        <f t="array" aca="1" ref="I8" ca="1">INDEX(INDIRECT("PnL_"&amp;TEXT(I$1,"mmm")&amp;"_"&amp;TEXT(I$1,"yyyy")),MATCH(TRIM($A8),PnL_Accounts,0))</f>
        <v>0</v>
      </c>
      <c r="J8" s="115">
        <f t="array" aca="1" ref="J8" ca="1">INDEX(INDIRECT("PnL_"&amp;TEXT(J$1,"mmm")&amp;"_"&amp;TEXT(J$1,"yyyy")),MATCH(TRIM($A8),PnL_Accounts,0))</f>
        <v>0</v>
      </c>
      <c r="K8" s="115">
        <f t="array" aca="1" ref="K8" ca="1">INDEX(INDIRECT("PnL_"&amp;TEXT(K$1,"mmm")&amp;"_"&amp;TEXT(K$1,"yyyy")),MATCH(TRIM($A8),PnL_Accounts,0))</f>
        <v>0</v>
      </c>
      <c r="L8" s="115">
        <f t="array" aca="1" ref="L8" ca="1">INDEX(INDIRECT("PnL_"&amp;TEXT(L$1,"mmm")&amp;"_"&amp;TEXT(L$1,"yyyy")),MATCH(TRIM($A8),PnL_Accounts,0))</f>
        <v>0</v>
      </c>
      <c r="M8" s="115">
        <f t="array" aca="1" ref="M8" ca="1">INDEX(INDIRECT("PnL_"&amp;TEXT(M$1,"mmm")&amp;"_"&amp;TEXT(M$1,"yyyy")),MATCH(TRIM($A8),PnL_Accounts,0))</f>
        <v>0</v>
      </c>
      <c r="N8" s="115">
        <f t="array" aca="1" ref="N8" ca="1">INDEX(INDIRECT("PnL_"&amp;TEXT(N$1,"mmm")&amp;"_"&amp;TEXT(N$1,"yyyy")),MATCH(TRIM($A8),PnL_Accounts,0))</f>
        <v>0</v>
      </c>
      <c r="O8" s="115">
        <f t="array" aca="1" ref="O8" ca="1">INDEX(INDIRECT("PnL_"&amp;TEXT(O$1,"mmm")&amp;"_"&amp;TEXT(O$1,"yyyy")),MATCH(TRIM($A8),PnL_Accounts,0))</f>
        <v>0</v>
      </c>
      <c r="P8" s="115">
        <f t="array" aca="1" ref="P8" ca="1">INDEX(INDIRECT("PnL_"&amp;TEXT(P$1,"mmm")&amp;"_"&amp;TEXT(P$1,"yyyy")),MATCH(TRIM($A8),PnL_Accounts,0))</f>
        <v>0</v>
      </c>
      <c r="Q8" s="115">
        <f t="array" aca="1" ref="Q8" ca="1">INDEX(INDIRECT("PnL_"&amp;TEXT(Q$1,"mmm")&amp;"_"&amp;TEXT(Q$1,"yyyy")),MATCH(TRIM($A8),PnL_Accounts,0))</f>
        <v>0</v>
      </c>
      <c r="R8" s="115">
        <f t="array" aca="1" ref="R8" ca="1">INDEX(INDIRECT("PnL_"&amp;TEXT(R$1,"mmm")&amp;"_"&amp;TEXT(R$1,"yyyy")),MATCH(TRIM($A8),PnL_Accounts,0))</f>
        <v>0</v>
      </c>
      <c r="S8" s="115">
        <f t="array" aca="1" ref="S8" ca="1">INDEX(INDIRECT("PnL_"&amp;TEXT(S$1,"mmm")&amp;"_"&amp;TEXT(S$1,"yyyy")),MATCH(TRIM($A8),PnL_Accounts,0))</f>
        <v>0</v>
      </c>
      <c r="T8" s="115">
        <f t="array" aca="1" ref="T8" ca="1">INDEX(INDIRECT("PnL_"&amp;TEXT(T$1,"mmm")&amp;"_"&amp;TEXT(T$1,"yyyy")),MATCH(TRIM($A8),PnL_Accounts,0))</f>
        <v>0</v>
      </c>
      <c r="U8" s="115">
        <f t="array" aca="1" ref="U8" ca="1">INDEX(INDIRECT("PnL_"&amp;TEXT(U$1,"mmm")&amp;"_"&amp;TEXT(U$1,"yyyy")),MATCH(TRIM($A8),PnL_Accounts,0))</f>
        <v>0</v>
      </c>
      <c r="V8" s="115">
        <f t="array" aca="1" ref="V8" ca="1">INDEX(INDIRECT("PnL_"&amp;TEXT(V$1,"mmm")&amp;"_"&amp;TEXT(V$1,"yyyy")),MATCH(TRIM($A8),PnL_Accounts,0))</f>
        <v>0</v>
      </c>
      <c r="W8" s="115">
        <f t="array" aca="1" ref="W8" ca="1">INDEX(INDIRECT("PnL_"&amp;TEXT(W$1,"mmm")&amp;"_"&amp;TEXT(W$1,"yyyy")),MATCH(TRIM($A8),PnL_Accounts,0))</f>
        <v>0</v>
      </c>
      <c r="X8" s="115">
        <f t="array" aca="1" ref="X8" ca="1">INDEX(INDIRECT("PnL_"&amp;TEXT(X$1,"mmm")&amp;"_"&amp;TEXT(X$1,"yyyy")),MATCH(TRIM($A8),PnL_Accounts,0))</f>
        <v>0</v>
      </c>
      <c r="Y8" s="115">
        <f t="array" aca="1" ref="Y8" ca="1">INDEX(INDIRECT("PnL_"&amp;TEXT(Y$1,"mmm")&amp;"_"&amp;TEXT(Y$1,"yyyy")),MATCH(TRIM($A8),PnL_Accounts,0))</f>
        <v>0</v>
      </c>
      <c r="Z8" s="115">
        <f t="array" aca="1" ref="Z8" ca="1">INDEX(INDIRECT("PnL_"&amp;TEXT(Z$1,"mmm")&amp;"_"&amp;TEXT(Z$1,"yyyy")),MATCH(TRIM($A8),PnL_Accounts,0))</f>
        <v>0</v>
      </c>
      <c r="AA8" s="115">
        <f t="array" aca="1" ref="AA8" ca="1">INDEX(INDIRECT("PnL_"&amp;TEXT(AA$1,"mmm")&amp;"_"&amp;TEXT(AA$1,"yyyy")),MATCH(TRIM($A8),PnL_Accounts,0))</f>
        <v>0</v>
      </c>
      <c r="AB8" s="115">
        <f t="array" aca="1" ref="AB8" ca="1">INDEX(INDIRECT("PnL_"&amp;TEXT(AB$1,"mmm")&amp;"_"&amp;TEXT(AB$1,"yyyy")),MATCH(TRIM($A8),PnL_Accounts,0))</f>
        <v>0</v>
      </c>
      <c r="AC8" s="115">
        <f t="array" aca="1" ref="AC8" ca="1">INDEX(INDIRECT("PnL_"&amp;TEXT(AC$1,"mmm")&amp;"_"&amp;TEXT(AC$1,"yyyy")),MATCH(TRIM($A8),PnL_Accounts,0))</f>
        <v>0</v>
      </c>
      <c r="AD8" s="115">
        <f t="array" aca="1" ref="AD8" ca="1">INDEX(INDIRECT("PnL_"&amp;TEXT(AD$1,"mmm")&amp;"_"&amp;TEXT(AD$1,"yyyy")),MATCH(TRIM($A8),PnL_Accounts,0))</f>
        <v>0</v>
      </c>
      <c r="AE8" s="115">
        <f t="array" aca="1" ref="AE8" ca="1">INDEX(INDIRECT("PnL_"&amp;TEXT(AE$1,"mmm")&amp;"_"&amp;TEXT(AE$1,"yyyy")),MATCH(TRIM($A8),PnL_Accounts,0))</f>
        <v>0</v>
      </c>
    </row>
    <row r="9" spans="1:75" ht="12.75" x14ac:dyDescent="0.2">
      <c r="A9" s="23" t="s">
        <v>247</v>
      </c>
      <c r="B9" s="221"/>
      <c r="D9" s="115">
        <f t="array" aca="1" ref="D9" ca="1">INDEX(INDIRECT("PnL_"&amp;TEXT(D$1,"mmm")&amp;"_"&amp;TEXT(D$1,"yyyy")),MATCH(TRIM($A9),PnL_Accounts,0))</f>
        <v>0</v>
      </c>
      <c r="E9" s="115">
        <f t="array" aca="1" ref="E9" ca="1">INDEX(INDIRECT("PnL_"&amp;TEXT(E$1,"mmm")&amp;"_"&amp;TEXT(E$1,"yyyy")),MATCH(TRIM($A9),PnL_Accounts,0))</f>
        <v>0</v>
      </c>
      <c r="F9" s="115">
        <f t="array" aca="1" ref="F9" ca="1">INDEX(INDIRECT("PnL_"&amp;TEXT(F$1,"mmm")&amp;"_"&amp;TEXT(F$1,"yyyy")),MATCH(TRIM($A9),PnL_Accounts,0))</f>
        <v>0</v>
      </c>
      <c r="G9" s="115">
        <f t="array" aca="1" ref="G9" ca="1">INDEX(INDIRECT("PnL_"&amp;TEXT(G$1,"mmm")&amp;"_"&amp;TEXT(G$1,"yyyy")),MATCH(TRIM($A9),PnL_Accounts,0))</f>
        <v>0</v>
      </c>
      <c r="H9" s="115">
        <f t="array" aca="1" ref="H9" ca="1">INDEX(INDIRECT("PnL_"&amp;TEXT(H$1,"mmm")&amp;"_"&amp;TEXT(H$1,"yyyy")),MATCH(TRIM($A9),PnL_Accounts,0))</f>
        <v>0</v>
      </c>
      <c r="I9" s="115">
        <f t="array" aca="1" ref="I9" ca="1">INDEX(INDIRECT("PnL_"&amp;TEXT(I$1,"mmm")&amp;"_"&amp;TEXT(I$1,"yyyy")),MATCH(TRIM($A9),PnL_Accounts,0))</f>
        <v>0</v>
      </c>
      <c r="J9" s="115">
        <f t="array" aca="1" ref="J9" ca="1">INDEX(INDIRECT("PnL_"&amp;TEXT(J$1,"mmm")&amp;"_"&amp;TEXT(J$1,"yyyy")),MATCH(TRIM($A9),PnL_Accounts,0))</f>
        <v>0</v>
      </c>
      <c r="K9" s="115">
        <f t="array" aca="1" ref="K9" ca="1">INDEX(INDIRECT("PnL_"&amp;TEXT(K$1,"mmm")&amp;"_"&amp;TEXT(K$1,"yyyy")),MATCH(TRIM($A9),PnL_Accounts,0))</f>
        <v>0</v>
      </c>
      <c r="L9" s="115">
        <f t="array" aca="1" ref="L9" ca="1">INDEX(INDIRECT("PnL_"&amp;TEXT(L$1,"mmm")&amp;"_"&amp;TEXT(L$1,"yyyy")),MATCH(TRIM($A9),PnL_Accounts,0))</f>
        <v>0</v>
      </c>
      <c r="M9" s="115">
        <f t="array" aca="1" ref="M9" ca="1">INDEX(INDIRECT("PnL_"&amp;TEXT(M$1,"mmm")&amp;"_"&amp;TEXT(M$1,"yyyy")),MATCH(TRIM($A9),PnL_Accounts,0))</f>
        <v>0</v>
      </c>
      <c r="N9" s="115">
        <f t="array" aca="1" ref="N9" ca="1">INDEX(INDIRECT("PnL_"&amp;TEXT(N$1,"mmm")&amp;"_"&amp;TEXT(N$1,"yyyy")),MATCH(TRIM($A9),PnL_Accounts,0))</f>
        <v>0</v>
      </c>
      <c r="O9" s="115">
        <f t="array" aca="1" ref="O9" ca="1">INDEX(INDIRECT("PnL_"&amp;TEXT(O$1,"mmm")&amp;"_"&amp;TEXT(O$1,"yyyy")),MATCH(TRIM($A9),PnL_Accounts,0))</f>
        <v>0</v>
      </c>
      <c r="P9" s="115">
        <f t="array" aca="1" ref="P9" ca="1">INDEX(INDIRECT("PnL_"&amp;TEXT(P$1,"mmm")&amp;"_"&amp;TEXT(P$1,"yyyy")),MATCH(TRIM($A9),PnL_Accounts,0))</f>
        <v>0</v>
      </c>
      <c r="Q9" s="115">
        <f t="array" aca="1" ref="Q9" ca="1">INDEX(INDIRECT("PnL_"&amp;TEXT(Q$1,"mmm")&amp;"_"&amp;TEXT(Q$1,"yyyy")),MATCH(TRIM($A9),PnL_Accounts,0))</f>
        <v>0</v>
      </c>
      <c r="R9" s="115">
        <f t="array" aca="1" ref="R9" ca="1">INDEX(INDIRECT("PnL_"&amp;TEXT(R$1,"mmm")&amp;"_"&amp;TEXT(R$1,"yyyy")),MATCH(TRIM($A9),PnL_Accounts,0))</f>
        <v>0</v>
      </c>
      <c r="S9" s="115">
        <f t="array" aca="1" ref="S9" ca="1">INDEX(INDIRECT("PnL_"&amp;TEXT(S$1,"mmm")&amp;"_"&amp;TEXT(S$1,"yyyy")),MATCH(TRIM($A9),PnL_Accounts,0))</f>
        <v>0</v>
      </c>
      <c r="T9" s="115">
        <f t="array" aca="1" ref="T9" ca="1">INDEX(INDIRECT("PnL_"&amp;TEXT(T$1,"mmm")&amp;"_"&amp;TEXT(T$1,"yyyy")),MATCH(TRIM($A9),PnL_Accounts,0))</f>
        <v>0</v>
      </c>
      <c r="U9" s="115">
        <f t="array" aca="1" ref="U9" ca="1">INDEX(INDIRECT("PnL_"&amp;TEXT(U$1,"mmm")&amp;"_"&amp;TEXT(U$1,"yyyy")),MATCH(TRIM($A9),PnL_Accounts,0))</f>
        <v>0</v>
      </c>
      <c r="V9" s="115">
        <f t="array" aca="1" ref="V9" ca="1">INDEX(INDIRECT("PnL_"&amp;TEXT(V$1,"mmm")&amp;"_"&amp;TEXT(V$1,"yyyy")),MATCH(TRIM($A9),PnL_Accounts,0))</f>
        <v>0</v>
      </c>
      <c r="W9" s="115">
        <f t="array" aca="1" ref="W9" ca="1">INDEX(INDIRECT("PnL_"&amp;TEXT(W$1,"mmm")&amp;"_"&amp;TEXT(W$1,"yyyy")),MATCH(TRIM($A9),PnL_Accounts,0))</f>
        <v>0</v>
      </c>
      <c r="X9" s="115">
        <f t="array" aca="1" ref="X9" ca="1">INDEX(INDIRECT("PnL_"&amp;TEXT(X$1,"mmm")&amp;"_"&amp;TEXT(X$1,"yyyy")),MATCH(TRIM($A9),PnL_Accounts,0))</f>
        <v>0</v>
      </c>
      <c r="Y9" s="115">
        <f t="array" aca="1" ref="Y9" ca="1">INDEX(INDIRECT("PnL_"&amp;TEXT(Y$1,"mmm")&amp;"_"&amp;TEXT(Y$1,"yyyy")),MATCH(TRIM($A9),PnL_Accounts,0))</f>
        <v>0</v>
      </c>
      <c r="Z9" s="115">
        <f t="array" aca="1" ref="Z9" ca="1">INDEX(INDIRECT("PnL_"&amp;TEXT(Z$1,"mmm")&amp;"_"&amp;TEXT(Z$1,"yyyy")),MATCH(TRIM($A9),PnL_Accounts,0))</f>
        <v>0</v>
      </c>
      <c r="AA9" s="115">
        <f t="array" aca="1" ref="AA9" ca="1">INDEX(INDIRECT("PnL_"&amp;TEXT(AA$1,"mmm")&amp;"_"&amp;TEXT(AA$1,"yyyy")),MATCH(TRIM($A9),PnL_Accounts,0))</f>
        <v>0</v>
      </c>
      <c r="AB9" s="115">
        <f t="array" aca="1" ref="AB9" ca="1">INDEX(INDIRECT("PnL_"&amp;TEXT(AB$1,"mmm")&amp;"_"&amp;TEXT(AB$1,"yyyy")),MATCH(TRIM($A9),PnL_Accounts,0))</f>
        <v>0</v>
      </c>
      <c r="AC9" s="115">
        <f t="array" aca="1" ref="AC9" ca="1">INDEX(INDIRECT("PnL_"&amp;TEXT(AC$1,"mmm")&amp;"_"&amp;TEXT(AC$1,"yyyy")),MATCH(TRIM($A9),PnL_Accounts,0))</f>
        <v>0</v>
      </c>
      <c r="AD9" s="115">
        <f t="array" aca="1" ref="AD9" ca="1">INDEX(INDIRECT("PnL_"&amp;TEXT(AD$1,"mmm")&amp;"_"&amp;TEXT(AD$1,"yyyy")),MATCH(TRIM($A9),PnL_Accounts,0))</f>
        <v>0</v>
      </c>
      <c r="AE9" s="115">
        <f t="array" aca="1" ref="AE9" ca="1">INDEX(INDIRECT("PnL_"&amp;TEXT(AE$1,"mmm")&amp;"_"&amp;TEXT(AE$1,"yyyy")),MATCH(TRIM($A9),PnL_Accounts,0))</f>
        <v>0</v>
      </c>
    </row>
    <row r="10" spans="1:75" ht="12.75" x14ac:dyDescent="0.2">
      <c r="A10" s="23" t="s">
        <v>248</v>
      </c>
      <c r="B10" s="224">
        <f ca="1">AVERAGEIFS(10:10,$1:$1,"&gt;="&amp;DATE(YEAR(Current_Month),MONTH(Current_Month)-2,DAY(Current_Month)),$1:$1,"&lt;="&amp;EOMONTH(Current_Month,0))</f>
        <v>2973</v>
      </c>
      <c r="D10" s="115">
        <f t="array" aca="1" ref="D10" ca="1">INDEX(INDIRECT("PnL_"&amp;TEXT(D$1,"mmm")&amp;"_"&amp;TEXT(D$1,"yyyy")),MATCH(TRIM($A10),PnL_Accounts,0))</f>
        <v>985</v>
      </c>
      <c r="E10" s="115">
        <f t="array" aca="1" ref="E10" ca="1">INDEX(INDIRECT("PnL_"&amp;TEXT(E$1,"mmm")&amp;"_"&amp;TEXT(E$1,"yyyy")),MATCH(TRIM($A10),PnL_Accounts,0))</f>
        <v>985</v>
      </c>
      <c r="F10" s="115">
        <f t="array" aca="1" ref="F10" ca="1">INDEX(INDIRECT("PnL_"&amp;TEXT(F$1,"mmm")&amp;"_"&amp;TEXT(F$1,"yyyy")),MATCH(TRIM($A10),PnL_Accounts,0))</f>
        <v>985</v>
      </c>
      <c r="G10" s="115">
        <f t="array" aca="1" ref="G10" ca="1">INDEX(INDIRECT("PnL_"&amp;TEXT(G$1,"mmm")&amp;"_"&amp;TEXT(G$1,"yyyy")),MATCH(TRIM($A10),PnL_Accounts,0))</f>
        <v>1182</v>
      </c>
      <c r="H10" s="115">
        <f t="array" aca="1" ref="H10" ca="1">INDEX(INDIRECT("PnL_"&amp;TEXT(H$1,"mmm")&amp;"_"&amp;TEXT(H$1,"yyyy")),MATCH(TRIM($A10),PnL_Accounts,0))</f>
        <v>1182</v>
      </c>
      <c r="I10" s="115">
        <f t="array" aca="1" ref="I10" ca="1">INDEX(INDIRECT("PnL_"&amp;TEXT(I$1,"mmm")&amp;"_"&amp;TEXT(I$1,"yyyy")),MATCH(TRIM($A10),PnL_Accounts,0))</f>
        <v>1182</v>
      </c>
      <c r="J10" s="115">
        <f t="array" aca="1" ref="J10" ca="1">INDEX(INDIRECT("PnL_"&amp;TEXT(J$1,"mmm")&amp;"_"&amp;TEXT(J$1,"yyyy")),MATCH(TRIM($A10),PnL_Accounts,0))</f>
        <v>1379</v>
      </c>
      <c r="K10" s="115">
        <f t="array" aca="1" ref="K10" ca="1">INDEX(INDIRECT("PnL_"&amp;TEXT(K$1,"mmm")&amp;"_"&amp;TEXT(K$1,"yyyy")),MATCH(TRIM($A10),PnL_Accounts,0))</f>
        <v>1379</v>
      </c>
      <c r="L10" s="115">
        <f t="array" aca="1" ref="L10" ca="1">INDEX(INDIRECT("PnL_"&amp;TEXT(L$1,"mmm")&amp;"_"&amp;TEXT(L$1,"yyyy")),MATCH(TRIM($A10),PnL_Accounts,0))</f>
        <v>1576</v>
      </c>
      <c r="M10" s="115">
        <f t="array" aca="1" ref="M10" ca="1">INDEX(INDIRECT("PnL_"&amp;TEXT(M$1,"mmm")&amp;"_"&amp;TEXT(M$1,"yyyy")),MATCH(TRIM($A10),PnL_Accounts,0))</f>
        <v>1576</v>
      </c>
      <c r="N10" s="115">
        <f t="array" aca="1" ref="N10" ca="1">INDEX(INDIRECT("PnL_"&amp;TEXT(N$1,"mmm")&amp;"_"&amp;TEXT(N$1,"yyyy")),MATCH(TRIM($A10),PnL_Accounts,0))</f>
        <v>1576</v>
      </c>
      <c r="O10" s="115">
        <f t="array" aca="1" ref="O10" ca="1">INDEX(INDIRECT("PnL_"&amp;TEXT(O$1,"mmm")&amp;"_"&amp;TEXT(O$1,"yyyy")),MATCH(TRIM($A10),PnL_Accounts,0))</f>
        <v>1773</v>
      </c>
      <c r="P10" s="115">
        <f t="array" aca="1" ref="P10" ca="1">INDEX(INDIRECT("PnL_"&amp;TEXT(P$1,"mmm")&amp;"_"&amp;TEXT(P$1,"yyyy")),MATCH(TRIM($A10),PnL_Accounts,0))</f>
        <v>1773</v>
      </c>
      <c r="Q10" s="115">
        <f t="array" aca="1" ref="Q10" ca="1">INDEX(INDIRECT("PnL_"&amp;TEXT(Q$1,"mmm")&amp;"_"&amp;TEXT(Q$1,"yyyy")),MATCH(TRIM($A10),PnL_Accounts,0))</f>
        <v>1773</v>
      </c>
      <c r="R10" s="115">
        <f t="array" aca="1" ref="R10" ca="1">INDEX(INDIRECT("PnL_"&amp;TEXT(R$1,"mmm")&amp;"_"&amp;TEXT(R$1,"yyyy")),MATCH(TRIM($A10),PnL_Accounts,0))</f>
        <v>1773</v>
      </c>
      <c r="S10" s="115">
        <f t="array" aca="1" ref="S10" ca="1">INDEX(INDIRECT("PnL_"&amp;TEXT(S$1,"mmm")&amp;"_"&amp;TEXT(S$1,"yyyy")),MATCH(TRIM($A10),PnL_Accounts,0))</f>
        <v>2773</v>
      </c>
      <c r="T10" s="115">
        <f t="array" aca="1" ref="T10" ca="1">INDEX(INDIRECT("PnL_"&amp;TEXT(T$1,"mmm")&amp;"_"&amp;TEXT(T$1,"yyyy")),MATCH(TRIM($A10),PnL_Accounts,0))</f>
        <v>2973</v>
      </c>
      <c r="U10" s="115">
        <f t="array" aca="1" ref="U10" ca="1">INDEX(INDIRECT("PnL_"&amp;TEXT(U$1,"mmm")&amp;"_"&amp;TEXT(U$1,"yyyy")),MATCH(TRIM($A10),PnL_Accounts,0))</f>
        <v>2973</v>
      </c>
      <c r="V10" s="115">
        <f t="array" aca="1" ref="V10" ca="1">INDEX(INDIRECT("PnL_"&amp;TEXT(V$1,"mmm")&amp;"_"&amp;TEXT(V$1,"yyyy")),MATCH(TRIM($A10),PnL_Accounts,0))</f>
        <v>2973</v>
      </c>
      <c r="W10" s="115">
        <f t="array" aca="1" ref="W10" ca="1">INDEX(INDIRECT("PnL_"&amp;TEXT(W$1,"mmm")&amp;"_"&amp;TEXT(W$1,"yyyy")),MATCH(TRIM($A10),PnL_Accounts,0))</f>
        <v>2973</v>
      </c>
      <c r="X10" s="115">
        <f t="array" aca="1" ref="X10" ca="1">INDEX(INDIRECT("PnL_"&amp;TEXT(X$1,"mmm")&amp;"_"&amp;TEXT(X$1,"yyyy")),MATCH(TRIM($A10),PnL_Accounts,0))</f>
        <v>2973</v>
      </c>
      <c r="Y10" s="115">
        <f t="array" aca="1" ref="Y10" ca="1">INDEX(INDIRECT("PnL_"&amp;TEXT(Y$1,"mmm")&amp;"_"&amp;TEXT(Y$1,"yyyy")),MATCH(TRIM($A10),PnL_Accounts,0))</f>
        <v>2973</v>
      </c>
      <c r="Z10" s="115">
        <f t="array" aca="1" ref="Z10" ca="1">INDEX(INDIRECT("PnL_"&amp;TEXT(Z$1,"mmm")&amp;"_"&amp;TEXT(Z$1,"yyyy")),MATCH(TRIM($A10),PnL_Accounts,0))</f>
        <v>2973</v>
      </c>
      <c r="AA10" s="115">
        <f t="array" aca="1" ref="AA10" ca="1">INDEX(INDIRECT("PnL_"&amp;TEXT(AA$1,"mmm")&amp;"_"&amp;TEXT(AA$1,"yyyy")),MATCH(TRIM($A10),PnL_Accounts,0))</f>
        <v>2973</v>
      </c>
      <c r="AB10" s="115">
        <f t="array" aca="1" ref="AB10" ca="1">INDEX(INDIRECT("PnL_"&amp;TEXT(AB$1,"mmm")&amp;"_"&amp;TEXT(AB$1,"yyyy")),MATCH(TRIM($A10),PnL_Accounts,0))</f>
        <v>2973</v>
      </c>
      <c r="AC10" s="115">
        <f t="array" aca="1" ref="AC10" ca="1">INDEX(INDIRECT("PnL_"&amp;TEXT(AC$1,"mmm")&amp;"_"&amp;TEXT(AC$1,"yyyy")),MATCH(TRIM($A10),PnL_Accounts,0))</f>
        <v>2973</v>
      </c>
      <c r="AD10" s="115">
        <f t="array" aca="1" ref="AD10" ca="1">INDEX(INDIRECT("PnL_"&amp;TEXT(AD$1,"mmm")&amp;"_"&amp;TEXT(AD$1,"yyyy")),MATCH(TRIM($A10),PnL_Accounts,0))</f>
        <v>2973</v>
      </c>
      <c r="AE10" s="115">
        <f t="array" aca="1" ref="AE10" ca="1">INDEX(INDIRECT("PnL_"&amp;TEXT(AE$1,"mmm")&amp;"_"&amp;TEXT(AE$1,"yyyy")),MATCH(TRIM($A10),PnL_Accounts,0))</f>
        <v>2973</v>
      </c>
      <c r="AF10" s="25">
        <f t="array" ref="AF10">INDEX(Hiring_Plan_Benefits_Support,MATCH(AF$1,Hiring_Plan_Months,0))</f>
        <v>3182.666666666667</v>
      </c>
      <c r="AG10" s="25">
        <f t="array" ref="AG10">INDEX(Hiring_Plan_Benefits_Support,MATCH(AG$1,Hiring_Plan_Months,0))</f>
        <v>3182.666666666667</v>
      </c>
      <c r="AH10" s="25">
        <f t="array" ref="AH10">INDEX(Hiring_Plan_Benefits_Support,MATCH(AH$1,Hiring_Plan_Months,0))</f>
        <v>3182.666666666667</v>
      </c>
      <c r="AI10" s="25">
        <f t="array" ref="AI10">INDEX(Hiring_Plan_Benefits_Support,MATCH(AI$1,Hiring_Plan_Months,0))</f>
        <v>3182.666666666667</v>
      </c>
      <c r="AJ10" s="25">
        <f t="array" ref="AJ10">INDEX(Hiring_Plan_Benefits_Support,MATCH(AJ$1,Hiring_Plan_Months,0))</f>
        <v>3182.666666666667</v>
      </c>
      <c r="AK10" s="25">
        <f t="array" ref="AK10">INDEX(Hiring_Plan_Benefits_Support,MATCH(AK$1,Hiring_Plan_Months,0))</f>
        <v>3949.3333333333339</v>
      </c>
      <c r="AL10" s="25">
        <f t="array" ref="AL10">INDEX(Hiring_Plan_Benefits_Support,MATCH(AL$1,Hiring_Plan_Months,0))</f>
        <v>3949.3333333333339</v>
      </c>
      <c r="AM10" s="25">
        <f t="array" ref="AM10">INDEX(Hiring_Plan_Benefits_Support,MATCH(AM$1,Hiring_Plan_Months,0))</f>
        <v>4732.666666666667</v>
      </c>
      <c r="AN10" s="25">
        <f t="array" ref="AN10">INDEX(Hiring_Plan_Benefits_Support,MATCH(AN$1,Hiring_Plan_Months,0))</f>
        <v>4732.666666666667</v>
      </c>
      <c r="AO10" s="25">
        <f t="array" ref="AO10">INDEX(Hiring_Plan_Benefits_Support,MATCH(AO$1,Hiring_Plan_Months,0))</f>
        <v>5499.3333333333339</v>
      </c>
      <c r="AP10" s="25">
        <f t="array" ref="AP10">INDEX(Hiring_Plan_Benefits_Support,MATCH(AP$1,Hiring_Plan_Months,0))</f>
        <v>5499.3333333333339</v>
      </c>
      <c r="AQ10" s="25">
        <f t="array" ref="AQ10">INDEX(Hiring_Plan_Benefits_Support,MATCH(AQ$1,Hiring_Plan_Months,0))</f>
        <v>5499.3333333333339</v>
      </c>
      <c r="AR10" s="25">
        <f t="array" ref="AR10">INDEX(Hiring_Plan_Benefits_Support,MATCH(AR$1,Hiring_Plan_Months,0))</f>
        <v>5499.3333333333339</v>
      </c>
      <c r="AS10" s="25">
        <f t="array" ref="AS10">INDEX(Hiring_Plan_Benefits_Support,MATCH(AS$1,Hiring_Plan_Months,0))</f>
        <v>5499.3333333333339</v>
      </c>
      <c r="AT10" s="25">
        <f t="array" ref="AT10">INDEX(Hiring_Plan_Benefits_Support,MATCH(AT$1,Hiring_Plan_Months,0))</f>
        <v>5499.3333333333339</v>
      </c>
      <c r="AU10" s="25">
        <f t="array" ref="AU10">INDEX(Hiring_Plan_Benefits_Support,MATCH(AU$1,Hiring_Plan_Months,0))</f>
        <v>5499.3333333333339</v>
      </c>
      <c r="AV10" s="25">
        <f t="array" ref="AV10">INDEX(Hiring_Plan_Benefits_Support,MATCH(AV$1,Hiring_Plan_Months,0))</f>
        <v>5499.3333333333339</v>
      </c>
      <c r="AW10" s="25">
        <f t="array" ref="AW10">INDEX(Hiring_Plan_Benefits_Support,MATCH(AW$1,Hiring_Plan_Months,0))</f>
        <v>5499.3333333333339</v>
      </c>
      <c r="AX10" s="25">
        <f t="array" ref="AX10">INDEX(Hiring_Plan_Benefits_Support,MATCH(AX$1,Hiring_Plan_Months,0))</f>
        <v>5499.3333333333339</v>
      </c>
      <c r="AY10" s="25">
        <f t="array" ref="AY10">INDEX(Hiring_Plan_Benefits_Support,MATCH(AY$1,Hiring_Plan_Months,0))</f>
        <v>5499.3333333333339</v>
      </c>
      <c r="AZ10" s="25">
        <f t="array" ref="AZ10">INDEX(Hiring_Plan_Benefits_Support,MATCH(AZ$1,Hiring_Plan_Months,0))</f>
        <v>5499.3333333333339</v>
      </c>
      <c r="BA10" s="25">
        <f t="array" ref="BA10">INDEX(Hiring_Plan_Benefits_Support,MATCH(BA$1,Hiring_Plan_Months,0))</f>
        <v>5499.3333333333339</v>
      </c>
      <c r="BB10" s="25">
        <f t="array" ref="BB10">INDEX(Hiring_Plan_Benefits_Support,MATCH(BB$1,Hiring_Plan_Months,0))</f>
        <v>5499.3333333333339</v>
      </c>
      <c r="BC10" s="25">
        <f t="array" ref="BC10">INDEX(Hiring_Plan_Benefits_Support,MATCH(BC$1,Hiring_Plan_Months,0))</f>
        <v>5499.3333333333339</v>
      </c>
      <c r="BD10" s="25">
        <f t="array" ref="BD10">INDEX(Hiring_Plan_Benefits_Support,MATCH(BD$1,Hiring_Plan_Months,0))</f>
        <v>5499.3333333333339</v>
      </c>
      <c r="BE10" s="25">
        <f t="array" ref="BE10">INDEX(Hiring_Plan_Benefits_Support,MATCH(BE$1,Hiring_Plan_Months,0))</f>
        <v>5499.3333333333339</v>
      </c>
      <c r="BF10" s="25">
        <f t="array" ref="BF10">INDEX(Hiring_Plan_Benefits_Support,MATCH(BF$1,Hiring_Plan_Months,0))</f>
        <v>5499.3333333333339</v>
      </c>
      <c r="BG10" s="25">
        <f t="array" ref="BG10">INDEX(Hiring_Plan_Benefits_Support,MATCH(BG$1,Hiring_Plan_Months,0))</f>
        <v>5499.3333333333339</v>
      </c>
      <c r="BH10" s="25">
        <f t="array" ref="BH10">INDEX(Hiring_Plan_Benefits_Support,MATCH(BH$1,Hiring_Plan_Months,0))</f>
        <v>5499.3333333333339</v>
      </c>
      <c r="BI10" s="25">
        <f t="array" ref="BI10">INDEX(Hiring_Plan_Benefits_Support,MATCH(BI$1,Hiring_Plan_Months,0))</f>
        <v>5499.3333333333339</v>
      </c>
      <c r="BJ10" s="25">
        <f t="array" ref="BJ10">INDEX(Hiring_Plan_Benefits_Support,MATCH(BJ$1,Hiring_Plan_Months,0))</f>
        <v>5499.3333333333339</v>
      </c>
      <c r="BK10" s="25">
        <f t="array" ref="BK10">INDEX(Hiring_Plan_Benefits_Support,MATCH(BK$1,Hiring_Plan_Months,0))</f>
        <v>5499.3333333333339</v>
      </c>
      <c r="BL10" s="25">
        <f t="array" ref="BL10">INDEX(Hiring_Plan_Benefits_Support,MATCH(BL$1,Hiring_Plan_Months,0))</f>
        <v>5499.3333333333339</v>
      </c>
      <c r="BM10" s="25">
        <f t="array" ref="BM10">INDEX(Hiring_Plan_Benefits_Support,MATCH(BM$1,Hiring_Plan_Months,0))</f>
        <v>5499.3333333333339</v>
      </c>
      <c r="BN10" s="25">
        <f t="array" ref="BN10">INDEX(Hiring_Plan_Benefits_Support,MATCH(BN$1,Hiring_Plan_Months,0))</f>
        <v>5499.3333333333339</v>
      </c>
      <c r="BO10" s="25">
        <f t="array" ref="BO10">INDEX(Hiring_Plan_Benefits_Support,MATCH(BO$1,Hiring_Plan_Months,0))</f>
        <v>5499.3333333333339</v>
      </c>
      <c r="BP10" s="25">
        <f t="array" ref="BP10">INDEX(Hiring_Plan_Benefits_Support,MATCH(BP$1,Hiring_Plan_Months,0))</f>
        <v>5499.3333333333339</v>
      </c>
      <c r="BQ10" s="25">
        <f t="array" ref="BQ10">INDEX(Hiring_Plan_Benefits_Support,MATCH(BQ$1,Hiring_Plan_Months,0))</f>
        <v>5499.3333333333339</v>
      </c>
      <c r="BR10" s="25">
        <f t="array" ref="BR10">INDEX(Hiring_Plan_Benefits_Support,MATCH(BR$1,Hiring_Plan_Months,0))</f>
        <v>5499.3333333333339</v>
      </c>
      <c r="BS10" s="25">
        <f t="array" ref="BS10">INDEX(Hiring_Plan_Benefits_Support,MATCH(BS$1,Hiring_Plan_Months,0))</f>
        <v>5499.3333333333339</v>
      </c>
      <c r="BT10" s="25">
        <f t="array" ref="BT10">INDEX(Hiring_Plan_Benefits_Support,MATCH(BT$1,Hiring_Plan_Months,0))</f>
        <v>5499.3333333333339</v>
      </c>
      <c r="BU10" s="25">
        <f t="array" ref="BU10">INDEX(Hiring_Plan_Benefits_Support,MATCH(BU$1,Hiring_Plan_Months,0))</f>
        <v>5499.3333333333339</v>
      </c>
      <c r="BV10" s="25">
        <f t="array" ref="BV10">INDEX(Hiring_Plan_Benefits_Support,MATCH(BV$1,Hiring_Plan_Months,0))</f>
        <v>5499.3333333333339</v>
      </c>
      <c r="BW10" s="25">
        <f t="array" ref="BW10">INDEX(Hiring_Plan_Benefits_Support,MATCH(BW$1,Hiring_Plan_Months,0))</f>
        <v>5499.3333333333339</v>
      </c>
    </row>
    <row r="11" spans="1:75" ht="12.75" x14ac:dyDescent="0.2">
      <c r="A11" s="23" t="s">
        <v>249</v>
      </c>
      <c r="B11" s="224">
        <f ca="1">AVERAGEIFS(11:11,$1:$1,"&gt;="&amp;DATE(YEAR(Current_Month),MONTH(Current_Month)-2,DAY(Current_Month)),$1:$1,"&lt;="&amp;EOMONTH(Current_Month,0))</f>
        <v>5567</v>
      </c>
      <c r="D11" s="115">
        <f t="array" aca="1" ref="D11" ca="1">INDEX(INDIRECT("PnL_"&amp;TEXT(D$1,"mmm")&amp;"_"&amp;TEXT(D$1,"yyyy")),MATCH(TRIM($A11),PnL_Accounts,0))</f>
        <v>2340</v>
      </c>
      <c r="E11" s="115">
        <f t="array" aca="1" ref="E11" ca="1">INDEX(INDIRECT("PnL_"&amp;TEXT(E$1,"mmm")&amp;"_"&amp;TEXT(E$1,"yyyy")),MATCH(TRIM($A11),PnL_Accounts,0))</f>
        <v>2340</v>
      </c>
      <c r="F11" s="115">
        <f t="array" aca="1" ref="F11" ca="1">INDEX(INDIRECT("PnL_"&amp;TEXT(F$1,"mmm")&amp;"_"&amp;TEXT(F$1,"yyyy")),MATCH(TRIM($A11),PnL_Accounts,0))</f>
        <v>2340</v>
      </c>
      <c r="G11" s="115">
        <f t="array" aca="1" ref="G11" ca="1">INDEX(INDIRECT("PnL_"&amp;TEXT(G$1,"mmm")&amp;"_"&amp;TEXT(G$1,"yyyy")),MATCH(TRIM($A11),PnL_Accounts,0))</f>
        <v>2808</v>
      </c>
      <c r="H11" s="115">
        <f t="array" aca="1" ref="H11" ca="1">INDEX(INDIRECT("PnL_"&amp;TEXT(H$1,"mmm")&amp;"_"&amp;TEXT(H$1,"yyyy")),MATCH(TRIM($A11),PnL_Accounts,0))</f>
        <v>2808</v>
      </c>
      <c r="I11" s="115">
        <f t="array" aca="1" ref="I11" ca="1">INDEX(INDIRECT("PnL_"&amp;TEXT(I$1,"mmm")&amp;"_"&amp;TEXT(I$1,"yyyy")),MATCH(TRIM($A11),PnL_Accounts,0))</f>
        <v>2808</v>
      </c>
      <c r="J11" s="115">
        <f t="array" aca="1" ref="J11" ca="1">INDEX(INDIRECT("PnL_"&amp;TEXT(J$1,"mmm")&amp;"_"&amp;TEXT(J$1,"yyyy")),MATCH(TRIM($A11),PnL_Accounts,0))</f>
        <v>3258</v>
      </c>
      <c r="K11" s="115">
        <f t="array" aca="1" ref="K11" ca="1">INDEX(INDIRECT("PnL_"&amp;TEXT(K$1,"mmm")&amp;"_"&amp;TEXT(K$1,"yyyy")),MATCH(TRIM($A11),PnL_Accounts,0))</f>
        <v>3258</v>
      </c>
      <c r="L11" s="115">
        <f t="array" aca="1" ref="L11" ca="1">INDEX(INDIRECT("PnL_"&amp;TEXT(L$1,"mmm")&amp;"_"&amp;TEXT(L$1,"yyyy")),MATCH(TRIM($A11),PnL_Accounts,0))</f>
        <v>3699</v>
      </c>
      <c r="M11" s="115">
        <f t="array" aca="1" ref="M11" ca="1">INDEX(INDIRECT("PnL_"&amp;TEXT(M$1,"mmm")&amp;"_"&amp;TEXT(M$1,"yyyy")),MATCH(TRIM($A11),PnL_Accounts,0))</f>
        <v>3699</v>
      </c>
      <c r="N11" s="115">
        <f t="array" aca="1" ref="N11" ca="1">INDEX(INDIRECT("PnL_"&amp;TEXT(N$1,"mmm")&amp;"_"&amp;TEXT(N$1,"yyyy")),MATCH(TRIM($A11),PnL_Accounts,0))</f>
        <v>3699</v>
      </c>
      <c r="O11" s="115">
        <f t="array" aca="1" ref="O11" ca="1">INDEX(INDIRECT("PnL_"&amp;TEXT(O$1,"mmm")&amp;"_"&amp;TEXT(O$1,"yyyy")),MATCH(TRIM($A11),PnL_Accounts,0))</f>
        <v>5067</v>
      </c>
      <c r="P11" s="115">
        <f t="array" aca="1" ref="P11" ca="1">INDEX(INDIRECT("PnL_"&amp;TEXT(P$1,"mmm")&amp;"_"&amp;TEXT(P$1,"yyyy")),MATCH(TRIM($A11),PnL_Accounts,0))</f>
        <v>5067</v>
      </c>
      <c r="Q11" s="115">
        <f t="array" aca="1" ref="Q11" ca="1">INDEX(INDIRECT("PnL_"&amp;TEXT(Q$1,"mmm")&amp;"_"&amp;TEXT(Q$1,"yyyy")),MATCH(TRIM($A11),PnL_Accounts,0))</f>
        <v>5067</v>
      </c>
      <c r="R11" s="115">
        <f t="array" aca="1" ref="R11" ca="1">INDEX(INDIRECT("PnL_"&amp;TEXT(R$1,"mmm")&amp;"_"&amp;TEXT(R$1,"yyyy")),MATCH(TRIM($A11),PnL_Accounts,0))</f>
        <v>5067</v>
      </c>
      <c r="S11" s="115">
        <f t="array" aca="1" ref="S11" ca="1">INDEX(INDIRECT("PnL_"&amp;TEXT(S$1,"mmm")&amp;"_"&amp;TEXT(S$1,"yyyy")),MATCH(TRIM($A11),PnL_Accounts,0))</f>
        <v>5067</v>
      </c>
      <c r="T11" s="115">
        <f t="array" aca="1" ref="T11" ca="1">INDEX(INDIRECT("PnL_"&amp;TEXT(T$1,"mmm")&amp;"_"&amp;TEXT(T$1,"yyyy")),MATCH(TRIM($A11),PnL_Accounts,0))</f>
        <v>5567</v>
      </c>
      <c r="U11" s="115">
        <f t="array" aca="1" ref="U11" ca="1">INDEX(INDIRECT("PnL_"&amp;TEXT(U$1,"mmm")&amp;"_"&amp;TEXT(U$1,"yyyy")),MATCH(TRIM($A11),PnL_Accounts,0))</f>
        <v>5567</v>
      </c>
      <c r="V11" s="115">
        <f t="array" aca="1" ref="V11" ca="1">INDEX(INDIRECT("PnL_"&amp;TEXT(V$1,"mmm")&amp;"_"&amp;TEXT(V$1,"yyyy")),MATCH(TRIM($A11),PnL_Accounts,0))</f>
        <v>5567</v>
      </c>
      <c r="W11" s="115">
        <f t="array" aca="1" ref="W11" ca="1">INDEX(INDIRECT("PnL_"&amp;TEXT(W$1,"mmm")&amp;"_"&amp;TEXT(W$1,"yyyy")),MATCH(TRIM($A11),PnL_Accounts,0))</f>
        <v>5567</v>
      </c>
      <c r="X11" s="115">
        <f t="array" aca="1" ref="X11" ca="1">INDEX(INDIRECT("PnL_"&amp;TEXT(X$1,"mmm")&amp;"_"&amp;TEXT(X$1,"yyyy")),MATCH(TRIM($A11),PnL_Accounts,0))</f>
        <v>5567</v>
      </c>
      <c r="Y11" s="115">
        <f t="array" aca="1" ref="Y11" ca="1">INDEX(INDIRECT("PnL_"&amp;TEXT(Y$1,"mmm")&amp;"_"&amp;TEXT(Y$1,"yyyy")),MATCH(TRIM($A11),PnL_Accounts,0))</f>
        <v>5567</v>
      </c>
      <c r="Z11" s="115">
        <f t="array" aca="1" ref="Z11" ca="1">INDEX(INDIRECT("PnL_"&amp;TEXT(Z$1,"mmm")&amp;"_"&amp;TEXT(Z$1,"yyyy")),MATCH(TRIM($A11),PnL_Accounts,0))</f>
        <v>5567</v>
      </c>
      <c r="AA11" s="115">
        <f t="array" aca="1" ref="AA11" ca="1">INDEX(INDIRECT("PnL_"&amp;TEXT(AA$1,"mmm")&amp;"_"&amp;TEXT(AA$1,"yyyy")),MATCH(TRIM($A11),PnL_Accounts,0))</f>
        <v>5567</v>
      </c>
      <c r="AB11" s="115">
        <f t="array" aca="1" ref="AB11" ca="1">INDEX(INDIRECT("PnL_"&amp;TEXT(AB$1,"mmm")&amp;"_"&amp;TEXT(AB$1,"yyyy")),MATCH(TRIM($A11),PnL_Accounts,0))</f>
        <v>5567</v>
      </c>
      <c r="AC11" s="115">
        <f t="array" aca="1" ref="AC11" ca="1">INDEX(INDIRECT("PnL_"&amp;TEXT(AC$1,"mmm")&amp;"_"&amp;TEXT(AC$1,"yyyy")),MATCH(TRIM($A11),PnL_Accounts,0))</f>
        <v>5567</v>
      </c>
      <c r="AD11" s="115">
        <f t="array" aca="1" ref="AD11" ca="1">INDEX(INDIRECT("PnL_"&amp;TEXT(AD$1,"mmm")&amp;"_"&amp;TEXT(AD$1,"yyyy")),MATCH(TRIM($A11),PnL_Accounts,0))</f>
        <v>5567</v>
      </c>
      <c r="AE11" s="115">
        <f t="array" aca="1" ref="AE11" ca="1">INDEX(INDIRECT("PnL_"&amp;TEXT(AE$1,"mmm")&amp;"_"&amp;TEXT(AE$1,"yyyy")),MATCH(TRIM($A11),PnL_Accounts,0))</f>
        <v>5567</v>
      </c>
      <c r="AF11" s="25">
        <f t="array" ref="AF11">INDEX(Hiring_Plan_Payroll_Taxes_Support,MATCH(AF$1,Hiring_Plan_Months,0))</f>
        <v>5433</v>
      </c>
      <c r="AG11" s="25">
        <f t="array" ref="AG11">INDEX(Hiring_Plan_Payroll_Taxes_Support,MATCH(AG$1,Hiring_Plan_Months,0))</f>
        <v>5433</v>
      </c>
      <c r="AH11" s="25">
        <f t="array" ref="AH11">INDEX(Hiring_Plan_Payroll_Taxes_Support,MATCH(AH$1,Hiring_Plan_Months,0))</f>
        <v>5433</v>
      </c>
      <c r="AI11" s="25">
        <f t="array" ref="AI11">INDEX(Hiring_Plan_Payroll_Taxes_Support,MATCH(AI$1,Hiring_Plan_Months,0))</f>
        <v>5433</v>
      </c>
      <c r="AJ11" s="25">
        <f t="array" ref="AJ11">INDEX(Hiring_Plan_Payroll_Taxes_Support,MATCH(AJ$1,Hiring_Plan_Months,0))</f>
        <v>5433</v>
      </c>
      <c r="AK11" s="25">
        <f t="array" ref="AK11">INDEX(Hiring_Plan_Payroll_Taxes_Support,MATCH(AK$1,Hiring_Plan_Months,0))</f>
        <v>6033</v>
      </c>
      <c r="AL11" s="25">
        <f t="array" ref="AL11">INDEX(Hiring_Plan_Payroll_Taxes_Support,MATCH(AL$1,Hiring_Plan_Months,0))</f>
        <v>6033</v>
      </c>
      <c r="AM11" s="25">
        <f t="array" ref="AM11">INDEX(Hiring_Plan_Payroll_Taxes_Support,MATCH(AM$1,Hiring_Plan_Months,0))</f>
        <v>6670.5</v>
      </c>
      <c r="AN11" s="25">
        <f t="array" ref="AN11">INDEX(Hiring_Plan_Payroll_Taxes_Support,MATCH(AN$1,Hiring_Plan_Months,0))</f>
        <v>6670.5</v>
      </c>
      <c r="AO11" s="25">
        <f t="array" ref="AO11">INDEX(Hiring_Plan_Payroll_Taxes_Support,MATCH(AO$1,Hiring_Plan_Months,0))</f>
        <v>7270.5</v>
      </c>
      <c r="AP11" s="25">
        <f t="array" ref="AP11">INDEX(Hiring_Plan_Payroll_Taxes_Support,MATCH(AP$1,Hiring_Plan_Months,0))</f>
        <v>7270.5</v>
      </c>
      <c r="AQ11" s="25">
        <f t="array" ref="AQ11">INDEX(Hiring_Plan_Payroll_Taxes_Support,MATCH(AQ$1,Hiring_Plan_Months,0))</f>
        <v>7270.5</v>
      </c>
      <c r="AR11" s="25">
        <f t="array" ref="AR11">INDEX(Hiring_Plan_Payroll_Taxes_Support,MATCH(AR$1,Hiring_Plan_Months,0))</f>
        <v>7270.5</v>
      </c>
      <c r="AS11" s="25">
        <f t="array" ref="AS11">INDEX(Hiring_Plan_Payroll_Taxes_Support,MATCH(AS$1,Hiring_Plan_Months,0))</f>
        <v>7270.5</v>
      </c>
      <c r="AT11" s="25">
        <f t="array" ref="AT11">INDEX(Hiring_Plan_Payroll_Taxes_Support,MATCH(AT$1,Hiring_Plan_Months,0))</f>
        <v>7270.5</v>
      </c>
      <c r="AU11" s="25">
        <f t="array" ref="AU11">INDEX(Hiring_Plan_Payroll_Taxes_Support,MATCH(AU$1,Hiring_Plan_Months,0))</f>
        <v>7270.5</v>
      </c>
      <c r="AV11" s="25">
        <f t="array" ref="AV11">INDEX(Hiring_Plan_Payroll_Taxes_Support,MATCH(AV$1,Hiring_Plan_Months,0))</f>
        <v>7270.5</v>
      </c>
      <c r="AW11" s="25">
        <f t="array" ref="AW11">INDEX(Hiring_Plan_Payroll_Taxes_Support,MATCH(AW$1,Hiring_Plan_Months,0))</f>
        <v>7270.5</v>
      </c>
      <c r="AX11" s="25">
        <f t="array" ref="AX11">INDEX(Hiring_Plan_Payroll_Taxes_Support,MATCH(AX$1,Hiring_Plan_Months,0))</f>
        <v>7270.5</v>
      </c>
      <c r="AY11" s="25">
        <f t="array" ref="AY11">INDEX(Hiring_Plan_Payroll_Taxes_Support,MATCH(AY$1,Hiring_Plan_Months,0))</f>
        <v>7270.5</v>
      </c>
      <c r="AZ11" s="25">
        <f t="array" ref="AZ11">INDEX(Hiring_Plan_Payroll_Taxes_Support,MATCH(AZ$1,Hiring_Plan_Months,0))</f>
        <v>7270.5</v>
      </c>
      <c r="BA11" s="25">
        <f t="array" ref="BA11">INDEX(Hiring_Plan_Payroll_Taxes_Support,MATCH(BA$1,Hiring_Plan_Months,0))</f>
        <v>7270.5</v>
      </c>
      <c r="BB11" s="25">
        <f t="array" ref="BB11">INDEX(Hiring_Plan_Payroll_Taxes_Support,MATCH(BB$1,Hiring_Plan_Months,0))</f>
        <v>7270.5</v>
      </c>
      <c r="BC11" s="25">
        <f t="array" ref="BC11">INDEX(Hiring_Plan_Payroll_Taxes_Support,MATCH(BC$1,Hiring_Plan_Months,0))</f>
        <v>7270.5</v>
      </c>
      <c r="BD11" s="25">
        <f t="array" ref="BD11">INDEX(Hiring_Plan_Payroll_Taxes_Support,MATCH(BD$1,Hiring_Plan_Months,0))</f>
        <v>7270.5</v>
      </c>
      <c r="BE11" s="25">
        <f t="array" ref="BE11">INDEX(Hiring_Plan_Payroll_Taxes_Support,MATCH(BE$1,Hiring_Plan_Months,0))</f>
        <v>7270.5</v>
      </c>
      <c r="BF11" s="25">
        <f t="array" ref="BF11">INDEX(Hiring_Plan_Payroll_Taxes_Support,MATCH(BF$1,Hiring_Plan_Months,0))</f>
        <v>7270.5</v>
      </c>
      <c r="BG11" s="25">
        <f t="array" ref="BG11">INDEX(Hiring_Plan_Payroll_Taxes_Support,MATCH(BG$1,Hiring_Plan_Months,0))</f>
        <v>7270.5</v>
      </c>
      <c r="BH11" s="25">
        <f t="array" ref="BH11">INDEX(Hiring_Plan_Payroll_Taxes_Support,MATCH(BH$1,Hiring_Plan_Months,0))</f>
        <v>7270.5</v>
      </c>
      <c r="BI11" s="25">
        <f t="array" ref="BI11">INDEX(Hiring_Plan_Payroll_Taxes_Support,MATCH(BI$1,Hiring_Plan_Months,0))</f>
        <v>7270.5</v>
      </c>
      <c r="BJ11" s="25">
        <f t="array" ref="BJ11">INDEX(Hiring_Plan_Payroll_Taxes_Support,MATCH(BJ$1,Hiring_Plan_Months,0))</f>
        <v>7270.5</v>
      </c>
      <c r="BK11" s="25">
        <f t="array" ref="BK11">INDEX(Hiring_Plan_Payroll_Taxes_Support,MATCH(BK$1,Hiring_Plan_Months,0))</f>
        <v>7270.5</v>
      </c>
      <c r="BL11" s="25">
        <f t="array" ref="BL11">INDEX(Hiring_Plan_Payroll_Taxes_Support,MATCH(BL$1,Hiring_Plan_Months,0))</f>
        <v>7270.5</v>
      </c>
      <c r="BM11" s="25">
        <f t="array" ref="BM11">INDEX(Hiring_Plan_Payroll_Taxes_Support,MATCH(BM$1,Hiring_Plan_Months,0))</f>
        <v>7270.5</v>
      </c>
      <c r="BN11" s="25">
        <f t="array" ref="BN11">INDEX(Hiring_Plan_Payroll_Taxes_Support,MATCH(BN$1,Hiring_Plan_Months,0))</f>
        <v>7270.5</v>
      </c>
      <c r="BO11" s="25">
        <f t="array" ref="BO11">INDEX(Hiring_Plan_Payroll_Taxes_Support,MATCH(BO$1,Hiring_Plan_Months,0))</f>
        <v>7270.5</v>
      </c>
      <c r="BP11" s="25">
        <f t="array" ref="BP11">INDEX(Hiring_Plan_Payroll_Taxes_Support,MATCH(BP$1,Hiring_Plan_Months,0))</f>
        <v>7270.5</v>
      </c>
      <c r="BQ11" s="25">
        <f t="array" ref="BQ11">INDEX(Hiring_Plan_Payroll_Taxes_Support,MATCH(BQ$1,Hiring_Plan_Months,0))</f>
        <v>7270.5</v>
      </c>
      <c r="BR11" s="25">
        <f t="array" ref="BR11">INDEX(Hiring_Plan_Payroll_Taxes_Support,MATCH(BR$1,Hiring_Plan_Months,0))</f>
        <v>7270.5</v>
      </c>
      <c r="BS11" s="25">
        <f t="array" ref="BS11">INDEX(Hiring_Plan_Payroll_Taxes_Support,MATCH(BS$1,Hiring_Plan_Months,0))</f>
        <v>7270.5</v>
      </c>
      <c r="BT11" s="25">
        <f t="array" ref="BT11">INDEX(Hiring_Plan_Payroll_Taxes_Support,MATCH(BT$1,Hiring_Plan_Months,0))</f>
        <v>7270.5</v>
      </c>
      <c r="BU11" s="25">
        <f t="array" ref="BU11">INDEX(Hiring_Plan_Payroll_Taxes_Support,MATCH(BU$1,Hiring_Plan_Months,0))</f>
        <v>7270.5</v>
      </c>
      <c r="BV11" s="25">
        <f t="array" ref="BV11">INDEX(Hiring_Plan_Payroll_Taxes_Support,MATCH(BV$1,Hiring_Plan_Months,0))</f>
        <v>7270.5</v>
      </c>
      <c r="BW11" s="25">
        <f t="array" ref="BW11">INDEX(Hiring_Plan_Payroll_Taxes_Support,MATCH(BW$1,Hiring_Plan_Months,0))</f>
        <v>7270.5</v>
      </c>
    </row>
    <row r="12" spans="1:75" ht="12.75" x14ac:dyDescent="0.2">
      <c r="A12" s="23" t="s">
        <v>254</v>
      </c>
      <c r="B12" s="224">
        <f ca="1">AVERAGEIFS(12:12,$1:$1,"&gt;="&amp;DATE(YEAR(Current_Month),MONTH(Current_Month)-2,DAY(Current_Month)),$1:$1,"&lt;="&amp;EOMONTH(Current_Month,0))</f>
        <v>59501</v>
      </c>
      <c r="D12" s="115">
        <f t="array" aca="1" ref="D12" ca="1">INDEX(INDIRECT("PnL_"&amp;TEXT(D$1,"mmm")&amp;"_"&amp;TEXT(D$1,"yyyy")),MATCH(TRIM($A12),PnL_Accounts,0))</f>
        <v>26000</v>
      </c>
      <c r="E12" s="115">
        <f t="array" aca="1" ref="E12" ca="1">INDEX(INDIRECT("PnL_"&amp;TEXT(E$1,"mmm")&amp;"_"&amp;TEXT(E$1,"yyyy")),MATCH(TRIM($A12),PnL_Accounts,0))</f>
        <v>26000</v>
      </c>
      <c r="F12" s="115">
        <f t="array" aca="1" ref="F12" ca="1">INDEX(INDIRECT("PnL_"&amp;TEXT(F$1,"mmm")&amp;"_"&amp;TEXT(F$1,"yyyy")),MATCH(TRIM($A12),PnL_Accounts,0))</f>
        <v>26000</v>
      </c>
      <c r="G12" s="115">
        <f t="array" aca="1" ref="G12" ca="1">INDEX(INDIRECT("PnL_"&amp;TEXT(G$1,"mmm")&amp;"_"&amp;TEXT(G$1,"yyyy")),MATCH(TRIM($A12),PnL_Accounts,0))</f>
        <v>31200</v>
      </c>
      <c r="H12" s="115">
        <f t="array" aca="1" ref="H12" ca="1">INDEX(INDIRECT("PnL_"&amp;TEXT(H$1,"mmm")&amp;"_"&amp;TEXT(H$1,"yyyy")),MATCH(TRIM($A12),PnL_Accounts,0))</f>
        <v>31200</v>
      </c>
      <c r="I12" s="115">
        <f t="array" aca="1" ref="I12" ca="1">INDEX(INDIRECT("PnL_"&amp;TEXT(I$1,"mmm")&amp;"_"&amp;TEXT(I$1,"yyyy")),MATCH(TRIM($A12),PnL_Accounts,0))</f>
        <v>31200</v>
      </c>
      <c r="J12" s="115">
        <f t="array" aca="1" ref="J12" ca="1">INDEX(INDIRECT("PnL_"&amp;TEXT(J$1,"mmm")&amp;"_"&amp;TEXT(J$1,"yyyy")),MATCH(TRIM($A12),PnL_Accounts,0))</f>
        <v>36200</v>
      </c>
      <c r="K12" s="115">
        <f t="array" aca="1" ref="K12" ca="1">INDEX(INDIRECT("PnL_"&amp;TEXT(K$1,"mmm")&amp;"_"&amp;TEXT(K$1,"yyyy")),MATCH(TRIM($A12),PnL_Accounts,0))</f>
        <v>36200</v>
      </c>
      <c r="L12" s="115">
        <f t="array" aca="1" ref="L12" ca="1">INDEX(INDIRECT("PnL_"&amp;TEXT(L$1,"mmm")&amp;"_"&amp;TEXT(L$1,"yyyy")),MATCH(TRIM($A12),PnL_Accounts,0))</f>
        <v>41100</v>
      </c>
      <c r="M12" s="115">
        <f t="array" aca="1" ref="M12" ca="1">INDEX(INDIRECT("PnL_"&amp;TEXT(M$1,"mmm")&amp;"_"&amp;TEXT(M$1,"yyyy")),MATCH(TRIM($A12),PnL_Accounts,0))</f>
        <v>41100</v>
      </c>
      <c r="N12" s="115">
        <f t="array" aca="1" ref="N12" ca="1">INDEX(INDIRECT("PnL_"&amp;TEXT(N$1,"mmm")&amp;"_"&amp;TEXT(N$1,"yyyy")),MATCH(TRIM($A12),PnL_Accounts,0))</f>
        <v>41100</v>
      </c>
      <c r="O12" s="115">
        <f t="array" aca="1" ref="O12" ca="1">INDEX(INDIRECT("PnL_"&amp;TEXT(O$1,"mmm")&amp;"_"&amp;TEXT(O$1,"yyyy")),MATCH(TRIM($A12),PnL_Accounts,0))</f>
        <v>56300</v>
      </c>
      <c r="P12" s="115">
        <f t="array" aca="1" ref="P12" ca="1">INDEX(INDIRECT("PnL_"&amp;TEXT(P$1,"mmm")&amp;"_"&amp;TEXT(P$1,"yyyy")),MATCH(TRIM($A12),PnL_Accounts,0))</f>
        <v>56300</v>
      </c>
      <c r="Q12" s="115">
        <f t="array" aca="1" ref="Q12" ca="1">INDEX(INDIRECT("PnL_"&amp;TEXT(Q$1,"mmm")&amp;"_"&amp;TEXT(Q$1,"yyyy")),MATCH(TRIM($A12),PnL_Accounts,0))</f>
        <v>56500</v>
      </c>
      <c r="R12" s="115">
        <f t="array" aca="1" ref="R12" ca="1">INDEX(INDIRECT("PnL_"&amp;TEXT(R$1,"mmm")&amp;"_"&amp;TEXT(R$1,"yyyy")),MATCH(TRIM($A12),PnL_Accounts,0))</f>
        <v>56500</v>
      </c>
      <c r="S12" s="115">
        <f t="array" aca="1" ref="S12" ca="1">INDEX(INDIRECT("PnL_"&amp;TEXT(S$1,"mmm")&amp;"_"&amp;TEXT(S$1,"yyyy")),MATCH(TRIM($A12),PnL_Accounts,0))</f>
        <v>56500</v>
      </c>
      <c r="T12" s="115">
        <f t="array" aca="1" ref="T12" ca="1">INDEX(INDIRECT("PnL_"&amp;TEXT(T$1,"mmm")&amp;"_"&amp;TEXT(T$1,"yyyy")),MATCH(TRIM($A12),PnL_Accounts,0))</f>
        <v>59501</v>
      </c>
      <c r="U12" s="115">
        <f t="array" aca="1" ref="U12" ca="1">INDEX(INDIRECT("PnL_"&amp;TEXT(U$1,"mmm")&amp;"_"&amp;TEXT(U$1,"yyyy")),MATCH(TRIM($A12),PnL_Accounts,0))</f>
        <v>59501</v>
      </c>
      <c r="V12" s="115">
        <f t="array" aca="1" ref="V12" ca="1">INDEX(INDIRECT("PnL_"&amp;TEXT(V$1,"mmm")&amp;"_"&amp;TEXT(V$1,"yyyy")),MATCH(TRIM($A12),PnL_Accounts,0))</f>
        <v>59501</v>
      </c>
      <c r="W12" s="115">
        <f t="array" aca="1" ref="W12" ca="1">INDEX(INDIRECT("PnL_"&amp;TEXT(W$1,"mmm")&amp;"_"&amp;TEXT(W$1,"yyyy")),MATCH(TRIM($A12),PnL_Accounts,0))</f>
        <v>59501</v>
      </c>
      <c r="X12" s="115">
        <f t="array" aca="1" ref="X12" ca="1">INDEX(INDIRECT("PnL_"&amp;TEXT(X$1,"mmm")&amp;"_"&amp;TEXT(X$1,"yyyy")),MATCH(TRIM($A12),PnL_Accounts,0))</f>
        <v>59501</v>
      </c>
      <c r="Y12" s="115">
        <f t="array" aca="1" ref="Y12" ca="1">INDEX(INDIRECT("PnL_"&amp;TEXT(Y$1,"mmm")&amp;"_"&amp;TEXT(Y$1,"yyyy")),MATCH(TRIM($A12),PnL_Accounts,0))</f>
        <v>59501</v>
      </c>
      <c r="Z12" s="115">
        <f t="array" aca="1" ref="Z12" ca="1">INDEX(INDIRECT("PnL_"&amp;TEXT(Z$1,"mmm")&amp;"_"&amp;TEXT(Z$1,"yyyy")),MATCH(TRIM($A12),PnL_Accounts,0))</f>
        <v>59501</v>
      </c>
      <c r="AA12" s="115">
        <f t="array" aca="1" ref="AA12" ca="1">INDEX(INDIRECT("PnL_"&amp;TEXT(AA$1,"mmm")&amp;"_"&amp;TEXT(AA$1,"yyyy")),MATCH(TRIM($A12),PnL_Accounts,0))</f>
        <v>59501</v>
      </c>
      <c r="AB12" s="115">
        <f t="array" aca="1" ref="AB12" ca="1">INDEX(INDIRECT("PnL_"&amp;TEXT(AB$1,"mmm")&amp;"_"&amp;TEXT(AB$1,"yyyy")),MATCH(TRIM($A12),PnL_Accounts,0))</f>
        <v>59501</v>
      </c>
      <c r="AC12" s="115">
        <f t="array" aca="1" ref="AC12" ca="1">INDEX(INDIRECT("PnL_"&amp;TEXT(AC$1,"mmm")&amp;"_"&amp;TEXT(AC$1,"yyyy")),MATCH(TRIM($A12),PnL_Accounts,0))</f>
        <v>59501</v>
      </c>
      <c r="AD12" s="115">
        <f t="array" aca="1" ref="AD12" ca="1">INDEX(INDIRECT("PnL_"&amp;TEXT(AD$1,"mmm")&amp;"_"&amp;TEXT(AD$1,"yyyy")),MATCH(TRIM($A12),PnL_Accounts,0))</f>
        <v>59501</v>
      </c>
      <c r="AE12" s="115">
        <f t="array" aca="1" ref="AE12" ca="1">INDEX(INDIRECT("PnL_"&amp;TEXT(AE$1,"mmm")&amp;"_"&amp;TEXT(AE$1,"yyyy")),MATCH(TRIM($A12),PnL_Accounts,0))</f>
        <v>59501</v>
      </c>
      <c r="AF12" s="25">
        <f t="array" ref="AF12">INDEX(Hiring_Plan_Salaries_Support,MATCH(AF$1,Hiring_Plan_Months,0))</f>
        <v>60366.666666666664</v>
      </c>
      <c r="AG12" s="25">
        <f t="array" ref="AG12">INDEX(Hiring_Plan_Salaries_Support,MATCH(AG$1,Hiring_Plan_Months,0))</f>
        <v>60366.666666666664</v>
      </c>
      <c r="AH12" s="25">
        <f t="array" ref="AH12">INDEX(Hiring_Plan_Salaries_Support,MATCH(AH$1,Hiring_Plan_Months,0))</f>
        <v>60366.666666666664</v>
      </c>
      <c r="AI12" s="25">
        <f t="array" ref="AI12">INDEX(Hiring_Plan_Salaries_Support,MATCH(AI$1,Hiring_Plan_Months,0))</f>
        <v>60366.666666666664</v>
      </c>
      <c r="AJ12" s="25">
        <f t="array" ref="AJ12">INDEX(Hiring_Plan_Salaries_Support,MATCH(AJ$1,Hiring_Plan_Months,0))</f>
        <v>60366.666666666664</v>
      </c>
      <c r="AK12" s="25">
        <f t="array" ref="AK12">INDEX(Hiring_Plan_Salaries_Support,MATCH(AK$1,Hiring_Plan_Months,0))</f>
        <v>67033.333333333328</v>
      </c>
      <c r="AL12" s="25">
        <f t="array" ref="AL12">INDEX(Hiring_Plan_Salaries_Support,MATCH(AL$1,Hiring_Plan_Months,0))</f>
        <v>67033.333333333328</v>
      </c>
      <c r="AM12" s="25">
        <f t="array" ref="AM12">INDEX(Hiring_Plan_Salaries_Support,MATCH(AM$1,Hiring_Plan_Months,0))</f>
        <v>74116.666666666657</v>
      </c>
      <c r="AN12" s="25">
        <f t="array" ref="AN12">INDEX(Hiring_Plan_Salaries_Support,MATCH(AN$1,Hiring_Plan_Months,0))</f>
        <v>74116.666666666657</v>
      </c>
      <c r="AO12" s="25">
        <f t="array" ref="AO12">INDEX(Hiring_Plan_Salaries_Support,MATCH(AO$1,Hiring_Plan_Months,0))</f>
        <v>80783.333333333328</v>
      </c>
      <c r="AP12" s="25">
        <f t="array" ref="AP12">INDEX(Hiring_Plan_Salaries_Support,MATCH(AP$1,Hiring_Plan_Months,0))</f>
        <v>80783.333333333328</v>
      </c>
      <c r="AQ12" s="25">
        <f t="array" ref="AQ12">INDEX(Hiring_Plan_Salaries_Support,MATCH(AQ$1,Hiring_Plan_Months,0))</f>
        <v>80783.333333333328</v>
      </c>
      <c r="AR12" s="25">
        <f t="array" ref="AR12">INDEX(Hiring_Plan_Salaries_Support,MATCH(AR$1,Hiring_Plan_Months,0))</f>
        <v>80783.333333333328</v>
      </c>
      <c r="AS12" s="25">
        <f t="array" ref="AS12">INDEX(Hiring_Plan_Salaries_Support,MATCH(AS$1,Hiring_Plan_Months,0))</f>
        <v>80783.333333333328</v>
      </c>
      <c r="AT12" s="25">
        <f t="array" ref="AT12">INDEX(Hiring_Plan_Salaries_Support,MATCH(AT$1,Hiring_Plan_Months,0))</f>
        <v>80783.333333333328</v>
      </c>
      <c r="AU12" s="25">
        <f t="array" ref="AU12">INDEX(Hiring_Plan_Salaries_Support,MATCH(AU$1,Hiring_Plan_Months,0))</f>
        <v>80783.333333333328</v>
      </c>
      <c r="AV12" s="25">
        <f t="array" ref="AV12">INDEX(Hiring_Plan_Salaries_Support,MATCH(AV$1,Hiring_Plan_Months,0))</f>
        <v>80783.333333333328</v>
      </c>
      <c r="AW12" s="25">
        <f t="array" ref="AW12">INDEX(Hiring_Plan_Salaries_Support,MATCH(AW$1,Hiring_Plan_Months,0))</f>
        <v>80783.333333333328</v>
      </c>
      <c r="AX12" s="25">
        <f t="array" ref="AX12">INDEX(Hiring_Plan_Salaries_Support,MATCH(AX$1,Hiring_Plan_Months,0))</f>
        <v>80783.333333333328</v>
      </c>
      <c r="AY12" s="25">
        <f t="array" ref="AY12">INDEX(Hiring_Plan_Salaries_Support,MATCH(AY$1,Hiring_Plan_Months,0))</f>
        <v>80783.333333333328</v>
      </c>
      <c r="AZ12" s="25">
        <f t="array" ref="AZ12">INDEX(Hiring_Plan_Salaries_Support,MATCH(AZ$1,Hiring_Plan_Months,0))</f>
        <v>80783.333333333328</v>
      </c>
      <c r="BA12" s="25">
        <f t="array" ref="BA12">INDEX(Hiring_Plan_Salaries_Support,MATCH(BA$1,Hiring_Plan_Months,0))</f>
        <v>80783.333333333328</v>
      </c>
      <c r="BB12" s="25">
        <f t="array" ref="BB12">INDEX(Hiring_Plan_Salaries_Support,MATCH(BB$1,Hiring_Plan_Months,0))</f>
        <v>80783.333333333328</v>
      </c>
      <c r="BC12" s="25">
        <f t="array" ref="BC12">INDEX(Hiring_Plan_Salaries_Support,MATCH(BC$1,Hiring_Plan_Months,0))</f>
        <v>80783.333333333328</v>
      </c>
      <c r="BD12" s="25">
        <f t="array" ref="BD12">INDEX(Hiring_Plan_Salaries_Support,MATCH(BD$1,Hiring_Plan_Months,0))</f>
        <v>80783.333333333328</v>
      </c>
      <c r="BE12" s="25">
        <f t="array" ref="BE12">INDEX(Hiring_Plan_Salaries_Support,MATCH(BE$1,Hiring_Plan_Months,0))</f>
        <v>80783.333333333328</v>
      </c>
      <c r="BF12" s="25">
        <f t="array" ref="BF12">INDEX(Hiring_Plan_Salaries_Support,MATCH(BF$1,Hiring_Plan_Months,0))</f>
        <v>80783.333333333328</v>
      </c>
      <c r="BG12" s="25">
        <f t="array" ref="BG12">INDEX(Hiring_Plan_Salaries_Support,MATCH(BG$1,Hiring_Plan_Months,0))</f>
        <v>80783.333333333328</v>
      </c>
      <c r="BH12" s="25">
        <f t="array" ref="BH12">INDEX(Hiring_Plan_Salaries_Support,MATCH(BH$1,Hiring_Plan_Months,0))</f>
        <v>80783.333333333328</v>
      </c>
      <c r="BI12" s="25">
        <f t="array" ref="BI12">INDEX(Hiring_Plan_Salaries_Support,MATCH(BI$1,Hiring_Plan_Months,0))</f>
        <v>80783.333333333328</v>
      </c>
      <c r="BJ12" s="25">
        <f t="array" ref="BJ12">INDEX(Hiring_Plan_Salaries_Support,MATCH(BJ$1,Hiring_Plan_Months,0))</f>
        <v>80783.333333333328</v>
      </c>
      <c r="BK12" s="25">
        <f t="array" ref="BK12">INDEX(Hiring_Plan_Salaries_Support,MATCH(BK$1,Hiring_Plan_Months,0))</f>
        <v>80783.333333333328</v>
      </c>
      <c r="BL12" s="25">
        <f t="array" ref="BL12">INDEX(Hiring_Plan_Salaries_Support,MATCH(BL$1,Hiring_Plan_Months,0))</f>
        <v>80783.333333333328</v>
      </c>
      <c r="BM12" s="25">
        <f t="array" ref="BM12">INDEX(Hiring_Plan_Salaries_Support,MATCH(BM$1,Hiring_Plan_Months,0))</f>
        <v>80783.333333333328</v>
      </c>
      <c r="BN12" s="25">
        <f t="array" ref="BN12">INDEX(Hiring_Plan_Salaries_Support,MATCH(BN$1,Hiring_Plan_Months,0))</f>
        <v>80783.333333333328</v>
      </c>
      <c r="BO12" s="25">
        <f t="array" ref="BO12">INDEX(Hiring_Plan_Salaries_Support,MATCH(BO$1,Hiring_Plan_Months,0))</f>
        <v>80783.333333333328</v>
      </c>
      <c r="BP12" s="25">
        <f t="array" ref="BP12">INDEX(Hiring_Plan_Salaries_Support,MATCH(BP$1,Hiring_Plan_Months,0))</f>
        <v>80783.333333333328</v>
      </c>
      <c r="BQ12" s="25">
        <f t="array" ref="BQ12">INDEX(Hiring_Plan_Salaries_Support,MATCH(BQ$1,Hiring_Plan_Months,0))</f>
        <v>80783.333333333328</v>
      </c>
      <c r="BR12" s="25">
        <f t="array" ref="BR12">INDEX(Hiring_Plan_Salaries_Support,MATCH(BR$1,Hiring_Plan_Months,0))</f>
        <v>80783.333333333328</v>
      </c>
      <c r="BS12" s="25">
        <f t="array" ref="BS12">INDEX(Hiring_Plan_Salaries_Support,MATCH(BS$1,Hiring_Plan_Months,0))</f>
        <v>80783.333333333328</v>
      </c>
      <c r="BT12" s="25">
        <f t="array" ref="BT12">INDEX(Hiring_Plan_Salaries_Support,MATCH(BT$1,Hiring_Plan_Months,0))</f>
        <v>80783.333333333328</v>
      </c>
      <c r="BU12" s="25">
        <f t="array" ref="BU12">INDEX(Hiring_Plan_Salaries_Support,MATCH(BU$1,Hiring_Plan_Months,0))</f>
        <v>80783.333333333328</v>
      </c>
      <c r="BV12" s="25">
        <f t="array" ref="BV12">INDEX(Hiring_Plan_Salaries_Support,MATCH(BV$1,Hiring_Plan_Months,0))</f>
        <v>80783.333333333328</v>
      </c>
      <c r="BW12" s="25">
        <f t="array" ref="BW12">INDEX(Hiring_Plan_Salaries_Support,MATCH(BW$1,Hiring_Plan_Months,0))</f>
        <v>80783.333333333328</v>
      </c>
    </row>
    <row r="13" spans="1:75" ht="12.75" x14ac:dyDescent="0.2">
      <c r="A13" s="60" t="s">
        <v>257</v>
      </c>
      <c r="B13" s="238"/>
      <c r="C13" s="212"/>
      <c r="D13" s="226">
        <f t="shared" ref="D13:BW13" ca="1" si="2">SUM(D9:D12)</f>
        <v>29325</v>
      </c>
      <c r="E13" s="226">
        <f t="shared" ca="1" si="2"/>
        <v>29325</v>
      </c>
      <c r="F13" s="226">
        <f t="shared" ca="1" si="2"/>
        <v>29325</v>
      </c>
      <c r="G13" s="226">
        <f t="shared" ca="1" si="2"/>
        <v>35190</v>
      </c>
      <c r="H13" s="226">
        <f t="shared" ca="1" si="2"/>
        <v>35190</v>
      </c>
      <c r="I13" s="226">
        <f t="shared" ca="1" si="2"/>
        <v>35190</v>
      </c>
      <c r="J13" s="226">
        <f t="shared" ca="1" si="2"/>
        <v>40837</v>
      </c>
      <c r="K13" s="226">
        <f t="shared" ca="1" si="2"/>
        <v>40837</v>
      </c>
      <c r="L13" s="226">
        <f t="shared" ca="1" si="2"/>
        <v>46375</v>
      </c>
      <c r="M13" s="226">
        <f t="shared" ca="1" si="2"/>
        <v>46375</v>
      </c>
      <c r="N13" s="226">
        <f t="shared" ca="1" si="2"/>
        <v>46375</v>
      </c>
      <c r="O13" s="226">
        <f t="shared" ca="1" si="2"/>
        <v>63140</v>
      </c>
      <c r="P13" s="226">
        <f t="shared" ca="1" si="2"/>
        <v>63140</v>
      </c>
      <c r="Q13" s="226">
        <f t="shared" ca="1" si="2"/>
        <v>63340</v>
      </c>
      <c r="R13" s="226">
        <f t="shared" ca="1" si="2"/>
        <v>63340</v>
      </c>
      <c r="S13" s="226">
        <f t="shared" ca="1" si="2"/>
        <v>64340</v>
      </c>
      <c r="T13" s="226">
        <f t="shared" ca="1" si="2"/>
        <v>68041</v>
      </c>
      <c r="U13" s="226">
        <f t="shared" ca="1" si="2"/>
        <v>68041</v>
      </c>
      <c r="V13" s="226">
        <f t="shared" ca="1" si="2"/>
        <v>68041</v>
      </c>
      <c r="W13" s="226">
        <f t="shared" ca="1" si="2"/>
        <v>68041</v>
      </c>
      <c r="X13" s="226">
        <f t="shared" ca="1" si="2"/>
        <v>68041</v>
      </c>
      <c r="Y13" s="226">
        <f t="shared" ca="1" si="2"/>
        <v>68041</v>
      </c>
      <c r="Z13" s="226">
        <f t="shared" ca="1" si="2"/>
        <v>68041</v>
      </c>
      <c r="AA13" s="226">
        <f t="shared" ca="1" si="2"/>
        <v>68041</v>
      </c>
      <c r="AB13" s="226">
        <f t="shared" ca="1" si="2"/>
        <v>68041</v>
      </c>
      <c r="AC13" s="226">
        <f t="shared" ca="1" si="2"/>
        <v>68041</v>
      </c>
      <c r="AD13" s="226">
        <f t="shared" ca="1" si="2"/>
        <v>68041</v>
      </c>
      <c r="AE13" s="226">
        <f t="shared" ca="1" si="2"/>
        <v>68041</v>
      </c>
      <c r="AF13" s="226">
        <f t="shared" si="2"/>
        <v>68982.333333333328</v>
      </c>
      <c r="AG13" s="226">
        <f t="shared" si="2"/>
        <v>68982.333333333328</v>
      </c>
      <c r="AH13" s="226">
        <f t="shared" si="2"/>
        <v>68982.333333333328</v>
      </c>
      <c r="AI13" s="226">
        <f t="shared" si="2"/>
        <v>68982.333333333328</v>
      </c>
      <c r="AJ13" s="226">
        <f t="shared" si="2"/>
        <v>68982.333333333328</v>
      </c>
      <c r="AK13" s="226">
        <f t="shared" si="2"/>
        <v>77015.666666666657</v>
      </c>
      <c r="AL13" s="226">
        <f t="shared" si="2"/>
        <v>77015.666666666657</v>
      </c>
      <c r="AM13" s="226">
        <f t="shared" si="2"/>
        <v>85519.833333333328</v>
      </c>
      <c r="AN13" s="226">
        <f t="shared" si="2"/>
        <v>85519.833333333328</v>
      </c>
      <c r="AO13" s="226">
        <f t="shared" si="2"/>
        <v>93553.166666666657</v>
      </c>
      <c r="AP13" s="226">
        <f t="shared" si="2"/>
        <v>93553.166666666657</v>
      </c>
      <c r="AQ13" s="226">
        <f t="shared" si="2"/>
        <v>93553.166666666657</v>
      </c>
      <c r="AR13" s="226">
        <f t="shared" si="2"/>
        <v>93553.166666666657</v>
      </c>
      <c r="AS13" s="226">
        <f t="shared" si="2"/>
        <v>93553.166666666657</v>
      </c>
      <c r="AT13" s="226">
        <f t="shared" si="2"/>
        <v>93553.166666666657</v>
      </c>
      <c r="AU13" s="226">
        <f t="shared" si="2"/>
        <v>93553.166666666657</v>
      </c>
      <c r="AV13" s="226">
        <f t="shared" si="2"/>
        <v>93553.166666666657</v>
      </c>
      <c r="AW13" s="226">
        <f t="shared" si="2"/>
        <v>93553.166666666657</v>
      </c>
      <c r="AX13" s="226">
        <f t="shared" si="2"/>
        <v>93553.166666666657</v>
      </c>
      <c r="AY13" s="226">
        <f t="shared" si="2"/>
        <v>93553.166666666657</v>
      </c>
      <c r="AZ13" s="226">
        <f t="shared" si="2"/>
        <v>93553.166666666657</v>
      </c>
      <c r="BA13" s="226">
        <f t="shared" si="2"/>
        <v>93553.166666666657</v>
      </c>
      <c r="BB13" s="226">
        <f t="shared" si="2"/>
        <v>93553.166666666657</v>
      </c>
      <c r="BC13" s="226">
        <f t="shared" si="2"/>
        <v>93553.166666666657</v>
      </c>
      <c r="BD13" s="226">
        <f t="shared" si="2"/>
        <v>93553.166666666657</v>
      </c>
      <c r="BE13" s="226">
        <f t="shared" si="2"/>
        <v>93553.166666666657</v>
      </c>
      <c r="BF13" s="226">
        <f t="shared" si="2"/>
        <v>93553.166666666657</v>
      </c>
      <c r="BG13" s="226">
        <f t="shared" si="2"/>
        <v>93553.166666666657</v>
      </c>
      <c r="BH13" s="226">
        <f t="shared" si="2"/>
        <v>93553.166666666657</v>
      </c>
      <c r="BI13" s="226">
        <f t="shared" si="2"/>
        <v>93553.166666666657</v>
      </c>
      <c r="BJ13" s="226">
        <f t="shared" si="2"/>
        <v>93553.166666666657</v>
      </c>
      <c r="BK13" s="226">
        <f t="shared" si="2"/>
        <v>93553.166666666657</v>
      </c>
      <c r="BL13" s="226">
        <f t="shared" si="2"/>
        <v>93553.166666666657</v>
      </c>
      <c r="BM13" s="226">
        <f t="shared" si="2"/>
        <v>93553.166666666657</v>
      </c>
      <c r="BN13" s="226">
        <f t="shared" si="2"/>
        <v>93553.166666666657</v>
      </c>
      <c r="BO13" s="226">
        <f t="shared" si="2"/>
        <v>93553.166666666657</v>
      </c>
      <c r="BP13" s="226">
        <f t="shared" si="2"/>
        <v>93553.166666666657</v>
      </c>
      <c r="BQ13" s="226">
        <f t="shared" si="2"/>
        <v>93553.166666666657</v>
      </c>
      <c r="BR13" s="226">
        <f t="shared" si="2"/>
        <v>93553.166666666657</v>
      </c>
      <c r="BS13" s="226">
        <f t="shared" si="2"/>
        <v>93553.166666666657</v>
      </c>
      <c r="BT13" s="226">
        <f t="shared" si="2"/>
        <v>93553.166666666657</v>
      </c>
      <c r="BU13" s="226">
        <f t="shared" si="2"/>
        <v>93553.166666666657</v>
      </c>
      <c r="BV13" s="226">
        <f t="shared" si="2"/>
        <v>93553.166666666657</v>
      </c>
      <c r="BW13" s="226">
        <f t="shared" si="2"/>
        <v>93553.166666666657</v>
      </c>
    </row>
    <row r="14" spans="1:75" ht="12.75" x14ac:dyDescent="0.2">
      <c r="A14" s="23" t="s">
        <v>259</v>
      </c>
      <c r="B14" s="240">
        <f ca="1">AVERAGEIFS(14:14,$1:$1,"&gt;="&amp;DATE(YEAR(Current_Month),MONTH(Current_Month)-2,DAY(Current_Month)),$1:$1,"&lt;="&amp;EOMONTH(Current_Month,0))/AVERAGEIFS(Oper_Model_Revenue,$1:$1,"&gt;="&amp;DATE(YEAR(Current_Month),MONTH(Current_Month)-2,DAY(Current_Month)),$1:$1,"&lt;="&amp;EOMONTH(Current_Month,0))</f>
        <v>9.0574497282173688E-3</v>
      </c>
      <c r="D14" s="115">
        <f t="array" aca="1" ref="D14" ca="1">INDEX(INDIRECT("PnL_"&amp;TEXT(D$1,"mmm")&amp;"_"&amp;TEXT(D$1,"yyyy")),MATCH(TRIM($A14),PnL_Accounts,0))</f>
        <v>4958</v>
      </c>
      <c r="E14" s="115">
        <f t="array" aca="1" ref="E14" ca="1">INDEX(INDIRECT("PnL_"&amp;TEXT(E$1,"mmm")&amp;"_"&amp;TEXT(E$1,"yyyy")),MATCH(TRIM($A14),PnL_Accounts,0))</f>
        <v>5068</v>
      </c>
      <c r="F14" s="115">
        <f t="array" aca="1" ref="F14" ca="1">INDEX(INDIRECT("PnL_"&amp;TEXT(F$1,"mmm")&amp;"_"&amp;TEXT(F$1,"yyyy")),MATCH(TRIM($A14),PnL_Accounts,0))</f>
        <v>5152</v>
      </c>
      <c r="G14" s="115">
        <f t="array" aca="1" ref="G14" ca="1">INDEX(INDIRECT("PnL_"&amp;TEXT(G$1,"mmm")&amp;"_"&amp;TEXT(G$1,"yyyy")),MATCH(TRIM($A14),PnL_Accounts,0))</f>
        <v>5195</v>
      </c>
      <c r="H14" s="115">
        <f t="array" aca="1" ref="H14" ca="1">INDEX(INDIRECT("PnL_"&amp;TEXT(H$1,"mmm")&amp;"_"&amp;TEXT(H$1,"yyyy")),MATCH(TRIM($A14),PnL_Accounts,0))</f>
        <v>5317</v>
      </c>
      <c r="I14" s="115">
        <f t="array" aca="1" ref="I14" ca="1">INDEX(INDIRECT("PnL_"&amp;TEXT(I$1,"mmm")&amp;"_"&amp;TEXT(I$1,"yyyy")),MATCH(TRIM($A14),PnL_Accounts,0))</f>
        <v>5443</v>
      </c>
      <c r="J14" s="115">
        <f t="array" aca="1" ref="J14" ca="1">INDEX(INDIRECT("PnL_"&amp;TEXT(J$1,"mmm")&amp;"_"&amp;TEXT(J$1,"yyyy")),MATCH(TRIM($A14),PnL_Accounts,0))</f>
        <v>5525</v>
      </c>
      <c r="K14" s="115">
        <f t="array" aca="1" ref="K14" ca="1">INDEX(INDIRECT("PnL_"&amp;TEXT(K$1,"mmm")&amp;"_"&amp;TEXT(K$1,"yyyy")),MATCH(TRIM($A14),PnL_Accounts,0))</f>
        <v>5460</v>
      </c>
      <c r="L14" s="115">
        <f t="array" aca="1" ref="L14" ca="1">INDEX(INDIRECT("PnL_"&amp;TEXT(L$1,"mmm")&amp;"_"&amp;TEXT(L$1,"yyyy")),MATCH(TRIM($A14),PnL_Accounts,0))</f>
        <v>5320</v>
      </c>
      <c r="M14" s="115">
        <f t="array" aca="1" ref="M14" ca="1">INDEX(INDIRECT("PnL_"&amp;TEXT(M$1,"mmm")&amp;"_"&amp;TEXT(M$1,"yyyy")),MATCH(TRIM($A14),PnL_Accounts,0))</f>
        <v>5497</v>
      </c>
      <c r="N14" s="115">
        <f t="array" aca="1" ref="N14" ca="1">INDEX(INDIRECT("PnL_"&amp;TEXT(N$1,"mmm")&amp;"_"&amp;TEXT(N$1,"yyyy")),MATCH(TRIM($A14),PnL_Accounts,0))</f>
        <v>5687</v>
      </c>
      <c r="O14" s="115">
        <f t="array" aca="1" ref="O14" ca="1">INDEX(INDIRECT("PnL_"&amp;TEXT(O$1,"mmm")&amp;"_"&amp;TEXT(O$1,"yyyy")),MATCH(TRIM($A14),PnL_Accounts,0))</f>
        <v>5824</v>
      </c>
      <c r="P14" s="115">
        <f t="array" aca="1" ref="P14" ca="1">INDEX(INDIRECT("PnL_"&amp;TEXT(P$1,"mmm")&amp;"_"&amp;TEXT(P$1,"yyyy")),MATCH(TRIM($A14),PnL_Accounts,0))</f>
        <v>4830</v>
      </c>
      <c r="Q14" s="115">
        <f t="array" aca="1" ref="Q14" ca="1">INDEX(INDIRECT("PnL_"&amp;TEXT(Q$1,"mmm")&amp;"_"&amp;TEXT(Q$1,"yyyy")),MATCH(TRIM($A14),PnL_Accounts,0))</f>
        <v>6476</v>
      </c>
      <c r="R14" s="115">
        <f t="array" aca="1" ref="R14" ca="1">INDEX(INDIRECT("PnL_"&amp;TEXT(R$1,"mmm")&amp;"_"&amp;TEXT(R$1,"yyyy")),MATCH(TRIM($A14),PnL_Accounts,0))</f>
        <v>6788</v>
      </c>
      <c r="S14" s="115">
        <f t="array" aca="1" ref="S14" ca="1">INDEX(INDIRECT("PnL_"&amp;TEXT(S$1,"mmm")&amp;"_"&amp;TEXT(S$1,"yyyy")),MATCH(TRIM($A14),PnL_Accounts,0))</f>
        <v>6788</v>
      </c>
      <c r="T14" s="115">
        <f t="array" aca="1" ref="T14" ca="1">INDEX(INDIRECT("PnL_"&amp;TEXT(T$1,"mmm")&amp;"_"&amp;TEXT(T$1,"yyyy")),MATCH(TRIM($A14),PnL_Accounts,0))</f>
        <v>7214</v>
      </c>
      <c r="U14" s="115">
        <f t="array" aca="1" ref="U14" ca="1">INDEX(INDIRECT("PnL_"&amp;TEXT(U$1,"mmm")&amp;"_"&amp;TEXT(U$1,"yyyy")),MATCH(TRIM($A14),PnL_Accounts,0))</f>
        <v>7433</v>
      </c>
      <c r="V14" s="115">
        <f t="array" aca="1" ref="V14" ca="1">INDEX(INDIRECT("PnL_"&amp;TEXT(V$1,"mmm")&amp;"_"&amp;TEXT(V$1,"yyyy")),MATCH(TRIM($A14),PnL_Accounts,0))</f>
        <v>7296</v>
      </c>
      <c r="W14" s="115">
        <f t="array" aca="1" ref="W14" ca="1">INDEX(INDIRECT("PnL_"&amp;TEXT(W$1,"mmm")&amp;"_"&amp;TEXT(W$1,"yyyy")),MATCH(TRIM($A14),PnL_Accounts,0))</f>
        <v>7521</v>
      </c>
      <c r="X14" s="115">
        <f t="array" aca="1" ref="X14" ca="1">INDEX(INDIRECT("PnL_"&amp;TEXT(X$1,"mmm")&amp;"_"&amp;TEXT(X$1,"yyyy")),MATCH(TRIM($A14),PnL_Accounts,0))</f>
        <v>7521</v>
      </c>
      <c r="Y14" s="115">
        <f t="array" aca="1" ref="Y14" ca="1">INDEX(INDIRECT("PnL_"&amp;TEXT(Y$1,"mmm")&amp;"_"&amp;TEXT(Y$1,"yyyy")),MATCH(TRIM($A14),PnL_Accounts,0))</f>
        <v>7521</v>
      </c>
      <c r="Z14" s="115">
        <f t="array" aca="1" ref="Z14" ca="1">INDEX(INDIRECT("PnL_"&amp;TEXT(Z$1,"mmm")&amp;"_"&amp;TEXT(Z$1,"yyyy")),MATCH(TRIM($A14),PnL_Accounts,0))</f>
        <v>7599</v>
      </c>
      <c r="AA14" s="115">
        <f t="array" aca="1" ref="AA14" ca="1">INDEX(INDIRECT("PnL_"&amp;TEXT(AA$1,"mmm")&amp;"_"&amp;TEXT(AA$1,"yyyy")),MATCH(TRIM($A14),PnL_Accounts,0))</f>
        <v>8976</v>
      </c>
      <c r="AB14" s="115">
        <f t="array" aca="1" ref="AB14" ca="1">INDEX(INDIRECT("PnL_"&amp;TEXT(AB$1,"mmm")&amp;"_"&amp;TEXT(AB$1,"yyyy")),MATCH(TRIM($A14),PnL_Accounts,0))</f>
        <v>8976</v>
      </c>
      <c r="AC14" s="115">
        <f t="array" aca="1" ref="AC14" ca="1">INDEX(INDIRECT("PnL_"&amp;TEXT(AC$1,"mmm")&amp;"_"&amp;TEXT(AC$1,"yyyy")),MATCH(TRIM($A14),PnL_Accounts,0))</f>
        <v>8155</v>
      </c>
      <c r="AD14" s="115">
        <f t="array" aca="1" ref="AD14" ca="1">INDEX(INDIRECT("PnL_"&amp;TEXT(AD$1,"mmm")&amp;"_"&amp;TEXT(AD$1,"yyyy")),MATCH(TRIM($A14),PnL_Accounts,0))</f>
        <v>7155</v>
      </c>
      <c r="AE14" s="115">
        <f t="array" aca="1" ref="AE14" ca="1">INDEX(INDIRECT("PnL_"&amp;TEXT(AE$1,"mmm")&amp;"_"&amp;TEXT(AE$1,"yyyy")),MATCH(TRIM($A14),PnL_Accounts,0))</f>
        <v>6974</v>
      </c>
      <c r="AF14" s="115">
        <f t="shared" ref="AF14:BW14" ca="1" si="3">$B14*AF$5</f>
        <v>7067.9757225925659</v>
      </c>
      <c r="AG14" s="115">
        <f t="shared" ca="1" si="3"/>
        <v>7036.1792686532253</v>
      </c>
      <c r="AH14" s="115">
        <f t="shared" ca="1" si="3"/>
        <v>7103.825720040908</v>
      </c>
      <c r="AI14" s="115">
        <f t="shared" ca="1" si="3"/>
        <v>7194.0616679861814</v>
      </c>
      <c r="AJ14" s="115">
        <f t="shared" ca="1" si="3"/>
        <v>7340.5822091054906</v>
      </c>
      <c r="AK14" s="115">
        <f t="shared" ca="1" si="3"/>
        <v>7507.2078237721107</v>
      </c>
      <c r="AL14" s="115">
        <f t="shared" ca="1" si="3"/>
        <v>7664.4268291810922</v>
      </c>
      <c r="AM14" s="115">
        <f t="shared" ca="1" si="3"/>
        <v>7830.8456227692968</v>
      </c>
      <c r="AN14" s="115">
        <f t="shared" ca="1" si="3"/>
        <v>7996.2787578751841</v>
      </c>
      <c r="AO14" s="115">
        <f t="shared" ca="1" si="3"/>
        <v>8172.0532187244335</v>
      </c>
      <c r="AP14" s="115">
        <f t="shared" ca="1" si="3"/>
        <v>8346.3784472477164</v>
      </c>
      <c r="AQ14" s="115">
        <f t="shared" ca="1" si="3"/>
        <v>8530.8398415295851</v>
      </c>
      <c r="AR14" s="115">
        <f t="shared" ca="1" si="3"/>
        <v>8725.319560279484</v>
      </c>
      <c r="AS14" s="115">
        <f t="shared" ca="1" si="3"/>
        <v>8918.3795935261041</v>
      </c>
      <c r="AT14" s="115">
        <f t="shared" ca="1" si="3"/>
        <v>9121.3903331925612</v>
      </c>
      <c r="AU14" s="115">
        <f t="shared" ca="1" si="3"/>
        <v>9322.9611622961929</v>
      </c>
      <c r="AV14" s="115">
        <f t="shared" ca="1" si="3"/>
        <v>9534.3970899771284</v>
      </c>
      <c r="AW14" s="115">
        <f t="shared" ca="1" si="3"/>
        <v>9755.6366470114062</v>
      </c>
      <c r="AX14" s="115">
        <f t="shared" ca="1" si="3"/>
        <v>9975.3027276840057</v>
      </c>
      <c r="AY14" s="115">
        <f t="shared" ca="1" si="3"/>
        <v>10204.709060223537</v>
      </c>
      <c r="AZ14" s="115">
        <f t="shared" ca="1" si="3"/>
        <v>10510.850332030242</v>
      </c>
      <c r="BA14" s="115">
        <f t="shared" ca="1" si="3"/>
        <v>10826.175841991151</v>
      </c>
      <c r="BB14" s="115">
        <f t="shared" ca="1" si="3"/>
        <v>11150.961117250885</v>
      </c>
      <c r="BC14" s="115">
        <f t="shared" ca="1" si="3"/>
        <v>11485.489950768411</v>
      </c>
      <c r="BD14" s="115">
        <f t="shared" ca="1" si="3"/>
        <v>11830.054649291462</v>
      </c>
      <c r="BE14" s="115">
        <f t="shared" ca="1" si="3"/>
        <v>12184.956288770207</v>
      </c>
      <c r="BF14" s="115">
        <f t="shared" ca="1" si="3"/>
        <v>12550.504977433313</v>
      </c>
      <c r="BG14" s="115">
        <f t="shared" ca="1" si="3"/>
        <v>12927.020126756313</v>
      </c>
      <c r="BH14" s="115">
        <f t="shared" ca="1" si="3"/>
        <v>13314.830730559004</v>
      </c>
      <c r="BI14" s="115">
        <f t="shared" ca="1" si="3"/>
        <v>13714.275652475773</v>
      </c>
      <c r="BJ14" s="115">
        <f t="shared" ca="1" si="3"/>
        <v>14125.703922050046</v>
      </c>
      <c r="BK14" s="115">
        <f t="shared" ca="1" si="3"/>
        <v>14549.475039711548</v>
      </c>
      <c r="BL14" s="115">
        <f t="shared" ca="1" si="3"/>
        <v>14985.959290902894</v>
      </c>
      <c r="BM14" s="115">
        <f t="shared" ca="1" si="3"/>
        <v>15435.538069629982</v>
      </c>
      <c r="BN14" s="115">
        <f t="shared" ca="1" si="3"/>
        <v>15898.604211718883</v>
      </c>
      <c r="BO14" s="115">
        <f t="shared" ca="1" si="3"/>
        <v>16375.562338070449</v>
      </c>
      <c r="BP14" s="115">
        <f t="shared" ca="1" si="3"/>
        <v>16866.829208212563</v>
      </c>
      <c r="BQ14" s="115">
        <f t="shared" ca="1" si="3"/>
        <v>17372.83408445894</v>
      </c>
      <c r="BR14" s="115">
        <f t="shared" ca="1" si="3"/>
        <v>17894.01910699271</v>
      </c>
      <c r="BS14" s="115">
        <f t="shared" ca="1" si="3"/>
        <v>18430.839680202491</v>
      </c>
      <c r="BT14" s="115">
        <f t="shared" ca="1" si="3"/>
        <v>18983.764870608567</v>
      </c>
      <c r="BU14" s="115">
        <f t="shared" ca="1" si="3"/>
        <v>19553.277816726822</v>
      </c>
      <c r="BV14" s="115">
        <f t="shared" ca="1" si="3"/>
        <v>20139.876151228629</v>
      </c>
      <c r="BW14" s="115">
        <f t="shared" ca="1" si="3"/>
        <v>20744.072435765487</v>
      </c>
    </row>
    <row r="15" spans="1:75" ht="12.75" x14ac:dyDescent="0.2">
      <c r="A15" s="60" t="s">
        <v>262</v>
      </c>
      <c r="B15" s="238"/>
      <c r="C15" s="212"/>
      <c r="D15" s="226">
        <f t="shared" ref="D15:BW15" ca="1" si="4">SUM(D14,D13)</f>
        <v>34283</v>
      </c>
      <c r="E15" s="226">
        <f t="shared" ca="1" si="4"/>
        <v>34393</v>
      </c>
      <c r="F15" s="226">
        <f t="shared" ca="1" si="4"/>
        <v>34477</v>
      </c>
      <c r="G15" s="226">
        <f t="shared" ca="1" si="4"/>
        <v>40385</v>
      </c>
      <c r="H15" s="226">
        <f t="shared" ca="1" si="4"/>
        <v>40507</v>
      </c>
      <c r="I15" s="226">
        <f t="shared" ca="1" si="4"/>
        <v>40633</v>
      </c>
      <c r="J15" s="226">
        <f t="shared" ca="1" si="4"/>
        <v>46362</v>
      </c>
      <c r="K15" s="226">
        <f t="shared" ca="1" si="4"/>
        <v>46297</v>
      </c>
      <c r="L15" s="226">
        <f t="shared" ca="1" si="4"/>
        <v>51695</v>
      </c>
      <c r="M15" s="226">
        <f t="shared" ca="1" si="4"/>
        <v>51872</v>
      </c>
      <c r="N15" s="226">
        <f t="shared" ca="1" si="4"/>
        <v>52062</v>
      </c>
      <c r="O15" s="226">
        <f t="shared" ca="1" si="4"/>
        <v>68964</v>
      </c>
      <c r="P15" s="226">
        <f t="shared" ca="1" si="4"/>
        <v>67970</v>
      </c>
      <c r="Q15" s="226">
        <f t="shared" ca="1" si="4"/>
        <v>69816</v>
      </c>
      <c r="R15" s="226">
        <f t="shared" ca="1" si="4"/>
        <v>70128</v>
      </c>
      <c r="S15" s="226">
        <f t="shared" ca="1" si="4"/>
        <v>71128</v>
      </c>
      <c r="T15" s="226">
        <f t="shared" ca="1" si="4"/>
        <v>75255</v>
      </c>
      <c r="U15" s="226">
        <f t="shared" ca="1" si="4"/>
        <v>75474</v>
      </c>
      <c r="V15" s="226">
        <f t="shared" ca="1" si="4"/>
        <v>75337</v>
      </c>
      <c r="W15" s="226">
        <f t="shared" ca="1" si="4"/>
        <v>75562</v>
      </c>
      <c r="X15" s="226">
        <f t="shared" ca="1" si="4"/>
        <v>75562</v>
      </c>
      <c r="Y15" s="226">
        <f t="shared" ca="1" si="4"/>
        <v>75562</v>
      </c>
      <c r="Z15" s="226">
        <f t="shared" ca="1" si="4"/>
        <v>75640</v>
      </c>
      <c r="AA15" s="226">
        <f t="shared" ca="1" si="4"/>
        <v>77017</v>
      </c>
      <c r="AB15" s="226">
        <f t="shared" ca="1" si="4"/>
        <v>77017</v>
      </c>
      <c r="AC15" s="226">
        <f t="shared" ca="1" si="4"/>
        <v>76196</v>
      </c>
      <c r="AD15" s="226">
        <f t="shared" ca="1" si="4"/>
        <v>75196</v>
      </c>
      <c r="AE15" s="226">
        <f t="shared" ca="1" si="4"/>
        <v>75015</v>
      </c>
      <c r="AF15" s="226">
        <f t="shared" ca="1" si="4"/>
        <v>76050.3090559259</v>
      </c>
      <c r="AG15" s="226">
        <f t="shared" ca="1" si="4"/>
        <v>76018.512601986557</v>
      </c>
      <c r="AH15" s="226">
        <f t="shared" ca="1" si="4"/>
        <v>76086.159053374242</v>
      </c>
      <c r="AI15" s="226">
        <f t="shared" ca="1" si="4"/>
        <v>76176.395001319514</v>
      </c>
      <c r="AJ15" s="226">
        <f t="shared" ca="1" si="4"/>
        <v>76322.915542438815</v>
      </c>
      <c r="AK15" s="226">
        <f t="shared" ca="1" si="4"/>
        <v>84522.874490438771</v>
      </c>
      <c r="AL15" s="226">
        <f t="shared" ca="1" si="4"/>
        <v>84680.093495847745</v>
      </c>
      <c r="AM15" s="226">
        <f t="shared" ca="1" si="4"/>
        <v>93350.678956102623</v>
      </c>
      <c r="AN15" s="226">
        <f t="shared" ca="1" si="4"/>
        <v>93516.112091208517</v>
      </c>
      <c r="AO15" s="226">
        <f t="shared" ca="1" si="4"/>
        <v>101725.2198853911</v>
      </c>
      <c r="AP15" s="226">
        <f t="shared" ca="1" si="4"/>
        <v>101899.54511391437</v>
      </c>
      <c r="AQ15" s="226">
        <f t="shared" ca="1" si="4"/>
        <v>102084.00650819624</v>
      </c>
      <c r="AR15" s="226">
        <f t="shared" ca="1" si="4"/>
        <v>102278.48622694614</v>
      </c>
      <c r="AS15" s="226">
        <f t="shared" ca="1" si="4"/>
        <v>102471.54626019276</v>
      </c>
      <c r="AT15" s="226">
        <f t="shared" ca="1" si="4"/>
        <v>102674.55699985923</v>
      </c>
      <c r="AU15" s="226">
        <f t="shared" ca="1" si="4"/>
        <v>102876.12782896285</v>
      </c>
      <c r="AV15" s="226">
        <f t="shared" ca="1" si="4"/>
        <v>103087.56375664378</v>
      </c>
      <c r="AW15" s="226">
        <f t="shared" ca="1" si="4"/>
        <v>103308.80331367806</v>
      </c>
      <c r="AX15" s="226">
        <f t="shared" ca="1" si="4"/>
        <v>103528.46939435066</v>
      </c>
      <c r="AY15" s="226">
        <f t="shared" ca="1" si="4"/>
        <v>103757.8757268902</v>
      </c>
      <c r="AZ15" s="226">
        <f t="shared" ca="1" si="4"/>
        <v>104064.0169986969</v>
      </c>
      <c r="BA15" s="226">
        <f t="shared" ca="1" si="4"/>
        <v>104379.34250865781</v>
      </c>
      <c r="BB15" s="226">
        <f t="shared" ca="1" si="4"/>
        <v>104704.12778391755</v>
      </c>
      <c r="BC15" s="226">
        <f t="shared" ca="1" si="4"/>
        <v>105038.65661743507</v>
      </c>
      <c r="BD15" s="226">
        <f t="shared" ca="1" si="4"/>
        <v>105383.22131595812</v>
      </c>
      <c r="BE15" s="226">
        <f t="shared" ca="1" si="4"/>
        <v>105738.12295543686</v>
      </c>
      <c r="BF15" s="226">
        <f t="shared" ca="1" si="4"/>
        <v>106103.67164409997</v>
      </c>
      <c r="BG15" s="226">
        <f t="shared" ca="1" si="4"/>
        <v>106480.18679342297</v>
      </c>
      <c r="BH15" s="226">
        <f t="shared" ca="1" si="4"/>
        <v>106867.99739722566</v>
      </c>
      <c r="BI15" s="226">
        <f t="shared" ca="1" si="4"/>
        <v>107267.44231914243</v>
      </c>
      <c r="BJ15" s="226">
        <f t="shared" ca="1" si="4"/>
        <v>107678.8705887167</v>
      </c>
      <c r="BK15" s="226">
        <f t="shared" ca="1" si="4"/>
        <v>108102.6417063782</v>
      </c>
      <c r="BL15" s="226">
        <f t="shared" ca="1" si="4"/>
        <v>108539.12595756954</v>
      </c>
      <c r="BM15" s="226">
        <f t="shared" ca="1" si="4"/>
        <v>108988.70473629664</v>
      </c>
      <c r="BN15" s="226">
        <f t="shared" ca="1" si="4"/>
        <v>109451.77087838553</v>
      </c>
      <c r="BO15" s="226">
        <f t="shared" ca="1" si="4"/>
        <v>109928.72900473711</v>
      </c>
      <c r="BP15" s="226">
        <f t="shared" ca="1" si="4"/>
        <v>110419.99587487921</v>
      </c>
      <c r="BQ15" s="226">
        <f t="shared" ca="1" si="4"/>
        <v>110926.0007511256</v>
      </c>
      <c r="BR15" s="226">
        <f t="shared" ca="1" si="4"/>
        <v>111447.18577365937</v>
      </c>
      <c r="BS15" s="226">
        <f t="shared" ca="1" si="4"/>
        <v>111984.00634686915</v>
      </c>
      <c r="BT15" s="226">
        <f t="shared" ca="1" si="4"/>
        <v>112536.93153727523</v>
      </c>
      <c r="BU15" s="226">
        <f t="shared" ca="1" si="4"/>
        <v>113106.44448339348</v>
      </c>
      <c r="BV15" s="226">
        <f t="shared" ca="1" si="4"/>
        <v>113693.04281789529</v>
      </c>
      <c r="BW15" s="226">
        <f t="shared" ca="1" si="4"/>
        <v>114297.23910243214</v>
      </c>
    </row>
    <row r="16" spans="1:75" ht="12.75" x14ac:dyDescent="0.2">
      <c r="A16" s="23" t="s">
        <v>263</v>
      </c>
      <c r="B16" s="221"/>
      <c r="D16" s="115">
        <f t="array" aca="1" ref="D16" ca="1">INDEX(INDIRECT("PnL_"&amp;TEXT(D$1,"mmm")&amp;"_"&amp;TEXT(D$1,"yyyy")),MATCH(TRIM($A16),PnL_Accounts,0))</f>
        <v>0</v>
      </c>
      <c r="E16" s="115">
        <f t="array" aca="1" ref="E16" ca="1">INDEX(INDIRECT("PnL_"&amp;TEXT(E$1,"mmm")&amp;"_"&amp;TEXT(E$1,"yyyy")),MATCH(TRIM($A16),PnL_Accounts,0))</f>
        <v>0</v>
      </c>
      <c r="F16" s="115">
        <f t="array" aca="1" ref="F16" ca="1">INDEX(INDIRECT("PnL_"&amp;TEXT(F$1,"mmm")&amp;"_"&amp;TEXT(F$1,"yyyy")),MATCH(TRIM($A16),PnL_Accounts,0))</f>
        <v>0</v>
      </c>
      <c r="G16" s="115">
        <f t="array" aca="1" ref="G16" ca="1">INDEX(INDIRECT("PnL_"&amp;TEXT(G$1,"mmm")&amp;"_"&amp;TEXT(G$1,"yyyy")),MATCH(TRIM($A16),PnL_Accounts,0))</f>
        <v>0</v>
      </c>
      <c r="H16" s="115">
        <f t="array" aca="1" ref="H16" ca="1">INDEX(INDIRECT("PnL_"&amp;TEXT(H$1,"mmm")&amp;"_"&amp;TEXT(H$1,"yyyy")),MATCH(TRIM($A16),PnL_Accounts,0))</f>
        <v>0</v>
      </c>
      <c r="I16" s="115">
        <f t="array" aca="1" ref="I16" ca="1">INDEX(INDIRECT("PnL_"&amp;TEXT(I$1,"mmm")&amp;"_"&amp;TEXT(I$1,"yyyy")),MATCH(TRIM($A16),PnL_Accounts,0))</f>
        <v>0</v>
      </c>
      <c r="J16" s="115">
        <f t="array" aca="1" ref="J16" ca="1">INDEX(INDIRECT("PnL_"&amp;TEXT(J$1,"mmm")&amp;"_"&amp;TEXT(J$1,"yyyy")),MATCH(TRIM($A16),PnL_Accounts,0))</f>
        <v>0</v>
      </c>
      <c r="K16" s="115">
        <f t="array" aca="1" ref="K16" ca="1">INDEX(INDIRECT("PnL_"&amp;TEXT(K$1,"mmm")&amp;"_"&amp;TEXT(K$1,"yyyy")),MATCH(TRIM($A16),PnL_Accounts,0))</f>
        <v>0</v>
      </c>
      <c r="L16" s="115">
        <f t="array" aca="1" ref="L16" ca="1">INDEX(INDIRECT("PnL_"&amp;TEXT(L$1,"mmm")&amp;"_"&amp;TEXT(L$1,"yyyy")),MATCH(TRIM($A16),PnL_Accounts,0))</f>
        <v>0</v>
      </c>
      <c r="M16" s="115">
        <f t="array" aca="1" ref="M16" ca="1">INDEX(INDIRECT("PnL_"&amp;TEXT(M$1,"mmm")&amp;"_"&amp;TEXT(M$1,"yyyy")),MATCH(TRIM($A16),PnL_Accounts,0))</f>
        <v>0</v>
      </c>
      <c r="N16" s="115">
        <f t="array" aca="1" ref="N16" ca="1">INDEX(INDIRECT("PnL_"&amp;TEXT(N$1,"mmm")&amp;"_"&amp;TEXT(N$1,"yyyy")),MATCH(TRIM($A16),PnL_Accounts,0))</f>
        <v>0</v>
      </c>
      <c r="O16" s="115">
        <f t="array" aca="1" ref="O16" ca="1">INDEX(INDIRECT("PnL_"&amp;TEXT(O$1,"mmm")&amp;"_"&amp;TEXT(O$1,"yyyy")),MATCH(TRIM($A16),PnL_Accounts,0))</f>
        <v>0</v>
      </c>
      <c r="P16" s="115">
        <f t="array" aca="1" ref="P16" ca="1">INDEX(INDIRECT("PnL_"&amp;TEXT(P$1,"mmm")&amp;"_"&amp;TEXT(P$1,"yyyy")),MATCH(TRIM($A16),PnL_Accounts,0))</f>
        <v>0</v>
      </c>
      <c r="Q16" s="115">
        <f t="array" aca="1" ref="Q16" ca="1">INDEX(INDIRECT("PnL_"&amp;TEXT(Q$1,"mmm")&amp;"_"&amp;TEXT(Q$1,"yyyy")),MATCH(TRIM($A16),PnL_Accounts,0))</f>
        <v>0</v>
      </c>
      <c r="R16" s="115">
        <f t="array" aca="1" ref="R16" ca="1">INDEX(INDIRECT("PnL_"&amp;TEXT(R$1,"mmm")&amp;"_"&amp;TEXT(R$1,"yyyy")),MATCH(TRIM($A16),PnL_Accounts,0))</f>
        <v>0</v>
      </c>
      <c r="S16" s="115">
        <f t="array" aca="1" ref="S16" ca="1">INDEX(INDIRECT("PnL_"&amp;TEXT(S$1,"mmm")&amp;"_"&amp;TEXT(S$1,"yyyy")),MATCH(TRIM($A16),PnL_Accounts,0))</f>
        <v>0</v>
      </c>
      <c r="T16" s="115">
        <f t="array" aca="1" ref="T16" ca="1">INDEX(INDIRECT("PnL_"&amp;TEXT(T$1,"mmm")&amp;"_"&amp;TEXT(T$1,"yyyy")),MATCH(TRIM($A16),PnL_Accounts,0))</f>
        <v>0</v>
      </c>
      <c r="U16" s="115">
        <f t="array" aca="1" ref="U16" ca="1">INDEX(INDIRECT("PnL_"&amp;TEXT(U$1,"mmm")&amp;"_"&amp;TEXT(U$1,"yyyy")),MATCH(TRIM($A16),PnL_Accounts,0))</f>
        <v>0</v>
      </c>
      <c r="V16" s="115">
        <f t="array" aca="1" ref="V16" ca="1">INDEX(INDIRECT("PnL_"&amp;TEXT(V$1,"mmm")&amp;"_"&amp;TEXT(V$1,"yyyy")),MATCH(TRIM($A16),PnL_Accounts,0))</f>
        <v>0</v>
      </c>
      <c r="W16" s="115">
        <f t="array" aca="1" ref="W16" ca="1">INDEX(INDIRECT("PnL_"&amp;TEXT(W$1,"mmm")&amp;"_"&amp;TEXT(W$1,"yyyy")),MATCH(TRIM($A16),PnL_Accounts,0))</f>
        <v>0</v>
      </c>
      <c r="X16" s="115">
        <f t="array" aca="1" ref="X16" ca="1">INDEX(INDIRECT("PnL_"&amp;TEXT(X$1,"mmm")&amp;"_"&amp;TEXT(X$1,"yyyy")),MATCH(TRIM($A16),PnL_Accounts,0))</f>
        <v>0</v>
      </c>
      <c r="Y16" s="115">
        <f t="array" aca="1" ref="Y16" ca="1">INDEX(INDIRECT("PnL_"&amp;TEXT(Y$1,"mmm")&amp;"_"&amp;TEXT(Y$1,"yyyy")),MATCH(TRIM($A16),PnL_Accounts,0))</f>
        <v>0</v>
      </c>
      <c r="Z16" s="115">
        <f t="array" aca="1" ref="Z16" ca="1">INDEX(INDIRECT("PnL_"&amp;TEXT(Z$1,"mmm")&amp;"_"&amp;TEXT(Z$1,"yyyy")),MATCH(TRIM($A16),PnL_Accounts,0))</f>
        <v>0</v>
      </c>
      <c r="AA16" s="115">
        <f t="array" aca="1" ref="AA16" ca="1">INDEX(INDIRECT("PnL_"&amp;TEXT(AA$1,"mmm")&amp;"_"&amp;TEXT(AA$1,"yyyy")),MATCH(TRIM($A16),PnL_Accounts,0))</f>
        <v>0</v>
      </c>
      <c r="AB16" s="115">
        <f t="array" aca="1" ref="AB16" ca="1">INDEX(INDIRECT("PnL_"&amp;TEXT(AB$1,"mmm")&amp;"_"&amp;TEXT(AB$1,"yyyy")),MATCH(TRIM($A16),PnL_Accounts,0))</f>
        <v>0</v>
      </c>
      <c r="AC16" s="115">
        <f t="array" aca="1" ref="AC16" ca="1">INDEX(INDIRECT("PnL_"&amp;TEXT(AC$1,"mmm")&amp;"_"&amp;TEXT(AC$1,"yyyy")),MATCH(TRIM($A16),PnL_Accounts,0))</f>
        <v>0</v>
      </c>
      <c r="AD16" s="115">
        <f t="array" aca="1" ref="AD16" ca="1">INDEX(INDIRECT("PnL_"&amp;TEXT(AD$1,"mmm")&amp;"_"&amp;TEXT(AD$1,"yyyy")),MATCH(TRIM($A16),PnL_Accounts,0))</f>
        <v>0</v>
      </c>
      <c r="AE16" s="115">
        <f t="array" aca="1" ref="AE16" ca="1">INDEX(INDIRECT("PnL_"&amp;TEXT(AE$1,"mmm")&amp;"_"&amp;TEXT(AE$1,"yyyy")),MATCH(TRIM($A16),PnL_Accounts,0))</f>
        <v>0</v>
      </c>
    </row>
    <row r="17" spans="1:75" ht="12.75" x14ac:dyDescent="0.2">
      <c r="A17" s="23" t="s">
        <v>273</v>
      </c>
      <c r="B17" s="240">
        <f ca="1">AVERAGEIFS(17:17,$1:$1,"&gt;="&amp;DATE(YEAR(Current_Month),MONTH(Current_Month)-2,DAY(Current_Month)),$1:$1,"&lt;="&amp;EOMONTH(Current_Month,0))/AVERAGEIFS(Oper_Model_Revenue,$1:$1,"&gt;="&amp;DATE(YEAR(Current_Month),MONTH(Current_Month)-2,DAY(Current_Month)),$1:$1,"&lt;="&amp;EOMONTH(Current_Month,0))</f>
        <v>8.6850960351631631E-2</v>
      </c>
      <c r="D17" s="115">
        <f t="array" aca="1" ref="D17" ca="1">INDEX(INDIRECT("PnL_"&amp;TEXT(D$1,"mmm")&amp;"_"&amp;TEXT(D$1,"yyyy")),MATCH(TRIM($A17),PnL_Accounts,0))</f>
        <v>30517</v>
      </c>
      <c r="E17" s="115">
        <f t="array" aca="1" ref="E17" ca="1">INDEX(INDIRECT("PnL_"&amp;TEXT(E$1,"mmm")&amp;"_"&amp;TEXT(E$1,"yyyy")),MATCH(TRIM($A17),PnL_Accounts,0))</f>
        <v>32284</v>
      </c>
      <c r="F17" s="115">
        <f t="array" aca="1" ref="F17" ca="1">INDEX(INDIRECT("PnL_"&amp;TEXT(F$1,"mmm")&amp;"_"&amp;TEXT(F$1,"yyyy")),MATCH(TRIM($A17),PnL_Accounts,0))</f>
        <v>35963</v>
      </c>
      <c r="G17" s="115">
        <f t="array" aca="1" ref="G17" ca="1">INDEX(INDIRECT("PnL_"&amp;TEXT(G$1,"mmm")&amp;"_"&amp;TEXT(G$1,"yyyy")),MATCH(TRIM($A17),PnL_Accounts,0))</f>
        <v>36287</v>
      </c>
      <c r="H17" s="115">
        <f t="array" aca="1" ref="H17" ca="1">INDEX(INDIRECT("PnL_"&amp;TEXT(H$1,"mmm")&amp;"_"&amp;TEXT(H$1,"yyyy")),MATCH(TRIM($A17),PnL_Accounts,0))</f>
        <v>38013</v>
      </c>
      <c r="I17" s="115">
        <f t="array" aca="1" ref="I17" ca="1">INDEX(INDIRECT("PnL_"&amp;TEXT(I$1,"mmm")&amp;"_"&amp;TEXT(I$1,"yyyy")),MATCH(TRIM($A17),PnL_Accounts,0))</f>
        <v>38336</v>
      </c>
      <c r="J17" s="115">
        <f t="array" aca="1" ref="J17" ca="1">INDEX(INDIRECT("PnL_"&amp;TEXT(J$1,"mmm")&amp;"_"&amp;TEXT(J$1,"yyyy")),MATCH(TRIM($A17),PnL_Accounts,0))</f>
        <v>39177</v>
      </c>
      <c r="K17" s="115">
        <f t="array" aca="1" ref="K17" ca="1">INDEX(INDIRECT("PnL_"&amp;TEXT(K$1,"mmm")&amp;"_"&amp;TEXT(K$1,"yyyy")),MATCH(TRIM($A17),PnL_Accounts,0))</f>
        <v>40408</v>
      </c>
      <c r="L17" s="115">
        <f t="array" aca="1" ref="L17" ca="1">INDEX(INDIRECT("PnL_"&amp;TEXT(L$1,"mmm")&amp;"_"&amp;TEXT(L$1,"yyyy")),MATCH(TRIM($A17),PnL_Accounts,0))</f>
        <v>38739</v>
      </c>
      <c r="M17" s="115">
        <f t="array" aca="1" ref="M17" ca="1">INDEX(INDIRECT("PnL_"&amp;TEXT(M$1,"mmm")&amp;"_"&amp;TEXT(M$1,"yyyy")),MATCH(TRIM($A17),PnL_Accounts,0))</f>
        <v>44005</v>
      </c>
      <c r="N17" s="115">
        <f t="array" aca="1" ref="N17" ca="1">INDEX(INDIRECT("PnL_"&amp;TEXT(N$1,"mmm")&amp;"_"&amp;TEXT(N$1,"yyyy")),MATCH(TRIM($A17),PnL_Accounts,0))</f>
        <v>44227</v>
      </c>
      <c r="O17" s="115">
        <f t="array" aca="1" ref="O17" ca="1">INDEX(INDIRECT("PnL_"&amp;TEXT(O$1,"mmm")&amp;"_"&amp;TEXT(O$1,"yyyy")),MATCH(TRIM($A17),PnL_Accounts,0))</f>
        <v>44405</v>
      </c>
      <c r="P17" s="115">
        <f t="array" aca="1" ref="P17" ca="1">INDEX(INDIRECT("PnL_"&amp;TEXT(P$1,"mmm")&amp;"_"&amp;TEXT(P$1,"yyyy")),MATCH(TRIM($A17),PnL_Accounts,0))</f>
        <v>43894</v>
      </c>
      <c r="Q17" s="115">
        <f t="array" aca="1" ref="Q17" ca="1">INDEX(INDIRECT("PnL_"&amp;TEXT(Q$1,"mmm")&amp;"_"&amp;TEXT(Q$1,"yyyy")),MATCH(TRIM($A17),PnL_Accounts,0))</f>
        <v>41517</v>
      </c>
      <c r="R17" s="115">
        <f t="array" aca="1" ref="R17" ca="1">INDEX(INDIRECT("PnL_"&amp;TEXT(R$1,"mmm")&amp;"_"&amp;TEXT(R$1,"yyyy")),MATCH(TRIM($A17),PnL_Accounts,0))</f>
        <v>44678</v>
      </c>
      <c r="S17" s="115">
        <f t="array" aca="1" ref="S17" ca="1">INDEX(INDIRECT("PnL_"&amp;TEXT(S$1,"mmm")&amp;"_"&amp;TEXT(S$1,"yyyy")),MATCH(TRIM($A17),PnL_Accounts,0))</f>
        <v>44685</v>
      </c>
      <c r="T17" s="115">
        <f t="array" aca="1" ref="T17" ca="1">INDEX(INDIRECT("PnL_"&amp;TEXT(T$1,"mmm")&amp;"_"&amp;TEXT(T$1,"yyyy")),MATCH(TRIM($A17),PnL_Accounts,0))</f>
        <v>48061</v>
      </c>
      <c r="U17" s="115">
        <f t="array" aca="1" ref="U17" ca="1">INDEX(INDIRECT("PnL_"&amp;TEXT(U$1,"mmm")&amp;"_"&amp;TEXT(U$1,"yyyy")),MATCH(TRIM($A17),PnL_Accounts,0))</f>
        <v>46218</v>
      </c>
      <c r="V17" s="115">
        <f t="array" aca="1" ref="V17" ca="1">INDEX(INDIRECT("PnL_"&amp;TEXT(V$1,"mmm")&amp;"_"&amp;TEXT(V$1,"yyyy")),MATCH(TRIM($A17),PnL_Accounts,0))</f>
        <v>47477</v>
      </c>
      <c r="W17" s="115">
        <f t="array" aca="1" ref="W17" ca="1">INDEX(INDIRECT("PnL_"&amp;TEXT(W$1,"mmm")&amp;"_"&amp;TEXT(W$1,"yyyy")),MATCH(TRIM($A17),PnL_Accounts,0))</f>
        <v>49233</v>
      </c>
      <c r="X17" s="115">
        <f t="array" aca="1" ref="X17" ca="1">INDEX(INDIRECT("PnL_"&amp;TEXT(X$1,"mmm")&amp;"_"&amp;TEXT(X$1,"yyyy")),MATCH(TRIM($A17),PnL_Accounts,0))</f>
        <v>51225</v>
      </c>
      <c r="Y17" s="115">
        <f t="array" aca="1" ref="Y17" ca="1">INDEX(INDIRECT("PnL_"&amp;TEXT(Y$1,"mmm")&amp;"_"&amp;TEXT(Y$1,"yyyy")),MATCH(TRIM($A17),PnL_Accounts,0))</f>
        <v>57243</v>
      </c>
      <c r="Z17" s="115">
        <f t="array" aca="1" ref="Z17" ca="1">INDEX(INDIRECT("PnL_"&amp;TEXT(Z$1,"mmm")&amp;"_"&amp;TEXT(Z$1,"yyyy")),MATCH(TRIM($A17),PnL_Accounts,0))</f>
        <v>62451</v>
      </c>
      <c r="AA17" s="115">
        <f t="array" aca="1" ref="AA17" ca="1">INDEX(INDIRECT("PnL_"&amp;TEXT(AA$1,"mmm")&amp;"_"&amp;TEXT(AA$1,"yyyy")),MATCH(TRIM($A17),PnL_Accounts,0))</f>
        <v>65739</v>
      </c>
      <c r="AB17" s="115">
        <f t="array" aca="1" ref="AB17" ca="1">INDEX(INDIRECT("PnL_"&amp;TEXT(AB$1,"mmm")&amp;"_"&amp;TEXT(AB$1,"yyyy")),MATCH(TRIM($A17),PnL_Accounts,0))</f>
        <v>67542</v>
      </c>
      <c r="AC17" s="115">
        <f t="array" aca="1" ref="AC17" ca="1">INDEX(INDIRECT("PnL_"&amp;TEXT(AC$1,"mmm")&amp;"_"&amp;TEXT(AC$1,"yyyy")),MATCH(TRIM($A17),PnL_Accounts,0))</f>
        <v>71275</v>
      </c>
      <c r="AD17" s="115">
        <f t="array" aca="1" ref="AD17" ca="1">INDEX(INDIRECT("PnL_"&amp;TEXT(AD$1,"mmm")&amp;"_"&amp;TEXT(AD$1,"yyyy")),MATCH(TRIM($A17),PnL_Accounts,0))</f>
        <v>71648</v>
      </c>
      <c r="AE17" s="115">
        <f t="array" aca="1" ref="AE17" ca="1">INDEX(INDIRECT("PnL_"&amp;TEXT(AE$1,"mmm")&amp;"_"&amp;TEXT(AE$1,"yyyy")),MATCH(TRIM($A17),PnL_Accounts,0))</f>
        <v>70756</v>
      </c>
      <c r="AF17" s="115">
        <f t="shared" ref="AF17:BW17" ca="1" si="5">$B17*AF$5</f>
        <v>67774.097308735276</v>
      </c>
      <c r="AG17" s="115">
        <f t="shared" ca="1" si="5"/>
        <v>67469.204359475523</v>
      </c>
      <c r="AH17" s="115">
        <f t="shared" ca="1" si="5"/>
        <v>68117.859272689879</v>
      </c>
      <c r="AI17" s="115">
        <f t="shared" ca="1" si="5"/>
        <v>68983.122561192766</v>
      </c>
      <c r="AJ17" s="115">
        <f t="shared" ca="1" si="5"/>
        <v>70388.093064954781</v>
      </c>
      <c r="AK17" s="115">
        <f t="shared" ca="1" si="5"/>
        <v>71985.849065508926</v>
      </c>
      <c r="AL17" s="115">
        <f t="shared" ca="1" si="5"/>
        <v>73493.406050645601</v>
      </c>
      <c r="AM17" s="115">
        <f t="shared" ca="1" si="5"/>
        <v>75089.17886500273</v>
      </c>
      <c r="AN17" s="115">
        <f t="shared" ca="1" si="5"/>
        <v>76675.500300844171</v>
      </c>
      <c r="AO17" s="115">
        <f t="shared" ca="1" si="5"/>
        <v>78360.983653016447</v>
      </c>
      <c r="AP17" s="115">
        <f t="shared" ca="1" si="5"/>
        <v>80032.570464433898</v>
      </c>
      <c r="AQ17" s="115">
        <f t="shared" ca="1" si="5"/>
        <v>81801.351934042366</v>
      </c>
      <c r="AR17" s="115">
        <f t="shared" ca="1" si="5"/>
        <v>83666.198093742598</v>
      </c>
      <c r="AS17" s="115">
        <f t="shared" ca="1" si="5"/>
        <v>85517.431034152964</v>
      </c>
      <c r="AT17" s="115">
        <f t="shared" ca="1" si="5"/>
        <v>87464.080282097173</v>
      </c>
      <c r="AU17" s="115">
        <f t="shared" ca="1" si="5"/>
        <v>89396.922374721253</v>
      </c>
      <c r="AV17" s="115">
        <f t="shared" ca="1" si="5"/>
        <v>91424.359890020773</v>
      </c>
      <c r="AW17" s="115">
        <f t="shared" ca="1" si="5"/>
        <v>93545.803405885395</v>
      </c>
      <c r="AX17" s="115">
        <f t="shared" ca="1" si="5"/>
        <v>95652.159017626589</v>
      </c>
      <c r="AY17" s="115">
        <f t="shared" ca="1" si="5"/>
        <v>97851.912909688806</v>
      </c>
      <c r="AZ17" s="115">
        <f t="shared" ca="1" si="5"/>
        <v>100787.47029697946</v>
      </c>
      <c r="BA17" s="115">
        <f t="shared" ca="1" si="5"/>
        <v>103811.09440588886</v>
      </c>
      <c r="BB17" s="115">
        <f t="shared" ca="1" si="5"/>
        <v>106925.42723806552</v>
      </c>
      <c r="BC17" s="115">
        <f t="shared" ca="1" si="5"/>
        <v>110133.19005520748</v>
      </c>
      <c r="BD17" s="115">
        <f t="shared" ca="1" si="5"/>
        <v>113437.18575686369</v>
      </c>
      <c r="BE17" s="115">
        <f t="shared" ca="1" si="5"/>
        <v>116840.3013295696</v>
      </c>
      <c r="BF17" s="115">
        <f t="shared" ca="1" si="5"/>
        <v>120345.51036945671</v>
      </c>
      <c r="BG17" s="115">
        <f t="shared" ca="1" si="5"/>
        <v>123955.87568054041</v>
      </c>
      <c r="BH17" s="115">
        <f t="shared" ca="1" si="5"/>
        <v>127674.55195095664</v>
      </c>
      <c r="BI17" s="115">
        <f t="shared" ca="1" si="5"/>
        <v>131504.78850948534</v>
      </c>
      <c r="BJ17" s="115">
        <f t="shared" ca="1" si="5"/>
        <v>135449.93216476988</v>
      </c>
      <c r="BK17" s="115">
        <f t="shared" ca="1" si="5"/>
        <v>139513.43012971297</v>
      </c>
      <c r="BL17" s="115">
        <f t="shared" ca="1" si="5"/>
        <v>143698.83303360437</v>
      </c>
      <c r="BM17" s="115">
        <f t="shared" ca="1" si="5"/>
        <v>148009.79802461251</v>
      </c>
      <c r="BN17" s="115">
        <f t="shared" ca="1" si="5"/>
        <v>152450.0919653509</v>
      </c>
      <c r="BO17" s="115">
        <f t="shared" ca="1" si="5"/>
        <v>157023.59472431144</v>
      </c>
      <c r="BP17" s="115">
        <f t="shared" ca="1" si="5"/>
        <v>161734.30256604077</v>
      </c>
      <c r="BQ17" s="115">
        <f t="shared" ca="1" si="5"/>
        <v>166586.33164302199</v>
      </c>
      <c r="BR17" s="115">
        <f t="shared" ca="1" si="5"/>
        <v>171583.92159231266</v>
      </c>
      <c r="BS17" s="115">
        <f t="shared" ca="1" si="5"/>
        <v>176731.43924008205</v>
      </c>
      <c r="BT17" s="115">
        <f t="shared" ca="1" si="5"/>
        <v>182033.38241728451</v>
      </c>
      <c r="BU17" s="115">
        <f t="shared" ca="1" si="5"/>
        <v>187494.38388980305</v>
      </c>
      <c r="BV17" s="115">
        <f t="shared" ca="1" si="5"/>
        <v>193119.21540649715</v>
      </c>
      <c r="BW17" s="115">
        <f t="shared" ca="1" si="5"/>
        <v>198912.79186869209</v>
      </c>
    </row>
    <row r="18" spans="1:75" ht="12.75" x14ac:dyDescent="0.2">
      <c r="A18" s="60" t="s">
        <v>276</v>
      </c>
      <c r="B18" s="238"/>
      <c r="C18" s="212"/>
      <c r="D18" s="226">
        <f t="shared" ref="D18:BW18" ca="1" si="6">SUM(D16:D17)</f>
        <v>30517</v>
      </c>
      <c r="E18" s="226">
        <f t="shared" ca="1" si="6"/>
        <v>32284</v>
      </c>
      <c r="F18" s="226">
        <f t="shared" ca="1" si="6"/>
        <v>35963</v>
      </c>
      <c r="G18" s="226">
        <f t="shared" ca="1" si="6"/>
        <v>36287</v>
      </c>
      <c r="H18" s="226">
        <f t="shared" ca="1" si="6"/>
        <v>38013</v>
      </c>
      <c r="I18" s="226">
        <f t="shared" ca="1" si="6"/>
        <v>38336</v>
      </c>
      <c r="J18" s="226">
        <f t="shared" ca="1" si="6"/>
        <v>39177</v>
      </c>
      <c r="K18" s="226">
        <f t="shared" ca="1" si="6"/>
        <v>40408</v>
      </c>
      <c r="L18" s="226">
        <f t="shared" ca="1" si="6"/>
        <v>38739</v>
      </c>
      <c r="M18" s="226">
        <f t="shared" ca="1" si="6"/>
        <v>44005</v>
      </c>
      <c r="N18" s="226">
        <f t="shared" ca="1" si="6"/>
        <v>44227</v>
      </c>
      <c r="O18" s="226">
        <f t="shared" ca="1" si="6"/>
        <v>44405</v>
      </c>
      <c r="P18" s="226">
        <f t="shared" ca="1" si="6"/>
        <v>43894</v>
      </c>
      <c r="Q18" s="226">
        <f t="shared" ca="1" si="6"/>
        <v>41517</v>
      </c>
      <c r="R18" s="226">
        <f t="shared" ca="1" si="6"/>
        <v>44678</v>
      </c>
      <c r="S18" s="226">
        <f t="shared" ca="1" si="6"/>
        <v>44685</v>
      </c>
      <c r="T18" s="226">
        <f t="shared" ca="1" si="6"/>
        <v>48061</v>
      </c>
      <c r="U18" s="226">
        <f t="shared" ca="1" si="6"/>
        <v>46218</v>
      </c>
      <c r="V18" s="226">
        <f t="shared" ca="1" si="6"/>
        <v>47477</v>
      </c>
      <c r="W18" s="226">
        <f t="shared" ca="1" si="6"/>
        <v>49233</v>
      </c>
      <c r="X18" s="226">
        <f t="shared" ca="1" si="6"/>
        <v>51225</v>
      </c>
      <c r="Y18" s="226">
        <f t="shared" ca="1" si="6"/>
        <v>57243</v>
      </c>
      <c r="Z18" s="226">
        <f t="shared" ca="1" si="6"/>
        <v>62451</v>
      </c>
      <c r="AA18" s="226">
        <f t="shared" ca="1" si="6"/>
        <v>65739</v>
      </c>
      <c r="AB18" s="226">
        <f t="shared" ca="1" si="6"/>
        <v>67542</v>
      </c>
      <c r="AC18" s="226">
        <f t="shared" ca="1" si="6"/>
        <v>71275</v>
      </c>
      <c r="AD18" s="226">
        <f t="shared" ca="1" si="6"/>
        <v>71648</v>
      </c>
      <c r="AE18" s="226">
        <f t="shared" ca="1" si="6"/>
        <v>70756</v>
      </c>
      <c r="AF18" s="226">
        <f t="shared" ca="1" si="6"/>
        <v>67774.097308735276</v>
      </c>
      <c r="AG18" s="226">
        <f t="shared" ca="1" si="6"/>
        <v>67469.204359475523</v>
      </c>
      <c r="AH18" s="226">
        <f t="shared" ca="1" si="6"/>
        <v>68117.859272689879</v>
      </c>
      <c r="AI18" s="226">
        <f t="shared" ca="1" si="6"/>
        <v>68983.122561192766</v>
      </c>
      <c r="AJ18" s="226">
        <f t="shared" ca="1" si="6"/>
        <v>70388.093064954781</v>
      </c>
      <c r="AK18" s="226">
        <f t="shared" ca="1" si="6"/>
        <v>71985.849065508926</v>
      </c>
      <c r="AL18" s="226">
        <f t="shared" ca="1" si="6"/>
        <v>73493.406050645601</v>
      </c>
      <c r="AM18" s="226">
        <f t="shared" ca="1" si="6"/>
        <v>75089.17886500273</v>
      </c>
      <c r="AN18" s="226">
        <f t="shared" ca="1" si="6"/>
        <v>76675.500300844171</v>
      </c>
      <c r="AO18" s="226">
        <f t="shared" ca="1" si="6"/>
        <v>78360.983653016447</v>
      </c>
      <c r="AP18" s="226">
        <f t="shared" ca="1" si="6"/>
        <v>80032.570464433898</v>
      </c>
      <c r="AQ18" s="226">
        <f t="shared" ca="1" si="6"/>
        <v>81801.351934042366</v>
      </c>
      <c r="AR18" s="226">
        <f t="shared" ca="1" si="6"/>
        <v>83666.198093742598</v>
      </c>
      <c r="AS18" s="226">
        <f t="shared" ca="1" si="6"/>
        <v>85517.431034152964</v>
      </c>
      <c r="AT18" s="226">
        <f t="shared" ca="1" si="6"/>
        <v>87464.080282097173</v>
      </c>
      <c r="AU18" s="226">
        <f t="shared" ca="1" si="6"/>
        <v>89396.922374721253</v>
      </c>
      <c r="AV18" s="226">
        <f t="shared" ca="1" si="6"/>
        <v>91424.359890020773</v>
      </c>
      <c r="AW18" s="226">
        <f t="shared" ca="1" si="6"/>
        <v>93545.803405885395</v>
      </c>
      <c r="AX18" s="226">
        <f t="shared" ca="1" si="6"/>
        <v>95652.159017626589</v>
      </c>
      <c r="AY18" s="226">
        <f t="shared" ca="1" si="6"/>
        <v>97851.912909688806</v>
      </c>
      <c r="AZ18" s="226">
        <f t="shared" ca="1" si="6"/>
        <v>100787.47029697946</v>
      </c>
      <c r="BA18" s="226">
        <f t="shared" ca="1" si="6"/>
        <v>103811.09440588886</v>
      </c>
      <c r="BB18" s="226">
        <f t="shared" ca="1" si="6"/>
        <v>106925.42723806552</v>
      </c>
      <c r="BC18" s="226">
        <f t="shared" ca="1" si="6"/>
        <v>110133.19005520748</v>
      </c>
      <c r="BD18" s="226">
        <f t="shared" ca="1" si="6"/>
        <v>113437.18575686369</v>
      </c>
      <c r="BE18" s="226">
        <f t="shared" ca="1" si="6"/>
        <v>116840.3013295696</v>
      </c>
      <c r="BF18" s="226">
        <f t="shared" ca="1" si="6"/>
        <v>120345.51036945671</v>
      </c>
      <c r="BG18" s="226">
        <f t="shared" ca="1" si="6"/>
        <v>123955.87568054041</v>
      </c>
      <c r="BH18" s="226">
        <f t="shared" ca="1" si="6"/>
        <v>127674.55195095664</v>
      </c>
      <c r="BI18" s="226">
        <f t="shared" ca="1" si="6"/>
        <v>131504.78850948534</v>
      </c>
      <c r="BJ18" s="226">
        <f t="shared" ca="1" si="6"/>
        <v>135449.93216476988</v>
      </c>
      <c r="BK18" s="226">
        <f t="shared" ca="1" si="6"/>
        <v>139513.43012971297</v>
      </c>
      <c r="BL18" s="226">
        <f t="shared" ca="1" si="6"/>
        <v>143698.83303360437</v>
      </c>
      <c r="BM18" s="226">
        <f t="shared" ca="1" si="6"/>
        <v>148009.79802461251</v>
      </c>
      <c r="BN18" s="226">
        <f t="shared" ca="1" si="6"/>
        <v>152450.0919653509</v>
      </c>
      <c r="BO18" s="226">
        <f t="shared" ca="1" si="6"/>
        <v>157023.59472431144</v>
      </c>
      <c r="BP18" s="226">
        <f t="shared" ca="1" si="6"/>
        <v>161734.30256604077</v>
      </c>
      <c r="BQ18" s="226">
        <f t="shared" ca="1" si="6"/>
        <v>166586.33164302199</v>
      </c>
      <c r="BR18" s="226">
        <f t="shared" ca="1" si="6"/>
        <v>171583.92159231266</v>
      </c>
      <c r="BS18" s="226">
        <f t="shared" ca="1" si="6"/>
        <v>176731.43924008205</v>
      </c>
      <c r="BT18" s="226">
        <f t="shared" ca="1" si="6"/>
        <v>182033.38241728451</v>
      </c>
      <c r="BU18" s="226">
        <f t="shared" ca="1" si="6"/>
        <v>187494.38388980305</v>
      </c>
      <c r="BV18" s="226">
        <f t="shared" ca="1" si="6"/>
        <v>193119.21540649715</v>
      </c>
      <c r="BW18" s="226">
        <f t="shared" ca="1" si="6"/>
        <v>198912.79186869209</v>
      </c>
    </row>
    <row r="19" spans="1:75" ht="12.75" x14ac:dyDescent="0.2">
      <c r="A19" s="60" t="s">
        <v>277</v>
      </c>
      <c r="B19" s="225"/>
      <c r="C19" s="226"/>
      <c r="D19" s="226">
        <f t="shared" ref="D19:BW19" ca="1" si="7">SUM(D18,D15)</f>
        <v>64800</v>
      </c>
      <c r="E19" s="226">
        <f t="shared" ca="1" si="7"/>
        <v>66677</v>
      </c>
      <c r="F19" s="226">
        <f t="shared" ca="1" si="7"/>
        <v>70440</v>
      </c>
      <c r="G19" s="226">
        <f t="shared" ca="1" si="7"/>
        <v>76672</v>
      </c>
      <c r="H19" s="226">
        <f t="shared" ca="1" si="7"/>
        <v>78520</v>
      </c>
      <c r="I19" s="226">
        <f t="shared" ca="1" si="7"/>
        <v>78969</v>
      </c>
      <c r="J19" s="226">
        <f t="shared" ca="1" si="7"/>
        <v>85539</v>
      </c>
      <c r="K19" s="226">
        <f t="shared" ca="1" si="7"/>
        <v>86705</v>
      </c>
      <c r="L19" s="226">
        <f t="shared" ca="1" si="7"/>
        <v>90434</v>
      </c>
      <c r="M19" s="226">
        <f t="shared" ca="1" si="7"/>
        <v>95877</v>
      </c>
      <c r="N19" s="226">
        <f t="shared" ca="1" si="7"/>
        <v>96289</v>
      </c>
      <c r="O19" s="226">
        <f t="shared" ca="1" si="7"/>
        <v>113369</v>
      </c>
      <c r="P19" s="226">
        <f t="shared" ca="1" si="7"/>
        <v>111864</v>
      </c>
      <c r="Q19" s="226">
        <f t="shared" ca="1" si="7"/>
        <v>111333</v>
      </c>
      <c r="R19" s="226">
        <f t="shared" ca="1" si="7"/>
        <v>114806</v>
      </c>
      <c r="S19" s="226">
        <f t="shared" ca="1" si="7"/>
        <v>115813</v>
      </c>
      <c r="T19" s="226">
        <f t="shared" ca="1" si="7"/>
        <v>123316</v>
      </c>
      <c r="U19" s="226">
        <f t="shared" ca="1" si="7"/>
        <v>121692</v>
      </c>
      <c r="V19" s="226">
        <f t="shared" ca="1" si="7"/>
        <v>122814</v>
      </c>
      <c r="W19" s="226">
        <f t="shared" ca="1" si="7"/>
        <v>124795</v>
      </c>
      <c r="X19" s="226">
        <f t="shared" ca="1" si="7"/>
        <v>126787</v>
      </c>
      <c r="Y19" s="226">
        <f t="shared" ca="1" si="7"/>
        <v>132805</v>
      </c>
      <c r="Z19" s="226">
        <f t="shared" ca="1" si="7"/>
        <v>138091</v>
      </c>
      <c r="AA19" s="226">
        <f t="shared" ca="1" si="7"/>
        <v>142756</v>
      </c>
      <c r="AB19" s="226">
        <f t="shared" ca="1" si="7"/>
        <v>144559</v>
      </c>
      <c r="AC19" s="226">
        <f t="shared" ca="1" si="7"/>
        <v>147471</v>
      </c>
      <c r="AD19" s="226">
        <f t="shared" ca="1" si="7"/>
        <v>146844</v>
      </c>
      <c r="AE19" s="226">
        <f t="shared" ca="1" si="7"/>
        <v>145771</v>
      </c>
      <c r="AF19" s="226">
        <f t="shared" ca="1" si="7"/>
        <v>143824.40636466118</v>
      </c>
      <c r="AG19" s="226">
        <f t="shared" ca="1" si="7"/>
        <v>143487.71696146208</v>
      </c>
      <c r="AH19" s="226">
        <f t="shared" ca="1" si="7"/>
        <v>144204.01832606411</v>
      </c>
      <c r="AI19" s="226">
        <f t="shared" ca="1" si="7"/>
        <v>145159.51756251228</v>
      </c>
      <c r="AJ19" s="226">
        <f t="shared" ca="1" si="7"/>
        <v>146711.0086073936</v>
      </c>
      <c r="AK19" s="226">
        <f t="shared" ca="1" si="7"/>
        <v>156508.72355594771</v>
      </c>
      <c r="AL19" s="226">
        <f t="shared" ca="1" si="7"/>
        <v>158173.49954649335</v>
      </c>
      <c r="AM19" s="226">
        <f t="shared" ca="1" si="7"/>
        <v>168439.85782110534</v>
      </c>
      <c r="AN19" s="226">
        <f t="shared" ca="1" si="7"/>
        <v>170191.61239205269</v>
      </c>
      <c r="AO19" s="226">
        <f t="shared" ca="1" si="7"/>
        <v>180086.20353840754</v>
      </c>
      <c r="AP19" s="226">
        <f t="shared" ca="1" si="7"/>
        <v>181932.11557834828</v>
      </c>
      <c r="AQ19" s="226">
        <f t="shared" ca="1" si="7"/>
        <v>183885.35844223859</v>
      </c>
      <c r="AR19" s="226">
        <f t="shared" ca="1" si="7"/>
        <v>185944.68432068874</v>
      </c>
      <c r="AS19" s="226">
        <f t="shared" ca="1" si="7"/>
        <v>187988.97729434574</v>
      </c>
      <c r="AT19" s="226">
        <f t="shared" ca="1" si="7"/>
        <v>190138.63728195638</v>
      </c>
      <c r="AU19" s="226">
        <f t="shared" ca="1" si="7"/>
        <v>192273.05020368411</v>
      </c>
      <c r="AV19" s="226">
        <f t="shared" ca="1" si="7"/>
        <v>194511.92364666454</v>
      </c>
      <c r="AW19" s="226">
        <f t="shared" ca="1" si="7"/>
        <v>196854.60671956345</v>
      </c>
      <c r="AX19" s="226">
        <f t="shared" ca="1" si="7"/>
        <v>199180.62841197726</v>
      </c>
      <c r="AY19" s="226">
        <f t="shared" ca="1" si="7"/>
        <v>201609.788636579</v>
      </c>
      <c r="AZ19" s="226">
        <f t="shared" ca="1" si="7"/>
        <v>204851.48729567637</v>
      </c>
      <c r="BA19" s="226">
        <f t="shared" ca="1" si="7"/>
        <v>208190.43691454665</v>
      </c>
      <c r="BB19" s="226">
        <f t="shared" ca="1" si="7"/>
        <v>211629.55502198305</v>
      </c>
      <c r="BC19" s="226">
        <f t="shared" ca="1" si="7"/>
        <v>215171.84667264257</v>
      </c>
      <c r="BD19" s="226">
        <f t="shared" ca="1" si="7"/>
        <v>218820.40707282181</v>
      </c>
      <c r="BE19" s="226">
        <f t="shared" ca="1" si="7"/>
        <v>222578.42428500648</v>
      </c>
      <c r="BF19" s="226">
        <f t="shared" ca="1" si="7"/>
        <v>226449.18201355668</v>
      </c>
      <c r="BG19" s="226">
        <f t="shared" ca="1" si="7"/>
        <v>230436.06247396336</v>
      </c>
      <c r="BH19" s="226">
        <f t="shared" ca="1" si="7"/>
        <v>234542.54934818228</v>
      </c>
      <c r="BI19" s="226">
        <f t="shared" ca="1" si="7"/>
        <v>238772.23082862777</v>
      </c>
      <c r="BJ19" s="226">
        <f t="shared" ca="1" si="7"/>
        <v>243128.80275348658</v>
      </c>
      <c r="BK19" s="226">
        <f t="shared" ca="1" si="7"/>
        <v>247616.07183609117</v>
      </c>
      <c r="BL19" s="226">
        <f t="shared" ca="1" si="7"/>
        <v>252237.95899117392</v>
      </c>
      <c r="BM19" s="226">
        <f t="shared" ca="1" si="7"/>
        <v>256998.50276090915</v>
      </c>
      <c r="BN19" s="226">
        <f t="shared" ca="1" si="7"/>
        <v>261901.86284373642</v>
      </c>
      <c r="BO19" s="226">
        <f t="shared" ca="1" si="7"/>
        <v>266952.32372904854</v>
      </c>
      <c r="BP19" s="226">
        <f t="shared" ca="1" si="7"/>
        <v>272154.29844091996</v>
      </c>
      <c r="BQ19" s="226">
        <f t="shared" ca="1" si="7"/>
        <v>277512.33239414758</v>
      </c>
      <c r="BR19" s="226">
        <f t="shared" ca="1" si="7"/>
        <v>283031.10736597201</v>
      </c>
      <c r="BS19" s="226">
        <f t="shared" ca="1" si="7"/>
        <v>288715.44558695122</v>
      </c>
      <c r="BT19" s="226">
        <f t="shared" ca="1" si="7"/>
        <v>294570.31395455974</v>
      </c>
      <c r="BU19" s="226">
        <f t="shared" ca="1" si="7"/>
        <v>300600.82837319653</v>
      </c>
      <c r="BV19" s="226">
        <f t="shared" ca="1" si="7"/>
        <v>306812.25822439243</v>
      </c>
      <c r="BW19" s="226">
        <f t="shared" ca="1" si="7"/>
        <v>313210.03097112424</v>
      </c>
    </row>
    <row r="20" spans="1:75" ht="12.75" x14ac:dyDescent="0.2">
      <c r="A20" s="60" t="s">
        <v>16</v>
      </c>
      <c r="B20" s="225"/>
      <c r="C20" s="226"/>
      <c r="D20" s="226">
        <f t="shared" ref="D20:BW20" ca="1" si="8">D5-D19</f>
        <v>238573</v>
      </c>
      <c r="E20" s="226">
        <f t="shared" ca="1" si="8"/>
        <v>254380</v>
      </c>
      <c r="F20" s="226">
        <f t="shared" ca="1" si="8"/>
        <v>270081</v>
      </c>
      <c r="G20" s="226">
        <f t="shared" ca="1" si="8"/>
        <v>284098</v>
      </c>
      <c r="H20" s="226">
        <f t="shared" ca="1" si="8"/>
        <v>307504</v>
      </c>
      <c r="I20" s="226">
        <f t="shared" ca="1" si="8"/>
        <v>322496</v>
      </c>
      <c r="J20" s="226">
        <f t="shared" ca="1" si="8"/>
        <v>339400</v>
      </c>
      <c r="K20" s="226">
        <f t="shared" ca="1" si="8"/>
        <v>352220</v>
      </c>
      <c r="L20" s="226">
        <f t="shared" ca="1" si="8"/>
        <v>362334</v>
      </c>
      <c r="M20" s="226">
        <f t="shared" ca="1" si="8"/>
        <v>370080</v>
      </c>
      <c r="N20" s="226">
        <f t="shared" ca="1" si="8"/>
        <v>382829</v>
      </c>
      <c r="O20" s="226">
        <f t="shared" ca="1" si="8"/>
        <v>378132</v>
      </c>
      <c r="P20" s="226">
        <f t="shared" ca="1" si="8"/>
        <v>393194</v>
      </c>
      <c r="Q20" s="226">
        <f t="shared" ca="1" si="8"/>
        <v>414104</v>
      </c>
      <c r="R20" s="226">
        <f t="shared" ca="1" si="8"/>
        <v>427927</v>
      </c>
      <c r="S20" s="226">
        <f t="shared" ca="1" si="8"/>
        <v>483074</v>
      </c>
      <c r="T20" s="226">
        <f t="shared" ca="1" si="8"/>
        <v>490737</v>
      </c>
      <c r="U20" s="226">
        <f t="shared" ca="1" si="8"/>
        <v>515796</v>
      </c>
      <c r="V20" s="226">
        <f t="shared" ca="1" si="8"/>
        <v>534702</v>
      </c>
      <c r="W20" s="226">
        <f t="shared" ca="1" si="8"/>
        <v>560688</v>
      </c>
      <c r="X20" s="226">
        <f t="shared" ca="1" si="8"/>
        <v>591987</v>
      </c>
      <c r="Y20" s="226">
        <f t="shared" ca="1" si="8"/>
        <v>621737</v>
      </c>
      <c r="Z20" s="226">
        <f t="shared" ca="1" si="8"/>
        <v>649463</v>
      </c>
      <c r="AA20" s="226">
        <f t="shared" ca="1" si="8"/>
        <v>665290</v>
      </c>
      <c r="AB20" s="226">
        <f t="shared" ca="1" si="8"/>
        <v>679970</v>
      </c>
      <c r="AC20" s="226">
        <f t="shared" ca="1" si="8"/>
        <v>697155</v>
      </c>
      <c r="AD20" s="226">
        <f t="shared" ca="1" si="8"/>
        <v>672318.19</v>
      </c>
      <c r="AE20" s="226">
        <f t="shared" ca="1" si="8"/>
        <v>650736</v>
      </c>
      <c r="AF20" s="226">
        <f t="shared" ca="1" si="8"/>
        <v>636525.0225229382</v>
      </c>
      <c r="AG20" s="226">
        <f t="shared" ca="1" si="8"/>
        <v>633351.18138018437</v>
      </c>
      <c r="AH20" s="226">
        <f t="shared" ca="1" si="8"/>
        <v>640103.47806663613</v>
      </c>
      <c r="AI20" s="226">
        <f t="shared" ca="1" si="8"/>
        <v>649110.60083229025</v>
      </c>
      <c r="AJ20" s="226">
        <f t="shared" ca="1" si="8"/>
        <v>663735.90850182436</v>
      </c>
      <c r="AK20" s="226">
        <f t="shared" ca="1" si="8"/>
        <v>672334.72013265803</v>
      </c>
      <c r="AL20" s="226">
        <f t="shared" ca="1" si="8"/>
        <v>688027.92129093222</v>
      </c>
      <c r="AM20" s="226">
        <f t="shared" ca="1" si="8"/>
        <v>696135.25523453346</v>
      </c>
      <c r="AN20" s="226">
        <f t="shared" ca="1" si="8"/>
        <v>712648.36992258974</v>
      </c>
      <c r="AO20" s="226">
        <f t="shared" ca="1" si="8"/>
        <v>722160.39610491239</v>
      </c>
      <c r="AP20" s="226">
        <f t="shared" ca="1" si="8"/>
        <v>739561.09693660529</v>
      </c>
      <c r="AQ20" s="226">
        <f t="shared" ca="1" si="8"/>
        <v>757973.56404814008</v>
      </c>
      <c r="AR20" s="226">
        <f t="shared" ca="1" si="8"/>
        <v>777386.03482167935</v>
      </c>
      <c r="AS20" s="226">
        <f t="shared" ca="1" si="8"/>
        <v>796656.79619992955</v>
      </c>
      <c r="AT20" s="226">
        <f t="shared" ca="1" si="8"/>
        <v>816920.81177863223</v>
      </c>
      <c r="AU20" s="226">
        <f t="shared" ca="1" si="8"/>
        <v>837041.09914805403</v>
      </c>
      <c r="AV20" s="226">
        <f t="shared" ca="1" si="8"/>
        <v>858146.0955608713</v>
      </c>
      <c r="AW20" s="226">
        <f t="shared" ca="1" si="8"/>
        <v>880229.66531552398</v>
      </c>
      <c r="AX20" s="226">
        <f t="shared" ca="1" si="8"/>
        <v>902156.17466264311</v>
      </c>
      <c r="AY20" s="226">
        <f t="shared" ca="1" si="8"/>
        <v>925054.93117213529</v>
      </c>
      <c r="AZ20" s="226">
        <f t="shared" ca="1" si="8"/>
        <v>955613.1741072993</v>
      </c>
      <c r="BA20" s="226">
        <f t="shared" ca="1" si="8"/>
        <v>987088.16433051834</v>
      </c>
      <c r="BB20" s="226">
        <f t="shared" ca="1" si="8"/>
        <v>1019507.4042604337</v>
      </c>
      <c r="BC20" s="226">
        <f t="shared" ca="1" si="8"/>
        <v>1052899.2213882469</v>
      </c>
      <c r="BD20" s="226">
        <f t="shared" ca="1" si="8"/>
        <v>1087292.7930298941</v>
      </c>
      <c r="BE20" s="226">
        <f t="shared" ca="1" si="8"/>
        <v>1122718.171820791</v>
      </c>
      <c r="BF20" s="226">
        <f t="shared" ca="1" si="8"/>
        <v>1159206.3119754149</v>
      </c>
      <c r="BG20" s="226">
        <f t="shared" ca="1" si="8"/>
        <v>1196789.0963346772</v>
      </c>
      <c r="BH20" s="226">
        <f t="shared" ca="1" si="8"/>
        <v>1235499.3642247177</v>
      </c>
      <c r="BI20" s="226">
        <f t="shared" ca="1" si="8"/>
        <v>1275370.9401514593</v>
      </c>
      <c r="BJ20" s="226">
        <f t="shared" ca="1" si="8"/>
        <v>1316438.6633560029</v>
      </c>
      <c r="BK20" s="226">
        <f t="shared" ca="1" si="8"/>
        <v>1358738.418256683</v>
      </c>
      <c r="BL20" s="226">
        <f t="shared" ca="1" si="8"/>
        <v>1402307.1658043836</v>
      </c>
      <c r="BM20" s="226">
        <f t="shared" ca="1" si="8"/>
        <v>1447182.975778515</v>
      </c>
      <c r="BN20" s="226">
        <f t="shared" ca="1" si="8"/>
        <v>1493405.0600518705</v>
      </c>
      <c r="BO20" s="226">
        <f t="shared" ca="1" si="8"/>
        <v>1541013.8068534269</v>
      </c>
      <c r="BP20" s="226">
        <f t="shared" ca="1" si="8"/>
        <v>1590050.8160590297</v>
      </c>
      <c r="BQ20" s="226">
        <f t="shared" ca="1" si="8"/>
        <v>1640558.9355408007</v>
      </c>
      <c r="BR20" s="226">
        <f t="shared" ca="1" si="8"/>
        <v>1692582.2986070248</v>
      </c>
      <c r="BS20" s="226">
        <f t="shared" ca="1" si="8"/>
        <v>1746166.3625652355</v>
      </c>
      <c r="BT20" s="226">
        <f t="shared" ca="1" si="8"/>
        <v>1801357.9484421927</v>
      </c>
      <c r="BU20" s="226">
        <f t="shared" ca="1" si="8"/>
        <v>1858205.2818954582</v>
      </c>
      <c r="BV20" s="226">
        <f t="shared" ca="1" si="8"/>
        <v>1916758.0353523223</v>
      </c>
      <c r="BW20" s="226">
        <f t="shared" ca="1" si="8"/>
        <v>1977067.3714128919</v>
      </c>
    </row>
    <row r="21" spans="1:75" ht="12.75" x14ac:dyDescent="0.2">
      <c r="A21" s="69" t="s">
        <v>244</v>
      </c>
      <c r="B21" s="221"/>
      <c r="D21" s="115">
        <f t="array" aca="1" ref="D21" ca="1">INDEX(INDIRECT("PnL_"&amp;TEXT(D$1,"mmm")&amp;"_"&amp;TEXT(D$1,"yyyy")),MATCH(TRIM($A20),PnL_Accounts,0))-D20</f>
        <v>0</v>
      </c>
      <c r="E21" s="115">
        <f t="array" aca="1" ref="E21" ca="1">INDEX(INDIRECT("PnL_"&amp;TEXT(E$1,"mmm")&amp;"_"&amp;TEXT(E$1,"yyyy")),MATCH(TRIM($A20),PnL_Accounts,0))-E20</f>
        <v>0</v>
      </c>
      <c r="F21" s="115">
        <f t="array" aca="1" ref="F21" ca="1">INDEX(INDIRECT("PnL_"&amp;TEXT(F$1,"mmm")&amp;"_"&amp;TEXT(F$1,"yyyy")),MATCH(TRIM($A20),PnL_Accounts,0))-F20</f>
        <v>0</v>
      </c>
      <c r="G21" s="115">
        <f t="array" aca="1" ref="G21" ca="1">INDEX(INDIRECT("PnL_"&amp;TEXT(G$1,"mmm")&amp;"_"&amp;TEXT(G$1,"yyyy")),MATCH(TRIM($A20),PnL_Accounts,0))-G20</f>
        <v>0</v>
      </c>
      <c r="H21" s="115">
        <f t="array" aca="1" ref="H21" ca="1">INDEX(INDIRECT("PnL_"&amp;TEXT(H$1,"mmm")&amp;"_"&amp;TEXT(H$1,"yyyy")),MATCH(TRIM($A20),PnL_Accounts,0))-H20</f>
        <v>0</v>
      </c>
      <c r="I21" s="115">
        <f t="array" aca="1" ref="I21" ca="1">INDEX(INDIRECT("PnL_"&amp;TEXT(I$1,"mmm")&amp;"_"&amp;TEXT(I$1,"yyyy")),MATCH(TRIM($A20),PnL_Accounts,0))-I20</f>
        <v>0</v>
      </c>
      <c r="J21" s="115">
        <f t="array" aca="1" ref="J21" ca="1">INDEX(INDIRECT("PnL_"&amp;TEXT(J$1,"mmm")&amp;"_"&amp;TEXT(J$1,"yyyy")),MATCH(TRIM($A20),PnL_Accounts,0))-J20</f>
        <v>0</v>
      </c>
      <c r="K21" s="115">
        <f t="array" aca="1" ref="K21" ca="1">INDEX(INDIRECT("PnL_"&amp;TEXT(K$1,"mmm")&amp;"_"&amp;TEXT(K$1,"yyyy")),MATCH(TRIM($A20),PnL_Accounts,0))-K20</f>
        <v>0</v>
      </c>
      <c r="L21" s="115">
        <f t="array" aca="1" ref="L21" ca="1">INDEX(INDIRECT("PnL_"&amp;TEXT(L$1,"mmm")&amp;"_"&amp;TEXT(L$1,"yyyy")),MATCH(TRIM($A20),PnL_Accounts,0))-L20</f>
        <v>0</v>
      </c>
      <c r="M21" s="115">
        <f t="array" aca="1" ref="M21" ca="1">INDEX(INDIRECT("PnL_"&amp;TEXT(M$1,"mmm")&amp;"_"&amp;TEXT(M$1,"yyyy")),MATCH(TRIM($A20),PnL_Accounts,0))-M20</f>
        <v>0</v>
      </c>
      <c r="N21" s="115">
        <f t="array" aca="1" ref="N21" ca="1">INDEX(INDIRECT("PnL_"&amp;TEXT(N$1,"mmm")&amp;"_"&amp;TEXT(N$1,"yyyy")),MATCH(TRIM($A20),PnL_Accounts,0))-N20</f>
        <v>0</v>
      </c>
      <c r="O21" s="115">
        <f t="array" aca="1" ref="O21" ca="1">INDEX(INDIRECT("PnL_"&amp;TEXT(O$1,"mmm")&amp;"_"&amp;TEXT(O$1,"yyyy")),MATCH(TRIM($A20),PnL_Accounts,0))-O20</f>
        <v>0</v>
      </c>
      <c r="P21" s="115">
        <f t="array" aca="1" ref="P21" ca="1">INDEX(INDIRECT("PnL_"&amp;TEXT(P$1,"mmm")&amp;"_"&amp;TEXT(P$1,"yyyy")),MATCH(TRIM($A20),PnL_Accounts,0))-P20</f>
        <v>0</v>
      </c>
      <c r="Q21" s="115">
        <f t="array" aca="1" ref="Q21" ca="1">INDEX(INDIRECT("PnL_"&amp;TEXT(Q$1,"mmm")&amp;"_"&amp;TEXT(Q$1,"yyyy")),MATCH(TRIM($A20),PnL_Accounts,0))-Q20</f>
        <v>0</v>
      </c>
      <c r="R21" s="115">
        <f t="array" aca="1" ref="R21" ca="1">INDEX(INDIRECT("PnL_"&amp;TEXT(R$1,"mmm")&amp;"_"&amp;TEXT(R$1,"yyyy")),MATCH(TRIM($A20),PnL_Accounts,0))-R20</f>
        <v>0</v>
      </c>
      <c r="S21" s="115">
        <f t="array" aca="1" ref="S21" ca="1">INDEX(INDIRECT("PnL_"&amp;TEXT(S$1,"mmm")&amp;"_"&amp;TEXT(S$1,"yyyy")),MATCH(TRIM($A20),PnL_Accounts,0))-S20</f>
        <v>0</v>
      </c>
      <c r="T21" s="115">
        <f t="array" aca="1" ref="T21" ca="1">INDEX(INDIRECT("PnL_"&amp;TEXT(T$1,"mmm")&amp;"_"&amp;TEXT(T$1,"yyyy")),MATCH(TRIM($A20),PnL_Accounts,0))-T20</f>
        <v>0</v>
      </c>
      <c r="U21" s="115">
        <f t="array" aca="1" ref="U21" ca="1">INDEX(INDIRECT("PnL_"&amp;TEXT(U$1,"mmm")&amp;"_"&amp;TEXT(U$1,"yyyy")),MATCH(TRIM($A20),PnL_Accounts,0))-U20</f>
        <v>0</v>
      </c>
      <c r="V21" s="115">
        <f t="array" aca="1" ref="V21" ca="1">INDEX(INDIRECT("PnL_"&amp;TEXT(V$1,"mmm")&amp;"_"&amp;TEXT(V$1,"yyyy")),MATCH(TRIM($A20),PnL_Accounts,0))-V20</f>
        <v>0</v>
      </c>
      <c r="W21" s="115">
        <f t="array" aca="1" ref="W21" ca="1">INDEX(INDIRECT("PnL_"&amp;TEXT(W$1,"mmm")&amp;"_"&amp;TEXT(W$1,"yyyy")),MATCH(TRIM($A20),PnL_Accounts,0))-W20</f>
        <v>0</v>
      </c>
      <c r="X21" s="115">
        <f t="array" aca="1" ref="X21" ca="1">INDEX(INDIRECT("PnL_"&amp;TEXT(X$1,"mmm")&amp;"_"&amp;TEXT(X$1,"yyyy")),MATCH(TRIM($A20),PnL_Accounts,0))-X20</f>
        <v>0</v>
      </c>
      <c r="Y21" s="115">
        <f t="array" aca="1" ref="Y21" ca="1">INDEX(INDIRECT("PnL_"&amp;TEXT(Y$1,"mmm")&amp;"_"&amp;TEXT(Y$1,"yyyy")),MATCH(TRIM($A20),PnL_Accounts,0))-Y20</f>
        <v>0</v>
      </c>
      <c r="Z21" s="115">
        <f t="array" aca="1" ref="Z21" ca="1">INDEX(INDIRECT("PnL_"&amp;TEXT(Z$1,"mmm")&amp;"_"&amp;TEXT(Z$1,"yyyy")),MATCH(TRIM($A20),PnL_Accounts,0))-Z20</f>
        <v>0</v>
      </c>
      <c r="AA21" s="115">
        <f t="array" aca="1" ref="AA21" ca="1">INDEX(INDIRECT("PnL_"&amp;TEXT(AA$1,"mmm")&amp;"_"&amp;TEXT(AA$1,"yyyy")),MATCH(TRIM($A20),PnL_Accounts,0))-AA20</f>
        <v>0</v>
      </c>
      <c r="AB21" s="115">
        <f t="array" aca="1" ref="AB21" ca="1">INDEX(INDIRECT("PnL_"&amp;TEXT(AB$1,"mmm")&amp;"_"&amp;TEXT(AB$1,"yyyy")),MATCH(TRIM($A20),PnL_Accounts,0))-AB20</f>
        <v>0</v>
      </c>
      <c r="AC21" s="115">
        <f t="array" aca="1" ref="AC21" ca="1">INDEX(INDIRECT("PnL_"&amp;TEXT(AC$1,"mmm")&amp;"_"&amp;TEXT(AC$1,"yyyy")),MATCH(TRIM($A20),PnL_Accounts,0))-AC20</f>
        <v>0</v>
      </c>
      <c r="AD21" s="115">
        <f t="array" aca="1" ref="AD21" ca="1">INDEX(INDIRECT("PnL_"&amp;TEXT(AD$1,"mmm")&amp;"_"&amp;TEXT(AD$1,"yyyy")),MATCH(TRIM($A20),PnL_Accounts,0))-AD20</f>
        <v>0</v>
      </c>
      <c r="AE21" s="115">
        <f t="array" aca="1" ref="AE21" ca="1">INDEX(INDIRECT("PnL_"&amp;TEXT(AE$1,"mmm")&amp;"_"&amp;TEXT(AE$1,"yyyy")),MATCH(TRIM($A20),PnL_Accounts,0))-AE20</f>
        <v>0</v>
      </c>
    </row>
    <row r="22" spans="1:75" ht="12.75" x14ac:dyDescent="0.2">
      <c r="A22" s="69" t="s">
        <v>18</v>
      </c>
      <c r="B22" s="221"/>
    </row>
    <row r="23" spans="1:75" ht="12.75" x14ac:dyDescent="0.2">
      <c r="A23" s="23" t="s">
        <v>278</v>
      </c>
      <c r="B23" s="221"/>
    </row>
    <row r="24" spans="1:75" ht="12.75" x14ac:dyDescent="0.2">
      <c r="A24" s="23" t="s">
        <v>279</v>
      </c>
      <c r="B24" s="224">
        <f ca="1">AVERAGEIFS(24:24,$1:$1,"&gt;="&amp;DATE(YEAR(Current_Month),MONTH(Current_Month)-2,DAY(Current_Month)),$1:$1,"&lt;="&amp;EOMONTH(Current_Month,0))</f>
        <v>32396.333333333332</v>
      </c>
      <c r="D24" s="251">
        <f t="array" aca="1" ref="D24" ca="1">INDEX(INDIRECT("PnL_"&amp;TEXT(D$1,"mmm")&amp;"_"&amp;TEXT(D$1,"yyyy")),MATCH(TRIM($A24),PnL_Accounts,0))</f>
        <v>20800</v>
      </c>
      <c r="E24" s="251">
        <f t="array" aca="1" ref="E24" ca="1">INDEX(INDIRECT("PnL_"&amp;TEXT(E$1,"mmm")&amp;"_"&amp;TEXT(E$1,"yyyy")),MATCH(TRIM($A24),PnL_Accounts,0))</f>
        <v>21162</v>
      </c>
      <c r="F24" s="251">
        <f t="array" aca="1" ref="F24" ca="1">INDEX(INDIRECT("PnL_"&amp;TEXT(F$1,"mmm")&amp;"_"&amp;TEXT(F$1,"yyyy")),MATCH(TRIM($A24),PnL_Accounts,0))</f>
        <v>24016</v>
      </c>
      <c r="G24" s="251">
        <f t="array" aca="1" ref="G24" ca="1">INDEX(INDIRECT("PnL_"&amp;TEXT(G$1,"mmm")&amp;"_"&amp;TEXT(G$1,"yyyy")),MATCH(TRIM($A24),PnL_Accounts,0))</f>
        <v>24060</v>
      </c>
      <c r="H24" s="251">
        <f t="array" aca="1" ref="H24" ca="1">INDEX(INDIRECT("PnL_"&amp;TEXT(H$1,"mmm")&amp;"_"&amp;TEXT(H$1,"yyyy")),MATCH(TRIM($A24),PnL_Accounts,0))</f>
        <v>23821</v>
      </c>
      <c r="I24" s="251">
        <f t="array" aca="1" ref="I24" ca="1">INDEX(INDIRECT("PnL_"&amp;TEXT(I$1,"mmm")&amp;"_"&amp;TEXT(I$1,"yyyy")),MATCH(TRIM($A24),PnL_Accounts,0))</f>
        <v>23226</v>
      </c>
      <c r="J24" s="251">
        <f t="array" aca="1" ref="J24" ca="1">INDEX(INDIRECT("PnL_"&amp;TEXT(J$1,"mmm")&amp;"_"&amp;TEXT(J$1,"yyyy")),MATCH(TRIM($A24),PnL_Accounts,0))</f>
        <v>24060</v>
      </c>
      <c r="K24" s="251">
        <f t="array" aca="1" ref="K24" ca="1">INDEX(INDIRECT("PnL_"&amp;TEXT(K$1,"mmm")&amp;"_"&amp;TEXT(K$1,"yyyy")),MATCH(TRIM($A24),PnL_Accounts,0))</f>
        <v>26430</v>
      </c>
      <c r="L24" s="251">
        <f t="array" aca="1" ref="L24" ca="1">INDEX(INDIRECT("PnL_"&amp;TEXT(L$1,"mmm")&amp;"_"&amp;TEXT(L$1,"yyyy")),MATCH(TRIM($A24),PnL_Accounts,0))</f>
        <v>23500</v>
      </c>
      <c r="M24" s="251">
        <f t="array" aca="1" ref="M24" ca="1">INDEX(INDIRECT("PnL_"&amp;TEXT(M$1,"mmm")&amp;"_"&amp;TEXT(M$1,"yyyy")),MATCH(TRIM($A24),PnL_Accounts,0))</f>
        <v>27820</v>
      </c>
      <c r="N24" s="251">
        <f t="array" aca="1" ref="N24" ca="1">INDEX(INDIRECT("PnL_"&amp;TEXT(N$1,"mmm")&amp;"_"&amp;TEXT(N$1,"yyyy")),MATCH(TRIM($A24),PnL_Accounts,0))</f>
        <v>29340</v>
      </c>
      <c r="O24" s="251">
        <f t="array" aca="1" ref="O24" ca="1">INDEX(INDIRECT("PnL_"&amp;TEXT(O$1,"mmm")&amp;"_"&amp;TEXT(O$1,"yyyy")),MATCH(TRIM($A24),PnL_Accounts,0))</f>
        <v>27420</v>
      </c>
      <c r="P24" s="251">
        <f t="array" aca="1" ref="P24" ca="1">INDEX(INDIRECT("PnL_"&amp;TEXT(P$1,"mmm")&amp;"_"&amp;TEXT(P$1,"yyyy")),MATCH(TRIM($A24),PnL_Accounts,0))</f>
        <v>26920</v>
      </c>
      <c r="Q24" s="251">
        <f t="array" aca="1" ref="Q24" ca="1">INDEX(INDIRECT("PnL_"&amp;TEXT(Q$1,"mmm")&amp;"_"&amp;TEXT(Q$1,"yyyy")),MATCH(TRIM($A24),PnL_Accounts,0))</f>
        <v>27893</v>
      </c>
      <c r="R24" s="251">
        <f t="array" aca="1" ref="R24" ca="1">INDEX(INDIRECT("PnL_"&amp;TEXT(R$1,"mmm")&amp;"_"&amp;TEXT(R$1,"yyyy")),MATCH(TRIM($A24),PnL_Accounts,0))</f>
        <v>27893</v>
      </c>
      <c r="S24" s="251">
        <f t="array" aca="1" ref="S24" ca="1">INDEX(INDIRECT("PnL_"&amp;TEXT(S$1,"mmm")&amp;"_"&amp;TEXT(S$1,"yyyy")),MATCH(TRIM($A24),PnL_Accounts,0))</f>
        <v>29881</v>
      </c>
      <c r="T24" s="251">
        <f t="array" aca="1" ref="T24" ca="1">INDEX(INDIRECT("PnL_"&amp;TEXT(T$1,"mmm")&amp;"_"&amp;TEXT(T$1,"yyyy")),MATCH(TRIM($A24),PnL_Accounts,0))</f>
        <v>28893</v>
      </c>
      <c r="U24" s="251">
        <f t="array" aca="1" ref="U24" ca="1">INDEX(INDIRECT("PnL_"&amp;TEXT(U$1,"mmm")&amp;"_"&amp;TEXT(U$1,"yyyy")),MATCH(TRIM($A24),PnL_Accounts,0))</f>
        <v>27658</v>
      </c>
      <c r="V24" s="251">
        <f t="array" aca="1" ref="V24" ca="1">INDEX(INDIRECT("PnL_"&amp;TEXT(V$1,"mmm")&amp;"_"&amp;TEXT(V$1,"yyyy")),MATCH(TRIM($A24),PnL_Accounts,0))</f>
        <v>27287</v>
      </c>
      <c r="W24" s="251">
        <f t="array" aca="1" ref="W24" ca="1">INDEX(INDIRECT("PnL_"&amp;TEXT(W$1,"mmm")&amp;"_"&amp;TEXT(W$1,"yyyy")),MATCH(TRIM($A24),PnL_Accounts,0))</f>
        <v>29822</v>
      </c>
      <c r="X24" s="251">
        <f t="array" aca="1" ref="X24" ca="1">INDEX(INDIRECT("PnL_"&amp;TEXT(X$1,"mmm")&amp;"_"&amp;TEXT(X$1,"yyyy")),MATCH(TRIM($A24),PnL_Accounts,0))</f>
        <v>29822</v>
      </c>
      <c r="Y24" s="251">
        <f t="array" aca="1" ref="Y24" ca="1">INDEX(INDIRECT("PnL_"&amp;TEXT(Y$1,"mmm")&amp;"_"&amp;TEXT(Y$1,"yyyy")),MATCH(TRIM($A24),PnL_Accounts,0))</f>
        <v>29822</v>
      </c>
      <c r="Z24" s="251">
        <f t="array" aca="1" ref="Z24" ca="1">INDEX(INDIRECT("PnL_"&amp;TEXT(Z$1,"mmm")&amp;"_"&amp;TEXT(Z$1,"yyyy")),MATCH(TRIM($A24),PnL_Accounts,0))</f>
        <v>29822</v>
      </c>
      <c r="AA24" s="251">
        <f t="array" aca="1" ref="AA24" ca="1">INDEX(INDIRECT("PnL_"&amp;TEXT(AA$1,"mmm")&amp;"_"&amp;TEXT(AA$1,"yyyy")),MATCH(TRIM($A24),PnL_Accounts,0))</f>
        <v>29822</v>
      </c>
      <c r="AB24" s="251">
        <f t="array" aca="1" ref="AB24" ca="1">INDEX(INDIRECT("PnL_"&amp;TEXT(AB$1,"mmm")&amp;"_"&amp;TEXT(AB$1,"yyyy")),MATCH(TRIM($A24),PnL_Accounts,0))</f>
        <v>29822</v>
      </c>
      <c r="AC24" s="251">
        <f t="array" aca="1" ref="AC24" ca="1">INDEX(INDIRECT("PnL_"&amp;TEXT(AC$1,"mmm")&amp;"_"&amp;TEXT(AC$1,"yyyy")),MATCH(TRIM($A24),PnL_Accounts,0))</f>
        <v>35789</v>
      </c>
      <c r="AD24" s="251">
        <f t="array" aca="1" ref="AD24" ca="1">INDEX(INDIRECT("PnL_"&amp;TEXT(AD$1,"mmm")&amp;"_"&amp;TEXT(AD$1,"yyyy")),MATCH(TRIM($A24),PnL_Accounts,0))</f>
        <v>32000</v>
      </c>
      <c r="AE24" s="251">
        <f t="array" aca="1" ref="AE24" ca="1">INDEX(INDIRECT("PnL_"&amp;TEXT(AE$1,"mmm")&amp;"_"&amp;TEXT(AE$1,"yyyy")),MATCH(TRIM($A24),PnL_Accounts,0))</f>
        <v>29400</v>
      </c>
      <c r="AF24" s="25">
        <f t="array" ref="AF24">INDEX(Hiring_Plan_Contractors_Engineering,MATCH(AF$1,Hiring_Plan_Months,0))</f>
        <v>0</v>
      </c>
      <c r="AG24" s="25">
        <f t="array" ref="AG24">INDEX(Hiring_Plan_Contractors_Engineering,MATCH(AG$1,Hiring_Plan_Months,0))</f>
        <v>0</v>
      </c>
      <c r="AH24" s="25">
        <f t="array" ref="AH24">INDEX(Hiring_Plan_Contractors_Engineering,MATCH(AH$1,Hiring_Plan_Months,0))</f>
        <v>0</v>
      </c>
      <c r="AI24" s="25">
        <f t="array" ref="AI24">INDEX(Hiring_Plan_Contractors_Engineering,MATCH(AI$1,Hiring_Plan_Months,0))</f>
        <v>0</v>
      </c>
      <c r="AJ24" s="25">
        <f t="array" ref="AJ24">INDEX(Hiring_Plan_Contractors_Engineering,MATCH(AJ$1,Hiring_Plan_Months,0))</f>
        <v>0</v>
      </c>
      <c r="AK24" s="25">
        <f t="array" ref="AK24">INDEX(Hiring_Plan_Contractors_Engineering,MATCH(AK$1,Hiring_Plan_Months,0))</f>
        <v>0</v>
      </c>
      <c r="AL24" s="25">
        <f t="array" ref="AL24">INDEX(Hiring_Plan_Contractors_Engineering,MATCH(AL$1,Hiring_Plan_Months,0))</f>
        <v>0</v>
      </c>
      <c r="AM24" s="25">
        <f t="array" ref="AM24">INDEX(Hiring_Plan_Contractors_Engineering,MATCH(AM$1,Hiring_Plan_Months,0))</f>
        <v>0</v>
      </c>
      <c r="AN24" s="25">
        <f t="array" ref="AN24">INDEX(Hiring_Plan_Contractors_Engineering,MATCH(AN$1,Hiring_Plan_Months,0))</f>
        <v>0</v>
      </c>
      <c r="AO24" s="25">
        <f t="array" ref="AO24">INDEX(Hiring_Plan_Contractors_Engineering,MATCH(AO$1,Hiring_Plan_Months,0))</f>
        <v>0</v>
      </c>
      <c r="AP24" s="25">
        <f t="array" ref="AP24">INDEX(Hiring_Plan_Contractors_Engineering,MATCH(AP$1,Hiring_Plan_Months,0))</f>
        <v>0</v>
      </c>
      <c r="AQ24" s="25">
        <f t="array" ref="AQ24">INDEX(Hiring_Plan_Contractors_Engineering,MATCH(AQ$1,Hiring_Plan_Months,0))</f>
        <v>0</v>
      </c>
      <c r="AR24" s="25">
        <f t="array" ref="AR24">INDEX(Hiring_Plan_Contractors_Engineering,MATCH(AR$1,Hiring_Plan_Months,0))</f>
        <v>0</v>
      </c>
      <c r="AS24" s="25">
        <f t="array" ref="AS24">INDEX(Hiring_Plan_Contractors_Engineering,MATCH(AS$1,Hiring_Plan_Months,0))</f>
        <v>0</v>
      </c>
      <c r="AT24" s="25">
        <f t="array" ref="AT24">INDEX(Hiring_Plan_Contractors_Engineering,MATCH(AT$1,Hiring_Plan_Months,0))</f>
        <v>0</v>
      </c>
      <c r="AU24" s="25">
        <f t="array" ref="AU24">INDEX(Hiring_Plan_Contractors_Engineering,MATCH(AU$1,Hiring_Plan_Months,0))</f>
        <v>0</v>
      </c>
      <c r="AV24" s="25">
        <f t="array" ref="AV24">INDEX(Hiring_Plan_Contractors_Engineering,MATCH(AV$1,Hiring_Plan_Months,0))</f>
        <v>0</v>
      </c>
      <c r="AW24" s="25">
        <f t="array" ref="AW24">INDEX(Hiring_Plan_Contractors_Engineering,MATCH(AW$1,Hiring_Plan_Months,0))</f>
        <v>0</v>
      </c>
      <c r="AX24" s="25">
        <f t="array" ref="AX24">INDEX(Hiring_Plan_Contractors_Engineering,MATCH(AX$1,Hiring_Plan_Months,0))</f>
        <v>0</v>
      </c>
      <c r="AY24" s="25">
        <f t="array" ref="AY24">INDEX(Hiring_Plan_Contractors_Engineering,MATCH(AY$1,Hiring_Plan_Months,0))</f>
        <v>0</v>
      </c>
      <c r="AZ24" s="25">
        <f t="array" ref="AZ24">INDEX(Hiring_Plan_Contractors_Engineering,MATCH(AZ$1,Hiring_Plan_Months,0))</f>
        <v>0</v>
      </c>
      <c r="BA24" s="25">
        <f t="array" ref="BA24">INDEX(Hiring_Plan_Contractors_Engineering,MATCH(BA$1,Hiring_Plan_Months,0))</f>
        <v>0</v>
      </c>
      <c r="BB24" s="25">
        <f t="array" ref="BB24">INDEX(Hiring_Plan_Contractors_Engineering,MATCH(BB$1,Hiring_Plan_Months,0))</f>
        <v>0</v>
      </c>
      <c r="BC24" s="25">
        <f t="array" ref="BC24">INDEX(Hiring_Plan_Contractors_Engineering,MATCH(BC$1,Hiring_Plan_Months,0))</f>
        <v>0</v>
      </c>
      <c r="BD24" s="25">
        <f t="array" ref="BD24">INDEX(Hiring_Plan_Contractors_Engineering,MATCH(BD$1,Hiring_Plan_Months,0))</f>
        <v>0</v>
      </c>
      <c r="BE24" s="25">
        <f t="array" ref="BE24">INDEX(Hiring_Plan_Contractors_Engineering,MATCH(BE$1,Hiring_Plan_Months,0))</f>
        <v>0</v>
      </c>
      <c r="BF24" s="25">
        <f t="array" ref="BF24">INDEX(Hiring_Plan_Contractors_Engineering,MATCH(BF$1,Hiring_Plan_Months,0))</f>
        <v>0</v>
      </c>
      <c r="BG24" s="25">
        <f t="array" ref="BG24">INDEX(Hiring_Plan_Contractors_Engineering,MATCH(BG$1,Hiring_Plan_Months,0))</f>
        <v>0</v>
      </c>
      <c r="BH24" s="25">
        <f t="array" ref="BH24">INDEX(Hiring_Plan_Contractors_Engineering,MATCH(BH$1,Hiring_Plan_Months,0))</f>
        <v>0</v>
      </c>
      <c r="BI24" s="25">
        <f t="array" ref="BI24">INDEX(Hiring_Plan_Contractors_Engineering,MATCH(BI$1,Hiring_Plan_Months,0))</f>
        <v>0</v>
      </c>
      <c r="BJ24" s="25">
        <f t="array" ref="BJ24">INDEX(Hiring_Plan_Contractors_Engineering,MATCH(BJ$1,Hiring_Plan_Months,0))</f>
        <v>0</v>
      </c>
      <c r="BK24" s="25">
        <f t="array" ref="BK24">INDEX(Hiring_Plan_Contractors_Engineering,MATCH(BK$1,Hiring_Plan_Months,0))</f>
        <v>0</v>
      </c>
      <c r="BL24" s="25">
        <f t="array" ref="BL24">INDEX(Hiring_Plan_Contractors_Engineering,MATCH(BL$1,Hiring_Plan_Months,0))</f>
        <v>0</v>
      </c>
      <c r="BM24" s="25">
        <f t="array" ref="BM24">INDEX(Hiring_Plan_Contractors_Engineering,MATCH(BM$1,Hiring_Plan_Months,0))</f>
        <v>0</v>
      </c>
      <c r="BN24" s="25">
        <f t="array" ref="BN24">INDEX(Hiring_Plan_Contractors_Engineering,MATCH(BN$1,Hiring_Plan_Months,0))</f>
        <v>0</v>
      </c>
      <c r="BO24" s="25">
        <f t="array" ref="BO24">INDEX(Hiring_Plan_Contractors_Engineering,MATCH(BO$1,Hiring_Plan_Months,0))</f>
        <v>0</v>
      </c>
      <c r="BP24" s="25">
        <f t="array" ref="BP24">INDEX(Hiring_Plan_Contractors_Engineering,MATCH(BP$1,Hiring_Plan_Months,0))</f>
        <v>0</v>
      </c>
      <c r="BQ24" s="25">
        <f t="array" ref="BQ24">INDEX(Hiring_Plan_Contractors_Engineering,MATCH(BQ$1,Hiring_Plan_Months,0))</f>
        <v>0</v>
      </c>
      <c r="BR24" s="25">
        <f t="array" ref="BR24">INDEX(Hiring_Plan_Contractors_Engineering,MATCH(BR$1,Hiring_Plan_Months,0))</f>
        <v>0</v>
      </c>
      <c r="BS24" s="25">
        <f t="array" ref="BS24">INDEX(Hiring_Plan_Contractors_Engineering,MATCH(BS$1,Hiring_Plan_Months,0))</f>
        <v>0</v>
      </c>
      <c r="BT24" s="25">
        <f t="array" ref="BT24">INDEX(Hiring_Plan_Contractors_Engineering,MATCH(BT$1,Hiring_Plan_Months,0))</f>
        <v>0</v>
      </c>
      <c r="BU24" s="25">
        <f t="array" ref="BU24">INDEX(Hiring_Plan_Contractors_Engineering,MATCH(BU$1,Hiring_Plan_Months,0))</f>
        <v>0</v>
      </c>
      <c r="BV24" s="25">
        <f t="array" ref="BV24">INDEX(Hiring_Plan_Contractors_Engineering,MATCH(BV$1,Hiring_Plan_Months,0))</f>
        <v>0</v>
      </c>
      <c r="BW24" s="25">
        <f t="array" ref="BW24">INDEX(Hiring_Plan_Contractors_Engineering,MATCH(BW$1,Hiring_Plan_Months,0))</f>
        <v>0</v>
      </c>
    </row>
    <row r="25" spans="1:75" ht="12.75" x14ac:dyDescent="0.2">
      <c r="A25" s="23" t="s">
        <v>281</v>
      </c>
      <c r="B25" s="221"/>
      <c r="D25" s="115">
        <f t="array" aca="1" ref="D25" ca="1">INDEX(INDIRECT("PnL_"&amp;TEXT(D$1,"mmm")&amp;"_"&amp;TEXT(D$1,"yyyy")),MATCH(TRIM($A25),PnL_Accounts,0))</f>
        <v>0</v>
      </c>
      <c r="E25" s="115">
        <f t="array" aca="1" ref="E25" ca="1">INDEX(INDIRECT("PnL_"&amp;TEXT(E$1,"mmm")&amp;"_"&amp;TEXT(E$1,"yyyy")),MATCH(TRIM($A25),PnL_Accounts,0))</f>
        <v>0</v>
      </c>
      <c r="F25" s="115">
        <f t="array" aca="1" ref="F25" ca="1">INDEX(INDIRECT("PnL_"&amp;TEXT(F$1,"mmm")&amp;"_"&amp;TEXT(F$1,"yyyy")),MATCH(TRIM($A25),PnL_Accounts,0))</f>
        <v>0</v>
      </c>
      <c r="G25" s="115">
        <f t="array" aca="1" ref="G25" ca="1">INDEX(INDIRECT("PnL_"&amp;TEXT(G$1,"mmm")&amp;"_"&amp;TEXT(G$1,"yyyy")),MATCH(TRIM($A25),PnL_Accounts,0))</f>
        <v>0</v>
      </c>
      <c r="H25" s="115">
        <f t="array" aca="1" ref="H25" ca="1">INDEX(INDIRECT("PnL_"&amp;TEXT(H$1,"mmm")&amp;"_"&amp;TEXT(H$1,"yyyy")),MATCH(TRIM($A25),PnL_Accounts,0))</f>
        <v>0</v>
      </c>
      <c r="I25" s="115">
        <f t="array" aca="1" ref="I25" ca="1">INDEX(INDIRECT("PnL_"&amp;TEXT(I$1,"mmm")&amp;"_"&amp;TEXT(I$1,"yyyy")),MATCH(TRIM($A25),PnL_Accounts,0))</f>
        <v>0</v>
      </c>
      <c r="J25" s="115">
        <f t="array" aca="1" ref="J25" ca="1">INDEX(INDIRECT("PnL_"&amp;TEXT(J$1,"mmm")&amp;"_"&amp;TEXT(J$1,"yyyy")),MATCH(TRIM($A25),PnL_Accounts,0))</f>
        <v>0</v>
      </c>
      <c r="K25" s="115">
        <f t="array" aca="1" ref="K25" ca="1">INDEX(INDIRECT("PnL_"&amp;TEXT(K$1,"mmm")&amp;"_"&amp;TEXT(K$1,"yyyy")),MATCH(TRIM($A25),PnL_Accounts,0))</f>
        <v>0</v>
      </c>
      <c r="L25" s="115">
        <f t="array" aca="1" ref="L25" ca="1">INDEX(INDIRECT("PnL_"&amp;TEXT(L$1,"mmm")&amp;"_"&amp;TEXT(L$1,"yyyy")),MATCH(TRIM($A25),PnL_Accounts,0))</f>
        <v>0</v>
      </c>
      <c r="M25" s="115">
        <f t="array" aca="1" ref="M25" ca="1">INDEX(INDIRECT("PnL_"&amp;TEXT(M$1,"mmm")&amp;"_"&amp;TEXT(M$1,"yyyy")),MATCH(TRIM($A25),PnL_Accounts,0))</f>
        <v>0</v>
      </c>
      <c r="N25" s="115">
        <f t="array" aca="1" ref="N25" ca="1">INDEX(INDIRECT("PnL_"&amp;TEXT(N$1,"mmm")&amp;"_"&amp;TEXT(N$1,"yyyy")),MATCH(TRIM($A25),PnL_Accounts,0))</f>
        <v>0</v>
      </c>
      <c r="O25" s="115">
        <f t="array" aca="1" ref="O25" ca="1">INDEX(INDIRECT("PnL_"&amp;TEXT(O$1,"mmm")&amp;"_"&amp;TEXT(O$1,"yyyy")),MATCH(TRIM($A25),PnL_Accounts,0))</f>
        <v>0</v>
      </c>
      <c r="P25" s="115">
        <f t="array" aca="1" ref="P25" ca="1">INDEX(INDIRECT("PnL_"&amp;TEXT(P$1,"mmm")&amp;"_"&amp;TEXT(P$1,"yyyy")),MATCH(TRIM($A25),PnL_Accounts,0))</f>
        <v>0</v>
      </c>
      <c r="Q25" s="115">
        <f t="array" aca="1" ref="Q25" ca="1">INDEX(INDIRECT("PnL_"&amp;TEXT(Q$1,"mmm")&amp;"_"&amp;TEXT(Q$1,"yyyy")),MATCH(TRIM($A25),PnL_Accounts,0))</f>
        <v>0</v>
      </c>
      <c r="R25" s="115">
        <f t="array" aca="1" ref="R25" ca="1">INDEX(INDIRECT("PnL_"&amp;TEXT(R$1,"mmm")&amp;"_"&amp;TEXT(R$1,"yyyy")),MATCH(TRIM($A25),PnL_Accounts,0))</f>
        <v>0</v>
      </c>
      <c r="S25" s="115">
        <f t="array" aca="1" ref="S25" ca="1">INDEX(INDIRECT("PnL_"&amp;TEXT(S$1,"mmm")&amp;"_"&amp;TEXT(S$1,"yyyy")),MATCH(TRIM($A25),PnL_Accounts,0))</f>
        <v>0</v>
      </c>
      <c r="T25" s="115">
        <f t="array" aca="1" ref="T25" ca="1">INDEX(INDIRECT("PnL_"&amp;TEXT(T$1,"mmm")&amp;"_"&amp;TEXT(T$1,"yyyy")),MATCH(TRIM($A25),PnL_Accounts,0))</f>
        <v>0</v>
      </c>
      <c r="U25" s="115">
        <f t="array" aca="1" ref="U25" ca="1">INDEX(INDIRECT("PnL_"&amp;TEXT(U$1,"mmm")&amp;"_"&amp;TEXT(U$1,"yyyy")),MATCH(TRIM($A25),PnL_Accounts,0))</f>
        <v>0</v>
      </c>
      <c r="V25" s="115">
        <f t="array" aca="1" ref="V25" ca="1">INDEX(INDIRECT("PnL_"&amp;TEXT(V$1,"mmm")&amp;"_"&amp;TEXT(V$1,"yyyy")),MATCH(TRIM($A25),PnL_Accounts,0))</f>
        <v>0</v>
      </c>
      <c r="W25" s="115">
        <f t="array" aca="1" ref="W25" ca="1">INDEX(INDIRECT("PnL_"&amp;TEXT(W$1,"mmm")&amp;"_"&amp;TEXT(W$1,"yyyy")),MATCH(TRIM($A25),PnL_Accounts,0))</f>
        <v>0</v>
      </c>
      <c r="X25" s="115">
        <f t="array" aca="1" ref="X25" ca="1">INDEX(INDIRECT("PnL_"&amp;TEXT(X$1,"mmm")&amp;"_"&amp;TEXT(X$1,"yyyy")),MATCH(TRIM($A25),PnL_Accounts,0))</f>
        <v>0</v>
      </c>
      <c r="Y25" s="115">
        <f t="array" aca="1" ref="Y25" ca="1">INDEX(INDIRECT("PnL_"&amp;TEXT(Y$1,"mmm")&amp;"_"&amp;TEXT(Y$1,"yyyy")),MATCH(TRIM($A25),PnL_Accounts,0))</f>
        <v>0</v>
      </c>
      <c r="Z25" s="115">
        <f t="array" aca="1" ref="Z25" ca="1">INDEX(INDIRECT("PnL_"&amp;TEXT(Z$1,"mmm")&amp;"_"&amp;TEXT(Z$1,"yyyy")),MATCH(TRIM($A25),PnL_Accounts,0))</f>
        <v>0</v>
      </c>
      <c r="AA25" s="115">
        <f t="array" aca="1" ref="AA25" ca="1">INDEX(INDIRECT("PnL_"&amp;TEXT(AA$1,"mmm")&amp;"_"&amp;TEXT(AA$1,"yyyy")),MATCH(TRIM($A25),PnL_Accounts,0))</f>
        <v>0</v>
      </c>
      <c r="AB25" s="115">
        <f t="array" aca="1" ref="AB25" ca="1">INDEX(INDIRECT("PnL_"&amp;TEXT(AB$1,"mmm")&amp;"_"&amp;TEXT(AB$1,"yyyy")),MATCH(TRIM($A25),PnL_Accounts,0))</f>
        <v>0</v>
      </c>
      <c r="AC25" s="115">
        <f t="array" aca="1" ref="AC25" ca="1">INDEX(INDIRECT("PnL_"&amp;TEXT(AC$1,"mmm")&amp;"_"&amp;TEXT(AC$1,"yyyy")),MATCH(TRIM($A25),PnL_Accounts,0))</f>
        <v>0</v>
      </c>
      <c r="AD25" s="115">
        <f t="array" aca="1" ref="AD25" ca="1">INDEX(INDIRECT("PnL_"&amp;TEXT(AD$1,"mmm")&amp;"_"&amp;TEXT(AD$1,"yyyy")),MATCH(TRIM($A25),PnL_Accounts,0))</f>
        <v>0</v>
      </c>
      <c r="AE25" s="115">
        <f t="array" aca="1" ref="AE25" ca="1">INDEX(INDIRECT("PnL_"&amp;TEXT(AE$1,"mmm")&amp;"_"&amp;TEXT(AE$1,"yyyy")),MATCH(TRIM($A25),PnL_Accounts,0))</f>
        <v>0</v>
      </c>
    </row>
    <row r="26" spans="1:75" ht="12.75" x14ac:dyDescent="0.2">
      <c r="A26" s="23" t="s">
        <v>282</v>
      </c>
      <c r="B26" s="224">
        <f ca="1">AVERAGEIFS(26:26,$1:$1,"&gt;="&amp;DATE(YEAR(Current_Month),MONTH(Current_Month)-2,DAY(Current_Month)),$1:$1,"&lt;="&amp;EOMONTH(Current_Month,0))</f>
        <v>4450</v>
      </c>
      <c r="D26" s="115">
        <f t="array" aca="1" ref="D26" ca="1">INDEX(INDIRECT("PnL_"&amp;TEXT(D$1,"mmm")&amp;"_"&amp;TEXT(D$1,"yyyy")),MATCH(TRIM($A26),PnL_Accounts,0))</f>
        <v>2966</v>
      </c>
      <c r="E26" s="115">
        <f t="array" aca="1" ref="E26" ca="1">INDEX(INDIRECT("PnL_"&amp;TEXT(E$1,"mmm")&amp;"_"&amp;TEXT(E$1,"yyyy")),MATCH(TRIM($A26),PnL_Accounts,0))</f>
        <v>3164</v>
      </c>
      <c r="F26" s="115">
        <f t="array" aca="1" ref="F26" ca="1">INDEX(INDIRECT("PnL_"&amp;TEXT(F$1,"mmm")&amp;"_"&amp;TEXT(F$1,"yyyy")),MATCH(TRIM($A26),PnL_Accounts,0))</f>
        <v>3361</v>
      </c>
      <c r="G26" s="115">
        <f t="array" aca="1" ref="G26" ca="1">INDEX(INDIRECT("PnL_"&amp;TEXT(G$1,"mmm")&amp;"_"&amp;TEXT(G$1,"yyyy")),MATCH(TRIM($A26),PnL_Accounts,0))</f>
        <v>3361</v>
      </c>
      <c r="H26" s="115">
        <f t="array" aca="1" ref="H26" ca="1">INDEX(INDIRECT("PnL_"&amp;TEXT(H$1,"mmm")&amp;"_"&amp;TEXT(H$1,"yyyy")),MATCH(TRIM($A26),PnL_Accounts,0))</f>
        <v>3361</v>
      </c>
      <c r="I26" s="115">
        <f t="array" aca="1" ref="I26" ca="1">INDEX(INDIRECT("PnL_"&amp;TEXT(I$1,"mmm")&amp;"_"&amp;TEXT(I$1,"yyyy")),MATCH(TRIM($A26),PnL_Accounts,0))</f>
        <v>3559</v>
      </c>
      <c r="J26" s="115">
        <f t="array" aca="1" ref="J26" ca="1">INDEX(INDIRECT("PnL_"&amp;TEXT(J$1,"mmm")&amp;"_"&amp;TEXT(J$1,"yyyy")),MATCH(TRIM($A26),PnL_Accounts,0))</f>
        <v>3559</v>
      </c>
      <c r="K26" s="115">
        <f t="array" aca="1" ref="K26" ca="1">INDEX(INDIRECT("PnL_"&amp;TEXT(K$1,"mmm")&amp;"_"&amp;TEXT(K$1,"yyyy")),MATCH(TRIM($A26),PnL_Accounts,0))</f>
        <v>3559</v>
      </c>
      <c r="L26" s="115">
        <f t="array" aca="1" ref="L26" ca="1">INDEX(INDIRECT("PnL_"&amp;TEXT(L$1,"mmm")&amp;"_"&amp;TEXT(L$1,"yyyy")),MATCH(TRIM($A26),PnL_Accounts,0))</f>
        <v>3756</v>
      </c>
      <c r="M26" s="115">
        <f t="array" aca="1" ref="M26" ca="1">INDEX(INDIRECT("PnL_"&amp;TEXT(M$1,"mmm")&amp;"_"&amp;TEXT(M$1,"yyyy")),MATCH(TRIM($A26),PnL_Accounts,0))</f>
        <v>3756</v>
      </c>
      <c r="N26" s="115">
        <f t="array" aca="1" ref="N26" ca="1">INDEX(INDIRECT("PnL_"&amp;TEXT(N$1,"mmm")&amp;"_"&amp;TEXT(N$1,"yyyy")),MATCH(TRIM($A26),PnL_Accounts,0))</f>
        <v>3756</v>
      </c>
      <c r="O26" s="115">
        <f t="array" aca="1" ref="O26" ca="1">INDEX(INDIRECT("PnL_"&amp;TEXT(O$1,"mmm")&amp;"_"&amp;TEXT(O$1,"yyyy")),MATCH(TRIM($A26),PnL_Accounts,0))</f>
        <v>4150</v>
      </c>
      <c r="P26" s="115">
        <f t="array" aca="1" ref="P26" ca="1">INDEX(INDIRECT("PnL_"&amp;TEXT(P$1,"mmm")&amp;"_"&amp;TEXT(P$1,"yyyy")),MATCH(TRIM($A26),PnL_Accounts,0))</f>
        <v>4150</v>
      </c>
      <c r="Q26" s="115">
        <f t="array" aca="1" ref="Q26" ca="1">INDEX(INDIRECT("PnL_"&amp;TEXT(Q$1,"mmm")&amp;"_"&amp;TEXT(Q$1,"yyyy")),MATCH(TRIM($A26),PnL_Accounts,0))</f>
        <v>4150</v>
      </c>
      <c r="R26" s="115">
        <f t="array" aca="1" ref="R26" ca="1">INDEX(INDIRECT("PnL_"&amp;TEXT(R$1,"mmm")&amp;"_"&amp;TEXT(R$1,"yyyy")),MATCH(TRIM($A26),PnL_Accounts,0))</f>
        <v>4150</v>
      </c>
      <c r="S26" s="115">
        <f t="array" aca="1" ref="S26" ca="1">INDEX(INDIRECT("PnL_"&amp;TEXT(S$1,"mmm")&amp;"_"&amp;TEXT(S$1,"yyyy")),MATCH(TRIM($A26),PnL_Accounts,0))</f>
        <v>4150</v>
      </c>
      <c r="T26" s="115">
        <f t="array" aca="1" ref="T26" ca="1">INDEX(INDIRECT("PnL_"&amp;TEXT(T$1,"mmm")&amp;"_"&amp;TEXT(T$1,"yyyy")),MATCH(TRIM($A26),PnL_Accounts,0))</f>
        <v>4450</v>
      </c>
      <c r="U26" s="115">
        <f t="array" aca="1" ref="U26" ca="1">INDEX(INDIRECT("PnL_"&amp;TEXT(U$1,"mmm")&amp;"_"&amp;TEXT(U$1,"yyyy")),MATCH(TRIM($A26),PnL_Accounts,0))</f>
        <v>4450</v>
      </c>
      <c r="V26" s="115">
        <f t="array" aca="1" ref="V26" ca="1">INDEX(INDIRECT("PnL_"&amp;TEXT(V$1,"mmm")&amp;"_"&amp;TEXT(V$1,"yyyy")),MATCH(TRIM($A26),PnL_Accounts,0))</f>
        <v>4450</v>
      </c>
      <c r="W26" s="115">
        <f t="array" aca="1" ref="W26" ca="1">INDEX(INDIRECT("PnL_"&amp;TEXT(W$1,"mmm")&amp;"_"&amp;TEXT(W$1,"yyyy")),MATCH(TRIM($A26),PnL_Accounts,0))</f>
        <v>4450</v>
      </c>
      <c r="X26" s="115">
        <f t="array" aca="1" ref="X26" ca="1">INDEX(INDIRECT("PnL_"&amp;TEXT(X$1,"mmm")&amp;"_"&amp;TEXT(X$1,"yyyy")),MATCH(TRIM($A26),PnL_Accounts,0))</f>
        <v>4450</v>
      </c>
      <c r="Y26" s="115">
        <f t="array" aca="1" ref="Y26" ca="1">INDEX(INDIRECT("PnL_"&amp;TEXT(Y$1,"mmm")&amp;"_"&amp;TEXT(Y$1,"yyyy")),MATCH(TRIM($A26),PnL_Accounts,0))</f>
        <v>4450</v>
      </c>
      <c r="Z26" s="115">
        <f t="array" aca="1" ref="Z26" ca="1">INDEX(INDIRECT("PnL_"&amp;TEXT(Z$1,"mmm")&amp;"_"&amp;TEXT(Z$1,"yyyy")),MATCH(TRIM($A26),PnL_Accounts,0))</f>
        <v>4450</v>
      </c>
      <c r="AA26" s="115">
        <f t="array" aca="1" ref="AA26" ca="1">INDEX(INDIRECT("PnL_"&amp;TEXT(AA$1,"mmm")&amp;"_"&amp;TEXT(AA$1,"yyyy")),MATCH(TRIM($A26),PnL_Accounts,0))</f>
        <v>4450</v>
      </c>
      <c r="AB26" s="115">
        <f t="array" aca="1" ref="AB26" ca="1">INDEX(INDIRECT("PnL_"&amp;TEXT(AB$1,"mmm")&amp;"_"&amp;TEXT(AB$1,"yyyy")),MATCH(TRIM($A26),PnL_Accounts,0))</f>
        <v>4450</v>
      </c>
      <c r="AC26" s="115">
        <f t="array" aca="1" ref="AC26" ca="1">INDEX(INDIRECT("PnL_"&amp;TEXT(AC$1,"mmm")&amp;"_"&amp;TEXT(AC$1,"yyyy")),MATCH(TRIM($A26),PnL_Accounts,0))</f>
        <v>4450</v>
      </c>
      <c r="AD26" s="115">
        <f t="array" aca="1" ref="AD26" ca="1">INDEX(INDIRECT("PnL_"&amp;TEXT(AD$1,"mmm")&amp;"_"&amp;TEXT(AD$1,"yyyy")),MATCH(TRIM($A26),PnL_Accounts,0))</f>
        <v>4450</v>
      </c>
      <c r="AE26" s="115">
        <f t="array" aca="1" ref="AE26" ca="1">INDEX(INDIRECT("PnL_"&amp;TEXT(AE$1,"mmm")&amp;"_"&amp;TEXT(AE$1,"yyyy")),MATCH(TRIM($A26),PnL_Accounts,0))</f>
        <v>4450</v>
      </c>
      <c r="AF26" s="25">
        <f t="array" ref="AF26">INDEX(Hiring_Plan_Benefits_Engineering,MATCH(AF$1,Hiring_Plan_Months,0))</f>
        <v>14390.000000000002</v>
      </c>
      <c r="AG26" s="25">
        <f t="array" ref="AG26">INDEX(Hiring_Plan_Benefits_Engineering,MATCH(AG$1,Hiring_Plan_Months,0))</f>
        <v>14390.000000000002</v>
      </c>
      <c r="AH26" s="25">
        <f t="array" ref="AH26">INDEX(Hiring_Plan_Benefits_Engineering,MATCH(AH$1,Hiring_Plan_Months,0))</f>
        <v>14390.000000000002</v>
      </c>
      <c r="AI26" s="25">
        <f t="array" ref="AI26">INDEX(Hiring_Plan_Benefits_Engineering,MATCH(AI$1,Hiring_Plan_Months,0))</f>
        <v>14390.000000000002</v>
      </c>
      <c r="AJ26" s="25">
        <f t="array" ref="AJ26">INDEX(Hiring_Plan_Benefits_Engineering,MATCH(AJ$1,Hiring_Plan_Months,0))</f>
        <v>14390.000000000002</v>
      </c>
      <c r="AK26" s="25">
        <f t="array" ref="AK26">INDEX(Hiring_Plan_Benefits_Engineering,MATCH(AK$1,Hiring_Plan_Months,0))</f>
        <v>15506.666666666668</v>
      </c>
      <c r="AL26" s="25">
        <f t="array" ref="AL26">INDEX(Hiring_Plan_Benefits_Engineering,MATCH(AL$1,Hiring_Plan_Months,0))</f>
        <v>15506.666666666668</v>
      </c>
      <c r="AM26" s="25">
        <f t="array" ref="AM26">INDEX(Hiring_Plan_Benefits_Engineering,MATCH(AM$1,Hiring_Plan_Months,0))</f>
        <v>15506.666666666668</v>
      </c>
      <c r="AN26" s="25">
        <f t="array" ref="AN26">INDEX(Hiring_Plan_Benefits_Engineering,MATCH(AN$1,Hiring_Plan_Months,0))</f>
        <v>16590</v>
      </c>
      <c r="AO26" s="25">
        <f t="array" ref="AO26">INDEX(Hiring_Plan_Benefits_Engineering,MATCH(AO$1,Hiring_Plan_Months,0))</f>
        <v>16590</v>
      </c>
      <c r="AP26" s="25">
        <f t="array" ref="AP26">INDEX(Hiring_Plan_Benefits_Engineering,MATCH(AP$1,Hiring_Plan_Months,0))</f>
        <v>16590</v>
      </c>
      <c r="AQ26" s="25">
        <f t="array" ref="AQ26">INDEX(Hiring_Plan_Benefits_Engineering,MATCH(AQ$1,Hiring_Plan_Months,0))</f>
        <v>17673.333333333332</v>
      </c>
      <c r="AR26" s="25">
        <f t="array" ref="AR26">INDEX(Hiring_Plan_Benefits_Engineering,MATCH(AR$1,Hiring_Plan_Months,0))</f>
        <v>17673.333333333332</v>
      </c>
      <c r="AS26" s="25">
        <f t="array" ref="AS26">INDEX(Hiring_Plan_Benefits_Engineering,MATCH(AS$1,Hiring_Plan_Months,0))</f>
        <v>17673.333333333332</v>
      </c>
      <c r="AT26" s="25">
        <f t="array" ref="AT26">INDEX(Hiring_Plan_Benefits_Engineering,MATCH(AT$1,Hiring_Plan_Months,0))</f>
        <v>18780</v>
      </c>
      <c r="AU26" s="25">
        <f t="array" ref="AU26">INDEX(Hiring_Plan_Benefits_Engineering,MATCH(AU$1,Hiring_Plan_Months,0))</f>
        <v>18780</v>
      </c>
      <c r="AV26" s="25">
        <f t="array" ref="AV26">INDEX(Hiring_Plan_Benefits_Engineering,MATCH(AV$1,Hiring_Plan_Months,0))</f>
        <v>18780</v>
      </c>
      <c r="AW26" s="25">
        <f t="array" ref="AW26">INDEX(Hiring_Plan_Benefits_Engineering,MATCH(AW$1,Hiring_Plan_Months,0))</f>
        <v>19830</v>
      </c>
      <c r="AX26" s="25">
        <f t="array" ref="AX26">INDEX(Hiring_Plan_Benefits_Engineering,MATCH(AX$1,Hiring_Plan_Months,0))</f>
        <v>19830</v>
      </c>
      <c r="AY26" s="25">
        <f t="array" ref="AY26">INDEX(Hiring_Plan_Benefits_Engineering,MATCH(AY$1,Hiring_Plan_Months,0))</f>
        <v>19830</v>
      </c>
      <c r="AZ26" s="25">
        <f t="array" ref="AZ26">INDEX(Hiring_Plan_Benefits_Engineering,MATCH(AZ$1,Hiring_Plan_Months,0))</f>
        <v>20880</v>
      </c>
      <c r="BA26" s="25">
        <f t="array" ref="BA26">INDEX(Hiring_Plan_Benefits_Engineering,MATCH(BA$1,Hiring_Plan_Months,0))</f>
        <v>20880</v>
      </c>
      <c r="BB26" s="25">
        <f t="array" ref="BB26">INDEX(Hiring_Plan_Benefits_Engineering,MATCH(BB$1,Hiring_Plan_Months,0))</f>
        <v>20880</v>
      </c>
      <c r="BC26" s="25">
        <f t="array" ref="BC26">INDEX(Hiring_Plan_Benefits_Engineering,MATCH(BC$1,Hiring_Plan_Months,0))</f>
        <v>21930</v>
      </c>
      <c r="BD26" s="25">
        <f t="array" ref="BD26">INDEX(Hiring_Plan_Benefits_Engineering,MATCH(BD$1,Hiring_Plan_Months,0))</f>
        <v>21930</v>
      </c>
      <c r="BE26" s="25">
        <f t="array" ref="BE26">INDEX(Hiring_Plan_Benefits_Engineering,MATCH(BE$1,Hiring_Plan_Months,0))</f>
        <v>21930</v>
      </c>
      <c r="BF26" s="25">
        <f t="array" ref="BF26">INDEX(Hiring_Plan_Benefits_Engineering,MATCH(BF$1,Hiring_Plan_Months,0))</f>
        <v>22980</v>
      </c>
      <c r="BG26" s="25">
        <f t="array" ref="BG26">INDEX(Hiring_Plan_Benefits_Engineering,MATCH(BG$1,Hiring_Plan_Months,0))</f>
        <v>22980</v>
      </c>
      <c r="BH26" s="25">
        <f t="array" ref="BH26">INDEX(Hiring_Plan_Benefits_Engineering,MATCH(BH$1,Hiring_Plan_Months,0))</f>
        <v>22980</v>
      </c>
      <c r="BI26" s="25">
        <f t="array" ref="BI26">INDEX(Hiring_Plan_Benefits_Engineering,MATCH(BI$1,Hiring_Plan_Months,0))</f>
        <v>24030</v>
      </c>
      <c r="BJ26" s="25">
        <f t="array" ref="BJ26">INDEX(Hiring_Plan_Benefits_Engineering,MATCH(BJ$1,Hiring_Plan_Months,0))</f>
        <v>24030</v>
      </c>
      <c r="BK26" s="25">
        <f t="array" ref="BK26">INDEX(Hiring_Plan_Benefits_Engineering,MATCH(BK$1,Hiring_Plan_Months,0))</f>
        <v>24030</v>
      </c>
      <c r="BL26" s="25">
        <f t="array" ref="BL26">INDEX(Hiring_Plan_Benefits_Engineering,MATCH(BL$1,Hiring_Plan_Months,0))</f>
        <v>25080</v>
      </c>
      <c r="BM26" s="25">
        <f t="array" ref="BM26">INDEX(Hiring_Plan_Benefits_Engineering,MATCH(BM$1,Hiring_Plan_Months,0))</f>
        <v>25080</v>
      </c>
      <c r="BN26" s="25">
        <f t="array" ref="BN26">INDEX(Hiring_Plan_Benefits_Engineering,MATCH(BN$1,Hiring_Plan_Months,0))</f>
        <v>25080</v>
      </c>
      <c r="BO26" s="25">
        <f t="array" ref="BO26">INDEX(Hiring_Plan_Benefits_Engineering,MATCH(BO$1,Hiring_Plan_Months,0))</f>
        <v>26130</v>
      </c>
      <c r="BP26" s="25">
        <f t="array" ref="BP26">INDEX(Hiring_Plan_Benefits_Engineering,MATCH(BP$1,Hiring_Plan_Months,0))</f>
        <v>26130</v>
      </c>
      <c r="BQ26" s="25">
        <f t="array" ref="BQ26">INDEX(Hiring_Plan_Benefits_Engineering,MATCH(BQ$1,Hiring_Plan_Months,0))</f>
        <v>26130</v>
      </c>
      <c r="BR26" s="25">
        <f t="array" ref="BR26">INDEX(Hiring_Plan_Benefits_Engineering,MATCH(BR$1,Hiring_Plan_Months,0))</f>
        <v>27180</v>
      </c>
      <c r="BS26" s="25">
        <f t="array" ref="BS26">INDEX(Hiring_Plan_Benefits_Engineering,MATCH(BS$1,Hiring_Plan_Months,0))</f>
        <v>27180</v>
      </c>
      <c r="BT26" s="25">
        <f t="array" ref="BT26">INDEX(Hiring_Plan_Benefits_Engineering,MATCH(BT$1,Hiring_Plan_Months,0))</f>
        <v>27180</v>
      </c>
      <c r="BU26" s="25">
        <f t="array" ref="BU26">INDEX(Hiring_Plan_Benefits_Engineering,MATCH(BU$1,Hiring_Plan_Months,0))</f>
        <v>27180</v>
      </c>
      <c r="BV26" s="25">
        <f t="array" ref="BV26">INDEX(Hiring_Plan_Benefits_Engineering,MATCH(BV$1,Hiring_Plan_Months,0))</f>
        <v>27180</v>
      </c>
      <c r="BW26" s="25">
        <f t="array" ref="BW26">INDEX(Hiring_Plan_Benefits_Engineering,MATCH(BW$1,Hiring_Plan_Months,0))</f>
        <v>27180</v>
      </c>
    </row>
    <row r="27" spans="1:75" ht="12.75" x14ac:dyDescent="0.2">
      <c r="A27" s="23" t="s">
        <v>283</v>
      </c>
      <c r="B27" s="224">
        <f ca="1">AVERAGEIFS(27:27,$1:$1,"&gt;="&amp;DATE(YEAR(Current_Month),MONTH(Current_Month)-2,DAY(Current_Month)),$1:$1,"&lt;="&amp;EOMONTH(Current_Month,0))</f>
        <v>19450</v>
      </c>
      <c r="D27" s="115">
        <f t="array" aca="1" ref="D27" ca="1">INDEX(INDIRECT("PnL_"&amp;TEXT(D$1,"mmm")&amp;"_"&amp;TEXT(D$1,"yyyy")),MATCH(TRIM($A27),PnL_Accounts,0))</f>
        <v>14850</v>
      </c>
      <c r="E27" s="115">
        <f t="array" aca="1" ref="E27" ca="1">INDEX(INDIRECT("PnL_"&amp;TEXT(E$1,"mmm")&amp;"_"&amp;TEXT(E$1,"yyyy")),MATCH(TRIM($A27),PnL_Accounts,0))</f>
        <v>15600</v>
      </c>
      <c r="F27" s="115">
        <f t="array" aca="1" ref="F27" ca="1">INDEX(INDIRECT("PnL_"&amp;TEXT(F$1,"mmm")&amp;"_"&amp;TEXT(F$1,"yyyy")),MATCH(TRIM($A27),PnL_Accounts,0))</f>
        <v>16574</v>
      </c>
      <c r="G27" s="115">
        <f t="array" aca="1" ref="G27" ca="1">INDEX(INDIRECT("PnL_"&amp;TEXT(G$1,"mmm")&amp;"_"&amp;TEXT(G$1,"yyyy")),MATCH(TRIM($A27),PnL_Accounts,0))</f>
        <v>16574</v>
      </c>
      <c r="H27" s="115">
        <f t="array" aca="1" ref="H27" ca="1">INDEX(INDIRECT("PnL_"&amp;TEXT(H$1,"mmm")&amp;"_"&amp;TEXT(H$1,"yyyy")),MATCH(TRIM($A27),PnL_Accounts,0))</f>
        <v>16574</v>
      </c>
      <c r="I27" s="115">
        <f t="array" aca="1" ref="I27" ca="1">INDEX(INDIRECT("PnL_"&amp;TEXT(I$1,"mmm")&amp;"_"&amp;TEXT(I$1,"yyyy")),MATCH(TRIM($A27),PnL_Accounts,0))</f>
        <v>17549</v>
      </c>
      <c r="J27" s="115">
        <f t="array" aca="1" ref="J27" ca="1">INDEX(INDIRECT("PnL_"&amp;TEXT(J$1,"mmm")&amp;"_"&amp;TEXT(J$1,"yyyy")),MATCH(TRIM($A27),PnL_Accounts,0))</f>
        <v>17549</v>
      </c>
      <c r="K27" s="115">
        <f t="array" aca="1" ref="K27" ca="1">INDEX(INDIRECT("PnL_"&amp;TEXT(K$1,"mmm")&amp;"_"&amp;TEXT(K$1,"yyyy")),MATCH(TRIM($A27),PnL_Accounts,0))</f>
        <v>17549</v>
      </c>
      <c r="L27" s="115">
        <f t="array" aca="1" ref="L27" ca="1">INDEX(INDIRECT("PnL_"&amp;TEXT(L$1,"mmm")&amp;"_"&amp;TEXT(L$1,"yyyy")),MATCH(TRIM($A27),PnL_Accounts,0))</f>
        <v>18017</v>
      </c>
      <c r="M27" s="115">
        <f t="array" aca="1" ref="M27" ca="1">INDEX(INDIRECT("PnL_"&amp;TEXT(M$1,"mmm")&amp;"_"&amp;TEXT(M$1,"yyyy")),MATCH(TRIM($A27),PnL_Accounts,0))</f>
        <v>18017</v>
      </c>
      <c r="N27" s="115">
        <f t="array" aca="1" ref="N27" ca="1">INDEX(INDIRECT("PnL_"&amp;TEXT(N$1,"mmm")&amp;"_"&amp;TEXT(N$1,"yyyy")),MATCH(TRIM($A27),PnL_Accounts,0))</f>
        <v>18017</v>
      </c>
      <c r="O27" s="115">
        <f t="array" aca="1" ref="O27" ca="1">INDEX(INDIRECT("PnL_"&amp;TEXT(O$1,"mmm")&amp;"_"&amp;TEXT(O$1,"yyyy")),MATCH(TRIM($A27),PnL_Accounts,0))</f>
        <v>18962</v>
      </c>
      <c r="P27" s="115">
        <f t="array" aca="1" ref="P27" ca="1">INDEX(INDIRECT("PnL_"&amp;TEXT(P$1,"mmm")&amp;"_"&amp;TEXT(P$1,"yyyy")),MATCH(TRIM($A27),PnL_Accounts,0))</f>
        <v>18962</v>
      </c>
      <c r="Q27" s="115">
        <f t="array" aca="1" ref="Q27" ca="1">INDEX(INDIRECT("PnL_"&amp;TEXT(Q$1,"mmm")&amp;"_"&amp;TEXT(Q$1,"yyyy")),MATCH(TRIM($A27),PnL_Accounts,0))</f>
        <v>18962</v>
      </c>
      <c r="R27" s="115">
        <f t="array" aca="1" ref="R27" ca="1">INDEX(INDIRECT("PnL_"&amp;TEXT(R$1,"mmm")&amp;"_"&amp;TEXT(R$1,"yyyy")),MATCH(TRIM($A27),PnL_Accounts,0))</f>
        <v>18962</v>
      </c>
      <c r="S27" s="115">
        <f t="array" aca="1" ref="S27" ca="1">INDEX(INDIRECT("PnL_"&amp;TEXT(S$1,"mmm")&amp;"_"&amp;TEXT(S$1,"yyyy")),MATCH(TRIM($A27),PnL_Accounts,0))</f>
        <v>18962</v>
      </c>
      <c r="T27" s="115">
        <f t="array" aca="1" ref="T27" ca="1">INDEX(INDIRECT("PnL_"&amp;TEXT(T$1,"mmm")&amp;"_"&amp;TEXT(T$1,"yyyy")),MATCH(TRIM($A27),PnL_Accounts,0))</f>
        <v>19450</v>
      </c>
      <c r="U27" s="115">
        <f t="array" aca="1" ref="U27" ca="1">INDEX(INDIRECT("PnL_"&amp;TEXT(U$1,"mmm")&amp;"_"&amp;TEXT(U$1,"yyyy")),MATCH(TRIM($A27),PnL_Accounts,0))</f>
        <v>19450</v>
      </c>
      <c r="V27" s="115">
        <f t="array" aca="1" ref="V27" ca="1">INDEX(INDIRECT("PnL_"&amp;TEXT(V$1,"mmm")&amp;"_"&amp;TEXT(V$1,"yyyy")),MATCH(TRIM($A27),PnL_Accounts,0))</f>
        <v>19450</v>
      </c>
      <c r="W27" s="115">
        <f t="array" aca="1" ref="W27" ca="1">INDEX(INDIRECT("PnL_"&amp;TEXT(W$1,"mmm")&amp;"_"&amp;TEXT(W$1,"yyyy")),MATCH(TRIM($A27),PnL_Accounts,0))</f>
        <v>19450</v>
      </c>
      <c r="X27" s="115">
        <f t="array" aca="1" ref="X27" ca="1">INDEX(INDIRECT("PnL_"&amp;TEXT(X$1,"mmm")&amp;"_"&amp;TEXT(X$1,"yyyy")),MATCH(TRIM($A27),PnL_Accounts,0))</f>
        <v>19450</v>
      </c>
      <c r="Y27" s="115">
        <f t="array" aca="1" ref="Y27" ca="1">INDEX(INDIRECT("PnL_"&amp;TEXT(Y$1,"mmm")&amp;"_"&amp;TEXT(Y$1,"yyyy")),MATCH(TRIM($A27),PnL_Accounts,0))</f>
        <v>19450</v>
      </c>
      <c r="Z27" s="115">
        <f t="array" aca="1" ref="Z27" ca="1">INDEX(INDIRECT("PnL_"&amp;TEXT(Z$1,"mmm")&amp;"_"&amp;TEXT(Z$1,"yyyy")),MATCH(TRIM($A27),PnL_Accounts,0))</f>
        <v>19450</v>
      </c>
      <c r="AA27" s="115">
        <f t="array" aca="1" ref="AA27" ca="1">INDEX(INDIRECT("PnL_"&amp;TEXT(AA$1,"mmm")&amp;"_"&amp;TEXT(AA$1,"yyyy")),MATCH(TRIM($A27),PnL_Accounts,0))</f>
        <v>19450</v>
      </c>
      <c r="AB27" s="115">
        <f t="array" aca="1" ref="AB27" ca="1">INDEX(INDIRECT("PnL_"&amp;TEXT(AB$1,"mmm")&amp;"_"&amp;TEXT(AB$1,"yyyy")),MATCH(TRIM($A27),PnL_Accounts,0))</f>
        <v>19450</v>
      </c>
      <c r="AC27" s="115">
        <f t="array" aca="1" ref="AC27" ca="1">INDEX(INDIRECT("PnL_"&amp;TEXT(AC$1,"mmm")&amp;"_"&amp;TEXT(AC$1,"yyyy")),MATCH(TRIM($A27),PnL_Accounts,0))</f>
        <v>19450</v>
      </c>
      <c r="AD27" s="115">
        <f t="array" aca="1" ref="AD27" ca="1">INDEX(INDIRECT("PnL_"&amp;TEXT(AD$1,"mmm")&amp;"_"&amp;TEXT(AD$1,"yyyy")),MATCH(TRIM($A27),PnL_Accounts,0))</f>
        <v>19450</v>
      </c>
      <c r="AE27" s="115">
        <f t="array" aca="1" ref="AE27" ca="1">INDEX(INDIRECT("PnL_"&amp;TEXT(AE$1,"mmm")&amp;"_"&amp;TEXT(AE$1,"yyyy")),MATCH(TRIM($A27),PnL_Accounts,0))</f>
        <v>19450</v>
      </c>
      <c r="AF27" s="25">
        <f t="array" ref="AF27">INDEX(Hiring_Plan_Payroll_Taxes_Engineering,MATCH(AF$1,Hiring_Plan_Months,0))</f>
        <v>17752.5</v>
      </c>
      <c r="AG27" s="25">
        <f t="array" ref="AG27">INDEX(Hiring_Plan_Payroll_Taxes_Engineering,MATCH(AG$1,Hiring_Plan_Months,0))</f>
        <v>17752.5</v>
      </c>
      <c r="AH27" s="25">
        <f t="array" ref="AH27">INDEX(Hiring_Plan_Payroll_Taxes_Engineering,MATCH(AH$1,Hiring_Plan_Months,0))</f>
        <v>17752.5</v>
      </c>
      <c r="AI27" s="25">
        <f t="array" ref="AI27">INDEX(Hiring_Plan_Payroll_Taxes_Engineering,MATCH(AI$1,Hiring_Plan_Months,0))</f>
        <v>17752.5</v>
      </c>
      <c r="AJ27" s="25">
        <f t="array" ref="AJ27">INDEX(Hiring_Plan_Payroll_Taxes_Engineering,MATCH(AJ$1,Hiring_Plan_Months,0))</f>
        <v>17752.5</v>
      </c>
      <c r="AK27" s="25">
        <f t="array" ref="AK27">INDEX(Hiring_Plan_Payroll_Taxes_Engineering,MATCH(AK$1,Hiring_Plan_Months,0))</f>
        <v>19140</v>
      </c>
      <c r="AL27" s="25">
        <f t="array" ref="AL27">INDEX(Hiring_Plan_Payroll_Taxes_Engineering,MATCH(AL$1,Hiring_Plan_Months,0))</f>
        <v>19140</v>
      </c>
      <c r="AM27" s="25">
        <f t="array" ref="AM27">INDEX(Hiring_Plan_Payroll_Taxes_Engineering,MATCH(AM$1,Hiring_Plan_Months,0))</f>
        <v>19140</v>
      </c>
      <c r="AN27" s="25">
        <f t="array" ref="AN27">INDEX(Hiring_Plan_Payroll_Taxes_Engineering,MATCH(AN$1,Hiring_Plan_Months,0))</f>
        <v>20452.5</v>
      </c>
      <c r="AO27" s="25">
        <f t="array" ref="AO27">INDEX(Hiring_Plan_Payroll_Taxes_Engineering,MATCH(AO$1,Hiring_Plan_Months,0))</f>
        <v>20452.5</v>
      </c>
      <c r="AP27" s="25">
        <f t="array" ref="AP27">INDEX(Hiring_Plan_Payroll_Taxes_Engineering,MATCH(AP$1,Hiring_Plan_Months,0))</f>
        <v>20452.5</v>
      </c>
      <c r="AQ27" s="25">
        <f t="array" ref="AQ27">INDEX(Hiring_Plan_Payroll_Taxes_Engineering,MATCH(AQ$1,Hiring_Plan_Months,0))</f>
        <v>21765</v>
      </c>
      <c r="AR27" s="25">
        <f t="array" ref="AR27">INDEX(Hiring_Plan_Payroll_Taxes_Engineering,MATCH(AR$1,Hiring_Plan_Months,0))</f>
        <v>21765</v>
      </c>
      <c r="AS27" s="25">
        <f t="array" ref="AS27">INDEX(Hiring_Plan_Payroll_Taxes_Engineering,MATCH(AS$1,Hiring_Plan_Months,0))</f>
        <v>21765</v>
      </c>
      <c r="AT27" s="25">
        <f t="array" ref="AT27">INDEX(Hiring_Plan_Payroll_Taxes_Engineering,MATCH(AT$1,Hiring_Plan_Months,0))</f>
        <v>23130</v>
      </c>
      <c r="AU27" s="25">
        <f t="array" ref="AU27">INDEX(Hiring_Plan_Payroll_Taxes_Engineering,MATCH(AU$1,Hiring_Plan_Months,0))</f>
        <v>23130</v>
      </c>
      <c r="AV27" s="25">
        <f t="array" ref="AV27">INDEX(Hiring_Plan_Payroll_Taxes_Engineering,MATCH(AV$1,Hiring_Plan_Months,0))</f>
        <v>23130</v>
      </c>
      <c r="AW27" s="25">
        <f t="array" ref="AW27">INDEX(Hiring_Plan_Payroll_Taxes_Engineering,MATCH(AW$1,Hiring_Plan_Months,0))</f>
        <v>24367.5</v>
      </c>
      <c r="AX27" s="25">
        <f t="array" ref="AX27">INDEX(Hiring_Plan_Payroll_Taxes_Engineering,MATCH(AX$1,Hiring_Plan_Months,0))</f>
        <v>24367.5</v>
      </c>
      <c r="AY27" s="25">
        <f t="array" ref="AY27">INDEX(Hiring_Plan_Payroll_Taxes_Engineering,MATCH(AY$1,Hiring_Plan_Months,0))</f>
        <v>24367.5</v>
      </c>
      <c r="AZ27" s="25">
        <f t="array" ref="AZ27">INDEX(Hiring_Plan_Payroll_Taxes_Engineering,MATCH(AZ$1,Hiring_Plan_Months,0))</f>
        <v>25605</v>
      </c>
      <c r="BA27" s="25">
        <f t="array" ref="BA27">INDEX(Hiring_Plan_Payroll_Taxes_Engineering,MATCH(BA$1,Hiring_Plan_Months,0))</f>
        <v>25605</v>
      </c>
      <c r="BB27" s="25">
        <f t="array" ref="BB27">INDEX(Hiring_Plan_Payroll_Taxes_Engineering,MATCH(BB$1,Hiring_Plan_Months,0))</f>
        <v>25605</v>
      </c>
      <c r="BC27" s="25">
        <f t="array" ref="BC27">INDEX(Hiring_Plan_Payroll_Taxes_Engineering,MATCH(BC$1,Hiring_Plan_Months,0))</f>
        <v>26842.5</v>
      </c>
      <c r="BD27" s="25">
        <f t="array" ref="BD27">INDEX(Hiring_Plan_Payroll_Taxes_Engineering,MATCH(BD$1,Hiring_Plan_Months,0))</f>
        <v>26842.5</v>
      </c>
      <c r="BE27" s="25">
        <f t="array" ref="BE27">INDEX(Hiring_Plan_Payroll_Taxes_Engineering,MATCH(BE$1,Hiring_Plan_Months,0))</f>
        <v>26842.5</v>
      </c>
      <c r="BF27" s="25">
        <f t="array" ref="BF27">INDEX(Hiring_Plan_Payroll_Taxes_Engineering,MATCH(BF$1,Hiring_Plan_Months,0))</f>
        <v>28080</v>
      </c>
      <c r="BG27" s="25">
        <f t="array" ref="BG27">INDEX(Hiring_Plan_Payroll_Taxes_Engineering,MATCH(BG$1,Hiring_Plan_Months,0))</f>
        <v>28080</v>
      </c>
      <c r="BH27" s="25">
        <f t="array" ref="BH27">INDEX(Hiring_Plan_Payroll_Taxes_Engineering,MATCH(BH$1,Hiring_Plan_Months,0))</f>
        <v>28080</v>
      </c>
      <c r="BI27" s="25">
        <f t="array" ref="BI27">INDEX(Hiring_Plan_Payroll_Taxes_Engineering,MATCH(BI$1,Hiring_Plan_Months,0))</f>
        <v>29317.5</v>
      </c>
      <c r="BJ27" s="25">
        <f t="array" ref="BJ27">INDEX(Hiring_Plan_Payroll_Taxes_Engineering,MATCH(BJ$1,Hiring_Plan_Months,0))</f>
        <v>29317.5</v>
      </c>
      <c r="BK27" s="25">
        <f t="array" ref="BK27">INDEX(Hiring_Plan_Payroll_Taxes_Engineering,MATCH(BK$1,Hiring_Plan_Months,0))</f>
        <v>29317.5</v>
      </c>
      <c r="BL27" s="25">
        <f t="array" ref="BL27">INDEX(Hiring_Plan_Payroll_Taxes_Engineering,MATCH(BL$1,Hiring_Plan_Months,0))</f>
        <v>30555</v>
      </c>
      <c r="BM27" s="25">
        <f t="array" ref="BM27">INDEX(Hiring_Plan_Payroll_Taxes_Engineering,MATCH(BM$1,Hiring_Plan_Months,0))</f>
        <v>30555</v>
      </c>
      <c r="BN27" s="25">
        <f t="array" ref="BN27">INDEX(Hiring_Plan_Payroll_Taxes_Engineering,MATCH(BN$1,Hiring_Plan_Months,0))</f>
        <v>30555</v>
      </c>
      <c r="BO27" s="25">
        <f t="array" ref="BO27">INDEX(Hiring_Plan_Payroll_Taxes_Engineering,MATCH(BO$1,Hiring_Plan_Months,0))</f>
        <v>31792.5</v>
      </c>
      <c r="BP27" s="25">
        <f t="array" ref="BP27">INDEX(Hiring_Plan_Payroll_Taxes_Engineering,MATCH(BP$1,Hiring_Plan_Months,0))</f>
        <v>31792.5</v>
      </c>
      <c r="BQ27" s="25">
        <f t="array" ref="BQ27">INDEX(Hiring_Plan_Payroll_Taxes_Engineering,MATCH(BQ$1,Hiring_Plan_Months,0))</f>
        <v>31792.5</v>
      </c>
      <c r="BR27" s="25">
        <f t="array" ref="BR27">INDEX(Hiring_Plan_Payroll_Taxes_Engineering,MATCH(BR$1,Hiring_Plan_Months,0))</f>
        <v>33030</v>
      </c>
      <c r="BS27" s="25">
        <f t="array" ref="BS27">INDEX(Hiring_Plan_Payroll_Taxes_Engineering,MATCH(BS$1,Hiring_Plan_Months,0))</f>
        <v>33030</v>
      </c>
      <c r="BT27" s="25">
        <f t="array" ref="BT27">INDEX(Hiring_Plan_Payroll_Taxes_Engineering,MATCH(BT$1,Hiring_Plan_Months,0))</f>
        <v>33030</v>
      </c>
      <c r="BU27" s="25">
        <f t="array" ref="BU27">INDEX(Hiring_Plan_Payroll_Taxes_Engineering,MATCH(BU$1,Hiring_Plan_Months,0))</f>
        <v>33030</v>
      </c>
      <c r="BV27" s="25">
        <f t="array" ref="BV27">INDEX(Hiring_Plan_Payroll_Taxes_Engineering,MATCH(BV$1,Hiring_Plan_Months,0))</f>
        <v>33030</v>
      </c>
      <c r="BW27" s="25">
        <f t="array" ref="BW27">INDEX(Hiring_Plan_Payroll_Taxes_Engineering,MATCH(BW$1,Hiring_Plan_Months,0))</f>
        <v>33030</v>
      </c>
    </row>
    <row r="28" spans="1:75" ht="12.75" x14ac:dyDescent="0.2">
      <c r="A28" s="23" t="s">
        <v>284</v>
      </c>
      <c r="B28" s="224">
        <f ca="1">AVERAGEIFS(28:28,$1:$1,"&gt;="&amp;DATE(YEAR(Current_Month),MONTH(Current_Month)-2,DAY(Current_Month)),$1:$1,"&lt;="&amp;EOMONTH(Current_Month,0))</f>
        <v>225052</v>
      </c>
      <c r="D28" s="115">
        <f t="array" aca="1" ref="D28" ca="1">INDEX(INDIRECT("PnL_"&amp;TEXT(D$1,"mmm")&amp;"_"&amp;TEXT(D$1,"yyyy")),MATCH(TRIM($A28),PnL_Accounts,0))</f>
        <v>165000</v>
      </c>
      <c r="E28" s="115">
        <f t="array" aca="1" ref="E28" ca="1">INDEX(INDIRECT("PnL_"&amp;TEXT(E$1,"mmm")&amp;"_"&amp;TEXT(E$1,"yyyy")),MATCH(TRIM($A28),PnL_Accounts,0))</f>
        <v>173328</v>
      </c>
      <c r="F28" s="115">
        <f t="array" aca="1" ref="F28" ca="1">INDEX(INDIRECT("PnL_"&amp;TEXT(F$1,"mmm")&amp;"_"&amp;TEXT(F$1,"yyyy")),MATCH(TRIM($A28),PnL_Accounts,0))</f>
        <v>184161</v>
      </c>
      <c r="G28" s="115">
        <f t="array" aca="1" ref="G28" ca="1">INDEX(INDIRECT("PnL_"&amp;TEXT(G$1,"mmm")&amp;"_"&amp;TEXT(G$1,"yyyy")),MATCH(TRIM($A28),PnL_Accounts,0))</f>
        <v>184161</v>
      </c>
      <c r="H28" s="115">
        <f t="array" aca="1" ref="H28" ca="1">INDEX(INDIRECT("PnL_"&amp;TEXT(H$1,"mmm")&amp;"_"&amp;TEXT(H$1,"yyyy")),MATCH(TRIM($A28),PnL_Accounts,0))</f>
        <v>184161</v>
      </c>
      <c r="I28" s="115">
        <f t="array" aca="1" ref="I28" ca="1">INDEX(INDIRECT("PnL_"&amp;TEXT(I$1,"mmm")&amp;"_"&amp;TEXT(I$1,"yyyy")),MATCH(TRIM($A28),PnL_Accounts,0))</f>
        <v>194994</v>
      </c>
      <c r="J28" s="115">
        <f t="array" aca="1" ref="J28" ca="1">INDEX(INDIRECT("PnL_"&amp;TEXT(J$1,"mmm")&amp;"_"&amp;TEXT(J$1,"yyyy")),MATCH(TRIM($A28),PnL_Accounts,0))</f>
        <v>194994</v>
      </c>
      <c r="K28" s="115">
        <f t="array" aca="1" ref="K28" ca="1">INDEX(INDIRECT("PnL_"&amp;TEXT(K$1,"mmm")&amp;"_"&amp;TEXT(K$1,"yyyy")),MATCH(TRIM($A28),PnL_Accounts,0))</f>
        <v>194994</v>
      </c>
      <c r="L28" s="115">
        <f t="array" aca="1" ref="L28" ca="1">INDEX(INDIRECT("PnL_"&amp;TEXT(L$1,"mmm")&amp;"_"&amp;TEXT(L$1,"yyyy")),MATCH(TRIM($A28),PnL_Accounts,0))</f>
        <v>200194</v>
      </c>
      <c r="M28" s="115">
        <f t="array" aca="1" ref="M28" ca="1">INDEX(INDIRECT("PnL_"&amp;TEXT(M$1,"mmm")&amp;"_"&amp;TEXT(M$1,"yyyy")),MATCH(TRIM($A28),PnL_Accounts,0))</f>
        <v>200194</v>
      </c>
      <c r="N28" s="115">
        <f t="array" aca="1" ref="N28" ca="1">INDEX(INDIRECT("PnL_"&amp;TEXT(N$1,"mmm")&amp;"_"&amp;TEXT(N$1,"yyyy")),MATCH(TRIM($A28),PnL_Accounts,0))</f>
        <v>200194</v>
      </c>
      <c r="O28" s="115">
        <f t="array" aca="1" ref="O28" ca="1">INDEX(INDIRECT("PnL_"&amp;TEXT(O$1,"mmm")&amp;"_"&amp;TEXT(O$1,"yyyy")),MATCH(TRIM($A28),PnL_Accounts,0))</f>
        <v>210694</v>
      </c>
      <c r="P28" s="115">
        <f t="array" aca="1" ref="P28" ca="1">INDEX(INDIRECT("PnL_"&amp;TEXT(P$1,"mmm")&amp;"_"&amp;TEXT(P$1,"yyyy")),MATCH(TRIM($A28),PnL_Accounts,0))</f>
        <v>210694</v>
      </c>
      <c r="Q28" s="115">
        <f t="array" aca="1" ref="Q28" ca="1">INDEX(INDIRECT("PnL_"&amp;TEXT(Q$1,"mmm")&amp;"_"&amp;TEXT(Q$1,"yyyy")),MATCH(TRIM($A28),PnL_Accounts,0))</f>
        <v>210694</v>
      </c>
      <c r="R28" s="115">
        <f t="array" aca="1" ref="R28" ca="1">INDEX(INDIRECT("PnL_"&amp;TEXT(R$1,"mmm")&amp;"_"&amp;TEXT(R$1,"yyyy")),MATCH(TRIM($A28),PnL_Accounts,0))</f>
        <v>210694</v>
      </c>
      <c r="S28" s="115">
        <f t="array" aca="1" ref="S28" ca="1">INDEX(INDIRECT("PnL_"&amp;TEXT(S$1,"mmm")&amp;"_"&amp;TEXT(S$1,"yyyy")),MATCH(TRIM($A28),PnL_Accounts,0))</f>
        <v>210694</v>
      </c>
      <c r="T28" s="115">
        <f t="array" aca="1" ref="T28" ca="1">INDEX(INDIRECT("PnL_"&amp;TEXT(T$1,"mmm")&amp;"_"&amp;TEXT(T$1,"yyyy")),MATCH(TRIM($A28),PnL_Accounts,0))</f>
        <v>215694</v>
      </c>
      <c r="U28" s="115">
        <f t="array" aca="1" ref="U28" ca="1">INDEX(INDIRECT("PnL_"&amp;TEXT(U$1,"mmm")&amp;"_"&amp;TEXT(U$1,"yyyy")),MATCH(TRIM($A28),PnL_Accounts,0))</f>
        <v>215694</v>
      </c>
      <c r="V28" s="115">
        <f t="array" aca="1" ref="V28" ca="1">INDEX(INDIRECT("PnL_"&amp;TEXT(V$1,"mmm")&amp;"_"&amp;TEXT(V$1,"yyyy")),MATCH(TRIM($A28),PnL_Accounts,0))</f>
        <v>215694</v>
      </c>
      <c r="W28" s="115">
        <f t="array" aca="1" ref="W28" ca="1">INDEX(INDIRECT("PnL_"&amp;TEXT(W$1,"mmm")&amp;"_"&amp;TEXT(W$1,"yyyy")),MATCH(TRIM($A28),PnL_Accounts,0))</f>
        <v>215694</v>
      </c>
      <c r="X28" s="115">
        <f t="array" aca="1" ref="X28" ca="1">INDEX(INDIRECT("PnL_"&amp;TEXT(X$1,"mmm")&amp;"_"&amp;TEXT(X$1,"yyyy")),MATCH(TRIM($A28),PnL_Accounts,0))</f>
        <v>215694</v>
      </c>
      <c r="Y28" s="115">
        <f t="array" aca="1" ref="Y28" ca="1">INDEX(INDIRECT("PnL_"&amp;TEXT(Y$1,"mmm")&amp;"_"&amp;TEXT(Y$1,"yyyy")),MATCH(TRIM($A28),PnL_Accounts,0))</f>
        <v>225052</v>
      </c>
      <c r="Z28" s="115">
        <f t="array" aca="1" ref="Z28" ca="1">INDEX(INDIRECT("PnL_"&amp;TEXT(Z$1,"mmm")&amp;"_"&amp;TEXT(Z$1,"yyyy")),MATCH(TRIM($A28),PnL_Accounts,0))</f>
        <v>225052</v>
      </c>
      <c r="AA28" s="115">
        <f t="array" aca="1" ref="AA28" ca="1">INDEX(INDIRECT("PnL_"&amp;TEXT(AA$1,"mmm")&amp;"_"&amp;TEXT(AA$1,"yyyy")),MATCH(TRIM($A28),PnL_Accounts,0))</f>
        <v>225052</v>
      </c>
      <c r="AB28" s="115">
        <f t="array" aca="1" ref="AB28" ca="1">INDEX(INDIRECT("PnL_"&amp;TEXT(AB$1,"mmm")&amp;"_"&amp;TEXT(AB$1,"yyyy")),MATCH(TRIM($A28),PnL_Accounts,0))</f>
        <v>225052</v>
      </c>
      <c r="AC28" s="115">
        <f t="array" aca="1" ref="AC28" ca="1">INDEX(INDIRECT("PnL_"&amp;TEXT(AC$1,"mmm")&amp;"_"&amp;TEXT(AC$1,"yyyy")),MATCH(TRIM($A28),PnL_Accounts,0))</f>
        <v>225052</v>
      </c>
      <c r="AD28" s="115">
        <f t="array" aca="1" ref="AD28" ca="1">INDEX(INDIRECT("PnL_"&amp;TEXT(AD$1,"mmm")&amp;"_"&amp;TEXT(AD$1,"yyyy")),MATCH(TRIM($A28),PnL_Accounts,0))</f>
        <v>225052</v>
      </c>
      <c r="AE28" s="115">
        <f t="array" aca="1" ref="AE28" ca="1">INDEX(INDIRECT("PnL_"&amp;TEXT(AE$1,"mmm")&amp;"_"&amp;TEXT(AE$1,"yyyy")),MATCH(TRIM($A28),PnL_Accounts,0))</f>
        <v>225052</v>
      </c>
      <c r="AF28" s="25">
        <f t="array" ref="AF28">INDEX(Hiring_Plan_Salaries_Engineering,MATCH(AF$1,Hiring_Plan_Months,0))</f>
        <v>197250.00000000003</v>
      </c>
      <c r="AG28" s="25">
        <f t="array" ref="AG28">INDEX(Hiring_Plan_Salaries_Engineering,MATCH(AG$1,Hiring_Plan_Months,0))</f>
        <v>197250.00000000003</v>
      </c>
      <c r="AH28" s="25">
        <f t="array" ref="AH28">INDEX(Hiring_Plan_Salaries_Engineering,MATCH(AH$1,Hiring_Plan_Months,0))</f>
        <v>197250.00000000003</v>
      </c>
      <c r="AI28" s="25">
        <f t="array" ref="AI28">INDEX(Hiring_Plan_Salaries_Engineering,MATCH(AI$1,Hiring_Plan_Months,0))</f>
        <v>197250.00000000003</v>
      </c>
      <c r="AJ28" s="25">
        <f t="array" ref="AJ28">INDEX(Hiring_Plan_Salaries_Engineering,MATCH(AJ$1,Hiring_Plan_Months,0))</f>
        <v>197250.00000000003</v>
      </c>
      <c r="AK28" s="25">
        <f t="array" ref="AK28">INDEX(Hiring_Plan_Salaries_Engineering,MATCH(AK$1,Hiring_Plan_Months,0))</f>
        <v>212666.66666666669</v>
      </c>
      <c r="AL28" s="25">
        <f t="array" ref="AL28">INDEX(Hiring_Plan_Salaries_Engineering,MATCH(AL$1,Hiring_Plan_Months,0))</f>
        <v>212666.66666666669</v>
      </c>
      <c r="AM28" s="25">
        <f t="array" ref="AM28">INDEX(Hiring_Plan_Salaries_Engineering,MATCH(AM$1,Hiring_Plan_Months,0))</f>
        <v>212666.66666666669</v>
      </c>
      <c r="AN28" s="25">
        <f t="array" ref="AN28">INDEX(Hiring_Plan_Salaries_Engineering,MATCH(AN$1,Hiring_Plan_Months,0))</f>
        <v>227250.00000000003</v>
      </c>
      <c r="AO28" s="25">
        <f t="array" ref="AO28">INDEX(Hiring_Plan_Salaries_Engineering,MATCH(AO$1,Hiring_Plan_Months,0))</f>
        <v>227250.00000000003</v>
      </c>
      <c r="AP28" s="25">
        <f t="array" ref="AP28">INDEX(Hiring_Plan_Salaries_Engineering,MATCH(AP$1,Hiring_Plan_Months,0))</f>
        <v>227250.00000000003</v>
      </c>
      <c r="AQ28" s="25">
        <f t="array" ref="AQ28">INDEX(Hiring_Plan_Salaries_Engineering,MATCH(AQ$1,Hiring_Plan_Months,0))</f>
        <v>241833.33333333337</v>
      </c>
      <c r="AR28" s="25">
        <f t="array" ref="AR28">INDEX(Hiring_Plan_Salaries_Engineering,MATCH(AR$1,Hiring_Plan_Months,0))</f>
        <v>241833.33333333337</v>
      </c>
      <c r="AS28" s="25">
        <f t="array" ref="AS28">INDEX(Hiring_Plan_Salaries_Engineering,MATCH(AS$1,Hiring_Plan_Months,0))</f>
        <v>241833.33333333337</v>
      </c>
      <c r="AT28" s="25">
        <f t="array" ref="AT28">INDEX(Hiring_Plan_Salaries_Engineering,MATCH(AT$1,Hiring_Plan_Months,0))</f>
        <v>257000.00000000003</v>
      </c>
      <c r="AU28" s="25">
        <f t="array" ref="AU28">INDEX(Hiring_Plan_Salaries_Engineering,MATCH(AU$1,Hiring_Plan_Months,0))</f>
        <v>257000.00000000003</v>
      </c>
      <c r="AV28" s="25">
        <f t="array" ref="AV28">INDEX(Hiring_Plan_Salaries_Engineering,MATCH(AV$1,Hiring_Plan_Months,0))</f>
        <v>257000.00000000003</v>
      </c>
      <c r="AW28" s="25">
        <f t="array" ref="AW28">INDEX(Hiring_Plan_Salaries_Engineering,MATCH(AW$1,Hiring_Plan_Months,0))</f>
        <v>270750</v>
      </c>
      <c r="AX28" s="25">
        <f t="array" ref="AX28">INDEX(Hiring_Plan_Salaries_Engineering,MATCH(AX$1,Hiring_Plan_Months,0))</f>
        <v>270750</v>
      </c>
      <c r="AY28" s="25">
        <f t="array" ref="AY28">INDEX(Hiring_Plan_Salaries_Engineering,MATCH(AY$1,Hiring_Plan_Months,0))</f>
        <v>270750</v>
      </c>
      <c r="AZ28" s="25">
        <f t="array" ref="AZ28">INDEX(Hiring_Plan_Salaries_Engineering,MATCH(AZ$1,Hiring_Plan_Months,0))</f>
        <v>284500</v>
      </c>
      <c r="BA28" s="25">
        <f t="array" ref="BA28">INDEX(Hiring_Plan_Salaries_Engineering,MATCH(BA$1,Hiring_Plan_Months,0))</f>
        <v>284500</v>
      </c>
      <c r="BB28" s="25">
        <f t="array" ref="BB28">INDEX(Hiring_Plan_Salaries_Engineering,MATCH(BB$1,Hiring_Plan_Months,0))</f>
        <v>284500</v>
      </c>
      <c r="BC28" s="25">
        <f t="array" ref="BC28">INDEX(Hiring_Plan_Salaries_Engineering,MATCH(BC$1,Hiring_Plan_Months,0))</f>
        <v>298250</v>
      </c>
      <c r="BD28" s="25">
        <f t="array" ref="BD28">INDEX(Hiring_Plan_Salaries_Engineering,MATCH(BD$1,Hiring_Plan_Months,0))</f>
        <v>298250</v>
      </c>
      <c r="BE28" s="25">
        <f t="array" ref="BE28">INDEX(Hiring_Plan_Salaries_Engineering,MATCH(BE$1,Hiring_Plan_Months,0))</f>
        <v>298250</v>
      </c>
      <c r="BF28" s="25">
        <f t="array" ref="BF28">INDEX(Hiring_Plan_Salaries_Engineering,MATCH(BF$1,Hiring_Plan_Months,0))</f>
        <v>312000</v>
      </c>
      <c r="BG28" s="25">
        <f t="array" ref="BG28">INDEX(Hiring_Plan_Salaries_Engineering,MATCH(BG$1,Hiring_Plan_Months,0))</f>
        <v>312000</v>
      </c>
      <c r="BH28" s="25">
        <f t="array" ref="BH28">INDEX(Hiring_Plan_Salaries_Engineering,MATCH(BH$1,Hiring_Plan_Months,0))</f>
        <v>312000</v>
      </c>
      <c r="BI28" s="25">
        <f t="array" ref="BI28">INDEX(Hiring_Plan_Salaries_Engineering,MATCH(BI$1,Hiring_Plan_Months,0))</f>
        <v>325750</v>
      </c>
      <c r="BJ28" s="25">
        <f t="array" ref="BJ28">INDEX(Hiring_Plan_Salaries_Engineering,MATCH(BJ$1,Hiring_Plan_Months,0))</f>
        <v>325750</v>
      </c>
      <c r="BK28" s="25">
        <f t="array" ref="BK28">INDEX(Hiring_Plan_Salaries_Engineering,MATCH(BK$1,Hiring_Plan_Months,0))</f>
        <v>325750</v>
      </c>
      <c r="BL28" s="25">
        <f t="array" ref="BL28">INDEX(Hiring_Plan_Salaries_Engineering,MATCH(BL$1,Hiring_Plan_Months,0))</f>
        <v>339500</v>
      </c>
      <c r="BM28" s="25">
        <f t="array" ref="BM28">INDEX(Hiring_Plan_Salaries_Engineering,MATCH(BM$1,Hiring_Plan_Months,0))</f>
        <v>339500</v>
      </c>
      <c r="BN28" s="25">
        <f t="array" ref="BN28">INDEX(Hiring_Plan_Salaries_Engineering,MATCH(BN$1,Hiring_Plan_Months,0))</f>
        <v>339500</v>
      </c>
      <c r="BO28" s="25">
        <f t="array" ref="BO28">INDEX(Hiring_Plan_Salaries_Engineering,MATCH(BO$1,Hiring_Plan_Months,0))</f>
        <v>353250</v>
      </c>
      <c r="BP28" s="25">
        <f t="array" ref="BP28">INDEX(Hiring_Plan_Salaries_Engineering,MATCH(BP$1,Hiring_Plan_Months,0))</f>
        <v>353250</v>
      </c>
      <c r="BQ28" s="25">
        <f t="array" ref="BQ28">INDEX(Hiring_Plan_Salaries_Engineering,MATCH(BQ$1,Hiring_Plan_Months,0))</f>
        <v>353250</v>
      </c>
      <c r="BR28" s="25">
        <f t="array" ref="BR28">INDEX(Hiring_Plan_Salaries_Engineering,MATCH(BR$1,Hiring_Plan_Months,0))</f>
        <v>367000</v>
      </c>
      <c r="BS28" s="25">
        <f t="array" ref="BS28">INDEX(Hiring_Plan_Salaries_Engineering,MATCH(BS$1,Hiring_Plan_Months,0))</f>
        <v>367000</v>
      </c>
      <c r="BT28" s="25">
        <f t="array" ref="BT28">INDEX(Hiring_Plan_Salaries_Engineering,MATCH(BT$1,Hiring_Plan_Months,0))</f>
        <v>367000</v>
      </c>
      <c r="BU28" s="25">
        <f t="array" ref="BU28">INDEX(Hiring_Plan_Salaries_Engineering,MATCH(BU$1,Hiring_Plan_Months,0))</f>
        <v>367000</v>
      </c>
      <c r="BV28" s="25">
        <f t="array" ref="BV28">INDEX(Hiring_Plan_Salaries_Engineering,MATCH(BV$1,Hiring_Plan_Months,0))</f>
        <v>367000</v>
      </c>
      <c r="BW28" s="25">
        <f t="array" ref="BW28">INDEX(Hiring_Plan_Salaries_Engineering,MATCH(BW$1,Hiring_Plan_Months,0))</f>
        <v>367000</v>
      </c>
    </row>
    <row r="29" spans="1:75" ht="12.75" x14ac:dyDescent="0.2">
      <c r="A29" s="60" t="s">
        <v>285</v>
      </c>
      <c r="B29" s="238"/>
      <c r="C29" s="212"/>
      <c r="D29" s="226">
        <f t="shared" ref="D29:BW29" ca="1" si="9">SUM(D25:D28)</f>
        <v>182816</v>
      </c>
      <c r="E29" s="226">
        <f t="shared" ca="1" si="9"/>
        <v>192092</v>
      </c>
      <c r="F29" s="226">
        <f t="shared" ca="1" si="9"/>
        <v>204096</v>
      </c>
      <c r="G29" s="226">
        <f t="shared" ca="1" si="9"/>
        <v>204096</v>
      </c>
      <c r="H29" s="226">
        <f t="shared" ca="1" si="9"/>
        <v>204096</v>
      </c>
      <c r="I29" s="226">
        <f t="shared" ca="1" si="9"/>
        <v>216102</v>
      </c>
      <c r="J29" s="226">
        <f t="shared" ca="1" si="9"/>
        <v>216102</v>
      </c>
      <c r="K29" s="226">
        <f t="shared" ca="1" si="9"/>
        <v>216102</v>
      </c>
      <c r="L29" s="226">
        <f t="shared" ca="1" si="9"/>
        <v>221967</v>
      </c>
      <c r="M29" s="226">
        <f t="shared" ca="1" si="9"/>
        <v>221967</v>
      </c>
      <c r="N29" s="226">
        <f t="shared" ca="1" si="9"/>
        <v>221967</v>
      </c>
      <c r="O29" s="226">
        <f t="shared" ca="1" si="9"/>
        <v>233806</v>
      </c>
      <c r="P29" s="226">
        <f t="shared" ca="1" si="9"/>
        <v>233806</v>
      </c>
      <c r="Q29" s="226">
        <f t="shared" ca="1" si="9"/>
        <v>233806</v>
      </c>
      <c r="R29" s="226">
        <f t="shared" ca="1" si="9"/>
        <v>233806</v>
      </c>
      <c r="S29" s="226">
        <f t="shared" ca="1" si="9"/>
        <v>233806</v>
      </c>
      <c r="T29" s="226">
        <f t="shared" ca="1" si="9"/>
        <v>239594</v>
      </c>
      <c r="U29" s="226">
        <f t="shared" ca="1" si="9"/>
        <v>239594</v>
      </c>
      <c r="V29" s="226">
        <f t="shared" ca="1" si="9"/>
        <v>239594</v>
      </c>
      <c r="W29" s="226">
        <f t="shared" ca="1" si="9"/>
        <v>239594</v>
      </c>
      <c r="X29" s="226">
        <f t="shared" ca="1" si="9"/>
        <v>239594</v>
      </c>
      <c r="Y29" s="226">
        <f t="shared" ca="1" si="9"/>
        <v>248952</v>
      </c>
      <c r="Z29" s="226">
        <f t="shared" ca="1" si="9"/>
        <v>248952</v>
      </c>
      <c r="AA29" s="226">
        <f t="shared" ca="1" si="9"/>
        <v>248952</v>
      </c>
      <c r="AB29" s="226">
        <f t="shared" ca="1" si="9"/>
        <v>248952</v>
      </c>
      <c r="AC29" s="226">
        <f t="shared" ca="1" si="9"/>
        <v>248952</v>
      </c>
      <c r="AD29" s="226">
        <f t="shared" ca="1" si="9"/>
        <v>248952</v>
      </c>
      <c r="AE29" s="226">
        <f t="shared" ca="1" si="9"/>
        <v>248952</v>
      </c>
      <c r="AF29" s="226">
        <f t="shared" si="9"/>
        <v>229392.50000000003</v>
      </c>
      <c r="AG29" s="226">
        <f t="shared" si="9"/>
        <v>229392.50000000003</v>
      </c>
      <c r="AH29" s="226">
        <f t="shared" si="9"/>
        <v>229392.50000000003</v>
      </c>
      <c r="AI29" s="226">
        <f t="shared" si="9"/>
        <v>229392.50000000003</v>
      </c>
      <c r="AJ29" s="226">
        <f t="shared" si="9"/>
        <v>229392.50000000003</v>
      </c>
      <c r="AK29" s="226">
        <f t="shared" si="9"/>
        <v>247313.33333333337</v>
      </c>
      <c r="AL29" s="226">
        <f t="shared" si="9"/>
        <v>247313.33333333337</v>
      </c>
      <c r="AM29" s="226">
        <f t="shared" si="9"/>
        <v>247313.33333333337</v>
      </c>
      <c r="AN29" s="226">
        <f t="shared" si="9"/>
        <v>264292.5</v>
      </c>
      <c r="AO29" s="226">
        <f t="shared" si="9"/>
        <v>264292.5</v>
      </c>
      <c r="AP29" s="226">
        <f t="shared" si="9"/>
        <v>264292.5</v>
      </c>
      <c r="AQ29" s="226">
        <f t="shared" si="9"/>
        <v>281271.66666666669</v>
      </c>
      <c r="AR29" s="226">
        <f t="shared" si="9"/>
        <v>281271.66666666669</v>
      </c>
      <c r="AS29" s="226">
        <f t="shared" si="9"/>
        <v>281271.66666666669</v>
      </c>
      <c r="AT29" s="226">
        <f t="shared" si="9"/>
        <v>298910</v>
      </c>
      <c r="AU29" s="226">
        <f t="shared" si="9"/>
        <v>298910</v>
      </c>
      <c r="AV29" s="226">
        <f t="shared" si="9"/>
        <v>298910</v>
      </c>
      <c r="AW29" s="226">
        <f t="shared" si="9"/>
        <v>314947.5</v>
      </c>
      <c r="AX29" s="226">
        <f t="shared" si="9"/>
        <v>314947.5</v>
      </c>
      <c r="AY29" s="226">
        <f t="shared" si="9"/>
        <v>314947.5</v>
      </c>
      <c r="AZ29" s="226">
        <f t="shared" si="9"/>
        <v>330985</v>
      </c>
      <c r="BA29" s="226">
        <f t="shared" si="9"/>
        <v>330985</v>
      </c>
      <c r="BB29" s="226">
        <f t="shared" si="9"/>
        <v>330985</v>
      </c>
      <c r="BC29" s="226">
        <f t="shared" si="9"/>
        <v>347022.5</v>
      </c>
      <c r="BD29" s="226">
        <f t="shared" si="9"/>
        <v>347022.5</v>
      </c>
      <c r="BE29" s="226">
        <f t="shared" si="9"/>
        <v>347022.5</v>
      </c>
      <c r="BF29" s="226">
        <f t="shared" si="9"/>
        <v>363060</v>
      </c>
      <c r="BG29" s="226">
        <f t="shared" si="9"/>
        <v>363060</v>
      </c>
      <c r="BH29" s="226">
        <f t="shared" si="9"/>
        <v>363060</v>
      </c>
      <c r="BI29" s="226">
        <f t="shared" si="9"/>
        <v>379097.5</v>
      </c>
      <c r="BJ29" s="226">
        <f t="shared" si="9"/>
        <v>379097.5</v>
      </c>
      <c r="BK29" s="226">
        <f t="shared" si="9"/>
        <v>379097.5</v>
      </c>
      <c r="BL29" s="226">
        <f t="shared" si="9"/>
        <v>395135</v>
      </c>
      <c r="BM29" s="226">
        <f t="shared" si="9"/>
        <v>395135</v>
      </c>
      <c r="BN29" s="226">
        <f t="shared" si="9"/>
        <v>395135</v>
      </c>
      <c r="BO29" s="226">
        <f t="shared" si="9"/>
        <v>411172.5</v>
      </c>
      <c r="BP29" s="226">
        <f t="shared" si="9"/>
        <v>411172.5</v>
      </c>
      <c r="BQ29" s="226">
        <f t="shared" si="9"/>
        <v>411172.5</v>
      </c>
      <c r="BR29" s="226">
        <f t="shared" si="9"/>
        <v>427210</v>
      </c>
      <c r="BS29" s="226">
        <f t="shared" si="9"/>
        <v>427210</v>
      </c>
      <c r="BT29" s="226">
        <f t="shared" si="9"/>
        <v>427210</v>
      </c>
      <c r="BU29" s="226">
        <f t="shared" si="9"/>
        <v>427210</v>
      </c>
      <c r="BV29" s="226">
        <f t="shared" si="9"/>
        <v>427210</v>
      </c>
      <c r="BW29" s="226">
        <f t="shared" si="9"/>
        <v>427210</v>
      </c>
    </row>
    <row r="30" spans="1:75" ht="12.75" x14ac:dyDescent="0.2">
      <c r="A30" s="60" t="s">
        <v>286</v>
      </c>
      <c r="B30" s="238"/>
      <c r="C30" s="212"/>
      <c r="D30" s="226">
        <f t="shared" ref="D30:BW30" ca="1" si="10">SUM(D29,D24)</f>
        <v>203616</v>
      </c>
      <c r="E30" s="226">
        <f t="shared" ca="1" si="10"/>
        <v>213254</v>
      </c>
      <c r="F30" s="226">
        <f t="shared" ca="1" si="10"/>
        <v>228112</v>
      </c>
      <c r="G30" s="226">
        <f t="shared" ca="1" si="10"/>
        <v>228156</v>
      </c>
      <c r="H30" s="226">
        <f t="shared" ca="1" si="10"/>
        <v>227917</v>
      </c>
      <c r="I30" s="226">
        <f t="shared" ca="1" si="10"/>
        <v>239328</v>
      </c>
      <c r="J30" s="226">
        <f t="shared" ca="1" si="10"/>
        <v>240162</v>
      </c>
      <c r="K30" s="226">
        <f t="shared" ca="1" si="10"/>
        <v>242532</v>
      </c>
      <c r="L30" s="226">
        <f t="shared" ca="1" si="10"/>
        <v>245467</v>
      </c>
      <c r="M30" s="226">
        <f t="shared" ca="1" si="10"/>
        <v>249787</v>
      </c>
      <c r="N30" s="226">
        <f t="shared" ca="1" si="10"/>
        <v>251307</v>
      </c>
      <c r="O30" s="226">
        <f t="shared" ca="1" si="10"/>
        <v>261226</v>
      </c>
      <c r="P30" s="226">
        <f t="shared" ca="1" si="10"/>
        <v>260726</v>
      </c>
      <c r="Q30" s="226">
        <f t="shared" ca="1" si="10"/>
        <v>261699</v>
      </c>
      <c r="R30" s="226">
        <f t="shared" ca="1" si="10"/>
        <v>261699</v>
      </c>
      <c r="S30" s="226">
        <f t="shared" ca="1" si="10"/>
        <v>263687</v>
      </c>
      <c r="T30" s="226">
        <f t="shared" ca="1" si="10"/>
        <v>268487</v>
      </c>
      <c r="U30" s="226">
        <f t="shared" ca="1" si="10"/>
        <v>267252</v>
      </c>
      <c r="V30" s="226">
        <f t="shared" ca="1" si="10"/>
        <v>266881</v>
      </c>
      <c r="W30" s="226">
        <f t="shared" ca="1" si="10"/>
        <v>269416</v>
      </c>
      <c r="X30" s="226">
        <f t="shared" ca="1" si="10"/>
        <v>269416</v>
      </c>
      <c r="Y30" s="226">
        <f t="shared" ca="1" si="10"/>
        <v>278774</v>
      </c>
      <c r="Z30" s="226">
        <f t="shared" ca="1" si="10"/>
        <v>278774</v>
      </c>
      <c r="AA30" s="226">
        <f t="shared" ca="1" si="10"/>
        <v>278774</v>
      </c>
      <c r="AB30" s="226">
        <f t="shared" ca="1" si="10"/>
        <v>278774</v>
      </c>
      <c r="AC30" s="226">
        <f t="shared" ca="1" si="10"/>
        <v>284741</v>
      </c>
      <c r="AD30" s="226">
        <f t="shared" ca="1" si="10"/>
        <v>280952</v>
      </c>
      <c r="AE30" s="226">
        <f t="shared" ca="1" si="10"/>
        <v>278352</v>
      </c>
      <c r="AF30" s="226">
        <f t="shared" si="10"/>
        <v>229392.50000000003</v>
      </c>
      <c r="AG30" s="226">
        <f t="shared" si="10"/>
        <v>229392.50000000003</v>
      </c>
      <c r="AH30" s="226">
        <f t="shared" si="10"/>
        <v>229392.50000000003</v>
      </c>
      <c r="AI30" s="226">
        <f t="shared" si="10"/>
        <v>229392.50000000003</v>
      </c>
      <c r="AJ30" s="226">
        <f t="shared" si="10"/>
        <v>229392.50000000003</v>
      </c>
      <c r="AK30" s="226">
        <f t="shared" si="10"/>
        <v>247313.33333333337</v>
      </c>
      <c r="AL30" s="226">
        <f t="shared" si="10"/>
        <v>247313.33333333337</v>
      </c>
      <c r="AM30" s="226">
        <f t="shared" si="10"/>
        <v>247313.33333333337</v>
      </c>
      <c r="AN30" s="226">
        <f t="shared" si="10"/>
        <v>264292.5</v>
      </c>
      <c r="AO30" s="226">
        <f t="shared" si="10"/>
        <v>264292.5</v>
      </c>
      <c r="AP30" s="226">
        <f t="shared" si="10"/>
        <v>264292.5</v>
      </c>
      <c r="AQ30" s="226">
        <f t="shared" si="10"/>
        <v>281271.66666666669</v>
      </c>
      <c r="AR30" s="226">
        <f t="shared" si="10"/>
        <v>281271.66666666669</v>
      </c>
      <c r="AS30" s="226">
        <f t="shared" si="10"/>
        <v>281271.66666666669</v>
      </c>
      <c r="AT30" s="226">
        <f t="shared" si="10"/>
        <v>298910</v>
      </c>
      <c r="AU30" s="226">
        <f t="shared" si="10"/>
        <v>298910</v>
      </c>
      <c r="AV30" s="226">
        <f t="shared" si="10"/>
        <v>298910</v>
      </c>
      <c r="AW30" s="226">
        <f t="shared" si="10"/>
        <v>314947.5</v>
      </c>
      <c r="AX30" s="226">
        <f t="shared" si="10"/>
        <v>314947.5</v>
      </c>
      <c r="AY30" s="226">
        <f t="shared" si="10"/>
        <v>314947.5</v>
      </c>
      <c r="AZ30" s="226">
        <f t="shared" si="10"/>
        <v>330985</v>
      </c>
      <c r="BA30" s="226">
        <f t="shared" si="10"/>
        <v>330985</v>
      </c>
      <c r="BB30" s="226">
        <f t="shared" si="10"/>
        <v>330985</v>
      </c>
      <c r="BC30" s="226">
        <f t="shared" si="10"/>
        <v>347022.5</v>
      </c>
      <c r="BD30" s="226">
        <f t="shared" si="10"/>
        <v>347022.5</v>
      </c>
      <c r="BE30" s="226">
        <f t="shared" si="10"/>
        <v>347022.5</v>
      </c>
      <c r="BF30" s="226">
        <f t="shared" si="10"/>
        <v>363060</v>
      </c>
      <c r="BG30" s="226">
        <f t="shared" si="10"/>
        <v>363060</v>
      </c>
      <c r="BH30" s="226">
        <f t="shared" si="10"/>
        <v>363060</v>
      </c>
      <c r="BI30" s="226">
        <f t="shared" si="10"/>
        <v>379097.5</v>
      </c>
      <c r="BJ30" s="226">
        <f t="shared" si="10"/>
        <v>379097.5</v>
      </c>
      <c r="BK30" s="226">
        <f t="shared" si="10"/>
        <v>379097.5</v>
      </c>
      <c r="BL30" s="226">
        <f t="shared" si="10"/>
        <v>395135</v>
      </c>
      <c r="BM30" s="226">
        <f t="shared" si="10"/>
        <v>395135</v>
      </c>
      <c r="BN30" s="226">
        <f t="shared" si="10"/>
        <v>395135</v>
      </c>
      <c r="BO30" s="226">
        <f t="shared" si="10"/>
        <v>411172.5</v>
      </c>
      <c r="BP30" s="226">
        <f t="shared" si="10"/>
        <v>411172.5</v>
      </c>
      <c r="BQ30" s="226">
        <f t="shared" si="10"/>
        <v>411172.5</v>
      </c>
      <c r="BR30" s="226">
        <f t="shared" si="10"/>
        <v>427210</v>
      </c>
      <c r="BS30" s="226">
        <f t="shared" si="10"/>
        <v>427210</v>
      </c>
      <c r="BT30" s="226">
        <f t="shared" si="10"/>
        <v>427210</v>
      </c>
      <c r="BU30" s="226">
        <f t="shared" si="10"/>
        <v>427210</v>
      </c>
      <c r="BV30" s="226">
        <f t="shared" si="10"/>
        <v>427210</v>
      </c>
      <c r="BW30" s="226">
        <f t="shared" si="10"/>
        <v>427210</v>
      </c>
    </row>
    <row r="31" spans="1:75" ht="12.75" x14ac:dyDescent="0.2">
      <c r="A31" s="69" t="s">
        <v>244</v>
      </c>
      <c r="B31" s="221"/>
      <c r="D31" s="115">
        <f t="array" aca="1" ref="D31" ca="1">INDEX(INDIRECT("PnL_"&amp;TEXT(D$1,"mmm")&amp;"_"&amp;TEXT(D$1,"yyyy")),MATCH(TRIM($A30),PnL_Accounts,0))-D30</f>
        <v>0</v>
      </c>
      <c r="E31" s="115">
        <f t="array" aca="1" ref="E31" ca="1">INDEX(INDIRECT("PnL_"&amp;TEXT(E$1,"mmm")&amp;"_"&amp;TEXT(E$1,"yyyy")),MATCH(TRIM($A30),PnL_Accounts,0))-E30</f>
        <v>0</v>
      </c>
      <c r="F31" s="115">
        <f t="array" aca="1" ref="F31" ca="1">INDEX(INDIRECT("PnL_"&amp;TEXT(F$1,"mmm")&amp;"_"&amp;TEXT(F$1,"yyyy")),MATCH(TRIM($A30),PnL_Accounts,0))-F30</f>
        <v>0</v>
      </c>
      <c r="G31" s="115">
        <f t="array" aca="1" ref="G31" ca="1">INDEX(INDIRECT("PnL_"&amp;TEXT(G$1,"mmm")&amp;"_"&amp;TEXT(G$1,"yyyy")),MATCH(TRIM($A30),PnL_Accounts,0))-G30</f>
        <v>0</v>
      </c>
      <c r="H31" s="115">
        <f t="array" aca="1" ref="H31" ca="1">INDEX(INDIRECT("PnL_"&amp;TEXT(H$1,"mmm")&amp;"_"&amp;TEXT(H$1,"yyyy")),MATCH(TRIM($A30),PnL_Accounts,0))-H30</f>
        <v>0</v>
      </c>
      <c r="I31" s="115">
        <f t="array" aca="1" ref="I31" ca="1">INDEX(INDIRECT("PnL_"&amp;TEXT(I$1,"mmm")&amp;"_"&amp;TEXT(I$1,"yyyy")),MATCH(TRIM($A30),PnL_Accounts,0))-I30</f>
        <v>0</v>
      </c>
      <c r="J31" s="115">
        <f t="array" aca="1" ref="J31" ca="1">INDEX(INDIRECT("PnL_"&amp;TEXT(J$1,"mmm")&amp;"_"&amp;TEXT(J$1,"yyyy")),MATCH(TRIM($A30),PnL_Accounts,0))-J30</f>
        <v>0</v>
      </c>
      <c r="K31" s="115">
        <f t="array" aca="1" ref="K31" ca="1">INDEX(INDIRECT("PnL_"&amp;TEXT(K$1,"mmm")&amp;"_"&amp;TEXT(K$1,"yyyy")),MATCH(TRIM($A30),PnL_Accounts,0))-K30</f>
        <v>0</v>
      </c>
      <c r="L31" s="115">
        <f t="array" aca="1" ref="L31" ca="1">INDEX(INDIRECT("PnL_"&amp;TEXT(L$1,"mmm")&amp;"_"&amp;TEXT(L$1,"yyyy")),MATCH(TRIM($A30),PnL_Accounts,0))-L30</f>
        <v>0</v>
      </c>
      <c r="M31" s="115">
        <f t="array" aca="1" ref="M31" ca="1">INDEX(INDIRECT("PnL_"&amp;TEXT(M$1,"mmm")&amp;"_"&amp;TEXT(M$1,"yyyy")),MATCH(TRIM($A30),PnL_Accounts,0))-M30</f>
        <v>0</v>
      </c>
      <c r="N31" s="115">
        <f t="array" aca="1" ref="N31" ca="1">INDEX(INDIRECT("PnL_"&amp;TEXT(N$1,"mmm")&amp;"_"&amp;TEXT(N$1,"yyyy")),MATCH(TRIM($A30),PnL_Accounts,0))-N30</f>
        <v>0</v>
      </c>
      <c r="O31" s="115">
        <f t="array" aca="1" ref="O31" ca="1">INDEX(INDIRECT("PnL_"&amp;TEXT(O$1,"mmm")&amp;"_"&amp;TEXT(O$1,"yyyy")),MATCH(TRIM($A30),PnL_Accounts,0))-O30</f>
        <v>0</v>
      </c>
      <c r="P31" s="115">
        <f t="array" aca="1" ref="P31" ca="1">INDEX(INDIRECT("PnL_"&amp;TEXT(P$1,"mmm")&amp;"_"&amp;TEXT(P$1,"yyyy")),MATCH(TRIM($A30),PnL_Accounts,0))-P30</f>
        <v>0</v>
      </c>
      <c r="Q31" s="115">
        <f t="array" aca="1" ref="Q31" ca="1">INDEX(INDIRECT("PnL_"&amp;TEXT(Q$1,"mmm")&amp;"_"&amp;TEXT(Q$1,"yyyy")),MATCH(TRIM($A30),PnL_Accounts,0))-Q30</f>
        <v>0</v>
      </c>
      <c r="R31" s="115">
        <f t="array" aca="1" ref="R31" ca="1">INDEX(INDIRECT("PnL_"&amp;TEXT(R$1,"mmm")&amp;"_"&amp;TEXT(R$1,"yyyy")),MATCH(TRIM($A30),PnL_Accounts,0))-R30</f>
        <v>0</v>
      </c>
      <c r="S31" s="115">
        <f t="array" aca="1" ref="S31" ca="1">INDEX(INDIRECT("PnL_"&amp;TEXT(S$1,"mmm")&amp;"_"&amp;TEXT(S$1,"yyyy")),MATCH(TRIM($A30),PnL_Accounts,0))-S30</f>
        <v>0</v>
      </c>
      <c r="T31" s="115">
        <f t="array" aca="1" ref="T31" ca="1">INDEX(INDIRECT("PnL_"&amp;TEXT(T$1,"mmm")&amp;"_"&amp;TEXT(T$1,"yyyy")),MATCH(TRIM($A30),PnL_Accounts,0))-T30</f>
        <v>0</v>
      </c>
      <c r="U31" s="115">
        <f t="array" aca="1" ref="U31" ca="1">INDEX(INDIRECT("PnL_"&amp;TEXT(U$1,"mmm")&amp;"_"&amp;TEXT(U$1,"yyyy")),MATCH(TRIM($A30),PnL_Accounts,0))-U30</f>
        <v>0</v>
      </c>
      <c r="V31" s="115">
        <f t="array" aca="1" ref="V31" ca="1">INDEX(INDIRECT("PnL_"&amp;TEXT(V$1,"mmm")&amp;"_"&amp;TEXT(V$1,"yyyy")),MATCH(TRIM($A30),PnL_Accounts,0))-V30</f>
        <v>0</v>
      </c>
      <c r="W31" s="115">
        <f t="array" aca="1" ref="W31" ca="1">INDEX(INDIRECT("PnL_"&amp;TEXT(W$1,"mmm")&amp;"_"&amp;TEXT(W$1,"yyyy")),MATCH(TRIM($A30),PnL_Accounts,0))-W30</f>
        <v>0</v>
      </c>
      <c r="X31" s="115">
        <f t="array" aca="1" ref="X31" ca="1">INDEX(INDIRECT("PnL_"&amp;TEXT(X$1,"mmm")&amp;"_"&amp;TEXT(X$1,"yyyy")),MATCH(TRIM($A30),PnL_Accounts,0))-X30</f>
        <v>0</v>
      </c>
      <c r="Y31" s="115">
        <f t="array" aca="1" ref="Y31" ca="1">INDEX(INDIRECT("PnL_"&amp;TEXT(Y$1,"mmm")&amp;"_"&amp;TEXT(Y$1,"yyyy")),MATCH(TRIM($A30),PnL_Accounts,0))-Y30</f>
        <v>0</v>
      </c>
      <c r="Z31" s="115">
        <f t="array" aca="1" ref="Z31" ca="1">INDEX(INDIRECT("PnL_"&amp;TEXT(Z$1,"mmm")&amp;"_"&amp;TEXT(Z$1,"yyyy")),MATCH(TRIM($A30),PnL_Accounts,0))-Z30</f>
        <v>0</v>
      </c>
      <c r="AA31" s="115">
        <f t="array" aca="1" ref="AA31" ca="1">INDEX(INDIRECT("PnL_"&amp;TEXT(AA$1,"mmm")&amp;"_"&amp;TEXT(AA$1,"yyyy")),MATCH(TRIM($A30),PnL_Accounts,0))-AA30</f>
        <v>0</v>
      </c>
      <c r="AB31" s="115">
        <f t="array" aca="1" ref="AB31" ca="1">INDEX(INDIRECT("PnL_"&amp;TEXT(AB$1,"mmm")&amp;"_"&amp;TEXT(AB$1,"yyyy")),MATCH(TRIM($A30),PnL_Accounts,0))-AB30</f>
        <v>0</v>
      </c>
      <c r="AC31" s="115">
        <f t="array" aca="1" ref="AC31" ca="1">INDEX(INDIRECT("PnL_"&amp;TEXT(AC$1,"mmm")&amp;"_"&amp;TEXT(AC$1,"yyyy")),MATCH(TRIM($A30),PnL_Accounts,0))-AC30</f>
        <v>0</v>
      </c>
      <c r="AD31" s="115">
        <f t="array" aca="1" ref="AD31" ca="1">INDEX(INDIRECT("PnL_"&amp;TEXT(AD$1,"mmm")&amp;"_"&amp;TEXT(AD$1,"yyyy")),MATCH(TRIM($A30),PnL_Accounts,0))-AD30</f>
        <v>0</v>
      </c>
      <c r="AE31" s="115">
        <f t="array" aca="1" ref="AE31" ca="1">INDEX(INDIRECT("PnL_"&amp;TEXT(AE$1,"mmm")&amp;"_"&amp;TEXT(AE$1,"yyyy")),MATCH(TRIM($A30),PnL_Accounts,0))-AE30</f>
        <v>0</v>
      </c>
    </row>
    <row r="32" spans="1:75" ht="12.75" x14ac:dyDescent="0.2">
      <c r="A32" s="23" t="s">
        <v>21</v>
      </c>
      <c r="B32" s="221"/>
    </row>
    <row r="33" spans="1:75" ht="12.75" x14ac:dyDescent="0.2">
      <c r="A33" s="23" t="s">
        <v>287</v>
      </c>
      <c r="B33" s="224">
        <f ca="1">AVERAGEIFS(33:33,$1:$1,"&gt;="&amp;DATE(YEAR(Current_Month),MONTH(Current_Month)-2,DAY(Current_Month)),$1:$1,"&lt;="&amp;EOMONTH(Current_Month,0))</f>
        <v>119.66666666666667</v>
      </c>
      <c r="D33" s="115">
        <f t="array" aca="1" ref="D33" ca="1">INDEX(INDIRECT("PnL_"&amp;TEXT(D$1,"mmm")&amp;"_"&amp;TEXT(D$1,"yyyy")),MATCH(TRIM($A33),PnL_Accounts,0))</f>
        <v>0</v>
      </c>
      <c r="E33" s="115">
        <f t="array" aca="1" ref="E33" ca="1">INDEX(INDIRECT("PnL_"&amp;TEXT(E$1,"mmm")&amp;"_"&amp;TEXT(E$1,"yyyy")),MATCH(TRIM($A33),PnL_Accounts,0))</f>
        <v>0</v>
      </c>
      <c r="F33" s="115">
        <f t="array" aca="1" ref="F33" ca="1">INDEX(INDIRECT("PnL_"&amp;TEXT(F$1,"mmm")&amp;"_"&amp;TEXT(F$1,"yyyy")),MATCH(TRIM($A33),PnL_Accounts,0))</f>
        <v>0</v>
      </c>
      <c r="G33" s="115">
        <f t="array" aca="1" ref="G33" ca="1">INDEX(INDIRECT("PnL_"&amp;TEXT(G$1,"mmm")&amp;"_"&amp;TEXT(G$1,"yyyy")),MATCH(TRIM($A33),PnL_Accounts,0))</f>
        <v>0</v>
      </c>
      <c r="H33" s="115">
        <f t="array" aca="1" ref="H33" ca="1">INDEX(INDIRECT("PnL_"&amp;TEXT(H$1,"mmm")&amp;"_"&amp;TEXT(H$1,"yyyy")),MATCH(TRIM($A33),PnL_Accounts,0))</f>
        <v>0</v>
      </c>
      <c r="I33" s="115">
        <f t="array" aca="1" ref="I33" ca="1">INDEX(INDIRECT("PnL_"&amp;TEXT(I$1,"mmm")&amp;"_"&amp;TEXT(I$1,"yyyy")),MATCH(TRIM($A33),PnL_Accounts,0))</f>
        <v>0</v>
      </c>
      <c r="J33" s="115">
        <f t="array" aca="1" ref="J33" ca="1">INDEX(INDIRECT("PnL_"&amp;TEXT(J$1,"mmm")&amp;"_"&amp;TEXT(J$1,"yyyy")),MATCH(TRIM($A33),PnL_Accounts,0))</f>
        <v>0</v>
      </c>
      <c r="K33" s="115">
        <f t="array" aca="1" ref="K33" ca="1">INDEX(INDIRECT("PnL_"&amp;TEXT(K$1,"mmm")&amp;"_"&amp;TEXT(K$1,"yyyy")),MATCH(TRIM($A33),PnL_Accounts,0))</f>
        <v>0</v>
      </c>
      <c r="L33" s="115">
        <f t="array" aca="1" ref="L33" ca="1">INDEX(INDIRECT("PnL_"&amp;TEXT(L$1,"mmm")&amp;"_"&amp;TEXT(L$1,"yyyy")),MATCH(TRIM($A33),PnL_Accounts,0))</f>
        <v>0</v>
      </c>
      <c r="M33" s="115">
        <f t="array" aca="1" ref="M33" ca="1">INDEX(INDIRECT("PnL_"&amp;TEXT(M$1,"mmm")&amp;"_"&amp;TEXT(M$1,"yyyy")),MATCH(TRIM($A33),PnL_Accounts,0))</f>
        <v>0</v>
      </c>
      <c r="N33" s="115">
        <f t="array" aca="1" ref="N33" ca="1">INDEX(INDIRECT("PnL_"&amp;TEXT(N$1,"mmm")&amp;"_"&amp;TEXT(N$1,"yyyy")),MATCH(TRIM($A33),PnL_Accounts,0))</f>
        <v>0</v>
      </c>
      <c r="O33" s="115">
        <f t="array" aca="1" ref="O33" ca="1">INDEX(INDIRECT("PnL_"&amp;TEXT(O$1,"mmm")&amp;"_"&amp;TEXT(O$1,"yyyy")),MATCH(TRIM($A33),PnL_Accounts,0))</f>
        <v>0</v>
      </c>
      <c r="P33" s="115">
        <f t="array" aca="1" ref="P33" ca="1">INDEX(INDIRECT("PnL_"&amp;TEXT(P$1,"mmm")&amp;"_"&amp;TEXT(P$1,"yyyy")),MATCH(TRIM($A33),PnL_Accounts,0))</f>
        <v>0</v>
      </c>
      <c r="Q33" s="115">
        <f t="array" aca="1" ref="Q33" ca="1">INDEX(INDIRECT("PnL_"&amp;TEXT(Q$1,"mmm")&amp;"_"&amp;TEXT(Q$1,"yyyy")),MATCH(TRIM($A33),PnL_Accounts,0))</f>
        <v>0</v>
      </c>
      <c r="R33" s="115">
        <f t="array" aca="1" ref="R33" ca="1">INDEX(INDIRECT("PnL_"&amp;TEXT(R$1,"mmm")&amp;"_"&amp;TEXT(R$1,"yyyy")),MATCH(TRIM($A33),PnL_Accounts,0))</f>
        <v>0</v>
      </c>
      <c r="S33" s="115">
        <f t="array" aca="1" ref="S33" ca="1">INDEX(INDIRECT("PnL_"&amp;TEXT(S$1,"mmm")&amp;"_"&amp;TEXT(S$1,"yyyy")),MATCH(TRIM($A33),PnL_Accounts,0))</f>
        <v>0</v>
      </c>
      <c r="T33" s="115">
        <f t="array" aca="1" ref="T33" ca="1">INDEX(INDIRECT("PnL_"&amp;TEXT(T$1,"mmm")&amp;"_"&amp;TEXT(T$1,"yyyy")),MATCH(TRIM($A33),PnL_Accounts,0))</f>
        <v>0</v>
      </c>
      <c r="U33" s="115">
        <f t="array" aca="1" ref="U33" ca="1">INDEX(INDIRECT("PnL_"&amp;TEXT(U$1,"mmm")&amp;"_"&amp;TEXT(U$1,"yyyy")),MATCH(TRIM($A33),PnL_Accounts,0))</f>
        <v>0</v>
      </c>
      <c r="V33" s="115">
        <f t="array" aca="1" ref="V33" ca="1">INDEX(INDIRECT("PnL_"&amp;TEXT(V$1,"mmm")&amp;"_"&amp;TEXT(V$1,"yyyy")),MATCH(TRIM($A33),PnL_Accounts,0))</f>
        <v>154</v>
      </c>
      <c r="W33" s="115">
        <f t="array" aca="1" ref="W33" ca="1">INDEX(INDIRECT("PnL_"&amp;TEXT(W$1,"mmm")&amp;"_"&amp;TEXT(W$1,"yyyy")),MATCH(TRIM($A33),PnL_Accounts,0))</f>
        <v>143</v>
      </c>
      <c r="X33" s="115">
        <f t="array" aca="1" ref="X33" ca="1">INDEX(INDIRECT("PnL_"&amp;TEXT(X$1,"mmm")&amp;"_"&amp;TEXT(X$1,"yyyy")),MATCH(TRIM($A33),PnL_Accounts,0))</f>
        <v>195</v>
      </c>
      <c r="Y33" s="115">
        <f t="array" aca="1" ref="Y33" ca="1">INDEX(INDIRECT("PnL_"&amp;TEXT(Y$1,"mmm")&amp;"_"&amp;TEXT(Y$1,"yyyy")),MATCH(TRIM($A33),PnL_Accounts,0))</f>
        <v>123</v>
      </c>
      <c r="Z33" s="115">
        <f t="array" aca="1" ref="Z33" ca="1">INDEX(INDIRECT("PnL_"&amp;TEXT(Z$1,"mmm")&amp;"_"&amp;TEXT(Z$1,"yyyy")),MATCH(TRIM($A33),PnL_Accounts,0))</f>
        <v>164</v>
      </c>
      <c r="AA33" s="115">
        <f t="array" aca="1" ref="AA33" ca="1">INDEX(INDIRECT("PnL_"&amp;TEXT(AA$1,"mmm")&amp;"_"&amp;TEXT(AA$1,"yyyy")),MATCH(TRIM($A33),PnL_Accounts,0))</f>
        <v>153</v>
      </c>
      <c r="AB33" s="115">
        <f t="array" aca="1" ref="AB33" ca="1">INDEX(INDIRECT("PnL_"&amp;TEXT(AB$1,"mmm")&amp;"_"&amp;TEXT(AB$1,"yyyy")),MATCH(TRIM($A33),PnL_Accounts,0))</f>
        <v>149</v>
      </c>
      <c r="AC33" s="115">
        <f t="array" aca="1" ref="AC33" ca="1">INDEX(INDIRECT("PnL_"&amp;TEXT(AC$1,"mmm")&amp;"_"&amp;TEXT(AC$1,"yyyy")),MATCH(TRIM($A33),PnL_Accounts,0))</f>
        <v>124</v>
      </c>
      <c r="AD33" s="115">
        <f t="array" aca="1" ref="AD33" ca="1">INDEX(INDIRECT("PnL_"&amp;TEXT(AD$1,"mmm")&amp;"_"&amp;TEXT(AD$1,"yyyy")),MATCH(TRIM($A33),PnL_Accounts,0))</f>
        <v>124</v>
      </c>
      <c r="AE33" s="115">
        <f t="array" aca="1" ref="AE33" ca="1">INDEX(INDIRECT("PnL_"&amp;TEXT(AE$1,"mmm")&amp;"_"&amp;TEXT(AE$1,"yyyy")),MATCH(TRIM($A33),PnL_Accounts,0))</f>
        <v>111</v>
      </c>
      <c r="AF33" s="165">
        <f t="shared" ref="AF33:BW33" ca="1" si="11">$B33</f>
        <v>119.66666666666667</v>
      </c>
      <c r="AG33" s="165">
        <f t="shared" ca="1" si="11"/>
        <v>119.66666666666667</v>
      </c>
      <c r="AH33" s="165">
        <f t="shared" ca="1" si="11"/>
        <v>119.66666666666667</v>
      </c>
      <c r="AI33" s="165">
        <f t="shared" ca="1" si="11"/>
        <v>119.66666666666667</v>
      </c>
      <c r="AJ33" s="165">
        <f t="shared" ca="1" si="11"/>
        <v>119.66666666666667</v>
      </c>
      <c r="AK33" s="165">
        <f t="shared" ca="1" si="11"/>
        <v>119.66666666666667</v>
      </c>
      <c r="AL33" s="165">
        <f t="shared" ca="1" si="11"/>
        <v>119.66666666666667</v>
      </c>
      <c r="AM33" s="165">
        <f t="shared" ca="1" si="11"/>
        <v>119.66666666666667</v>
      </c>
      <c r="AN33" s="165">
        <f t="shared" ca="1" si="11"/>
        <v>119.66666666666667</v>
      </c>
      <c r="AO33" s="165">
        <f t="shared" ca="1" si="11"/>
        <v>119.66666666666667</v>
      </c>
      <c r="AP33" s="165">
        <f t="shared" ca="1" si="11"/>
        <v>119.66666666666667</v>
      </c>
      <c r="AQ33" s="165">
        <f t="shared" ca="1" si="11"/>
        <v>119.66666666666667</v>
      </c>
      <c r="AR33" s="165">
        <f t="shared" ca="1" si="11"/>
        <v>119.66666666666667</v>
      </c>
      <c r="AS33" s="165">
        <f t="shared" ca="1" si="11"/>
        <v>119.66666666666667</v>
      </c>
      <c r="AT33" s="165">
        <f t="shared" ca="1" si="11"/>
        <v>119.66666666666667</v>
      </c>
      <c r="AU33" s="165">
        <f t="shared" ca="1" si="11"/>
        <v>119.66666666666667</v>
      </c>
      <c r="AV33" s="165">
        <f t="shared" ca="1" si="11"/>
        <v>119.66666666666667</v>
      </c>
      <c r="AW33" s="165">
        <f t="shared" ca="1" si="11"/>
        <v>119.66666666666667</v>
      </c>
      <c r="AX33" s="165">
        <f t="shared" ca="1" si="11"/>
        <v>119.66666666666667</v>
      </c>
      <c r="AY33" s="165">
        <f t="shared" ca="1" si="11"/>
        <v>119.66666666666667</v>
      </c>
      <c r="AZ33" s="165">
        <f t="shared" ca="1" si="11"/>
        <v>119.66666666666667</v>
      </c>
      <c r="BA33" s="165">
        <f t="shared" ca="1" si="11"/>
        <v>119.66666666666667</v>
      </c>
      <c r="BB33" s="165">
        <f t="shared" ca="1" si="11"/>
        <v>119.66666666666667</v>
      </c>
      <c r="BC33" s="165">
        <f t="shared" ca="1" si="11"/>
        <v>119.66666666666667</v>
      </c>
      <c r="BD33" s="165">
        <f t="shared" ca="1" si="11"/>
        <v>119.66666666666667</v>
      </c>
      <c r="BE33" s="165">
        <f t="shared" ca="1" si="11"/>
        <v>119.66666666666667</v>
      </c>
      <c r="BF33" s="165">
        <f t="shared" ca="1" si="11"/>
        <v>119.66666666666667</v>
      </c>
      <c r="BG33" s="165">
        <f t="shared" ca="1" si="11"/>
        <v>119.66666666666667</v>
      </c>
      <c r="BH33" s="165">
        <f t="shared" ca="1" si="11"/>
        <v>119.66666666666667</v>
      </c>
      <c r="BI33" s="165">
        <f t="shared" ca="1" si="11"/>
        <v>119.66666666666667</v>
      </c>
      <c r="BJ33" s="165">
        <f t="shared" ca="1" si="11"/>
        <v>119.66666666666667</v>
      </c>
      <c r="BK33" s="165">
        <f t="shared" ca="1" si="11"/>
        <v>119.66666666666667</v>
      </c>
      <c r="BL33" s="165">
        <f t="shared" ca="1" si="11"/>
        <v>119.66666666666667</v>
      </c>
      <c r="BM33" s="165">
        <f t="shared" ca="1" si="11"/>
        <v>119.66666666666667</v>
      </c>
      <c r="BN33" s="165">
        <f t="shared" ca="1" si="11"/>
        <v>119.66666666666667</v>
      </c>
      <c r="BO33" s="165">
        <f t="shared" ca="1" si="11"/>
        <v>119.66666666666667</v>
      </c>
      <c r="BP33" s="165">
        <f t="shared" ca="1" si="11"/>
        <v>119.66666666666667</v>
      </c>
      <c r="BQ33" s="165">
        <f t="shared" ca="1" si="11"/>
        <v>119.66666666666667</v>
      </c>
      <c r="BR33" s="165">
        <f t="shared" ca="1" si="11"/>
        <v>119.66666666666667</v>
      </c>
      <c r="BS33" s="165">
        <f t="shared" ca="1" si="11"/>
        <v>119.66666666666667</v>
      </c>
      <c r="BT33" s="165">
        <f t="shared" ca="1" si="11"/>
        <v>119.66666666666667</v>
      </c>
      <c r="BU33" s="165">
        <f t="shared" ca="1" si="11"/>
        <v>119.66666666666667</v>
      </c>
      <c r="BV33" s="165">
        <f t="shared" ca="1" si="11"/>
        <v>119.66666666666667</v>
      </c>
      <c r="BW33" s="165">
        <f t="shared" ca="1" si="11"/>
        <v>119.66666666666667</v>
      </c>
    </row>
    <row r="34" spans="1:75" ht="12.75" x14ac:dyDescent="0.2">
      <c r="A34" s="23" t="s">
        <v>288</v>
      </c>
      <c r="B34" s="224">
        <f ca="1">AVERAGEIFS(34:34,$1:$1,"&gt;="&amp;DATE(YEAR(Current_Month),MONTH(Current_Month)-2,DAY(Current_Month)),$1:$1,"&lt;="&amp;EOMONTH(Current_Month,0))</f>
        <v>8689.3333333333339</v>
      </c>
      <c r="D34" s="115">
        <f t="array" aca="1" ref="D34" ca="1">INDEX(INDIRECT("PnL_"&amp;TEXT(D$1,"mmm")&amp;"_"&amp;TEXT(D$1,"yyyy")),MATCH(TRIM($A34),PnL_Accounts,0))</f>
        <v>770</v>
      </c>
      <c r="E34" s="115">
        <f t="array" aca="1" ref="E34" ca="1">INDEX(INDIRECT("PnL_"&amp;TEXT(E$1,"mmm")&amp;"_"&amp;TEXT(E$1,"yyyy")),MATCH(TRIM($A34),PnL_Accounts,0))</f>
        <v>947</v>
      </c>
      <c r="F34" s="115">
        <f t="array" aca="1" ref="F34" ca="1">INDEX(INDIRECT("PnL_"&amp;TEXT(F$1,"mmm")&amp;"_"&amp;TEXT(F$1,"yyyy")),MATCH(TRIM($A34),PnL_Accounts,0))</f>
        <v>574</v>
      </c>
      <c r="G34" s="115">
        <f t="array" aca="1" ref="G34" ca="1">INDEX(INDIRECT("PnL_"&amp;TEXT(G$1,"mmm")&amp;"_"&amp;TEXT(G$1,"yyyy")),MATCH(TRIM($A34),PnL_Accounts,0))</f>
        <v>761</v>
      </c>
      <c r="H34" s="115">
        <f t="array" aca="1" ref="H34" ca="1">INDEX(INDIRECT("PnL_"&amp;TEXT(H$1,"mmm")&amp;"_"&amp;TEXT(H$1,"yyyy")),MATCH(TRIM($A34),PnL_Accounts,0))</f>
        <v>823</v>
      </c>
      <c r="I34" s="115">
        <f t="array" aca="1" ref="I34" ca="1">INDEX(INDIRECT("PnL_"&amp;TEXT(I$1,"mmm")&amp;"_"&amp;TEXT(I$1,"yyyy")),MATCH(TRIM($A34),PnL_Accounts,0))</f>
        <v>712</v>
      </c>
      <c r="J34" s="115">
        <f t="array" aca="1" ref="J34" ca="1">INDEX(INDIRECT("PnL_"&amp;TEXT(J$1,"mmm")&amp;"_"&amp;TEXT(J$1,"yyyy")),MATCH(TRIM($A34),PnL_Accounts,0))</f>
        <v>788</v>
      </c>
      <c r="K34" s="115">
        <f t="array" aca="1" ref="K34" ca="1">INDEX(INDIRECT("PnL_"&amp;TEXT(K$1,"mmm")&amp;"_"&amp;TEXT(K$1,"yyyy")),MATCH(TRIM($A34),PnL_Accounts,0))</f>
        <v>830</v>
      </c>
      <c r="L34" s="115">
        <f t="array" aca="1" ref="L34" ca="1">INDEX(INDIRECT("PnL_"&amp;TEXT(L$1,"mmm")&amp;"_"&amp;TEXT(L$1,"yyyy")),MATCH(TRIM($A34),PnL_Accounts,0))</f>
        <v>893</v>
      </c>
      <c r="M34" s="115">
        <f t="array" aca="1" ref="M34" ca="1">INDEX(INDIRECT("PnL_"&amp;TEXT(M$1,"mmm")&amp;"_"&amp;TEXT(M$1,"yyyy")),MATCH(TRIM($A34),PnL_Accounts,0))</f>
        <v>840</v>
      </c>
      <c r="N34" s="115">
        <f t="array" aca="1" ref="N34" ca="1">INDEX(INDIRECT("PnL_"&amp;TEXT(N$1,"mmm")&amp;"_"&amp;TEXT(N$1,"yyyy")),MATCH(TRIM($A34),PnL_Accounts,0))</f>
        <v>815</v>
      </c>
      <c r="O34" s="115">
        <f t="array" aca="1" ref="O34" ca="1">INDEX(INDIRECT("PnL_"&amp;TEXT(O$1,"mmm")&amp;"_"&amp;TEXT(O$1,"yyyy")),MATCH(TRIM($A34),PnL_Accounts,0))</f>
        <v>924</v>
      </c>
      <c r="P34" s="115">
        <f t="array" aca="1" ref="P34" ca="1">INDEX(INDIRECT("PnL_"&amp;TEXT(P$1,"mmm")&amp;"_"&amp;TEXT(P$1,"yyyy")),MATCH(TRIM($A34),PnL_Accounts,0))</f>
        <v>871</v>
      </c>
      <c r="Q34" s="115">
        <f t="array" aca="1" ref="Q34" ca="1">INDEX(INDIRECT("PnL_"&amp;TEXT(Q$1,"mmm")&amp;"_"&amp;TEXT(Q$1,"yyyy")),MATCH(TRIM($A34),PnL_Accounts,0))</f>
        <v>445</v>
      </c>
      <c r="R34" s="115">
        <f t="array" aca="1" ref="R34" ca="1">INDEX(INDIRECT("PnL_"&amp;TEXT(R$1,"mmm")&amp;"_"&amp;TEXT(R$1,"yyyy")),MATCH(TRIM($A34),PnL_Accounts,0))</f>
        <v>755</v>
      </c>
      <c r="S34" s="115">
        <f t="array" aca="1" ref="S34" ca="1">INDEX(INDIRECT("PnL_"&amp;TEXT(S$1,"mmm")&amp;"_"&amp;TEXT(S$1,"yyyy")),MATCH(TRIM($A34),PnL_Accounts,0))</f>
        <v>730</v>
      </c>
      <c r="T34" s="115">
        <f t="array" aca="1" ref="T34" ca="1">INDEX(INDIRECT("PnL_"&amp;TEXT(T$1,"mmm")&amp;"_"&amp;TEXT(T$1,"yyyy")),MATCH(TRIM($A34),PnL_Accounts,0))</f>
        <v>655</v>
      </c>
      <c r="U34" s="115">
        <f t="array" aca="1" ref="U34" ca="1">INDEX(INDIRECT("PnL_"&amp;TEXT(U$1,"mmm")&amp;"_"&amp;TEXT(U$1,"yyyy")),MATCH(TRIM($A34),PnL_Accounts,0))</f>
        <v>680</v>
      </c>
      <c r="V34" s="115">
        <f t="array" aca="1" ref="V34" ca="1">INDEX(INDIRECT("PnL_"&amp;TEXT(V$1,"mmm")&amp;"_"&amp;TEXT(V$1,"yyyy")),MATCH(TRIM($A34),PnL_Accounts,0))</f>
        <v>709</v>
      </c>
      <c r="W34" s="115">
        <f t="array" aca="1" ref="W34" ca="1">INDEX(INDIRECT("PnL_"&amp;TEXT(W$1,"mmm")&amp;"_"&amp;TEXT(W$1,"yyyy")),MATCH(TRIM($A34),PnL_Accounts,0))</f>
        <v>731</v>
      </c>
      <c r="X34" s="115">
        <f t="array" aca="1" ref="X34" ca="1">INDEX(INDIRECT("PnL_"&amp;TEXT(X$1,"mmm")&amp;"_"&amp;TEXT(X$1,"yyyy")),MATCH(TRIM($A34),PnL_Accounts,0))</f>
        <v>755</v>
      </c>
      <c r="Y34" s="115">
        <f t="array" aca="1" ref="Y34" ca="1">INDEX(INDIRECT("PnL_"&amp;TEXT(Y$1,"mmm")&amp;"_"&amp;TEXT(Y$1,"yyyy")),MATCH(TRIM($A34),PnL_Accounts,0))</f>
        <v>756</v>
      </c>
      <c r="Z34" s="115">
        <f t="array" aca="1" ref="Z34" ca="1">INDEX(INDIRECT("PnL_"&amp;TEXT(Z$1,"mmm")&amp;"_"&amp;TEXT(Z$1,"yyyy")),MATCH(TRIM($A34),PnL_Accounts,0))</f>
        <v>842</v>
      </c>
      <c r="AA34" s="115">
        <f t="array" aca="1" ref="AA34" ca="1">INDEX(INDIRECT("PnL_"&amp;TEXT(AA$1,"mmm")&amp;"_"&amp;TEXT(AA$1,"yyyy")),MATCH(TRIM($A34),PnL_Accounts,0))</f>
        <v>764</v>
      </c>
      <c r="AB34" s="115">
        <f t="array" aca="1" ref="AB34" ca="1">INDEX(INDIRECT("PnL_"&amp;TEXT(AB$1,"mmm")&amp;"_"&amp;TEXT(AB$1,"yyyy")),MATCH(TRIM($A34),PnL_Accounts,0))</f>
        <v>877</v>
      </c>
      <c r="AC34" s="115">
        <f t="array" aca="1" ref="AC34" ca="1">INDEX(INDIRECT("PnL_"&amp;TEXT(AC$1,"mmm")&amp;"_"&amp;TEXT(AC$1,"yyyy")),MATCH(TRIM($A34),PnL_Accounts,0))</f>
        <v>9123</v>
      </c>
      <c r="AD34" s="115">
        <f t="array" aca="1" ref="AD34" ca="1">INDEX(INDIRECT("PnL_"&amp;TEXT(AD$1,"mmm")&amp;"_"&amp;TEXT(AD$1,"yyyy")),MATCH(TRIM($A34),PnL_Accounts,0))</f>
        <v>8700</v>
      </c>
      <c r="AE34" s="115">
        <f t="array" aca="1" ref="AE34" ca="1">INDEX(INDIRECT("PnL_"&amp;TEXT(AE$1,"mmm")&amp;"_"&amp;TEXT(AE$1,"yyyy")),MATCH(TRIM($A34),PnL_Accounts,0))</f>
        <v>8245</v>
      </c>
      <c r="AF34" s="165">
        <f t="shared" ref="AF34:BW34" ca="1" si="12">$B34</f>
        <v>8689.3333333333339</v>
      </c>
      <c r="AG34" s="165">
        <f t="shared" ca="1" si="12"/>
        <v>8689.3333333333339</v>
      </c>
      <c r="AH34" s="165">
        <f t="shared" ca="1" si="12"/>
        <v>8689.3333333333339</v>
      </c>
      <c r="AI34" s="165">
        <f t="shared" ca="1" si="12"/>
        <v>8689.3333333333339</v>
      </c>
      <c r="AJ34" s="165">
        <f t="shared" ca="1" si="12"/>
        <v>8689.3333333333339</v>
      </c>
      <c r="AK34" s="165">
        <f t="shared" ca="1" si="12"/>
        <v>8689.3333333333339</v>
      </c>
      <c r="AL34" s="165">
        <f t="shared" ca="1" si="12"/>
        <v>8689.3333333333339</v>
      </c>
      <c r="AM34" s="165">
        <f t="shared" ca="1" si="12"/>
        <v>8689.3333333333339</v>
      </c>
      <c r="AN34" s="165">
        <f t="shared" ca="1" si="12"/>
        <v>8689.3333333333339</v>
      </c>
      <c r="AO34" s="165">
        <f t="shared" ca="1" si="12"/>
        <v>8689.3333333333339</v>
      </c>
      <c r="AP34" s="165">
        <f t="shared" ca="1" si="12"/>
        <v>8689.3333333333339</v>
      </c>
      <c r="AQ34" s="165">
        <f t="shared" ca="1" si="12"/>
        <v>8689.3333333333339</v>
      </c>
      <c r="AR34" s="165">
        <f t="shared" ca="1" si="12"/>
        <v>8689.3333333333339</v>
      </c>
      <c r="AS34" s="165">
        <f t="shared" ca="1" si="12"/>
        <v>8689.3333333333339</v>
      </c>
      <c r="AT34" s="165">
        <f t="shared" ca="1" si="12"/>
        <v>8689.3333333333339</v>
      </c>
      <c r="AU34" s="165">
        <f t="shared" ca="1" si="12"/>
        <v>8689.3333333333339</v>
      </c>
      <c r="AV34" s="165">
        <f t="shared" ca="1" si="12"/>
        <v>8689.3333333333339</v>
      </c>
      <c r="AW34" s="165">
        <f t="shared" ca="1" si="12"/>
        <v>8689.3333333333339</v>
      </c>
      <c r="AX34" s="165">
        <f t="shared" ca="1" si="12"/>
        <v>8689.3333333333339</v>
      </c>
      <c r="AY34" s="165">
        <f t="shared" ca="1" si="12"/>
        <v>8689.3333333333339</v>
      </c>
      <c r="AZ34" s="165">
        <f t="shared" ca="1" si="12"/>
        <v>8689.3333333333339</v>
      </c>
      <c r="BA34" s="165">
        <f t="shared" ca="1" si="12"/>
        <v>8689.3333333333339</v>
      </c>
      <c r="BB34" s="165">
        <f t="shared" ca="1" si="12"/>
        <v>8689.3333333333339</v>
      </c>
      <c r="BC34" s="165">
        <f t="shared" ca="1" si="12"/>
        <v>8689.3333333333339</v>
      </c>
      <c r="BD34" s="165">
        <f t="shared" ca="1" si="12"/>
        <v>8689.3333333333339</v>
      </c>
      <c r="BE34" s="165">
        <f t="shared" ca="1" si="12"/>
        <v>8689.3333333333339</v>
      </c>
      <c r="BF34" s="165">
        <f t="shared" ca="1" si="12"/>
        <v>8689.3333333333339</v>
      </c>
      <c r="BG34" s="165">
        <f t="shared" ca="1" si="12"/>
        <v>8689.3333333333339</v>
      </c>
      <c r="BH34" s="165">
        <f t="shared" ca="1" si="12"/>
        <v>8689.3333333333339</v>
      </c>
      <c r="BI34" s="165">
        <f t="shared" ca="1" si="12"/>
        <v>8689.3333333333339</v>
      </c>
      <c r="BJ34" s="165">
        <f t="shared" ca="1" si="12"/>
        <v>8689.3333333333339</v>
      </c>
      <c r="BK34" s="165">
        <f t="shared" ca="1" si="12"/>
        <v>8689.3333333333339</v>
      </c>
      <c r="BL34" s="165">
        <f t="shared" ca="1" si="12"/>
        <v>8689.3333333333339</v>
      </c>
      <c r="BM34" s="165">
        <f t="shared" ca="1" si="12"/>
        <v>8689.3333333333339</v>
      </c>
      <c r="BN34" s="165">
        <f t="shared" ca="1" si="12"/>
        <v>8689.3333333333339</v>
      </c>
      <c r="BO34" s="165">
        <f t="shared" ca="1" si="12"/>
        <v>8689.3333333333339</v>
      </c>
      <c r="BP34" s="165">
        <f t="shared" ca="1" si="12"/>
        <v>8689.3333333333339</v>
      </c>
      <c r="BQ34" s="165">
        <f t="shared" ca="1" si="12"/>
        <v>8689.3333333333339</v>
      </c>
      <c r="BR34" s="165">
        <f t="shared" ca="1" si="12"/>
        <v>8689.3333333333339</v>
      </c>
      <c r="BS34" s="165">
        <f t="shared" ca="1" si="12"/>
        <v>8689.3333333333339</v>
      </c>
      <c r="BT34" s="165">
        <f t="shared" ca="1" si="12"/>
        <v>8689.3333333333339</v>
      </c>
      <c r="BU34" s="165">
        <f t="shared" ca="1" si="12"/>
        <v>8689.3333333333339</v>
      </c>
      <c r="BV34" s="165">
        <f t="shared" ca="1" si="12"/>
        <v>8689.3333333333339</v>
      </c>
      <c r="BW34" s="165">
        <f t="shared" ca="1" si="12"/>
        <v>8689.3333333333339</v>
      </c>
    </row>
    <row r="35" spans="1:75" ht="12.75" x14ac:dyDescent="0.2">
      <c r="A35" s="23" t="s">
        <v>289</v>
      </c>
      <c r="B35" s="224">
        <f ca="1">AVERAGEIFS(35:35,$1:$1,"&gt;="&amp;DATE(YEAR(Current_Month),MONTH(Current_Month)-2,DAY(Current_Month)),$1:$1,"&lt;="&amp;EOMONTH(Current_Month,0))</f>
        <v>3559.6666666666665</v>
      </c>
      <c r="D35" s="115">
        <f t="array" aca="1" ref="D35" ca="1">INDEX(INDIRECT("PnL_"&amp;TEXT(D$1,"mmm")&amp;"_"&amp;TEXT(D$1,"yyyy")),MATCH(TRIM($A35),PnL_Accounts,0))</f>
        <v>1774</v>
      </c>
      <c r="E35" s="115">
        <f t="array" aca="1" ref="E35" ca="1">INDEX(INDIRECT("PnL_"&amp;TEXT(E$1,"mmm")&amp;"_"&amp;TEXT(E$1,"yyyy")),MATCH(TRIM($A35),PnL_Accounts,0))</f>
        <v>1642</v>
      </c>
      <c r="F35" s="115">
        <f t="array" aca="1" ref="F35" ca="1">INDEX(INDIRECT("PnL_"&amp;TEXT(F$1,"mmm")&amp;"_"&amp;TEXT(F$1,"yyyy")),MATCH(TRIM($A35),PnL_Accounts,0))</f>
        <v>1544</v>
      </c>
      <c r="G35" s="115">
        <f t="array" aca="1" ref="G35" ca="1">INDEX(INDIRECT("PnL_"&amp;TEXT(G$1,"mmm")&amp;"_"&amp;TEXT(G$1,"yyyy")),MATCH(TRIM($A35),PnL_Accounts,0))</f>
        <v>1737</v>
      </c>
      <c r="H35" s="115">
        <f t="array" aca="1" ref="H35" ca="1">INDEX(INDIRECT("PnL_"&amp;TEXT(H$1,"mmm")&amp;"_"&amp;TEXT(H$1,"yyyy")),MATCH(TRIM($A35),PnL_Accounts,0))</f>
        <v>1912</v>
      </c>
      <c r="I35" s="115">
        <f t="array" aca="1" ref="I35" ca="1">INDEX(INDIRECT("PnL_"&amp;TEXT(I$1,"mmm")&amp;"_"&amp;TEXT(I$1,"yyyy")),MATCH(TRIM($A35),PnL_Accounts,0))</f>
        <v>1989</v>
      </c>
      <c r="J35" s="115">
        <f t="array" aca="1" ref="J35" ca="1">INDEX(INDIRECT("PnL_"&amp;TEXT(J$1,"mmm")&amp;"_"&amp;TEXT(J$1,"yyyy")),MATCH(TRIM($A35),PnL_Accounts,0))</f>
        <v>2153</v>
      </c>
      <c r="K35" s="115">
        <f t="array" aca="1" ref="K35" ca="1">INDEX(INDIRECT("PnL_"&amp;TEXT(K$1,"mmm")&amp;"_"&amp;TEXT(K$1,"yyyy")),MATCH(TRIM($A35),PnL_Accounts,0))</f>
        <v>1890</v>
      </c>
      <c r="L35" s="115">
        <f t="array" aca="1" ref="L35" ca="1">INDEX(INDIRECT("PnL_"&amp;TEXT(L$1,"mmm")&amp;"_"&amp;TEXT(L$1,"yyyy")),MATCH(TRIM($A35),PnL_Accounts,0))</f>
        <v>2040</v>
      </c>
      <c r="M35" s="115">
        <f t="array" aca="1" ref="M35" ca="1">INDEX(INDIRECT("PnL_"&amp;TEXT(M$1,"mmm")&amp;"_"&amp;TEXT(M$1,"yyyy")),MATCH(TRIM($A35),PnL_Accounts,0))</f>
        <v>2285</v>
      </c>
      <c r="N35" s="115">
        <f t="array" aca="1" ref="N35" ca="1">INDEX(INDIRECT("PnL_"&amp;TEXT(N$1,"mmm")&amp;"_"&amp;TEXT(N$1,"yyyy")),MATCH(TRIM($A35),PnL_Accounts,0))</f>
        <v>2327</v>
      </c>
      <c r="O35" s="115">
        <f t="array" aca="1" ref="O35" ca="1">INDEX(INDIRECT("PnL_"&amp;TEXT(O$1,"mmm")&amp;"_"&amp;TEXT(O$1,"yyyy")),MATCH(TRIM($A35),PnL_Accounts,0))</f>
        <v>2358</v>
      </c>
      <c r="P35" s="115">
        <f t="array" aca="1" ref="P35" ca="1">INDEX(INDIRECT("PnL_"&amp;TEXT(P$1,"mmm")&amp;"_"&amp;TEXT(P$1,"yyyy")),MATCH(TRIM($A35),PnL_Accounts,0))</f>
        <v>2288</v>
      </c>
      <c r="Q35" s="115">
        <f t="array" aca="1" ref="Q35" ca="1">INDEX(INDIRECT("PnL_"&amp;TEXT(Q$1,"mmm")&amp;"_"&amp;TEXT(Q$1,"yyyy")),MATCH(TRIM($A35),PnL_Accounts,0))</f>
        <v>3455</v>
      </c>
      <c r="R35" s="115">
        <f t="array" aca="1" ref="R35" ca="1">INDEX(INDIRECT("PnL_"&amp;TEXT(R$1,"mmm")&amp;"_"&amp;TEXT(R$1,"yyyy")),MATCH(TRIM($A35),PnL_Accounts,0))</f>
        <v>3571</v>
      </c>
      <c r="S35" s="115">
        <f t="array" aca="1" ref="S35" ca="1">INDEX(INDIRECT("PnL_"&amp;TEXT(S$1,"mmm")&amp;"_"&amp;TEXT(S$1,"yyyy")),MATCH(TRIM($A35),PnL_Accounts,0))</f>
        <v>3571</v>
      </c>
      <c r="T35" s="115">
        <f t="array" aca="1" ref="T35" ca="1">INDEX(INDIRECT("PnL_"&amp;TEXT(T$1,"mmm")&amp;"_"&amp;TEXT(T$1,"yyyy")),MATCH(TRIM($A35),PnL_Accounts,0))</f>
        <v>2910</v>
      </c>
      <c r="U35" s="115">
        <f t="array" aca="1" ref="U35" ca="1">INDEX(INDIRECT("PnL_"&amp;TEXT(U$1,"mmm")&amp;"_"&amp;TEXT(U$1,"yyyy")),MATCH(TRIM($A35),PnL_Accounts,0))</f>
        <v>3387</v>
      </c>
      <c r="V35" s="115">
        <f t="array" aca="1" ref="V35" ca="1">INDEX(INDIRECT("PnL_"&amp;TEXT(V$1,"mmm")&amp;"_"&amp;TEXT(V$1,"yyyy")),MATCH(TRIM($A35),PnL_Accounts,0))</f>
        <v>3266</v>
      </c>
      <c r="W35" s="115">
        <f t="array" aca="1" ref="W35" ca="1">INDEX(INDIRECT("PnL_"&amp;TEXT(W$1,"mmm")&amp;"_"&amp;TEXT(W$1,"yyyy")),MATCH(TRIM($A35),PnL_Accounts,0))</f>
        <v>3197</v>
      </c>
      <c r="X35" s="115">
        <f t="array" aca="1" ref="X35" ca="1">INDEX(INDIRECT("PnL_"&amp;TEXT(X$1,"mmm")&amp;"_"&amp;TEXT(X$1,"yyyy")),MATCH(TRIM($A35),PnL_Accounts,0))</f>
        <v>2907</v>
      </c>
      <c r="Y35" s="115">
        <f t="array" aca="1" ref="Y35" ca="1">INDEX(INDIRECT("PnL_"&amp;TEXT(Y$1,"mmm")&amp;"_"&amp;TEXT(Y$1,"yyyy")),MATCH(TRIM($A35),PnL_Accounts,0))</f>
        <v>2467</v>
      </c>
      <c r="Z35" s="115">
        <f t="array" aca="1" ref="Z35" ca="1">INDEX(INDIRECT("PnL_"&amp;TEXT(Z$1,"mmm")&amp;"_"&amp;TEXT(Z$1,"yyyy")),MATCH(TRIM($A35),PnL_Accounts,0))</f>
        <v>2463</v>
      </c>
      <c r="AA35" s="115">
        <f t="array" aca="1" ref="AA35" ca="1">INDEX(INDIRECT("PnL_"&amp;TEXT(AA$1,"mmm")&amp;"_"&amp;TEXT(AA$1,"yyyy")),MATCH(TRIM($A35),PnL_Accounts,0))</f>
        <v>3759</v>
      </c>
      <c r="AB35" s="115">
        <f t="array" aca="1" ref="AB35" ca="1">INDEX(INDIRECT("PnL_"&amp;TEXT(AB$1,"mmm")&amp;"_"&amp;TEXT(AB$1,"yyyy")),MATCH(TRIM($A35),PnL_Accounts,0))</f>
        <v>4212</v>
      </c>
      <c r="AC35" s="115">
        <f t="array" aca="1" ref="AC35" ca="1">INDEX(INDIRECT("PnL_"&amp;TEXT(AC$1,"mmm")&amp;"_"&amp;TEXT(AC$1,"yyyy")),MATCH(TRIM($A35),PnL_Accounts,0))</f>
        <v>3795</v>
      </c>
      <c r="AD35" s="115">
        <f t="array" aca="1" ref="AD35" ca="1">INDEX(INDIRECT("PnL_"&amp;TEXT(AD$1,"mmm")&amp;"_"&amp;TEXT(AD$1,"yyyy")),MATCH(TRIM($A35),PnL_Accounts,0))</f>
        <v>3674</v>
      </c>
      <c r="AE35" s="115">
        <f t="array" aca="1" ref="AE35" ca="1">INDEX(INDIRECT("PnL_"&amp;TEXT(AE$1,"mmm")&amp;"_"&amp;TEXT(AE$1,"yyyy")),MATCH(TRIM($A35),PnL_Accounts,0))</f>
        <v>3210</v>
      </c>
      <c r="AF35" s="165">
        <f t="shared" ref="AF35:BW35" ca="1" si="13">$B35</f>
        <v>3559.6666666666665</v>
      </c>
      <c r="AG35" s="165">
        <f t="shared" ca="1" si="13"/>
        <v>3559.6666666666665</v>
      </c>
      <c r="AH35" s="165">
        <f t="shared" ca="1" si="13"/>
        <v>3559.6666666666665</v>
      </c>
      <c r="AI35" s="165">
        <f t="shared" ca="1" si="13"/>
        <v>3559.6666666666665</v>
      </c>
      <c r="AJ35" s="165">
        <f t="shared" ca="1" si="13"/>
        <v>3559.6666666666665</v>
      </c>
      <c r="AK35" s="165">
        <f t="shared" ca="1" si="13"/>
        <v>3559.6666666666665</v>
      </c>
      <c r="AL35" s="165">
        <f t="shared" ca="1" si="13"/>
        <v>3559.6666666666665</v>
      </c>
      <c r="AM35" s="165">
        <f t="shared" ca="1" si="13"/>
        <v>3559.6666666666665</v>
      </c>
      <c r="AN35" s="165">
        <f t="shared" ca="1" si="13"/>
        <v>3559.6666666666665</v>
      </c>
      <c r="AO35" s="165">
        <f t="shared" ca="1" si="13"/>
        <v>3559.6666666666665</v>
      </c>
      <c r="AP35" s="165">
        <f t="shared" ca="1" si="13"/>
        <v>3559.6666666666665</v>
      </c>
      <c r="AQ35" s="165">
        <f t="shared" ca="1" si="13"/>
        <v>3559.6666666666665</v>
      </c>
      <c r="AR35" s="165">
        <f t="shared" ca="1" si="13"/>
        <v>3559.6666666666665</v>
      </c>
      <c r="AS35" s="165">
        <f t="shared" ca="1" si="13"/>
        <v>3559.6666666666665</v>
      </c>
      <c r="AT35" s="165">
        <f t="shared" ca="1" si="13"/>
        <v>3559.6666666666665</v>
      </c>
      <c r="AU35" s="165">
        <f t="shared" ca="1" si="13"/>
        <v>3559.6666666666665</v>
      </c>
      <c r="AV35" s="165">
        <f t="shared" ca="1" si="13"/>
        <v>3559.6666666666665</v>
      </c>
      <c r="AW35" s="165">
        <f t="shared" ca="1" si="13"/>
        <v>3559.6666666666665</v>
      </c>
      <c r="AX35" s="165">
        <f t="shared" ca="1" si="13"/>
        <v>3559.6666666666665</v>
      </c>
      <c r="AY35" s="165">
        <f t="shared" ca="1" si="13"/>
        <v>3559.6666666666665</v>
      </c>
      <c r="AZ35" s="165">
        <f t="shared" ca="1" si="13"/>
        <v>3559.6666666666665</v>
      </c>
      <c r="BA35" s="165">
        <f t="shared" ca="1" si="13"/>
        <v>3559.6666666666665</v>
      </c>
      <c r="BB35" s="165">
        <f t="shared" ca="1" si="13"/>
        <v>3559.6666666666665</v>
      </c>
      <c r="BC35" s="165">
        <f t="shared" ca="1" si="13"/>
        <v>3559.6666666666665</v>
      </c>
      <c r="BD35" s="165">
        <f t="shared" ca="1" si="13"/>
        <v>3559.6666666666665</v>
      </c>
      <c r="BE35" s="165">
        <f t="shared" ca="1" si="13"/>
        <v>3559.6666666666665</v>
      </c>
      <c r="BF35" s="165">
        <f t="shared" ca="1" si="13"/>
        <v>3559.6666666666665</v>
      </c>
      <c r="BG35" s="165">
        <f t="shared" ca="1" si="13"/>
        <v>3559.6666666666665</v>
      </c>
      <c r="BH35" s="165">
        <f t="shared" ca="1" si="13"/>
        <v>3559.6666666666665</v>
      </c>
      <c r="BI35" s="165">
        <f t="shared" ca="1" si="13"/>
        <v>3559.6666666666665</v>
      </c>
      <c r="BJ35" s="165">
        <f t="shared" ca="1" si="13"/>
        <v>3559.6666666666665</v>
      </c>
      <c r="BK35" s="165">
        <f t="shared" ca="1" si="13"/>
        <v>3559.6666666666665</v>
      </c>
      <c r="BL35" s="165">
        <f t="shared" ca="1" si="13"/>
        <v>3559.6666666666665</v>
      </c>
      <c r="BM35" s="165">
        <f t="shared" ca="1" si="13"/>
        <v>3559.6666666666665</v>
      </c>
      <c r="BN35" s="165">
        <f t="shared" ca="1" si="13"/>
        <v>3559.6666666666665</v>
      </c>
      <c r="BO35" s="165">
        <f t="shared" ca="1" si="13"/>
        <v>3559.6666666666665</v>
      </c>
      <c r="BP35" s="165">
        <f t="shared" ca="1" si="13"/>
        <v>3559.6666666666665</v>
      </c>
      <c r="BQ35" s="165">
        <f t="shared" ca="1" si="13"/>
        <v>3559.6666666666665</v>
      </c>
      <c r="BR35" s="165">
        <f t="shared" ca="1" si="13"/>
        <v>3559.6666666666665</v>
      </c>
      <c r="BS35" s="165">
        <f t="shared" ca="1" si="13"/>
        <v>3559.6666666666665</v>
      </c>
      <c r="BT35" s="165">
        <f t="shared" ca="1" si="13"/>
        <v>3559.6666666666665</v>
      </c>
      <c r="BU35" s="165">
        <f t="shared" ca="1" si="13"/>
        <v>3559.6666666666665</v>
      </c>
      <c r="BV35" s="165">
        <f t="shared" ca="1" si="13"/>
        <v>3559.6666666666665</v>
      </c>
      <c r="BW35" s="165">
        <f t="shared" ca="1" si="13"/>
        <v>3559.6666666666665</v>
      </c>
    </row>
    <row r="36" spans="1:75" ht="12.75" x14ac:dyDescent="0.2">
      <c r="A36" s="23" t="s">
        <v>290</v>
      </c>
      <c r="B36" s="224">
        <f ca="1">AVERAGEIFS(36:36,$1:$1,"&gt;="&amp;DATE(YEAR(Current_Month),MONTH(Current_Month)-2,DAY(Current_Month)),$1:$1,"&lt;="&amp;EOMONTH(Current_Month,0))</f>
        <v>800</v>
      </c>
      <c r="D36" s="115">
        <f t="array" aca="1" ref="D36" ca="1">INDEX(INDIRECT("PnL_"&amp;TEXT(D$1,"mmm")&amp;"_"&amp;TEXT(D$1,"yyyy")),MATCH(TRIM($A36),PnL_Accounts,0))</f>
        <v>663</v>
      </c>
      <c r="E36" s="115">
        <f t="array" aca="1" ref="E36" ca="1">INDEX(INDIRECT("PnL_"&amp;TEXT(E$1,"mmm")&amp;"_"&amp;TEXT(E$1,"yyyy")),MATCH(TRIM($A36),PnL_Accounts,0))</f>
        <v>663</v>
      </c>
      <c r="F36" s="115">
        <f t="array" aca="1" ref="F36" ca="1">INDEX(INDIRECT("PnL_"&amp;TEXT(F$1,"mmm")&amp;"_"&amp;TEXT(F$1,"yyyy")),MATCH(TRIM($A36),PnL_Accounts,0))</f>
        <v>663</v>
      </c>
      <c r="G36" s="115">
        <f t="array" aca="1" ref="G36" ca="1">INDEX(INDIRECT("PnL_"&amp;TEXT(G$1,"mmm")&amp;"_"&amp;TEXT(G$1,"yyyy")),MATCH(TRIM($A36),PnL_Accounts,0))</f>
        <v>663</v>
      </c>
      <c r="H36" s="115">
        <f t="array" aca="1" ref="H36" ca="1">INDEX(INDIRECT("PnL_"&amp;TEXT(H$1,"mmm")&amp;"_"&amp;TEXT(H$1,"yyyy")),MATCH(TRIM($A36),PnL_Accounts,0))</f>
        <v>663</v>
      </c>
      <c r="I36" s="115">
        <f t="array" aca="1" ref="I36" ca="1">INDEX(INDIRECT("PnL_"&amp;TEXT(I$1,"mmm")&amp;"_"&amp;TEXT(I$1,"yyyy")),MATCH(TRIM($A36),PnL_Accounts,0))</f>
        <v>663</v>
      </c>
      <c r="J36" s="115">
        <f t="array" aca="1" ref="J36" ca="1">INDEX(INDIRECT("PnL_"&amp;TEXT(J$1,"mmm")&amp;"_"&amp;TEXT(J$1,"yyyy")),MATCH(TRIM($A36),PnL_Accounts,0))</f>
        <v>663</v>
      </c>
      <c r="K36" s="115">
        <f t="array" aca="1" ref="K36" ca="1">INDEX(INDIRECT("PnL_"&amp;TEXT(K$1,"mmm")&amp;"_"&amp;TEXT(K$1,"yyyy")),MATCH(TRIM($A36),PnL_Accounts,0))</f>
        <v>700</v>
      </c>
      <c r="L36" s="115">
        <f t="array" aca="1" ref="L36" ca="1">INDEX(INDIRECT("PnL_"&amp;TEXT(L$1,"mmm")&amp;"_"&amp;TEXT(L$1,"yyyy")),MATCH(TRIM($A36),PnL_Accounts,0))</f>
        <v>700</v>
      </c>
      <c r="M36" s="115">
        <f t="array" aca="1" ref="M36" ca="1">INDEX(INDIRECT("PnL_"&amp;TEXT(M$1,"mmm")&amp;"_"&amp;TEXT(M$1,"yyyy")),MATCH(TRIM($A36),PnL_Accounts,0))</f>
        <v>700</v>
      </c>
      <c r="N36" s="115">
        <f t="array" aca="1" ref="N36" ca="1">INDEX(INDIRECT("PnL_"&amp;TEXT(N$1,"mmm")&amp;"_"&amp;TEXT(N$1,"yyyy")),MATCH(TRIM($A36),PnL_Accounts,0))</f>
        <v>700</v>
      </c>
      <c r="O36" s="115">
        <f t="array" aca="1" ref="O36" ca="1">INDEX(INDIRECT("PnL_"&amp;TEXT(O$1,"mmm")&amp;"_"&amp;TEXT(O$1,"yyyy")),MATCH(TRIM($A36),PnL_Accounts,0))</f>
        <v>700</v>
      </c>
      <c r="P36" s="115">
        <f t="array" aca="1" ref="P36" ca="1">INDEX(INDIRECT("PnL_"&amp;TEXT(P$1,"mmm")&amp;"_"&amp;TEXT(P$1,"yyyy")),MATCH(TRIM($A36),PnL_Accounts,0))</f>
        <v>750</v>
      </c>
      <c r="Q36" s="115">
        <f t="array" aca="1" ref="Q36" ca="1">INDEX(INDIRECT("PnL_"&amp;TEXT(Q$1,"mmm")&amp;"_"&amp;TEXT(Q$1,"yyyy")),MATCH(TRIM($A36),PnL_Accounts,0))</f>
        <v>750</v>
      </c>
      <c r="R36" s="115">
        <f t="array" aca="1" ref="R36" ca="1">INDEX(INDIRECT("PnL_"&amp;TEXT(R$1,"mmm")&amp;"_"&amp;TEXT(R$1,"yyyy")),MATCH(TRIM($A36),PnL_Accounts,0))</f>
        <v>750</v>
      </c>
      <c r="S36" s="115">
        <f t="array" aca="1" ref="S36" ca="1">INDEX(INDIRECT("PnL_"&amp;TEXT(S$1,"mmm")&amp;"_"&amp;TEXT(S$1,"yyyy")),MATCH(TRIM($A36),PnL_Accounts,0))</f>
        <v>750</v>
      </c>
      <c r="T36" s="115">
        <f t="array" aca="1" ref="T36" ca="1">INDEX(INDIRECT("PnL_"&amp;TEXT(T$1,"mmm")&amp;"_"&amp;TEXT(T$1,"yyyy")),MATCH(TRIM($A36),PnL_Accounts,0))</f>
        <v>750</v>
      </c>
      <c r="U36" s="115">
        <f t="array" aca="1" ref="U36" ca="1">INDEX(INDIRECT("PnL_"&amp;TEXT(U$1,"mmm")&amp;"_"&amp;TEXT(U$1,"yyyy")),MATCH(TRIM($A36),PnL_Accounts,0))</f>
        <v>750</v>
      </c>
      <c r="V36" s="115">
        <f t="array" aca="1" ref="V36" ca="1">INDEX(INDIRECT("PnL_"&amp;TEXT(V$1,"mmm")&amp;"_"&amp;TEXT(V$1,"yyyy")),MATCH(TRIM($A36),PnL_Accounts,0))</f>
        <v>750</v>
      </c>
      <c r="W36" s="115">
        <f t="array" aca="1" ref="W36" ca="1">INDEX(INDIRECT("PnL_"&amp;TEXT(W$1,"mmm")&amp;"_"&amp;TEXT(W$1,"yyyy")),MATCH(TRIM($A36),PnL_Accounts,0))</f>
        <v>800</v>
      </c>
      <c r="X36" s="115">
        <f t="array" aca="1" ref="X36" ca="1">INDEX(INDIRECT("PnL_"&amp;TEXT(X$1,"mmm")&amp;"_"&amp;TEXT(X$1,"yyyy")),MATCH(TRIM($A36),PnL_Accounts,0))</f>
        <v>800</v>
      </c>
      <c r="Y36" s="115">
        <f t="array" aca="1" ref="Y36" ca="1">INDEX(INDIRECT("PnL_"&amp;TEXT(Y$1,"mmm")&amp;"_"&amp;TEXT(Y$1,"yyyy")),MATCH(TRIM($A36),PnL_Accounts,0))</f>
        <v>800</v>
      </c>
      <c r="Z36" s="115">
        <f t="array" aca="1" ref="Z36" ca="1">INDEX(INDIRECT("PnL_"&amp;TEXT(Z$1,"mmm")&amp;"_"&amp;TEXT(Z$1,"yyyy")),MATCH(TRIM($A36),PnL_Accounts,0))</f>
        <v>800</v>
      </c>
      <c r="AA36" s="115">
        <f t="array" aca="1" ref="AA36" ca="1">INDEX(INDIRECT("PnL_"&amp;TEXT(AA$1,"mmm")&amp;"_"&amp;TEXT(AA$1,"yyyy")),MATCH(TRIM($A36),PnL_Accounts,0))</f>
        <v>800</v>
      </c>
      <c r="AB36" s="115">
        <f t="array" aca="1" ref="AB36" ca="1">INDEX(INDIRECT("PnL_"&amp;TEXT(AB$1,"mmm")&amp;"_"&amp;TEXT(AB$1,"yyyy")),MATCH(TRIM($A36),PnL_Accounts,0))</f>
        <v>800</v>
      </c>
      <c r="AC36" s="115">
        <f t="array" aca="1" ref="AC36" ca="1">INDEX(INDIRECT("PnL_"&amp;TEXT(AC$1,"mmm")&amp;"_"&amp;TEXT(AC$1,"yyyy")),MATCH(TRIM($A36),PnL_Accounts,0))</f>
        <v>800</v>
      </c>
      <c r="AD36" s="115">
        <f t="array" aca="1" ref="AD36" ca="1">INDEX(INDIRECT("PnL_"&amp;TEXT(AD$1,"mmm")&amp;"_"&amp;TEXT(AD$1,"yyyy")),MATCH(TRIM($A36),PnL_Accounts,0))</f>
        <v>800</v>
      </c>
      <c r="AE36" s="115">
        <f t="array" aca="1" ref="AE36" ca="1">INDEX(INDIRECT("PnL_"&amp;TEXT(AE$1,"mmm")&amp;"_"&amp;TEXT(AE$1,"yyyy")),MATCH(TRIM($A36),PnL_Accounts,0))</f>
        <v>800</v>
      </c>
      <c r="AF36" s="165">
        <f t="shared" ref="AF36:BW36" ca="1" si="14">$B36</f>
        <v>800</v>
      </c>
      <c r="AG36" s="165">
        <f t="shared" ca="1" si="14"/>
        <v>800</v>
      </c>
      <c r="AH36" s="165">
        <f t="shared" ca="1" si="14"/>
        <v>800</v>
      </c>
      <c r="AI36" s="165">
        <f t="shared" ca="1" si="14"/>
        <v>800</v>
      </c>
      <c r="AJ36" s="165">
        <f t="shared" ca="1" si="14"/>
        <v>800</v>
      </c>
      <c r="AK36" s="165">
        <f t="shared" ca="1" si="14"/>
        <v>800</v>
      </c>
      <c r="AL36" s="165">
        <f t="shared" ca="1" si="14"/>
        <v>800</v>
      </c>
      <c r="AM36" s="165">
        <f t="shared" ca="1" si="14"/>
        <v>800</v>
      </c>
      <c r="AN36" s="165">
        <f t="shared" ca="1" si="14"/>
        <v>800</v>
      </c>
      <c r="AO36" s="165">
        <f t="shared" ca="1" si="14"/>
        <v>800</v>
      </c>
      <c r="AP36" s="165">
        <f t="shared" ca="1" si="14"/>
        <v>800</v>
      </c>
      <c r="AQ36" s="165">
        <f t="shared" ca="1" si="14"/>
        <v>800</v>
      </c>
      <c r="AR36" s="165">
        <f t="shared" ca="1" si="14"/>
        <v>800</v>
      </c>
      <c r="AS36" s="165">
        <f t="shared" ca="1" si="14"/>
        <v>800</v>
      </c>
      <c r="AT36" s="165">
        <f t="shared" ca="1" si="14"/>
        <v>800</v>
      </c>
      <c r="AU36" s="165">
        <f t="shared" ca="1" si="14"/>
        <v>800</v>
      </c>
      <c r="AV36" s="165">
        <f t="shared" ca="1" si="14"/>
        <v>800</v>
      </c>
      <c r="AW36" s="165">
        <f t="shared" ca="1" si="14"/>
        <v>800</v>
      </c>
      <c r="AX36" s="165">
        <f t="shared" ca="1" si="14"/>
        <v>800</v>
      </c>
      <c r="AY36" s="165">
        <f t="shared" ca="1" si="14"/>
        <v>800</v>
      </c>
      <c r="AZ36" s="165">
        <f t="shared" ca="1" si="14"/>
        <v>800</v>
      </c>
      <c r="BA36" s="165">
        <f t="shared" ca="1" si="14"/>
        <v>800</v>
      </c>
      <c r="BB36" s="165">
        <f t="shared" ca="1" si="14"/>
        <v>800</v>
      </c>
      <c r="BC36" s="165">
        <f t="shared" ca="1" si="14"/>
        <v>800</v>
      </c>
      <c r="BD36" s="165">
        <f t="shared" ca="1" si="14"/>
        <v>800</v>
      </c>
      <c r="BE36" s="165">
        <f t="shared" ca="1" si="14"/>
        <v>800</v>
      </c>
      <c r="BF36" s="165">
        <f t="shared" ca="1" si="14"/>
        <v>800</v>
      </c>
      <c r="BG36" s="165">
        <f t="shared" ca="1" si="14"/>
        <v>800</v>
      </c>
      <c r="BH36" s="165">
        <f t="shared" ca="1" si="14"/>
        <v>800</v>
      </c>
      <c r="BI36" s="165">
        <f t="shared" ca="1" si="14"/>
        <v>800</v>
      </c>
      <c r="BJ36" s="165">
        <f t="shared" ca="1" si="14"/>
        <v>800</v>
      </c>
      <c r="BK36" s="165">
        <f t="shared" ca="1" si="14"/>
        <v>800</v>
      </c>
      <c r="BL36" s="165">
        <f t="shared" ca="1" si="14"/>
        <v>800</v>
      </c>
      <c r="BM36" s="165">
        <f t="shared" ca="1" si="14"/>
        <v>800</v>
      </c>
      <c r="BN36" s="165">
        <f t="shared" ca="1" si="14"/>
        <v>800</v>
      </c>
      <c r="BO36" s="165">
        <f t="shared" ca="1" si="14"/>
        <v>800</v>
      </c>
      <c r="BP36" s="165">
        <f t="shared" ca="1" si="14"/>
        <v>800</v>
      </c>
      <c r="BQ36" s="165">
        <f t="shared" ca="1" si="14"/>
        <v>800</v>
      </c>
      <c r="BR36" s="165">
        <f t="shared" ca="1" si="14"/>
        <v>800</v>
      </c>
      <c r="BS36" s="165">
        <f t="shared" ca="1" si="14"/>
        <v>800</v>
      </c>
      <c r="BT36" s="165">
        <f t="shared" ca="1" si="14"/>
        <v>800</v>
      </c>
      <c r="BU36" s="165">
        <f t="shared" ca="1" si="14"/>
        <v>800</v>
      </c>
      <c r="BV36" s="165">
        <f t="shared" ca="1" si="14"/>
        <v>800</v>
      </c>
      <c r="BW36" s="165">
        <f t="shared" ca="1" si="14"/>
        <v>800</v>
      </c>
    </row>
    <row r="37" spans="1:75" ht="12.75" x14ac:dyDescent="0.2">
      <c r="A37" s="23" t="s">
        <v>291</v>
      </c>
      <c r="B37" s="221"/>
      <c r="D37" s="115">
        <f t="array" aca="1" ref="D37" ca="1">INDEX(INDIRECT("PnL_"&amp;TEXT(D$1,"mmm")&amp;"_"&amp;TEXT(D$1,"yyyy")),MATCH(TRIM($A37),PnL_Accounts,0))</f>
        <v>0</v>
      </c>
      <c r="E37" s="115">
        <f t="array" aca="1" ref="E37" ca="1">INDEX(INDIRECT("PnL_"&amp;TEXT(E$1,"mmm")&amp;"_"&amp;TEXT(E$1,"yyyy")),MATCH(TRIM($A37),PnL_Accounts,0))</f>
        <v>0</v>
      </c>
      <c r="F37" s="115">
        <f t="array" aca="1" ref="F37" ca="1">INDEX(INDIRECT("PnL_"&amp;TEXT(F$1,"mmm")&amp;"_"&amp;TEXT(F$1,"yyyy")),MATCH(TRIM($A37),PnL_Accounts,0))</f>
        <v>0</v>
      </c>
      <c r="G37" s="115">
        <f t="array" aca="1" ref="G37" ca="1">INDEX(INDIRECT("PnL_"&amp;TEXT(G$1,"mmm")&amp;"_"&amp;TEXT(G$1,"yyyy")),MATCH(TRIM($A37),PnL_Accounts,0))</f>
        <v>0</v>
      </c>
      <c r="H37" s="115">
        <f t="array" aca="1" ref="H37" ca="1">INDEX(INDIRECT("PnL_"&amp;TEXT(H$1,"mmm")&amp;"_"&amp;TEXT(H$1,"yyyy")),MATCH(TRIM($A37),PnL_Accounts,0))</f>
        <v>0</v>
      </c>
      <c r="I37" s="115">
        <f t="array" aca="1" ref="I37" ca="1">INDEX(INDIRECT("PnL_"&amp;TEXT(I$1,"mmm")&amp;"_"&amp;TEXT(I$1,"yyyy")),MATCH(TRIM($A37),PnL_Accounts,0))</f>
        <v>0</v>
      </c>
      <c r="J37" s="115">
        <f t="array" aca="1" ref="J37" ca="1">INDEX(INDIRECT("PnL_"&amp;TEXT(J$1,"mmm")&amp;"_"&amp;TEXT(J$1,"yyyy")),MATCH(TRIM($A37),PnL_Accounts,0))</f>
        <v>0</v>
      </c>
      <c r="K37" s="115">
        <f t="array" aca="1" ref="K37" ca="1">INDEX(INDIRECT("PnL_"&amp;TEXT(K$1,"mmm")&amp;"_"&amp;TEXT(K$1,"yyyy")),MATCH(TRIM($A37),PnL_Accounts,0))</f>
        <v>0</v>
      </c>
      <c r="L37" s="115">
        <f t="array" aca="1" ref="L37" ca="1">INDEX(INDIRECT("PnL_"&amp;TEXT(L$1,"mmm")&amp;"_"&amp;TEXT(L$1,"yyyy")),MATCH(TRIM($A37),PnL_Accounts,0))</f>
        <v>0</v>
      </c>
      <c r="M37" s="115">
        <f t="array" aca="1" ref="M37" ca="1">INDEX(INDIRECT("PnL_"&amp;TEXT(M$1,"mmm")&amp;"_"&amp;TEXT(M$1,"yyyy")),MATCH(TRIM($A37),PnL_Accounts,0))</f>
        <v>0</v>
      </c>
      <c r="N37" s="115">
        <f t="array" aca="1" ref="N37" ca="1">INDEX(INDIRECT("PnL_"&amp;TEXT(N$1,"mmm")&amp;"_"&amp;TEXT(N$1,"yyyy")),MATCH(TRIM($A37),PnL_Accounts,0))</f>
        <v>0</v>
      </c>
      <c r="O37" s="115">
        <f t="array" aca="1" ref="O37" ca="1">INDEX(INDIRECT("PnL_"&amp;TEXT(O$1,"mmm")&amp;"_"&amp;TEXT(O$1,"yyyy")),MATCH(TRIM($A37),PnL_Accounts,0))</f>
        <v>0</v>
      </c>
      <c r="P37" s="115">
        <f t="array" aca="1" ref="P37" ca="1">INDEX(INDIRECT("PnL_"&amp;TEXT(P$1,"mmm")&amp;"_"&amp;TEXT(P$1,"yyyy")),MATCH(TRIM($A37),PnL_Accounts,0))</f>
        <v>0</v>
      </c>
      <c r="Q37" s="115">
        <f t="array" aca="1" ref="Q37" ca="1">INDEX(INDIRECT("PnL_"&amp;TEXT(Q$1,"mmm")&amp;"_"&amp;TEXT(Q$1,"yyyy")),MATCH(TRIM($A37),PnL_Accounts,0))</f>
        <v>0</v>
      </c>
      <c r="R37" s="115">
        <f t="array" aca="1" ref="R37" ca="1">INDEX(INDIRECT("PnL_"&amp;TEXT(R$1,"mmm")&amp;"_"&amp;TEXT(R$1,"yyyy")),MATCH(TRIM($A37),PnL_Accounts,0))</f>
        <v>0</v>
      </c>
      <c r="S37" s="115">
        <f t="array" aca="1" ref="S37" ca="1">INDEX(INDIRECT("PnL_"&amp;TEXT(S$1,"mmm")&amp;"_"&amp;TEXT(S$1,"yyyy")),MATCH(TRIM($A37),PnL_Accounts,0))</f>
        <v>0</v>
      </c>
      <c r="T37" s="115">
        <f t="array" aca="1" ref="T37" ca="1">INDEX(INDIRECT("PnL_"&amp;TEXT(T$1,"mmm")&amp;"_"&amp;TEXT(T$1,"yyyy")),MATCH(TRIM($A37),PnL_Accounts,0))</f>
        <v>0</v>
      </c>
      <c r="U37" s="115">
        <f t="array" aca="1" ref="U37" ca="1">INDEX(INDIRECT("PnL_"&amp;TEXT(U$1,"mmm")&amp;"_"&amp;TEXT(U$1,"yyyy")),MATCH(TRIM($A37),PnL_Accounts,0))</f>
        <v>0</v>
      </c>
      <c r="V37" s="115">
        <f t="array" aca="1" ref="V37" ca="1">INDEX(INDIRECT("PnL_"&amp;TEXT(V$1,"mmm")&amp;"_"&amp;TEXT(V$1,"yyyy")),MATCH(TRIM($A37),PnL_Accounts,0))</f>
        <v>0</v>
      </c>
      <c r="W37" s="115">
        <f t="array" aca="1" ref="W37" ca="1">INDEX(INDIRECT("PnL_"&amp;TEXT(W$1,"mmm")&amp;"_"&amp;TEXT(W$1,"yyyy")),MATCH(TRIM($A37),PnL_Accounts,0))</f>
        <v>0</v>
      </c>
      <c r="X37" s="115">
        <f t="array" aca="1" ref="X37" ca="1">INDEX(INDIRECT("PnL_"&amp;TEXT(X$1,"mmm")&amp;"_"&amp;TEXT(X$1,"yyyy")),MATCH(TRIM($A37),PnL_Accounts,0))</f>
        <v>0</v>
      </c>
      <c r="Y37" s="115">
        <f t="array" aca="1" ref="Y37" ca="1">INDEX(INDIRECT("PnL_"&amp;TEXT(Y$1,"mmm")&amp;"_"&amp;TEXT(Y$1,"yyyy")),MATCH(TRIM($A37),PnL_Accounts,0))</f>
        <v>0</v>
      </c>
      <c r="Z37" s="115">
        <f t="array" aca="1" ref="Z37" ca="1">INDEX(INDIRECT("PnL_"&amp;TEXT(Z$1,"mmm")&amp;"_"&amp;TEXT(Z$1,"yyyy")),MATCH(TRIM($A37),PnL_Accounts,0))</f>
        <v>0</v>
      </c>
      <c r="AA37" s="115">
        <f t="array" aca="1" ref="AA37" ca="1">INDEX(INDIRECT("PnL_"&amp;TEXT(AA$1,"mmm")&amp;"_"&amp;TEXT(AA$1,"yyyy")),MATCH(TRIM($A37),PnL_Accounts,0))</f>
        <v>0</v>
      </c>
      <c r="AB37" s="115">
        <f t="array" aca="1" ref="AB37" ca="1">INDEX(INDIRECT("PnL_"&amp;TEXT(AB$1,"mmm")&amp;"_"&amp;TEXT(AB$1,"yyyy")),MATCH(TRIM($A37),PnL_Accounts,0))</f>
        <v>0</v>
      </c>
      <c r="AC37" s="115">
        <f t="array" aca="1" ref="AC37" ca="1">INDEX(INDIRECT("PnL_"&amp;TEXT(AC$1,"mmm")&amp;"_"&amp;TEXT(AC$1,"yyyy")),MATCH(TRIM($A37),PnL_Accounts,0))</f>
        <v>0</v>
      </c>
      <c r="AD37" s="115">
        <f t="array" aca="1" ref="AD37" ca="1">INDEX(INDIRECT("PnL_"&amp;TEXT(AD$1,"mmm")&amp;"_"&amp;TEXT(AD$1,"yyyy")),MATCH(TRIM($A37),PnL_Accounts,0))</f>
        <v>0</v>
      </c>
      <c r="AE37" s="115">
        <f t="array" aca="1" ref="AE37" ca="1">INDEX(INDIRECT("PnL_"&amp;TEXT(AE$1,"mmm")&amp;"_"&amp;TEXT(AE$1,"yyyy")),MATCH(TRIM($A37),PnL_Accounts,0))</f>
        <v>0</v>
      </c>
    </row>
    <row r="38" spans="1:75" ht="12.75" x14ac:dyDescent="0.2">
      <c r="A38" s="23" t="s">
        <v>292</v>
      </c>
      <c r="B38" s="224">
        <f ca="1">AVERAGEIFS(38:38,$1:$1,"&gt;="&amp;DATE(YEAR(Current_Month),MONTH(Current_Month)-2,DAY(Current_Month)),$1:$1,"&lt;="&amp;EOMONTH(Current_Month,0))</f>
        <v>8133.333333333333</v>
      </c>
      <c r="D38" s="115">
        <f t="array" aca="1" ref="D38" ca="1">INDEX(INDIRECT("PnL_"&amp;TEXT(D$1,"mmm")&amp;"_"&amp;TEXT(D$1,"yyyy")),MATCH(TRIM($A38),PnL_Accounts,0))</f>
        <v>2250</v>
      </c>
      <c r="E38" s="115">
        <f t="array" aca="1" ref="E38" ca="1">INDEX(INDIRECT("PnL_"&amp;TEXT(E$1,"mmm")&amp;"_"&amp;TEXT(E$1,"yyyy")),MATCH(TRIM($A38),PnL_Accounts,0))</f>
        <v>2346</v>
      </c>
      <c r="F38" s="115">
        <f t="array" aca="1" ref="F38" ca="1">INDEX(INDIRECT("PnL_"&amp;TEXT(F$1,"mmm")&amp;"_"&amp;TEXT(F$1,"yyyy")),MATCH(TRIM($A38),PnL_Accounts,0))</f>
        <v>2806</v>
      </c>
      <c r="G38" s="115">
        <f t="array" aca="1" ref="G38" ca="1">INDEX(INDIRECT("PnL_"&amp;TEXT(G$1,"mmm")&amp;"_"&amp;TEXT(G$1,"yyyy")),MATCH(TRIM($A38),PnL_Accounts,0))</f>
        <v>3195</v>
      </c>
      <c r="H38" s="115">
        <f t="array" aca="1" ref="H38" ca="1">INDEX(INDIRECT("PnL_"&amp;TEXT(H$1,"mmm")&amp;"_"&amp;TEXT(H$1,"yyyy")),MATCH(TRIM($A38),PnL_Accounts,0))</f>
        <v>3233</v>
      </c>
      <c r="I38" s="115">
        <f t="array" aca="1" ref="I38" ca="1">INDEX(INDIRECT("PnL_"&amp;TEXT(I$1,"mmm")&amp;"_"&amp;TEXT(I$1,"yyyy")),MATCH(TRIM($A38),PnL_Accounts,0))</f>
        <v>3592</v>
      </c>
      <c r="J38" s="115">
        <f t="array" aca="1" ref="J38" ca="1">INDEX(INDIRECT("PnL_"&amp;TEXT(J$1,"mmm")&amp;"_"&amp;TEXT(J$1,"yyyy")),MATCH(TRIM($A38),PnL_Accounts,0))</f>
        <v>3621</v>
      </c>
      <c r="K38" s="115">
        <f t="array" aca="1" ref="K38" ca="1">INDEX(INDIRECT("PnL_"&amp;TEXT(K$1,"mmm")&amp;"_"&amp;TEXT(K$1,"yyyy")),MATCH(TRIM($A38),PnL_Accounts,0))</f>
        <v>3689</v>
      </c>
      <c r="L38" s="115">
        <f t="array" aca="1" ref="L38" ca="1">INDEX(INDIRECT("PnL_"&amp;TEXT(L$1,"mmm")&amp;"_"&amp;TEXT(L$1,"yyyy")),MATCH(TRIM($A38),PnL_Accounts,0))</f>
        <v>3772</v>
      </c>
      <c r="M38" s="115">
        <f t="array" aca="1" ref="M38" ca="1">INDEX(INDIRECT("PnL_"&amp;TEXT(M$1,"mmm")&amp;"_"&amp;TEXT(M$1,"yyyy")),MATCH(TRIM($A38),PnL_Accounts,0))</f>
        <v>4011</v>
      </c>
      <c r="N38" s="115">
        <f t="array" aca="1" ref="N38" ca="1">INDEX(INDIRECT("PnL_"&amp;TEXT(N$1,"mmm")&amp;"_"&amp;TEXT(N$1,"yyyy")),MATCH(TRIM($A38),PnL_Accounts,0))</f>
        <v>3922</v>
      </c>
      <c r="O38" s="115">
        <f t="array" aca="1" ref="O38" ca="1">INDEX(INDIRECT("PnL_"&amp;TEXT(O$1,"mmm")&amp;"_"&amp;TEXT(O$1,"yyyy")),MATCH(TRIM($A38),PnL_Accounts,0))</f>
        <v>4271</v>
      </c>
      <c r="P38" s="115">
        <f t="array" aca="1" ref="P38" ca="1">INDEX(INDIRECT("PnL_"&amp;TEXT(P$1,"mmm")&amp;"_"&amp;TEXT(P$1,"yyyy")),MATCH(TRIM($A38),PnL_Accounts,0))</f>
        <v>4129</v>
      </c>
      <c r="Q38" s="115">
        <f t="array" aca="1" ref="Q38" ca="1">INDEX(INDIRECT("PnL_"&amp;TEXT(Q$1,"mmm")&amp;"_"&amp;TEXT(Q$1,"yyyy")),MATCH(TRIM($A38),PnL_Accounts,0))</f>
        <v>4500</v>
      </c>
      <c r="R38" s="115">
        <f t="array" aca="1" ref="R38" ca="1">INDEX(INDIRECT("PnL_"&amp;TEXT(R$1,"mmm")&amp;"_"&amp;TEXT(R$1,"yyyy")),MATCH(TRIM($A38),PnL_Accounts,0))</f>
        <v>5667</v>
      </c>
      <c r="S38" s="115">
        <f t="array" aca="1" ref="S38" ca="1">INDEX(INDIRECT("PnL_"&amp;TEXT(S$1,"mmm")&amp;"_"&amp;TEXT(S$1,"yyyy")),MATCH(TRIM($A38),PnL_Accounts,0))</f>
        <v>5667</v>
      </c>
      <c r="T38" s="115">
        <f t="array" aca="1" ref="T38" ca="1">INDEX(INDIRECT("PnL_"&amp;TEXT(T$1,"mmm")&amp;"_"&amp;TEXT(T$1,"yyyy")),MATCH(TRIM($A38),PnL_Accounts,0))</f>
        <v>6500</v>
      </c>
      <c r="U38" s="115">
        <f t="array" aca="1" ref="U38" ca="1">INDEX(INDIRECT("PnL_"&amp;TEXT(U$1,"mmm")&amp;"_"&amp;TEXT(U$1,"yyyy")),MATCH(TRIM($A38),PnL_Accounts,0))</f>
        <v>6738</v>
      </c>
      <c r="V38" s="115">
        <f t="array" aca="1" ref="V38" ca="1">INDEX(INDIRECT("PnL_"&amp;TEXT(V$1,"mmm")&amp;"_"&amp;TEXT(V$1,"yyyy")),MATCH(TRIM($A38),PnL_Accounts,0))</f>
        <v>6481</v>
      </c>
      <c r="W38" s="115">
        <f t="array" aca="1" ref="W38" ca="1">INDEX(INDIRECT("PnL_"&amp;TEXT(W$1,"mmm")&amp;"_"&amp;TEXT(W$1,"yyyy")),MATCH(TRIM($A38),PnL_Accounts,0))</f>
        <v>6576</v>
      </c>
      <c r="X38" s="115">
        <f t="array" aca="1" ref="X38" ca="1">INDEX(INDIRECT("PnL_"&amp;TEXT(X$1,"mmm")&amp;"_"&amp;TEXT(X$1,"yyyy")),MATCH(TRIM($A38),PnL_Accounts,0))</f>
        <v>7577</v>
      </c>
      <c r="Y38" s="115">
        <f t="array" aca="1" ref="Y38" ca="1">INDEX(INDIRECT("PnL_"&amp;TEXT(Y$1,"mmm")&amp;"_"&amp;TEXT(Y$1,"yyyy")),MATCH(TRIM($A38),PnL_Accounts,0))</f>
        <v>6754</v>
      </c>
      <c r="Z38" s="115">
        <f t="array" aca="1" ref="Z38" ca="1">INDEX(INDIRECT("PnL_"&amp;TEXT(Z$1,"mmm")&amp;"_"&amp;TEXT(Z$1,"yyyy")),MATCH(TRIM($A38),PnL_Accounts,0))</f>
        <v>6978</v>
      </c>
      <c r="AA38" s="115">
        <f t="array" aca="1" ref="AA38" ca="1">INDEX(INDIRECT("PnL_"&amp;TEXT(AA$1,"mmm")&amp;"_"&amp;TEXT(AA$1,"yyyy")),MATCH(TRIM($A38),PnL_Accounts,0))</f>
        <v>7485</v>
      </c>
      <c r="AB38" s="115">
        <f t="array" aca="1" ref="AB38" ca="1">INDEX(INDIRECT("PnL_"&amp;TEXT(AB$1,"mmm")&amp;"_"&amp;TEXT(AB$1,"yyyy")),MATCH(TRIM($A38),PnL_Accounts,0))</f>
        <v>8400</v>
      </c>
      <c r="AC38" s="115">
        <f t="array" aca="1" ref="AC38" ca="1">INDEX(INDIRECT("PnL_"&amp;TEXT(AC$1,"mmm")&amp;"_"&amp;TEXT(AC$1,"yyyy")),MATCH(TRIM($A38),PnL_Accounts,0))</f>
        <v>8400</v>
      </c>
      <c r="AD38" s="115">
        <f t="array" aca="1" ref="AD38" ca="1">INDEX(INDIRECT("PnL_"&amp;TEXT(AD$1,"mmm")&amp;"_"&amp;TEXT(AD$1,"yyyy")),MATCH(TRIM($A38),PnL_Accounts,0))</f>
        <v>8400</v>
      </c>
      <c r="AE38" s="115">
        <f t="array" aca="1" ref="AE38" ca="1">INDEX(INDIRECT("PnL_"&amp;TEXT(AE$1,"mmm")&amp;"_"&amp;TEXT(AE$1,"yyyy")),MATCH(TRIM($A38),PnL_Accounts,0))</f>
        <v>7600</v>
      </c>
      <c r="AF38" s="165">
        <f t="shared" ref="AF38:BW38" ca="1" si="15">$B38</f>
        <v>8133.333333333333</v>
      </c>
      <c r="AG38" s="165">
        <f t="shared" ca="1" si="15"/>
        <v>8133.333333333333</v>
      </c>
      <c r="AH38" s="165">
        <f t="shared" ca="1" si="15"/>
        <v>8133.333333333333</v>
      </c>
      <c r="AI38" s="165">
        <f t="shared" ca="1" si="15"/>
        <v>8133.333333333333</v>
      </c>
      <c r="AJ38" s="165">
        <f t="shared" ca="1" si="15"/>
        <v>8133.333333333333</v>
      </c>
      <c r="AK38" s="165">
        <f t="shared" ca="1" si="15"/>
        <v>8133.333333333333</v>
      </c>
      <c r="AL38" s="165">
        <f t="shared" ca="1" si="15"/>
        <v>8133.333333333333</v>
      </c>
      <c r="AM38" s="165">
        <f t="shared" ca="1" si="15"/>
        <v>8133.333333333333</v>
      </c>
      <c r="AN38" s="165">
        <f t="shared" ca="1" si="15"/>
        <v>8133.333333333333</v>
      </c>
      <c r="AO38" s="165">
        <f t="shared" ca="1" si="15"/>
        <v>8133.333333333333</v>
      </c>
      <c r="AP38" s="165">
        <f t="shared" ca="1" si="15"/>
        <v>8133.333333333333</v>
      </c>
      <c r="AQ38" s="165">
        <f t="shared" ca="1" si="15"/>
        <v>8133.333333333333</v>
      </c>
      <c r="AR38" s="165">
        <f t="shared" ca="1" si="15"/>
        <v>8133.333333333333</v>
      </c>
      <c r="AS38" s="165">
        <f t="shared" ca="1" si="15"/>
        <v>8133.333333333333</v>
      </c>
      <c r="AT38" s="165">
        <f t="shared" ca="1" si="15"/>
        <v>8133.333333333333</v>
      </c>
      <c r="AU38" s="165">
        <f t="shared" ca="1" si="15"/>
        <v>8133.333333333333</v>
      </c>
      <c r="AV38" s="165">
        <f t="shared" ca="1" si="15"/>
        <v>8133.333333333333</v>
      </c>
      <c r="AW38" s="165">
        <f t="shared" ca="1" si="15"/>
        <v>8133.333333333333</v>
      </c>
      <c r="AX38" s="165">
        <f t="shared" ca="1" si="15"/>
        <v>8133.333333333333</v>
      </c>
      <c r="AY38" s="165">
        <f t="shared" ca="1" si="15"/>
        <v>8133.333333333333</v>
      </c>
      <c r="AZ38" s="165">
        <f t="shared" ca="1" si="15"/>
        <v>8133.333333333333</v>
      </c>
      <c r="BA38" s="165">
        <f t="shared" ca="1" si="15"/>
        <v>8133.333333333333</v>
      </c>
      <c r="BB38" s="165">
        <f t="shared" ca="1" si="15"/>
        <v>8133.333333333333</v>
      </c>
      <c r="BC38" s="165">
        <f t="shared" ca="1" si="15"/>
        <v>8133.333333333333</v>
      </c>
      <c r="BD38" s="165">
        <f t="shared" ca="1" si="15"/>
        <v>8133.333333333333</v>
      </c>
      <c r="BE38" s="165">
        <f t="shared" ca="1" si="15"/>
        <v>8133.333333333333</v>
      </c>
      <c r="BF38" s="165">
        <f t="shared" ca="1" si="15"/>
        <v>8133.333333333333</v>
      </c>
      <c r="BG38" s="165">
        <f t="shared" ca="1" si="15"/>
        <v>8133.333333333333</v>
      </c>
      <c r="BH38" s="165">
        <f t="shared" ca="1" si="15"/>
        <v>8133.333333333333</v>
      </c>
      <c r="BI38" s="165">
        <f t="shared" ca="1" si="15"/>
        <v>8133.333333333333</v>
      </c>
      <c r="BJ38" s="165">
        <f t="shared" ca="1" si="15"/>
        <v>8133.333333333333</v>
      </c>
      <c r="BK38" s="165">
        <f t="shared" ca="1" si="15"/>
        <v>8133.333333333333</v>
      </c>
      <c r="BL38" s="165">
        <f t="shared" ca="1" si="15"/>
        <v>8133.333333333333</v>
      </c>
      <c r="BM38" s="165">
        <f t="shared" ca="1" si="15"/>
        <v>8133.333333333333</v>
      </c>
      <c r="BN38" s="165">
        <f t="shared" ca="1" si="15"/>
        <v>8133.333333333333</v>
      </c>
      <c r="BO38" s="165">
        <f t="shared" ca="1" si="15"/>
        <v>8133.333333333333</v>
      </c>
      <c r="BP38" s="165">
        <f t="shared" ca="1" si="15"/>
        <v>8133.333333333333</v>
      </c>
      <c r="BQ38" s="165">
        <f t="shared" ca="1" si="15"/>
        <v>8133.333333333333</v>
      </c>
      <c r="BR38" s="165">
        <f t="shared" ca="1" si="15"/>
        <v>8133.333333333333</v>
      </c>
      <c r="BS38" s="165">
        <f t="shared" ca="1" si="15"/>
        <v>8133.333333333333</v>
      </c>
      <c r="BT38" s="165">
        <f t="shared" ca="1" si="15"/>
        <v>8133.333333333333</v>
      </c>
      <c r="BU38" s="165">
        <f t="shared" ca="1" si="15"/>
        <v>8133.333333333333</v>
      </c>
      <c r="BV38" s="165">
        <f t="shared" ca="1" si="15"/>
        <v>8133.333333333333</v>
      </c>
      <c r="BW38" s="165">
        <f t="shared" ca="1" si="15"/>
        <v>8133.333333333333</v>
      </c>
    </row>
    <row r="39" spans="1:75" ht="12.75" x14ac:dyDescent="0.2">
      <c r="A39" s="60" t="s">
        <v>293</v>
      </c>
      <c r="B39" s="238"/>
      <c r="C39" s="212"/>
      <c r="D39" s="226">
        <f t="shared" ref="D39:BW39" ca="1" si="16">SUM(D37:D38)</f>
        <v>2250</v>
      </c>
      <c r="E39" s="226">
        <f t="shared" ca="1" si="16"/>
        <v>2346</v>
      </c>
      <c r="F39" s="226">
        <f t="shared" ca="1" si="16"/>
        <v>2806</v>
      </c>
      <c r="G39" s="226">
        <f t="shared" ca="1" si="16"/>
        <v>3195</v>
      </c>
      <c r="H39" s="226">
        <f t="shared" ca="1" si="16"/>
        <v>3233</v>
      </c>
      <c r="I39" s="226">
        <f t="shared" ca="1" si="16"/>
        <v>3592</v>
      </c>
      <c r="J39" s="226">
        <f t="shared" ca="1" si="16"/>
        <v>3621</v>
      </c>
      <c r="K39" s="226">
        <f t="shared" ca="1" si="16"/>
        <v>3689</v>
      </c>
      <c r="L39" s="226">
        <f t="shared" ca="1" si="16"/>
        <v>3772</v>
      </c>
      <c r="M39" s="226">
        <f t="shared" ca="1" si="16"/>
        <v>4011</v>
      </c>
      <c r="N39" s="226">
        <f t="shared" ca="1" si="16"/>
        <v>3922</v>
      </c>
      <c r="O39" s="226">
        <f t="shared" ca="1" si="16"/>
        <v>4271</v>
      </c>
      <c r="P39" s="226">
        <f t="shared" ca="1" si="16"/>
        <v>4129</v>
      </c>
      <c r="Q39" s="226">
        <f t="shared" ca="1" si="16"/>
        <v>4500</v>
      </c>
      <c r="R39" s="226">
        <f t="shared" ca="1" si="16"/>
        <v>5667</v>
      </c>
      <c r="S39" s="226">
        <f t="shared" ca="1" si="16"/>
        <v>5667</v>
      </c>
      <c r="T39" s="226">
        <f t="shared" ca="1" si="16"/>
        <v>6500</v>
      </c>
      <c r="U39" s="226">
        <f t="shared" ca="1" si="16"/>
        <v>6738</v>
      </c>
      <c r="V39" s="226">
        <f t="shared" ca="1" si="16"/>
        <v>6481</v>
      </c>
      <c r="W39" s="226">
        <f t="shared" ca="1" si="16"/>
        <v>6576</v>
      </c>
      <c r="X39" s="226">
        <f t="shared" ca="1" si="16"/>
        <v>7577</v>
      </c>
      <c r="Y39" s="226">
        <f t="shared" ca="1" si="16"/>
        <v>6754</v>
      </c>
      <c r="Z39" s="226">
        <f t="shared" ca="1" si="16"/>
        <v>6978</v>
      </c>
      <c r="AA39" s="226">
        <f t="shared" ca="1" si="16"/>
        <v>7485</v>
      </c>
      <c r="AB39" s="226">
        <f t="shared" ca="1" si="16"/>
        <v>8400</v>
      </c>
      <c r="AC39" s="226">
        <f t="shared" ca="1" si="16"/>
        <v>8400</v>
      </c>
      <c r="AD39" s="226">
        <f t="shared" ca="1" si="16"/>
        <v>8400</v>
      </c>
      <c r="AE39" s="226">
        <f t="shared" ca="1" si="16"/>
        <v>7600</v>
      </c>
      <c r="AF39" s="226">
        <f t="shared" ca="1" si="16"/>
        <v>8133.333333333333</v>
      </c>
      <c r="AG39" s="226">
        <f t="shared" ca="1" si="16"/>
        <v>8133.333333333333</v>
      </c>
      <c r="AH39" s="226">
        <f t="shared" ca="1" si="16"/>
        <v>8133.333333333333</v>
      </c>
      <c r="AI39" s="226">
        <f t="shared" ca="1" si="16"/>
        <v>8133.333333333333</v>
      </c>
      <c r="AJ39" s="226">
        <f t="shared" ca="1" si="16"/>
        <v>8133.333333333333</v>
      </c>
      <c r="AK39" s="226">
        <f t="shared" ca="1" si="16"/>
        <v>8133.333333333333</v>
      </c>
      <c r="AL39" s="226">
        <f t="shared" ca="1" si="16"/>
        <v>8133.333333333333</v>
      </c>
      <c r="AM39" s="226">
        <f t="shared" ca="1" si="16"/>
        <v>8133.333333333333</v>
      </c>
      <c r="AN39" s="226">
        <f t="shared" ca="1" si="16"/>
        <v>8133.333333333333</v>
      </c>
      <c r="AO39" s="226">
        <f t="shared" ca="1" si="16"/>
        <v>8133.333333333333</v>
      </c>
      <c r="AP39" s="226">
        <f t="shared" ca="1" si="16"/>
        <v>8133.333333333333</v>
      </c>
      <c r="AQ39" s="226">
        <f t="shared" ca="1" si="16"/>
        <v>8133.333333333333</v>
      </c>
      <c r="AR39" s="226">
        <f t="shared" ca="1" si="16"/>
        <v>8133.333333333333</v>
      </c>
      <c r="AS39" s="226">
        <f t="shared" ca="1" si="16"/>
        <v>8133.333333333333</v>
      </c>
      <c r="AT39" s="226">
        <f t="shared" ca="1" si="16"/>
        <v>8133.333333333333</v>
      </c>
      <c r="AU39" s="226">
        <f t="shared" ca="1" si="16"/>
        <v>8133.333333333333</v>
      </c>
      <c r="AV39" s="226">
        <f t="shared" ca="1" si="16"/>
        <v>8133.333333333333</v>
      </c>
      <c r="AW39" s="226">
        <f t="shared" ca="1" si="16"/>
        <v>8133.333333333333</v>
      </c>
      <c r="AX39" s="226">
        <f t="shared" ca="1" si="16"/>
        <v>8133.333333333333</v>
      </c>
      <c r="AY39" s="226">
        <f t="shared" ca="1" si="16"/>
        <v>8133.333333333333</v>
      </c>
      <c r="AZ39" s="226">
        <f t="shared" ca="1" si="16"/>
        <v>8133.333333333333</v>
      </c>
      <c r="BA39" s="226">
        <f t="shared" ca="1" si="16"/>
        <v>8133.333333333333</v>
      </c>
      <c r="BB39" s="226">
        <f t="shared" ca="1" si="16"/>
        <v>8133.333333333333</v>
      </c>
      <c r="BC39" s="226">
        <f t="shared" ca="1" si="16"/>
        <v>8133.333333333333</v>
      </c>
      <c r="BD39" s="226">
        <f t="shared" ca="1" si="16"/>
        <v>8133.333333333333</v>
      </c>
      <c r="BE39" s="226">
        <f t="shared" ca="1" si="16"/>
        <v>8133.333333333333</v>
      </c>
      <c r="BF39" s="226">
        <f t="shared" ca="1" si="16"/>
        <v>8133.333333333333</v>
      </c>
      <c r="BG39" s="226">
        <f t="shared" ca="1" si="16"/>
        <v>8133.333333333333</v>
      </c>
      <c r="BH39" s="226">
        <f t="shared" ca="1" si="16"/>
        <v>8133.333333333333</v>
      </c>
      <c r="BI39" s="226">
        <f t="shared" ca="1" si="16"/>
        <v>8133.333333333333</v>
      </c>
      <c r="BJ39" s="226">
        <f t="shared" ca="1" si="16"/>
        <v>8133.333333333333</v>
      </c>
      <c r="BK39" s="226">
        <f t="shared" ca="1" si="16"/>
        <v>8133.333333333333</v>
      </c>
      <c r="BL39" s="226">
        <f t="shared" ca="1" si="16"/>
        <v>8133.333333333333</v>
      </c>
      <c r="BM39" s="226">
        <f t="shared" ca="1" si="16"/>
        <v>8133.333333333333</v>
      </c>
      <c r="BN39" s="226">
        <f t="shared" ca="1" si="16"/>
        <v>8133.333333333333</v>
      </c>
      <c r="BO39" s="226">
        <f t="shared" ca="1" si="16"/>
        <v>8133.333333333333</v>
      </c>
      <c r="BP39" s="226">
        <f t="shared" ca="1" si="16"/>
        <v>8133.333333333333</v>
      </c>
      <c r="BQ39" s="226">
        <f t="shared" ca="1" si="16"/>
        <v>8133.333333333333</v>
      </c>
      <c r="BR39" s="226">
        <f t="shared" ca="1" si="16"/>
        <v>8133.333333333333</v>
      </c>
      <c r="BS39" s="226">
        <f t="shared" ca="1" si="16"/>
        <v>8133.333333333333</v>
      </c>
      <c r="BT39" s="226">
        <f t="shared" ca="1" si="16"/>
        <v>8133.333333333333</v>
      </c>
      <c r="BU39" s="226">
        <f t="shared" ca="1" si="16"/>
        <v>8133.333333333333</v>
      </c>
      <c r="BV39" s="226">
        <f t="shared" ca="1" si="16"/>
        <v>8133.333333333333</v>
      </c>
      <c r="BW39" s="226">
        <f t="shared" ca="1" si="16"/>
        <v>8133.333333333333</v>
      </c>
    </row>
    <row r="40" spans="1:75" ht="12.75" x14ac:dyDescent="0.2">
      <c r="A40" s="23" t="s">
        <v>294</v>
      </c>
      <c r="B40" s="221"/>
      <c r="D40" s="115">
        <f t="array" aca="1" ref="D40" ca="1">INDEX(INDIRECT("PnL_"&amp;TEXT(D$1,"mmm")&amp;"_"&amp;TEXT(D$1,"yyyy")),MATCH(TRIM($A40),PnL_Accounts,0))</f>
        <v>0</v>
      </c>
      <c r="E40" s="115">
        <f t="array" aca="1" ref="E40" ca="1">INDEX(INDIRECT("PnL_"&amp;TEXT(E$1,"mmm")&amp;"_"&amp;TEXT(E$1,"yyyy")),MATCH(TRIM($A40),PnL_Accounts,0))</f>
        <v>0</v>
      </c>
      <c r="F40" s="115">
        <f t="array" aca="1" ref="F40" ca="1">INDEX(INDIRECT("PnL_"&amp;TEXT(F$1,"mmm")&amp;"_"&amp;TEXT(F$1,"yyyy")),MATCH(TRIM($A40),PnL_Accounts,0))</f>
        <v>0</v>
      </c>
      <c r="G40" s="115">
        <f t="array" aca="1" ref="G40" ca="1">INDEX(INDIRECT("PnL_"&amp;TEXT(G$1,"mmm")&amp;"_"&amp;TEXT(G$1,"yyyy")),MATCH(TRIM($A40),PnL_Accounts,0))</f>
        <v>0</v>
      </c>
      <c r="H40" s="115">
        <f t="array" aca="1" ref="H40" ca="1">INDEX(INDIRECT("PnL_"&amp;TEXT(H$1,"mmm")&amp;"_"&amp;TEXT(H$1,"yyyy")),MATCH(TRIM($A40),PnL_Accounts,0))</f>
        <v>0</v>
      </c>
      <c r="I40" s="115">
        <f t="array" aca="1" ref="I40" ca="1">INDEX(INDIRECT("PnL_"&amp;TEXT(I$1,"mmm")&amp;"_"&amp;TEXT(I$1,"yyyy")),MATCH(TRIM($A40),PnL_Accounts,0))</f>
        <v>0</v>
      </c>
      <c r="J40" s="115">
        <f t="array" aca="1" ref="J40" ca="1">INDEX(INDIRECT("PnL_"&amp;TEXT(J$1,"mmm")&amp;"_"&amp;TEXT(J$1,"yyyy")),MATCH(TRIM($A40),PnL_Accounts,0))</f>
        <v>0</v>
      </c>
      <c r="K40" s="115">
        <f t="array" aca="1" ref="K40" ca="1">INDEX(INDIRECT("PnL_"&amp;TEXT(K$1,"mmm")&amp;"_"&amp;TEXT(K$1,"yyyy")),MATCH(TRIM($A40),PnL_Accounts,0))</f>
        <v>0</v>
      </c>
      <c r="L40" s="115">
        <f t="array" aca="1" ref="L40" ca="1">INDEX(INDIRECT("PnL_"&amp;TEXT(L$1,"mmm")&amp;"_"&amp;TEXT(L$1,"yyyy")),MATCH(TRIM($A40),PnL_Accounts,0))</f>
        <v>0</v>
      </c>
      <c r="M40" s="115">
        <f t="array" aca="1" ref="M40" ca="1">INDEX(INDIRECT("PnL_"&amp;TEXT(M$1,"mmm")&amp;"_"&amp;TEXT(M$1,"yyyy")),MATCH(TRIM($A40),PnL_Accounts,0))</f>
        <v>0</v>
      </c>
      <c r="N40" s="115">
        <f t="array" aca="1" ref="N40" ca="1">INDEX(INDIRECT("PnL_"&amp;TEXT(N$1,"mmm")&amp;"_"&amp;TEXT(N$1,"yyyy")),MATCH(TRIM($A40),PnL_Accounts,0))</f>
        <v>0</v>
      </c>
      <c r="O40" s="115">
        <f t="array" aca="1" ref="O40" ca="1">INDEX(INDIRECT("PnL_"&amp;TEXT(O$1,"mmm")&amp;"_"&amp;TEXT(O$1,"yyyy")),MATCH(TRIM($A40),PnL_Accounts,0))</f>
        <v>0</v>
      </c>
      <c r="P40" s="115">
        <f t="array" aca="1" ref="P40" ca="1">INDEX(INDIRECT("PnL_"&amp;TEXT(P$1,"mmm")&amp;"_"&amp;TEXT(P$1,"yyyy")),MATCH(TRIM($A40),PnL_Accounts,0))</f>
        <v>0</v>
      </c>
      <c r="Q40" s="115">
        <f t="array" aca="1" ref="Q40" ca="1">INDEX(INDIRECT("PnL_"&amp;TEXT(Q$1,"mmm")&amp;"_"&amp;TEXT(Q$1,"yyyy")),MATCH(TRIM($A40),PnL_Accounts,0))</f>
        <v>0</v>
      </c>
      <c r="R40" s="115">
        <f t="array" aca="1" ref="R40" ca="1">INDEX(INDIRECT("PnL_"&amp;TEXT(R$1,"mmm")&amp;"_"&amp;TEXT(R$1,"yyyy")),MATCH(TRIM($A40),PnL_Accounts,0))</f>
        <v>0</v>
      </c>
      <c r="S40" s="115">
        <f t="array" aca="1" ref="S40" ca="1">INDEX(INDIRECT("PnL_"&amp;TEXT(S$1,"mmm")&amp;"_"&amp;TEXT(S$1,"yyyy")),MATCH(TRIM($A40),PnL_Accounts,0))</f>
        <v>0</v>
      </c>
      <c r="T40" s="115">
        <f t="array" aca="1" ref="T40" ca="1">INDEX(INDIRECT("PnL_"&amp;TEXT(T$1,"mmm")&amp;"_"&amp;TEXT(T$1,"yyyy")),MATCH(TRIM($A40),PnL_Accounts,0))</f>
        <v>0</v>
      </c>
      <c r="U40" s="115">
        <f t="array" aca="1" ref="U40" ca="1">INDEX(INDIRECT("PnL_"&amp;TEXT(U$1,"mmm")&amp;"_"&amp;TEXT(U$1,"yyyy")),MATCH(TRIM($A40),PnL_Accounts,0))</f>
        <v>0</v>
      </c>
      <c r="V40" s="115">
        <f t="array" aca="1" ref="V40" ca="1">INDEX(INDIRECT("PnL_"&amp;TEXT(V$1,"mmm")&amp;"_"&amp;TEXT(V$1,"yyyy")),MATCH(TRIM($A40),PnL_Accounts,0))</f>
        <v>0</v>
      </c>
      <c r="W40" s="115">
        <f t="array" aca="1" ref="W40" ca="1">INDEX(INDIRECT("PnL_"&amp;TEXT(W$1,"mmm")&amp;"_"&amp;TEXT(W$1,"yyyy")),MATCH(TRIM($A40),PnL_Accounts,0))</f>
        <v>0</v>
      </c>
      <c r="X40" s="115">
        <f t="array" aca="1" ref="X40" ca="1">INDEX(INDIRECT("PnL_"&amp;TEXT(X$1,"mmm")&amp;"_"&amp;TEXT(X$1,"yyyy")),MATCH(TRIM($A40),PnL_Accounts,0))</f>
        <v>0</v>
      </c>
      <c r="Y40" s="115">
        <f t="array" aca="1" ref="Y40" ca="1">INDEX(INDIRECT("PnL_"&amp;TEXT(Y$1,"mmm")&amp;"_"&amp;TEXT(Y$1,"yyyy")),MATCH(TRIM($A40),PnL_Accounts,0))</f>
        <v>0</v>
      </c>
      <c r="Z40" s="115">
        <f t="array" aca="1" ref="Z40" ca="1">INDEX(INDIRECT("PnL_"&amp;TEXT(Z$1,"mmm")&amp;"_"&amp;TEXT(Z$1,"yyyy")),MATCH(TRIM($A40),PnL_Accounts,0))</f>
        <v>0</v>
      </c>
      <c r="AA40" s="115">
        <f t="array" aca="1" ref="AA40" ca="1">INDEX(INDIRECT("PnL_"&amp;TEXT(AA$1,"mmm")&amp;"_"&amp;TEXT(AA$1,"yyyy")),MATCH(TRIM($A40),PnL_Accounts,0))</f>
        <v>0</v>
      </c>
      <c r="AB40" s="115">
        <f t="array" aca="1" ref="AB40" ca="1">INDEX(INDIRECT("PnL_"&amp;TEXT(AB$1,"mmm")&amp;"_"&amp;TEXT(AB$1,"yyyy")),MATCH(TRIM($A40),PnL_Accounts,0))</f>
        <v>0</v>
      </c>
      <c r="AC40" s="115">
        <f t="array" aca="1" ref="AC40" ca="1">INDEX(INDIRECT("PnL_"&amp;TEXT(AC$1,"mmm")&amp;"_"&amp;TEXT(AC$1,"yyyy")),MATCH(TRIM($A40),PnL_Accounts,0))</f>
        <v>0</v>
      </c>
      <c r="AD40" s="115">
        <f t="array" aca="1" ref="AD40" ca="1">INDEX(INDIRECT("PnL_"&amp;TEXT(AD$1,"mmm")&amp;"_"&amp;TEXT(AD$1,"yyyy")),MATCH(TRIM($A40),PnL_Accounts,0))</f>
        <v>0</v>
      </c>
      <c r="AE40" s="115">
        <f t="array" aca="1" ref="AE40" ca="1">INDEX(INDIRECT("PnL_"&amp;TEXT(AE$1,"mmm")&amp;"_"&amp;TEXT(AE$1,"yyyy")),MATCH(TRIM($A40),PnL_Accounts,0))</f>
        <v>0</v>
      </c>
    </row>
    <row r="41" spans="1:75" ht="12.75" x14ac:dyDescent="0.2">
      <c r="A41" s="23" t="s">
        <v>295</v>
      </c>
      <c r="B41" s="224">
        <f ca="1">AVERAGEIFS(41:41,$1:$1,"&gt;="&amp;DATE(YEAR(Current_Month),MONTH(Current_Month)-2,DAY(Current_Month)),$1:$1,"&lt;="&amp;EOMONTH(Current_Month,0))</f>
        <v>4066</v>
      </c>
      <c r="D41" s="115">
        <f t="array" aca="1" ref="D41" ca="1">INDEX(INDIRECT("PnL_"&amp;TEXT(D$1,"mmm")&amp;"_"&amp;TEXT(D$1,"yyyy")),MATCH(TRIM($A41),PnL_Accounts,0))</f>
        <v>5751</v>
      </c>
      <c r="E41" s="115">
        <f t="array" aca="1" ref="E41" ca="1">INDEX(INDIRECT("PnL_"&amp;TEXT(E$1,"mmm")&amp;"_"&amp;TEXT(E$1,"yyyy")),MATCH(TRIM($A41),PnL_Accounts,0))</f>
        <v>6018</v>
      </c>
      <c r="F41" s="115">
        <f t="array" aca="1" ref="F41" ca="1">INDEX(INDIRECT("PnL_"&amp;TEXT(F$1,"mmm")&amp;"_"&amp;TEXT(F$1,"yyyy")),MATCH(TRIM($A41),PnL_Accounts,0))</f>
        <v>6036</v>
      </c>
      <c r="G41" s="115">
        <f t="array" aca="1" ref="G41" ca="1">INDEX(INDIRECT("PnL_"&amp;TEXT(G$1,"mmm")&amp;"_"&amp;TEXT(G$1,"yyyy")),MATCH(TRIM($A41),PnL_Accounts,0))</f>
        <v>5888</v>
      </c>
      <c r="H41" s="115">
        <f t="array" aca="1" ref="H41" ca="1">INDEX(INDIRECT("PnL_"&amp;TEXT(H$1,"mmm")&amp;"_"&amp;TEXT(H$1,"yyyy")),MATCH(TRIM($A41),PnL_Accounts,0))</f>
        <v>6181</v>
      </c>
      <c r="I41" s="115">
        <f t="array" aca="1" ref="I41" ca="1">INDEX(INDIRECT("PnL_"&amp;TEXT(I$1,"mmm")&amp;"_"&amp;TEXT(I$1,"yyyy")),MATCH(TRIM($A41),PnL_Accounts,0))</f>
        <v>6414</v>
      </c>
      <c r="J41" s="115">
        <f t="array" aca="1" ref="J41" ca="1">INDEX(INDIRECT("PnL_"&amp;TEXT(J$1,"mmm")&amp;"_"&amp;TEXT(J$1,"yyyy")),MATCH(TRIM($A41),PnL_Accounts,0))</f>
        <v>6719</v>
      </c>
      <c r="K41" s="115">
        <f t="array" aca="1" ref="K41" ca="1">INDEX(INDIRECT("PnL_"&amp;TEXT(K$1,"mmm")&amp;"_"&amp;TEXT(K$1,"yyyy")),MATCH(TRIM($A41),PnL_Accounts,0))</f>
        <v>6191</v>
      </c>
      <c r="L41" s="115">
        <f t="array" aca="1" ref="L41" ca="1">INDEX(INDIRECT("PnL_"&amp;TEXT(L$1,"mmm")&amp;"_"&amp;TEXT(L$1,"yyyy")),MATCH(TRIM($A41),PnL_Accounts,0))</f>
        <v>6563</v>
      </c>
      <c r="M41" s="115">
        <f t="array" aca="1" ref="M41" ca="1">INDEX(INDIRECT("PnL_"&amp;TEXT(M$1,"mmm")&amp;"_"&amp;TEXT(M$1,"yyyy")),MATCH(TRIM($A41),PnL_Accounts,0))</f>
        <v>6897</v>
      </c>
      <c r="N41" s="115">
        <f t="array" aca="1" ref="N41" ca="1">INDEX(INDIRECT("PnL_"&amp;TEXT(N$1,"mmm")&amp;"_"&amp;TEXT(N$1,"yyyy")),MATCH(TRIM($A41),PnL_Accounts,0))</f>
        <v>6459</v>
      </c>
      <c r="O41" s="115">
        <f t="array" aca="1" ref="O41" ca="1">INDEX(INDIRECT("PnL_"&amp;TEXT(O$1,"mmm")&amp;"_"&amp;TEXT(O$1,"yyyy")),MATCH(TRIM($A41),PnL_Accounts,0))</f>
        <v>6719</v>
      </c>
      <c r="P41" s="115">
        <f t="array" aca="1" ref="P41" ca="1">INDEX(INDIRECT("PnL_"&amp;TEXT(P$1,"mmm")&amp;"_"&amp;TEXT(P$1,"yyyy")),MATCH(TRIM($A41),PnL_Accounts,0))</f>
        <v>6691</v>
      </c>
      <c r="Q41" s="115">
        <f t="array" aca="1" ref="Q41" ca="1">INDEX(INDIRECT("PnL_"&amp;TEXT(Q$1,"mmm")&amp;"_"&amp;TEXT(Q$1,"yyyy")),MATCH(TRIM($A41),PnL_Accounts,0))</f>
        <v>4245</v>
      </c>
      <c r="R41" s="115">
        <f t="array" aca="1" ref="R41" ca="1">INDEX(INDIRECT("PnL_"&amp;TEXT(R$1,"mmm")&amp;"_"&amp;TEXT(R$1,"yyyy")),MATCH(TRIM($A41),PnL_Accounts,0))</f>
        <v>5237</v>
      </c>
      <c r="S41" s="115">
        <f t="array" aca="1" ref="S41" ca="1">INDEX(INDIRECT("PnL_"&amp;TEXT(S$1,"mmm")&amp;"_"&amp;TEXT(S$1,"yyyy")),MATCH(TRIM($A41),PnL_Accounts,0))</f>
        <v>4988</v>
      </c>
      <c r="T41" s="115">
        <f t="array" aca="1" ref="T41" ca="1">INDEX(INDIRECT("PnL_"&amp;TEXT(T$1,"mmm")&amp;"_"&amp;TEXT(T$1,"yyyy")),MATCH(TRIM($A41),PnL_Accounts,0))</f>
        <v>5237</v>
      </c>
      <c r="U41" s="115">
        <f t="array" aca="1" ref="U41" ca="1">INDEX(INDIRECT("PnL_"&amp;TEXT(U$1,"mmm")&amp;"_"&amp;TEXT(U$1,"yyyy")),MATCH(TRIM($A41),PnL_Accounts,0))</f>
        <v>5471</v>
      </c>
      <c r="V41" s="115">
        <f t="array" aca="1" ref="V41" ca="1">INDEX(INDIRECT("PnL_"&amp;TEXT(V$1,"mmm")&amp;"_"&amp;TEXT(V$1,"yyyy")),MATCH(TRIM($A41),PnL_Accounts,0))</f>
        <v>5388</v>
      </c>
      <c r="W41" s="115">
        <f t="array" aca="1" ref="W41" ca="1">INDEX(INDIRECT("PnL_"&amp;TEXT(W$1,"mmm")&amp;"_"&amp;TEXT(W$1,"yyyy")),MATCH(TRIM($A41),PnL_Accounts,0))</f>
        <v>5477</v>
      </c>
      <c r="X41" s="115">
        <f t="array" aca="1" ref="X41" ca="1">INDEX(INDIRECT("PnL_"&amp;TEXT(X$1,"mmm")&amp;"_"&amp;TEXT(X$1,"yyyy")),MATCH(TRIM($A41),PnL_Accounts,0))</f>
        <v>4699</v>
      </c>
      <c r="Y41" s="115">
        <f t="array" aca="1" ref="Y41" ca="1">INDEX(INDIRECT("PnL_"&amp;TEXT(Y$1,"mmm")&amp;"_"&amp;TEXT(Y$1,"yyyy")),MATCH(TRIM($A41),PnL_Accounts,0))</f>
        <v>7456</v>
      </c>
      <c r="Z41" s="115">
        <f t="array" aca="1" ref="Z41" ca="1">INDEX(INDIRECT("PnL_"&amp;TEXT(Z$1,"mmm")&amp;"_"&amp;TEXT(Z$1,"yyyy")),MATCH(TRIM($A41),PnL_Accounts,0))</f>
        <v>8127</v>
      </c>
      <c r="AA41" s="115">
        <f t="array" aca="1" ref="AA41" ca="1">INDEX(INDIRECT("PnL_"&amp;TEXT(AA$1,"mmm")&amp;"_"&amp;TEXT(AA$1,"yyyy")),MATCH(TRIM($A41),PnL_Accounts,0))</f>
        <v>5971</v>
      </c>
      <c r="AB41" s="115">
        <f t="array" aca="1" ref="AB41" ca="1">INDEX(INDIRECT("PnL_"&amp;TEXT(AB$1,"mmm")&amp;"_"&amp;TEXT(AB$1,"yyyy")),MATCH(TRIM($A41),PnL_Accounts,0))</f>
        <v>5400</v>
      </c>
      <c r="AC41" s="115">
        <f t="array" aca="1" ref="AC41" ca="1">INDEX(INDIRECT("PnL_"&amp;TEXT(AC$1,"mmm")&amp;"_"&amp;TEXT(AC$1,"yyyy")),MATCH(TRIM($A41),PnL_Accounts,0))</f>
        <v>4899</v>
      </c>
      <c r="AD41" s="115">
        <f t="array" aca="1" ref="AD41" ca="1">INDEX(INDIRECT("PnL_"&amp;TEXT(AD$1,"mmm")&amp;"_"&amp;TEXT(AD$1,"yyyy")),MATCH(TRIM($A41),PnL_Accounts,0))</f>
        <v>4899</v>
      </c>
      <c r="AE41" s="115">
        <f t="array" aca="1" ref="AE41" ca="1">INDEX(INDIRECT("PnL_"&amp;TEXT(AE$1,"mmm")&amp;"_"&amp;TEXT(AE$1,"yyyy")),MATCH(TRIM($A41),PnL_Accounts,0))</f>
        <v>2400</v>
      </c>
      <c r="AF41" s="165">
        <f t="shared" ref="AF41:BW41" ca="1" si="17">$B41</f>
        <v>4066</v>
      </c>
      <c r="AG41" s="165">
        <f t="shared" ca="1" si="17"/>
        <v>4066</v>
      </c>
      <c r="AH41" s="165">
        <f t="shared" ca="1" si="17"/>
        <v>4066</v>
      </c>
      <c r="AI41" s="165">
        <f t="shared" ca="1" si="17"/>
        <v>4066</v>
      </c>
      <c r="AJ41" s="165">
        <f t="shared" ca="1" si="17"/>
        <v>4066</v>
      </c>
      <c r="AK41" s="165">
        <f t="shared" ca="1" si="17"/>
        <v>4066</v>
      </c>
      <c r="AL41" s="165">
        <f t="shared" ca="1" si="17"/>
        <v>4066</v>
      </c>
      <c r="AM41" s="165">
        <f t="shared" ca="1" si="17"/>
        <v>4066</v>
      </c>
      <c r="AN41" s="165">
        <f t="shared" ca="1" si="17"/>
        <v>4066</v>
      </c>
      <c r="AO41" s="165">
        <f t="shared" ca="1" si="17"/>
        <v>4066</v>
      </c>
      <c r="AP41" s="165">
        <f t="shared" ca="1" si="17"/>
        <v>4066</v>
      </c>
      <c r="AQ41" s="165">
        <f t="shared" ca="1" si="17"/>
        <v>4066</v>
      </c>
      <c r="AR41" s="165">
        <f t="shared" ca="1" si="17"/>
        <v>4066</v>
      </c>
      <c r="AS41" s="165">
        <f t="shared" ca="1" si="17"/>
        <v>4066</v>
      </c>
      <c r="AT41" s="165">
        <f t="shared" ca="1" si="17"/>
        <v>4066</v>
      </c>
      <c r="AU41" s="165">
        <f t="shared" ca="1" si="17"/>
        <v>4066</v>
      </c>
      <c r="AV41" s="165">
        <f t="shared" ca="1" si="17"/>
        <v>4066</v>
      </c>
      <c r="AW41" s="165">
        <f t="shared" ca="1" si="17"/>
        <v>4066</v>
      </c>
      <c r="AX41" s="165">
        <f t="shared" ca="1" si="17"/>
        <v>4066</v>
      </c>
      <c r="AY41" s="165">
        <f t="shared" ca="1" si="17"/>
        <v>4066</v>
      </c>
      <c r="AZ41" s="165">
        <f t="shared" ca="1" si="17"/>
        <v>4066</v>
      </c>
      <c r="BA41" s="165">
        <f t="shared" ca="1" si="17"/>
        <v>4066</v>
      </c>
      <c r="BB41" s="165">
        <f t="shared" ca="1" si="17"/>
        <v>4066</v>
      </c>
      <c r="BC41" s="165">
        <f t="shared" ca="1" si="17"/>
        <v>4066</v>
      </c>
      <c r="BD41" s="165">
        <f t="shared" ca="1" si="17"/>
        <v>4066</v>
      </c>
      <c r="BE41" s="165">
        <f t="shared" ca="1" si="17"/>
        <v>4066</v>
      </c>
      <c r="BF41" s="165">
        <f t="shared" ca="1" si="17"/>
        <v>4066</v>
      </c>
      <c r="BG41" s="165">
        <f t="shared" ca="1" si="17"/>
        <v>4066</v>
      </c>
      <c r="BH41" s="165">
        <f t="shared" ca="1" si="17"/>
        <v>4066</v>
      </c>
      <c r="BI41" s="165">
        <f t="shared" ca="1" si="17"/>
        <v>4066</v>
      </c>
      <c r="BJ41" s="165">
        <f t="shared" ca="1" si="17"/>
        <v>4066</v>
      </c>
      <c r="BK41" s="165">
        <f t="shared" ca="1" si="17"/>
        <v>4066</v>
      </c>
      <c r="BL41" s="165">
        <f t="shared" ca="1" si="17"/>
        <v>4066</v>
      </c>
      <c r="BM41" s="165">
        <f t="shared" ca="1" si="17"/>
        <v>4066</v>
      </c>
      <c r="BN41" s="165">
        <f t="shared" ca="1" si="17"/>
        <v>4066</v>
      </c>
      <c r="BO41" s="165">
        <f t="shared" ca="1" si="17"/>
        <v>4066</v>
      </c>
      <c r="BP41" s="165">
        <f t="shared" ca="1" si="17"/>
        <v>4066</v>
      </c>
      <c r="BQ41" s="165">
        <f t="shared" ca="1" si="17"/>
        <v>4066</v>
      </c>
      <c r="BR41" s="165">
        <f t="shared" ca="1" si="17"/>
        <v>4066</v>
      </c>
      <c r="BS41" s="165">
        <f t="shared" ca="1" si="17"/>
        <v>4066</v>
      </c>
      <c r="BT41" s="165">
        <f t="shared" ca="1" si="17"/>
        <v>4066</v>
      </c>
      <c r="BU41" s="165">
        <f t="shared" ca="1" si="17"/>
        <v>4066</v>
      </c>
      <c r="BV41" s="165">
        <f t="shared" ca="1" si="17"/>
        <v>4066</v>
      </c>
      <c r="BW41" s="165">
        <f t="shared" ca="1" si="17"/>
        <v>4066</v>
      </c>
    </row>
    <row r="42" spans="1:75" ht="12.75" x14ac:dyDescent="0.2">
      <c r="A42" s="60" t="s">
        <v>296</v>
      </c>
      <c r="B42" s="238"/>
      <c r="C42" s="212"/>
      <c r="D42" s="226">
        <f t="shared" ref="D42:BW42" ca="1" si="18">SUM(D40:D41)</f>
        <v>5751</v>
      </c>
      <c r="E42" s="226">
        <f t="shared" ca="1" si="18"/>
        <v>6018</v>
      </c>
      <c r="F42" s="226">
        <f t="shared" ca="1" si="18"/>
        <v>6036</v>
      </c>
      <c r="G42" s="226">
        <f t="shared" ca="1" si="18"/>
        <v>5888</v>
      </c>
      <c r="H42" s="226">
        <f t="shared" ca="1" si="18"/>
        <v>6181</v>
      </c>
      <c r="I42" s="226">
        <f t="shared" ca="1" si="18"/>
        <v>6414</v>
      </c>
      <c r="J42" s="226">
        <f t="shared" ca="1" si="18"/>
        <v>6719</v>
      </c>
      <c r="K42" s="226">
        <f t="shared" ca="1" si="18"/>
        <v>6191</v>
      </c>
      <c r="L42" s="226">
        <f t="shared" ca="1" si="18"/>
        <v>6563</v>
      </c>
      <c r="M42" s="226">
        <f t="shared" ca="1" si="18"/>
        <v>6897</v>
      </c>
      <c r="N42" s="226">
        <f t="shared" ca="1" si="18"/>
        <v>6459</v>
      </c>
      <c r="O42" s="226">
        <f t="shared" ca="1" si="18"/>
        <v>6719</v>
      </c>
      <c r="P42" s="226">
        <f t="shared" ca="1" si="18"/>
        <v>6691</v>
      </c>
      <c r="Q42" s="226">
        <f t="shared" ca="1" si="18"/>
        <v>4245</v>
      </c>
      <c r="R42" s="226">
        <f t="shared" ca="1" si="18"/>
        <v>5237</v>
      </c>
      <c r="S42" s="226">
        <f t="shared" ca="1" si="18"/>
        <v>4988</v>
      </c>
      <c r="T42" s="226">
        <f t="shared" ca="1" si="18"/>
        <v>5237</v>
      </c>
      <c r="U42" s="226">
        <f t="shared" ca="1" si="18"/>
        <v>5471</v>
      </c>
      <c r="V42" s="226">
        <f t="shared" ca="1" si="18"/>
        <v>5388</v>
      </c>
      <c r="W42" s="226">
        <f t="shared" ca="1" si="18"/>
        <v>5477</v>
      </c>
      <c r="X42" s="226">
        <f t="shared" ca="1" si="18"/>
        <v>4699</v>
      </c>
      <c r="Y42" s="226">
        <f t="shared" ca="1" si="18"/>
        <v>7456</v>
      </c>
      <c r="Z42" s="226">
        <f t="shared" ca="1" si="18"/>
        <v>8127</v>
      </c>
      <c r="AA42" s="226">
        <f t="shared" ca="1" si="18"/>
        <v>5971</v>
      </c>
      <c r="AB42" s="226">
        <f t="shared" ca="1" si="18"/>
        <v>5400</v>
      </c>
      <c r="AC42" s="226">
        <f t="shared" ca="1" si="18"/>
        <v>4899</v>
      </c>
      <c r="AD42" s="226">
        <f t="shared" ca="1" si="18"/>
        <v>4899</v>
      </c>
      <c r="AE42" s="226">
        <f t="shared" ca="1" si="18"/>
        <v>2400</v>
      </c>
      <c r="AF42" s="226">
        <f t="shared" ca="1" si="18"/>
        <v>4066</v>
      </c>
      <c r="AG42" s="226">
        <f t="shared" ca="1" si="18"/>
        <v>4066</v>
      </c>
      <c r="AH42" s="226">
        <f t="shared" ca="1" si="18"/>
        <v>4066</v>
      </c>
      <c r="AI42" s="226">
        <f t="shared" ca="1" si="18"/>
        <v>4066</v>
      </c>
      <c r="AJ42" s="226">
        <f t="shared" ca="1" si="18"/>
        <v>4066</v>
      </c>
      <c r="AK42" s="226">
        <f t="shared" ca="1" si="18"/>
        <v>4066</v>
      </c>
      <c r="AL42" s="226">
        <f t="shared" ca="1" si="18"/>
        <v>4066</v>
      </c>
      <c r="AM42" s="226">
        <f t="shared" ca="1" si="18"/>
        <v>4066</v>
      </c>
      <c r="AN42" s="226">
        <f t="shared" ca="1" si="18"/>
        <v>4066</v>
      </c>
      <c r="AO42" s="226">
        <f t="shared" ca="1" si="18"/>
        <v>4066</v>
      </c>
      <c r="AP42" s="226">
        <f t="shared" ca="1" si="18"/>
        <v>4066</v>
      </c>
      <c r="AQ42" s="226">
        <f t="shared" ca="1" si="18"/>
        <v>4066</v>
      </c>
      <c r="AR42" s="226">
        <f t="shared" ca="1" si="18"/>
        <v>4066</v>
      </c>
      <c r="AS42" s="226">
        <f t="shared" ca="1" si="18"/>
        <v>4066</v>
      </c>
      <c r="AT42" s="226">
        <f t="shared" ca="1" si="18"/>
        <v>4066</v>
      </c>
      <c r="AU42" s="226">
        <f t="shared" ca="1" si="18"/>
        <v>4066</v>
      </c>
      <c r="AV42" s="226">
        <f t="shared" ca="1" si="18"/>
        <v>4066</v>
      </c>
      <c r="AW42" s="226">
        <f t="shared" ca="1" si="18"/>
        <v>4066</v>
      </c>
      <c r="AX42" s="226">
        <f t="shared" ca="1" si="18"/>
        <v>4066</v>
      </c>
      <c r="AY42" s="226">
        <f t="shared" ca="1" si="18"/>
        <v>4066</v>
      </c>
      <c r="AZ42" s="226">
        <f t="shared" ca="1" si="18"/>
        <v>4066</v>
      </c>
      <c r="BA42" s="226">
        <f t="shared" ca="1" si="18"/>
        <v>4066</v>
      </c>
      <c r="BB42" s="226">
        <f t="shared" ca="1" si="18"/>
        <v>4066</v>
      </c>
      <c r="BC42" s="226">
        <f t="shared" ca="1" si="18"/>
        <v>4066</v>
      </c>
      <c r="BD42" s="226">
        <f t="shared" ca="1" si="18"/>
        <v>4066</v>
      </c>
      <c r="BE42" s="226">
        <f t="shared" ca="1" si="18"/>
        <v>4066</v>
      </c>
      <c r="BF42" s="226">
        <f t="shared" ca="1" si="18"/>
        <v>4066</v>
      </c>
      <c r="BG42" s="226">
        <f t="shared" ca="1" si="18"/>
        <v>4066</v>
      </c>
      <c r="BH42" s="226">
        <f t="shared" ca="1" si="18"/>
        <v>4066</v>
      </c>
      <c r="BI42" s="226">
        <f t="shared" ca="1" si="18"/>
        <v>4066</v>
      </c>
      <c r="BJ42" s="226">
        <f t="shared" ca="1" si="18"/>
        <v>4066</v>
      </c>
      <c r="BK42" s="226">
        <f t="shared" ca="1" si="18"/>
        <v>4066</v>
      </c>
      <c r="BL42" s="226">
        <f t="shared" ca="1" si="18"/>
        <v>4066</v>
      </c>
      <c r="BM42" s="226">
        <f t="shared" ca="1" si="18"/>
        <v>4066</v>
      </c>
      <c r="BN42" s="226">
        <f t="shared" ca="1" si="18"/>
        <v>4066</v>
      </c>
      <c r="BO42" s="226">
        <f t="shared" ca="1" si="18"/>
        <v>4066</v>
      </c>
      <c r="BP42" s="226">
        <f t="shared" ca="1" si="18"/>
        <v>4066</v>
      </c>
      <c r="BQ42" s="226">
        <f t="shared" ca="1" si="18"/>
        <v>4066</v>
      </c>
      <c r="BR42" s="226">
        <f t="shared" ca="1" si="18"/>
        <v>4066</v>
      </c>
      <c r="BS42" s="226">
        <f t="shared" ca="1" si="18"/>
        <v>4066</v>
      </c>
      <c r="BT42" s="226">
        <f t="shared" ca="1" si="18"/>
        <v>4066</v>
      </c>
      <c r="BU42" s="226">
        <f t="shared" ca="1" si="18"/>
        <v>4066</v>
      </c>
      <c r="BV42" s="226">
        <f t="shared" ca="1" si="18"/>
        <v>4066</v>
      </c>
      <c r="BW42" s="226">
        <f t="shared" ca="1" si="18"/>
        <v>4066</v>
      </c>
    </row>
    <row r="43" spans="1:75" ht="12.75" x14ac:dyDescent="0.2">
      <c r="A43" s="23" t="s">
        <v>297</v>
      </c>
      <c r="B43" s="221"/>
      <c r="D43" s="115">
        <f t="array" aca="1" ref="D43" ca="1">INDEX(INDIRECT("PnL_"&amp;TEXT(D$1,"mmm")&amp;"_"&amp;TEXT(D$1,"yyyy")),MATCH(TRIM($A43),PnL_Accounts,0))</f>
        <v>0</v>
      </c>
      <c r="E43" s="115">
        <f t="array" aca="1" ref="E43" ca="1">INDEX(INDIRECT("PnL_"&amp;TEXT(E$1,"mmm")&amp;"_"&amp;TEXT(E$1,"yyyy")),MATCH(TRIM($A43),PnL_Accounts,0))</f>
        <v>0</v>
      </c>
      <c r="F43" s="115">
        <f t="array" aca="1" ref="F43" ca="1">INDEX(INDIRECT("PnL_"&amp;TEXT(F$1,"mmm")&amp;"_"&amp;TEXT(F$1,"yyyy")),MATCH(TRIM($A43),PnL_Accounts,0))</f>
        <v>0</v>
      </c>
      <c r="G43" s="115">
        <f t="array" aca="1" ref="G43" ca="1">INDEX(INDIRECT("PnL_"&amp;TEXT(G$1,"mmm")&amp;"_"&amp;TEXT(G$1,"yyyy")),MATCH(TRIM($A43),PnL_Accounts,0))</f>
        <v>0</v>
      </c>
      <c r="H43" s="115">
        <f t="array" aca="1" ref="H43" ca="1">INDEX(INDIRECT("PnL_"&amp;TEXT(H$1,"mmm")&amp;"_"&amp;TEXT(H$1,"yyyy")),MATCH(TRIM($A43),PnL_Accounts,0))</f>
        <v>0</v>
      </c>
      <c r="I43" s="115">
        <f t="array" aca="1" ref="I43" ca="1">INDEX(INDIRECT("PnL_"&amp;TEXT(I$1,"mmm")&amp;"_"&amp;TEXT(I$1,"yyyy")),MATCH(TRIM($A43),PnL_Accounts,0))</f>
        <v>0</v>
      </c>
      <c r="J43" s="115">
        <f t="array" aca="1" ref="J43" ca="1">INDEX(INDIRECT("PnL_"&amp;TEXT(J$1,"mmm")&amp;"_"&amp;TEXT(J$1,"yyyy")),MATCH(TRIM($A43),PnL_Accounts,0))</f>
        <v>0</v>
      </c>
      <c r="K43" s="115">
        <f t="array" aca="1" ref="K43" ca="1">INDEX(INDIRECT("PnL_"&amp;TEXT(K$1,"mmm")&amp;"_"&amp;TEXT(K$1,"yyyy")),MATCH(TRIM($A43),PnL_Accounts,0))</f>
        <v>0</v>
      </c>
      <c r="L43" s="115">
        <f t="array" aca="1" ref="L43" ca="1">INDEX(INDIRECT("PnL_"&amp;TEXT(L$1,"mmm")&amp;"_"&amp;TEXT(L$1,"yyyy")),MATCH(TRIM($A43),PnL_Accounts,0))</f>
        <v>0</v>
      </c>
      <c r="M43" s="115">
        <f t="array" aca="1" ref="M43" ca="1">INDEX(INDIRECT("PnL_"&amp;TEXT(M$1,"mmm")&amp;"_"&amp;TEXT(M$1,"yyyy")),MATCH(TRIM($A43),PnL_Accounts,0))</f>
        <v>0</v>
      </c>
      <c r="N43" s="115">
        <f t="array" aca="1" ref="N43" ca="1">INDEX(INDIRECT("PnL_"&amp;TEXT(N$1,"mmm")&amp;"_"&amp;TEXT(N$1,"yyyy")),MATCH(TRIM($A43),PnL_Accounts,0))</f>
        <v>0</v>
      </c>
      <c r="O43" s="115">
        <f t="array" aca="1" ref="O43" ca="1">INDEX(INDIRECT("PnL_"&amp;TEXT(O$1,"mmm")&amp;"_"&amp;TEXT(O$1,"yyyy")),MATCH(TRIM($A43),PnL_Accounts,0))</f>
        <v>0</v>
      </c>
      <c r="P43" s="115">
        <f t="array" aca="1" ref="P43" ca="1">INDEX(INDIRECT("PnL_"&amp;TEXT(P$1,"mmm")&amp;"_"&amp;TEXT(P$1,"yyyy")),MATCH(TRIM($A43),PnL_Accounts,0))</f>
        <v>0</v>
      </c>
      <c r="Q43" s="115">
        <f t="array" aca="1" ref="Q43" ca="1">INDEX(INDIRECT("PnL_"&amp;TEXT(Q$1,"mmm")&amp;"_"&amp;TEXT(Q$1,"yyyy")),MATCH(TRIM($A43),PnL_Accounts,0))</f>
        <v>0</v>
      </c>
      <c r="R43" s="115">
        <f t="array" aca="1" ref="R43" ca="1">INDEX(INDIRECT("PnL_"&amp;TEXT(R$1,"mmm")&amp;"_"&amp;TEXT(R$1,"yyyy")),MATCH(TRIM($A43),PnL_Accounts,0))</f>
        <v>0</v>
      </c>
      <c r="S43" s="115">
        <f t="array" aca="1" ref="S43" ca="1">INDEX(INDIRECT("PnL_"&amp;TEXT(S$1,"mmm")&amp;"_"&amp;TEXT(S$1,"yyyy")),MATCH(TRIM($A43),PnL_Accounts,0))</f>
        <v>0</v>
      </c>
      <c r="T43" s="115">
        <f t="array" aca="1" ref="T43" ca="1">INDEX(INDIRECT("PnL_"&amp;TEXT(T$1,"mmm")&amp;"_"&amp;TEXT(T$1,"yyyy")),MATCH(TRIM($A43),PnL_Accounts,0))</f>
        <v>0</v>
      </c>
      <c r="U43" s="115">
        <f t="array" aca="1" ref="U43" ca="1">INDEX(INDIRECT("PnL_"&amp;TEXT(U$1,"mmm")&amp;"_"&amp;TEXT(U$1,"yyyy")),MATCH(TRIM($A43),PnL_Accounts,0))</f>
        <v>0</v>
      </c>
      <c r="V43" s="115">
        <f t="array" aca="1" ref="V43" ca="1">INDEX(INDIRECT("PnL_"&amp;TEXT(V$1,"mmm")&amp;"_"&amp;TEXT(V$1,"yyyy")),MATCH(TRIM($A43),PnL_Accounts,0))</f>
        <v>0</v>
      </c>
      <c r="W43" s="115">
        <f t="array" aca="1" ref="W43" ca="1">INDEX(INDIRECT("PnL_"&amp;TEXT(W$1,"mmm")&amp;"_"&amp;TEXT(W$1,"yyyy")),MATCH(TRIM($A43),PnL_Accounts,0))</f>
        <v>0</v>
      </c>
      <c r="X43" s="115">
        <f t="array" aca="1" ref="X43" ca="1">INDEX(INDIRECT("PnL_"&amp;TEXT(X$1,"mmm")&amp;"_"&amp;TEXT(X$1,"yyyy")),MATCH(TRIM($A43),PnL_Accounts,0))</f>
        <v>0</v>
      </c>
      <c r="Y43" s="115">
        <f t="array" aca="1" ref="Y43" ca="1">INDEX(INDIRECT("PnL_"&amp;TEXT(Y$1,"mmm")&amp;"_"&amp;TEXT(Y$1,"yyyy")),MATCH(TRIM($A43),PnL_Accounts,0))</f>
        <v>0</v>
      </c>
      <c r="Z43" s="115">
        <f t="array" aca="1" ref="Z43" ca="1">INDEX(INDIRECT("PnL_"&amp;TEXT(Z$1,"mmm")&amp;"_"&amp;TEXT(Z$1,"yyyy")),MATCH(TRIM($A43),PnL_Accounts,0))</f>
        <v>0</v>
      </c>
      <c r="AA43" s="115">
        <f t="array" aca="1" ref="AA43" ca="1">INDEX(INDIRECT("PnL_"&amp;TEXT(AA$1,"mmm")&amp;"_"&amp;TEXT(AA$1,"yyyy")),MATCH(TRIM($A43),PnL_Accounts,0))</f>
        <v>0</v>
      </c>
      <c r="AB43" s="115">
        <f t="array" aca="1" ref="AB43" ca="1">INDEX(INDIRECT("PnL_"&amp;TEXT(AB$1,"mmm")&amp;"_"&amp;TEXT(AB$1,"yyyy")),MATCH(TRIM($A43),PnL_Accounts,0))</f>
        <v>0</v>
      </c>
      <c r="AC43" s="115">
        <f t="array" aca="1" ref="AC43" ca="1">INDEX(INDIRECT("PnL_"&amp;TEXT(AC$1,"mmm")&amp;"_"&amp;TEXT(AC$1,"yyyy")),MATCH(TRIM($A43),PnL_Accounts,0))</f>
        <v>0</v>
      </c>
      <c r="AD43" s="115">
        <f t="array" aca="1" ref="AD43" ca="1">INDEX(INDIRECT("PnL_"&amp;TEXT(AD$1,"mmm")&amp;"_"&amp;TEXT(AD$1,"yyyy")),MATCH(TRIM($A43),PnL_Accounts,0))</f>
        <v>0</v>
      </c>
      <c r="AE43" s="115">
        <f t="array" aca="1" ref="AE43" ca="1">INDEX(INDIRECT("PnL_"&amp;TEXT(AE$1,"mmm")&amp;"_"&amp;TEXT(AE$1,"yyyy")),MATCH(TRIM($A43),PnL_Accounts,0))</f>
        <v>0</v>
      </c>
    </row>
    <row r="44" spans="1:75" ht="12.75" x14ac:dyDescent="0.2">
      <c r="A44" s="23" t="s">
        <v>298</v>
      </c>
      <c r="B44" s="224">
        <f ca="1">AVERAGEIFS(44:44,$1:$1,"&gt;="&amp;DATE(YEAR(Current_Month),MONTH(Current_Month)-2,DAY(Current_Month)),$1:$1,"&lt;="&amp;EOMONTH(Current_Month,0))</f>
        <v>5833.333333333333</v>
      </c>
      <c r="D44" s="115">
        <f t="array" aca="1" ref="D44" ca="1">INDEX(INDIRECT("PnL_"&amp;TEXT(D$1,"mmm")&amp;"_"&amp;TEXT(D$1,"yyyy")),MATCH(TRIM($A44),PnL_Accounts,0))</f>
        <v>2500</v>
      </c>
      <c r="E44" s="115">
        <f t="array" aca="1" ref="E44" ca="1">INDEX(INDIRECT("PnL_"&amp;TEXT(E$1,"mmm")&amp;"_"&amp;TEXT(E$1,"yyyy")),MATCH(TRIM($A44),PnL_Accounts,0))</f>
        <v>2500</v>
      </c>
      <c r="F44" s="115">
        <f t="array" aca="1" ref="F44" ca="1">INDEX(INDIRECT("PnL_"&amp;TEXT(F$1,"mmm")&amp;"_"&amp;TEXT(F$1,"yyyy")),MATCH(TRIM($A44),PnL_Accounts,0))</f>
        <v>2500</v>
      </c>
      <c r="G44" s="115">
        <f t="array" aca="1" ref="G44" ca="1">INDEX(INDIRECT("PnL_"&amp;TEXT(G$1,"mmm")&amp;"_"&amp;TEXT(G$1,"yyyy")),MATCH(TRIM($A44),PnL_Accounts,0))</f>
        <v>2500</v>
      </c>
      <c r="H44" s="115">
        <f t="array" aca="1" ref="H44" ca="1">INDEX(INDIRECT("PnL_"&amp;TEXT(H$1,"mmm")&amp;"_"&amp;TEXT(H$1,"yyyy")),MATCH(TRIM($A44),PnL_Accounts,0))</f>
        <v>3400</v>
      </c>
      <c r="I44" s="115">
        <f t="array" aca="1" ref="I44" ca="1">INDEX(INDIRECT("PnL_"&amp;TEXT(I$1,"mmm")&amp;"_"&amp;TEXT(I$1,"yyyy")),MATCH(TRIM($A44),PnL_Accounts,0))</f>
        <v>5000</v>
      </c>
      <c r="J44" s="115">
        <f t="array" aca="1" ref="J44" ca="1">INDEX(INDIRECT("PnL_"&amp;TEXT(J$1,"mmm")&amp;"_"&amp;TEXT(J$1,"yyyy")),MATCH(TRIM($A44),PnL_Accounts,0))</f>
        <v>6500</v>
      </c>
      <c r="K44" s="115">
        <f t="array" aca="1" ref="K44" ca="1">INDEX(INDIRECT("PnL_"&amp;TEXT(K$1,"mmm")&amp;"_"&amp;TEXT(K$1,"yyyy")),MATCH(TRIM($A44),PnL_Accounts,0))</f>
        <v>6300</v>
      </c>
      <c r="L44" s="115">
        <f t="array" aca="1" ref="L44" ca="1">INDEX(INDIRECT("PnL_"&amp;TEXT(L$1,"mmm")&amp;"_"&amp;TEXT(L$1,"yyyy")),MATCH(TRIM($A44),PnL_Accounts,0))</f>
        <v>6700</v>
      </c>
      <c r="M44" s="115">
        <f t="array" aca="1" ref="M44" ca="1">INDEX(INDIRECT("PnL_"&amp;TEXT(M$1,"mmm")&amp;"_"&amp;TEXT(M$1,"yyyy")),MATCH(TRIM($A44),PnL_Accounts,0))</f>
        <v>6200</v>
      </c>
      <c r="N44" s="115">
        <f t="array" aca="1" ref="N44" ca="1">INDEX(INDIRECT("PnL_"&amp;TEXT(N$1,"mmm")&amp;"_"&amp;TEXT(N$1,"yyyy")),MATCH(TRIM($A44),PnL_Accounts,0))</f>
        <v>6300</v>
      </c>
      <c r="O44" s="115">
        <f t="array" aca="1" ref="O44" ca="1">INDEX(INDIRECT("PnL_"&amp;TEXT(O$1,"mmm")&amp;"_"&amp;TEXT(O$1,"yyyy")),MATCH(TRIM($A44),PnL_Accounts,0))</f>
        <v>6600</v>
      </c>
      <c r="P44" s="115">
        <f t="array" aca="1" ref="P44" ca="1">INDEX(INDIRECT("PnL_"&amp;TEXT(P$1,"mmm")&amp;"_"&amp;TEXT(P$1,"yyyy")),MATCH(TRIM($A44),PnL_Accounts,0))</f>
        <v>6800</v>
      </c>
      <c r="Q44" s="115">
        <f t="array" aca="1" ref="Q44" ca="1">INDEX(INDIRECT("PnL_"&amp;TEXT(Q$1,"mmm")&amp;"_"&amp;TEXT(Q$1,"yyyy")),MATCH(TRIM($A44),PnL_Accounts,0))</f>
        <v>4100</v>
      </c>
      <c r="R44" s="115">
        <f t="array" aca="1" ref="R44" ca="1">INDEX(INDIRECT("PnL_"&amp;TEXT(R$1,"mmm")&amp;"_"&amp;TEXT(R$1,"yyyy")),MATCH(TRIM($A44),PnL_Accounts,0))</f>
        <v>5800</v>
      </c>
      <c r="S44" s="115">
        <f t="array" aca="1" ref="S44" ca="1">INDEX(INDIRECT("PnL_"&amp;TEXT(S$1,"mmm")&amp;"_"&amp;TEXT(S$1,"yyyy")),MATCH(TRIM($A44),PnL_Accounts,0))</f>
        <v>5376</v>
      </c>
      <c r="T44" s="115">
        <f t="array" aca="1" ref="T44" ca="1">INDEX(INDIRECT("PnL_"&amp;TEXT(T$1,"mmm")&amp;"_"&amp;TEXT(T$1,"yyyy")),MATCH(TRIM($A44),PnL_Accounts,0))</f>
        <v>4831</v>
      </c>
      <c r="U44" s="115">
        <f t="array" aca="1" ref="U44" ca="1">INDEX(INDIRECT("PnL_"&amp;TEXT(U$1,"mmm")&amp;"_"&amp;TEXT(U$1,"yyyy")),MATCH(TRIM($A44),PnL_Accounts,0))</f>
        <v>5229</v>
      </c>
      <c r="V44" s="115">
        <f t="array" aca="1" ref="V44" ca="1">INDEX(INDIRECT("PnL_"&amp;TEXT(V$1,"mmm")&amp;"_"&amp;TEXT(V$1,"yyyy")),MATCH(TRIM($A44),PnL_Accounts,0))</f>
        <v>5462</v>
      </c>
      <c r="W44" s="115">
        <f t="array" aca="1" ref="W44" ca="1">INDEX(INDIRECT("PnL_"&amp;TEXT(W$1,"mmm")&amp;"_"&amp;TEXT(W$1,"yyyy")),MATCH(TRIM($A44),PnL_Accounts,0))</f>
        <v>5519</v>
      </c>
      <c r="X44" s="115">
        <f t="array" aca="1" ref="X44" ca="1">INDEX(INDIRECT("PnL_"&amp;TEXT(X$1,"mmm")&amp;"_"&amp;TEXT(X$1,"yyyy")),MATCH(TRIM($A44),PnL_Accounts,0))</f>
        <v>4575</v>
      </c>
      <c r="Y44" s="115">
        <f t="array" aca="1" ref="Y44" ca="1">INDEX(INDIRECT("PnL_"&amp;TEXT(Y$1,"mmm")&amp;"_"&amp;TEXT(Y$1,"yyyy")),MATCH(TRIM($A44),PnL_Accounts,0))</f>
        <v>1023</v>
      </c>
      <c r="Z44" s="115">
        <f t="array" aca="1" ref="Z44" ca="1">INDEX(INDIRECT("PnL_"&amp;TEXT(Z$1,"mmm")&amp;"_"&amp;TEXT(Z$1,"yyyy")),MATCH(TRIM($A44),PnL_Accounts,0))</f>
        <v>1597</v>
      </c>
      <c r="AA44" s="115">
        <f t="array" aca="1" ref="AA44" ca="1">INDEX(INDIRECT("PnL_"&amp;TEXT(AA$1,"mmm")&amp;"_"&amp;TEXT(AA$1,"yyyy")),MATCH(TRIM($A44),PnL_Accounts,0))</f>
        <v>1254</v>
      </c>
      <c r="AB44" s="115">
        <f t="array" aca="1" ref="AB44" ca="1">INDEX(INDIRECT("PnL_"&amp;TEXT(AB$1,"mmm")&amp;"_"&amp;TEXT(AB$1,"yyyy")),MATCH(TRIM($A44),PnL_Accounts,0))</f>
        <v>1999</v>
      </c>
      <c r="AC44" s="115">
        <f t="array" aca="1" ref="AC44" ca="1">INDEX(INDIRECT("PnL_"&amp;TEXT(AC$1,"mmm")&amp;"_"&amp;TEXT(AC$1,"yyyy")),MATCH(TRIM($A44),PnL_Accounts,0))</f>
        <v>2500</v>
      </c>
      <c r="AD44" s="115">
        <f t="array" aca="1" ref="AD44" ca="1">INDEX(INDIRECT("PnL_"&amp;TEXT(AD$1,"mmm")&amp;"_"&amp;TEXT(AD$1,"yyyy")),MATCH(TRIM($A44),PnL_Accounts,0))</f>
        <v>2500</v>
      </c>
      <c r="AE44" s="115">
        <f t="array" aca="1" ref="AE44" ca="1">INDEX(INDIRECT("PnL_"&amp;TEXT(AE$1,"mmm")&amp;"_"&amp;TEXT(AE$1,"yyyy")),MATCH(TRIM($A44),PnL_Accounts,0))</f>
        <v>12500</v>
      </c>
      <c r="AF44" s="165">
        <f t="shared" ref="AF44:BW44" ca="1" si="19">$B44</f>
        <v>5833.333333333333</v>
      </c>
      <c r="AG44" s="165">
        <f t="shared" ca="1" si="19"/>
        <v>5833.333333333333</v>
      </c>
      <c r="AH44" s="165">
        <f t="shared" ca="1" si="19"/>
        <v>5833.333333333333</v>
      </c>
      <c r="AI44" s="165">
        <f t="shared" ca="1" si="19"/>
        <v>5833.333333333333</v>
      </c>
      <c r="AJ44" s="165">
        <f t="shared" ca="1" si="19"/>
        <v>5833.333333333333</v>
      </c>
      <c r="AK44" s="165">
        <f t="shared" ca="1" si="19"/>
        <v>5833.333333333333</v>
      </c>
      <c r="AL44" s="165">
        <f t="shared" ca="1" si="19"/>
        <v>5833.333333333333</v>
      </c>
      <c r="AM44" s="165">
        <f t="shared" ca="1" si="19"/>
        <v>5833.333333333333</v>
      </c>
      <c r="AN44" s="165">
        <f t="shared" ca="1" si="19"/>
        <v>5833.333333333333</v>
      </c>
      <c r="AO44" s="165">
        <f t="shared" ca="1" si="19"/>
        <v>5833.333333333333</v>
      </c>
      <c r="AP44" s="165">
        <f t="shared" ca="1" si="19"/>
        <v>5833.333333333333</v>
      </c>
      <c r="AQ44" s="165">
        <f t="shared" ca="1" si="19"/>
        <v>5833.333333333333</v>
      </c>
      <c r="AR44" s="165">
        <f t="shared" ca="1" si="19"/>
        <v>5833.333333333333</v>
      </c>
      <c r="AS44" s="165">
        <f t="shared" ca="1" si="19"/>
        <v>5833.333333333333</v>
      </c>
      <c r="AT44" s="165">
        <f t="shared" ca="1" si="19"/>
        <v>5833.333333333333</v>
      </c>
      <c r="AU44" s="165">
        <f t="shared" ca="1" si="19"/>
        <v>5833.333333333333</v>
      </c>
      <c r="AV44" s="165">
        <f t="shared" ca="1" si="19"/>
        <v>5833.333333333333</v>
      </c>
      <c r="AW44" s="165">
        <f t="shared" ca="1" si="19"/>
        <v>5833.333333333333</v>
      </c>
      <c r="AX44" s="165">
        <f t="shared" ca="1" si="19"/>
        <v>5833.333333333333</v>
      </c>
      <c r="AY44" s="165">
        <f t="shared" ca="1" si="19"/>
        <v>5833.333333333333</v>
      </c>
      <c r="AZ44" s="165">
        <f t="shared" ca="1" si="19"/>
        <v>5833.333333333333</v>
      </c>
      <c r="BA44" s="165">
        <f t="shared" ca="1" si="19"/>
        <v>5833.333333333333</v>
      </c>
      <c r="BB44" s="165">
        <f t="shared" ca="1" si="19"/>
        <v>5833.333333333333</v>
      </c>
      <c r="BC44" s="165">
        <f t="shared" ca="1" si="19"/>
        <v>5833.333333333333</v>
      </c>
      <c r="BD44" s="165">
        <f t="shared" ca="1" si="19"/>
        <v>5833.333333333333</v>
      </c>
      <c r="BE44" s="165">
        <f t="shared" ca="1" si="19"/>
        <v>5833.333333333333</v>
      </c>
      <c r="BF44" s="165">
        <f t="shared" ca="1" si="19"/>
        <v>5833.333333333333</v>
      </c>
      <c r="BG44" s="165">
        <f t="shared" ca="1" si="19"/>
        <v>5833.333333333333</v>
      </c>
      <c r="BH44" s="165">
        <f t="shared" ca="1" si="19"/>
        <v>5833.333333333333</v>
      </c>
      <c r="BI44" s="165">
        <f t="shared" ca="1" si="19"/>
        <v>5833.333333333333</v>
      </c>
      <c r="BJ44" s="165">
        <f t="shared" ca="1" si="19"/>
        <v>5833.333333333333</v>
      </c>
      <c r="BK44" s="165">
        <f t="shared" ca="1" si="19"/>
        <v>5833.333333333333</v>
      </c>
      <c r="BL44" s="165">
        <f t="shared" ca="1" si="19"/>
        <v>5833.333333333333</v>
      </c>
      <c r="BM44" s="165">
        <f t="shared" ca="1" si="19"/>
        <v>5833.333333333333</v>
      </c>
      <c r="BN44" s="165">
        <f t="shared" ca="1" si="19"/>
        <v>5833.333333333333</v>
      </c>
      <c r="BO44" s="165">
        <f t="shared" ca="1" si="19"/>
        <v>5833.333333333333</v>
      </c>
      <c r="BP44" s="165">
        <f t="shared" ca="1" si="19"/>
        <v>5833.333333333333</v>
      </c>
      <c r="BQ44" s="165">
        <f t="shared" ca="1" si="19"/>
        <v>5833.333333333333</v>
      </c>
      <c r="BR44" s="165">
        <f t="shared" ca="1" si="19"/>
        <v>5833.333333333333</v>
      </c>
      <c r="BS44" s="165">
        <f t="shared" ca="1" si="19"/>
        <v>5833.333333333333</v>
      </c>
      <c r="BT44" s="165">
        <f t="shared" ca="1" si="19"/>
        <v>5833.333333333333</v>
      </c>
      <c r="BU44" s="165">
        <f t="shared" ca="1" si="19"/>
        <v>5833.333333333333</v>
      </c>
      <c r="BV44" s="165">
        <f t="shared" ca="1" si="19"/>
        <v>5833.333333333333</v>
      </c>
      <c r="BW44" s="165">
        <f t="shared" ca="1" si="19"/>
        <v>5833.333333333333</v>
      </c>
    </row>
    <row r="45" spans="1:75" ht="12.75" x14ac:dyDescent="0.2">
      <c r="A45" s="23" t="s">
        <v>299</v>
      </c>
      <c r="B45" s="224">
        <f ca="1">AVERAGEIFS(45:45,$1:$1,"&gt;="&amp;DATE(YEAR(Current_Month),MONTH(Current_Month)-2,DAY(Current_Month)),$1:$1,"&lt;="&amp;EOMONTH(Current_Month,0))</f>
        <v>1385.3333333333333</v>
      </c>
      <c r="D45" s="115">
        <f t="array" aca="1" ref="D45" ca="1">INDEX(INDIRECT("PnL_"&amp;TEXT(D$1,"mmm")&amp;"_"&amp;TEXT(D$1,"yyyy")),MATCH(TRIM($A45),PnL_Accounts,0))</f>
        <v>1323</v>
      </c>
      <c r="E45" s="115">
        <f t="array" aca="1" ref="E45" ca="1">INDEX(INDIRECT("PnL_"&amp;TEXT(E$1,"mmm")&amp;"_"&amp;TEXT(E$1,"yyyy")),MATCH(TRIM($A45),PnL_Accounts,0))</f>
        <v>1581</v>
      </c>
      <c r="F45" s="115">
        <f t="array" aca="1" ref="F45" ca="1">INDEX(INDIRECT("PnL_"&amp;TEXT(F$1,"mmm")&amp;"_"&amp;TEXT(F$1,"yyyy")),MATCH(TRIM($A45),PnL_Accounts,0))</f>
        <v>1755</v>
      </c>
      <c r="G45" s="115">
        <f t="array" aca="1" ref="G45" ca="1">INDEX(INDIRECT("PnL_"&amp;TEXT(G$1,"mmm")&amp;"_"&amp;TEXT(G$1,"yyyy")),MATCH(TRIM($A45),PnL_Accounts,0))</f>
        <v>1781</v>
      </c>
      <c r="H45" s="115">
        <f t="array" aca="1" ref="H45" ca="1">INDEX(INDIRECT("PnL_"&amp;TEXT(H$1,"mmm")&amp;"_"&amp;TEXT(H$1,"yyyy")),MATCH(TRIM($A45),PnL_Accounts,0))</f>
        <v>1869</v>
      </c>
      <c r="I45" s="115">
        <f t="array" aca="1" ref="I45" ca="1">INDEX(INDIRECT("PnL_"&amp;TEXT(I$1,"mmm")&amp;"_"&amp;TEXT(I$1,"yyyy")),MATCH(TRIM($A45),PnL_Accounts,0))</f>
        <v>2253</v>
      </c>
      <c r="J45" s="115">
        <f t="array" aca="1" ref="J45" ca="1">INDEX(INDIRECT("PnL_"&amp;TEXT(J$1,"mmm")&amp;"_"&amp;TEXT(J$1,"yyyy")),MATCH(TRIM($A45),PnL_Accounts,0))</f>
        <v>2374</v>
      </c>
      <c r="K45" s="115">
        <f t="array" aca="1" ref="K45" ca="1">INDEX(INDIRECT("PnL_"&amp;TEXT(K$1,"mmm")&amp;"_"&amp;TEXT(K$1,"yyyy")),MATCH(TRIM($A45),PnL_Accounts,0))</f>
        <v>2542</v>
      </c>
      <c r="L45" s="115">
        <f t="array" aca="1" ref="L45" ca="1">INDEX(INDIRECT("PnL_"&amp;TEXT(L$1,"mmm")&amp;"_"&amp;TEXT(L$1,"yyyy")),MATCH(TRIM($A45),PnL_Accounts,0))</f>
        <v>2621</v>
      </c>
      <c r="M45" s="115">
        <f t="array" aca="1" ref="M45" ca="1">INDEX(INDIRECT("PnL_"&amp;TEXT(M$1,"mmm")&amp;"_"&amp;TEXT(M$1,"yyyy")),MATCH(TRIM($A45),PnL_Accounts,0))</f>
        <v>2877</v>
      </c>
      <c r="N45" s="115">
        <f t="array" aca="1" ref="N45" ca="1">INDEX(INDIRECT("PnL_"&amp;TEXT(N$1,"mmm")&amp;"_"&amp;TEXT(N$1,"yyyy")),MATCH(TRIM($A45),PnL_Accounts,0))</f>
        <v>2951</v>
      </c>
      <c r="O45" s="115">
        <f t="array" aca="1" ref="O45" ca="1">INDEX(INDIRECT("PnL_"&amp;TEXT(O$1,"mmm")&amp;"_"&amp;TEXT(O$1,"yyyy")),MATCH(TRIM($A45),PnL_Accounts,0))</f>
        <v>3241</v>
      </c>
      <c r="P45" s="115">
        <f t="array" aca="1" ref="P45" ca="1">INDEX(INDIRECT("PnL_"&amp;TEXT(P$1,"mmm")&amp;"_"&amp;TEXT(P$1,"yyyy")),MATCH(TRIM($A45),PnL_Accounts,0))</f>
        <v>3050</v>
      </c>
      <c r="Q45" s="115">
        <f t="array" aca="1" ref="Q45" ca="1">INDEX(INDIRECT("PnL_"&amp;TEXT(Q$1,"mmm")&amp;"_"&amp;TEXT(Q$1,"yyyy")),MATCH(TRIM($A45),PnL_Accounts,0))</f>
        <v>3457</v>
      </c>
      <c r="R45" s="115">
        <f t="array" aca="1" ref="R45" ca="1">INDEX(INDIRECT("PnL_"&amp;TEXT(R$1,"mmm")&amp;"_"&amp;TEXT(R$1,"yyyy")),MATCH(TRIM($A45),PnL_Accounts,0))</f>
        <v>3492</v>
      </c>
      <c r="S45" s="115">
        <f t="array" aca="1" ref="S45" ca="1">INDEX(INDIRECT("PnL_"&amp;TEXT(S$1,"mmm")&amp;"_"&amp;TEXT(S$1,"yyyy")),MATCH(TRIM($A45),PnL_Accounts,0))</f>
        <v>3781</v>
      </c>
      <c r="T45" s="115">
        <f t="array" aca="1" ref="T45" ca="1">INDEX(INDIRECT("PnL_"&amp;TEXT(T$1,"mmm")&amp;"_"&amp;TEXT(T$1,"yyyy")),MATCH(TRIM($A45),PnL_Accounts,0))</f>
        <v>2492</v>
      </c>
      <c r="U45" s="115">
        <f t="array" aca="1" ref="U45" ca="1">INDEX(INDIRECT("PnL_"&amp;TEXT(U$1,"mmm")&amp;"_"&amp;TEXT(U$1,"yyyy")),MATCH(TRIM($A45),PnL_Accounts,0))</f>
        <v>2632</v>
      </c>
      <c r="V45" s="115">
        <f t="array" aca="1" ref="V45" ca="1">INDEX(INDIRECT("PnL_"&amp;TEXT(V$1,"mmm")&amp;"_"&amp;TEXT(V$1,"yyyy")),MATCH(TRIM($A45),PnL_Accounts,0))</f>
        <v>2717</v>
      </c>
      <c r="W45" s="115">
        <f t="array" aca="1" ref="W45" ca="1">INDEX(INDIRECT("PnL_"&amp;TEXT(W$1,"mmm")&amp;"_"&amp;TEXT(W$1,"yyyy")),MATCH(TRIM($A45),PnL_Accounts,0))</f>
        <v>2782</v>
      </c>
      <c r="X45" s="115">
        <f t="array" aca="1" ref="X45" ca="1">INDEX(INDIRECT("PnL_"&amp;TEXT(X$1,"mmm")&amp;"_"&amp;TEXT(X$1,"yyyy")),MATCH(TRIM($A45),PnL_Accounts,0))</f>
        <v>3780</v>
      </c>
      <c r="Y45" s="115">
        <f t="array" aca="1" ref="Y45" ca="1">INDEX(INDIRECT("PnL_"&amp;TEXT(Y$1,"mmm")&amp;"_"&amp;TEXT(Y$1,"yyyy")),MATCH(TRIM($A45),PnL_Accounts,0))</f>
        <v>1247</v>
      </c>
      <c r="Z45" s="115">
        <f t="array" aca="1" ref="Z45" ca="1">INDEX(INDIRECT("PnL_"&amp;TEXT(Z$1,"mmm")&amp;"_"&amp;TEXT(Z$1,"yyyy")),MATCH(TRIM($A45),PnL_Accounts,0))</f>
        <v>1673</v>
      </c>
      <c r="AA45" s="115">
        <f t="array" aca="1" ref="AA45" ca="1">INDEX(INDIRECT("PnL_"&amp;TEXT(AA$1,"mmm")&amp;"_"&amp;TEXT(AA$1,"yyyy")),MATCH(TRIM($A45),PnL_Accounts,0))</f>
        <v>1374</v>
      </c>
      <c r="AB45" s="115">
        <f t="array" aca="1" ref="AB45" ca="1">INDEX(INDIRECT("PnL_"&amp;TEXT(AB$1,"mmm")&amp;"_"&amp;TEXT(AB$1,"yyyy")),MATCH(TRIM($A45),PnL_Accounts,0))</f>
        <v>1736</v>
      </c>
      <c r="AC45" s="115">
        <f t="array" aca="1" ref="AC45" ca="1">INDEX(INDIRECT("PnL_"&amp;TEXT(AC$1,"mmm")&amp;"_"&amp;TEXT(AC$1,"yyyy")),MATCH(TRIM($A45),PnL_Accounts,0))</f>
        <v>1978</v>
      </c>
      <c r="AD45" s="115">
        <f t="array" aca="1" ref="AD45" ca="1">INDEX(INDIRECT("PnL_"&amp;TEXT(AD$1,"mmm")&amp;"_"&amp;TEXT(AD$1,"yyyy")),MATCH(TRIM($A45),PnL_Accounts,0))</f>
        <v>1978</v>
      </c>
      <c r="AE45" s="115">
        <f t="array" aca="1" ref="AE45" ca="1">INDEX(INDIRECT("PnL_"&amp;TEXT(AE$1,"mmm")&amp;"_"&amp;TEXT(AE$1,"yyyy")),MATCH(TRIM($A45),PnL_Accounts,0))</f>
        <v>200</v>
      </c>
      <c r="AF45" s="165">
        <f t="shared" ref="AF45:BW45" ca="1" si="20">$B45</f>
        <v>1385.3333333333333</v>
      </c>
      <c r="AG45" s="165">
        <f t="shared" ca="1" si="20"/>
        <v>1385.3333333333333</v>
      </c>
      <c r="AH45" s="165">
        <f t="shared" ca="1" si="20"/>
        <v>1385.3333333333333</v>
      </c>
      <c r="AI45" s="165">
        <f t="shared" ca="1" si="20"/>
        <v>1385.3333333333333</v>
      </c>
      <c r="AJ45" s="165">
        <f t="shared" ca="1" si="20"/>
        <v>1385.3333333333333</v>
      </c>
      <c r="AK45" s="165">
        <f t="shared" ca="1" si="20"/>
        <v>1385.3333333333333</v>
      </c>
      <c r="AL45" s="165">
        <f t="shared" ca="1" si="20"/>
        <v>1385.3333333333333</v>
      </c>
      <c r="AM45" s="165">
        <f t="shared" ca="1" si="20"/>
        <v>1385.3333333333333</v>
      </c>
      <c r="AN45" s="165">
        <f t="shared" ca="1" si="20"/>
        <v>1385.3333333333333</v>
      </c>
      <c r="AO45" s="165">
        <f t="shared" ca="1" si="20"/>
        <v>1385.3333333333333</v>
      </c>
      <c r="AP45" s="165">
        <f t="shared" ca="1" si="20"/>
        <v>1385.3333333333333</v>
      </c>
      <c r="AQ45" s="165">
        <f t="shared" ca="1" si="20"/>
        <v>1385.3333333333333</v>
      </c>
      <c r="AR45" s="165">
        <f t="shared" ca="1" si="20"/>
        <v>1385.3333333333333</v>
      </c>
      <c r="AS45" s="165">
        <f t="shared" ca="1" si="20"/>
        <v>1385.3333333333333</v>
      </c>
      <c r="AT45" s="165">
        <f t="shared" ca="1" si="20"/>
        <v>1385.3333333333333</v>
      </c>
      <c r="AU45" s="165">
        <f t="shared" ca="1" si="20"/>
        <v>1385.3333333333333</v>
      </c>
      <c r="AV45" s="165">
        <f t="shared" ca="1" si="20"/>
        <v>1385.3333333333333</v>
      </c>
      <c r="AW45" s="165">
        <f t="shared" ca="1" si="20"/>
        <v>1385.3333333333333</v>
      </c>
      <c r="AX45" s="165">
        <f t="shared" ca="1" si="20"/>
        <v>1385.3333333333333</v>
      </c>
      <c r="AY45" s="165">
        <f t="shared" ca="1" si="20"/>
        <v>1385.3333333333333</v>
      </c>
      <c r="AZ45" s="165">
        <f t="shared" ca="1" si="20"/>
        <v>1385.3333333333333</v>
      </c>
      <c r="BA45" s="165">
        <f t="shared" ca="1" si="20"/>
        <v>1385.3333333333333</v>
      </c>
      <c r="BB45" s="165">
        <f t="shared" ca="1" si="20"/>
        <v>1385.3333333333333</v>
      </c>
      <c r="BC45" s="165">
        <f t="shared" ca="1" si="20"/>
        <v>1385.3333333333333</v>
      </c>
      <c r="BD45" s="165">
        <f t="shared" ca="1" si="20"/>
        <v>1385.3333333333333</v>
      </c>
      <c r="BE45" s="165">
        <f t="shared" ca="1" si="20"/>
        <v>1385.3333333333333</v>
      </c>
      <c r="BF45" s="165">
        <f t="shared" ca="1" si="20"/>
        <v>1385.3333333333333</v>
      </c>
      <c r="BG45" s="165">
        <f t="shared" ca="1" si="20"/>
        <v>1385.3333333333333</v>
      </c>
      <c r="BH45" s="165">
        <f t="shared" ca="1" si="20"/>
        <v>1385.3333333333333</v>
      </c>
      <c r="BI45" s="165">
        <f t="shared" ca="1" si="20"/>
        <v>1385.3333333333333</v>
      </c>
      <c r="BJ45" s="165">
        <f t="shared" ca="1" si="20"/>
        <v>1385.3333333333333</v>
      </c>
      <c r="BK45" s="165">
        <f t="shared" ca="1" si="20"/>
        <v>1385.3333333333333</v>
      </c>
      <c r="BL45" s="165">
        <f t="shared" ca="1" si="20"/>
        <v>1385.3333333333333</v>
      </c>
      <c r="BM45" s="165">
        <f t="shared" ca="1" si="20"/>
        <v>1385.3333333333333</v>
      </c>
      <c r="BN45" s="165">
        <f t="shared" ca="1" si="20"/>
        <v>1385.3333333333333</v>
      </c>
      <c r="BO45" s="165">
        <f t="shared" ca="1" si="20"/>
        <v>1385.3333333333333</v>
      </c>
      <c r="BP45" s="165">
        <f t="shared" ca="1" si="20"/>
        <v>1385.3333333333333</v>
      </c>
      <c r="BQ45" s="165">
        <f t="shared" ca="1" si="20"/>
        <v>1385.3333333333333</v>
      </c>
      <c r="BR45" s="165">
        <f t="shared" ca="1" si="20"/>
        <v>1385.3333333333333</v>
      </c>
      <c r="BS45" s="165">
        <f t="shared" ca="1" si="20"/>
        <v>1385.3333333333333</v>
      </c>
      <c r="BT45" s="165">
        <f t="shared" ca="1" si="20"/>
        <v>1385.3333333333333</v>
      </c>
      <c r="BU45" s="165">
        <f t="shared" ca="1" si="20"/>
        <v>1385.3333333333333</v>
      </c>
      <c r="BV45" s="165">
        <f t="shared" ca="1" si="20"/>
        <v>1385.3333333333333</v>
      </c>
      <c r="BW45" s="165">
        <f t="shared" ca="1" si="20"/>
        <v>1385.3333333333333</v>
      </c>
    </row>
    <row r="46" spans="1:75" ht="12.75" x14ac:dyDescent="0.2">
      <c r="A46" s="60" t="s">
        <v>300</v>
      </c>
      <c r="B46" s="238"/>
      <c r="C46" s="212"/>
      <c r="D46" s="226">
        <f t="shared" ref="D46:BW46" ca="1" si="21">SUM(D43:D45)</f>
        <v>3823</v>
      </c>
      <c r="E46" s="226">
        <f t="shared" ca="1" si="21"/>
        <v>4081</v>
      </c>
      <c r="F46" s="226">
        <f t="shared" ca="1" si="21"/>
        <v>4255</v>
      </c>
      <c r="G46" s="226">
        <f t="shared" ca="1" si="21"/>
        <v>4281</v>
      </c>
      <c r="H46" s="226">
        <f t="shared" ca="1" si="21"/>
        <v>5269</v>
      </c>
      <c r="I46" s="226">
        <f t="shared" ca="1" si="21"/>
        <v>7253</v>
      </c>
      <c r="J46" s="226">
        <f t="shared" ca="1" si="21"/>
        <v>8874</v>
      </c>
      <c r="K46" s="226">
        <f t="shared" ca="1" si="21"/>
        <v>8842</v>
      </c>
      <c r="L46" s="226">
        <f t="shared" ca="1" si="21"/>
        <v>9321</v>
      </c>
      <c r="M46" s="226">
        <f t="shared" ca="1" si="21"/>
        <v>9077</v>
      </c>
      <c r="N46" s="226">
        <f t="shared" ca="1" si="21"/>
        <v>9251</v>
      </c>
      <c r="O46" s="226">
        <f t="shared" ca="1" si="21"/>
        <v>9841</v>
      </c>
      <c r="P46" s="226">
        <f t="shared" ca="1" si="21"/>
        <v>9850</v>
      </c>
      <c r="Q46" s="226">
        <f t="shared" ca="1" si="21"/>
        <v>7557</v>
      </c>
      <c r="R46" s="226">
        <f t="shared" ca="1" si="21"/>
        <v>9292</v>
      </c>
      <c r="S46" s="226">
        <f t="shared" ca="1" si="21"/>
        <v>9157</v>
      </c>
      <c r="T46" s="226">
        <f t="shared" ca="1" si="21"/>
        <v>7323</v>
      </c>
      <c r="U46" s="226">
        <f t="shared" ca="1" si="21"/>
        <v>7861</v>
      </c>
      <c r="V46" s="226">
        <f t="shared" ca="1" si="21"/>
        <v>8179</v>
      </c>
      <c r="W46" s="226">
        <f t="shared" ca="1" si="21"/>
        <v>8301</v>
      </c>
      <c r="X46" s="226">
        <f t="shared" ca="1" si="21"/>
        <v>8355</v>
      </c>
      <c r="Y46" s="226">
        <f t="shared" ca="1" si="21"/>
        <v>2270</v>
      </c>
      <c r="Z46" s="226">
        <f t="shared" ca="1" si="21"/>
        <v>3270</v>
      </c>
      <c r="AA46" s="226">
        <f t="shared" ca="1" si="21"/>
        <v>2628</v>
      </c>
      <c r="AB46" s="226">
        <f t="shared" ca="1" si="21"/>
        <v>3735</v>
      </c>
      <c r="AC46" s="226">
        <f t="shared" ca="1" si="21"/>
        <v>4478</v>
      </c>
      <c r="AD46" s="226">
        <f t="shared" ca="1" si="21"/>
        <v>4478</v>
      </c>
      <c r="AE46" s="226">
        <f t="shared" ca="1" si="21"/>
        <v>12700</v>
      </c>
      <c r="AF46" s="226">
        <f t="shared" ca="1" si="21"/>
        <v>7218.6666666666661</v>
      </c>
      <c r="AG46" s="226">
        <f t="shared" ca="1" si="21"/>
        <v>7218.6666666666661</v>
      </c>
      <c r="AH46" s="226">
        <f t="shared" ca="1" si="21"/>
        <v>7218.6666666666661</v>
      </c>
      <c r="AI46" s="226">
        <f t="shared" ca="1" si="21"/>
        <v>7218.6666666666661</v>
      </c>
      <c r="AJ46" s="226">
        <f t="shared" ca="1" si="21"/>
        <v>7218.6666666666661</v>
      </c>
      <c r="AK46" s="226">
        <f t="shared" ca="1" si="21"/>
        <v>7218.6666666666661</v>
      </c>
      <c r="AL46" s="226">
        <f t="shared" ca="1" si="21"/>
        <v>7218.6666666666661</v>
      </c>
      <c r="AM46" s="226">
        <f t="shared" ca="1" si="21"/>
        <v>7218.6666666666661</v>
      </c>
      <c r="AN46" s="226">
        <f t="shared" ca="1" si="21"/>
        <v>7218.6666666666661</v>
      </c>
      <c r="AO46" s="226">
        <f t="shared" ca="1" si="21"/>
        <v>7218.6666666666661</v>
      </c>
      <c r="AP46" s="226">
        <f t="shared" ca="1" si="21"/>
        <v>7218.6666666666661</v>
      </c>
      <c r="AQ46" s="226">
        <f t="shared" ca="1" si="21"/>
        <v>7218.6666666666661</v>
      </c>
      <c r="AR46" s="226">
        <f t="shared" ca="1" si="21"/>
        <v>7218.6666666666661</v>
      </c>
      <c r="AS46" s="226">
        <f t="shared" ca="1" si="21"/>
        <v>7218.6666666666661</v>
      </c>
      <c r="AT46" s="226">
        <f t="shared" ca="1" si="21"/>
        <v>7218.6666666666661</v>
      </c>
      <c r="AU46" s="226">
        <f t="shared" ca="1" si="21"/>
        <v>7218.6666666666661</v>
      </c>
      <c r="AV46" s="226">
        <f t="shared" ca="1" si="21"/>
        <v>7218.6666666666661</v>
      </c>
      <c r="AW46" s="226">
        <f t="shared" ca="1" si="21"/>
        <v>7218.6666666666661</v>
      </c>
      <c r="AX46" s="226">
        <f t="shared" ca="1" si="21"/>
        <v>7218.6666666666661</v>
      </c>
      <c r="AY46" s="226">
        <f t="shared" ca="1" si="21"/>
        <v>7218.6666666666661</v>
      </c>
      <c r="AZ46" s="226">
        <f t="shared" ca="1" si="21"/>
        <v>7218.6666666666661</v>
      </c>
      <c r="BA46" s="226">
        <f t="shared" ca="1" si="21"/>
        <v>7218.6666666666661</v>
      </c>
      <c r="BB46" s="226">
        <f t="shared" ca="1" si="21"/>
        <v>7218.6666666666661</v>
      </c>
      <c r="BC46" s="226">
        <f t="shared" ca="1" si="21"/>
        <v>7218.6666666666661</v>
      </c>
      <c r="BD46" s="226">
        <f t="shared" ca="1" si="21"/>
        <v>7218.6666666666661</v>
      </c>
      <c r="BE46" s="226">
        <f t="shared" ca="1" si="21"/>
        <v>7218.6666666666661</v>
      </c>
      <c r="BF46" s="226">
        <f t="shared" ca="1" si="21"/>
        <v>7218.6666666666661</v>
      </c>
      <c r="BG46" s="226">
        <f t="shared" ca="1" si="21"/>
        <v>7218.6666666666661</v>
      </c>
      <c r="BH46" s="226">
        <f t="shared" ca="1" si="21"/>
        <v>7218.6666666666661</v>
      </c>
      <c r="BI46" s="226">
        <f t="shared" ca="1" si="21"/>
        <v>7218.6666666666661</v>
      </c>
      <c r="BJ46" s="226">
        <f t="shared" ca="1" si="21"/>
        <v>7218.6666666666661</v>
      </c>
      <c r="BK46" s="226">
        <f t="shared" ca="1" si="21"/>
        <v>7218.6666666666661</v>
      </c>
      <c r="BL46" s="226">
        <f t="shared" ca="1" si="21"/>
        <v>7218.6666666666661</v>
      </c>
      <c r="BM46" s="226">
        <f t="shared" ca="1" si="21"/>
        <v>7218.6666666666661</v>
      </c>
      <c r="BN46" s="226">
        <f t="shared" ca="1" si="21"/>
        <v>7218.6666666666661</v>
      </c>
      <c r="BO46" s="226">
        <f t="shared" ca="1" si="21"/>
        <v>7218.6666666666661</v>
      </c>
      <c r="BP46" s="226">
        <f t="shared" ca="1" si="21"/>
        <v>7218.6666666666661</v>
      </c>
      <c r="BQ46" s="226">
        <f t="shared" ca="1" si="21"/>
        <v>7218.6666666666661</v>
      </c>
      <c r="BR46" s="226">
        <f t="shared" ca="1" si="21"/>
        <v>7218.6666666666661</v>
      </c>
      <c r="BS46" s="226">
        <f t="shared" ca="1" si="21"/>
        <v>7218.6666666666661</v>
      </c>
      <c r="BT46" s="226">
        <f t="shared" ca="1" si="21"/>
        <v>7218.6666666666661</v>
      </c>
      <c r="BU46" s="226">
        <f t="shared" ca="1" si="21"/>
        <v>7218.6666666666661</v>
      </c>
      <c r="BV46" s="226">
        <f t="shared" ca="1" si="21"/>
        <v>7218.6666666666661</v>
      </c>
      <c r="BW46" s="226">
        <f t="shared" ca="1" si="21"/>
        <v>7218.6666666666661</v>
      </c>
    </row>
    <row r="47" spans="1:75" ht="12.75" x14ac:dyDescent="0.2">
      <c r="A47" s="23" t="s">
        <v>301</v>
      </c>
      <c r="B47" s="221"/>
      <c r="D47" s="115">
        <f t="array" aca="1" ref="D47" ca="1">INDEX(INDIRECT("PnL_"&amp;TEXT(D$1,"mmm")&amp;"_"&amp;TEXT(D$1,"yyyy")),MATCH(TRIM($A47),PnL_Accounts,0))</f>
        <v>0</v>
      </c>
      <c r="E47" s="115">
        <f t="array" aca="1" ref="E47" ca="1">INDEX(INDIRECT("PnL_"&amp;TEXT(E$1,"mmm")&amp;"_"&amp;TEXT(E$1,"yyyy")),MATCH(TRIM($A47),PnL_Accounts,0))</f>
        <v>0</v>
      </c>
      <c r="F47" s="115">
        <f t="array" aca="1" ref="F47" ca="1">INDEX(INDIRECT("PnL_"&amp;TEXT(F$1,"mmm")&amp;"_"&amp;TEXT(F$1,"yyyy")),MATCH(TRIM($A47),PnL_Accounts,0))</f>
        <v>0</v>
      </c>
      <c r="G47" s="115">
        <f t="array" aca="1" ref="G47" ca="1">INDEX(INDIRECT("PnL_"&amp;TEXT(G$1,"mmm")&amp;"_"&amp;TEXT(G$1,"yyyy")),MATCH(TRIM($A47),PnL_Accounts,0))</f>
        <v>0</v>
      </c>
      <c r="H47" s="115">
        <f t="array" aca="1" ref="H47" ca="1">INDEX(INDIRECT("PnL_"&amp;TEXT(H$1,"mmm")&amp;"_"&amp;TEXT(H$1,"yyyy")),MATCH(TRIM($A47),PnL_Accounts,0))</f>
        <v>0</v>
      </c>
      <c r="I47" s="115">
        <f t="array" aca="1" ref="I47" ca="1">INDEX(INDIRECT("PnL_"&amp;TEXT(I$1,"mmm")&amp;"_"&amp;TEXT(I$1,"yyyy")),MATCH(TRIM($A47),PnL_Accounts,0))</f>
        <v>0</v>
      </c>
      <c r="J47" s="115">
        <f t="array" aca="1" ref="J47" ca="1">INDEX(INDIRECT("PnL_"&amp;TEXT(J$1,"mmm")&amp;"_"&amp;TEXT(J$1,"yyyy")),MATCH(TRIM($A47),PnL_Accounts,0))</f>
        <v>0</v>
      </c>
      <c r="K47" s="115">
        <f t="array" aca="1" ref="K47" ca="1">INDEX(INDIRECT("PnL_"&amp;TEXT(K$1,"mmm")&amp;"_"&amp;TEXT(K$1,"yyyy")),MATCH(TRIM($A47),PnL_Accounts,0))</f>
        <v>0</v>
      </c>
      <c r="L47" s="115">
        <f t="array" aca="1" ref="L47" ca="1">INDEX(INDIRECT("PnL_"&amp;TEXT(L$1,"mmm")&amp;"_"&amp;TEXT(L$1,"yyyy")),MATCH(TRIM($A47),PnL_Accounts,0))</f>
        <v>0</v>
      </c>
      <c r="M47" s="115">
        <f t="array" aca="1" ref="M47" ca="1">INDEX(INDIRECT("PnL_"&amp;TEXT(M$1,"mmm")&amp;"_"&amp;TEXT(M$1,"yyyy")),MATCH(TRIM($A47),PnL_Accounts,0))</f>
        <v>0</v>
      </c>
      <c r="N47" s="115">
        <f t="array" aca="1" ref="N47" ca="1">INDEX(INDIRECT("PnL_"&amp;TEXT(N$1,"mmm")&amp;"_"&amp;TEXT(N$1,"yyyy")),MATCH(TRIM($A47),PnL_Accounts,0))</f>
        <v>0</v>
      </c>
      <c r="O47" s="115">
        <f t="array" aca="1" ref="O47" ca="1">INDEX(INDIRECT("PnL_"&amp;TEXT(O$1,"mmm")&amp;"_"&amp;TEXT(O$1,"yyyy")),MATCH(TRIM($A47),PnL_Accounts,0))</f>
        <v>0</v>
      </c>
      <c r="P47" s="115">
        <f t="array" aca="1" ref="P47" ca="1">INDEX(INDIRECT("PnL_"&amp;TEXT(P$1,"mmm")&amp;"_"&amp;TEXT(P$1,"yyyy")),MATCH(TRIM($A47),PnL_Accounts,0))</f>
        <v>0</v>
      </c>
      <c r="Q47" s="115">
        <f t="array" aca="1" ref="Q47" ca="1">INDEX(INDIRECT("PnL_"&amp;TEXT(Q$1,"mmm")&amp;"_"&amp;TEXT(Q$1,"yyyy")),MATCH(TRIM($A47),PnL_Accounts,0))</f>
        <v>0</v>
      </c>
      <c r="R47" s="115">
        <f t="array" aca="1" ref="R47" ca="1">INDEX(INDIRECT("PnL_"&amp;TEXT(R$1,"mmm")&amp;"_"&amp;TEXT(R$1,"yyyy")),MATCH(TRIM($A47),PnL_Accounts,0))</f>
        <v>0</v>
      </c>
      <c r="S47" s="115">
        <f t="array" aca="1" ref="S47" ca="1">INDEX(INDIRECT("PnL_"&amp;TEXT(S$1,"mmm")&amp;"_"&amp;TEXT(S$1,"yyyy")),MATCH(TRIM($A47),PnL_Accounts,0))</f>
        <v>0</v>
      </c>
      <c r="T47" s="115">
        <f t="array" aca="1" ref="T47" ca="1">INDEX(INDIRECT("PnL_"&amp;TEXT(T$1,"mmm")&amp;"_"&amp;TEXT(T$1,"yyyy")),MATCH(TRIM($A47),PnL_Accounts,0))</f>
        <v>0</v>
      </c>
      <c r="U47" s="115">
        <f t="array" aca="1" ref="U47" ca="1">INDEX(INDIRECT("PnL_"&amp;TEXT(U$1,"mmm")&amp;"_"&amp;TEXT(U$1,"yyyy")),MATCH(TRIM($A47),PnL_Accounts,0))</f>
        <v>0</v>
      </c>
      <c r="V47" s="115">
        <f t="array" aca="1" ref="V47" ca="1">INDEX(INDIRECT("PnL_"&amp;TEXT(V$1,"mmm")&amp;"_"&amp;TEXT(V$1,"yyyy")),MATCH(TRIM($A47),PnL_Accounts,0))</f>
        <v>0</v>
      </c>
      <c r="W47" s="115">
        <f t="array" aca="1" ref="W47" ca="1">INDEX(INDIRECT("PnL_"&amp;TEXT(W$1,"mmm")&amp;"_"&amp;TEXT(W$1,"yyyy")),MATCH(TRIM($A47),PnL_Accounts,0))</f>
        <v>0</v>
      </c>
      <c r="X47" s="115">
        <f t="array" aca="1" ref="X47" ca="1">INDEX(INDIRECT("PnL_"&amp;TEXT(X$1,"mmm")&amp;"_"&amp;TEXT(X$1,"yyyy")),MATCH(TRIM($A47),PnL_Accounts,0))</f>
        <v>0</v>
      </c>
      <c r="Y47" s="115">
        <f t="array" aca="1" ref="Y47" ca="1">INDEX(INDIRECT("PnL_"&amp;TEXT(Y$1,"mmm")&amp;"_"&amp;TEXT(Y$1,"yyyy")),MATCH(TRIM($A47),PnL_Accounts,0))</f>
        <v>0</v>
      </c>
      <c r="Z47" s="115">
        <f t="array" aca="1" ref="Z47" ca="1">INDEX(INDIRECT("PnL_"&amp;TEXT(Z$1,"mmm")&amp;"_"&amp;TEXT(Z$1,"yyyy")),MATCH(TRIM($A47),PnL_Accounts,0))</f>
        <v>0</v>
      </c>
      <c r="AA47" s="115">
        <f t="array" aca="1" ref="AA47" ca="1">INDEX(INDIRECT("PnL_"&amp;TEXT(AA$1,"mmm")&amp;"_"&amp;TEXT(AA$1,"yyyy")),MATCH(TRIM($A47),PnL_Accounts,0))</f>
        <v>0</v>
      </c>
      <c r="AB47" s="115">
        <f t="array" aca="1" ref="AB47" ca="1">INDEX(INDIRECT("PnL_"&amp;TEXT(AB$1,"mmm")&amp;"_"&amp;TEXT(AB$1,"yyyy")),MATCH(TRIM($A47),PnL_Accounts,0))</f>
        <v>0</v>
      </c>
      <c r="AC47" s="115">
        <f t="array" aca="1" ref="AC47" ca="1">INDEX(INDIRECT("PnL_"&amp;TEXT(AC$1,"mmm")&amp;"_"&amp;TEXT(AC$1,"yyyy")),MATCH(TRIM($A47),PnL_Accounts,0))</f>
        <v>0</v>
      </c>
      <c r="AD47" s="115">
        <f t="array" aca="1" ref="AD47" ca="1">INDEX(INDIRECT("PnL_"&amp;TEXT(AD$1,"mmm")&amp;"_"&amp;TEXT(AD$1,"yyyy")),MATCH(TRIM($A47),PnL_Accounts,0))</f>
        <v>0</v>
      </c>
      <c r="AE47" s="115">
        <f t="array" aca="1" ref="AE47" ca="1">INDEX(INDIRECT("PnL_"&amp;TEXT(AE$1,"mmm")&amp;"_"&amp;TEXT(AE$1,"yyyy")),MATCH(TRIM($A47),PnL_Accounts,0))</f>
        <v>0</v>
      </c>
    </row>
    <row r="48" spans="1:75" ht="12.75" x14ac:dyDescent="0.2">
      <c r="A48" s="23" t="s">
        <v>302</v>
      </c>
      <c r="B48" s="224">
        <f ca="1">AVERAGEIFS(48:48,$1:$1,"&gt;="&amp;DATE(YEAR(Current_Month),MONTH(Current_Month)-2,DAY(Current_Month)),$1:$1,"&lt;="&amp;EOMONTH(Current_Month,0))</f>
        <v>1994</v>
      </c>
      <c r="D48" s="115">
        <f t="array" aca="1" ref="D48" ca="1">INDEX(INDIRECT("PnL_"&amp;TEXT(D$1,"mmm")&amp;"_"&amp;TEXT(D$1,"yyyy")),MATCH(TRIM($A48),PnL_Accounts,0))</f>
        <v>900</v>
      </c>
      <c r="E48" s="115">
        <f t="array" aca="1" ref="E48" ca="1">INDEX(INDIRECT("PnL_"&amp;TEXT(E$1,"mmm")&amp;"_"&amp;TEXT(E$1,"yyyy")),MATCH(TRIM($A48),PnL_Accounts,0))</f>
        <v>900</v>
      </c>
      <c r="F48" s="115">
        <f t="array" aca="1" ref="F48" ca="1">INDEX(INDIRECT("PnL_"&amp;TEXT(F$1,"mmm")&amp;"_"&amp;TEXT(F$1,"yyyy")),MATCH(TRIM($A48),PnL_Accounts,0))</f>
        <v>900</v>
      </c>
      <c r="G48" s="115">
        <f t="array" aca="1" ref="G48" ca="1">INDEX(INDIRECT("PnL_"&amp;TEXT(G$1,"mmm")&amp;"_"&amp;TEXT(G$1,"yyyy")),MATCH(TRIM($A48),PnL_Accounts,0))</f>
        <v>900</v>
      </c>
      <c r="H48" s="115">
        <f t="array" aca="1" ref="H48" ca="1">INDEX(INDIRECT("PnL_"&amp;TEXT(H$1,"mmm")&amp;"_"&amp;TEXT(H$1,"yyyy")),MATCH(TRIM($A48),PnL_Accounts,0))</f>
        <v>900</v>
      </c>
      <c r="I48" s="115">
        <f t="array" aca="1" ref="I48" ca="1">INDEX(INDIRECT("PnL_"&amp;TEXT(I$1,"mmm")&amp;"_"&amp;TEXT(I$1,"yyyy")),MATCH(TRIM($A48),PnL_Accounts,0))</f>
        <v>900</v>
      </c>
      <c r="J48" s="115">
        <f t="array" aca="1" ref="J48" ca="1">INDEX(INDIRECT("PnL_"&amp;TEXT(J$1,"mmm")&amp;"_"&amp;TEXT(J$1,"yyyy")),MATCH(TRIM($A48),PnL_Accounts,0))</f>
        <v>900</v>
      </c>
      <c r="K48" s="115">
        <f t="array" aca="1" ref="K48" ca="1">INDEX(INDIRECT("PnL_"&amp;TEXT(K$1,"mmm")&amp;"_"&amp;TEXT(K$1,"yyyy")),MATCH(TRIM($A48),PnL_Accounts,0))</f>
        <v>900</v>
      </c>
      <c r="L48" s="115">
        <f t="array" aca="1" ref="L48" ca="1">INDEX(INDIRECT("PnL_"&amp;TEXT(L$1,"mmm")&amp;"_"&amp;TEXT(L$1,"yyyy")),MATCH(TRIM($A48),PnL_Accounts,0))</f>
        <v>1097</v>
      </c>
      <c r="M48" s="115">
        <f t="array" aca="1" ref="M48" ca="1">INDEX(INDIRECT("PnL_"&amp;TEXT(M$1,"mmm")&amp;"_"&amp;TEXT(M$1,"yyyy")),MATCH(TRIM($A48),PnL_Accounts,0))</f>
        <v>1097</v>
      </c>
      <c r="N48" s="115">
        <f t="array" aca="1" ref="N48" ca="1">INDEX(INDIRECT("PnL_"&amp;TEXT(N$1,"mmm")&amp;"_"&amp;TEXT(N$1,"yyyy")),MATCH(TRIM($A48),PnL_Accounts,0))</f>
        <v>1097</v>
      </c>
      <c r="O48" s="115">
        <f t="array" aca="1" ref="O48" ca="1">INDEX(INDIRECT("PnL_"&amp;TEXT(O$1,"mmm")&amp;"_"&amp;TEXT(O$1,"yyyy")),MATCH(TRIM($A48),PnL_Accounts,0))</f>
        <v>1097</v>
      </c>
      <c r="P48" s="115">
        <f t="array" aca="1" ref="P48" ca="1">INDEX(INDIRECT("PnL_"&amp;TEXT(P$1,"mmm")&amp;"_"&amp;TEXT(P$1,"yyyy")),MATCH(TRIM($A48),PnL_Accounts,0))</f>
        <v>1097</v>
      </c>
      <c r="Q48" s="115">
        <f t="array" aca="1" ref="Q48" ca="1">INDEX(INDIRECT("PnL_"&amp;TEXT(Q$1,"mmm")&amp;"_"&amp;TEXT(Q$1,"yyyy")),MATCH(TRIM($A48),PnL_Accounts,0))</f>
        <v>1294</v>
      </c>
      <c r="R48" s="115">
        <f t="array" aca="1" ref="R48" ca="1">INDEX(INDIRECT("PnL_"&amp;TEXT(R$1,"mmm")&amp;"_"&amp;TEXT(R$1,"yyyy")),MATCH(TRIM($A48),PnL_Accounts,0))</f>
        <v>1294</v>
      </c>
      <c r="S48" s="115">
        <f t="array" aca="1" ref="S48" ca="1">INDEX(INDIRECT("PnL_"&amp;TEXT(S$1,"mmm")&amp;"_"&amp;TEXT(S$1,"yyyy")),MATCH(TRIM($A48),PnL_Accounts,0))</f>
        <v>1294</v>
      </c>
      <c r="T48" s="115">
        <f t="array" aca="1" ref="T48" ca="1">INDEX(INDIRECT("PnL_"&amp;TEXT(T$1,"mmm")&amp;"_"&amp;TEXT(T$1,"yyyy")),MATCH(TRIM($A48),PnL_Accounts,0))</f>
        <v>1794</v>
      </c>
      <c r="U48" s="115">
        <f t="array" aca="1" ref="U48" ca="1">INDEX(INDIRECT("PnL_"&amp;TEXT(U$1,"mmm")&amp;"_"&amp;TEXT(U$1,"yyyy")),MATCH(TRIM($A48),PnL_Accounts,0))</f>
        <v>1794</v>
      </c>
      <c r="V48" s="115">
        <f t="array" aca="1" ref="V48" ca="1">INDEX(INDIRECT("PnL_"&amp;TEXT(V$1,"mmm")&amp;"_"&amp;TEXT(V$1,"yyyy")),MATCH(TRIM($A48),PnL_Accounts,0))</f>
        <v>1794</v>
      </c>
      <c r="W48" s="115">
        <f t="array" aca="1" ref="W48" ca="1">INDEX(INDIRECT("PnL_"&amp;TEXT(W$1,"mmm")&amp;"_"&amp;TEXT(W$1,"yyyy")),MATCH(TRIM($A48),PnL_Accounts,0))</f>
        <v>1794</v>
      </c>
      <c r="X48" s="115">
        <f t="array" aca="1" ref="X48" ca="1">INDEX(INDIRECT("PnL_"&amp;TEXT(X$1,"mmm")&amp;"_"&amp;TEXT(X$1,"yyyy")),MATCH(TRIM($A48),PnL_Accounts,0))</f>
        <v>1794</v>
      </c>
      <c r="Y48" s="115">
        <f t="array" aca="1" ref="Y48" ca="1">INDEX(INDIRECT("PnL_"&amp;TEXT(Y$1,"mmm")&amp;"_"&amp;TEXT(Y$1,"yyyy")),MATCH(TRIM($A48),PnL_Accounts,0))</f>
        <v>1794</v>
      </c>
      <c r="Z48" s="115">
        <f t="array" aca="1" ref="Z48" ca="1">INDEX(INDIRECT("PnL_"&amp;TEXT(Z$1,"mmm")&amp;"_"&amp;TEXT(Z$1,"yyyy")),MATCH(TRIM($A48),PnL_Accounts,0))</f>
        <v>1978</v>
      </c>
      <c r="AA48" s="115">
        <f t="array" aca="1" ref="AA48" ca="1">INDEX(INDIRECT("PnL_"&amp;TEXT(AA$1,"mmm")&amp;"_"&amp;TEXT(AA$1,"yyyy")),MATCH(TRIM($A48),PnL_Accounts,0))</f>
        <v>1994</v>
      </c>
      <c r="AB48" s="115">
        <f t="array" aca="1" ref="AB48" ca="1">INDEX(INDIRECT("PnL_"&amp;TEXT(AB$1,"mmm")&amp;"_"&amp;TEXT(AB$1,"yyyy")),MATCH(TRIM($A48),PnL_Accounts,0))</f>
        <v>1994</v>
      </c>
      <c r="AC48" s="115">
        <f t="array" aca="1" ref="AC48" ca="1">INDEX(INDIRECT("PnL_"&amp;TEXT(AC$1,"mmm")&amp;"_"&amp;TEXT(AC$1,"yyyy")),MATCH(TRIM($A48),PnL_Accounts,0))</f>
        <v>1994</v>
      </c>
      <c r="AD48" s="115">
        <f t="array" aca="1" ref="AD48" ca="1">INDEX(INDIRECT("PnL_"&amp;TEXT(AD$1,"mmm")&amp;"_"&amp;TEXT(AD$1,"yyyy")),MATCH(TRIM($A48),PnL_Accounts,0))</f>
        <v>1994</v>
      </c>
      <c r="AE48" s="115">
        <f t="array" aca="1" ref="AE48" ca="1">INDEX(INDIRECT("PnL_"&amp;TEXT(AE$1,"mmm")&amp;"_"&amp;TEXT(AE$1,"yyyy")),MATCH(TRIM($A48),PnL_Accounts,0))</f>
        <v>1994</v>
      </c>
      <c r="AF48" s="25">
        <f t="array" ref="AF48">INDEX(Hiring_Plan_Benefits_General,MATCH(AF$1,Hiring_Plan_Months,0))</f>
        <v>1900</v>
      </c>
      <c r="AG48" s="25">
        <f t="array" ref="AG48">INDEX(Hiring_Plan_Benefits_General,MATCH(AG$1,Hiring_Plan_Months,0))</f>
        <v>1900</v>
      </c>
      <c r="AH48" s="25">
        <f t="array" ref="AH48">INDEX(Hiring_Plan_Benefits_General,MATCH(AH$1,Hiring_Plan_Months,0))</f>
        <v>1900</v>
      </c>
      <c r="AI48" s="25">
        <f t="array" ref="AI48">INDEX(Hiring_Plan_Benefits_General,MATCH(AI$1,Hiring_Plan_Months,0))</f>
        <v>1900</v>
      </c>
      <c r="AJ48" s="25">
        <f t="array" ref="AJ48">INDEX(Hiring_Plan_Benefits_General,MATCH(AJ$1,Hiring_Plan_Months,0))</f>
        <v>1900</v>
      </c>
      <c r="AK48" s="25">
        <f t="array" ref="AK48">INDEX(Hiring_Plan_Benefits_General,MATCH(AK$1,Hiring_Plan_Months,0))</f>
        <v>1900</v>
      </c>
      <c r="AL48" s="25">
        <f t="array" ref="AL48">INDEX(Hiring_Plan_Benefits_General,MATCH(AL$1,Hiring_Plan_Months,0))</f>
        <v>1900</v>
      </c>
      <c r="AM48" s="25">
        <f t="array" ref="AM48">INDEX(Hiring_Plan_Benefits_General,MATCH(AM$1,Hiring_Plan_Months,0))</f>
        <v>1900</v>
      </c>
      <c r="AN48" s="25">
        <f t="array" ref="AN48">INDEX(Hiring_Plan_Benefits_General,MATCH(AN$1,Hiring_Plan_Months,0))</f>
        <v>1900</v>
      </c>
      <c r="AO48" s="25">
        <f t="array" ref="AO48">INDEX(Hiring_Plan_Benefits_General,MATCH(AO$1,Hiring_Plan_Months,0))</f>
        <v>1900</v>
      </c>
      <c r="AP48" s="25">
        <f t="array" ref="AP48">INDEX(Hiring_Plan_Benefits_General,MATCH(AP$1,Hiring_Plan_Months,0))</f>
        <v>1900</v>
      </c>
      <c r="AQ48" s="25">
        <f t="array" ref="AQ48">INDEX(Hiring_Plan_Benefits_General,MATCH(AQ$1,Hiring_Plan_Months,0))</f>
        <v>1900</v>
      </c>
      <c r="AR48" s="25">
        <f t="array" ref="AR48">INDEX(Hiring_Plan_Benefits_General,MATCH(AR$1,Hiring_Plan_Months,0))</f>
        <v>1900</v>
      </c>
      <c r="AS48" s="25">
        <f t="array" ref="AS48">INDEX(Hiring_Plan_Benefits_General,MATCH(AS$1,Hiring_Plan_Months,0))</f>
        <v>1900</v>
      </c>
      <c r="AT48" s="25">
        <f t="array" ref="AT48">INDEX(Hiring_Plan_Benefits_General,MATCH(AT$1,Hiring_Plan_Months,0))</f>
        <v>1900</v>
      </c>
      <c r="AU48" s="25">
        <f t="array" ref="AU48">INDEX(Hiring_Plan_Benefits_General,MATCH(AU$1,Hiring_Plan_Months,0))</f>
        <v>1900</v>
      </c>
      <c r="AV48" s="25">
        <f t="array" ref="AV48">INDEX(Hiring_Plan_Benefits_General,MATCH(AV$1,Hiring_Plan_Months,0))</f>
        <v>1900</v>
      </c>
      <c r="AW48" s="25">
        <f t="array" ref="AW48">INDEX(Hiring_Plan_Benefits_General,MATCH(AW$1,Hiring_Plan_Months,0))</f>
        <v>1900</v>
      </c>
      <c r="AX48" s="25">
        <f t="array" ref="AX48">INDEX(Hiring_Plan_Benefits_General,MATCH(AX$1,Hiring_Plan_Months,0))</f>
        <v>1900</v>
      </c>
      <c r="AY48" s="25">
        <f t="array" ref="AY48">INDEX(Hiring_Plan_Benefits_General,MATCH(AY$1,Hiring_Plan_Months,0))</f>
        <v>1900</v>
      </c>
      <c r="AZ48" s="25">
        <f t="array" ref="AZ48">INDEX(Hiring_Plan_Benefits_General,MATCH(AZ$1,Hiring_Plan_Months,0))</f>
        <v>1900</v>
      </c>
      <c r="BA48" s="25">
        <f t="array" ref="BA48">INDEX(Hiring_Plan_Benefits_General,MATCH(BA$1,Hiring_Plan_Months,0))</f>
        <v>1900</v>
      </c>
      <c r="BB48" s="25">
        <f t="array" ref="BB48">INDEX(Hiring_Plan_Benefits_General,MATCH(BB$1,Hiring_Plan_Months,0))</f>
        <v>1900</v>
      </c>
      <c r="BC48" s="25">
        <f t="array" ref="BC48">INDEX(Hiring_Plan_Benefits_General,MATCH(BC$1,Hiring_Plan_Months,0))</f>
        <v>1900</v>
      </c>
      <c r="BD48" s="25">
        <f t="array" ref="BD48">INDEX(Hiring_Plan_Benefits_General,MATCH(BD$1,Hiring_Plan_Months,0))</f>
        <v>1900</v>
      </c>
      <c r="BE48" s="25">
        <f t="array" ref="BE48">INDEX(Hiring_Plan_Benefits_General,MATCH(BE$1,Hiring_Plan_Months,0))</f>
        <v>1900</v>
      </c>
      <c r="BF48" s="25">
        <f t="array" ref="BF48">INDEX(Hiring_Plan_Benefits_General,MATCH(BF$1,Hiring_Plan_Months,0))</f>
        <v>1900</v>
      </c>
      <c r="BG48" s="25">
        <f t="array" ref="BG48">INDEX(Hiring_Plan_Benefits_General,MATCH(BG$1,Hiring_Plan_Months,0))</f>
        <v>1900</v>
      </c>
      <c r="BH48" s="25">
        <f t="array" ref="BH48">INDEX(Hiring_Plan_Benefits_General,MATCH(BH$1,Hiring_Plan_Months,0))</f>
        <v>1900</v>
      </c>
      <c r="BI48" s="25">
        <f t="array" ref="BI48">INDEX(Hiring_Plan_Benefits_General,MATCH(BI$1,Hiring_Plan_Months,0))</f>
        <v>1900</v>
      </c>
      <c r="BJ48" s="25">
        <f t="array" ref="BJ48">INDEX(Hiring_Plan_Benefits_General,MATCH(BJ$1,Hiring_Plan_Months,0))</f>
        <v>1900</v>
      </c>
      <c r="BK48" s="25">
        <f t="array" ref="BK48">INDEX(Hiring_Plan_Benefits_General,MATCH(BK$1,Hiring_Plan_Months,0))</f>
        <v>1900</v>
      </c>
      <c r="BL48" s="25">
        <f t="array" ref="BL48">INDEX(Hiring_Plan_Benefits_General,MATCH(BL$1,Hiring_Plan_Months,0))</f>
        <v>1900</v>
      </c>
      <c r="BM48" s="25">
        <f t="array" ref="BM48">INDEX(Hiring_Plan_Benefits_General,MATCH(BM$1,Hiring_Plan_Months,0))</f>
        <v>1900</v>
      </c>
      <c r="BN48" s="25">
        <f t="array" ref="BN48">INDEX(Hiring_Plan_Benefits_General,MATCH(BN$1,Hiring_Plan_Months,0))</f>
        <v>1900</v>
      </c>
      <c r="BO48" s="25">
        <f t="array" ref="BO48">INDEX(Hiring_Plan_Benefits_General,MATCH(BO$1,Hiring_Plan_Months,0))</f>
        <v>1900</v>
      </c>
      <c r="BP48" s="25">
        <f t="array" ref="BP48">INDEX(Hiring_Plan_Benefits_General,MATCH(BP$1,Hiring_Plan_Months,0))</f>
        <v>1900</v>
      </c>
      <c r="BQ48" s="25">
        <f t="array" ref="BQ48">INDEX(Hiring_Plan_Benefits_General,MATCH(BQ$1,Hiring_Plan_Months,0))</f>
        <v>1900</v>
      </c>
      <c r="BR48" s="25">
        <f t="array" ref="BR48">INDEX(Hiring_Plan_Benefits_General,MATCH(BR$1,Hiring_Plan_Months,0))</f>
        <v>1900</v>
      </c>
      <c r="BS48" s="25">
        <f t="array" ref="BS48">INDEX(Hiring_Plan_Benefits_General,MATCH(BS$1,Hiring_Plan_Months,0))</f>
        <v>1900</v>
      </c>
      <c r="BT48" s="25">
        <f t="array" ref="BT48">INDEX(Hiring_Plan_Benefits_General,MATCH(BT$1,Hiring_Plan_Months,0))</f>
        <v>1900</v>
      </c>
      <c r="BU48" s="25">
        <f t="array" ref="BU48">INDEX(Hiring_Plan_Benefits_General,MATCH(BU$1,Hiring_Plan_Months,0))</f>
        <v>1900</v>
      </c>
      <c r="BV48" s="25">
        <f t="array" ref="BV48">INDEX(Hiring_Plan_Benefits_General,MATCH(BV$1,Hiring_Plan_Months,0))</f>
        <v>1900</v>
      </c>
      <c r="BW48" s="25">
        <f t="array" ref="BW48">INDEX(Hiring_Plan_Benefits_General,MATCH(BW$1,Hiring_Plan_Months,0))</f>
        <v>1900</v>
      </c>
    </row>
    <row r="49" spans="1:75" ht="12.75" x14ac:dyDescent="0.2">
      <c r="A49" s="23" t="s">
        <v>303</v>
      </c>
      <c r="B49" s="224">
        <f ca="1">AVERAGEIFS(49:49,$1:$1,"&gt;="&amp;DATE(YEAR(Current_Month),MONTH(Current_Month)-2,DAY(Current_Month)),$1:$1,"&lt;="&amp;EOMONTH(Current_Month,0))</f>
        <v>2383</v>
      </c>
      <c r="D49" s="115">
        <f t="array" aca="1" ref="D49" ca="1">INDEX(INDIRECT("PnL_"&amp;TEXT(D$1,"mmm")&amp;"_"&amp;TEXT(D$1,"yyyy")),MATCH(TRIM($A49),PnL_Accounts,0))</f>
        <v>1500</v>
      </c>
      <c r="E49" s="115">
        <f t="array" aca="1" ref="E49" ca="1">INDEX(INDIRECT("PnL_"&amp;TEXT(E$1,"mmm")&amp;"_"&amp;TEXT(E$1,"yyyy")),MATCH(TRIM($A49),PnL_Accounts,0))</f>
        <v>1500</v>
      </c>
      <c r="F49" s="115">
        <f t="array" aca="1" ref="F49" ca="1">INDEX(INDIRECT("PnL_"&amp;TEXT(F$1,"mmm")&amp;"_"&amp;TEXT(F$1,"yyyy")),MATCH(TRIM($A49),PnL_Accounts,0))</f>
        <v>1500</v>
      </c>
      <c r="G49" s="115">
        <f t="array" aca="1" ref="G49" ca="1">INDEX(INDIRECT("PnL_"&amp;TEXT(G$1,"mmm")&amp;"_"&amp;TEXT(G$1,"yyyy")),MATCH(TRIM($A49),PnL_Accounts,0))</f>
        <v>1500</v>
      </c>
      <c r="H49" s="115">
        <f t="array" aca="1" ref="H49" ca="1">INDEX(INDIRECT("PnL_"&amp;TEXT(H$1,"mmm")&amp;"_"&amp;TEXT(H$1,"yyyy")),MATCH(TRIM($A49),PnL_Accounts,0))</f>
        <v>1500</v>
      </c>
      <c r="I49" s="115">
        <f t="array" aca="1" ref="I49" ca="1">INDEX(INDIRECT("PnL_"&amp;TEXT(I$1,"mmm")&amp;"_"&amp;TEXT(I$1,"yyyy")),MATCH(TRIM($A49),PnL_Accounts,0))</f>
        <v>1500</v>
      </c>
      <c r="J49" s="115">
        <f t="array" aca="1" ref="J49" ca="1">INDEX(INDIRECT("PnL_"&amp;TEXT(J$1,"mmm")&amp;"_"&amp;TEXT(J$1,"yyyy")),MATCH(TRIM($A49),PnL_Accounts,0))</f>
        <v>1500</v>
      </c>
      <c r="K49" s="115">
        <f t="array" aca="1" ref="K49" ca="1">INDEX(INDIRECT("PnL_"&amp;TEXT(K$1,"mmm")&amp;"_"&amp;TEXT(K$1,"yyyy")),MATCH(TRIM($A49),PnL_Accounts,0))</f>
        <v>1500</v>
      </c>
      <c r="L49" s="115">
        <f t="array" aca="1" ref="L49" ca="1">INDEX(INDIRECT("PnL_"&amp;TEXT(L$1,"mmm")&amp;"_"&amp;TEXT(L$1,"yyyy")),MATCH(TRIM($A49),PnL_Accounts,0))</f>
        <v>1908</v>
      </c>
      <c r="M49" s="115">
        <f t="array" aca="1" ref="M49" ca="1">INDEX(INDIRECT("PnL_"&amp;TEXT(M$1,"mmm")&amp;"_"&amp;TEXT(M$1,"yyyy")),MATCH(TRIM($A49),PnL_Accounts,0))</f>
        <v>1908</v>
      </c>
      <c r="N49" s="115">
        <f t="array" aca="1" ref="N49" ca="1">INDEX(INDIRECT("PnL_"&amp;TEXT(N$1,"mmm")&amp;"_"&amp;TEXT(N$1,"yyyy")),MATCH(TRIM($A49),PnL_Accounts,0))</f>
        <v>1908</v>
      </c>
      <c r="O49" s="115">
        <f t="array" aca="1" ref="O49" ca="1">INDEX(INDIRECT("PnL_"&amp;TEXT(O$1,"mmm")&amp;"_"&amp;TEXT(O$1,"yyyy")),MATCH(TRIM($A49),PnL_Accounts,0))</f>
        <v>1908</v>
      </c>
      <c r="P49" s="115">
        <f t="array" aca="1" ref="P49" ca="1">INDEX(INDIRECT("PnL_"&amp;TEXT(P$1,"mmm")&amp;"_"&amp;TEXT(P$1,"yyyy")),MATCH(TRIM($A49),PnL_Accounts,0))</f>
        <v>1908</v>
      </c>
      <c r="Q49" s="115">
        <f t="array" aca="1" ref="Q49" ca="1">INDEX(INDIRECT("PnL_"&amp;TEXT(Q$1,"mmm")&amp;"_"&amp;TEXT(Q$1,"yyyy")),MATCH(TRIM($A49),PnL_Accounts,0))</f>
        <v>2313</v>
      </c>
      <c r="R49" s="115">
        <f t="array" aca="1" ref="R49" ca="1">INDEX(INDIRECT("PnL_"&amp;TEXT(R$1,"mmm")&amp;"_"&amp;TEXT(R$1,"yyyy")),MATCH(TRIM($A49),PnL_Accounts,0))</f>
        <v>2313</v>
      </c>
      <c r="S49" s="115">
        <f t="array" aca="1" ref="S49" ca="1">INDEX(INDIRECT("PnL_"&amp;TEXT(S$1,"mmm")&amp;"_"&amp;TEXT(S$1,"yyyy")),MATCH(TRIM($A49),PnL_Accounts,0))</f>
        <v>2313</v>
      </c>
      <c r="T49" s="115">
        <f t="array" aca="1" ref="T49" ca="1">INDEX(INDIRECT("PnL_"&amp;TEXT(T$1,"mmm")&amp;"_"&amp;TEXT(T$1,"yyyy")),MATCH(TRIM($A49),PnL_Accounts,0))</f>
        <v>2383</v>
      </c>
      <c r="U49" s="115">
        <f t="array" aca="1" ref="U49" ca="1">INDEX(INDIRECT("PnL_"&amp;TEXT(U$1,"mmm")&amp;"_"&amp;TEXT(U$1,"yyyy")),MATCH(TRIM($A49),PnL_Accounts,0))</f>
        <v>2383</v>
      </c>
      <c r="V49" s="115">
        <f t="array" aca="1" ref="V49" ca="1">INDEX(INDIRECT("PnL_"&amp;TEXT(V$1,"mmm")&amp;"_"&amp;TEXT(V$1,"yyyy")),MATCH(TRIM($A49),PnL_Accounts,0))</f>
        <v>2383</v>
      </c>
      <c r="W49" s="115">
        <f t="array" aca="1" ref="W49" ca="1">INDEX(INDIRECT("PnL_"&amp;TEXT(W$1,"mmm")&amp;"_"&amp;TEXT(W$1,"yyyy")),MATCH(TRIM($A49),PnL_Accounts,0))</f>
        <v>2383</v>
      </c>
      <c r="X49" s="115">
        <f t="array" aca="1" ref="X49" ca="1">INDEX(INDIRECT("PnL_"&amp;TEXT(X$1,"mmm")&amp;"_"&amp;TEXT(X$1,"yyyy")),MATCH(TRIM($A49),PnL_Accounts,0))</f>
        <v>2383</v>
      </c>
      <c r="Y49" s="115">
        <f t="array" aca="1" ref="Y49" ca="1">INDEX(INDIRECT("PnL_"&amp;TEXT(Y$1,"mmm")&amp;"_"&amp;TEXT(Y$1,"yyyy")),MATCH(TRIM($A49),PnL_Accounts,0))</f>
        <v>2383</v>
      </c>
      <c r="Z49" s="115">
        <f t="array" aca="1" ref="Z49" ca="1">INDEX(INDIRECT("PnL_"&amp;TEXT(Z$1,"mmm")&amp;"_"&amp;TEXT(Z$1,"yyyy")),MATCH(TRIM($A49),PnL_Accounts,0))</f>
        <v>2383</v>
      </c>
      <c r="AA49" s="115">
        <f t="array" aca="1" ref="AA49" ca="1">INDEX(INDIRECT("PnL_"&amp;TEXT(AA$1,"mmm")&amp;"_"&amp;TEXT(AA$1,"yyyy")),MATCH(TRIM($A49),PnL_Accounts,0))</f>
        <v>2383</v>
      </c>
      <c r="AB49" s="115">
        <f t="array" aca="1" ref="AB49" ca="1">INDEX(INDIRECT("PnL_"&amp;TEXT(AB$1,"mmm")&amp;"_"&amp;TEXT(AB$1,"yyyy")),MATCH(TRIM($A49),PnL_Accounts,0))</f>
        <v>2383</v>
      </c>
      <c r="AC49" s="115">
        <f t="array" aca="1" ref="AC49" ca="1">INDEX(INDIRECT("PnL_"&amp;TEXT(AC$1,"mmm")&amp;"_"&amp;TEXT(AC$1,"yyyy")),MATCH(TRIM($A49),PnL_Accounts,0))</f>
        <v>2383</v>
      </c>
      <c r="AD49" s="115">
        <f t="array" aca="1" ref="AD49" ca="1">INDEX(INDIRECT("PnL_"&amp;TEXT(AD$1,"mmm")&amp;"_"&amp;TEXT(AD$1,"yyyy")),MATCH(TRIM($A49),PnL_Accounts,0))</f>
        <v>2383</v>
      </c>
      <c r="AE49" s="115">
        <f t="array" aca="1" ref="AE49" ca="1">INDEX(INDIRECT("PnL_"&amp;TEXT(AE$1,"mmm")&amp;"_"&amp;TEXT(AE$1,"yyyy")),MATCH(TRIM($A49),PnL_Accounts,0))</f>
        <v>2383</v>
      </c>
      <c r="AF49" s="25">
        <f t="array" ref="AF49">INDEX(Hiring_Plan_Payroll_Taxes_General,MATCH(AF$1,Hiring_Plan_Months,0))</f>
        <v>2025</v>
      </c>
      <c r="AG49" s="25">
        <f t="array" ref="AG49">INDEX(Hiring_Plan_Payroll_Taxes_General,MATCH(AG$1,Hiring_Plan_Months,0))</f>
        <v>2025</v>
      </c>
      <c r="AH49" s="25">
        <f t="array" ref="AH49">INDEX(Hiring_Plan_Payroll_Taxes_General,MATCH(AH$1,Hiring_Plan_Months,0))</f>
        <v>2025</v>
      </c>
      <c r="AI49" s="25">
        <f t="array" ref="AI49">INDEX(Hiring_Plan_Payroll_Taxes_General,MATCH(AI$1,Hiring_Plan_Months,0))</f>
        <v>2025</v>
      </c>
      <c r="AJ49" s="25">
        <f t="array" ref="AJ49">INDEX(Hiring_Plan_Payroll_Taxes_General,MATCH(AJ$1,Hiring_Plan_Months,0))</f>
        <v>2025</v>
      </c>
      <c r="AK49" s="25">
        <f t="array" ref="AK49">INDEX(Hiring_Plan_Payroll_Taxes_General,MATCH(AK$1,Hiring_Plan_Months,0))</f>
        <v>2025</v>
      </c>
      <c r="AL49" s="25">
        <f t="array" ref="AL49">INDEX(Hiring_Plan_Payroll_Taxes_General,MATCH(AL$1,Hiring_Plan_Months,0))</f>
        <v>2025</v>
      </c>
      <c r="AM49" s="25">
        <f t="array" ref="AM49">INDEX(Hiring_Plan_Payroll_Taxes_General,MATCH(AM$1,Hiring_Plan_Months,0))</f>
        <v>2025</v>
      </c>
      <c r="AN49" s="25">
        <f t="array" ref="AN49">INDEX(Hiring_Plan_Payroll_Taxes_General,MATCH(AN$1,Hiring_Plan_Months,0))</f>
        <v>2025</v>
      </c>
      <c r="AO49" s="25">
        <f t="array" ref="AO49">INDEX(Hiring_Plan_Payroll_Taxes_General,MATCH(AO$1,Hiring_Plan_Months,0))</f>
        <v>2025</v>
      </c>
      <c r="AP49" s="25">
        <f t="array" ref="AP49">INDEX(Hiring_Plan_Payroll_Taxes_General,MATCH(AP$1,Hiring_Plan_Months,0))</f>
        <v>2025</v>
      </c>
      <c r="AQ49" s="25">
        <f t="array" ref="AQ49">INDEX(Hiring_Plan_Payroll_Taxes_General,MATCH(AQ$1,Hiring_Plan_Months,0))</f>
        <v>2025</v>
      </c>
      <c r="AR49" s="25">
        <f t="array" ref="AR49">INDEX(Hiring_Plan_Payroll_Taxes_General,MATCH(AR$1,Hiring_Plan_Months,0))</f>
        <v>2025</v>
      </c>
      <c r="AS49" s="25">
        <f t="array" ref="AS49">INDEX(Hiring_Plan_Payroll_Taxes_General,MATCH(AS$1,Hiring_Plan_Months,0))</f>
        <v>2025</v>
      </c>
      <c r="AT49" s="25">
        <f t="array" ref="AT49">INDEX(Hiring_Plan_Payroll_Taxes_General,MATCH(AT$1,Hiring_Plan_Months,0))</f>
        <v>2025</v>
      </c>
      <c r="AU49" s="25">
        <f t="array" ref="AU49">INDEX(Hiring_Plan_Payroll_Taxes_General,MATCH(AU$1,Hiring_Plan_Months,0))</f>
        <v>2025</v>
      </c>
      <c r="AV49" s="25">
        <f t="array" ref="AV49">INDEX(Hiring_Plan_Payroll_Taxes_General,MATCH(AV$1,Hiring_Plan_Months,0))</f>
        <v>2025</v>
      </c>
      <c r="AW49" s="25">
        <f t="array" ref="AW49">INDEX(Hiring_Plan_Payroll_Taxes_General,MATCH(AW$1,Hiring_Plan_Months,0))</f>
        <v>2025</v>
      </c>
      <c r="AX49" s="25">
        <f t="array" ref="AX49">INDEX(Hiring_Plan_Payroll_Taxes_General,MATCH(AX$1,Hiring_Plan_Months,0))</f>
        <v>2025</v>
      </c>
      <c r="AY49" s="25">
        <f t="array" ref="AY49">INDEX(Hiring_Plan_Payroll_Taxes_General,MATCH(AY$1,Hiring_Plan_Months,0))</f>
        <v>2025</v>
      </c>
      <c r="AZ49" s="25">
        <f t="array" ref="AZ49">INDEX(Hiring_Plan_Payroll_Taxes_General,MATCH(AZ$1,Hiring_Plan_Months,0))</f>
        <v>2025</v>
      </c>
      <c r="BA49" s="25">
        <f t="array" ref="BA49">INDEX(Hiring_Plan_Payroll_Taxes_General,MATCH(BA$1,Hiring_Plan_Months,0))</f>
        <v>2025</v>
      </c>
      <c r="BB49" s="25">
        <f t="array" ref="BB49">INDEX(Hiring_Plan_Payroll_Taxes_General,MATCH(BB$1,Hiring_Plan_Months,0))</f>
        <v>2025</v>
      </c>
      <c r="BC49" s="25">
        <f t="array" ref="BC49">INDEX(Hiring_Plan_Payroll_Taxes_General,MATCH(BC$1,Hiring_Plan_Months,0))</f>
        <v>2025</v>
      </c>
      <c r="BD49" s="25">
        <f t="array" ref="BD49">INDEX(Hiring_Plan_Payroll_Taxes_General,MATCH(BD$1,Hiring_Plan_Months,0))</f>
        <v>2025</v>
      </c>
      <c r="BE49" s="25">
        <f t="array" ref="BE49">INDEX(Hiring_Plan_Payroll_Taxes_General,MATCH(BE$1,Hiring_Plan_Months,0))</f>
        <v>2025</v>
      </c>
      <c r="BF49" s="25">
        <f t="array" ref="BF49">INDEX(Hiring_Plan_Payroll_Taxes_General,MATCH(BF$1,Hiring_Plan_Months,0))</f>
        <v>2025</v>
      </c>
      <c r="BG49" s="25">
        <f t="array" ref="BG49">INDEX(Hiring_Plan_Payroll_Taxes_General,MATCH(BG$1,Hiring_Plan_Months,0))</f>
        <v>2025</v>
      </c>
      <c r="BH49" s="25">
        <f t="array" ref="BH49">INDEX(Hiring_Plan_Payroll_Taxes_General,MATCH(BH$1,Hiring_Plan_Months,0))</f>
        <v>2025</v>
      </c>
      <c r="BI49" s="25">
        <f t="array" ref="BI49">INDEX(Hiring_Plan_Payroll_Taxes_General,MATCH(BI$1,Hiring_Plan_Months,0))</f>
        <v>2025</v>
      </c>
      <c r="BJ49" s="25">
        <f t="array" ref="BJ49">INDEX(Hiring_Plan_Payroll_Taxes_General,MATCH(BJ$1,Hiring_Plan_Months,0))</f>
        <v>2025</v>
      </c>
      <c r="BK49" s="25">
        <f t="array" ref="BK49">INDEX(Hiring_Plan_Payroll_Taxes_General,MATCH(BK$1,Hiring_Plan_Months,0))</f>
        <v>2025</v>
      </c>
      <c r="BL49" s="25">
        <f t="array" ref="BL49">INDEX(Hiring_Plan_Payroll_Taxes_General,MATCH(BL$1,Hiring_Plan_Months,0))</f>
        <v>2025</v>
      </c>
      <c r="BM49" s="25">
        <f t="array" ref="BM49">INDEX(Hiring_Plan_Payroll_Taxes_General,MATCH(BM$1,Hiring_Plan_Months,0))</f>
        <v>2025</v>
      </c>
      <c r="BN49" s="25">
        <f t="array" ref="BN49">INDEX(Hiring_Plan_Payroll_Taxes_General,MATCH(BN$1,Hiring_Plan_Months,0))</f>
        <v>2025</v>
      </c>
      <c r="BO49" s="25">
        <f t="array" ref="BO49">INDEX(Hiring_Plan_Payroll_Taxes_General,MATCH(BO$1,Hiring_Plan_Months,0))</f>
        <v>2025</v>
      </c>
      <c r="BP49" s="25">
        <f t="array" ref="BP49">INDEX(Hiring_Plan_Payroll_Taxes_General,MATCH(BP$1,Hiring_Plan_Months,0))</f>
        <v>2025</v>
      </c>
      <c r="BQ49" s="25">
        <f t="array" ref="BQ49">INDEX(Hiring_Plan_Payroll_Taxes_General,MATCH(BQ$1,Hiring_Plan_Months,0))</f>
        <v>2025</v>
      </c>
      <c r="BR49" s="25">
        <f t="array" ref="BR49">INDEX(Hiring_Plan_Payroll_Taxes_General,MATCH(BR$1,Hiring_Plan_Months,0))</f>
        <v>2025</v>
      </c>
      <c r="BS49" s="25">
        <f t="array" ref="BS49">INDEX(Hiring_Plan_Payroll_Taxes_General,MATCH(BS$1,Hiring_Plan_Months,0))</f>
        <v>2025</v>
      </c>
      <c r="BT49" s="25">
        <f t="array" ref="BT49">INDEX(Hiring_Plan_Payroll_Taxes_General,MATCH(BT$1,Hiring_Plan_Months,0))</f>
        <v>2025</v>
      </c>
      <c r="BU49" s="25">
        <f t="array" ref="BU49">INDEX(Hiring_Plan_Payroll_Taxes_General,MATCH(BU$1,Hiring_Plan_Months,0))</f>
        <v>2025</v>
      </c>
      <c r="BV49" s="25">
        <f t="array" ref="BV49">INDEX(Hiring_Plan_Payroll_Taxes_General,MATCH(BV$1,Hiring_Plan_Months,0))</f>
        <v>2025</v>
      </c>
      <c r="BW49" s="25">
        <f t="array" ref="BW49">INDEX(Hiring_Plan_Payroll_Taxes_General,MATCH(BW$1,Hiring_Plan_Months,0))</f>
        <v>2025</v>
      </c>
    </row>
    <row r="50" spans="1:75" ht="12.75" x14ac:dyDescent="0.2">
      <c r="A50" s="23" t="s">
        <v>304</v>
      </c>
      <c r="B50" s="224">
        <f ca="1">AVERAGEIFS(50:50,$1:$1,"&gt;="&amp;DATE(YEAR(Current_Month),MONTH(Current_Month)-2,DAY(Current_Month)),$1:$1,"&lt;="&amp;EOMONTH(Current_Month,0))</f>
        <v>28700</v>
      </c>
      <c r="D50" s="115">
        <f t="array" aca="1" ref="D50" ca="1">INDEX(INDIRECT("PnL_"&amp;TEXT(D$1,"mmm")&amp;"_"&amp;TEXT(D$1,"yyyy")),MATCH(TRIM($A50),PnL_Accounts,0))</f>
        <v>16666</v>
      </c>
      <c r="E50" s="115">
        <f t="array" aca="1" ref="E50" ca="1">INDEX(INDIRECT("PnL_"&amp;TEXT(E$1,"mmm")&amp;"_"&amp;TEXT(E$1,"yyyy")),MATCH(TRIM($A50),PnL_Accounts,0))</f>
        <v>16666</v>
      </c>
      <c r="F50" s="115">
        <f t="array" aca="1" ref="F50" ca="1">INDEX(INDIRECT("PnL_"&amp;TEXT(F$1,"mmm")&amp;"_"&amp;TEXT(F$1,"yyyy")),MATCH(TRIM($A50),PnL_Accounts,0))</f>
        <v>16666</v>
      </c>
      <c r="G50" s="115">
        <f t="array" aca="1" ref="G50" ca="1">INDEX(INDIRECT("PnL_"&amp;TEXT(G$1,"mmm")&amp;"_"&amp;TEXT(G$1,"yyyy")),MATCH(TRIM($A50),PnL_Accounts,0))</f>
        <v>16666</v>
      </c>
      <c r="H50" s="115">
        <f t="array" aca="1" ref="H50" ca="1">INDEX(INDIRECT("PnL_"&amp;TEXT(H$1,"mmm")&amp;"_"&amp;TEXT(H$1,"yyyy")),MATCH(TRIM($A50),PnL_Accounts,0))</f>
        <v>16666</v>
      </c>
      <c r="I50" s="115">
        <f t="array" aca="1" ref="I50" ca="1">INDEX(INDIRECT("PnL_"&amp;TEXT(I$1,"mmm")&amp;"_"&amp;TEXT(I$1,"yyyy")),MATCH(TRIM($A50),PnL_Accounts,0))</f>
        <v>16666</v>
      </c>
      <c r="J50" s="115">
        <f t="array" aca="1" ref="J50" ca="1">INDEX(INDIRECT("PnL_"&amp;TEXT(J$1,"mmm")&amp;"_"&amp;TEXT(J$1,"yyyy")),MATCH(TRIM($A50),PnL_Accounts,0))</f>
        <v>16666</v>
      </c>
      <c r="K50" s="115">
        <f t="array" aca="1" ref="K50" ca="1">INDEX(INDIRECT("PnL_"&amp;TEXT(K$1,"mmm")&amp;"_"&amp;TEXT(K$1,"yyyy")),MATCH(TRIM($A50),PnL_Accounts,0))</f>
        <v>16666</v>
      </c>
      <c r="L50" s="115">
        <f t="array" aca="1" ref="L50" ca="1">INDEX(INDIRECT("PnL_"&amp;TEXT(L$1,"mmm")&amp;"_"&amp;TEXT(L$1,"yyyy")),MATCH(TRIM($A50),PnL_Accounts,0))</f>
        <v>21200</v>
      </c>
      <c r="M50" s="115">
        <f t="array" aca="1" ref="M50" ca="1">INDEX(INDIRECT("PnL_"&amp;TEXT(M$1,"mmm")&amp;"_"&amp;TEXT(M$1,"yyyy")),MATCH(TRIM($A50),PnL_Accounts,0))</f>
        <v>21200</v>
      </c>
      <c r="N50" s="115">
        <f t="array" aca="1" ref="N50" ca="1">INDEX(INDIRECT("PnL_"&amp;TEXT(N$1,"mmm")&amp;"_"&amp;TEXT(N$1,"yyyy")),MATCH(TRIM($A50),PnL_Accounts,0))</f>
        <v>21200</v>
      </c>
      <c r="O50" s="115">
        <f t="array" aca="1" ref="O50" ca="1">INDEX(INDIRECT("PnL_"&amp;TEXT(O$1,"mmm")&amp;"_"&amp;TEXT(O$1,"yyyy")),MATCH(TRIM($A50),PnL_Accounts,0))</f>
        <v>21200</v>
      </c>
      <c r="P50" s="115">
        <f t="array" aca="1" ref="P50" ca="1">INDEX(INDIRECT("PnL_"&amp;TEXT(P$1,"mmm")&amp;"_"&amp;TEXT(P$1,"yyyy")),MATCH(TRIM($A50),PnL_Accounts,0))</f>
        <v>21200</v>
      </c>
      <c r="Q50" s="115">
        <f t="array" aca="1" ref="Q50" ca="1">INDEX(INDIRECT("PnL_"&amp;TEXT(Q$1,"mmm")&amp;"_"&amp;TEXT(Q$1,"yyyy")),MATCH(TRIM($A50),PnL_Accounts,0))</f>
        <v>25700</v>
      </c>
      <c r="R50" s="115">
        <f t="array" aca="1" ref="R50" ca="1">INDEX(INDIRECT("PnL_"&amp;TEXT(R$1,"mmm")&amp;"_"&amp;TEXT(R$1,"yyyy")),MATCH(TRIM($A50),PnL_Accounts,0))</f>
        <v>25700</v>
      </c>
      <c r="S50" s="115">
        <f t="array" aca="1" ref="S50" ca="1">INDEX(INDIRECT("PnL_"&amp;TEXT(S$1,"mmm")&amp;"_"&amp;TEXT(S$1,"yyyy")),MATCH(TRIM($A50),PnL_Accounts,0))</f>
        <v>25700</v>
      </c>
      <c r="T50" s="115">
        <f t="array" aca="1" ref="T50" ca="1">INDEX(INDIRECT("PnL_"&amp;TEXT(T$1,"mmm")&amp;"_"&amp;TEXT(T$1,"yyyy")),MATCH(TRIM($A50),PnL_Accounts,0))</f>
        <v>28700</v>
      </c>
      <c r="U50" s="115">
        <f t="array" aca="1" ref="U50" ca="1">INDEX(INDIRECT("PnL_"&amp;TEXT(U$1,"mmm")&amp;"_"&amp;TEXT(U$1,"yyyy")),MATCH(TRIM($A50),PnL_Accounts,0))</f>
        <v>28700</v>
      </c>
      <c r="V50" s="115">
        <f t="array" aca="1" ref="V50" ca="1">INDEX(INDIRECT("PnL_"&amp;TEXT(V$1,"mmm")&amp;"_"&amp;TEXT(V$1,"yyyy")),MATCH(TRIM($A50),PnL_Accounts,0))</f>
        <v>28700</v>
      </c>
      <c r="W50" s="115">
        <f t="array" aca="1" ref="W50" ca="1">INDEX(INDIRECT("PnL_"&amp;TEXT(W$1,"mmm")&amp;"_"&amp;TEXT(W$1,"yyyy")),MATCH(TRIM($A50),PnL_Accounts,0))</f>
        <v>28700</v>
      </c>
      <c r="X50" s="115">
        <f t="array" aca="1" ref="X50" ca="1">INDEX(INDIRECT("PnL_"&amp;TEXT(X$1,"mmm")&amp;"_"&amp;TEXT(X$1,"yyyy")),MATCH(TRIM($A50),PnL_Accounts,0))</f>
        <v>28700</v>
      </c>
      <c r="Y50" s="115">
        <f t="array" aca="1" ref="Y50" ca="1">INDEX(INDIRECT("PnL_"&amp;TEXT(Y$1,"mmm")&amp;"_"&amp;TEXT(Y$1,"yyyy")),MATCH(TRIM($A50),PnL_Accounts,0))</f>
        <v>28700</v>
      </c>
      <c r="Z50" s="115">
        <f t="array" aca="1" ref="Z50" ca="1">INDEX(INDIRECT("PnL_"&amp;TEXT(Z$1,"mmm")&amp;"_"&amp;TEXT(Z$1,"yyyy")),MATCH(TRIM($A50),PnL_Accounts,0))</f>
        <v>28700</v>
      </c>
      <c r="AA50" s="115">
        <f t="array" aca="1" ref="AA50" ca="1">INDEX(INDIRECT("PnL_"&amp;TEXT(AA$1,"mmm")&amp;"_"&amp;TEXT(AA$1,"yyyy")),MATCH(TRIM($A50),PnL_Accounts,0))</f>
        <v>28700</v>
      </c>
      <c r="AB50" s="115">
        <f t="array" aca="1" ref="AB50" ca="1">INDEX(INDIRECT("PnL_"&amp;TEXT(AB$1,"mmm")&amp;"_"&amp;TEXT(AB$1,"yyyy")),MATCH(TRIM($A50),PnL_Accounts,0))</f>
        <v>28700</v>
      </c>
      <c r="AC50" s="115">
        <f t="array" aca="1" ref="AC50" ca="1">INDEX(INDIRECT("PnL_"&amp;TEXT(AC$1,"mmm")&amp;"_"&amp;TEXT(AC$1,"yyyy")),MATCH(TRIM($A50),PnL_Accounts,0))</f>
        <v>28700</v>
      </c>
      <c r="AD50" s="115">
        <f t="array" aca="1" ref="AD50" ca="1">INDEX(INDIRECT("PnL_"&amp;TEXT(AD$1,"mmm")&amp;"_"&amp;TEXT(AD$1,"yyyy")),MATCH(TRIM($A50),PnL_Accounts,0))</f>
        <v>28700</v>
      </c>
      <c r="AE50" s="115">
        <f t="array" aca="1" ref="AE50" ca="1">INDEX(INDIRECT("PnL_"&amp;TEXT(AE$1,"mmm")&amp;"_"&amp;TEXT(AE$1,"yyyy")),MATCH(TRIM($A50),PnL_Accounts,0))</f>
        <v>28700</v>
      </c>
      <c r="AF50" s="25">
        <f t="array" ref="AF50">INDEX(Hiring_Plan_Salaries_General,MATCH(AF$1,Hiring_Plan_Months,0))</f>
        <v>22500</v>
      </c>
      <c r="AG50" s="25">
        <f t="array" ref="AG50">INDEX(Hiring_Plan_Salaries_General,MATCH(AG$1,Hiring_Plan_Months,0))</f>
        <v>22500</v>
      </c>
      <c r="AH50" s="25">
        <f t="array" ref="AH50">INDEX(Hiring_Plan_Salaries_General,MATCH(AH$1,Hiring_Plan_Months,0))</f>
        <v>22500</v>
      </c>
      <c r="AI50" s="25">
        <f t="array" ref="AI50">INDEX(Hiring_Plan_Salaries_General,MATCH(AI$1,Hiring_Plan_Months,0))</f>
        <v>22500</v>
      </c>
      <c r="AJ50" s="25">
        <f t="array" ref="AJ50">INDEX(Hiring_Plan_Salaries_General,MATCH(AJ$1,Hiring_Plan_Months,0))</f>
        <v>22500</v>
      </c>
      <c r="AK50" s="25">
        <f t="array" ref="AK50">INDEX(Hiring_Plan_Salaries_General,MATCH(AK$1,Hiring_Plan_Months,0))</f>
        <v>22500</v>
      </c>
      <c r="AL50" s="25">
        <f t="array" ref="AL50">INDEX(Hiring_Plan_Salaries_General,MATCH(AL$1,Hiring_Plan_Months,0))</f>
        <v>22500</v>
      </c>
      <c r="AM50" s="25">
        <f t="array" ref="AM50">INDEX(Hiring_Plan_Salaries_General,MATCH(AM$1,Hiring_Plan_Months,0))</f>
        <v>22500</v>
      </c>
      <c r="AN50" s="25">
        <f t="array" ref="AN50">INDEX(Hiring_Plan_Salaries_General,MATCH(AN$1,Hiring_Plan_Months,0))</f>
        <v>22500</v>
      </c>
      <c r="AO50" s="25">
        <f t="array" ref="AO50">INDEX(Hiring_Plan_Salaries_General,MATCH(AO$1,Hiring_Plan_Months,0))</f>
        <v>22500</v>
      </c>
      <c r="AP50" s="25">
        <f t="array" ref="AP50">INDEX(Hiring_Plan_Salaries_General,MATCH(AP$1,Hiring_Plan_Months,0))</f>
        <v>22500</v>
      </c>
      <c r="AQ50" s="25">
        <f t="array" ref="AQ50">INDEX(Hiring_Plan_Salaries_General,MATCH(AQ$1,Hiring_Plan_Months,0))</f>
        <v>22500</v>
      </c>
      <c r="AR50" s="25">
        <f t="array" ref="AR50">INDEX(Hiring_Plan_Salaries_General,MATCH(AR$1,Hiring_Plan_Months,0))</f>
        <v>22500</v>
      </c>
      <c r="AS50" s="25">
        <f t="array" ref="AS50">INDEX(Hiring_Plan_Salaries_General,MATCH(AS$1,Hiring_Plan_Months,0))</f>
        <v>22500</v>
      </c>
      <c r="AT50" s="25">
        <f t="array" ref="AT50">INDEX(Hiring_Plan_Salaries_General,MATCH(AT$1,Hiring_Plan_Months,0))</f>
        <v>22500</v>
      </c>
      <c r="AU50" s="25">
        <f t="array" ref="AU50">INDEX(Hiring_Plan_Salaries_General,MATCH(AU$1,Hiring_Plan_Months,0))</f>
        <v>22500</v>
      </c>
      <c r="AV50" s="25">
        <f t="array" ref="AV50">INDEX(Hiring_Plan_Salaries_General,MATCH(AV$1,Hiring_Plan_Months,0))</f>
        <v>22500</v>
      </c>
      <c r="AW50" s="25">
        <f t="array" ref="AW50">INDEX(Hiring_Plan_Salaries_General,MATCH(AW$1,Hiring_Plan_Months,0))</f>
        <v>22500</v>
      </c>
      <c r="AX50" s="25">
        <f t="array" ref="AX50">INDEX(Hiring_Plan_Salaries_General,MATCH(AX$1,Hiring_Plan_Months,0))</f>
        <v>22500</v>
      </c>
      <c r="AY50" s="25">
        <f t="array" ref="AY50">INDEX(Hiring_Plan_Salaries_General,MATCH(AY$1,Hiring_Plan_Months,0))</f>
        <v>22500</v>
      </c>
      <c r="AZ50" s="25">
        <f t="array" ref="AZ50">INDEX(Hiring_Plan_Salaries_General,MATCH(AZ$1,Hiring_Plan_Months,0))</f>
        <v>22500</v>
      </c>
      <c r="BA50" s="25">
        <f t="array" ref="BA50">INDEX(Hiring_Plan_Salaries_General,MATCH(BA$1,Hiring_Plan_Months,0))</f>
        <v>22500</v>
      </c>
      <c r="BB50" s="25">
        <f t="array" ref="BB50">INDEX(Hiring_Plan_Salaries_General,MATCH(BB$1,Hiring_Plan_Months,0))</f>
        <v>22500</v>
      </c>
      <c r="BC50" s="25">
        <f t="array" ref="BC50">INDEX(Hiring_Plan_Salaries_General,MATCH(BC$1,Hiring_Plan_Months,0))</f>
        <v>22500</v>
      </c>
      <c r="BD50" s="25">
        <f t="array" ref="BD50">INDEX(Hiring_Plan_Salaries_General,MATCH(BD$1,Hiring_Plan_Months,0))</f>
        <v>22500</v>
      </c>
      <c r="BE50" s="25">
        <f t="array" ref="BE50">INDEX(Hiring_Plan_Salaries_General,MATCH(BE$1,Hiring_Plan_Months,0))</f>
        <v>22500</v>
      </c>
      <c r="BF50" s="25">
        <f t="array" ref="BF50">INDEX(Hiring_Plan_Salaries_General,MATCH(BF$1,Hiring_Plan_Months,0))</f>
        <v>22500</v>
      </c>
      <c r="BG50" s="25">
        <f t="array" ref="BG50">INDEX(Hiring_Plan_Salaries_General,MATCH(BG$1,Hiring_Plan_Months,0))</f>
        <v>22500</v>
      </c>
      <c r="BH50" s="25">
        <f t="array" ref="BH50">INDEX(Hiring_Plan_Salaries_General,MATCH(BH$1,Hiring_Plan_Months,0))</f>
        <v>22500</v>
      </c>
      <c r="BI50" s="25">
        <f t="array" ref="BI50">INDEX(Hiring_Plan_Salaries_General,MATCH(BI$1,Hiring_Plan_Months,0))</f>
        <v>22500</v>
      </c>
      <c r="BJ50" s="25">
        <f t="array" ref="BJ50">INDEX(Hiring_Plan_Salaries_General,MATCH(BJ$1,Hiring_Plan_Months,0))</f>
        <v>22500</v>
      </c>
      <c r="BK50" s="25">
        <f t="array" ref="BK50">INDEX(Hiring_Plan_Salaries_General,MATCH(BK$1,Hiring_Plan_Months,0))</f>
        <v>22500</v>
      </c>
      <c r="BL50" s="25">
        <f t="array" ref="BL50">INDEX(Hiring_Plan_Salaries_General,MATCH(BL$1,Hiring_Plan_Months,0))</f>
        <v>22500</v>
      </c>
      <c r="BM50" s="25">
        <f t="array" ref="BM50">INDEX(Hiring_Plan_Salaries_General,MATCH(BM$1,Hiring_Plan_Months,0))</f>
        <v>22500</v>
      </c>
      <c r="BN50" s="25">
        <f t="array" ref="BN50">INDEX(Hiring_Plan_Salaries_General,MATCH(BN$1,Hiring_Plan_Months,0))</f>
        <v>22500</v>
      </c>
      <c r="BO50" s="25">
        <f t="array" ref="BO50">INDEX(Hiring_Plan_Salaries_General,MATCH(BO$1,Hiring_Plan_Months,0))</f>
        <v>22500</v>
      </c>
      <c r="BP50" s="25">
        <f t="array" ref="BP50">INDEX(Hiring_Plan_Salaries_General,MATCH(BP$1,Hiring_Plan_Months,0))</f>
        <v>22500</v>
      </c>
      <c r="BQ50" s="25">
        <f t="array" ref="BQ50">INDEX(Hiring_Plan_Salaries_General,MATCH(BQ$1,Hiring_Plan_Months,0))</f>
        <v>22500</v>
      </c>
      <c r="BR50" s="25">
        <f t="array" ref="BR50">INDEX(Hiring_Plan_Salaries_General,MATCH(BR$1,Hiring_Plan_Months,0))</f>
        <v>22500</v>
      </c>
      <c r="BS50" s="25">
        <f t="array" ref="BS50">INDEX(Hiring_Plan_Salaries_General,MATCH(BS$1,Hiring_Plan_Months,0))</f>
        <v>22500</v>
      </c>
      <c r="BT50" s="25">
        <f t="array" ref="BT50">INDEX(Hiring_Plan_Salaries_General,MATCH(BT$1,Hiring_Plan_Months,0))</f>
        <v>22500</v>
      </c>
      <c r="BU50" s="25">
        <f t="array" ref="BU50">INDEX(Hiring_Plan_Salaries_General,MATCH(BU$1,Hiring_Plan_Months,0))</f>
        <v>22500</v>
      </c>
      <c r="BV50" s="25">
        <f t="array" ref="BV50">INDEX(Hiring_Plan_Salaries_General,MATCH(BV$1,Hiring_Plan_Months,0))</f>
        <v>22500</v>
      </c>
      <c r="BW50" s="25">
        <f t="array" ref="BW50">INDEX(Hiring_Plan_Salaries_General,MATCH(BW$1,Hiring_Plan_Months,0))</f>
        <v>22500</v>
      </c>
    </row>
    <row r="51" spans="1:75" ht="12.75" x14ac:dyDescent="0.2">
      <c r="A51" s="60" t="s">
        <v>305</v>
      </c>
      <c r="B51" s="238"/>
      <c r="C51" s="212"/>
      <c r="D51" s="226">
        <f t="shared" ref="D51:BW51" ca="1" si="22">SUM(D47:D50)</f>
        <v>19066</v>
      </c>
      <c r="E51" s="226">
        <f t="shared" ca="1" si="22"/>
        <v>19066</v>
      </c>
      <c r="F51" s="226">
        <f t="shared" ca="1" si="22"/>
        <v>19066</v>
      </c>
      <c r="G51" s="226">
        <f t="shared" ca="1" si="22"/>
        <v>19066</v>
      </c>
      <c r="H51" s="226">
        <f t="shared" ca="1" si="22"/>
        <v>19066</v>
      </c>
      <c r="I51" s="226">
        <f t="shared" ca="1" si="22"/>
        <v>19066</v>
      </c>
      <c r="J51" s="226">
        <f t="shared" ca="1" si="22"/>
        <v>19066</v>
      </c>
      <c r="K51" s="226">
        <f t="shared" ca="1" si="22"/>
        <v>19066</v>
      </c>
      <c r="L51" s="226">
        <f t="shared" ca="1" si="22"/>
        <v>24205</v>
      </c>
      <c r="M51" s="226">
        <f t="shared" ca="1" si="22"/>
        <v>24205</v>
      </c>
      <c r="N51" s="226">
        <f t="shared" ca="1" si="22"/>
        <v>24205</v>
      </c>
      <c r="O51" s="226">
        <f t="shared" ca="1" si="22"/>
        <v>24205</v>
      </c>
      <c r="P51" s="226">
        <f t="shared" ca="1" si="22"/>
        <v>24205</v>
      </c>
      <c r="Q51" s="226">
        <f t="shared" ca="1" si="22"/>
        <v>29307</v>
      </c>
      <c r="R51" s="226">
        <f t="shared" ca="1" si="22"/>
        <v>29307</v>
      </c>
      <c r="S51" s="226">
        <f t="shared" ca="1" si="22"/>
        <v>29307</v>
      </c>
      <c r="T51" s="226">
        <f t="shared" ca="1" si="22"/>
        <v>32877</v>
      </c>
      <c r="U51" s="226">
        <f t="shared" ca="1" si="22"/>
        <v>32877</v>
      </c>
      <c r="V51" s="226">
        <f t="shared" ca="1" si="22"/>
        <v>32877</v>
      </c>
      <c r="W51" s="226">
        <f t="shared" ca="1" si="22"/>
        <v>32877</v>
      </c>
      <c r="X51" s="226">
        <f t="shared" ca="1" si="22"/>
        <v>32877</v>
      </c>
      <c r="Y51" s="226">
        <f t="shared" ca="1" si="22"/>
        <v>32877</v>
      </c>
      <c r="Z51" s="226">
        <f t="shared" ca="1" si="22"/>
        <v>33061</v>
      </c>
      <c r="AA51" s="226">
        <f t="shared" ca="1" si="22"/>
        <v>33077</v>
      </c>
      <c r="AB51" s="226">
        <f t="shared" ca="1" si="22"/>
        <v>33077</v>
      </c>
      <c r="AC51" s="226">
        <f t="shared" ca="1" si="22"/>
        <v>33077</v>
      </c>
      <c r="AD51" s="226">
        <f t="shared" ca="1" si="22"/>
        <v>33077</v>
      </c>
      <c r="AE51" s="226">
        <f t="shared" ca="1" si="22"/>
        <v>33077</v>
      </c>
      <c r="AF51" s="226">
        <f t="shared" si="22"/>
        <v>26425</v>
      </c>
      <c r="AG51" s="226">
        <f t="shared" si="22"/>
        <v>26425</v>
      </c>
      <c r="AH51" s="226">
        <f t="shared" si="22"/>
        <v>26425</v>
      </c>
      <c r="AI51" s="226">
        <f t="shared" si="22"/>
        <v>26425</v>
      </c>
      <c r="AJ51" s="226">
        <f t="shared" si="22"/>
        <v>26425</v>
      </c>
      <c r="AK51" s="226">
        <f t="shared" si="22"/>
        <v>26425</v>
      </c>
      <c r="AL51" s="226">
        <f t="shared" si="22"/>
        <v>26425</v>
      </c>
      <c r="AM51" s="226">
        <f t="shared" si="22"/>
        <v>26425</v>
      </c>
      <c r="AN51" s="226">
        <f t="shared" si="22"/>
        <v>26425</v>
      </c>
      <c r="AO51" s="226">
        <f t="shared" si="22"/>
        <v>26425</v>
      </c>
      <c r="AP51" s="226">
        <f t="shared" si="22"/>
        <v>26425</v>
      </c>
      <c r="AQ51" s="226">
        <f t="shared" si="22"/>
        <v>26425</v>
      </c>
      <c r="AR51" s="226">
        <f t="shared" si="22"/>
        <v>26425</v>
      </c>
      <c r="AS51" s="226">
        <f t="shared" si="22"/>
        <v>26425</v>
      </c>
      <c r="AT51" s="226">
        <f t="shared" si="22"/>
        <v>26425</v>
      </c>
      <c r="AU51" s="226">
        <f t="shared" si="22"/>
        <v>26425</v>
      </c>
      <c r="AV51" s="226">
        <f t="shared" si="22"/>
        <v>26425</v>
      </c>
      <c r="AW51" s="226">
        <f t="shared" si="22"/>
        <v>26425</v>
      </c>
      <c r="AX51" s="226">
        <f t="shared" si="22"/>
        <v>26425</v>
      </c>
      <c r="AY51" s="226">
        <f t="shared" si="22"/>
        <v>26425</v>
      </c>
      <c r="AZ51" s="226">
        <f t="shared" si="22"/>
        <v>26425</v>
      </c>
      <c r="BA51" s="226">
        <f t="shared" si="22"/>
        <v>26425</v>
      </c>
      <c r="BB51" s="226">
        <f t="shared" si="22"/>
        <v>26425</v>
      </c>
      <c r="BC51" s="226">
        <f t="shared" si="22"/>
        <v>26425</v>
      </c>
      <c r="BD51" s="226">
        <f t="shared" si="22"/>
        <v>26425</v>
      </c>
      <c r="BE51" s="226">
        <f t="shared" si="22"/>
        <v>26425</v>
      </c>
      <c r="BF51" s="226">
        <f t="shared" si="22"/>
        <v>26425</v>
      </c>
      <c r="BG51" s="226">
        <f t="shared" si="22"/>
        <v>26425</v>
      </c>
      <c r="BH51" s="226">
        <f t="shared" si="22"/>
        <v>26425</v>
      </c>
      <c r="BI51" s="226">
        <f t="shared" si="22"/>
        <v>26425</v>
      </c>
      <c r="BJ51" s="226">
        <f t="shared" si="22"/>
        <v>26425</v>
      </c>
      <c r="BK51" s="226">
        <f t="shared" si="22"/>
        <v>26425</v>
      </c>
      <c r="BL51" s="226">
        <f t="shared" si="22"/>
        <v>26425</v>
      </c>
      <c r="BM51" s="226">
        <f t="shared" si="22"/>
        <v>26425</v>
      </c>
      <c r="BN51" s="226">
        <f t="shared" si="22"/>
        <v>26425</v>
      </c>
      <c r="BO51" s="226">
        <f t="shared" si="22"/>
        <v>26425</v>
      </c>
      <c r="BP51" s="226">
        <f t="shared" si="22"/>
        <v>26425</v>
      </c>
      <c r="BQ51" s="226">
        <f t="shared" si="22"/>
        <v>26425</v>
      </c>
      <c r="BR51" s="226">
        <f t="shared" si="22"/>
        <v>26425</v>
      </c>
      <c r="BS51" s="226">
        <f t="shared" si="22"/>
        <v>26425</v>
      </c>
      <c r="BT51" s="226">
        <f t="shared" si="22"/>
        <v>26425</v>
      </c>
      <c r="BU51" s="226">
        <f t="shared" si="22"/>
        <v>26425</v>
      </c>
      <c r="BV51" s="226">
        <f t="shared" si="22"/>
        <v>26425</v>
      </c>
      <c r="BW51" s="226">
        <f t="shared" si="22"/>
        <v>26425</v>
      </c>
    </row>
    <row r="52" spans="1:75" ht="12.75" x14ac:dyDescent="0.2">
      <c r="A52" s="23" t="s">
        <v>306</v>
      </c>
      <c r="B52" s="224">
        <f ca="1">AVERAGEIFS(52:52,$1:$1,"&gt;="&amp;DATE(YEAR(Current_Month),MONTH(Current_Month)-2,DAY(Current_Month)),$1:$1,"&lt;="&amp;EOMONTH(Current_Month,0))</f>
        <v>7319</v>
      </c>
      <c r="D52" s="115">
        <f t="array" aca="1" ref="D52" ca="1">INDEX(INDIRECT("PnL_"&amp;TEXT(D$1,"mmm")&amp;"_"&amp;TEXT(D$1,"yyyy")),MATCH(TRIM($A52),PnL_Accounts,0))</f>
        <v>6790</v>
      </c>
      <c r="E52" s="115">
        <f t="array" aca="1" ref="E52" ca="1">INDEX(INDIRECT("PnL_"&amp;TEXT(E$1,"mmm")&amp;"_"&amp;TEXT(E$1,"yyyy")),MATCH(TRIM($A52),PnL_Accounts,0))</f>
        <v>6790</v>
      </c>
      <c r="F52" s="115">
        <f t="array" aca="1" ref="F52" ca="1">INDEX(INDIRECT("PnL_"&amp;TEXT(F$1,"mmm")&amp;"_"&amp;TEXT(F$1,"yyyy")),MATCH(TRIM($A52),PnL_Accounts,0))</f>
        <v>6790</v>
      </c>
      <c r="G52" s="115">
        <f t="array" aca="1" ref="G52" ca="1">INDEX(INDIRECT("PnL_"&amp;TEXT(G$1,"mmm")&amp;"_"&amp;TEXT(G$1,"yyyy")),MATCH(TRIM($A52),PnL_Accounts,0))</f>
        <v>6790</v>
      </c>
      <c r="H52" s="115">
        <f t="array" aca="1" ref="H52" ca="1">INDEX(INDIRECT("PnL_"&amp;TEXT(H$1,"mmm")&amp;"_"&amp;TEXT(H$1,"yyyy")),MATCH(TRIM($A52),PnL_Accounts,0))</f>
        <v>6790</v>
      </c>
      <c r="I52" s="115">
        <f t="array" aca="1" ref="I52" ca="1">INDEX(INDIRECT("PnL_"&amp;TEXT(I$1,"mmm")&amp;"_"&amp;TEXT(I$1,"yyyy")),MATCH(TRIM($A52),PnL_Accounts,0))</f>
        <v>6790</v>
      </c>
      <c r="J52" s="115">
        <f t="array" aca="1" ref="J52" ca="1">INDEX(INDIRECT("PnL_"&amp;TEXT(J$1,"mmm")&amp;"_"&amp;TEXT(J$1,"yyyy")),MATCH(TRIM($A52),PnL_Accounts,0))</f>
        <v>6790</v>
      </c>
      <c r="K52" s="115">
        <f t="array" aca="1" ref="K52" ca="1">INDEX(INDIRECT("PnL_"&amp;TEXT(K$1,"mmm")&amp;"_"&amp;TEXT(K$1,"yyyy")),MATCH(TRIM($A52),PnL_Accounts,0))</f>
        <v>6930</v>
      </c>
      <c r="L52" s="115">
        <f t="array" aca="1" ref="L52" ca="1">INDEX(INDIRECT("PnL_"&amp;TEXT(L$1,"mmm")&amp;"_"&amp;TEXT(L$1,"yyyy")),MATCH(TRIM($A52),PnL_Accounts,0))</f>
        <v>6930</v>
      </c>
      <c r="M52" s="115">
        <f t="array" aca="1" ref="M52" ca="1">INDEX(INDIRECT("PnL_"&amp;TEXT(M$1,"mmm")&amp;"_"&amp;TEXT(M$1,"yyyy")),MATCH(TRIM($A52),PnL_Accounts,0))</f>
        <v>7380</v>
      </c>
      <c r="N52" s="115">
        <f t="array" aca="1" ref="N52" ca="1">INDEX(INDIRECT("PnL_"&amp;TEXT(N$1,"mmm")&amp;"_"&amp;TEXT(N$1,"yyyy")),MATCH(TRIM($A52),PnL_Accounts,0))</f>
        <v>7236</v>
      </c>
      <c r="O52" s="115">
        <f t="array" aca="1" ref="O52" ca="1">INDEX(INDIRECT("PnL_"&amp;TEXT(O$1,"mmm")&amp;"_"&amp;TEXT(O$1,"yyyy")),MATCH(TRIM($A52),PnL_Accounts,0))</f>
        <v>7563</v>
      </c>
      <c r="P52" s="115">
        <f t="array" aca="1" ref="P52" ca="1">INDEX(INDIRECT("PnL_"&amp;TEXT(P$1,"mmm")&amp;"_"&amp;TEXT(P$1,"yyyy")),MATCH(TRIM($A52),PnL_Accounts,0))</f>
        <v>7255</v>
      </c>
      <c r="Q52" s="115">
        <f t="array" aca="1" ref="Q52" ca="1">INDEX(INDIRECT("PnL_"&amp;TEXT(Q$1,"mmm")&amp;"_"&amp;TEXT(Q$1,"yyyy")),MATCH(TRIM($A52),PnL_Accounts,0))</f>
        <v>7188</v>
      </c>
      <c r="R52" s="115">
        <f t="array" aca="1" ref="R52" ca="1">INDEX(INDIRECT("PnL_"&amp;TEXT(R$1,"mmm")&amp;"_"&amp;TEXT(R$1,"yyyy")),MATCH(TRIM($A52),PnL_Accounts,0))</f>
        <v>7188</v>
      </c>
      <c r="S52" s="115">
        <f t="array" aca="1" ref="S52" ca="1">INDEX(INDIRECT("PnL_"&amp;TEXT(S$1,"mmm")&amp;"_"&amp;TEXT(S$1,"yyyy")),MATCH(TRIM($A52),PnL_Accounts,0))</f>
        <v>7188</v>
      </c>
      <c r="T52" s="115">
        <f t="array" aca="1" ref="T52" ca="1">INDEX(INDIRECT("PnL_"&amp;TEXT(T$1,"mmm")&amp;"_"&amp;TEXT(T$1,"yyyy")),MATCH(TRIM($A52),PnL_Accounts,0))</f>
        <v>6919</v>
      </c>
      <c r="U52" s="115">
        <f t="array" aca="1" ref="U52" ca="1">INDEX(INDIRECT("PnL_"&amp;TEXT(U$1,"mmm")&amp;"_"&amp;TEXT(U$1,"yyyy")),MATCH(TRIM($A52),PnL_Accounts,0))</f>
        <v>7340</v>
      </c>
      <c r="V52" s="115">
        <f t="array" aca="1" ref="V52" ca="1">INDEX(INDIRECT("PnL_"&amp;TEXT(V$1,"mmm")&amp;"_"&amp;TEXT(V$1,"yyyy")),MATCH(TRIM($A52),PnL_Accounts,0))</f>
        <v>7282</v>
      </c>
      <c r="W52" s="115">
        <f t="array" aca="1" ref="W52" ca="1">INDEX(INDIRECT("PnL_"&amp;TEXT(W$1,"mmm")&amp;"_"&amp;TEXT(W$1,"yyyy")),MATCH(TRIM($A52),PnL_Accounts,0))</f>
        <v>7319</v>
      </c>
      <c r="X52" s="115">
        <f t="array" aca="1" ref="X52" ca="1">INDEX(INDIRECT("PnL_"&amp;TEXT(X$1,"mmm")&amp;"_"&amp;TEXT(X$1,"yyyy")),MATCH(TRIM($A52),PnL_Accounts,0))</f>
        <v>7319</v>
      </c>
      <c r="Y52" s="115">
        <f t="array" aca="1" ref="Y52" ca="1">INDEX(INDIRECT("PnL_"&amp;TEXT(Y$1,"mmm")&amp;"_"&amp;TEXT(Y$1,"yyyy")),MATCH(TRIM($A52),PnL_Accounts,0))</f>
        <v>7319</v>
      </c>
      <c r="Z52" s="115">
        <f t="array" aca="1" ref="Z52" ca="1">INDEX(INDIRECT("PnL_"&amp;TEXT(Z$1,"mmm")&amp;"_"&amp;TEXT(Z$1,"yyyy")),MATCH(TRIM($A52),PnL_Accounts,0))</f>
        <v>7319</v>
      </c>
      <c r="AA52" s="115">
        <f t="array" aca="1" ref="AA52" ca="1">INDEX(INDIRECT("PnL_"&amp;TEXT(AA$1,"mmm")&amp;"_"&amp;TEXT(AA$1,"yyyy")),MATCH(TRIM($A52),PnL_Accounts,0))</f>
        <v>7319</v>
      </c>
      <c r="AB52" s="115">
        <f t="array" aca="1" ref="AB52" ca="1">INDEX(INDIRECT("PnL_"&amp;TEXT(AB$1,"mmm")&amp;"_"&amp;TEXT(AB$1,"yyyy")),MATCH(TRIM($A52),PnL_Accounts,0))</f>
        <v>7319</v>
      </c>
      <c r="AC52" s="115">
        <f t="array" aca="1" ref="AC52" ca="1">INDEX(INDIRECT("PnL_"&amp;TEXT(AC$1,"mmm")&amp;"_"&amp;TEXT(AC$1,"yyyy")),MATCH(TRIM($A52),PnL_Accounts,0))</f>
        <v>7319</v>
      </c>
      <c r="AD52" s="115">
        <f t="array" aca="1" ref="AD52" ca="1">INDEX(INDIRECT("PnL_"&amp;TEXT(AD$1,"mmm")&amp;"_"&amp;TEXT(AD$1,"yyyy")),MATCH(TRIM($A52),PnL_Accounts,0))</f>
        <v>7319</v>
      </c>
      <c r="AE52" s="115">
        <f t="array" aca="1" ref="AE52" ca="1">INDEX(INDIRECT("PnL_"&amp;TEXT(AE$1,"mmm")&amp;"_"&amp;TEXT(AE$1,"yyyy")),MATCH(TRIM($A52),PnL_Accounts,0))</f>
        <v>7319</v>
      </c>
      <c r="AF52" s="165">
        <f t="shared" ref="AF52:BW52" ca="1" si="23">$B52</f>
        <v>7319</v>
      </c>
      <c r="AG52" s="165">
        <f t="shared" ca="1" si="23"/>
        <v>7319</v>
      </c>
      <c r="AH52" s="165">
        <f t="shared" ca="1" si="23"/>
        <v>7319</v>
      </c>
      <c r="AI52" s="165">
        <f t="shared" ca="1" si="23"/>
        <v>7319</v>
      </c>
      <c r="AJ52" s="165">
        <f t="shared" ca="1" si="23"/>
        <v>7319</v>
      </c>
      <c r="AK52" s="165">
        <f t="shared" ca="1" si="23"/>
        <v>7319</v>
      </c>
      <c r="AL52" s="165">
        <f t="shared" ca="1" si="23"/>
        <v>7319</v>
      </c>
      <c r="AM52" s="165">
        <f t="shared" ca="1" si="23"/>
        <v>7319</v>
      </c>
      <c r="AN52" s="165">
        <f t="shared" ca="1" si="23"/>
        <v>7319</v>
      </c>
      <c r="AO52" s="165">
        <f t="shared" ca="1" si="23"/>
        <v>7319</v>
      </c>
      <c r="AP52" s="165">
        <f t="shared" ca="1" si="23"/>
        <v>7319</v>
      </c>
      <c r="AQ52" s="165">
        <f t="shared" ca="1" si="23"/>
        <v>7319</v>
      </c>
      <c r="AR52" s="165">
        <f t="shared" ca="1" si="23"/>
        <v>7319</v>
      </c>
      <c r="AS52" s="165">
        <f t="shared" ca="1" si="23"/>
        <v>7319</v>
      </c>
      <c r="AT52" s="165">
        <f t="shared" ca="1" si="23"/>
        <v>7319</v>
      </c>
      <c r="AU52" s="165">
        <f t="shared" ca="1" si="23"/>
        <v>7319</v>
      </c>
      <c r="AV52" s="165">
        <f t="shared" ca="1" si="23"/>
        <v>7319</v>
      </c>
      <c r="AW52" s="165">
        <f t="shared" ca="1" si="23"/>
        <v>7319</v>
      </c>
      <c r="AX52" s="165">
        <f t="shared" ca="1" si="23"/>
        <v>7319</v>
      </c>
      <c r="AY52" s="165">
        <f t="shared" ca="1" si="23"/>
        <v>7319</v>
      </c>
      <c r="AZ52" s="165">
        <f t="shared" ca="1" si="23"/>
        <v>7319</v>
      </c>
      <c r="BA52" s="165">
        <f t="shared" ca="1" si="23"/>
        <v>7319</v>
      </c>
      <c r="BB52" s="165">
        <f t="shared" ca="1" si="23"/>
        <v>7319</v>
      </c>
      <c r="BC52" s="165">
        <f t="shared" ca="1" si="23"/>
        <v>7319</v>
      </c>
      <c r="BD52" s="165">
        <f t="shared" ca="1" si="23"/>
        <v>7319</v>
      </c>
      <c r="BE52" s="165">
        <f t="shared" ca="1" si="23"/>
        <v>7319</v>
      </c>
      <c r="BF52" s="165">
        <f t="shared" ca="1" si="23"/>
        <v>7319</v>
      </c>
      <c r="BG52" s="165">
        <f t="shared" ca="1" si="23"/>
        <v>7319</v>
      </c>
      <c r="BH52" s="165">
        <f t="shared" ca="1" si="23"/>
        <v>7319</v>
      </c>
      <c r="BI52" s="165">
        <f t="shared" ca="1" si="23"/>
        <v>7319</v>
      </c>
      <c r="BJ52" s="165">
        <f t="shared" ca="1" si="23"/>
        <v>7319</v>
      </c>
      <c r="BK52" s="165">
        <f t="shared" ca="1" si="23"/>
        <v>7319</v>
      </c>
      <c r="BL52" s="165">
        <f t="shared" ca="1" si="23"/>
        <v>7319</v>
      </c>
      <c r="BM52" s="165">
        <f t="shared" ca="1" si="23"/>
        <v>7319</v>
      </c>
      <c r="BN52" s="165">
        <f t="shared" ca="1" si="23"/>
        <v>7319</v>
      </c>
      <c r="BO52" s="165">
        <f t="shared" ca="1" si="23"/>
        <v>7319</v>
      </c>
      <c r="BP52" s="165">
        <f t="shared" ca="1" si="23"/>
        <v>7319</v>
      </c>
      <c r="BQ52" s="165">
        <f t="shared" ca="1" si="23"/>
        <v>7319</v>
      </c>
      <c r="BR52" s="165">
        <f t="shared" ca="1" si="23"/>
        <v>7319</v>
      </c>
      <c r="BS52" s="165">
        <f t="shared" ca="1" si="23"/>
        <v>7319</v>
      </c>
      <c r="BT52" s="165">
        <f t="shared" ca="1" si="23"/>
        <v>7319</v>
      </c>
      <c r="BU52" s="165">
        <f t="shared" ca="1" si="23"/>
        <v>7319</v>
      </c>
      <c r="BV52" s="165">
        <f t="shared" ca="1" si="23"/>
        <v>7319</v>
      </c>
      <c r="BW52" s="165">
        <f t="shared" ca="1" si="23"/>
        <v>7319</v>
      </c>
    </row>
    <row r="53" spans="1:75" ht="12.75" x14ac:dyDescent="0.2">
      <c r="A53" s="23" t="s">
        <v>307</v>
      </c>
      <c r="B53" s="224">
        <f ca="1">AVERAGEIFS(53:53,$1:$1,"&gt;="&amp;DATE(YEAR(Current_Month),MONTH(Current_Month)-2,DAY(Current_Month)),$1:$1,"&lt;="&amp;EOMONTH(Current_Month,0))</f>
        <v>7941</v>
      </c>
      <c r="D53" s="115">
        <f t="array" aca="1" ref="D53" ca="1">INDEX(INDIRECT("PnL_"&amp;TEXT(D$1,"mmm")&amp;"_"&amp;TEXT(D$1,"yyyy")),MATCH(TRIM($A53),PnL_Accounts,0))</f>
        <v>1158</v>
      </c>
      <c r="E53" s="115">
        <f t="array" aca="1" ref="E53" ca="1">INDEX(INDIRECT("PnL_"&amp;TEXT(E$1,"mmm")&amp;"_"&amp;TEXT(E$1,"yyyy")),MATCH(TRIM($A53),PnL_Accounts,0))</f>
        <v>0</v>
      </c>
      <c r="F53" s="115">
        <f t="array" aca="1" ref="F53" ca="1">INDEX(INDIRECT("PnL_"&amp;TEXT(F$1,"mmm")&amp;"_"&amp;TEXT(F$1,"yyyy")),MATCH(TRIM($A53),PnL_Accounts,0))</f>
        <v>0</v>
      </c>
      <c r="G53" s="115">
        <f t="array" aca="1" ref="G53" ca="1">INDEX(INDIRECT("PnL_"&amp;TEXT(G$1,"mmm")&amp;"_"&amp;TEXT(G$1,"yyyy")),MATCH(TRIM($A53),PnL_Accounts,0))</f>
        <v>0</v>
      </c>
      <c r="H53" s="115">
        <f t="array" aca="1" ref="H53" ca="1">INDEX(INDIRECT("PnL_"&amp;TEXT(H$1,"mmm")&amp;"_"&amp;TEXT(H$1,"yyyy")),MATCH(TRIM($A53),PnL_Accounts,0))</f>
        <v>0</v>
      </c>
      <c r="I53" s="115">
        <f t="array" aca="1" ref="I53" ca="1">INDEX(INDIRECT("PnL_"&amp;TEXT(I$1,"mmm")&amp;"_"&amp;TEXT(I$1,"yyyy")),MATCH(TRIM($A53),PnL_Accounts,0))</f>
        <v>0</v>
      </c>
      <c r="J53" s="115">
        <f t="array" aca="1" ref="J53" ca="1">INDEX(INDIRECT("PnL_"&amp;TEXT(J$1,"mmm")&amp;"_"&amp;TEXT(J$1,"yyyy")),MATCH(TRIM($A53),PnL_Accounts,0))</f>
        <v>0</v>
      </c>
      <c r="K53" s="115">
        <f t="array" aca="1" ref="K53" ca="1">INDEX(INDIRECT("PnL_"&amp;TEXT(K$1,"mmm")&amp;"_"&amp;TEXT(K$1,"yyyy")),MATCH(TRIM($A53),PnL_Accounts,0))</f>
        <v>0</v>
      </c>
      <c r="L53" s="115">
        <f t="array" aca="1" ref="L53" ca="1">INDEX(INDIRECT("PnL_"&amp;TEXT(L$1,"mmm")&amp;"_"&amp;TEXT(L$1,"yyyy")),MATCH(TRIM($A53),PnL_Accounts,0))</f>
        <v>0</v>
      </c>
      <c r="M53" s="115">
        <f t="array" aca="1" ref="M53" ca="1">INDEX(INDIRECT("PnL_"&amp;TEXT(M$1,"mmm")&amp;"_"&amp;TEXT(M$1,"yyyy")),MATCH(TRIM($A53),PnL_Accounts,0))</f>
        <v>0</v>
      </c>
      <c r="N53" s="115">
        <f t="array" aca="1" ref="N53" ca="1">INDEX(INDIRECT("PnL_"&amp;TEXT(N$1,"mmm")&amp;"_"&amp;TEXT(N$1,"yyyy")),MATCH(TRIM($A53),PnL_Accounts,0))</f>
        <v>0</v>
      </c>
      <c r="O53" s="115">
        <f t="array" aca="1" ref="O53" ca="1">INDEX(INDIRECT("PnL_"&amp;TEXT(O$1,"mmm")&amp;"_"&amp;TEXT(O$1,"yyyy")),MATCH(TRIM($A53),PnL_Accounts,0))</f>
        <v>0</v>
      </c>
      <c r="P53" s="115">
        <f t="array" aca="1" ref="P53" ca="1">INDEX(INDIRECT("PnL_"&amp;TEXT(P$1,"mmm")&amp;"_"&amp;TEXT(P$1,"yyyy")),MATCH(TRIM($A53),PnL_Accounts,0))</f>
        <v>3476</v>
      </c>
      <c r="Q53" s="115">
        <f t="array" aca="1" ref="Q53" ca="1">INDEX(INDIRECT("PnL_"&amp;TEXT(Q$1,"mmm")&amp;"_"&amp;TEXT(Q$1,"yyyy")),MATCH(TRIM($A53),PnL_Accounts,0))</f>
        <v>3750</v>
      </c>
      <c r="R53" s="115">
        <f t="array" aca="1" ref="R53" ca="1">INDEX(INDIRECT("PnL_"&amp;TEXT(R$1,"mmm")&amp;"_"&amp;TEXT(R$1,"yyyy")),MATCH(TRIM($A53),PnL_Accounts,0))</f>
        <v>3861</v>
      </c>
      <c r="S53" s="115">
        <f t="array" aca="1" ref="S53" ca="1">INDEX(INDIRECT("PnL_"&amp;TEXT(S$1,"mmm")&amp;"_"&amp;TEXT(S$1,"yyyy")),MATCH(TRIM($A53),PnL_Accounts,0))</f>
        <v>3996</v>
      </c>
      <c r="T53" s="115">
        <f t="array" aca="1" ref="T53" ca="1">INDEX(INDIRECT("PnL_"&amp;TEXT(T$1,"mmm")&amp;"_"&amp;TEXT(T$1,"yyyy")),MATCH(TRIM($A53),PnL_Accounts,0))</f>
        <v>4147</v>
      </c>
      <c r="U53" s="115">
        <f t="array" aca="1" ref="U53" ca="1">INDEX(INDIRECT("PnL_"&amp;TEXT(U$1,"mmm")&amp;"_"&amp;TEXT(U$1,"yyyy")),MATCH(TRIM($A53),PnL_Accounts,0))</f>
        <v>4334</v>
      </c>
      <c r="V53" s="115">
        <f t="array" aca="1" ref="V53" ca="1">INDEX(INDIRECT("PnL_"&amp;TEXT(V$1,"mmm")&amp;"_"&amp;TEXT(V$1,"yyyy")),MATCH(TRIM($A53),PnL_Accounts,0))</f>
        <v>4567</v>
      </c>
      <c r="W53" s="115">
        <f t="array" aca="1" ref="W53" ca="1">INDEX(INDIRECT("PnL_"&amp;TEXT(W$1,"mmm")&amp;"_"&amp;TEXT(W$1,"yyyy")),MATCH(TRIM($A53),PnL_Accounts,0))</f>
        <v>4720</v>
      </c>
      <c r="X53" s="115">
        <f t="array" aca="1" ref="X53" ca="1">INDEX(INDIRECT("PnL_"&amp;TEXT(X$1,"mmm")&amp;"_"&amp;TEXT(X$1,"yyyy")),MATCH(TRIM($A53),PnL_Accounts,0))</f>
        <v>5007</v>
      </c>
      <c r="Y53" s="115">
        <f t="array" aca="1" ref="Y53" ca="1">INDEX(INDIRECT("PnL_"&amp;TEXT(Y$1,"mmm")&amp;"_"&amp;TEXT(Y$1,"yyyy")),MATCH(TRIM($A53),PnL_Accounts,0))</f>
        <v>5118</v>
      </c>
      <c r="Z53" s="115">
        <f t="array" aca="1" ref="Z53" ca="1">INDEX(INDIRECT("PnL_"&amp;TEXT(Z$1,"mmm")&amp;"_"&amp;TEXT(Z$1,"yyyy")),MATCH(TRIM($A53),PnL_Accounts,0))</f>
        <v>5666</v>
      </c>
      <c r="AA53" s="115">
        <f t="array" aca="1" ref="AA53" ca="1">INDEX(INDIRECT("PnL_"&amp;TEXT(AA$1,"mmm")&amp;"_"&amp;TEXT(AA$1,"yyyy")),MATCH(TRIM($A53),PnL_Accounts,0))</f>
        <v>5976</v>
      </c>
      <c r="AB53" s="115">
        <f t="array" aca="1" ref="AB53" ca="1">INDEX(INDIRECT("PnL_"&amp;TEXT(AB$1,"mmm")&amp;"_"&amp;TEXT(AB$1,"yyyy")),MATCH(TRIM($A53),PnL_Accounts,0))</f>
        <v>6225</v>
      </c>
      <c r="AC53" s="115">
        <f t="array" aca="1" ref="AC53" ca="1">INDEX(INDIRECT("PnL_"&amp;TEXT(AC$1,"mmm")&amp;"_"&amp;TEXT(AC$1,"yyyy")),MATCH(TRIM($A53),PnL_Accounts,0))</f>
        <v>7523</v>
      </c>
      <c r="AD53" s="115">
        <f t="array" aca="1" ref="AD53" ca="1">INDEX(INDIRECT("PnL_"&amp;TEXT(AD$1,"mmm")&amp;"_"&amp;TEXT(AD$1,"yyyy")),MATCH(TRIM($A53),PnL_Accounts,0))</f>
        <v>7536</v>
      </c>
      <c r="AE53" s="115">
        <f t="array" aca="1" ref="AE53" ca="1">INDEX(INDIRECT("PnL_"&amp;TEXT(AE$1,"mmm")&amp;"_"&amp;TEXT(AE$1,"yyyy")),MATCH(TRIM($A53),PnL_Accounts,0))</f>
        <v>8764</v>
      </c>
      <c r="AF53" s="165">
        <f t="shared" ref="AF53:BW53" ca="1" si="24">$B53</f>
        <v>7941</v>
      </c>
      <c r="AG53" s="165">
        <f t="shared" ca="1" si="24"/>
        <v>7941</v>
      </c>
      <c r="AH53" s="165">
        <f t="shared" ca="1" si="24"/>
        <v>7941</v>
      </c>
      <c r="AI53" s="165">
        <f t="shared" ca="1" si="24"/>
        <v>7941</v>
      </c>
      <c r="AJ53" s="165">
        <f t="shared" ca="1" si="24"/>
        <v>7941</v>
      </c>
      <c r="AK53" s="165">
        <f t="shared" ca="1" si="24"/>
        <v>7941</v>
      </c>
      <c r="AL53" s="165">
        <f t="shared" ca="1" si="24"/>
        <v>7941</v>
      </c>
      <c r="AM53" s="165">
        <f t="shared" ca="1" si="24"/>
        <v>7941</v>
      </c>
      <c r="AN53" s="165">
        <f t="shared" ca="1" si="24"/>
        <v>7941</v>
      </c>
      <c r="AO53" s="165">
        <f t="shared" ca="1" si="24"/>
        <v>7941</v>
      </c>
      <c r="AP53" s="165">
        <f t="shared" ca="1" si="24"/>
        <v>7941</v>
      </c>
      <c r="AQ53" s="165">
        <f t="shared" ca="1" si="24"/>
        <v>7941</v>
      </c>
      <c r="AR53" s="165">
        <f t="shared" ca="1" si="24"/>
        <v>7941</v>
      </c>
      <c r="AS53" s="165">
        <f t="shared" ca="1" si="24"/>
        <v>7941</v>
      </c>
      <c r="AT53" s="165">
        <f t="shared" ca="1" si="24"/>
        <v>7941</v>
      </c>
      <c r="AU53" s="165">
        <f t="shared" ca="1" si="24"/>
        <v>7941</v>
      </c>
      <c r="AV53" s="165">
        <f t="shared" ca="1" si="24"/>
        <v>7941</v>
      </c>
      <c r="AW53" s="165">
        <f t="shared" ca="1" si="24"/>
        <v>7941</v>
      </c>
      <c r="AX53" s="165">
        <f t="shared" ca="1" si="24"/>
        <v>7941</v>
      </c>
      <c r="AY53" s="165">
        <f t="shared" ca="1" si="24"/>
        <v>7941</v>
      </c>
      <c r="AZ53" s="165">
        <f t="shared" ca="1" si="24"/>
        <v>7941</v>
      </c>
      <c r="BA53" s="165">
        <f t="shared" ca="1" si="24"/>
        <v>7941</v>
      </c>
      <c r="BB53" s="165">
        <f t="shared" ca="1" si="24"/>
        <v>7941</v>
      </c>
      <c r="BC53" s="165">
        <f t="shared" ca="1" si="24"/>
        <v>7941</v>
      </c>
      <c r="BD53" s="165">
        <f t="shared" ca="1" si="24"/>
        <v>7941</v>
      </c>
      <c r="BE53" s="165">
        <f t="shared" ca="1" si="24"/>
        <v>7941</v>
      </c>
      <c r="BF53" s="165">
        <f t="shared" ca="1" si="24"/>
        <v>7941</v>
      </c>
      <c r="BG53" s="165">
        <f t="shared" ca="1" si="24"/>
        <v>7941</v>
      </c>
      <c r="BH53" s="165">
        <f t="shared" ca="1" si="24"/>
        <v>7941</v>
      </c>
      <c r="BI53" s="165">
        <f t="shared" ca="1" si="24"/>
        <v>7941</v>
      </c>
      <c r="BJ53" s="165">
        <f t="shared" ca="1" si="24"/>
        <v>7941</v>
      </c>
      <c r="BK53" s="165">
        <f t="shared" ca="1" si="24"/>
        <v>7941</v>
      </c>
      <c r="BL53" s="165">
        <f t="shared" ca="1" si="24"/>
        <v>7941</v>
      </c>
      <c r="BM53" s="165">
        <f t="shared" ca="1" si="24"/>
        <v>7941</v>
      </c>
      <c r="BN53" s="165">
        <f t="shared" ca="1" si="24"/>
        <v>7941</v>
      </c>
      <c r="BO53" s="165">
        <f t="shared" ca="1" si="24"/>
        <v>7941</v>
      </c>
      <c r="BP53" s="165">
        <f t="shared" ca="1" si="24"/>
        <v>7941</v>
      </c>
      <c r="BQ53" s="165">
        <f t="shared" ca="1" si="24"/>
        <v>7941</v>
      </c>
      <c r="BR53" s="165">
        <f t="shared" ca="1" si="24"/>
        <v>7941</v>
      </c>
      <c r="BS53" s="165">
        <f t="shared" ca="1" si="24"/>
        <v>7941</v>
      </c>
      <c r="BT53" s="165">
        <f t="shared" ca="1" si="24"/>
        <v>7941</v>
      </c>
      <c r="BU53" s="165">
        <f t="shared" ca="1" si="24"/>
        <v>7941</v>
      </c>
      <c r="BV53" s="165">
        <f t="shared" ca="1" si="24"/>
        <v>7941</v>
      </c>
      <c r="BW53" s="165">
        <f t="shared" ca="1" si="24"/>
        <v>7941</v>
      </c>
    </row>
    <row r="54" spans="1:75" ht="12.75" x14ac:dyDescent="0.2">
      <c r="A54" s="23" t="s">
        <v>308</v>
      </c>
      <c r="B54" s="224">
        <f ca="1">AVERAGEIFS(54:54,$1:$1,"&gt;="&amp;DATE(YEAR(Current_Month),MONTH(Current_Month)-2,DAY(Current_Month)),$1:$1,"&lt;="&amp;EOMONTH(Current_Month,0))</f>
        <v>800</v>
      </c>
      <c r="D54" s="115">
        <f t="array" aca="1" ref="D54" ca="1">INDEX(INDIRECT("PnL_"&amp;TEXT(D$1,"mmm")&amp;"_"&amp;TEXT(D$1,"yyyy")),MATCH(TRIM($A54),PnL_Accounts,0))</f>
        <v>0</v>
      </c>
      <c r="E54" s="115">
        <f t="array" aca="1" ref="E54" ca="1">INDEX(INDIRECT("PnL_"&amp;TEXT(E$1,"mmm")&amp;"_"&amp;TEXT(E$1,"yyyy")),MATCH(TRIM($A54),PnL_Accounts,0))</f>
        <v>0</v>
      </c>
      <c r="F54" s="115">
        <f t="array" aca="1" ref="F54" ca="1">INDEX(INDIRECT("PnL_"&amp;TEXT(F$1,"mmm")&amp;"_"&amp;TEXT(F$1,"yyyy")),MATCH(TRIM($A54),PnL_Accounts,0))</f>
        <v>0</v>
      </c>
      <c r="G54" s="115">
        <f t="array" aca="1" ref="G54" ca="1">INDEX(INDIRECT("PnL_"&amp;TEXT(G$1,"mmm")&amp;"_"&amp;TEXT(G$1,"yyyy")),MATCH(TRIM($A54),PnL_Accounts,0))</f>
        <v>0</v>
      </c>
      <c r="H54" s="115">
        <f t="array" aca="1" ref="H54" ca="1">INDEX(INDIRECT("PnL_"&amp;TEXT(H$1,"mmm")&amp;"_"&amp;TEXT(H$1,"yyyy")),MATCH(TRIM($A54),PnL_Accounts,0))</f>
        <v>0</v>
      </c>
      <c r="I54" s="115">
        <f t="array" aca="1" ref="I54" ca="1">INDEX(INDIRECT("PnL_"&amp;TEXT(I$1,"mmm")&amp;"_"&amp;TEXT(I$1,"yyyy")),MATCH(TRIM($A54),PnL_Accounts,0))</f>
        <v>0</v>
      </c>
      <c r="J54" s="115">
        <f t="array" aca="1" ref="J54" ca="1">INDEX(INDIRECT("PnL_"&amp;TEXT(J$1,"mmm")&amp;"_"&amp;TEXT(J$1,"yyyy")),MATCH(TRIM($A54),PnL_Accounts,0))</f>
        <v>0</v>
      </c>
      <c r="K54" s="115">
        <f t="array" aca="1" ref="K54" ca="1">INDEX(INDIRECT("PnL_"&amp;TEXT(K$1,"mmm")&amp;"_"&amp;TEXT(K$1,"yyyy")),MATCH(TRIM($A54),PnL_Accounts,0))</f>
        <v>0</v>
      </c>
      <c r="L54" s="115">
        <f t="array" aca="1" ref="L54" ca="1">INDEX(INDIRECT("PnL_"&amp;TEXT(L$1,"mmm")&amp;"_"&amp;TEXT(L$1,"yyyy")),MATCH(TRIM($A54),PnL_Accounts,0))</f>
        <v>0</v>
      </c>
      <c r="M54" s="115">
        <f t="array" aca="1" ref="M54" ca="1">INDEX(INDIRECT("PnL_"&amp;TEXT(M$1,"mmm")&amp;"_"&amp;TEXT(M$1,"yyyy")),MATCH(TRIM($A54),PnL_Accounts,0))</f>
        <v>0</v>
      </c>
      <c r="N54" s="115">
        <f t="array" aca="1" ref="N54" ca="1">INDEX(INDIRECT("PnL_"&amp;TEXT(N$1,"mmm")&amp;"_"&amp;TEXT(N$1,"yyyy")),MATCH(TRIM($A54),PnL_Accounts,0))</f>
        <v>0</v>
      </c>
      <c r="O54" s="115">
        <f t="array" aca="1" ref="O54" ca="1">INDEX(INDIRECT("PnL_"&amp;TEXT(O$1,"mmm")&amp;"_"&amp;TEXT(O$1,"yyyy")),MATCH(TRIM($A54),PnL_Accounts,0))</f>
        <v>0</v>
      </c>
      <c r="P54" s="115">
        <f t="array" aca="1" ref="P54" ca="1">INDEX(INDIRECT("PnL_"&amp;TEXT(P$1,"mmm")&amp;"_"&amp;TEXT(P$1,"yyyy")),MATCH(TRIM($A54),PnL_Accounts,0))</f>
        <v>0</v>
      </c>
      <c r="Q54" s="115">
        <f t="array" aca="1" ref="Q54" ca="1">INDEX(INDIRECT("PnL_"&amp;TEXT(Q$1,"mmm")&amp;"_"&amp;TEXT(Q$1,"yyyy")),MATCH(TRIM($A54),PnL_Accounts,0))</f>
        <v>0</v>
      </c>
      <c r="R54" s="115">
        <f t="array" aca="1" ref="R54" ca="1">INDEX(INDIRECT("PnL_"&amp;TEXT(R$1,"mmm")&amp;"_"&amp;TEXT(R$1,"yyyy")),MATCH(TRIM($A54),PnL_Accounts,0))</f>
        <v>0</v>
      </c>
      <c r="S54" s="115">
        <f t="array" aca="1" ref="S54" ca="1">INDEX(INDIRECT("PnL_"&amp;TEXT(S$1,"mmm")&amp;"_"&amp;TEXT(S$1,"yyyy")),MATCH(TRIM($A54),PnL_Accounts,0))</f>
        <v>0</v>
      </c>
      <c r="T54" s="115">
        <f t="array" aca="1" ref="T54" ca="1">INDEX(INDIRECT("PnL_"&amp;TEXT(T$1,"mmm")&amp;"_"&amp;TEXT(T$1,"yyyy")),MATCH(TRIM($A54),PnL_Accounts,0))</f>
        <v>0</v>
      </c>
      <c r="U54" s="115">
        <f t="array" aca="1" ref="U54" ca="1">INDEX(INDIRECT("PnL_"&amp;TEXT(U$1,"mmm")&amp;"_"&amp;TEXT(U$1,"yyyy")),MATCH(TRIM($A54),PnL_Accounts,0))</f>
        <v>0</v>
      </c>
      <c r="V54" s="115">
        <f t="array" aca="1" ref="V54" ca="1">INDEX(INDIRECT("PnL_"&amp;TEXT(V$1,"mmm")&amp;"_"&amp;TEXT(V$1,"yyyy")),MATCH(TRIM($A54),PnL_Accounts,0))</f>
        <v>0</v>
      </c>
      <c r="W54" s="115">
        <f t="array" aca="1" ref="W54" ca="1">INDEX(INDIRECT("PnL_"&amp;TEXT(W$1,"mmm")&amp;"_"&amp;TEXT(W$1,"yyyy")),MATCH(TRIM($A54),PnL_Accounts,0))</f>
        <v>0</v>
      </c>
      <c r="X54" s="115">
        <f t="array" aca="1" ref="X54" ca="1">INDEX(INDIRECT("PnL_"&amp;TEXT(X$1,"mmm")&amp;"_"&amp;TEXT(X$1,"yyyy")),MATCH(TRIM($A54),PnL_Accounts,0))</f>
        <v>800</v>
      </c>
      <c r="Y54" s="115">
        <f t="array" aca="1" ref="Y54" ca="1">INDEX(INDIRECT("PnL_"&amp;TEXT(Y$1,"mmm")&amp;"_"&amp;TEXT(Y$1,"yyyy")),MATCH(TRIM($A54),PnL_Accounts,0))</f>
        <v>800</v>
      </c>
      <c r="Z54" s="115">
        <f t="array" aca="1" ref="Z54" ca="1">INDEX(INDIRECT("PnL_"&amp;TEXT(Z$1,"mmm")&amp;"_"&amp;TEXT(Z$1,"yyyy")),MATCH(TRIM($A54),PnL_Accounts,0))</f>
        <v>800</v>
      </c>
      <c r="AA54" s="115">
        <f t="array" aca="1" ref="AA54" ca="1">INDEX(INDIRECT("PnL_"&amp;TEXT(AA$1,"mmm")&amp;"_"&amp;TEXT(AA$1,"yyyy")),MATCH(TRIM($A54),PnL_Accounts,0))</f>
        <v>800</v>
      </c>
      <c r="AB54" s="115">
        <f t="array" aca="1" ref="AB54" ca="1">INDEX(INDIRECT("PnL_"&amp;TEXT(AB$1,"mmm")&amp;"_"&amp;TEXT(AB$1,"yyyy")),MATCH(TRIM($A54),PnL_Accounts,0))</f>
        <v>800</v>
      </c>
      <c r="AC54" s="115">
        <f t="array" aca="1" ref="AC54" ca="1">INDEX(INDIRECT("PnL_"&amp;TEXT(AC$1,"mmm")&amp;"_"&amp;TEXT(AC$1,"yyyy")),MATCH(TRIM($A54),PnL_Accounts,0))</f>
        <v>800</v>
      </c>
      <c r="AD54" s="115">
        <f t="array" aca="1" ref="AD54" ca="1">INDEX(INDIRECT("PnL_"&amp;TEXT(AD$1,"mmm")&amp;"_"&amp;TEXT(AD$1,"yyyy")),MATCH(TRIM($A54),PnL_Accounts,0))</f>
        <v>800</v>
      </c>
      <c r="AE54" s="115">
        <f t="array" aca="1" ref="AE54" ca="1">INDEX(INDIRECT("PnL_"&amp;TEXT(AE$1,"mmm")&amp;"_"&amp;TEXT(AE$1,"yyyy")),MATCH(TRIM($A54),PnL_Accounts,0))</f>
        <v>800</v>
      </c>
      <c r="AF54" s="165">
        <f t="shared" ref="AF54:BW54" ca="1" si="25">$B54</f>
        <v>800</v>
      </c>
      <c r="AG54" s="165">
        <f t="shared" ca="1" si="25"/>
        <v>800</v>
      </c>
      <c r="AH54" s="165">
        <f t="shared" ca="1" si="25"/>
        <v>800</v>
      </c>
      <c r="AI54" s="165">
        <f t="shared" ca="1" si="25"/>
        <v>800</v>
      </c>
      <c r="AJ54" s="165">
        <f t="shared" ca="1" si="25"/>
        <v>800</v>
      </c>
      <c r="AK54" s="165">
        <f t="shared" ca="1" si="25"/>
        <v>800</v>
      </c>
      <c r="AL54" s="165">
        <f t="shared" ca="1" si="25"/>
        <v>800</v>
      </c>
      <c r="AM54" s="165">
        <f t="shared" ca="1" si="25"/>
        <v>800</v>
      </c>
      <c r="AN54" s="165">
        <f t="shared" ca="1" si="25"/>
        <v>800</v>
      </c>
      <c r="AO54" s="165">
        <f t="shared" ca="1" si="25"/>
        <v>800</v>
      </c>
      <c r="AP54" s="165">
        <f t="shared" ca="1" si="25"/>
        <v>800</v>
      </c>
      <c r="AQ54" s="165">
        <f t="shared" ca="1" si="25"/>
        <v>800</v>
      </c>
      <c r="AR54" s="165">
        <f t="shared" ca="1" si="25"/>
        <v>800</v>
      </c>
      <c r="AS54" s="165">
        <f t="shared" ca="1" si="25"/>
        <v>800</v>
      </c>
      <c r="AT54" s="165">
        <f t="shared" ca="1" si="25"/>
        <v>800</v>
      </c>
      <c r="AU54" s="165">
        <f t="shared" ca="1" si="25"/>
        <v>800</v>
      </c>
      <c r="AV54" s="165">
        <f t="shared" ca="1" si="25"/>
        <v>800</v>
      </c>
      <c r="AW54" s="165">
        <f t="shared" ca="1" si="25"/>
        <v>800</v>
      </c>
      <c r="AX54" s="165">
        <f t="shared" ca="1" si="25"/>
        <v>800</v>
      </c>
      <c r="AY54" s="165">
        <f t="shared" ca="1" si="25"/>
        <v>800</v>
      </c>
      <c r="AZ54" s="165">
        <f t="shared" ca="1" si="25"/>
        <v>800</v>
      </c>
      <c r="BA54" s="165">
        <f t="shared" ca="1" si="25"/>
        <v>800</v>
      </c>
      <c r="BB54" s="165">
        <f t="shared" ca="1" si="25"/>
        <v>800</v>
      </c>
      <c r="BC54" s="165">
        <f t="shared" ca="1" si="25"/>
        <v>800</v>
      </c>
      <c r="BD54" s="165">
        <f t="shared" ca="1" si="25"/>
        <v>800</v>
      </c>
      <c r="BE54" s="165">
        <f t="shared" ca="1" si="25"/>
        <v>800</v>
      </c>
      <c r="BF54" s="165">
        <f t="shared" ca="1" si="25"/>
        <v>800</v>
      </c>
      <c r="BG54" s="165">
        <f t="shared" ca="1" si="25"/>
        <v>800</v>
      </c>
      <c r="BH54" s="165">
        <f t="shared" ca="1" si="25"/>
        <v>800</v>
      </c>
      <c r="BI54" s="165">
        <f t="shared" ca="1" si="25"/>
        <v>800</v>
      </c>
      <c r="BJ54" s="165">
        <f t="shared" ca="1" si="25"/>
        <v>800</v>
      </c>
      <c r="BK54" s="165">
        <f t="shared" ca="1" si="25"/>
        <v>800</v>
      </c>
      <c r="BL54" s="165">
        <f t="shared" ca="1" si="25"/>
        <v>800</v>
      </c>
      <c r="BM54" s="165">
        <f t="shared" ca="1" si="25"/>
        <v>800</v>
      </c>
      <c r="BN54" s="165">
        <f t="shared" ca="1" si="25"/>
        <v>800</v>
      </c>
      <c r="BO54" s="165">
        <f t="shared" ca="1" si="25"/>
        <v>800</v>
      </c>
      <c r="BP54" s="165">
        <f t="shared" ca="1" si="25"/>
        <v>800</v>
      </c>
      <c r="BQ54" s="165">
        <f t="shared" ca="1" si="25"/>
        <v>800</v>
      </c>
      <c r="BR54" s="165">
        <f t="shared" ca="1" si="25"/>
        <v>800</v>
      </c>
      <c r="BS54" s="165">
        <f t="shared" ca="1" si="25"/>
        <v>800</v>
      </c>
      <c r="BT54" s="165">
        <f t="shared" ca="1" si="25"/>
        <v>800</v>
      </c>
      <c r="BU54" s="165">
        <f t="shared" ca="1" si="25"/>
        <v>800</v>
      </c>
      <c r="BV54" s="165">
        <f t="shared" ca="1" si="25"/>
        <v>800</v>
      </c>
      <c r="BW54" s="165">
        <f t="shared" ca="1" si="25"/>
        <v>800</v>
      </c>
    </row>
    <row r="55" spans="1:75" ht="12.75" x14ac:dyDescent="0.2">
      <c r="A55" s="23" t="s">
        <v>309</v>
      </c>
      <c r="B55" s="224">
        <f ca="1">AVERAGEIFS(55:55,$1:$1,"&gt;="&amp;DATE(YEAR(Current_Month),MONTH(Current_Month)-2,DAY(Current_Month)),$1:$1,"&lt;="&amp;EOMONTH(Current_Month,0))</f>
        <v>3084</v>
      </c>
      <c r="D55" s="115">
        <f t="array" aca="1" ref="D55" ca="1">INDEX(INDIRECT("PnL_"&amp;TEXT(D$1,"mmm")&amp;"_"&amp;TEXT(D$1,"yyyy")),MATCH(TRIM($A55),PnL_Accounts,0))</f>
        <v>1356</v>
      </c>
      <c r="E55" s="115">
        <f t="array" aca="1" ref="E55" ca="1">INDEX(INDIRECT("PnL_"&amp;TEXT(E$1,"mmm")&amp;"_"&amp;TEXT(E$1,"yyyy")),MATCH(TRIM($A55),PnL_Accounts,0))</f>
        <v>1406</v>
      </c>
      <c r="F55" s="115">
        <f t="array" aca="1" ref="F55" ca="1">INDEX(INDIRECT("PnL_"&amp;TEXT(F$1,"mmm")&amp;"_"&amp;TEXT(F$1,"yyyy")),MATCH(TRIM($A55),PnL_Accounts,0))</f>
        <v>1406</v>
      </c>
      <c r="G55" s="115">
        <f t="array" aca="1" ref="G55" ca="1">INDEX(INDIRECT("PnL_"&amp;TEXT(G$1,"mmm")&amp;"_"&amp;TEXT(G$1,"yyyy")),MATCH(TRIM($A55),PnL_Accounts,0))</f>
        <v>1406</v>
      </c>
      <c r="H55" s="115">
        <f t="array" aca="1" ref="H55" ca="1">INDEX(INDIRECT("PnL_"&amp;TEXT(H$1,"mmm")&amp;"_"&amp;TEXT(H$1,"yyyy")),MATCH(TRIM($A55),PnL_Accounts,0))</f>
        <v>1506</v>
      </c>
      <c r="I55" s="115">
        <f t="array" aca="1" ref="I55" ca="1">INDEX(INDIRECT("PnL_"&amp;TEXT(I$1,"mmm")&amp;"_"&amp;TEXT(I$1,"yyyy")),MATCH(TRIM($A55),PnL_Accounts,0))</f>
        <v>1506</v>
      </c>
      <c r="J55" s="115">
        <f t="array" aca="1" ref="J55" ca="1">INDEX(INDIRECT("PnL_"&amp;TEXT(J$1,"mmm")&amp;"_"&amp;TEXT(J$1,"yyyy")),MATCH(TRIM($A55),PnL_Accounts,0))</f>
        <v>1506</v>
      </c>
      <c r="K55" s="115">
        <f t="array" aca="1" ref="K55" ca="1">INDEX(INDIRECT("PnL_"&amp;TEXT(K$1,"mmm")&amp;"_"&amp;TEXT(K$1,"yyyy")),MATCH(TRIM($A55),PnL_Accounts,0))</f>
        <v>1556</v>
      </c>
      <c r="L55" s="115">
        <f t="array" aca="1" ref="L55" ca="1">INDEX(INDIRECT("PnL_"&amp;TEXT(L$1,"mmm")&amp;"_"&amp;TEXT(L$1,"yyyy")),MATCH(TRIM($A55),PnL_Accounts,0))</f>
        <v>1683</v>
      </c>
      <c r="M55" s="115">
        <f t="array" aca="1" ref="M55" ca="1">INDEX(INDIRECT("PnL_"&amp;TEXT(M$1,"mmm")&amp;"_"&amp;TEXT(M$1,"yyyy")),MATCH(TRIM($A55),PnL_Accounts,0))</f>
        <v>1683</v>
      </c>
      <c r="N55" s="115">
        <f t="array" aca="1" ref="N55" ca="1">INDEX(INDIRECT("PnL_"&amp;TEXT(N$1,"mmm")&amp;"_"&amp;TEXT(N$1,"yyyy")),MATCH(TRIM($A55),PnL_Accounts,0))</f>
        <v>1750</v>
      </c>
      <c r="O55" s="115">
        <f t="array" aca="1" ref="O55" ca="1">INDEX(INDIRECT("PnL_"&amp;TEXT(O$1,"mmm")&amp;"_"&amp;TEXT(O$1,"yyyy")),MATCH(TRIM($A55),PnL_Accounts,0))</f>
        <v>1892</v>
      </c>
      <c r="P55" s="115">
        <f t="array" aca="1" ref="P55" ca="1">INDEX(INDIRECT("PnL_"&amp;TEXT(P$1,"mmm")&amp;"_"&amp;TEXT(P$1,"yyyy")),MATCH(TRIM($A55),PnL_Accounts,0))</f>
        <v>1931</v>
      </c>
      <c r="Q55" s="115">
        <f t="array" aca="1" ref="Q55" ca="1">INDEX(INDIRECT("PnL_"&amp;TEXT(Q$1,"mmm")&amp;"_"&amp;TEXT(Q$1,"yyyy")),MATCH(TRIM($A55),PnL_Accounts,0))</f>
        <v>1907</v>
      </c>
      <c r="R55" s="115">
        <f t="array" aca="1" ref="R55" ca="1">INDEX(INDIRECT("PnL_"&amp;TEXT(R$1,"mmm")&amp;"_"&amp;TEXT(R$1,"yyyy")),MATCH(TRIM($A55),PnL_Accounts,0))</f>
        <v>2007</v>
      </c>
      <c r="S55" s="115">
        <f t="array" aca="1" ref="S55" ca="1">INDEX(INDIRECT("PnL_"&amp;TEXT(S$1,"mmm")&amp;"_"&amp;TEXT(S$1,"yyyy")),MATCH(TRIM($A55),PnL_Accounts,0))</f>
        <v>2276</v>
      </c>
      <c r="T55" s="115">
        <f t="array" aca="1" ref="T55" ca="1">INDEX(INDIRECT("PnL_"&amp;TEXT(T$1,"mmm")&amp;"_"&amp;TEXT(T$1,"yyyy")),MATCH(TRIM($A55),PnL_Accounts,0))</f>
        <v>1983</v>
      </c>
      <c r="U55" s="115">
        <f t="array" aca="1" ref="U55" ca="1">INDEX(INDIRECT("PnL_"&amp;TEXT(U$1,"mmm")&amp;"_"&amp;TEXT(U$1,"yyyy")),MATCH(TRIM($A55),PnL_Accounts,0))</f>
        <v>2451</v>
      </c>
      <c r="V55" s="115">
        <f t="array" aca="1" ref="V55" ca="1">INDEX(INDIRECT("PnL_"&amp;TEXT(V$1,"mmm")&amp;"_"&amp;TEXT(V$1,"yyyy")),MATCH(TRIM($A55),PnL_Accounts,0))</f>
        <v>2550</v>
      </c>
      <c r="W55" s="115">
        <f t="array" aca="1" ref="W55" ca="1">INDEX(INDIRECT("PnL_"&amp;TEXT(W$1,"mmm")&amp;"_"&amp;TEXT(W$1,"yyyy")),MATCH(TRIM($A55),PnL_Accounts,0))</f>
        <v>2621</v>
      </c>
      <c r="X55" s="115">
        <f t="array" aca="1" ref="X55" ca="1">INDEX(INDIRECT("PnL_"&amp;TEXT(X$1,"mmm")&amp;"_"&amp;TEXT(X$1,"yyyy")),MATCH(TRIM($A55),PnL_Accounts,0))</f>
        <v>2621</v>
      </c>
      <c r="Y55" s="115">
        <f t="array" aca="1" ref="Y55" ca="1">INDEX(INDIRECT("PnL_"&amp;TEXT(Y$1,"mmm")&amp;"_"&amp;TEXT(Y$1,"yyyy")),MATCH(TRIM($A55),PnL_Accounts,0))</f>
        <v>2437</v>
      </c>
      <c r="Z55" s="115">
        <f t="array" aca="1" ref="Z55" ca="1">INDEX(INDIRECT("PnL_"&amp;TEXT(Z$1,"mmm")&amp;"_"&amp;TEXT(Z$1,"yyyy")),MATCH(TRIM($A55),PnL_Accounts,0))</f>
        <v>2973</v>
      </c>
      <c r="AA55" s="115">
        <f t="array" aca="1" ref="AA55" ca="1">INDEX(INDIRECT("PnL_"&amp;TEXT(AA$1,"mmm")&amp;"_"&amp;TEXT(AA$1,"yyyy")),MATCH(TRIM($A55),PnL_Accounts,0))</f>
        <v>2736</v>
      </c>
      <c r="AB55" s="115">
        <f t="array" aca="1" ref="AB55" ca="1">INDEX(INDIRECT("PnL_"&amp;TEXT(AB$1,"mmm")&amp;"_"&amp;TEXT(AB$1,"yyyy")),MATCH(TRIM($A55),PnL_Accounts,0))</f>
        <v>2978</v>
      </c>
      <c r="AC55" s="115">
        <f t="array" aca="1" ref="AC55" ca="1">INDEX(INDIRECT("PnL_"&amp;TEXT(AC$1,"mmm")&amp;"_"&amp;TEXT(AC$1,"yyyy")),MATCH(TRIM($A55),PnL_Accounts,0))</f>
        <v>3241</v>
      </c>
      <c r="AD55" s="115">
        <f t="array" aca="1" ref="AD55" ca="1">INDEX(INDIRECT("PnL_"&amp;TEXT(AD$1,"mmm")&amp;"_"&amp;TEXT(AD$1,"yyyy")),MATCH(TRIM($A55),PnL_Accounts,0))</f>
        <v>3111</v>
      </c>
      <c r="AE55" s="115">
        <f t="array" aca="1" ref="AE55" ca="1">INDEX(INDIRECT("PnL_"&amp;TEXT(AE$1,"mmm")&amp;"_"&amp;TEXT(AE$1,"yyyy")),MATCH(TRIM($A55),PnL_Accounts,0))</f>
        <v>2900</v>
      </c>
      <c r="AF55" s="165">
        <f t="shared" ref="AF55:BW55" ca="1" si="26">$B55</f>
        <v>3084</v>
      </c>
      <c r="AG55" s="165">
        <f t="shared" ca="1" si="26"/>
        <v>3084</v>
      </c>
      <c r="AH55" s="165">
        <f t="shared" ca="1" si="26"/>
        <v>3084</v>
      </c>
      <c r="AI55" s="165">
        <f t="shared" ca="1" si="26"/>
        <v>3084</v>
      </c>
      <c r="AJ55" s="165">
        <f t="shared" ca="1" si="26"/>
        <v>3084</v>
      </c>
      <c r="AK55" s="165">
        <f t="shared" ca="1" si="26"/>
        <v>3084</v>
      </c>
      <c r="AL55" s="165">
        <f t="shared" ca="1" si="26"/>
        <v>3084</v>
      </c>
      <c r="AM55" s="165">
        <f t="shared" ca="1" si="26"/>
        <v>3084</v>
      </c>
      <c r="AN55" s="165">
        <f t="shared" ca="1" si="26"/>
        <v>3084</v>
      </c>
      <c r="AO55" s="165">
        <f t="shared" ca="1" si="26"/>
        <v>3084</v>
      </c>
      <c r="AP55" s="165">
        <f t="shared" ca="1" si="26"/>
        <v>3084</v>
      </c>
      <c r="AQ55" s="165">
        <f t="shared" ca="1" si="26"/>
        <v>3084</v>
      </c>
      <c r="AR55" s="165">
        <f t="shared" ca="1" si="26"/>
        <v>3084</v>
      </c>
      <c r="AS55" s="165">
        <f t="shared" ca="1" si="26"/>
        <v>3084</v>
      </c>
      <c r="AT55" s="165">
        <f t="shared" ca="1" si="26"/>
        <v>3084</v>
      </c>
      <c r="AU55" s="165">
        <f t="shared" ca="1" si="26"/>
        <v>3084</v>
      </c>
      <c r="AV55" s="165">
        <f t="shared" ca="1" si="26"/>
        <v>3084</v>
      </c>
      <c r="AW55" s="165">
        <f t="shared" ca="1" si="26"/>
        <v>3084</v>
      </c>
      <c r="AX55" s="165">
        <f t="shared" ca="1" si="26"/>
        <v>3084</v>
      </c>
      <c r="AY55" s="165">
        <f t="shared" ca="1" si="26"/>
        <v>3084</v>
      </c>
      <c r="AZ55" s="165">
        <f t="shared" ca="1" si="26"/>
        <v>3084</v>
      </c>
      <c r="BA55" s="165">
        <f t="shared" ca="1" si="26"/>
        <v>3084</v>
      </c>
      <c r="BB55" s="165">
        <f t="shared" ca="1" si="26"/>
        <v>3084</v>
      </c>
      <c r="BC55" s="165">
        <f t="shared" ca="1" si="26"/>
        <v>3084</v>
      </c>
      <c r="BD55" s="165">
        <f t="shared" ca="1" si="26"/>
        <v>3084</v>
      </c>
      <c r="BE55" s="165">
        <f t="shared" ca="1" si="26"/>
        <v>3084</v>
      </c>
      <c r="BF55" s="165">
        <f t="shared" ca="1" si="26"/>
        <v>3084</v>
      </c>
      <c r="BG55" s="165">
        <f t="shared" ca="1" si="26"/>
        <v>3084</v>
      </c>
      <c r="BH55" s="165">
        <f t="shared" ca="1" si="26"/>
        <v>3084</v>
      </c>
      <c r="BI55" s="165">
        <f t="shared" ca="1" si="26"/>
        <v>3084</v>
      </c>
      <c r="BJ55" s="165">
        <f t="shared" ca="1" si="26"/>
        <v>3084</v>
      </c>
      <c r="BK55" s="165">
        <f t="shared" ca="1" si="26"/>
        <v>3084</v>
      </c>
      <c r="BL55" s="165">
        <f t="shared" ca="1" si="26"/>
        <v>3084</v>
      </c>
      <c r="BM55" s="165">
        <f t="shared" ca="1" si="26"/>
        <v>3084</v>
      </c>
      <c r="BN55" s="165">
        <f t="shared" ca="1" si="26"/>
        <v>3084</v>
      </c>
      <c r="BO55" s="165">
        <f t="shared" ca="1" si="26"/>
        <v>3084</v>
      </c>
      <c r="BP55" s="165">
        <f t="shared" ca="1" si="26"/>
        <v>3084</v>
      </c>
      <c r="BQ55" s="165">
        <f t="shared" ca="1" si="26"/>
        <v>3084</v>
      </c>
      <c r="BR55" s="165">
        <f t="shared" ca="1" si="26"/>
        <v>3084</v>
      </c>
      <c r="BS55" s="165">
        <f t="shared" ca="1" si="26"/>
        <v>3084</v>
      </c>
      <c r="BT55" s="165">
        <f t="shared" ca="1" si="26"/>
        <v>3084</v>
      </c>
      <c r="BU55" s="165">
        <f t="shared" ca="1" si="26"/>
        <v>3084</v>
      </c>
      <c r="BV55" s="165">
        <f t="shared" ca="1" si="26"/>
        <v>3084</v>
      </c>
      <c r="BW55" s="165">
        <f t="shared" ca="1" si="26"/>
        <v>3084</v>
      </c>
    </row>
    <row r="56" spans="1:75" ht="12.75" x14ac:dyDescent="0.2">
      <c r="A56" s="23" t="s">
        <v>310</v>
      </c>
      <c r="B56" s="221"/>
      <c r="D56" s="115">
        <f t="array" aca="1" ref="D56" ca="1">INDEX(INDIRECT("PnL_"&amp;TEXT(D$1,"mmm")&amp;"_"&amp;TEXT(D$1,"yyyy")),MATCH(TRIM($A56),PnL_Accounts,0))</f>
        <v>0</v>
      </c>
      <c r="E56" s="115">
        <f t="array" aca="1" ref="E56" ca="1">INDEX(INDIRECT("PnL_"&amp;TEXT(E$1,"mmm")&amp;"_"&amp;TEXT(E$1,"yyyy")),MATCH(TRIM($A56),PnL_Accounts,0))</f>
        <v>0</v>
      </c>
      <c r="F56" s="115">
        <f t="array" aca="1" ref="F56" ca="1">INDEX(INDIRECT("PnL_"&amp;TEXT(F$1,"mmm")&amp;"_"&amp;TEXT(F$1,"yyyy")),MATCH(TRIM($A56),PnL_Accounts,0))</f>
        <v>0</v>
      </c>
      <c r="G56" s="115">
        <f t="array" aca="1" ref="G56" ca="1">INDEX(INDIRECT("PnL_"&amp;TEXT(G$1,"mmm")&amp;"_"&amp;TEXT(G$1,"yyyy")),MATCH(TRIM($A56),PnL_Accounts,0))</f>
        <v>0</v>
      </c>
      <c r="H56" s="115">
        <f t="array" aca="1" ref="H56" ca="1">INDEX(INDIRECT("PnL_"&amp;TEXT(H$1,"mmm")&amp;"_"&amp;TEXT(H$1,"yyyy")),MATCH(TRIM($A56),PnL_Accounts,0))</f>
        <v>0</v>
      </c>
      <c r="I56" s="115">
        <f t="array" aca="1" ref="I56" ca="1">INDEX(INDIRECT("PnL_"&amp;TEXT(I$1,"mmm")&amp;"_"&amp;TEXT(I$1,"yyyy")),MATCH(TRIM($A56),PnL_Accounts,0))</f>
        <v>0</v>
      </c>
      <c r="J56" s="115">
        <f t="array" aca="1" ref="J56" ca="1">INDEX(INDIRECT("PnL_"&amp;TEXT(J$1,"mmm")&amp;"_"&amp;TEXT(J$1,"yyyy")),MATCH(TRIM($A56),PnL_Accounts,0))</f>
        <v>0</v>
      </c>
      <c r="K56" s="115">
        <f t="array" aca="1" ref="K56" ca="1">INDEX(INDIRECT("PnL_"&amp;TEXT(K$1,"mmm")&amp;"_"&amp;TEXT(K$1,"yyyy")),MATCH(TRIM($A56),PnL_Accounts,0))</f>
        <v>0</v>
      </c>
      <c r="L56" s="115">
        <f t="array" aca="1" ref="L56" ca="1">INDEX(INDIRECT("PnL_"&amp;TEXT(L$1,"mmm")&amp;"_"&amp;TEXT(L$1,"yyyy")),MATCH(TRIM($A56),PnL_Accounts,0))</f>
        <v>0</v>
      </c>
      <c r="M56" s="115">
        <f t="array" aca="1" ref="M56" ca="1">INDEX(INDIRECT("PnL_"&amp;TEXT(M$1,"mmm")&amp;"_"&amp;TEXT(M$1,"yyyy")),MATCH(TRIM($A56),PnL_Accounts,0))</f>
        <v>0</v>
      </c>
      <c r="N56" s="115">
        <f t="array" aca="1" ref="N56" ca="1">INDEX(INDIRECT("PnL_"&amp;TEXT(N$1,"mmm")&amp;"_"&amp;TEXT(N$1,"yyyy")),MATCH(TRIM($A56),PnL_Accounts,0))</f>
        <v>0</v>
      </c>
      <c r="O56" s="115">
        <f t="array" aca="1" ref="O56" ca="1">INDEX(INDIRECT("PnL_"&amp;TEXT(O$1,"mmm")&amp;"_"&amp;TEXT(O$1,"yyyy")),MATCH(TRIM($A56),PnL_Accounts,0))</f>
        <v>0</v>
      </c>
      <c r="P56" s="115">
        <f t="array" aca="1" ref="P56" ca="1">INDEX(INDIRECT("PnL_"&amp;TEXT(P$1,"mmm")&amp;"_"&amp;TEXT(P$1,"yyyy")),MATCH(TRIM($A56),PnL_Accounts,0))</f>
        <v>0</v>
      </c>
      <c r="Q56" s="115">
        <f t="array" aca="1" ref="Q56" ca="1">INDEX(INDIRECT("PnL_"&amp;TEXT(Q$1,"mmm")&amp;"_"&amp;TEXT(Q$1,"yyyy")),MATCH(TRIM($A56),PnL_Accounts,0))</f>
        <v>0</v>
      </c>
      <c r="R56" s="115">
        <f t="array" aca="1" ref="R56" ca="1">INDEX(INDIRECT("PnL_"&amp;TEXT(R$1,"mmm")&amp;"_"&amp;TEXT(R$1,"yyyy")),MATCH(TRIM($A56),PnL_Accounts,0))</f>
        <v>0</v>
      </c>
      <c r="S56" s="115">
        <f t="array" aca="1" ref="S56" ca="1">INDEX(INDIRECT("PnL_"&amp;TEXT(S$1,"mmm")&amp;"_"&amp;TEXT(S$1,"yyyy")),MATCH(TRIM($A56),PnL_Accounts,0))</f>
        <v>0</v>
      </c>
      <c r="T56" s="115">
        <f t="array" aca="1" ref="T56" ca="1">INDEX(INDIRECT("PnL_"&amp;TEXT(T$1,"mmm")&amp;"_"&amp;TEXT(T$1,"yyyy")),MATCH(TRIM($A56),PnL_Accounts,0))</f>
        <v>0</v>
      </c>
      <c r="U56" s="115">
        <f t="array" aca="1" ref="U56" ca="1">INDEX(INDIRECT("PnL_"&amp;TEXT(U$1,"mmm")&amp;"_"&amp;TEXT(U$1,"yyyy")),MATCH(TRIM($A56),PnL_Accounts,0))</f>
        <v>0</v>
      </c>
      <c r="V56" s="115">
        <f t="array" aca="1" ref="V56" ca="1">INDEX(INDIRECT("PnL_"&amp;TEXT(V$1,"mmm")&amp;"_"&amp;TEXT(V$1,"yyyy")),MATCH(TRIM($A56),PnL_Accounts,0))</f>
        <v>0</v>
      </c>
      <c r="W56" s="115">
        <f t="array" aca="1" ref="W56" ca="1">INDEX(INDIRECT("PnL_"&amp;TEXT(W$1,"mmm")&amp;"_"&amp;TEXT(W$1,"yyyy")),MATCH(TRIM($A56),PnL_Accounts,0))</f>
        <v>0</v>
      </c>
      <c r="X56" s="115">
        <f t="array" aca="1" ref="X56" ca="1">INDEX(INDIRECT("PnL_"&amp;TEXT(X$1,"mmm")&amp;"_"&amp;TEXT(X$1,"yyyy")),MATCH(TRIM($A56),PnL_Accounts,0))</f>
        <v>0</v>
      </c>
      <c r="Y56" s="115">
        <f t="array" aca="1" ref="Y56" ca="1">INDEX(INDIRECT("PnL_"&amp;TEXT(Y$1,"mmm")&amp;"_"&amp;TEXT(Y$1,"yyyy")),MATCH(TRIM($A56),PnL_Accounts,0))</f>
        <v>0</v>
      </c>
      <c r="Z56" s="115">
        <f t="array" aca="1" ref="Z56" ca="1">INDEX(INDIRECT("PnL_"&amp;TEXT(Z$1,"mmm")&amp;"_"&amp;TEXT(Z$1,"yyyy")),MATCH(TRIM($A56),PnL_Accounts,0))</f>
        <v>0</v>
      </c>
      <c r="AA56" s="115">
        <f t="array" aca="1" ref="AA56" ca="1">INDEX(INDIRECT("PnL_"&amp;TEXT(AA$1,"mmm")&amp;"_"&amp;TEXT(AA$1,"yyyy")),MATCH(TRIM($A56),PnL_Accounts,0))</f>
        <v>0</v>
      </c>
      <c r="AB56" s="115">
        <f t="array" aca="1" ref="AB56" ca="1">INDEX(INDIRECT("PnL_"&amp;TEXT(AB$1,"mmm")&amp;"_"&amp;TEXT(AB$1,"yyyy")),MATCH(TRIM($A56),PnL_Accounts,0))</f>
        <v>0</v>
      </c>
      <c r="AC56" s="115">
        <f t="array" aca="1" ref="AC56" ca="1">INDEX(INDIRECT("PnL_"&amp;TEXT(AC$1,"mmm")&amp;"_"&amp;TEXT(AC$1,"yyyy")),MATCH(TRIM($A56),PnL_Accounts,0))</f>
        <v>0</v>
      </c>
      <c r="AD56" s="115">
        <f t="array" aca="1" ref="AD56" ca="1">INDEX(INDIRECT("PnL_"&amp;TEXT(AD$1,"mmm")&amp;"_"&amp;TEXT(AD$1,"yyyy")),MATCH(TRIM($A56),PnL_Accounts,0))</f>
        <v>0</v>
      </c>
      <c r="AE56" s="115">
        <f t="array" aca="1" ref="AE56" ca="1">INDEX(INDIRECT("PnL_"&amp;TEXT(AE$1,"mmm")&amp;"_"&amp;TEXT(AE$1,"yyyy")),MATCH(TRIM($A56),PnL_Accounts,0))</f>
        <v>0</v>
      </c>
    </row>
    <row r="57" spans="1:75" ht="12.75" x14ac:dyDescent="0.2">
      <c r="A57" s="23" t="s">
        <v>311</v>
      </c>
      <c r="B57" s="224">
        <f ca="1">AVERAGEIFS(57:57,$1:$1,"&gt;="&amp;DATE(YEAR(Current_Month),MONTH(Current_Month)-2,DAY(Current_Month)),$1:$1,"&lt;="&amp;EOMONTH(Current_Month,0))</f>
        <v>3358.3333333333335</v>
      </c>
      <c r="D57" s="115">
        <f t="array" aca="1" ref="D57" ca="1">INDEX(INDIRECT("PnL_"&amp;TEXT(D$1,"mmm")&amp;"_"&amp;TEXT(D$1,"yyyy")),MATCH(TRIM($A57),PnL_Accounts,0))</f>
        <v>3404</v>
      </c>
      <c r="E57" s="115">
        <f t="array" aca="1" ref="E57" ca="1">INDEX(INDIRECT("PnL_"&amp;TEXT(E$1,"mmm")&amp;"_"&amp;TEXT(E$1,"yyyy")),MATCH(TRIM($A57),PnL_Accounts,0))</f>
        <v>3380</v>
      </c>
      <c r="F57" s="115">
        <f t="array" aca="1" ref="F57" ca="1">INDEX(INDIRECT("PnL_"&amp;TEXT(F$1,"mmm")&amp;"_"&amp;TEXT(F$1,"yyyy")),MATCH(TRIM($A57),PnL_Accounts,0))</f>
        <v>3666</v>
      </c>
      <c r="G57" s="115">
        <f t="array" aca="1" ref="G57" ca="1">INDEX(INDIRECT("PnL_"&amp;TEXT(G$1,"mmm")&amp;"_"&amp;TEXT(G$1,"yyyy")),MATCH(TRIM($A57),PnL_Accounts,0))</f>
        <v>3752</v>
      </c>
      <c r="H57" s="115">
        <f t="array" aca="1" ref="H57" ca="1">INDEX(INDIRECT("PnL_"&amp;TEXT(H$1,"mmm")&amp;"_"&amp;TEXT(H$1,"yyyy")),MATCH(TRIM($A57),PnL_Accounts,0))</f>
        <v>3906</v>
      </c>
      <c r="I57" s="115">
        <f t="array" aca="1" ref="I57" ca="1">INDEX(INDIRECT("PnL_"&amp;TEXT(I$1,"mmm")&amp;"_"&amp;TEXT(I$1,"yyyy")),MATCH(TRIM($A57),PnL_Accounts,0))</f>
        <v>4023</v>
      </c>
      <c r="J57" s="115">
        <f t="array" aca="1" ref="J57" ca="1">INDEX(INDIRECT("PnL_"&amp;TEXT(J$1,"mmm")&amp;"_"&amp;TEXT(J$1,"yyyy")),MATCH(TRIM($A57),PnL_Accounts,0))</f>
        <v>4190</v>
      </c>
      <c r="K57" s="115">
        <f t="array" aca="1" ref="K57" ca="1">INDEX(INDIRECT("PnL_"&amp;TEXT(K$1,"mmm")&amp;"_"&amp;TEXT(K$1,"yyyy")),MATCH(TRIM($A57),PnL_Accounts,0))</f>
        <v>4130</v>
      </c>
      <c r="L57" s="115">
        <f t="array" aca="1" ref="L57" ca="1">INDEX(INDIRECT("PnL_"&amp;TEXT(L$1,"mmm")&amp;"_"&amp;TEXT(L$1,"yyyy")),MATCH(TRIM($A57),PnL_Accounts,0))</f>
        <v>4250</v>
      </c>
      <c r="M57" s="115">
        <f t="array" aca="1" ref="M57" ca="1">INDEX(INDIRECT("PnL_"&amp;TEXT(M$1,"mmm")&amp;"_"&amp;TEXT(M$1,"yyyy")),MATCH(TRIM($A57),PnL_Accounts,0))</f>
        <v>3959</v>
      </c>
      <c r="N57" s="115">
        <f t="array" aca="1" ref="N57" ca="1">INDEX(INDIRECT("PnL_"&amp;TEXT(N$1,"mmm")&amp;"_"&amp;TEXT(N$1,"yyyy")),MATCH(TRIM($A57),PnL_Accounts,0))</f>
        <v>4198</v>
      </c>
      <c r="O57" s="115">
        <f t="array" aca="1" ref="O57" ca="1">INDEX(INDIRECT("PnL_"&amp;TEXT(O$1,"mmm")&amp;"_"&amp;TEXT(O$1,"yyyy")),MATCH(TRIM($A57),PnL_Accounts,0))</f>
        <v>4432</v>
      </c>
      <c r="P57" s="115">
        <f t="array" aca="1" ref="P57" ca="1">INDEX(INDIRECT("PnL_"&amp;TEXT(P$1,"mmm")&amp;"_"&amp;TEXT(P$1,"yyyy")),MATCH(TRIM($A57),PnL_Accounts,0))</f>
        <v>4377</v>
      </c>
      <c r="Q57" s="115">
        <f t="array" aca="1" ref="Q57" ca="1">INDEX(INDIRECT("PnL_"&amp;TEXT(Q$1,"mmm")&amp;"_"&amp;TEXT(Q$1,"yyyy")),MATCH(TRIM($A57),PnL_Accounts,0))</f>
        <v>4577</v>
      </c>
      <c r="R57" s="115">
        <f t="array" aca="1" ref="R57" ca="1">INDEX(INDIRECT("PnL_"&amp;TEXT(R$1,"mmm")&amp;"_"&amp;TEXT(R$1,"yyyy")),MATCH(TRIM($A57),PnL_Accounts,0))</f>
        <v>5005</v>
      </c>
      <c r="S57" s="115">
        <f t="array" aca="1" ref="S57" ca="1">INDEX(INDIRECT("PnL_"&amp;TEXT(S$1,"mmm")&amp;"_"&amp;TEXT(S$1,"yyyy")),MATCH(TRIM($A57),PnL_Accounts,0))</f>
        <v>5233</v>
      </c>
      <c r="T57" s="115">
        <f t="array" aca="1" ref="T57" ca="1">INDEX(INDIRECT("PnL_"&amp;TEXT(T$1,"mmm")&amp;"_"&amp;TEXT(T$1,"yyyy")),MATCH(TRIM($A57),PnL_Accounts,0))</f>
        <v>4572</v>
      </c>
      <c r="U57" s="115">
        <f t="array" aca="1" ref="U57" ca="1">INDEX(INDIRECT("PnL_"&amp;TEXT(U$1,"mmm")&amp;"_"&amp;TEXT(U$1,"yyyy")),MATCH(TRIM($A57),PnL_Accounts,0))</f>
        <v>4871</v>
      </c>
      <c r="V57" s="115">
        <f t="array" aca="1" ref="V57" ca="1">INDEX(INDIRECT("PnL_"&amp;TEXT(V$1,"mmm")&amp;"_"&amp;TEXT(V$1,"yyyy")),MATCH(TRIM($A57),PnL_Accounts,0))</f>
        <v>4938</v>
      </c>
      <c r="W57" s="115">
        <f t="array" aca="1" ref="W57" ca="1">INDEX(INDIRECT("PnL_"&amp;TEXT(W$1,"mmm")&amp;"_"&amp;TEXT(W$1,"yyyy")),MATCH(TRIM($A57),PnL_Accounts,0))</f>
        <v>5121</v>
      </c>
      <c r="X57" s="115">
        <f t="array" aca="1" ref="X57" ca="1">INDEX(INDIRECT("PnL_"&amp;TEXT(X$1,"mmm")&amp;"_"&amp;TEXT(X$1,"yyyy")),MATCH(TRIM($A57),PnL_Accounts,0))</f>
        <v>7552</v>
      </c>
      <c r="Y57" s="115">
        <f t="array" aca="1" ref="Y57" ca="1">INDEX(INDIRECT("PnL_"&amp;TEXT(Y$1,"mmm")&amp;"_"&amp;TEXT(Y$1,"yyyy")),MATCH(TRIM($A57),PnL_Accounts,0))</f>
        <v>8503</v>
      </c>
      <c r="Z57" s="115">
        <f t="array" aca="1" ref="Z57" ca="1">INDEX(INDIRECT("PnL_"&amp;TEXT(Z$1,"mmm")&amp;"_"&amp;TEXT(Z$1,"yyyy")),MATCH(TRIM($A57),PnL_Accounts,0))</f>
        <v>9078</v>
      </c>
      <c r="AA57" s="115">
        <f t="array" aca="1" ref="AA57" ca="1">INDEX(INDIRECT("PnL_"&amp;TEXT(AA$1,"mmm")&amp;"_"&amp;TEXT(AA$1,"yyyy")),MATCH(TRIM($A57),PnL_Accounts,0))</f>
        <v>9076</v>
      </c>
      <c r="AB57" s="115">
        <f t="array" aca="1" ref="AB57" ca="1">INDEX(INDIRECT("PnL_"&amp;TEXT(AB$1,"mmm")&amp;"_"&amp;TEXT(AB$1,"yyyy")),MATCH(TRIM($A57),PnL_Accounts,0))</f>
        <v>9257</v>
      </c>
      <c r="AC57" s="115">
        <f t="array" aca="1" ref="AC57" ca="1">INDEX(INDIRECT("PnL_"&amp;TEXT(AC$1,"mmm")&amp;"_"&amp;TEXT(AC$1,"yyyy")),MATCH(TRIM($A57),PnL_Accounts,0))</f>
        <v>8975</v>
      </c>
      <c r="AD57" s="115">
        <f t="array" aca="1" ref="AD57" ca="1">INDEX(INDIRECT("PnL_"&amp;TEXT(AD$1,"mmm")&amp;"_"&amp;TEXT(AD$1,"yyyy")),MATCH(TRIM($A57),PnL_Accounts,0))</f>
        <v>1100</v>
      </c>
      <c r="AE57" s="115">
        <f t="array" aca="1" ref="AE57" ca="1">INDEX(INDIRECT("PnL_"&amp;TEXT(AE$1,"mmm")&amp;"_"&amp;TEXT(AE$1,"yyyy")),MATCH(TRIM($A57),PnL_Accounts,0))</f>
        <v>0</v>
      </c>
      <c r="AF57" s="114">
        <v>0</v>
      </c>
      <c r="AG57" s="114">
        <v>0</v>
      </c>
      <c r="AH57" s="114">
        <v>0</v>
      </c>
      <c r="AI57" s="114">
        <f t="shared" ref="AI57:AJ57" ca="1" si="27">$B57/2</f>
        <v>1679.1666666666667</v>
      </c>
      <c r="AJ57" s="114">
        <f t="shared" ca="1" si="27"/>
        <v>1679.1666666666667</v>
      </c>
      <c r="AK57" s="165">
        <f t="shared" ref="AK57:BW57" ca="1" si="28">$B57</f>
        <v>3358.3333333333335</v>
      </c>
      <c r="AL57" s="165">
        <f t="shared" ca="1" si="28"/>
        <v>3358.3333333333335</v>
      </c>
      <c r="AM57" s="165">
        <f t="shared" ca="1" si="28"/>
        <v>3358.3333333333335</v>
      </c>
      <c r="AN57" s="165">
        <f t="shared" ca="1" si="28"/>
        <v>3358.3333333333335</v>
      </c>
      <c r="AO57" s="165">
        <f t="shared" ca="1" si="28"/>
        <v>3358.3333333333335</v>
      </c>
      <c r="AP57" s="165">
        <f t="shared" ca="1" si="28"/>
        <v>3358.3333333333335</v>
      </c>
      <c r="AQ57" s="165">
        <f t="shared" ca="1" si="28"/>
        <v>3358.3333333333335</v>
      </c>
      <c r="AR57" s="165">
        <f t="shared" ca="1" si="28"/>
        <v>3358.3333333333335</v>
      </c>
      <c r="AS57" s="165">
        <f t="shared" ca="1" si="28"/>
        <v>3358.3333333333335</v>
      </c>
      <c r="AT57" s="165">
        <f t="shared" ca="1" si="28"/>
        <v>3358.3333333333335</v>
      </c>
      <c r="AU57" s="165">
        <f t="shared" ca="1" si="28"/>
        <v>3358.3333333333335</v>
      </c>
      <c r="AV57" s="165">
        <f t="shared" ca="1" si="28"/>
        <v>3358.3333333333335</v>
      </c>
      <c r="AW57" s="165">
        <f t="shared" ca="1" si="28"/>
        <v>3358.3333333333335</v>
      </c>
      <c r="AX57" s="165">
        <f t="shared" ca="1" si="28"/>
        <v>3358.3333333333335</v>
      </c>
      <c r="AY57" s="165">
        <f t="shared" ca="1" si="28"/>
        <v>3358.3333333333335</v>
      </c>
      <c r="AZ57" s="165">
        <f t="shared" ca="1" si="28"/>
        <v>3358.3333333333335</v>
      </c>
      <c r="BA57" s="165">
        <f t="shared" ca="1" si="28"/>
        <v>3358.3333333333335</v>
      </c>
      <c r="BB57" s="165">
        <f t="shared" ca="1" si="28"/>
        <v>3358.3333333333335</v>
      </c>
      <c r="BC57" s="165">
        <f t="shared" ca="1" si="28"/>
        <v>3358.3333333333335</v>
      </c>
      <c r="BD57" s="165">
        <f t="shared" ca="1" si="28"/>
        <v>3358.3333333333335</v>
      </c>
      <c r="BE57" s="165">
        <f t="shared" ca="1" si="28"/>
        <v>3358.3333333333335</v>
      </c>
      <c r="BF57" s="165">
        <f t="shared" ca="1" si="28"/>
        <v>3358.3333333333335</v>
      </c>
      <c r="BG57" s="165">
        <f t="shared" ca="1" si="28"/>
        <v>3358.3333333333335</v>
      </c>
      <c r="BH57" s="165">
        <f t="shared" ca="1" si="28"/>
        <v>3358.3333333333335</v>
      </c>
      <c r="BI57" s="165">
        <f t="shared" ca="1" si="28"/>
        <v>3358.3333333333335</v>
      </c>
      <c r="BJ57" s="165">
        <f t="shared" ca="1" si="28"/>
        <v>3358.3333333333335</v>
      </c>
      <c r="BK57" s="165">
        <f t="shared" ca="1" si="28"/>
        <v>3358.3333333333335</v>
      </c>
      <c r="BL57" s="165">
        <f t="shared" ca="1" si="28"/>
        <v>3358.3333333333335</v>
      </c>
      <c r="BM57" s="165">
        <f t="shared" ca="1" si="28"/>
        <v>3358.3333333333335</v>
      </c>
      <c r="BN57" s="165">
        <f t="shared" ca="1" si="28"/>
        <v>3358.3333333333335</v>
      </c>
      <c r="BO57" s="165">
        <f t="shared" ca="1" si="28"/>
        <v>3358.3333333333335</v>
      </c>
      <c r="BP57" s="165">
        <f t="shared" ca="1" si="28"/>
        <v>3358.3333333333335</v>
      </c>
      <c r="BQ57" s="165">
        <f t="shared" ca="1" si="28"/>
        <v>3358.3333333333335</v>
      </c>
      <c r="BR57" s="165">
        <f t="shared" ca="1" si="28"/>
        <v>3358.3333333333335</v>
      </c>
      <c r="BS57" s="165">
        <f t="shared" ca="1" si="28"/>
        <v>3358.3333333333335</v>
      </c>
      <c r="BT57" s="165">
        <f t="shared" ca="1" si="28"/>
        <v>3358.3333333333335</v>
      </c>
      <c r="BU57" s="165">
        <f t="shared" ca="1" si="28"/>
        <v>3358.3333333333335</v>
      </c>
      <c r="BV57" s="165">
        <f t="shared" ca="1" si="28"/>
        <v>3358.3333333333335</v>
      </c>
      <c r="BW57" s="165">
        <f t="shared" ca="1" si="28"/>
        <v>3358.3333333333335</v>
      </c>
    </row>
    <row r="58" spans="1:75" ht="12.75" x14ac:dyDescent="0.2">
      <c r="A58" s="23" t="s">
        <v>312</v>
      </c>
      <c r="B58" s="224">
        <f ca="1">AVERAGEIFS(58:58,$1:$1,"&gt;="&amp;DATE(YEAR(Current_Month),MONTH(Current_Month)-2,DAY(Current_Month)),$1:$1,"&lt;="&amp;EOMONTH(Current_Month,0))</f>
        <v>3360</v>
      </c>
      <c r="D58" s="115">
        <f t="array" aca="1" ref="D58" ca="1">INDEX(INDIRECT("PnL_"&amp;TEXT(D$1,"mmm")&amp;"_"&amp;TEXT(D$1,"yyyy")),MATCH(TRIM($A58),PnL_Accounts,0))</f>
        <v>2487</v>
      </c>
      <c r="E58" s="115">
        <f t="array" aca="1" ref="E58" ca="1">INDEX(INDIRECT("PnL_"&amp;TEXT(E$1,"mmm")&amp;"_"&amp;TEXT(E$1,"yyyy")),MATCH(TRIM($A58),PnL_Accounts,0))</f>
        <v>2849</v>
      </c>
      <c r="F58" s="115">
        <f t="array" aca="1" ref="F58" ca="1">INDEX(INDIRECT("PnL_"&amp;TEXT(F$1,"mmm")&amp;"_"&amp;TEXT(F$1,"yyyy")),MATCH(TRIM($A58),PnL_Accounts,0))</f>
        <v>3138</v>
      </c>
      <c r="G58" s="115">
        <f t="array" aca="1" ref="G58" ca="1">INDEX(INDIRECT("PnL_"&amp;TEXT(G$1,"mmm")&amp;"_"&amp;TEXT(G$1,"yyyy")),MATCH(TRIM($A58),PnL_Accounts,0))</f>
        <v>3532</v>
      </c>
      <c r="H58" s="115">
        <f t="array" aca="1" ref="H58" ca="1">INDEX(INDIRECT("PnL_"&amp;TEXT(H$1,"mmm")&amp;"_"&amp;TEXT(H$1,"yyyy")),MATCH(TRIM($A58),PnL_Accounts,0))</f>
        <v>3337</v>
      </c>
      <c r="I58" s="115">
        <f t="array" aca="1" ref="I58" ca="1">INDEX(INDIRECT("PnL_"&amp;TEXT(I$1,"mmm")&amp;"_"&amp;TEXT(I$1,"yyyy")),MATCH(TRIM($A58),PnL_Accounts,0))</f>
        <v>3267</v>
      </c>
      <c r="J58" s="115">
        <f t="array" aca="1" ref="J58" ca="1">INDEX(INDIRECT("PnL_"&amp;TEXT(J$1,"mmm")&amp;"_"&amp;TEXT(J$1,"yyyy")),MATCH(TRIM($A58),PnL_Accounts,0))</f>
        <v>3451</v>
      </c>
      <c r="K58" s="115">
        <f t="array" aca="1" ref="K58" ca="1">INDEX(INDIRECT("PnL_"&amp;TEXT(K$1,"mmm")&amp;"_"&amp;TEXT(K$1,"yyyy")),MATCH(TRIM($A58),PnL_Accounts,0))</f>
        <v>3510</v>
      </c>
      <c r="L58" s="115">
        <f t="array" aca="1" ref="L58" ca="1">INDEX(INDIRECT("PnL_"&amp;TEXT(L$1,"mmm")&amp;"_"&amp;TEXT(L$1,"yyyy")),MATCH(TRIM($A58),PnL_Accounts,0))</f>
        <v>3714</v>
      </c>
      <c r="M58" s="115">
        <f t="array" aca="1" ref="M58" ca="1">INDEX(INDIRECT("PnL_"&amp;TEXT(M$1,"mmm")&amp;"_"&amp;TEXT(M$1,"yyyy")),MATCH(TRIM($A58),PnL_Accounts,0))</f>
        <v>3628</v>
      </c>
      <c r="N58" s="115">
        <f t="array" aca="1" ref="N58" ca="1">INDEX(INDIRECT("PnL_"&amp;TEXT(N$1,"mmm")&amp;"_"&amp;TEXT(N$1,"yyyy")),MATCH(TRIM($A58),PnL_Accounts,0))</f>
        <v>3766</v>
      </c>
      <c r="O58" s="115">
        <f t="array" aca="1" ref="O58" ca="1">INDEX(INDIRECT("PnL_"&amp;TEXT(O$1,"mmm")&amp;"_"&amp;TEXT(O$1,"yyyy")),MATCH(TRIM($A58),PnL_Accounts,0))</f>
        <v>3916</v>
      </c>
      <c r="P58" s="115">
        <f t="array" aca="1" ref="P58" ca="1">INDEX(INDIRECT("PnL_"&amp;TEXT(P$1,"mmm")&amp;"_"&amp;TEXT(P$1,"yyyy")),MATCH(TRIM($A58),PnL_Accounts,0))</f>
        <v>3839</v>
      </c>
      <c r="Q58" s="115">
        <f t="array" aca="1" ref="Q58" ca="1">INDEX(INDIRECT("PnL_"&amp;TEXT(Q$1,"mmm")&amp;"_"&amp;TEXT(Q$1,"yyyy")),MATCH(TRIM($A58),PnL_Accounts,0))</f>
        <v>4341</v>
      </c>
      <c r="R58" s="115">
        <f t="array" aca="1" ref="R58" ca="1">INDEX(INDIRECT("PnL_"&amp;TEXT(R$1,"mmm")&amp;"_"&amp;TEXT(R$1,"yyyy")),MATCH(TRIM($A58),PnL_Accounts,0))</f>
        <v>4557</v>
      </c>
      <c r="S58" s="115">
        <f t="array" aca="1" ref="S58" ca="1">INDEX(INDIRECT("PnL_"&amp;TEXT(S$1,"mmm")&amp;"_"&amp;TEXT(S$1,"yyyy")),MATCH(TRIM($A58),PnL_Accounts,0))</f>
        <v>4597</v>
      </c>
      <c r="T58" s="115">
        <f t="array" aca="1" ref="T58" ca="1">INDEX(INDIRECT("PnL_"&amp;TEXT(T$1,"mmm")&amp;"_"&amp;TEXT(T$1,"yyyy")),MATCH(TRIM($A58),PnL_Accounts,0))</f>
        <v>6113</v>
      </c>
      <c r="U58" s="115">
        <f t="array" aca="1" ref="U58" ca="1">INDEX(INDIRECT("PnL_"&amp;TEXT(U$1,"mmm")&amp;"_"&amp;TEXT(U$1,"yyyy")),MATCH(TRIM($A58),PnL_Accounts,0))</f>
        <v>5884</v>
      </c>
      <c r="V58" s="115">
        <f t="array" aca="1" ref="V58" ca="1">INDEX(INDIRECT("PnL_"&amp;TEXT(V$1,"mmm")&amp;"_"&amp;TEXT(V$1,"yyyy")),MATCH(TRIM($A58),PnL_Accounts,0))</f>
        <v>6025</v>
      </c>
      <c r="W58" s="115">
        <f t="array" aca="1" ref="W58" ca="1">INDEX(INDIRECT("PnL_"&amp;TEXT(W$1,"mmm")&amp;"_"&amp;TEXT(W$1,"yyyy")),MATCH(TRIM($A58),PnL_Accounts,0))</f>
        <v>5831</v>
      </c>
      <c r="X58" s="115">
        <f t="array" aca="1" ref="X58" ca="1">INDEX(INDIRECT("PnL_"&amp;TEXT(X$1,"mmm")&amp;"_"&amp;TEXT(X$1,"yyyy")),MATCH(TRIM($A58),PnL_Accounts,0))</f>
        <v>3542</v>
      </c>
      <c r="Y58" s="115">
        <f t="array" aca="1" ref="Y58" ca="1">INDEX(INDIRECT("PnL_"&amp;TEXT(Y$1,"mmm")&amp;"_"&amp;TEXT(Y$1,"yyyy")),MATCH(TRIM($A58),PnL_Accounts,0))</f>
        <v>7596</v>
      </c>
      <c r="Z58" s="115">
        <f t="array" aca="1" ref="Z58" ca="1">INDEX(INDIRECT("PnL_"&amp;TEXT(Z$1,"mmm")&amp;"_"&amp;TEXT(Z$1,"yyyy")),MATCH(TRIM($A58),PnL_Accounts,0))</f>
        <v>6899</v>
      </c>
      <c r="AA58" s="115">
        <f t="array" aca="1" ref="AA58" ca="1">INDEX(INDIRECT("PnL_"&amp;TEXT(AA$1,"mmm")&amp;"_"&amp;TEXT(AA$1,"yyyy")),MATCH(TRIM($A58),PnL_Accounts,0))</f>
        <v>9727</v>
      </c>
      <c r="AB58" s="115">
        <f t="array" aca="1" ref="AB58" ca="1">INDEX(INDIRECT("PnL_"&amp;TEXT(AB$1,"mmm")&amp;"_"&amp;TEXT(AB$1,"yyyy")),MATCH(TRIM($A58),PnL_Accounts,0))</f>
        <v>10123</v>
      </c>
      <c r="AC58" s="115">
        <f t="array" aca="1" ref="AC58" ca="1">INDEX(INDIRECT("PnL_"&amp;TEXT(AC$1,"mmm")&amp;"_"&amp;TEXT(AC$1,"yyyy")),MATCH(TRIM($A58),PnL_Accounts,0))</f>
        <v>9781</v>
      </c>
      <c r="AD58" s="115">
        <f t="array" aca="1" ref="AD58" ca="1">INDEX(INDIRECT("PnL_"&amp;TEXT(AD$1,"mmm")&amp;"_"&amp;TEXT(AD$1,"yyyy")),MATCH(TRIM($A58),PnL_Accounts,0))</f>
        <v>299</v>
      </c>
      <c r="AE58" s="115">
        <f t="array" aca="1" ref="AE58" ca="1">INDEX(INDIRECT("PnL_"&amp;TEXT(AE$1,"mmm")&amp;"_"&amp;TEXT(AE$1,"yyyy")),MATCH(TRIM($A58),PnL_Accounts,0))</f>
        <v>0</v>
      </c>
      <c r="AF58" s="114">
        <v>0</v>
      </c>
      <c r="AG58" s="114">
        <v>0</v>
      </c>
      <c r="AH58" s="114">
        <v>0</v>
      </c>
      <c r="AI58" s="114">
        <f t="shared" ref="AI58:AJ58" ca="1" si="29">$B58/2</f>
        <v>1680</v>
      </c>
      <c r="AJ58" s="114">
        <f t="shared" ca="1" si="29"/>
        <v>1680</v>
      </c>
      <c r="AK58" s="165">
        <f t="shared" ref="AK58:BW58" ca="1" si="30">$B58</f>
        <v>3360</v>
      </c>
      <c r="AL58" s="165">
        <f t="shared" ca="1" si="30"/>
        <v>3360</v>
      </c>
      <c r="AM58" s="165">
        <f t="shared" ca="1" si="30"/>
        <v>3360</v>
      </c>
      <c r="AN58" s="165">
        <f t="shared" ca="1" si="30"/>
        <v>3360</v>
      </c>
      <c r="AO58" s="165">
        <f t="shared" ca="1" si="30"/>
        <v>3360</v>
      </c>
      <c r="AP58" s="165">
        <f t="shared" ca="1" si="30"/>
        <v>3360</v>
      </c>
      <c r="AQ58" s="165">
        <f t="shared" ca="1" si="30"/>
        <v>3360</v>
      </c>
      <c r="AR58" s="165">
        <f t="shared" ca="1" si="30"/>
        <v>3360</v>
      </c>
      <c r="AS58" s="165">
        <f t="shared" ca="1" si="30"/>
        <v>3360</v>
      </c>
      <c r="AT58" s="165">
        <f t="shared" ca="1" si="30"/>
        <v>3360</v>
      </c>
      <c r="AU58" s="165">
        <f t="shared" ca="1" si="30"/>
        <v>3360</v>
      </c>
      <c r="AV58" s="165">
        <f t="shared" ca="1" si="30"/>
        <v>3360</v>
      </c>
      <c r="AW58" s="165">
        <f t="shared" ca="1" si="30"/>
        <v>3360</v>
      </c>
      <c r="AX58" s="165">
        <f t="shared" ca="1" si="30"/>
        <v>3360</v>
      </c>
      <c r="AY58" s="165">
        <f t="shared" ca="1" si="30"/>
        <v>3360</v>
      </c>
      <c r="AZ58" s="165">
        <f t="shared" ca="1" si="30"/>
        <v>3360</v>
      </c>
      <c r="BA58" s="165">
        <f t="shared" ca="1" si="30"/>
        <v>3360</v>
      </c>
      <c r="BB58" s="165">
        <f t="shared" ca="1" si="30"/>
        <v>3360</v>
      </c>
      <c r="BC58" s="165">
        <f t="shared" ca="1" si="30"/>
        <v>3360</v>
      </c>
      <c r="BD58" s="165">
        <f t="shared" ca="1" si="30"/>
        <v>3360</v>
      </c>
      <c r="BE58" s="165">
        <f t="shared" ca="1" si="30"/>
        <v>3360</v>
      </c>
      <c r="BF58" s="165">
        <f t="shared" ca="1" si="30"/>
        <v>3360</v>
      </c>
      <c r="BG58" s="165">
        <f t="shared" ca="1" si="30"/>
        <v>3360</v>
      </c>
      <c r="BH58" s="165">
        <f t="shared" ca="1" si="30"/>
        <v>3360</v>
      </c>
      <c r="BI58" s="165">
        <f t="shared" ca="1" si="30"/>
        <v>3360</v>
      </c>
      <c r="BJ58" s="165">
        <f t="shared" ca="1" si="30"/>
        <v>3360</v>
      </c>
      <c r="BK58" s="165">
        <f t="shared" ca="1" si="30"/>
        <v>3360</v>
      </c>
      <c r="BL58" s="165">
        <f t="shared" ca="1" si="30"/>
        <v>3360</v>
      </c>
      <c r="BM58" s="165">
        <f t="shared" ca="1" si="30"/>
        <v>3360</v>
      </c>
      <c r="BN58" s="165">
        <f t="shared" ca="1" si="30"/>
        <v>3360</v>
      </c>
      <c r="BO58" s="165">
        <f t="shared" ca="1" si="30"/>
        <v>3360</v>
      </c>
      <c r="BP58" s="165">
        <f t="shared" ca="1" si="30"/>
        <v>3360</v>
      </c>
      <c r="BQ58" s="165">
        <f t="shared" ca="1" si="30"/>
        <v>3360</v>
      </c>
      <c r="BR58" s="165">
        <f t="shared" ca="1" si="30"/>
        <v>3360</v>
      </c>
      <c r="BS58" s="165">
        <f t="shared" ca="1" si="30"/>
        <v>3360</v>
      </c>
      <c r="BT58" s="165">
        <f t="shared" ca="1" si="30"/>
        <v>3360</v>
      </c>
      <c r="BU58" s="165">
        <f t="shared" ca="1" si="30"/>
        <v>3360</v>
      </c>
      <c r="BV58" s="165">
        <f t="shared" ca="1" si="30"/>
        <v>3360</v>
      </c>
      <c r="BW58" s="165">
        <f t="shared" ca="1" si="30"/>
        <v>3360</v>
      </c>
    </row>
    <row r="59" spans="1:75" ht="12.75" x14ac:dyDescent="0.2">
      <c r="A59" s="23" t="s">
        <v>313</v>
      </c>
      <c r="B59" s="224">
        <f ca="1">AVERAGEIFS(59:59,$1:$1,"&gt;="&amp;DATE(YEAR(Current_Month),MONTH(Current_Month)-2,DAY(Current_Month)),$1:$1,"&lt;="&amp;EOMONTH(Current_Month,0))</f>
        <v>2332.3333333333335</v>
      </c>
      <c r="D59" s="115">
        <f t="array" aca="1" ref="D59" ca="1">INDEX(INDIRECT("PnL_"&amp;TEXT(D$1,"mmm")&amp;"_"&amp;TEXT(D$1,"yyyy")),MATCH(TRIM($A59),PnL_Accounts,0))</f>
        <v>579</v>
      </c>
      <c r="E59" s="115">
        <f t="array" aca="1" ref="E59" ca="1">INDEX(INDIRECT("PnL_"&amp;TEXT(E$1,"mmm")&amp;"_"&amp;TEXT(E$1,"yyyy")),MATCH(TRIM($A59),PnL_Accounts,0))</f>
        <v>498</v>
      </c>
      <c r="F59" s="115">
        <f t="array" aca="1" ref="F59" ca="1">INDEX(INDIRECT("PnL_"&amp;TEXT(F$1,"mmm")&amp;"_"&amp;TEXT(F$1,"yyyy")),MATCH(TRIM($A59),PnL_Accounts,0))</f>
        <v>311</v>
      </c>
      <c r="G59" s="115">
        <f t="array" aca="1" ref="G59" ca="1">INDEX(INDIRECT("PnL_"&amp;TEXT(G$1,"mmm")&amp;"_"&amp;TEXT(G$1,"yyyy")),MATCH(TRIM($A59),PnL_Accounts,0))</f>
        <v>706</v>
      </c>
      <c r="H59" s="115">
        <f t="array" aca="1" ref="H59" ca="1">INDEX(INDIRECT("PnL_"&amp;TEXT(H$1,"mmm")&amp;"_"&amp;TEXT(H$1,"yyyy")),MATCH(TRIM($A59),PnL_Accounts,0))</f>
        <v>914</v>
      </c>
      <c r="I59" s="115">
        <f t="array" aca="1" ref="I59" ca="1">INDEX(INDIRECT("PnL_"&amp;TEXT(I$1,"mmm")&amp;"_"&amp;TEXT(I$1,"yyyy")),MATCH(TRIM($A59),PnL_Accounts,0))</f>
        <v>855</v>
      </c>
      <c r="J59" s="115">
        <f t="array" aca="1" ref="J59" ca="1">INDEX(INDIRECT("PnL_"&amp;TEXT(J$1,"mmm")&amp;"_"&amp;TEXT(J$1,"yyyy")),MATCH(TRIM($A59),PnL_Accounts,0))</f>
        <v>953</v>
      </c>
      <c r="K59" s="115">
        <f t="array" aca="1" ref="K59" ca="1">INDEX(INDIRECT("PnL_"&amp;TEXT(K$1,"mmm")&amp;"_"&amp;TEXT(K$1,"yyyy")),MATCH(TRIM($A59),PnL_Accounts,0))</f>
        <v>985</v>
      </c>
      <c r="L59" s="115">
        <f t="array" aca="1" ref="L59" ca="1">INDEX(INDIRECT("PnL_"&amp;TEXT(L$1,"mmm")&amp;"_"&amp;TEXT(L$1,"yyyy")),MATCH(TRIM($A59),PnL_Accounts,0))</f>
        <v>1730</v>
      </c>
      <c r="M59" s="115">
        <f t="array" aca="1" ref="M59" ca="1">INDEX(INDIRECT("PnL_"&amp;TEXT(M$1,"mmm")&amp;"_"&amp;TEXT(M$1,"yyyy")),MATCH(TRIM($A59),PnL_Accounts,0))</f>
        <v>1073</v>
      </c>
      <c r="N59" s="115">
        <f t="array" aca="1" ref="N59" ca="1">INDEX(INDIRECT("PnL_"&amp;TEXT(N$1,"mmm")&amp;"_"&amp;TEXT(N$1,"yyyy")),MATCH(TRIM($A59),PnL_Accounts,0))</f>
        <v>1205</v>
      </c>
      <c r="O59" s="115">
        <f t="array" aca="1" ref="O59" ca="1">INDEX(INDIRECT("PnL_"&amp;TEXT(O$1,"mmm")&amp;"_"&amp;TEXT(O$1,"yyyy")),MATCH(TRIM($A59),PnL_Accounts,0))</f>
        <v>1436</v>
      </c>
      <c r="P59" s="115">
        <f t="array" aca="1" ref="P59" ca="1">INDEX(INDIRECT("PnL_"&amp;TEXT(P$1,"mmm")&amp;"_"&amp;TEXT(P$1,"yyyy")),MATCH(TRIM($A59),PnL_Accounts,0))</f>
        <v>1489</v>
      </c>
      <c r="Q59" s="115">
        <f t="array" aca="1" ref="Q59" ca="1">INDEX(INDIRECT("PnL_"&amp;TEXT(Q$1,"mmm")&amp;"_"&amp;TEXT(Q$1,"yyyy")),MATCH(TRIM($A59),PnL_Accounts,0))</f>
        <v>1642</v>
      </c>
      <c r="R59" s="115">
        <f t="array" aca="1" ref="R59" ca="1">INDEX(INDIRECT("PnL_"&amp;TEXT(R$1,"mmm")&amp;"_"&amp;TEXT(R$1,"yyyy")),MATCH(TRIM($A59),PnL_Accounts,0))</f>
        <v>1479</v>
      </c>
      <c r="S59" s="115">
        <f t="array" aca="1" ref="S59" ca="1">INDEX(INDIRECT("PnL_"&amp;TEXT(S$1,"mmm")&amp;"_"&amp;TEXT(S$1,"yyyy")),MATCH(TRIM($A59),PnL_Accounts,0))</f>
        <v>1361</v>
      </c>
      <c r="T59" s="115">
        <f t="array" aca="1" ref="T59" ca="1">INDEX(INDIRECT("PnL_"&amp;TEXT(T$1,"mmm")&amp;"_"&amp;TEXT(T$1,"yyyy")),MATCH(TRIM($A59),PnL_Accounts,0))</f>
        <v>1243</v>
      </c>
      <c r="U59" s="115">
        <f t="array" aca="1" ref="U59" ca="1">INDEX(INDIRECT("PnL_"&amp;TEXT(U$1,"mmm")&amp;"_"&amp;TEXT(U$1,"yyyy")),MATCH(TRIM($A59),PnL_Accounts,0))</f>
        <v>1185</v>
      </c>
      <c r="V59" s="115">
        <f t="array" aca="1" ref="V59" ca="1">INDEX(INDIRECT("PnL_"&amp;TEXT(V$1,"mmm")&amp;"_"&amp;TEXT(V$1,"yyyy")),MATCH(TRIM($A59),PnL_Accounts,0))</f>
        <v>1112</v>
      </c>
      <c r="W59" s="115">
        <f t="array" aca="1" ref="W59" ca="1">INDEX(INDIRECT("PnL_"&amp;TEXT(W$1,"mmm")&amp;"_"&amp;TEXT(W$1,"yyyy")),MATCH(TRIM($A59),PnL_Accounts,0))</f>
        <v>1065</v>
      </c>
      <c r="X59" s="115">
        <f t="array" aca="1" ref="X59" ca="1">INDEX(INDIRECT("PnL_"&amp;TEXT(X$1,"mmm")&amp;"_"&amp;TEXT(X$1,"yyyy")),MATCH(TRIM($A59),PnL_Accounts,0))</f>
        <v>1077</v>
      </c>
      <c r="Y59" s="115">
        <f t="array" aca="1" ref="Y59" ca="1">INDEX(INDIRECT("PnL_"&amp;TEXT(Y$1,"mmm")&amp;"_"&amp;TEXT(Y$1,"yyyy")),MATCH(TRIM($A59),PnL_Accounts,0))</f>
        <v>3273</v>
      </c>
      <c r="Z59" s="115">
        <f t="array" aca="1" ref="Z59" ca="1">INDEX(INDIRECT("PnL_"&amp;TEXT(Z$1,"mmm")&amp;"_"&amp;TEXT(Z$1,"yyyy")),MATCH(TRIM($A59),PnL_Accounts,0))</f>
        <v>2799</v>
      </c>
      <c r="AA59" s="115">
        <f t="array" aca="1" ref="AA59" ca="1">INDEX(INDIRECT("PnL_"&amp;TEXT(AA$1,"mmm")&amp;"_"&amp;TEXT(AA$1,"yyyy")),MATCH(TRIM($A59),PnL_Accounts,0))</f>
        <v>3794</v>
      </c>
      <c r="AB59" s="115">
        <f t="array" aca="1" ref="AB59" ca="1">INDEX(INDIRECT("PnL_"&amp;TEXT(AB$1,"mmm")&amp;"_"&amp;TEXT(AB$1,"yyyy")),MATCH(TRIM($A59),PnL_Accounts,0))</f>
        <v>4200</v>
      </c>
      <c r="AC59" s="115">
        <f t="array" aca="1" ref="AC59" ca="1">INDEX(INDIRECT("PnL_"&amp;TEXT(AC$1,"mmm")&amp;"_"&amp;TEXT(AC$1,"yyyy")),MATCH(TRIM($A59),PnL_Accounts,0))</f>
        <v>4997</v>
      </c>
      <c r="AD59" s="115">
        <f t="array" aca="1" ref="AD59" ca="1">INDEX(INDIRECT("PnL_"&amp;TEXT(AD$1,"mmm")&amp;"_"&amp;TEXT(AD$1,"yyyy")),MATCH(TRIM($A59),PnL_Accounts,0))</f>
        <v>2000</v>
      </c>
      <c r="AE59" s="115">
        <f t="array" aca="1" ref="AE59" ca="1">INDEX(INDIRECT("PnL_"&amp;TEXT(AE$1,"mmm")&amp;"_"&amp;TEXT(AE$1,"yyyy")),MATCH(TRIM($A59),PnL_Accounts,0))</f>
        <v>0</v>
      </c>
      <c r="AF59" s="114">
        <v>0</v>
      </c>
      <c r="AG59" s="114">
        <v>0</v>
      </c>
      <c r="AH59" s="114">
        <v>0</v>
      </c>
      <c r="AI59" s="114">
        <f t="shared" ref="AI59:AJ59" ca="1" si="31">$B59/2</f>
        <v>1166.1666666666667</v>
      </c>
      <c r="AJ59" s="114">
        <f t="shared" ca="1" si="31"/>
        <v>1166.1666666666667</v>
      </c>
      <c r="AK59" s="165">
        <f t="shared" ref="AK59:BW59" ca="1" si="32">$B59</f>
        <v>2332.3333333333335</v>
      </c>
      <c r="AL59" s="165">
        <f t="shared" ca="1" si="32"/>
        <v>2332.3333333333335</v>
      </c>
      <c r="AM59" s="165">
        <f t="shared" ca="1" si="32"/>
        <v>2332.3333333333335</v>
      </c>
      <c r="AN59" s="165">
        <f t="shared" ca="1" si="32"/>
        <v>2332.3333333333335</v>
      </c>
      <c r="AO59" s="165">
        <f t="shared" ca="1" si="32"/>
        <v>2332.3333333333335</v>
      </c>
      <c r="AP59" s="165">
        <f t="shared" ca="1" si="32"/>
        <v>2332.3333333333335</v>
      </c>
      <c r="AQ59" s="165">
        <f t="shared" ca="1" si="32"/>
        <v>2332.3333333333335</v>
      </c>
      <c r="AR59" s="165">
        <f t="shared" ca="1" si="32"/>
        <v>2332.3333333333335</v>
      </c>
      <c r="AS59" s="165">
        <f t="shared" ca="1" si="32"/>
        <v>2332.3333333333335</v>
      </c>
      <c r="AT59" s="165">
        <f t="shared" ca="1" si="32"/>
        <v>2332.3333333333335</v>
      </c>
      <c r="AU59" s="165">
        <f t="shared" ca="1" si="32"/>
        <v>2332.3333333333335</v>
      </c>
      <c r="AV59" s="165">
        <f t="shared" ca="1" si="32"/>
        <v>2332.3333333333335</v>
      </c>
      <c r="AW59" s="165">
        <f t="shared" ca="1" si="32"/>
        <v>2332.3333333333335</v>
      </c>
      <c r="AX59" s="165">
        <f t="shared" ca="1" si="32"/>
        <v>2332.3333333333335</v>
      </c>
      <c r="AY59" s="165">
        <f t="shared" ca="1" si="32"/>
        <v>2332.3333333333335</v>
      </c>
      <c r="AZ59" s="165">
        <f t="shared" ca="1" si="32"/>
        <v>2332.3333333333335</v>
      </c>
      <c r="BA59" s="165">
        <f t="shared" ca="1" si="32"/>
        <v>2332.3333333333335</v>
      </c>
      <c r="BB59" s="165">
        <f t="shared" ca="1" si="32"/>
        <v>2332.3333333333335</v>
      </c>
      <c r="BC59" s="165">
        <f t="shared" ca="1" si="32"/>
        <v>2332.3333333333335</v>
      </c>
      <c r="BD59" s="165">
        <f t="shared" ca="1" si="32"/>
        <v>2332.3333333333335</v>
      </c>
      <c r="BE59" s="165">
        <f t="shared" ca="1" si="32"/>
        <v>2332.3333333333335</v>
      </c>
      <c r="BF59" s="165">
        <f t="shared" ca="1" si="32"/>
        <v>2332.3333333333335</v>
      </c>
      <c r="BG59" s="165">
        <f t="shared" ca="1" si="32"/>
        <v>2332.3333333333335</v>
      </c>
      <c r="BH59" s="165">
        <f t="shared" ca="1" si="32"/>
        <v>2332.3333333333335</v>
      </c>
      <c r="BI59" s="165">
        <f t="shared" ca="1" si="32"/>
        <v>2332.3333333333335</v>
      </c>
      <c r="BJ59" s="165">
        <f t="shared" ca="1" si="32"/>
        <v>2332.3333333333335</v>
      </c>
      <c r="BK59" s="165">
        <f t="shared" ca="1" si="32"/>
        <v>2332.3333333333335</v>
      </c>
      <c r="BL59" s="165">
        <f t="shared" ca="1" si="32"/>
        <v>2332.3333333333335</v>
      </c>
      <c r="BM59" s="165">
        <f t="shared" ca="1" si="32"/>
        <v>2332.3333333333335</v>
      </c>
      <c r="BN59" s="165">
        <f t="shared" ca="1" si="32"/>
        <v>2332.3333333333335</v>
      </c>
      <c r="BO59" s="165">
        <f t="shared" ca="1" si="32"/>
        <v>2332.3333333333335</v>
      </c>
      <c r="BP59" s="165">
        <f t="shared" ca="1" si="32"/>
        <v>2332.3333333333335</v>
      </c>
      <c r="BQ59" s="165">
        <f t="shared" ca="1" si="32"/>
        <v>2332.3333333333335</v>
      </c>
      <c r="BR59" s="165">
        <f t="shared" ca="1" si="32"/>
        <v>2332.3333333333335</v>
      </c>
      <c r="BS59" s="165">
        <f t="shared" ca="1" si="32"/>
        <v>2332.3333333333335</v>
      </c>
      <c r="BT59" s="165">
        <f t="shared" ca="1" si="32"/>
        <v>2332.3333333333335</v>
      </c>
      <c r="BU59" s="165">
        <f t="shared" ca="1" si="32"/>
        <v>2332.3333333333335</v>
      </c>
      <c r="BV59" s="165">
        <f t="shared" ca="1" si="32"/>
        <v>2332.3333333333335</v>
      </c>
      <c r="BW59" s="165">
        <f t="shared" ca="1" si="32"/>
        <v>2332.3333333333335</v>
      </c>
    </row>
    <row r="60" spans="1:75" ht="12.75" x14ac:dyDescent="0.2">
      <c r="A60" s="23" t="s">
        <v>314</v>
      </c>
      <c r="B60" s="224">
        <f ca="1">AVERAGEIFS(60:60,$1:$1,"&gt;="&amp;DATE(YEAR(Current_Month),MONTH(Current_Month)-2,DAY(Current_Month)),$1:$1,"&lt;="&amp;EOMONTH(Current_Month,0))</f>
        <v>1457</v>
      </c>
      <c r="D60" s="115">
        <f t="array" aca="1" ref="D60" ca="1">INDEX(INDIRECT("PnL_"&amp;TEXT(D$1,"mmm")&amp;"_"&amp;TEXT(D$1,"yyyy")),MATCH(TRIM($A60),PnL_Accounts,0))</f>
        <v>671</v>
      </c>
      <c r="E60" s="115">
        <f t="array" aca="1" ref="E60" ca="1">INDEX(INDIRECT("PnL_"&amp;TEXT(E$1,"mmm")&amp;"_"&amp;TEXT(E$1,"yyyy")),MATCH(TRIM($A60),PnL_Accounts,0))</f>
        <v>583</v>
      </c>
      <c r="F60" s="115">
        <f t="array" aca="1" ref="F60" ca="1">INDEX(INDIRECT("PnL_"&amp;TEXT(F$1,"mmm")&amp;"_"&amp;TEXT(F$1,"yyyy")),MATCH(TRIM($A60),PnL_Accounts,0))</f>
        <v>888</v>
      </c>
      <c r="G60" s="115">
        <f t="array" aca="1" ref="G60" ca="1">INDEX(INDIRECT("PnL_"&amp;TEXT(G$1,"mmm")&amp;"_"&amp;TEXT(G$1,"yyyy")),MATCH(TRIM($A60),PnL_Accounts,0))</f>
        <v>1219</v>
      </c>
      <c r="H60" s="115">
        <f t="array" aca="1" ref="H60" ca="1">INDEX(INDIRECT("PnL_"&amp;TEXT(H$1,"mmm")&amp;"_"&amp;TEXT(H$1,"yyyy")),MATCH(TRIM($A60),PnL_Accounts,0))</f>
        <v>1474</v>
      </c>
      <c r="I60" s="115">
        <f t="array" aca="1" ref="I60" ca="1">INDEX(INDIRECT("PnL_"&amp;TEXT(I$1,"mmm")&amp;"_"&amp;TEXT(I$1,"yyyy")),MATCH(TRIM($A60),PnL_Accounts,0))</f>
        <v>1322</v>
      </c>
      <c r="J60" s="115">
        <f t="array" aca="1" ref="J60" ca="1">INDEX(INDIRECT("PnL_"&amp;TEXT(J$1,"mmm")&amp;"_"&amp;TEXT(J$1,"yyyy")),MATCH(TRIM($A60),PnL_Accounts,0))</f>
        <v>1588</v>
      </c>
      <c r="K60" s="115">
        <f t="array" aca="1" ref="K60" ca="1">INDEX(INDIRECT("PnL_"&amp;TEXT(K$1,"mmm")&amp;"_"&amp;TEXT(K$1,"yyyy")),MATCH(TRIM($A60),PnL_Accounts,0))</f>
        <v>1625</v>
      </c>
      <c r="L60" s="115">
        <f t="array" aca="1" ref="L60" ca="1">INDEX(INDIRECT("PnL_"&amp;TEXT(L$1,"mmm")&amp;"_"&amp;TEXT(L$1,"yyyy")),MATCH(TRIM($A60),PnL_Accounts,0))</f>
        <v>1730</v>
      </c>
      <c r="M60" s="115">
        <f t="array" aca="1" ref="M60" ca="1">INDEX(INDIRECT("PnL_"&amp;TEXT(M$1,"mmm")&amp;"_"&amp;TEXT(M$1,"yyyy")),MATCH(TRIM($A60),PnL_Accounts,0))</f>
        <v>1633</v>
      </c>
      <c r="N60" s="115">
        <f t="array" aca="1" ref="N60" ca="1">INDEX(INDIRECT("PnL_"&amp;TEXT(N$1,"mmm")&amp;"_"&amp;TEXT(N$1,"yyyy")),MATCH(TRIM($A60),PnL_Accounts,0))</f>
        <v>1781</v>
      </c>
      <c r="O60" s="115">
        <f t="array" aca="1" ref="O60" ca="1">INDEX(INDIRECT("PnL_"&amp;TEXT(O$1,"mmm")&amp;"_"&amp;TEXT(O$1,"yyyy")),MATCH(TRIM($A60),PnL_Accounts,0))</f>
        <v>1826</v>
      </c>
      <c r="P60" s="115">
        <f t="array" aca="1" ref="P60" ca="1">INDEX(INDIRECT("PnL_"&amp;TEXT(P$1,"mmm")&amp;"_"&amp;TEXT(P$1,"yyyy")),MATCH(TRIM($A60),PnL_Accounts,0))</f>
        <v>1750</v>
      </c>
      <c r="Q60" s="115">
        <f t="array" aca="1" ref="Q60" ca="1">INDEX(INDIRECT("PnL_"&amp;TEXT(Q$1,"mmm")&amp;"_"&amp;TEXT(Q$1,"yyyy")),MATCH(TRIM($A60),PnL_Accounts,0))</f>
        <v>2098</v>
      </c>
      <c r="R60" s="115">
        <f t="array" aca="1" ref="R60" ca="1">INDEX(INDIRECT("PnL_"&amp;TEXT(R$1,"mmm")&amp;"_"&amp;TEXT(R$1,"yyyy")),MATCH(TRIM($A60),PnL_Accounts,0))</f>
        <v>1175</v>
      </c>
      <c r="S60" s="115">
        <f t="array" aca="1" ref="S60" ca="1">INDEX(INDIRECT("PnL_"&amp;TEXT(S$1,"mmm")&amp;"_"&amp;TEXT(S$1,"yyyy")),MATCH(TRIM($A60),PnL_Accounts,0))</f>
        <v>1245</v>
      </c>
      <c r="T60" s="115">
        <f t="array" aca="1" ref="T60" ca="1">INDEX(INDIRECT("PnL_"&amp;TEXT(T$1,"mmm")&amp;"_"&amp;TEXT(T$1,"yyyy")),MATCH(TRIM($A60),PnL_Accounts,0))</f>
        <v>4231</v>
      </c>
      <c r="U60" s="115">
        <f t="array" aca="1" ref="U60" ca="1">INDEX(INDIRECT("PnL_"&amp;TEXT(U$1,"mmm")&amp;"_"&amp;TEXT(U$1,"yyyy")),MATCH(TRIM($A60),PnL_Accounts,0))</f>
        <v>1472</v>
      </c>
      <c r="V60" s="115">
        <f t="array" aca="1" ref="V60" ca="1">INDEX(INDIRECT("PnL_"&amp;TEXT(V$1,"mmm")&amp;"_"&amp;TEXT(V$1,"yyyy")),MATCH(TRIM($A60),PnL_Accounts,0))</f>
        <v>1891</v>
      </c>
      <c r="W60" s="115">
        <f t="array" aca="1" ref="W60" ca="1">INDEX(INDIRECT("PnL_"&amp;TEXT(W$1,"mmm")&amp;"_"&amp;TEXT(W$1,"yyyy")),MATCH(TRIM($A60),PnL_Accounts,0))</f>
        <v>1943</v>
      </c>
      <c r="X60" s="115">
        <f t="array" aca="1" ref="X60" ca="1">INDEX(INDIRECT("PnL_"&amp;TEXT(X$1,"mmm")&amp;"_"&amp;TEXT(X$1,"yyyy")),MATCH(TRIM($A60),PnL_Accounts,0))</f>
        <v>2204</v>
      </c>
      <c r="Y60" s="115">
        <f t="array" aca="1" ref="Y60" ca="1">INDEX(INDIRECT("PnL_"&amp;TEXT(Y$1,"mmm")&amp;"_"&amp;TEXT(Y$1,"yyyy")),MATCH(TRIM($A60),PnL_Accounts,0))</f>
        <v>4233</v>
      </c>
      <c r="Z60" s="115">
        <f t="array" aca="1" ref="Z60" ca="1">INDEX(INDIRECT("PnL_"&amp;TEXT(Z$1,"mmm")&amp;"_"&amp;TEXT(Z$1,"yyyy")),MATCH(TRIM($A60),PnL_Accounts,0))</f>
        <v>3978</v>
      </c>
      <c r="AA60" s="115">
        <f t="array" aca="1" ref="AA60" ca="1">INDEX(INDIRECT("PnL_"&amp;TEXT(AA$1,"mmm")&amp;"_"&amp;TEXT(AA$1,"yyyy")),MATCH(TRIM($A60),PnL_Accounts,0))</f>
        <v>7986</v>
      </c>
      <c r="AB60" s="115">
        <f t="array" aca="1" ref="AB60" ca="1">INDEX(INDIRECT("PnL_"&amp;TEXT(AB$1,"mmm")&amp;"_"&amp;TEXT(AB$1,"yyyy")),MATCH(TRIM($A60),PnL_Accounts,0))</f>
        <v>4786</v>
      </c>
      <c r="AC60" s="115">
        <f t="array" aca="1" ref="AC60" ca="1">INDEX(INDIRECT("PnL_"&amp;TEXT(AC$1,"mmm")&amp;"_"&amp;TEXT(AC$1,"yyyy")),MATCH(TRIM($A60),PnL_Accounts,0))</f>
        <v>4371</v>
      </c>
      <c r="AD60" s="115">
        <f t="array" aca="1" ref="AD60" ca="1">INDEX(INDIRECT("PnL_"&amp;TEXT(AD$1,"mmm")&amp;"_"&amp;TEXT(AD$1,"yyyy")),MATCH(TRIM($A60),PnL_Accounts,0))</f>
        <v>0</v>
      </c>
      <c r="AE60" s="115">
        <f t="array" aca="1" ref="AE60" ca="1">INDEX(INDIRECT("PnL_"&amp;TEXT(AE$1,"mmm")&amp;"_"&amp;TEXT(AE$1,"yyyy")),MATCH(TRIM($A60),PnL_Accounts,0))</f>
        <v>0</v>
      </c>
      <c r="AF60" s="114">
        <v>0</v>
      </c>
      <c r="AG60" s="114">
        <v>0</v>
      </c>
      <c r="AH60" s="114">
        <v>0</v>
      </c>
      <c r="AI60" s="114">
        <f t="shared" ref="AI60:AJ60" ca="1" si="33">$B60/2</f>
        <v>728.5</v>
      </c>
      <c r="AJ60" s="114">
        <f t="shared" ca="1" si="33"/>
        <v>728.5</v>
      </c>
      <c r="AK60" s="165">
        <f t="shared" ref="AK60:BW60" ca="1" si="34">$B60</f>
        <v>1457</v>
      </c>
      <c r="AL60" s="165">
        <f t="shared" ca="1" si="34"/>
        <v>1457</v>
      </c>
      <c r="AM60" s="165">
        <f t="shared" ca="1" si="34"/>
        <v>1457</v>
      </c>
      <c r="AN60" s="165">
        <f t="shared" ca="1" si="34"/>
        <v>1457</v>
      </c>
      <c r="AO60" s="165">
        <f t="shared" ca="1" si="34"/>
        <v>1457</v>
      </c>
      <c r="AP60" s="165">
        <f t="shared" ca="1" si="34"/>
        <v>1457</v>
      </c>
      <c r="AQ60" s="165">
        <f t="shared" ca="1" si="34"/>
        <v>1457</v>
      </c>
      <c r="AR60" s="165">
        <f t="shared" ca="1" si="34"/>
        <v>1457</v>
      </c>
      <c r="AS60" s="165">
        <f t="shared" ca="1" si="34"/>
        <v>1457</v>
      </c>
      <c r="AT60" s="165">
        <f t="shared" ca="1" si="34"/>
        <v>1457</v>
      </c>
      <c r="AU60" s="165">
        <f t="shared" ca="1" si="34"/>
        <v>1457</v>
      </c>
      <c r="AV60" s="165">
        <f t="shared" ca="1" si="34"/>
        <v>1457</v>
      </c>
      <c r="AW60" s="165">
        <f t="shared" ca="1" si="34"/>
        <v>1457</v>
      </c>
      <c r="AX60" s="165">
        <f t="shared" ca="1" si="34"/>
        <v>1457</v>
      </c>
      <c r="AY60" s="165">
        <f t="shared" ca="1" si="34"/>
        <v>1457</v>
      </c>
      <c r="AZ60" s="165">
        <f t="shared" ca="1" si="34"/>
        <v>1457</v>
      </c>
      <c r="BA60" s="165">
        <f t="shared" ca="1" si="34"/>
        <v>1457</v>
      </c>
      <c r="BB60" s="165">
        <f t="shared" ca="1" si="34"/>
        <v>1457</v>
      </c>
      <c r="BC60" s="165">
        <f t="shared" ca="1" si="34"/>
        <v>1457</v>
      </c>
      <c r="BD60" s="165">
        <f t="shared" ca="1" si="34"/>
        <v>1457</v>
      </c>
      <c r="BE60" s="165">
        <f t="shared" ca="1" si="34"/>
        <v>1457</v>
      </c>
      <c r="BF60" s="165">
        <f t="shared" ca="1" si="34"/>
        <v>1457</v>
      </c>
      <c r="BG60" s="165">
        <f t="shared" ca="1" si="34"/>
        <v>1457</v>
      </c>
      <c r="BH60" s="165">
        <f t="shared" ca="1" si="34"/>
        <v>1457</v>
      </c>
      <c r="BI60" s="165">
        <f t="shared" ca="1" si="34"/>
        <v>1457</v>
      </c>
      <c r="BJ60" s="165">
        <f t="shared" ca="1" si="34"/>
        <v>1457</v>
      </c>
      <c r="BK60" s="165">
        <f t="shared" ca="1" si="34"/>
        <v>1457</v>
      </c>
      <c r="BL60" s="165">
        <f t="shared" ca="1" si="34"/>
        <v>1457</v>
      </c>
      <c r="BM60" s="165">
        <f t="shared" ca="1" si="34"/>
        <v>1457</v>
      </c>
      <c r="BN60" s="165">
        <f t="shared" ca="1" si="34"/>
        <v>1457</v>
      </c>
      <c r="BO60" s="165">
        <f t="shared" ca="1" si="34"/>
        <v>1457</v>
      </c>
      <c r="BP60" s="165">
        <f t="shared" ca="1" si="34"/>
        <v>1457</v>
      </c>
      <c r="BQ60" s="165">
        <f t="shared" ca="1" si="34"/>
        <v>1457</v>
      </c>
      <c r="BR60" s="165">
        <f t="shared" ca="1" si="34"/>
        <v>1457</v>
      </c>
      <c r="BS60" s="165">
        <f t="shared" ca="1" si="34"/>
        <v>1457</v>
      </c>
      <c r="BT60" s="165">
        <f t="shared" ca="1" si="34"/>
        <v>1457</v>
      </c>
      <c r="BU60" s="165">
        <f t="shared" ca="1" si="34"/>
        <v>1457</v>
      </c>
      <c r="BV60" s="165">
        <f t="shared" ca="1" si="34"/>
        <v>1457</v>
      </c>
      <c r="BW60" s="165">
        <f t="shared" ca="1" si="34"/>
        <v>1457</v>
      </c>
    </row>
    <row r="61" spans="1:75" ht="12.75" x14ac:dyDescent="0.2">
      <c r="A61" s="60" t="s">
        <v>315</v>
      </c>
      <c r="B61" s="238"/>
      <c r="C61" s="212"/>
      <c r="D61" s="226">
        <f t="shared" ref="D61:BW61" ca="1" si="35">SUM(D56:D60)</f>
        <v>7141</v>
      </c>
      <c r="E61" s="226">
        <f t="shared" ca="1" si="35"/>
        <v>7310</v>
      </c>
      <c r="F61" s="226">
        <f t="shared" ca="1" si="35"/>
        <v>8003</v>
      </c>
      <c r="G61" s="226">
        <f t="shared" ca="1" si="35"/>
        <v>9209</v>
      </c>
      <c r="H61" s="226">
        <f t="shared" ca="1" si="35"/>
        <v>9631</v>
      </c>
      <c r="I61" s="226">
        <f t="shared" ca="1" si="35"/>
        <v>9467</v>
      </c>
      <c r="J61" s="226">
        <f t="shared" ca="1" si="35"/>
        <v>10182</v>
      </c>
      <c r="K61" s="226">
        <f t="shared" ca="1" si="35"/>
        <v>10250</v>
      </c>
      <c r="L61" s="226">
        <f t="shared" ca="1" si="35"/>
        <v>11424</v>
      </c>
      <c r="M61" s="226">
        <f t="shared" ca="1" si="35"/>
        <v>10293</v>
      </c>
      <c r="N61" s="226">
        <f t="shared" ca="1" si="35"/>
        <v>10950</v>
      </c>
      <c r="O61" s="226">
        <f t="shared" ca="1" si="35"/>
        <v>11610</v>
      </c>
      <c r="P61" s="226">
        <f t="shared" ca="1" si="35"/>
        <v>11455</v>
      </c>
      <c r="Q61" s="226">
        <f t="shared" ca="1" si="35"/>
        <v>12658</v>
      </c>
      <c r="R61" s="226">
        <f t="shared" ca="1" si="35"/>
        <v>12216</v>
      </c>
      <c r="S61" s="226">
        <f t="shared" ca="1" si="35"/>
        <v>12436</v>
      </c>
      <c r="T61" s="226">
        <f t="shared" ca="1" si="35"/>
        <v>16159</v>
      </c>
      <c r="U61" s="226">
        <f t="shared" ca="1" si="35"/>
        <v>13412</v>
      </c>
      <c r="V61" s="226">
        <f t="shared" ca="1" si="35"/>
        <v>13966</v>
      </c>
      <c r="W61" s="226">
        <f t="shared" ca="1" si="35"/>
        <v>13960</v>
      </c>
      <c r="X61" s="226">
        <f t="shared" ca="1" si="35"/>
        <v>14375</v>
      </c>
      <c r="Y61" s="226">
        <f t="shared" ca="1" si="35"/>
        <v>23605</v>
      </c>
      <c r="Z61" s="226">
        <f t="shared" ca="1" si="35"/>
        <v>22754</v>
      </c>
      <c r="AA61" s="226">
        <f t="shared" ca="1" si="35"/>
        <v>30583</v>
      </c>
      <c r="AB61" s="226">
        <f t="shared" ca="1" si="35"/>
        <v>28366</v>
      </c>
      <c r="AC61" s="226">
        <f t="shared" ca="1" si="35"/>
        <v>28124</v>
      </c>
      <c r="AD61" s="226">
        <f t="shared" ca="1" si="35"/>
        <v>3399</v>
      </c>
      <c r="AE61" s="226">
        <f t="shared" ca="1" si="35"/>
        <v>0</v>
      </c>
      <c r="AF61" s="226">
        <f t="shared" si="35"/>
        <v>0</v>
      </c>
      <c r="AG61" s="226">
        <f t="shared" si="35"/>
        <v>0</v>
      </c>
      <c r="AH61" s="226">
        <f t="shared" si="35"/>
        <v>0</v>
      </c>
      <c r="AI61" s="226">
        <f t="shared" ca="1" si="35"/>
        <v>5253.8333333333339</v>
      </c>
      <c r="AJ61" s="226">
        <f t="shared" ca="1" si="35"/>
        <v>5253.8333333333339</v>
      </c>
      <c r="AK61" s="226">
        <f t="shared" ca="1" si="35"/>
        <v>10507.666666666668</v>
      </c>
      <c r="AL61" s="226">
        <f t="shared" ca="1" si="35"/>
        <v>10507.666666666668</v>
      </c>
      <c r="AM61" s="226">
        <f t="shared" ca="1" si="35"/>
        <v>10507.666666666668</v>
      </c>
      <c r="AN61" s="226">
        <f t="shared" ca="1" si="35"/>
        <v>10507.666666666668</v>
      </c>
      <c r="AO61" s="226">
        <f t="shared" ca="1" si="35"/>
        <v>10507.666666666668</v>
      </c>
      <c r="AP61" s="226">
        <f t="shared" ca="1" si="35"/>
        <v>10507.666666666668</v>
      </c>
      <c r="AQ61" s="226">
        <f t="shared" ca="1" si="35"/>
        <v>10507.666666666668</v>
      </c>
      <c r="AR61" s="226">
        <f t="shared" ca="1" si="35"/>
        <v>10507.666666666668</v>
      </c>
      <c r="AS61" s="226">
        <f t="shared" ca="1" si="35"/>
        <v>10507.666666666668</v>
      </c>
      <c r="AT61" s="226">
        <f t="shared" ca="1" si="35"/>
        <v>10507.666666666668</v>
      </c>
      <c r="AU61" s="226">
        <f t="shared" ca="1" si="35"/>
        <v>10507.666666666668</v>
      </c>
      <c r="AV61" s="226">
        <f t="shared" ca="1" si="35"/>
        <v>10507.666666666668</v>
      </c>
      <c r="AW61" s="226">
        <f t="shared" ca="1" si="35"/>
        <v>10507.666666666668</v>
      </c>
      <c r="AX61" s="226">
        <f t="shared" ca="1" si="35"/>
        <v>10507.666666666668</v>
      </c>
      <c r="AY61" s="226">
        <f t="shared" ca="1" si="35"/>
        <v>10507.666666666668</v>
      </c>
      <c r="AZ61" s="226">
        <f t="shared" ca="1" si="35"/>
        <v>10507.666666666668</v>
      </c>
      <c r="BA61" s="226">
        <f t="shared" ca="1" si="35"/>
        <v>10507.666666666668</v>
      </c>
      <c r="BB61" s="226">
        <f t="shared" ca="1" si="35"/>
        <v>10507.666666666668</v>
      </c>
      <c r="BC61" s="226">
        <f t="shared" ca="1" si="35"/>
        <v>10507.666666666668</v>
      </c>
      <c r="BD61" s="226">
        <f t="shared" ca="1" si="35"/>
        <v>10507.666666666668</v>
      </c>
      <c r="BE61" s="226">
        <f t="shared" ca="1" si="35"/>
        <v>10507.666666666668</v>
      </c>
      <c r="BF61" s="226">
        <f t="shared" ca="1" si="35"/>
        <v>10507.666666666668</v>
      </c>
      <c r="BG61" s="226">
        <f t="shared" ca="1" si="35"/>
        <v>10507.666666666668</v>
      </c>
      <c r="BH61" s="226">
        <f t="shared" ca="1" si="35"/>
        <v>10507.666666666668</v>
      </c>
      <c r="BI61" s="226">
        <f t="shared" ca="1" si="35"/>
        <v>10507.666666666668</v>
      </c>
      <c r="BJ61" s="226">
        <f t="shared" ca="1" si="35"/>
        <v>10507.666666666668</v>
      </c>
      <c r="BK61" s="226">
        <f t="shared" ca="1" si="35"/>
        <v>10507.666666666668</v>
      </c>
      <c r="BL61" s="226">
        <f t="shared" ca="1" si="35"/>
        <v>10507.666666666668</v>
      </c>
      <c r="BM61" s="226">
        <f t="shared" ca="1" si="35"/>
        <v>10507.666666666668</v>
      </c>
      <c r="BN61" s="226">
        <f t="shared" ca="1" si="35"/>
        <v>10507.666666666668</v>
      </c>
      <c r="BO61" s="226">
        <f t="shared" ca="1" si="35"/>
        <v>10507.666666666668</v>
      </c>
      <c r="BP61" s="226">
        <f t="shared" ca="1" si="35"/>
        <v>10507.666666666668</v>
      </c>
      <c r="BQ61" s="226">
        <f t="shared" ca="1" si="35"/>
        <v>10507.666666666668</v>
      </c>
      <c r="BR61" s="226">
        <f t="shared" ca="1" si="35"/>
        <v>10507.666666666668</v>
      </c>
      <c r="BS61" s="226">
        <f t="shared" ca="1" si="35"/>
        <v>10507.666666666668</v>
      </c>
      <c r="BT61" s="226">
        <f t="shared" ca="1" si="35"/>
        <v>10507.666666666668</v>
      </c>
      <c r="BU61" s="226">
        <f t="shared" ca="1" si="35"/>
        <v>10507.666666666668</v>
      </c>
      <c r="BV61" s="226">
        <f t="shared" ca="1" si="35"/>
        <v>10507.666666666668</v>
      </c>
      <c r="BW61" s="226">
        <f t="shared" ca="1" si="35"/>
        <v>10507.666666666668</v>
      </c>
    </row>
    <row r="62" spans="1:75" ht="12.75" x14ac:dyDescent="0.2">
      <c r="A62" s="60" t="s">
        <v>316</v>
      </c>
      <c r="B62" s="238"/>
      <c r="C62" s="212"/>
      <c r="D62" s="213">
        <f t="shared" ref="D62:BW62" ca="1" si="36">SUM(D33:D36,D39,D42,D46,D51,D52:D55,D61)</f>
        <v>50542</v>
      </c>
      <c r="E62" s="213">
        <f t="shared" ca="1" si="36"/>
        <v>50269</v>
      </c>
      <c r="F62" s="213">
        <f t="shared" ca="1" si="36"/>
        <v>51143</v>
      </c>
      <c r="G62" s="213">
        <f t="shared" ca="1" si="36"/>
        <v>52996</v>
      </c>
      <c r="H62" s="213">
        <f t="shared" ca="1" si="36"/>
        <v>55074</v>
      </c>
      <c r="I62" s="213">
        <f t="shared" ca="1" si="36"/>
        <v>57452</v>
      </c>
      <c r="J62" s="213">
        <f t="shared" ca="1" si="36"/>
        <v>60362</v>
      </c>
      <c r="K62" s="213">
        <f t="shared" ca="1" si="36"/>
        <v>59944</v>
      </c>
      <c r="L62" s="213">
        <f t="shared" ca="1" si="36"/>
        <v>67531</v>
      </c>
      <c r="M62" s="213">
        <f t="shared" ca="1" si="36"/>
        <v>67371</v>
      </c>
      <c r="N62" s="213">
        <f t="shared" ca="1" si="36"/>
        <v>67615</v>
      </c>
      <c r="O62" s="213">
        <f t="shared" ca="1" si="36"/>
        <v>70083</v>
      </c>
      <c r="P62" s="213">
        <f t="shared" ca="1" si="36"/>
        <v>72901</v>
      </c>
      <c r="Q62" s="213">
        <f t="shared" ca="1" si="36"/>
        <v>75762</v>
      </c>
      <c r="R62" s="213">
        <f t="shared" ca="1" si="36"/>
        <v>79851</v>
      </c>
      <c r="S62" s="213">
        <f t="shared" ca="1" si="36"/>
        <v>80066</v>
      </c>
      <c r="T62" s="213">
        <f t="shared" ca="1" si="36"/>
        <v>85460</v>
      </c>
      <c r="U62" s="213">
        <f t="shared" ca="1" si="36"/>
        <v>85301</v>
      </c>
      <c r="V62" s="213">
        <f t="shared" ca="1" si="36"/>
        <v>86169</v>
      </c>
      <c r="W62" s="213">
        <f t="shared" ca="1" si="36"/>
        <v>86722</v>
      </c>
      <c r="X62" s="213">
        <f t="shared" ca="1" si="36"/>
        <v>88287</v>
      </c>
      <c r="Y62" s="213">
        <f t="shared" ca="1" si="36"/>
        <v>92782</v>
      </c>
      <c r="Z62" s="213">
        <f t="shared" ca="1" si="36"/>
        <v>95217</v>
      </c>
      <c r="AA62" s="213">
        <f t="shared" ca="1" si="36"/>
        <v>102051</v>
      </c>
      <c r="AB62" s="213">
        <f t="shared" ca="1" si="36"/>
        <v>102338</v>
      </c>
      <c r="AC62" s="213">
        <f t="shared" ca="1" si="36"/>
        <v>111703</v>
      </c>
      <c r="AD62" s="213">
        <f t="shared" ca="1" si="36"/>
        <v>86317</v>
      </c>
      <c r="AE62" s="213">
        <f t="shared" ca="1" si="36"/>
        <v>87926</v>
      </c>
      <c r="AF62" s="213">
        <f t="shared" ca="1" si="36"/>
        <v>78155.666666666657</v>
      </c>
      <c r="AG62" s="213">
        <f t="shared" ca="1" si="36"/>
        <v>78155.666666666657</v>
      </c>
      <c r="AH62" s="213">
        <f t="shared" ca="1" si="36"/>
        <v>78155.666666666657</v>
      </c>
      <c r="AI62" s="213">
        <f t="shared" ca="1" si="36"/>
        <v>83409.499999999985</v>
      </c>
      <c r="AJ62" s="213">
        <f t="shared" ca="1" si="36"/>
        <v>83409.499999999985</v>
      </c>
      <c r="AK62" s="213">
        <f t="shared" ca="1" si="36"/>
        <v>88663.333333333328</v>
      </c>
      <c r="AL62" s="213">
        <f t="shared" ca="1" si="36"/>
        <v>88663.333333333328</v>
      </c>
      <c r="AM62" s="213">
        <f t="shared" ca="1" si="36"/>
        <v>88663.333333333328</v>
      </c>
      <c r="AN62" s="213">
        <f t="shared" ca="1" si="36"/>
        <v>88663.333333333328</v>
      </c>
      <c r="AO62" s="213">
        <f t="shared" ca="1" si="36"/>
        <v>88663.333333333328</v>
      </c>
      <c r="AP62" s="213">
        <f t="shared" ca="1" si="36"/>
        <v>88663.333333333328</v>
      </c>
      <c r="AQ62" s="213">
        <f t="shared" ca="1" si="36"/>
        <v>88663.333333333328</v>
      </c>
      <c r="AR62" s="213">
        <f t="shared" ca="1" si="36"/>
        <v>88663.333333333328</v>
      </c>
      <c r="AS62" s="213">
        <f t="shared" ca="1" si="36"/>
        <v>88663.333333333328</v>
      </c>
      <c r="AT62" s="213">
        <f t="shared" ca="1" si="36"/>
        <v>88663.333333333328</v>
      </c>
      <c r="AU62" s="213">
        <f t="shared" ca="1" si="36"/>
        <v>88663.333333333328</v>
      </c>
      <c r="AV62" s="213">
        <f t="shared" ca="1" si="36"/>
        <v>88663.333333333328</v>
      </c>
      <c r="AW62" s="213">
        <f t="shared" ca="1" si="36"/>
        <v>88663.333333333328</v>
      </c>
      <c r="AX62" s="213">
        <f t="shared" ca="1" si="36"/>
        <v>88663.333333333328</v>
      </c>
      <c r="AY62" s="213">
        <f t="shared" ca="1" si="36"/>
        <v>88663.333333333328</v>
      </c>
      <c r="AZ62" s="213">
        <f t="shared" ca="1" si="36"/>
        <v>88663.333333333328</v>
      </c>
      <c r="BA62" s="213">
        <f t="shared" ca="1" si="36"/>
        <v>88663.333333333328</v>
      </c>
      <c r="BB62" s="213">
        <f t="shared" ca="1" si="36"/>
        <v>88663.333333333328</v>
      </c>
      <c r="BC62" s="213">
        <f t="shared" ca="1" si="36"/>
        <v>88663.333333333328</v>
      </c>
      <c r="BD62" s="213">
        <f t="shared" ca="1" si="36"/>
        <v>88663.333333333328</v>
      </c>
      <c r="BE62" s="213">
        <f t="shared" ca="1" si="36"/>
        <v>88663.333333333328</v>
      </c>
      <c r="BF62" s="213">
        <f t="shared" ca="1" si="36"/>
        <v>88663.333333333328</v>
      </c>
      <c r="BG62" s="213">
        <f t="shared" ca="1" si="36"/>
        <v>88663.333333333328</v>
      </c>
      <c r="BH62" s="213">
        <f t="shared" ca="1" si="36"/>
        <v>88663.333333333328</v>
      </c>
      <c r="BI62" s="213">
        <f t="shared" ca="1" si="36"/>
        <v>88663.333333333328</v>
      </c>
      <c r="BJ62" s="213">
        <f t="shared" ca="1" si="36"/>
        <v>88663.333333333328</v>
      </c>
      <c r="BK62" s="213">
        <f t="shared" ca="1" si="36"/>
        <v>88663.333333333328</v>
      </c>
      <c r="BL62" s="213">
        <f t="shared" ca="1" si="36"/>
        <v>88663.333333333328</v>
      </c>
      <c r="BM62" s="213">
        <f t="shared" ca="1" si="36"/>
        <v>88663.333333333328</v>
      </c>
      <c r="BN62" s="213">
        <f t="shared" ca="1" si="36"/>
        <v>88663.333333333328</v>
      </c>
      <c r="BO62" s="213">
        <f t="shared" ca="1" si="36"/>
        <v>88663.333333333328</v>
      </c>
      <c r="BP62" s="213">
        <f t="shared" ca="1" si="36"/>
        <v>88663.333333333328</v>
      </c>
      <c r="BQ62" s="213">
        <f t="shared" ca="1" si="36"/>
        <v>88663.333333333328</v>
      </c>
      <c r="BR62" s="213">
        <f t="shared" ca="1" si="36"/>
        <v>88663.333333333328</v>
      </c>
      <c r="BS62" s="213">
        <f t="shared" ca="1" si="36"/>
        <v>88663.333333333328</v>
      </c>
      <c r="BT62" s="213">
        <f t="shared" ca="1" si="36"/>
        <v>88663.333333333328</v>
      </c>
      <c r="BU62" s="213">
        <f t="shared" ca="1" si="36"/>
        <v>88663.333333333328</v>
      </c>
      <c r="BV62" s="213">
        <f t="shared" ca="1" si="36"/>
        <v>88663.333333333328</v>
      </c>
      <c r="BW62" s="213">
        <f t="shared" ca="1" si="36"/>
        <v>88663.333333333328</v>
      </c>
    </row>
    <row r="63" spans="1:75" ht="12.75" x14ac:dyDescent="0.2">
      <c r="A63" s="69" t="s">
        <v>244</v>
      </c>
      <c r="B63" s="221"/>
      <c r="D63" s="115">
        <f t="array" aca="1" ref="D63" ca="1">INDEX(INDIRECT("PnL_"&amp;TEXT(D$1,"mmm")&amp;"_"&amp;TEXT(D$1,"yyyy")),MATCH(TRIM($A62),PnL_Accounts,0))-D62</f>
        <v>0</v>
      </c>
      <c r="E63" s="115">
        <f t="array" aca="1" ref="E63" ca="1">INDEX(INDIRECT("PnL_"&amp;TEXT(E$1,"mmm")&amp;"_"&amp;TEXT(E$1,"yyyy")),MATCH(TRIM($A62),PnL_Accounts,0))-E62</f>
        <v>0</v>
      </c>
      <c r="F63" s="115">
        <f t="array" aca="1" ref="F63" ca="1">INDEX(INDIRECT("PnL_"&amp;TEXT(F$1,"mmm")&amp;"_"&amp;TEXT(F$1,"yyyy")),MATCH(TRIM($A62),PnL_Accounts,0))-F62</f>
        <v>0</v>
      </c>
      <c r="G63" s="115">
        <f t="array" aca="1" ref="G63" ca="1">INDEX(INDIRECT("PnL_"&amp;TEXT(G$1,"mmm")&amp;"_"&amp;TEXT(G$1,"yyyy")),MATCH(TRIM($A62),PnL_Accounts,0))-G62</f>
        <v>0</v>
      </c>
      <c r="H63" s="115">
        <f t="array" aca="1" ref="H63" ca="1">INDEX(INDIRECT("PnL_"&amp;TEXT(H$1,"mmm")&amp;"_"&amp;TEXT(H$1,"yyyy")),MATCH(TRIM($A62),PnL_Accounts,0))-H62</f>
        <v>0</v>
      </c>
      <c r="I63" s="115">
        <f t="array" aca="1" ref="I63" ca="1">INDEX(INDIRECT("PnL_"&amp;TEXT(I$1,"mmm")&amp;"_"&amp;TEXT(I$1,"yyyy")),MATCH(TRIM($A62),PnL_Accounts,0))-I62</f>
        <v>0</v>
      </c>
      <c r="J63" s="115">
        <f t="array" aca="1" ref="J63" ca="1">INDEX(INDIRECT("PnL_"&amp;TEXT(J$1,"mmm")&amp;"_"&amp;TEXT(J$1,"yyyy")),MATCH(TRIM($A62),PnL_Accounts,0))-J62</f>
        <v>0</v>
      </c>
      <c r="K63" s="115">
        <f t="array" aca="1" ref="K63" ca="1">INDEX(INDIRECT("PnL_"&amp;TEXT(K$1,"mmm")&amp;"_"&amp;TEXT(K$1,"yyyy")),MATCH(TRIM($A62),PnL_Accounts,0))-K62</f>
        <v>0</v>
      </c>
      <c r="L63" s="115">
        <f t="array" aca="1" ref="L63" ca="1">INDEX(INDIRECT("PnL_"&amp;TEXT(L$1,"mmm")&amp;"_"&amp;TEXT(L$1,"yyyy")),MATCH(TRIM($A62),PnL_Accounts,0))-L62</f>
        <v>0</v>
      </c>
      <c r="M63" s="115">
        <f t="array" aca="1" ref="M63" ca="1">INDEX(INDIRECT("PnL_"&amp;TEXT(M$1,"mmm")&amp;"_"&amp;TEXT(M$1,"yyyy")),MATCH(TRIM($A62),PnL_Accounts,0))-M62</f>
        <v>0</v>
      </c>
      <c r="N63" s="115">
        <f t="array" aca="1" ref="N63" ca="1">INDEX(INDIRECT("PnL_"&amp;TEXT(N$1,"mmm")&amp;"_"&amp;TEXT(N$1,"yyyy")),MATCH(TRIM($A62),PnL_Accounts,0))-N62</f>
        <v>0</v>
      </c>
      <c r="O63" s="115">
        <f t="array" aca="1" ref="O63" ca="1">INDEX(INDIRECT("PnL_"&amp;TEXT(O$1,"mmm")&amp;"_"&amp;TEXT(O$1,"yyyy")),MATCH(TRIM($A62),PnL_Accounts,0))-O62</f>
        <v>0</v>
      </c>
      <c r="P63" s="115">
        <f t="array" aca="1" ref="P63" ca="1">INDEX(INDIRECT("PnL_"&amp;TEXT(P$1,"mmm")&amp;"_"&amp;TEXT(P$1,"yyyy")),MATCH(TRIM($A62),PnL_Accounts,0))-P62</f>
        <v>0</v>
      </c>
      <c r="Q63" s="115">
        <f t="array" aca="1" ref="Q63" ca="1">INDEX(INDIRECT("PnL_"&amp;TEXT(Q$1,"mmm")&amp;"_"&amp;TEXT(Q$1,"yyyy")),MATCH(TRIM($A62),PnL_Accounts,0))-Q62</f>
        <v>0</v>
      </c>
      <c r="R63" s="115">
        <f t="array" aca="1" ref="R63" ca="1">INDEX(INDIRECT("PnL_"&amp;TEXT(R$1,"mmm")&amp;"_"&amp;TEXT(R$1,"yyyy")),MATCH(TRIM($A62),PnL_Accounts,0))-R62</f>
        <v>0</v>
      </c>
      <c r="S63" s="115">
        <f t="array" aca="1" ref="S63" ca="1">INDEX(INDIRECT("PnL_"&amp;TEXT(S$1,"mmm")&amp;"_"&amp;TEXT(S$1,"yyyy")),MATCH(TRIM($A62),PnL_Accounts,0))-S62</f>
        <v>0</v>
      </c>
      <c r="T63" s="115">
        <f t="array" aca="1" ref="T63" ca="1">INDEX(INDIRECT("PnL_"&amp;TEXT(T$1,"mmm")&amp;"_"&amp;TEXT(T$1,"yyyy")),MATCH(TRIM($A62),PnL_Accounts,0))-T62</f>
        <v>0</v>
      </c>
      <c r="U63" s="115">
        <f t="array" aca="1" ref="U63" ca="1">INDEX(INDIRECT("PnL_"&amp;TEXT(U$1,"mmm")&amp;"_"&amp;TEXT(U$1,"yyyy")),MATCH(TRIM($A62),PnL_Accounts,0))-U62</f>
        <v>0</v>
      </c>
      <c r="V63" s="115">
        <f t="array" aca="1" ref="V63" ca="1">INDEX(INDIRECT("PnL_"&amp;TEXT(V$1,"mmm")&amp;"_"&amp;TEXT(V$1,"yyyy")),MATCH(TRIM($A62),PnL_Accounts,0))-V62</f>
        <v>0</v>
      </c>
      <c r="W63" s="115">
        <f t="array" aca="1" ref="W63" ca="1">INDEX(INDIRECT("PnL_"&amp;TEXT(W$1,"mmm")&amp;"_"&amp;TEXT(W$1,"yyyy")),MATCH(TRIM($A62),PnL_Accounts,0))-W62</f>
        <v>0</v>
      </c>
      <c r="X63" s="115">
        <f t="array" aca="1" ref="X63" ca="1">INDEX(INDIRECT("PnL_"&amp;TEXT(X$1,"mmm")&amp;"_"&amp;TEXT(X$1,"yyyy")),MATCH(TRIM($A62),PnL_Accounts,0))-X62</f>
        <v>0</v>
      </c>
      <c r="Y63" s="115">
        <f t="array" aca="1" ref="Y63" ca="1">INDEX(INDIRECT("PnL_"&amp;TEXT(Y$1,"mmm")&amp;"_"&amp;TEXT(Y$1,"yyyy")),MATCH(TRIM($A62),PnL_Accounts,0))-Y62</f>
        <v>0</v>
      </c>
      <c r="Z63" s="115">
        <f t="array" aca="1" ref="Z63" ca="1">INDEX(INDIRECT("PnL_"&amp;TEXT(Z$1,"mmm")&amp;"_"&amp;TEXT(Z$1,"yyyy")),MATCH(TRIM($A62),PnL_Accounts,0))-Z62</f>
        <v>0</v>
      </c>
      <c r="AA63" s="115">
        <f t="array" aca="1" ref="AA63" ca="1">INDEX(INDIRECT("PnL_"&amp;TEXT(AA$1,"mmm")&amp;"_"&amp;TEXT(AA$1,"yyyy")),MATCH(TRIM($A62),PnL_Accounts,0))-AA62</f>
        <v>0</v>
      </c>
      <c r="AB63" s="115">
        <f t="array" aca="1" ref="AB63" ca="1">INDEX(INDIRECT("PnL_"&amp;TEXT(AB$1,"mmm")&amp;"_"&amp;TEXT(AB$1,"yyyy")),MATCH(TRIM($A62),PnL_Accounts,0))-AB62</f>
        <v>0</v>
      </c>
      <c r="AC63" s="115">
        <f t="array" aca="1" ref="AC63" ca="1">INDEX(INDIRECT("PnL_"&amp;TEXT(AC$1,"mmm")&amp;"_"&amp;TEXT(AC$1,"yyyy")),MATCH(TRIM($A62),PnL_Accounts,0))-AC62</f>
        <v>0</v>
      </c>
      <c r="AD63" s="115">
        <f t="array" aca="1" ref="AD63" ca="1">INDEX(INDIRECT("PnL_"&amp;TEXT(AD$1,"mmm")&amp;"_"&amp;TEXT(AD$1,"yyyy")),MATCH(TRIM($A62),PnL_Accounts,0))-AD62</f>
        <v>0</v>
      </c>
      <c r="AE63" s="115">
        <f t="array" aca="1" ref="AE63" ca="1">INDEX(INDIRECT("PnL_"&amp;TEXT(AE$1,"mmm")&amp;"_"&amp;TEXT(AE$1,"yyyy")),MATCH(TRIM($A62),PnL_Accounts,0))-AE62</f>
        <v>0</v>
      </c>
    </row>
    <row r="64" spans="1:75" ht="12.75" x14ac:dyDescent="0.2">
      <c r="A64" s="23" t="s">
        <v>22</v>
      </c>
      <c r="B64" s="221"/>
    </row>
    <row r="65" spans="1:75" ht="12.75" x14ac:dyDescent="0.2">
      <c r="A65" s="23" t="s">
        <v>317</v>
      </c>
      <c r="B65" s="221"/>
      <c r="D65" s="115">
        <f t="array" aca="1" ref="D65" ca="1">INDEX(INDIRECT("PnL_"&amp;TEXT(D$1,"mmm")&amp;"_"&amp;TEXT(D$1,"yyyy")),MATCH(TRIM($A65),PnL_Accounts,0))</f>
        <v>0</v>
      </c>
      <c r="E65" s="115">
        <f t="array" aca="1" ref="E65" ca="1">INDEX(INDIRECT("PnL_"&amp;TEXT(E$1,"mmm")&amp;"_"&amp;TEXT(E$1,"yyyy")),MATCH(TRIM($A65),PnL_Accounts,0))</f>
        <v>0</v>
      </c>
      <c r="F65" s="115">
        <f t="array" aca="1" ref="F65" ca="1">INDEX(INDIRECT("PnL_"&amp;TEXT(F$1,"mmm")&amp;"_"&amp;TEXT(F$1,"yyyy")),MATCH(TRIM($A65),PnL_Accounts,0))</f>
        <v>0</v>
      </c>
      <c r="G65" s="115">
        <f t="array" aca="1" ref="G65" ca="1">INDEX(INDIRECT("PnL_"&amp;TEXT(G$1,"mmm")&amp;"_"&amp;TEXT(G$1,"yyyy")),MATCH(TRIM($A65),PnL_Accounts,0))</f>
        <v>0</v>
      </c>
      <c r="H65" s="115">
        <f t="array" aca="1" ref="H65" ca="1">INDEX(INDIRECT("PnL_"&amp;TEXT(H$1,"mmm")&amp;"_"&amp;TEXT(H$1,"yyyy")),MATCH(TRIM($A65),PnL_Accounts,0))</f>
        <v>0</v>
      </c>
      <c r="I65" s="115">
        <f t="array" aca="1" ref="I65" ca="1">INDEX(INDIRECT("PnL_"&amp;TEXT(I$1,"mmm")&amp;"_"&amp;TEXT(I$1,"yyyy")),MATCH(TRIM($A65),PnL_Accounts,0))</f>
        <v>0</v>
      </c>
      <c r="J65" s="115">
        <f t="array" aca="1" ref="J65" ca="1">INDEX(INDIRECT("PnL_"&amp;TEXT(J$1,"mmm")&amp;"_"&amp;TEXT(J$1,"yyyy")),MATCH(TRIM($A65),PnL_Accounts,0))</f>
        <v>0</v>
      </c>
      <c r="K65" s="115">
        <f t="array" aca="1" ref="K65" ca="1">INDEX(INDIRECT("PnL_"&amp;TEXT(K$1,"mmm")&amp;"_"&amp;TEXT(K$1,"yyyy")),MATCH(TRIM($A65),PnL_Accounts,0))</f>
        <v>0</v>
      </c>
      <c r="L65" s="115">
        <f t="array" aca="1" ref="L65" ca="1">INDEX(INDIRECT("PnL_"&amp;TEXT(L$1,"mmm")&amp;"_"&amp;TEXT(L$1,"yyyy")),MATCH(TRIM($A65),PnL_Accounts,0))</f>
        <v>0</v>
      </c>
      <c r="M65" s="115">
        <f t="array" aca="1" ref="M65" ca="1">INDEX(INDIRECT("PnL_"&amp;TEXT(M$1,"mmm")&amp;"_"&amp;TEXT(M$1,"yyyy")),MATCH(TRIM($A65),PnL_Accounts,0))</f>
        <v>0</v>
      </c>
      <c r="N65" s="115">
        <f t="array" aca="1" ref="N65" ca="1">INDEX(INDIRECT("PnL_"&amp;TEXT(N$1,"mmm")&amp;"_"&amp;TEXT(N$1,"yyyy")),MATCH(TRIM($A65),PnL_Accounts,0))</f>
        <v>0</v>
      </c>
      <c r="O65" s="115">
        <f t="array" aca="1" ref="O65" ca="1">INDEX(INDIRECT("PnL_"&amp;TEXT(O$1,"mmm")&amp;"_"&amp;TEXT(O$1,"yyyy")),MATCH(TRIM($A65),PnL_Accounts,0))</f>
        <v>0</v>
      </c>
      <c r="P65" s="115">
        <f t="array" aca="1" ref="P65" ca="1">INDEX(INDIRECT("PnL_"&amp;TEXT(P$1,"mmm")&amp;"_"&amp;TEXT(P$1,"yyyy")),MATCH(TRIM($A65),PnL_Accounts,0))</f>
        <v>0</v>
      </c>
      <c r="Q65" s="115">
        <f t="array" aca="1" ref="Q65" ca="1">INDEX(INDIRECT("PnL_"&amp;TEXT(Q$1,"mmm")&amp;"_"&amp;TEXT(Q$1,"yyyy")),MATCH(TRIM($A65),PnL_Accounts,0))</f>
        <v>0</v>
      </c>
      <c r="R65" s="115">
        <f t="array" aca="1" ref="R65" ca="1">INDEX(INDIRECT("PnL_"&amp;TEXT(R$1,"mmm")&amp;"_"&amp;TEXT(R$1,"yyyy")),MATCH(TRIM($A65),PnL_Accounts,0))</f>
        <v>0</v>
      </c>
      <c r="S65" s="115">
        <f t="array" aca="1" ref="S65" ca="1">INDEX(INDIRECT("PnL_"&amp;TEXT(S$1,"mmm")&amp;"_"&amp;TEXT(S$1,"yyyy")),MATCH(TRIM($A65),PnL_Accounts,0))</f>
        <v>0</v>
      </c>
      <c r="T65" s="115">
        <f t="array" aca="1" ref="T65" ca="1">INDEX(INDIRECT("PnL_"&amp;TEXT(T$1,"mmm")&amp;"_"&amp;TEXT(T$1,"yyyy")),MATCH(TRIM($A65),PnL_Accounts,0))</f>
        <v>0</v>
      </c>
      <c r="U65" s="115">
        <f t="array" aca="1" ref="U65" ca="1">INDEX(INDIRECT("PnL_"&amp;TEXT(U$1,"mmm")&amp;"_"&amp;TEXT(U$1,"yyyy")),MATCH(TRIM($A65),PnL_Accounts,0))</f>
        <v>0</v>
      </c>
      <c r="V65" s="115">
        <f t="array" aca="1" ref="V65" ca="1">INDEX(INDIRECT("PnL_"&amp;TEXT(V$1,"mmm")&amp;"_"&amp;TEXT(V$1,"yyyy")),MATCH(TRIM($A65),PnL_Accounts,0))</f>
        <v>0</v>
      </c>
      <c r="W65" s="115">
        <f t="array" aca="1" ref="W65" ca="1">INDEX(INDIRECT("PnL_"&amp;TEXT(W$1,"mmm")&amp;"_"&amp;TEXT(W$1,"yyyy")),MATCH(TRIM($A65),PnL_Accounts,0))</f>
        <v>0</v>
      </c>
      <c r="X65" s="115">
        <f t="array" aca="1" ref="X65" ca="1">INDEX(INDIRECT("PnL_"&amp;TEXT(X$1,"mmm")&amp;"_"&amp;TEXT(X$1,"yyyy")),MATCH(TRIM($A65),PnL_Accounts,0))</f>
        <v>0</v>
      </c>
      <c r="Y65" s="115">
        <f t="array" aca="1" ref="Y65" ca="1">INDEX(INDIRECT("PnL_"&amp;TEXT(Y$1,"mmm")&amp;"_"&amp;TEXT(Y$1,"yyyy")),MATCH(TRIM($A65),PnL_Accounts,0))</f>
        <v>0</v>
      </c>
      <c r="Z65" s="115">
        <f t="array" aca="1" ref="Z65" ca="1">INDEX(INDIRECT("PnL_"&amp;TEXT(Z$1,"mmm")&amp;"_"&amp;TEXT(Z$1,"yyyy")),MATCH(TRIM($A65),PnL_Accounts,0))</f>
        <v>0</v>
      </c>
      <c r="AA65" s="115">
        <f t="array" aca="1" ref="AA65" ca="1">INDEX(INDIRECT("PnL_"&amp;TEXT(AA$1,"mmm")&amp;"_"&amp;TEXT(AA$1,"yyyy")),MATCH(TRIM($A65),PnL_Accounts,0))</f>
        <v>0</v>
      </c>
      <c r="AB65" s="115">
        <f t="array" aca="1" ref="AB65" ca="1">INDEX(INDIRECT("PnL_"&amp;TEXT(AB$1,"mmm")&amp;"_"&amp;TEXT(AB$1,"yyyy")),MATCH(TRIM($A65),PnL_Accounts,0))</f>
        <v>0</v>
      </c>
      <c r="AC65" s="115">
        <f t="array" aca="1" ref="AC65" ca="1">INDEX(INDIRECT("PnL_"&amp;TEXT(AC$1,"mmm")&amp;"_"&amp;TEXT(AC$1,"yyyy")),MATCH(TRIM($A65),PnL_Accounts,0))</f>
        <v>0</v>
      </c>
      <c r="AD65" s="115">
        <f t="array" aca="1" ref="AD65" ca="1">INDEX(INDIRECT("PnL_"&amp;TEXT(AD$1,"mmm")&amp;"_"&amp;TEXT(AD$1,"yyyy")),MATCH(TRIM($A65),PnL_Accounts,0))</f>
        <v>0</v>
      </c>
      <c r="AE65" s="115">
        <f t="array" aca="1" ref="AE65" ca="1">INDEX(INDIRECT("PnL_"&amp;TEXT(AE$1,"mmm")&amp;"_"&amp;TEXT(AE$1,"yyyy")),MATCH(TRIM($A65),PnL_Accounts,0))</f>
        <v>0</v>
      </c>
    </row>
    <row r="66" spans="1:75" ht="12.75" x14ac:dyDescent="0.2">
      <c r="A66" s="23" t="s">
        <v>318</v>
      </c>
      <c r="B66" s="254"/>
      <c r="D66" s="115">
        <f t="array" aca="1" ref="D66" ca="1">INDEX(INDIRECT("PnL_"&amp;TEXT(D$1,"mmm")&amp;"_"&amp;TEXT(D$1,"yyyy")),MATCH(TRIM($A66),PnL_Accounts,0))</f>
        <v>43624</v>
      </c>
      <c r="E66" s="115">
        <f t="array" aca="1" ref="E66" ca="1">INDEX(INDIRECT("PnL_"&amp;TEXT(E$1,"mmm")&amp;"_"&amp;TEXT(E$1,"yyyy")),MATCH(TRIM($A66),PnL_Accounts,0))</f>
        <v>46167</v>
      </c>
      <c r="F66" s="115">
        <f t="array" aca="1" ref="F66" ca="1">INDEX(INDIRECT("PnL_"&amp;TEXT(F$1,"mmm")&amp;"_"&amp;TEXT(F$1,"yyyy")),MATCH(TRIM($A66),PnL_Accounts,0))</f>
        <v>48966</v>
      </c>
      <c r="G66" s="115">
        <f t="array" aca="1" ref="G66" ca="1">INDEX(INDIRECT("PnL_"&amp;TEXT(G$1,"mmm")&amp;"_"&amp;TEXT(G$1,"yyyy")),MATCH(TRIM($A66),PnL_Accounts,0))</f>
        <v>51878</v>
      </c>
      <c r="H66" s="115">
        <f t="array" aca="1" ref="H66" ca="1">INDEX(INDIRECT("PnL_"&amp;TEXT(H$1,"mmm")&amp;"_"&amp;TEXT(H$1,"yyyy")),MATCH(TRIM($A66),PnL_Accounts,0))</f>
        <v>55509</v>
      </c>
      <c r="I66" s="115">
        <f t="array" aca="1" ref="I66" ca="1">INDEX(INDIRECT("PnL_"&amp;TEXT(I$1,"mmm")&amp;"_"&amp;TEXT(I$1,"yyyy")),MATCH(TRIM($A66),PnL_Accounts,0))</f>
        <v>57730</v>
      </c>
      <c r="J66" s="115">
        <f t="array" aca="1" ref="J66" ca="1">INDEX(INDIRECT("PnL_"&amp;TEXT(J$1,"mmm")&amp;"_"&amp;TEXT(J$1,"yyyy")),MATCH(TRIM($A66),PnL_Accounts,0))</f>
        <v>66678</v>
      </c>
      <c r="K66" s="115">
        <f t="array" aca="1" ref="K66" ca="1">INDEX(INDIRECT("PnL_"&amp;TEXT(K$1,"mmm")&amp;"_"&amp;TEXT(K$1,"yyyy")),MATCH(TRIM($A66),PnL_Accounts,0))</f>
        <v>72175</v>
      </c>
      <c r="L66" s="115">
        <f t="array" aca="1" ref="L66" ca="1">INDEX(INDIRECT("PnL_"&amp;TEXT(L$1,"mmm")&amp;"_"&amp;TEXT(L$1,"yyyy")),MATCH(TRIM($A66),PnL_Accounts,0))</f>
        <v>95583</v>
      </c>
      <c r="M66" s="115">
        <f t="array" aca="1" ref="M66" ca="1">INDEX(INDIRECT("PnL_"&amp;TEXT(M$1,"mmm")&amp;"_"&amp;TEXT(M$1,"yyyy")),MATCH(TRIM($A66),PnL_Accounts,0))</f>
        <v>100753</v>
      </c>
      <c r="N66" s="115">
        <f t="array" aca="1" ref="N66" ca="1">INDEX(INDIRECT("PnL_"&amp;TEXT(N$1,"mmm")&amp;"_"&amp;TEXT(N$1,"yyyy")),MATCH(TRIM($A66),PnL_Accounts,0))</f>
        <v>121866</v>
      </c>
      <c r="O66" s="115">
        <f t="array" aca="1" ref="O66" ca="1">INDEX(INDIRECT("PnL_"&amp;TEXT(O$1,"mmm")&amp;"_"&amp;TEXT(O$1,"yyyy")),MATCH(TRIM($A66),PnL_Accounts,0))</f>
        <v>132194</v>
      </c>
      <c r="P66" s="115">
        <f t="array" aca="1" ref="P66" ca="1">INDEX(INDIRECT("PnL_"&amp;TEXT(P$1,"mmm")&amp;"_"&amp;TEXT(P$1,"yyyy")),MATCH(TRIM($A66),PnL_Accounts,0))</f>
        <v>135234</v>
      </c>
      <c r="Q66" s="115">
        <f t="array" aca="1" ref="Q66" ca="1">INDEX(INDIRECT("PnL_"&amp;TEXT(Q$1,"mmm")&amp;"_"&amp;TEXT(Q$1,"yyyy")),MATCH(TRIM($A66),PnL_Accounts,0))</f>
        <v>156382</v>
      </c>
      <c r="R66" s="115">
        <f t="array" aca="1" ref="R66" ca="1">INDEX(INDIRECT("PnL_"&amp;TEXT(R$1,"mmm")&amp;"_"&amp;TEXT(R$1,"yyyy")),MATCH(TRIM($A66),PnL_Accounts,0))</f>
        <v>158221</v>
      </c>
      <c r="S66" s="115">
        <f t="array" aca="1" ref="S66" ca="1">INDEX(INDIRECT("PnL_"&amp;TEXT(S$1,"mmm")&amp;"_"&amp;TEXT(S$1,"yyyy")),MATCH(TRIM($A66),PnL_Accounts,0))</f>
        <v>156382</v>
      </c>
      <c r="T66" s="115">
        <f t="array" aca="1" ref="T66" ca="1">INDEX(INDIRECT("PnL_"&amp;TEXT(T$1,"mmm")&amp;"_"&amp;TEXT(T$1,"yyyy")),MATCH(TRIM($A66),PnL_Accounts,0))</f>
        <v>171134</v>
      </c>
      <c r="U66" s="115">
        <f t="array" aca="1" ref="U66" ca="1">INDEX(INDIRECT("PnL_"&amp;TEXT(U$1,"mmm")&amp;"_"&amp;TEXT(U$1,"yyyy")),MATCH(TRIM($A66),PnL_Accounts,0))</f>
        <v>168772</v>
      </c>
      <c r="V66" s="115">
        <f t="array" aca="1" ref="V66" ca="1">INDEX(INDIRECT("PnL_"&amp;TEXT(V$1,"mmm")&amp;"_"&amp;TEXT(V$1,"yyyy")),MATCH(TRIM($A66),PnL_Accounts,0))</f>
        <v>166219</v>
      </c>
      <c r="W66" s="115">
        <f t="array" aca="1" ref="W66" ca="1">INDEX(INDIRECT("PnL_"&amp;TEXT(W$1,"mmm")&amp;"_"&amp;TEXT(W$1,"yyyy")),MATCH(TRIM($A66),PnL_Accounts,0))</f>
        <v>168021</v>
      </c>
      <c r="X66" s="115">
        <f t="array" aca="1" ref="X66" ca="1">INDEX(INDIRECT("PnL_"&amp;TEXT(X$1,"mmm")&amp;"_"&amp;TEXT(X$1,"yyyy")),MATCH(TRIM($A66),PnL_Accounts,0))</f>
        <v>172114</v>
      </c>
      <c r="Y66" s="115">
        <f t="array" aca="1" ref="Y66" ca="1">INDEX(INDIRECT("PnL_"&amp;TEXT(Y$1,"mmm")&amp;"_"&amp;TEXT(Y$1,"yyyy")),MATCH(TRIM($A66),PnL_Accounts,0))</f>
        <v>152043</v>
      </c>
      <c r="Z66" s="115">
        <f t="array" aca="1" ref="Z66" ca="1">INDEX(INDIRECT("PnL_"&amp;TEXT(Z$1,"mmm")&amp;"_"&amp;TEXT(Z$1,"yyyy")),MATCH(TRIM($A66),PnL_Accounts,0))</f>
        <v>163012</v>
      </c>
      <c r="AA66" s="115">
        <f t="array" aca="1" ref="AA66" ca="1">INDEX(INDIRECT("PnL_"&amp;TEXT(AA$1,"mmm")&amp;"_"&amp;TEXT(AA$1,"yyyy")),MATCH(TRIM($A66),PnL_Accounts,0))</f>
        <v>175421</v>
      </c>
      <c r="AB66" s="115">
        <f t="array" aca="1" ref="AB66" ca="1">INDEX(INDIRECT("PnL_"&amp;TEXT(AB$1,"mmm")&amp;"_"&amp;TEXT(AB$1,"yyyy")),MATCH(TRIM($A66),PnL_Accounts,0))</f>
        <v>179427</v>
      </c>
      <c r="AC66" s="115">
        <f t="array" aca="1" ref="AC66" ca="1">INDEX(INDIRECT("PnL_"&amp;TEXT(AC$1,"mmm")&amp;"_"&amp;TEXT(AC$1,"yyyy")),MATCH(TRIM($A66),PnL_Accounts,0))</f>
        <v>185764</v>
      </c>
      <c r="AD66" s="115">
        <f t="array" aca="1" ref="AD66" ca="1">INDEX(INDIRECT("PnL_"&amp;TEXT(AD$1,"mmm")&amp;"_"&amp;TEXT(AD$1,"yyyy")),MATCH(TRIM($A66),PnL_Accounts,0))</f>
        <v>175764</v>
      </c>
      <c r="AE66" s="115">
        <f t="array" aca="1" ref="AE66" ca="1">INDEX(INDIRECT("PnL_"&amp;TEXT(AE$1,"mmm")&amp;"_"&amp;TEXT(AE$1,"yyyy")),MATCH(TRIM($A66),PnL_Accounts,0))</f>
        <v>167469</v>
      </c>
      <c r="AF66" s="114">
        <v>150000</v>
      </c>
      <c r="AG66" s="255">
        <f t="shared" ref="AG66:AY66" si="37">AF66+15000</f>
        <v>165000</v>
      </c>
      <c r="AH66" s="255">
        <f t="shared" si="37"/>
        <v>180000</v>
      </c>
      <c r="AI66" s="255">
        <f t="shared" si="37"/>
        <v>195000</v>
      </c>
      <c r="AJ66" s="255">
        <f t="shared" si="37"/>
        <v>210000</v>
      </c>
      <c r="AK66" s="255">
        <f t="shared" si="37"/>
        <v>225000</v>
      </c>
      <c r="AL66" s="255">
        <f t="shared" si="37"/>
        <v>240000</v>
      </c>
      <c r="AM66" s="255">
        <f t="shared" si="37"/>
        <v>255000</v>
      </c>
      <c r="AN66" s="255">
        <f t="shared" si="37"/>
        <v>270000</v>
      </c>
      <c r="AO66" s="255">
        <f t="shared" si="37"/>
        <v>285000</v>
      </c>
      <c r="AP66" s="255">
        <f t="shared" si="37"/>
        <v>300000</v>
      </c>
      <c r="AQ66" s="255">
        <f t="shared" si="37"/>
        <v>315000</v>
      </c>
      <c r="AR66" s="255">
        <f t="shared" si="37"/>
        <v>330000</v>
      </c>
      <c r="AS66" s="255">
        <f t="shared" si="37"/>
        <v>345000</v>
      </c>
      <c r="AT66" s="255">
        <f t="shared" si="37"/>
        <v>360000</v>
      </c>
      <c r="AU66" s="255">
        <f t="shared" si="37"/>
        <v>375000</v>
      </c>
      <c r="AV66" s="255">
        <f t="shared" si="37"/>
        <v>390000</v>
      </c>
      <c r="AW66" s="255">
        <f t="shared" si="37"/>
        <v>405000</v>
      </c>
      <c r="AX66" s="255">
        <f t="shared" si="37"/>
        <v>420000</v>
      </c>
      <c r="AY66" s="255">
        <f t="shared" si="37"/>
        <v>435000</v>
      </c>
      <c r="AZ66" s="255">
        <f t="shared" ref="AZ66:BW66" ca="1" si="38">AVERAGE(AV66:AY66)/AVERAGE(AV5:AY5)*AY5</f>
        <v>426596.16236693377</v>
      </c>
      <c r="BA66" s="255">
        <f t="shared" ca="1" si="38"/>
        <v>438296.52438795206</v>
      </c>
      <c r="BB66" s="255">
        <f t="shared" ca="1" si="38"/>
        <v>448487.21320719895</v>
      </c>
      <c r="BC66" s="255">
        <f t="shared" ca="1" si="38"/>
        <v>456661.62947745313</v>
      </c>
      <c r="BD66" s="255">
        <f t="shared" ca="1" si="38"/>
        <v>462319.4587710324</v>
      </c>
      <c r="BE66" s="255">
        <f t="shared" ca="1" si="38"/>
        <v>471650.07321389765</v>
      </c>
      <c r="BF66" s="255">
        <f t="shared" ca="1" si="38"/>
        <v>480361.73019190488</v>
      </c>
      <c r="BG66" s="255">
        <f t="shared" ca="1" si="38"/>
        <v>488687.07691166428</v>
      </c>
      <c r="BH66" s="255">
        <f t="shared" ca="1" si="38"/>
        <v>497051.84535264707</v>
      </c>
      <c r="BI66" s="255">
        <f t="shared" ca="1" si="38"/>
        <v>506123.64276483702</v>
      </c>
      <c r="BJ66" s="255">
        <f t="shared" ca="1" si="38"/>
        <v>515127.8394187665</v>
      </c>
      <c r="BK66" s="255">
        <f t="shared" ca="1" si="38"/>
        <v>524208.44489271072</v>
      </c>
      <c r="BL66" s="255">
        <f t="shared" ca="1" si="38"/>
        <v>533486.31738703803</v>
      </c>
      <c r="BM66" s="255">
        <f t="shared" ca="1" si="38"/>
        <v>543002.68472158397</v>
      </c>
      <c r="BN66" s="255">
        <f t="shared" ca="1" si="38"/>
        <v>552635.1698547639</v>
      </c>
      <c r="BO66" s="255">
        <f t="shared" ca="1" si="38"/>
        <v>562431.75847639178</v>
      </c>
      <c r="BP66" s="255">
        <f t="shared" ca="1" si="38"/>
        <v>572415.35567144654</v>
      </c>
      <c r="BQ66" s="255">
        <f t="shared" ca="1" si="38"/>
        <v>582583.28202276968</v>
      </c>
      <c r="BR66" s="255">
        <f t="shared" ca="1" si="38"/>
        <v>592921.38992462924</v>
      </c>
      <c r="BS66" s="255">
        <f t="shared" ca="1" si="38"/>
        <v>603443.8003589923</v>
      </c>
      <c r="BT66" s="255">
        <f t="shared" ca="1" si="38"/>
        <v>614155.78914055647</v>
      </c>
      <c r="BU66" s="255">
        <f t="shared" ca="1" si="38"/>
        <v>625058.02747188963</v>
      </c>
      <c r="BV66" s="255">
        <f t="shared" ca="1" si="38"/>
        <v>636152.06170830235</v>
      </c>
      <c r="BW66" s="255">
        <f t="shared" ca="1" si="38"/>
        <v>647443.53733128624</v>
      </c>
    </row>
    <row r="67" spans="1:75" ht="12.75" x14ac:dyDescent="0.2">
      <c r="A67" s="23" t="s">
        <v>319</v>
      </c>
      <c r="B67" s="221"/>
      <c r="D67" s="115">
        <f t="array" aca="1" ref="D67" ca="1">INDEX(INDIRECT("PnL_"&amp;TEXT(D$1,"mmm")&amp;"_"&amp;TEXT(D$1,"yyyy")),MATCH(TRIM($A67),PnL_Accounts,0))</f>
        <v>0</v>
      </c>
      <c r="E67" s="115">
        <f t="array" aca="1" ref="E67" ca="1">INDEX(INDIRECT("PnL_"&amp;TEXT(E$1,"mmm")&amp;"_"&amp;TEXT(E$1,"yyyy")),MATCH(TRIM($A67),PnL_Accounts,0))</f>
        <v>0</v>
      </c>
      <c r="F67" s="115">
        <f t="array" aca="1" ref="F67" ca="1">INDEX(INDIRECT("PnL_"&amp;TEXT(F$1,"mmm")&amp;"_"&amp;TEXT(F$1,"yyyy")),MATCH(TRIM($A67),PnL_Accounts,0))</f>
        <v>0</v>
      </c>
      <c r="G67" s="115">
        <f t="array" aca="1" ref="G67" ca="1">INDEX(INDIRECT("PnL_"&amp;TEXT(G$1,"mmm")&amp;"_"&amp;TEXT(G$1,"yyyy")),MATCH(TRIM($A67),PnL_Accounts,0))</f>
        <v>0</v>
      </c>
      <c r="H67" s="115">
        <f t="array" aca="1" ref="H67" ca="1">INDEX(INDIRECT("PnL_"&amp;TEXT(H$1,"mmm")&amp;"_"&amp;TEXT(H$1,"yyyy")),MATCH(TRIM($A67),PnL_Accounts,0))</f>
        <v>0</v>
      </c>
      <c r="I67" s="115">
        <f t="array" aca="1" ref="I67" ca="1">INDEX(INDIRECT("PnL_"&amp;TEXT(I$1,"mmm")&amp;"_"&amp;TEXT(I$1,"yyyy")),MATCH(TRIM($A67),PnL_Accounts,0))</f>
        <v>0</v>
      </c>
      <c r="J67" s="115">
        <f t="array" aca="1" ref="J67" ca="1">INDEX(INDIRECT("PnL_"&amp;TEXT(J$1,"mmm")&amp;"_"&amp;TEXT(J$1,"yyyy")),MATCH(TRIM($A67),PnL_Accounts,0))</f>
        <v>0</v>
      </c>
      <c r="K67" s="115">
        <f t="array" aca="1" ref="K67" ca="1">INDEX(INDIRECT("PnL_"&amp;TEXT(K$1,"mmm")&amp;"_"&amp;TEXT(K$1,"yyyy")),MATCH(TRIM($A67),PnL_Accounts,0))</f>
        <v>0</v>
      </c>
      <c r="L67" s="115">
        <f t="array" aca="1" ref="L67" ca="1">INDEX(INDIRECT("PnL_"&amp;TEXT(L$1,"mmm")&amp;"_"&amp;TEXT(L$1,"yyyy")),MATCH(TRIM($A67),PnL_Accounts,0))</f>
        <v>0</v>
      </c>
      <c r="M67" s="115">
        <f t="array" aca="1" ref="M67" ca="1">INDEX(INDIRECT("PnL_"&amp;TEXT(M$1,"mmm")&amp;"_"&amp;TEXT(M$1,"yyyy")),MATCH(TRIM($A67),PnL_Accounts,0))</f>
        <v>0</v>
      </c>
      <c r="N67" s="115">
        <f t="array" aca="1" ref="N67" ca="1">INDEX(INDIRECT("PnL_"&amp;TEXT(N$1,"mmm")&amp;"_"&amp;TEXT(N$1,"yyyy")),MATCH(TRIM($A67),PnL_Accounts,0))</f>
        <v>0</v>
      </c>
      <c r="O67" s="115">
        <f t="array" aca="1" ref="O67" ca="1">INDEX(INDIRECT("PnL_"&amp;TEXT(O$1,"mmm")&amp;"_"&amp;TEXT(O$1,"yyyy")),MATCH(TRIM($A67),PnL_Accounts,0))</f>
        <v>0</v>
      </c>
      <c r="P67" s="115">
        <f t="array" aca="1" ref="P67" ca="1">INDEX(INDIRECT("PnL_"&amp;TEXT(P$1,"mmm")&amp;"_"&amp;TEXT(P$1,"yyyy")),MATCH(TRIM($A67),PnL_Accounts,0))</f>
        <v>0</v>
      </c>
      <c r="Q67" s="115">
        <f t="array" aca="1" ref="Q67" ca="1">INDEX(INDIRECT("PnL_"&amp;TEXT(Q$1,"mmm")&amp;"_"&amp;TEXT(Q$1,"yyyy")),MATCH(TRIM($A67),PnL_Accounts,0))</f>
        <v>0</v>
      </c>
      <c r="R67" s="115">
        <f t="array" aca="1" ref="R67" ca="1">INDEX(INDIRECT("PnL_"&amp;TEXT(R$1,"mmm")&amp;"_"&amp;TEXT(R$1,"yyyy")),MATCH(TRIM($A67),PnL_Accounts,0))</f>
        <v>0</v>
      </c>
      <c r="S67" s="115">
        <f t="array" aca="1" ref="S67" ca="1">INDEX(INDIRECT("PnL_"&amp;TEXT(S$1,"mmm")&amp;"_"&amp;TEXT(S$1,"yyyy")),MATCH(TRIM($A67),PnL_Accounts,0))</f>
        <v>0</v>
      </c>
      <c r="T67" s="115">
        <f t="array" aca="1" ref="T67" ca="1">INDEX(INDIRECT("PnL_"&amp;TEXT(T$1,"mmm")&amp;"_"&amp;TEXT(T$1,"yyyy")),MATCH(TRIM($A67),PnL_Accounts,0))</f>
        <v>0</v>
      </c>
      <c r="U67" s="115">
        <f t="array" aca="1" ref="U67" ca="1">INDEX(INDIRECT("PnL_"&amp;TEXT(U$1,"mmm")&amp;"_"&amp;TEXT(U$1,"yyyy")),MATCH(TRIM($A67),PnL_Accounts,0))</f>
        <v>0</v>
      </c>
      <c r="V67" s="115">
        <f t="array" aca="1" ref="V67" ca="1">INDEX(INDIRECT("PnL_"&amp;TEXT(V$1,"mmm")&amp;"_"&amp;TEXT(V$1,"yyyy")),MATCH(TRIM($A67),PnL_Accounts,0))</f>
        <v>0</v>
      </c>
      <c r="W67" s="115">
        <f t="array" aca="1" ref="W67" ca="1">INDEX(INDIRECT("PnL_"&amp;TEXT(W$1,"mmm")&amp;"_"&amp;TEXT(W$1,"yyyy")),MATCH(TRIM($A67),PnL_Accounts,0))</f>
        <v>0</v>
      </c>
      <c r="X67" s="115">
        <f t="array" aca="1" ref="X67" ca="1">INDEX(INDIRECT("PnL_"&amp;TEXT(X$1,"mmm")&amp;"_"&amp;TEXT(X$1,"yyyy")),MATCH(TRIM($A67),PnL_Accounts,0))</f>
        <v>0</v>
      </c>
      <c r="Y67" s="115">
        <f t="array" aca="1" ref="Y67" ca="1">INDEX(INDIRECT("PnL_"&amp;TEXT(Y$1,"mmm")&amp;"_"&amp;TEXT(Y$1,"yyyy")),MATCH(TRIM($A67),PnL_Accounts,0))</f>
        <v>0</v>
      </c>
      <c r="Z67" s="115">
        <f t="array" aca="1" ref="Z67" ca="1">INDEX(INDIRECT("PnL_"&amp;TEXT(Z$1,"mmm")&amp;"_"&amp;TEXT(Z$1,"yyyy")),MATCH(TRIM($A67),PnL_Accounts,0))</f>
        <v>0</v>
      </c>
      <c r="AA67" s="115">
        <f t="array" aca="1" ref="AA67" ca="1">INDEX(INDIRECT("PnL_"&amp;TEXT(AA$1,"mmm")&amp;"_"&amp;TEXT(AA$1,"yyyy")),MATCH(TRIM($A67),PnL_Accounts,0))</f>
        <v>0</v>
      </c>
      <c r="AB67" s="115">
        <f t="array" aca="1" ref="AB67" ca="1">INDEX(INDIRECT("PnL_"&amp;TEXT(AB$1,"mmm")&amp;"_"&amp;TEXT(AB$1,"yyyy")),MATCH(TRIM($A67),PnL_Accounts,0))</f>
        <v>0</v>
      </c>
      <c r="AC67" s="115">
        <f t="array" aca="1" ref="AC67" ca="1">INDEX(INDIRECT("PnL_"&amp;TEXT(AC$1,"mmm")&amp;"_"&amp;TEXT(AC$1,"yyyy")),MATCH(TRIM($A67),PnL_Accounts,0))</f>
        <v>0</v>
      </c>
      <c r="AD67" s="115">
        <f t="array" aca="1" ref="AD67" ca="1">INDEX(INDIRECT("PnL_"&amp;TEXT(AD$1,"mmm")&amp;"_"&amp;TEXT(AD$1,"yyyy")),MATCH(TRIM($A67),PnL_Accounts,0))</f>
        <v>0</v>
      </c>
      <c r="AE67" s="115">
        <f t="array" aca="1" ref="AE67" ca="1">INDEX(INDIRECT("PnL_"&amp;TEXT(AE$1,"mmm")&amp;"_"&amp;TEXT(AE$1,"yyyy")),MATCH(TRIM($A67),PnL_Accounts,0))</f>
        <v>0</v>
      </c>
    </row>
    <row r="68" spans="1:75" ht="12.75" x14ac:dyDescent="0.2">
      <c r="A68" s="23" t="s">
        <v>320</v>
      </c>
      <c r="B68" s="224">
        <f ca="1">AVERAGEIFS(68:68,$1:$1,"&gt;="&amp;DATE(YEAR(Current_Month),MONTH(Current_Month)-2,DAY(Current_Month)),$1:$1,"&lt;="&amp;EOMONTH(Current_Month,0))</f>
        <v>1800</v>
      </c>
      <c r="D68" s="115">
        <f t="array" aca="1" ref="D68" ca="1">INDEX(INDIRECT("PnL_"&amp;TEXT(D$1,"mmm")&amp;"_"&amp;TEXT(D$1,"yyyy")),MATCH(TRIM($A68),PnL_Accounts,0))</f>
        <v>450</v>
      </c>
      <c r="E68" s="115">
        <f t="array" aca="1" ref="E68" ca="1">INDEX(INDIRECT("PnL_"&amp;TEXT(E$1,"mmm")&amp;"_"&amp;TEXT(E$1,"yyyy")),MATCH(TRIM($A68),PnL_Accounts,0))</f>
        <v>450</v>
      </c>
      <c r="F68" s="115">
        <f t="array" aca="1" ref="F68" ca="1">INDEX(INDIRECT("PnL_"&amp;TEXT(F$1,"mmm")&amp;"_"&amp;TEXT(F$1,"yyyy")),MATCH(TRIM($A68),PnL_Accounts,0))</f>
        <v>450</v>
      </c>
      <c r="G68" s="115">
        <f t="array" aca="1" ref="G68" ca="1">INDEX(INDIRECT("PnL_"&amp;TEXT(G$1,"mmm")&amp;"_"&amp;TEXT(G$1,"yyyy")),MATCH(TRIM($A68),PnL_Accounts,0))</f>
        <v>450</v>
      </c>
      <c r="H68" s="115">
        <f t="array" aca="1" ref="H68" ca="1">INDEX(INDIRECT("PnL_"&amp;TEXT(H$1,"mmm")&amp;"_"&amp;TEXT(H$1,"yyyy")),MATCH(TRIM($A68),PnL_Accounts,0))</f>
        <v>450</v>
      </c>
      <c r="I68" s="115">
        <f t="array" aca="1" ref="I68" ca="1">INDEX(INDIRECT("PnL_"&amp;TEXT(I$1,"mmm")&amp;"_"&amp;TEXT(I$1,"yyyy")),MATCH(TRIM($A68),PnL_Accounts,0))</f>
        <v>450</v>
      </c>
      <c r="J68" s="115">
        <f t="array" aca="1" ref="J68" ca="1">INDEX(INDIRECT("PnL_"&amp;TEXT(J$1,"mmm")&amp;"_"&amp;TEXT(J$1,"yyyy")),MATCH(TRIM($A68),PnL_Accounts,0))</f>
        <v>900</v>
      </c>
      <c r="K68" s="115">
        <f t="array" aca="1" ref="K68" ca="1">INDEX(INDIRECT("PnL_"&amp;TEXT(K$1,"mmm")&amp;"_"&amp;TEXT(K$1,"yyyy")),MATCH(TRIM($A68),PnL_Accounts,0))</f>
        <v>900</v>
      </c>
      <c r="L68" s="115">
        <f t="array" aca="1" ref="L68" ca="1">INDEX(INDIRECT("PnL_"&amp;TEXT(L$1,"mmm")&amp;"_"&amp;TEXT(L$1,"yyyy")),MATCH(TRIM($A68),PnL_Accounts,0))</f>
        <v>900</v>
      </c>
      <c r="M68" s="115">
        <f t="array" aca="1" ref="M68" ca="1">INDEX(INDIRECT("PnL_"&amp;TEXT(M$1,"mmm")&amp;"_"&amp;TEXT(M$1,"yyyy")),MATCH(TRIM($A68),PnL_Accounts,0))</f>
        <v>1350</v>
      </c>
      <c r="N68" s="115">
        <f t="array" aca="1" ref="N68" ca="1">INDEX(INDIRECT("PnL_"&amp;TEXT(N$1,"mmm")&amp;"_"&amp;TEXT(N$1,"yyyy")),MATCH(TRIM($A68),PnL_Accounts,0))</f>
        <v>1350</v>
      </c>
      <c r="O68" s="115">
        <f t="array" aca="1" ref="O68" ca="1">INDEX(INDIRECT("PnL_"&amp;TEXT(O$1,"mmm")&amp;"_"&amp;TEXT(O$1,"yyyy")),MATCH(TRIM($A68),PnL_Accounts,0))</f>
        <v>1350</v>
      </c>
      <c r="P68" s="115">
        <f t="array" aca="1" ref="P68" ca="1">INDEX(INDIRECT("PnL_"&amp;TEXT(P$1,"mmm")&amp;"_"&amp;TEXT(P$1,"yyyy")),MATCH(TRIM($A68),PnL_Accounts,0))</f>
        <v>1800</v>
      </c>
      <c r="Q68" s="115">
        <f t="array" aca="1" ref="Q68" ca="1">INDEX(INDIRECT("PnL_"&amp;TEXT(Q$1,"mmm")&amp;"_"&amp;TEXT(Q$1,"yyyy")),MATCH(TRIM($A68),PnL_Accounts,0))</f>
        <v>1800</v>
      </c>
      <c r="R68" s="115">
        <f t="array" aca="1" ref="R68" ca="1">INDEX(INDIRECT("PnL_"&amp;TEXT(R$1,"mmm")&amp;"_"&amp;TEXT(R$1,"yyyy")),MATCH(TRIM($A68),PnL_Accounts,0))</f>
        <v>1800</v>
      </c>
      <c r="S68" s="115">
        <f t="array" aca="1" ref="S68" ca="1">INDEX(INDIRECT("PnL_"&amp;TEXT(S$1,"mmm")&amp;"_"&amp;TEXT(S$1,"yyyy")),MATCH(TRIM($A68),PnL_Accounts,0))</f>
        <v>1800</v>
      </c>
      <c r="T68" s="115">
        <f t="array" aca="1" ref="T68" ca="1">INDEX(INDIRECT("PnL_"&amp;TEXT(T$1,"mmm")&amp;"_"&amp;TEXT(T$1,"yyyy")),MATCH(TRIM($A68),PnL_Accounts,0))</f>
        <v>1800</v>
      </c>
      <c r="U68" s="115">
        <f t="array" aca="1" ref="U68" ca="1">INDEX(INDIRECT("PnL_"&amp;TEXT(U$1,"mmm")&amp;"_"&amp;TEXT(U$1,"yyyy")),MATCH(TRIM($A68),PnL_Accounts,0))</f>
        <v>1800</v>
      </c>
      <c r="V68" s="115">
        <f t="array" aca="1" ref="V68" ca="1">INDEX(INDIRECT("PnL_"&amp;TEXT(V$1,"mmm")&amp;"_"&amp;TEXT(V$1,"yyyy")),MATCH(TRIM($A68),PnL_Accounts,0))</f>
        <v>1800</v>
      </c>
      <c r="W68" s="115">
        <f t="array" aca="1" ref="W68" ca="1">INDEX(INDIRECT("PnL_"&amp;TEXT(W$1,"mmm")&amp;"_"&amp;TEXT(W$1,"yyyy")),MATCH(TRIM($A68),PnL_Accounts,0))</f>
        <v>1800</v>
      </c>
      <c r="X68" s="115">
        <f t="array" aca="1" ref="X68" ca="1">INDEX(INDIRECT("PnL_"&amp;TEXT(X$1,"mmm")&amp;"_"&amp;TEXT(X$1,"yyyy")),MATCH(TRIM($A68),PnL_Accounts,0))</f>
        <v>1800</v>
      </c>
      <c r="Y68" s="115">
        <f t="array" aca="1" ref="Y68" ca="1">INDEX(INDIRECT("PnL_"&amp;TEXT(Y$1,"mmm")&amp;"_"&amp;TEXT(Y$1,"yyyy")),MATCH(TRIM($A68),PnL_Accounts,0))</f>
        <v>1800</v>
      </c>
      <c r="Z68" s="115">
        <f t="array" aca="1" ref="Z68" ca="1">INDEX(INDIRECT("PnL_"&amp;TEXT(Z$1,"mmm")&amp;"_"&amp;TEXT(Z$1,"yyyy")),MATCH(TRIM($A68),PnL_Accounts,0))</f>
        <v>1800</v>
      </c>
      <c r="AA68" s="115">
        <f t="array" aca="1" ref="AA68" ca="1">INDEX(INDIRECT("PnL_"&amp;TEXT(AA$1,"mmm")&amp;"_"&amp;TEXT(AA$1,"yyyy")),MATCH(TRIM($A68),PnL_Accounts,0))</f>
        <v>1800</v>
      </c>
      <c r="AB68" s="115">
        <f t="array" aca="1" ref="AB68" ca="1">INDEX(INDIRECT("PnL_"&amp;TEXT(AB$1,"mmm")&amp;"_"&amp;TEXT(AB$1,"yyyy")),MATCH(TRIM($A68),PnL_Accounts,0))</f>
        <v>1800</v>
      </c>
      <c r="AC68" s="115">
        <f t="array" aca="1" ref="AC68" ca="1">INDEX(INDIRECT("PnL_"&amp;TEXT(AC$1,"mmm")&amp;"_"&amp;TEXT(AC$1,"yyyy")),MATCH(TRIM($A68),PnL_Accounts,0))</f>
        <v>1800</v>
      </c>
      <c r="AD68" s="115">
        <f t="array" aca="1" ref="AD68" ca="1">INDEX(INDIRECT("PnL_"&amp;TEXT(AD$1,"mmm")&amp;"_"&amp;TEXT(AD$1,"yyyy")),MATCH(TRIM($A68),PnL_Accounts,0))</f>
        <v>1800</v>
      </c>
      <c r="AE68" s="115">
        <f t="array" aca="1" ref="AE68" ca="1">INDEX(INDIRECT("PnL_"&amp;TEXT(AE$1,"mmm")&amp;"_"&amp;TEXT(AE$1,"yyyy")),MATCH(TRIM($A68),PnL_Accounts,0))</f>
        <v>1800</v>
      </c>
      <c r="AF68" s="25">
        <f t="array" ref="AF68">INDEX(Hiring_Plan_Benefits_Marketing,MATCH(AF$1,Hiring_Plan_Months,0))</f>
        <v>2033.3333333333333</v>
      </c>
      <c r="AG68" s="25">
        <f t="array" ref="AG68">INDEX(Hiring_Plan_Benefits_Marketing,MATCH(AG$1,Hiring_Plan_Months,0))</f>
        <v>2033.3333333333333</v>
      </c>
      <c r="AH68" s="25">
        <f t="array" ref="AH68">INDEX(Hiring_Plan_Benefits_Marketing,MATCH(AH$1,Hiring_Plan_Months,0))</f>
        <v>2033.3333333333333</v>
      </c>
      <c r="AI68" s="25">
        <f t="array" ref="AI68">INDEX(Hiring_Plan_Benefits_Marketing,MATCH(AI$1,Hiring_Plan_Months,0))</f>
        <v>2033.3333333333333</v>
      </c>
      <c r="AJ68" s="25">
        <f t="array" ref="AJ68">INDEX(Hiring_Plan_Benefits_Marketing,MATCH(AJ$1,Hiring_Plan_Months,0))</f>
        <v>2033.3333333333333</v>
      </c>
      <c r="AK68" s="25">
        <f t="array" ref="AK68">INDEX(Hiring_Plan_Benefits_Marketing,MATCH(AK$1,Hiring_Plan_Months,0))</f>
        <v>2866.6666666666665</v>
      </c>
      <c r="AL68" s="25">
        <f t="array" ref="AL68">INDEX(Hiring_Plan_Benefits_Marketing,MATCH(AL$1,Hiring_Plan_Months,0))</f>
        <v>2866.6666666666665</v>
      </c>
      <c r="AM68" s="25">
        <f t="array" ref="AM68">INDEX(Hiring_Plan_Benefits_Marketing,MATCH(AM$1,Hiring_Plan_Months,0))</f>
        <v>3700</v>
      </c>
      <c r="AN68" s="25">
        <f t="array" ref="AN68">INDEX(Hiring_Plan_Benefits_Marketing,MATCH(AN$1,Hiring_Plan_Months,0))</f>
        <v>3700</v>
      </c>
      <c r="AO68" s="25">
        <f t="array" ref="AO68">INDEX(Hiring_Plan_Benefits_Marketing,MATCH(AO$1,Hiring_Plan_Months,0))</f>
        <v>4533.333333333333</v>
      </c>
      <c r="AP68" s="25">
        <f t="array" ref="AP68">INDEX(Hiring_Plan_Benefits_Marketing,MATCH(AP$1,Hiring_Plan_Months,0))</f>
        <v>4533.333333333333</v>
      </c>
      <c r="AQ68" s="25">
        <f t="array" ref="AQ68">INDEX(Hiring_Plan_Benefits_Marketing,MATCH(AQ$1,Hiring_Plan_Months,0))</f>
        <v>5366.6666666666661</v>
      </c>
      <c r="AR68" s="25">
        <f t="array" ref="AR68">INDEX(Hiring_Plan_Benefits_Marketing,MATCH(AR$1,Hiring_Plan_Months,0))</f>
        <v>5366.6666666666661</v>
      </c>
      <c r="AS68" s="25">
        <f t="array" ref="AS68">INDEX(Hiring_Plan_Benefits_Marketing,MATCH(AS$1,Hiring_Plan_Months,0))</f>
        <v>5366.6666666666661</v>
      </c>
      <c r="AT68" s="25">
        <f t="array" ref="AT68">INDEX(Hiring_Plan_Benefits_Marketing,MATCH(AT$1,Hiring_Plan_Months,0))</f>
        <v>5366.6666666666661</v>
      </c>
      <c r="AU68" s="25">
        <f t="array" ref="AU68">INDEX(Hiring_Plan_Benefits_Marketing,MATCH(AU$1,Hiring_Plan_Months,0))</f>
        <v>5366.6666666666661</v>
      </c>
      <c r="AV68" s="25">
        <f t="array" ref="AV68">INDEX(Hiring_Plan_Benefits_Marketing,MATCH(AV$1,Hiring_Plan_Months,0))</f>
        <v>5366.6666666666661</v>
      </c>
      <c r="AW68" s="25">
        <f t="array" ref="AW68">INDEX(Hiring_Plan_Benefits_Marketing,MATCH(AW$1,Hiring_Plan_Months,0))</f>
        <v>5366.6666666666661</v>
      </c>
      <c r="AX68" s="25">
        <f t="array" ref="AX68">INDEX(Hiring_Plan_Benefits_Marketing,MATCH(AX$1,Hiring_Plan_Months,0))</f>
        <v>5366.6666666666661</v>
      </c>
      <c r="AY68" s="25">
        <f t="array" ref="AY68">INDEX(Hiring_Plan_Benefits_Marketing,MATCH(AY$1,Hiring_Plan_Months,0))</f>
        <v>5366.6666666666661</v>
      </c>
      <c r="AZ68" s="25">
        <f t="array" ref="AZ68">INDEX(Hiring_Plan_Benefits_Marketing,MATCH(AZ$1,Hiring_Plan_Months,0))</f>
        <v>5366.6666666666661</v>
      </c>
      <c r="BA68" s="25">
        <f t="array" ref="BA68">INDEX(Hiring_Plan_Benefits_Marketing,MATCH(BA$1,Hiring_Plan_Months,0))</f>
        <v>5366.6666666666661</v>
      </c>
      <c r="BB68" s="25">
        <f t="array" ref="BB68">INDEX(Hiring_Plan_Benefits_Marketing,MATCH(BB$1,Hiring_Plan_Months,0))</f>
        <v>5366.6666666666661</v>
      </c>
      <c r="BC68" s="25">
        <f t="array" ref="BC68">INDEX(Hiring_Plan_Benefits_Marketing,MATCH(BC$1,Hiring_Plan_Months,0))</f>
        <v>5366.6666666666661</v>
      </c>
      <c r="BD68" s="25">
        <f t="array" ref="BD68">INDEX(Hiring_Plan_Benefits_Marketing,MATCH(BD$1,Hiring_Plan_Months,0))</f>
        <v>5366.6666666666661</v>
      </c>
      <c r="BE68" s="25">
        <f t="array" ref="BE68">INDEX(Hiring_Plan_Benefits_Marketing,MATCH(BE$1,Hiring_Plan_Months,0))</f>
        <v>5366.6666666666661</v>
      </c>
      <c r="BF68" s="25">
        <f t="array" ref="BF68">INDEX(Hiring_Plan_Benefits_Marketing,MATCH(BF$1,Hiring_Plan_Months,0))</f>
        <v>5366.6666666666661</v>
      </c>
      <c r="BG68" s="25">
        <f t="array" ref="BG68">INDEX(Hiring_Plan_Benefits_Marketing,MATCH(BG$1,Hiring_Plan_Months,0))</f>
        <v>5366.6666666666661</v>
      </c>
      <c r="BH68" s="25">
        <f t="array" ref="BH68">INDEX(Hiring_Plan_Benefits_Marketing,MATCH(BH$1,Hiring_Plan_Months,0))</f>
        <v>5366.6666666666661</v>
      </c>
      <c r="BI68" s="25">
        <f t="array" ref="BI68">INDEX(Hiring_Plan_Benefits_Marketing,MATCH(BI$1,Hiring_Plan_Months,0))</f>
        <v>5366.6666666666661</v>
      </c>
      <c r="BJ68" s="25">
        <f t="array" ref="BJ68">INDEX(Hiring_Plan_Benefits_Marketing,MATCH(BJ$1,Hiring_Plan_Months,0))</f>
        <v>5366.6666666666661</v>
      </c>
      <c r="BK68" s="25">
        <f t="array" ref="BK68">INDEX(Hiring_Plan_Benefits_Marketing,MATCH(BK$1,Hiring_Plan_Months,0))</f>
        <v>5366.6666666666661</v>
      </c>
      <c r="BL68" s="25">
        <f t="array" ref="BL68">INDEX(Hiring_Plan_Benefits_Marketing,MATCH(BL$1,Hiring_Plan_Months,0))</f>
        <v>5366.6666666666661</v>
      </c>
      <c r="BM68" s="25">
        <f t="array" ref="BM68">INDEX(Hiring_Plan_Benefits_Marketing,MATCH(BM$1,Hiring_Plan_Months,0))</f>
        <v>5366.6666666666661</v>
      </c>
      <c r="BN68" s="25">
        <f t="array" ref="BN68">INDEX(Hiring_Plan_Benefits_Marketing,MATCH(BN$1,Hiring_Plan_Months,0))</f>
        <v>5366.6666666666661</v>
      </c>
      <c r="BO68" s="25">
        <f t="array" ref="BO68">INDEX(Hiring_Plan_Benefits_Marketing,MATCH(BO$1,Hiring_Plan_Months,0))</f>
        <v>5366.6666666666661</v>
      </c>
      <c r="BP68" s="25">
        <f t="array" ref="BP68">INDEX(Hiring_Plan_Benefits_Marketing,MATCH(BP$1,Hiring_Plan_Months,0))</f>
        <v>5366.6666666666661</v>
      </c>
      <c r="BQ68" s="25">
        <f t="array" ref="BQ68">INDEX(Hiring_Plan_Benefits_Marketing,MATCH(BQ$1,Hiring_Plan_Months,0))</f>
        <v>5366.6666666666661</v>
      </c>
      <c r="BR68" s="25">
        <f t="array" ref="BR68">INDEX(Hiring_Plan_Benefits_Marketing,MATCH(BR$1,Hiring_Plan_Months,0))</f>
        <v>5366.6666666666661</v>
      </c>
      <c r="BS68" s="25">
        <f t="array" ref="BS68">INDEX(Hiring_Plan_Benefits_Marketing,MATCH(BS$1,Hiring_Plan_Months,0))</f>
        <v>5366.6666666666661</v>
      </c>
      <c r="BT68" s="25">
        <f t="array" ref="BT68">INDEX(Hiring_Plan_Benefits_Marketing,MATCH(BT$1,Hiring_Plan_Months,0))</f>
        <v>5366.6666666666661</v>
      </c>
      <c r="BU68" s="25">
        <f t="array" ref="BU68">INDEX(Hiring_Plan_Benefits_Marketing,MATCH(BU$1,Hiring_Plan_Months,0))</f>
        <v>5366.6666666666661</v>
      </c>
      <c r="BV68" s="25">
        <f t="array" ref="BV68">INDEX(Hiring_Plan_Benefits_Marketing,MATCH(BV$1,Hiring_Plan_Months,0))</f>
        <v>5366.6666666666661</v>
      </c>
      <c r="BW68" s="25">
        <f t="array" ref="BW68">INDEX(Hiring_Plan_Benefits_Marketing,MATCH(BW$1,Hiring_Plan_Months,0))</f>
        <v>5366.6666666666661</v>
      </c>
    </row>
    <row r="69" spans="1:75" ht="12.75" x14ac:dyDescent="0.2">
      <c r="A69" s="23" t="s">
        <v>321</v>
      </c>
      <c r="B69" s="224">
        <f ca="1">AVERAGEIFS(69:69,$1:$1,"&gt;="&amp;DATE(YEAR(Current_Month),MONTH(Current_Month)-2,DAY(Current_Month)),$1:$1,"&lt;="&amp;EOMONTH(Current_Month,0))</f>
        <v>2115</v>
      </c>
      <c r="D69" s="115">
        <f t="array" aca="1" ref="D69" ca="1">INDEX(INDIRECT("PnL_"&amp;TEXT(D$1,"mmm")&amp;"_"&amp;TEXT(D$1,"yyyy")),MATCH(TRIM($A69),PnL_Accounts,0))</f>
        <v>529</v>
      </c>
      <c r="E69" s="115">
        <f t="array" aca="1" ref="E69" ca="1">INDEX(INDIRECT("PnL_"&amp;TEXT(E$1,"mmm")&amp;"_"&amp;TEXT(E$1,"yyyy")),MATCH(TRIM($A69),PnL_Accounts,0))</f>
        <v>529</v>
      </c>
      <c r="F69" s="115">
        <f t="array" aca="1" ref="F69" ca="1">INDEX(INDIRECT("PnL_"&amp;TEXT(F$1,"mmm")&amp;"_"&amp;TEXT(F$1,"yyyy")),MATCH(TRIM($A69),PnL_Accounts,0))</f>
        <v>529</v>
      </c>
      <c r="G69" s="115">
        <f t="array" aca="1" ref="G69" ca="1">INDEX(INDIRECT("PnL_"&amp;TEXT(G$1,"mmm")&amp;"_"&amp;TEXT(G$1,"yyyy")),MATCH(TRIM($A69),PnL_Accounts,0))</f>
        <v>529</v>
      </c>
      <c r="H69" s="115">
        <f t="array" aca="1" ref="H69" ca="1">INDEX(INDIRECT("PnL_"&amp;TEXT(H$1,"mmm")&amp;"_"&amp;TEXT(H$1,"yyyy")),MATCH(TRIM($A69),PnL_Accounts,0))</f>
        <v>529</v>
      </c>
      <c r="I69" s="115">
        <f t="array" aca="1" ref="I69" ca="1">INDEX(INDIRECT("PnL_"&amp;TEXT(I$1,"mmm")&amp;"_"&amp;TEXT(I$1,"yyyy")),MATCH(TRIM($A69),PnL_Accounts,0))</f>
        <v>529</v>
      </c>
      <c r="J69" s="115">
        <f t="array" aca="1" ref="J69" ca="1">INDEX(INDIRECT("PnL_"&amp;TEXT(J$1,"mmm")&amp;"_"&amp;TEXT(J$1,"yyyy")),MATCH(TRIM($A69),PnL_Accounts,0))</f>
        <v>1058</v>
      </c>
      <c r="K69" s="115">
        <f t="array" aca="1" ref="K69" ca="1">INDEX(INDIRECT("PnL_"&amp;TEXT(K$1,"mmm")&amp;"_"&amp;TEXT(K$1,"yyyy")),MATCH(TRIM($A69),PnL_Accounts,0))</f>
        <v>1058</v>
      </c>
      <c r="L69" s="115">
        <f t="array" aca="1" ref="L69" ca="1">INDEX(INDIRECT("PnL_"&amp;TEXT(L$1,"mmm")&amp;"_"&amp;TEXT(L$1,"yyyy")),MATCH(TRIM($A69),PnL_Accounts,0))</f>
        <v>1058</v>
      </c>
      <c r="M69" s="115">
        <f t="array" aca="1" ref="M69" ca="1">INDEX(INDIRECT("PnL_"&amp;TEXT(M$1,"mmm")&amp;"_"&amp;TEXT(M$1,"yyyy")),MATCH(TRIM($A69),PnL_Accounts,0))</f>
        <v>1586</v>
      </c>
      <c r="N69" s="115">
        <f t="array" aca="1" ref="N69" ca="1">INDEX(INDIRECT("PnL_"&amp;TEXT(N$1,"mmm")&amp;"_"&amp;TEXT(N$1,"yyyy")),MATCH(TRIM($A69),PnL_Accounts,0))</f>
        <v>1586</v>
      </c>
      <c r="O69" s="115">
        <f t="array" aca="1" ref="O69" ca="1">INDEX(INDIRECT("PnL_"&amp;TEXT(O$1,"mmm")&amp;"_"&amp;TEXT(O$1,"yyyy")),MATCH(TRIM($A69),PnL_Accounts,0))</f>
        <v>1586</v>
      </c>
      <c r="P69" s="115">
        <f t="array" aca="1" ref="P69" ca="1">INDEX(INDIRECT("PnL_"&amp;TEXT(P$1,"mmm")&amp;"_"&amp;TEXT(P$1,"yyyy")),MATCH(TRIM($A69),PnL_Accounts,0))</f>
        <v>2115</v>
      </c>
      <c r="Q69" s="115">
        <f t="array" aca="1" ref="Q69" ca="1">INDEX(INDIRECT("PnL_"&amp;TEXT(Q$1,"mmm")&amp;"_"&amp;TEXT(Q$1,"yyyy")),MATCH(TRIM($A69),PnL_Accounts,0))</f>
        <v>2115</v>
      </c>
      <c r="R69" s="115">
        <f t="array" aca="1" ref="R69" ca="1">INDEX(INDIRECT("PnL_"&amp;TEXT(R$1,"mmm")&amp;"_"&amp;TEXT(R$1,"yyyy")),MATCH(TRIM($A69),PnL_Accounts,0))</f>
        <v>2115</v>
      </c>
      <c r="S69" s="115">
        <f t="array" aca="1" ref="S69" ca="1">INDEX(INDIRECT("PnL_"&amp;TEXT(S$1,"mmm")&amp;"_"&amp;TEXT(S$1,"yyyy")),MATCH(TRIM($A69),PnL_Accounts,0))</f>
        <v>2115</v>
      </c>
      <c r="T69" s="115">
        <f t="array" aca="1" ref="T69" ca="1">INDEX(INDIRECT("PnL_"&amp;TEXT(T$1,"mmm")&amp;"_"&amp;TEXT(T$1,"yyyy")),MATCH(TRIM($A69),PnL_Accounts,0))</f>
        <v>2115</v>
      </c>
      <c r="U69" s="115">
        <f t="array" aca="1" ref="U69" ca="1">INDEX(INDIRECT("PnL_"&amp;TEXT(U$1,"mmm")&amp;"_"&amp;TEXT(U$1,"yyyy")),MATCH(TRIM($A69),PnL_Accounts,0))</f>
        <v>2115</v>
      </c>
      <c r="V69" s="115">
        <f t="array" aca="1" ref="V69" ca="1">INDEX(INDIRECT("PnL_"&amp;TEXT(V$1,"mmm")&amp;"_"&amp;TEXT(V$1,"yyyy")),MATCH(TRIM($A69),PnL_Accounts,0))</f>
        <v>2115</v>
      </c>
      <c r="W69" s="115">
        <f t="array" aca="1" ref="W69" ca="1">INDEX(INDIRECT("PnL_"&amp;TEXT(W$1,"mmm")&amp;"_"&amp;TEXT(W$1,"yyyy")),MATCH(TRIM($A69),PnL_Accounts,0))</f>
        <v>2115</v>
      </c>
      <c r="X69" s="115">
        <f t="array" aca="1" ref="X69" ca="1">INDEX(INDIRECT("PnL_"&amp;TEXT(X$1,"mmm")&amp;"_"&amp;TEXT(X$1,"yyyy")),MATCH(TRIM($A69),PnL_Accounts,0))</f>
        <v>2115</v>
      </c>
      <c r="Y69" s="115">
        <f t="array" aca="1" ref="Y69" ca="1">INDEX(INDIRECT("PnL_"&amp;TEXT(Y$1,"mmm")&amp;"_"&amp;TEXT(Y$1,"yyyy")),MATCH(TRIM($A69),PnL_Accounts,0))</f>
        <v>2115</v>
      </c>
      <c r="Z69" s="115">
        <f t="array" aca="1" ref="Z69" ca="1">INDEX(INDIRECT("PnL_"&amp;TEXT(Z$1,"mmm")&amp;"_"&amp;TEXT(Z$1,"yyyy")),MATCH(TRIM($A69),PnL_Accounts,0))</f>
        <v>2115</v>
      </c>
      <c r="AA69" s="115">
        <f t="array" aca="1" ref="AA69" ca="1">INDEX(INDIRECT("PnL_"&amp;TEXT(AA$1,"mmm")&amp;"_"&amp;TEXT(AA$1,"yyyy")),MATCH(TRIM($A69),PnL_Accounts,0))</f>
        <v>2115</v>
      </c>
      <c r="AB69" s="115">
        <f t="array" aca="1" ref="AB69" ca="1">INDEX(INDIRECT("PnL_"&amp;TEXT(AB$1,"mmm")&amp;"_"&amp;TEXT(AB$1,"yyyy")),MATCH(TRIM($A69),PnL_Accounts,0))</f>
        <v>2115</v>
      </c>
      <c r="AC69" s="115">
        <f t="array" aca="1" ref="AC69" ca="1">INDEX(INDIRECT("PnL_"&amp;TEXT(AC$1,"mmm")&amp;"_"&amp;TEXT(AC$1,"yyyy")),MATCH(TRIM($A69),PnL_Accounts,0))</f>
        <v>2115</v>
      </c>
      <c r="AD69" s="115">
        <f t="array" aca="1" ref="AD69" ca="1">INDEX(INDIRECT("PnL_"&amp;TEXT(AD$1,"mmm")&amp;"_"&amp;TEXT(AD$1,"yyyy")),MATCH(TRIM($A69),PnL_Accounts,0))</f>
        <v>2115</v>
      </c>
      <c r="AE69" s="115">
        <f t="array" aca="1" ref="AE69" ca="1">INDEX(INDIRECT("PnL_"&amp;TEXT(AE$1,"mmm")&amp;"_"&amp;TEXT(AE$1,"yyyy")),MATCH(TRIM($A69),PnL_Accounts,0))</f>
        <v>2115</v>
      </c>
      <c r="AF69" s="25">
        <f t="array" ref="AF69">INDEX(Hiring_Plan_Payroll_Taxes_Marketing,MATCH(AF$1,Hiring_Plan_Months,0))</f>
        <v>2325</v>
      </c>
      <c r="AG69" s="25">
        <f t="array" ref="AG69">INDEX(Hiring_Plan_Payroll_Taxes_Marketing,MATCH(AG$1,Hiring_Plan_Months,0))</f>
        <v>2325</v>
      </c>
      <c r="AH69" s="25">
        <f t="array" ref="AH69">INDEX(Hiring_Plan_Payroll_Taxes_Marketing,MATCH(AH$1,Hiring_Plan_Months,0))</f>
        <v>2325</v>
      </c>
      <c r="AI69" s="25">
        <f t="array" ref="AI69">INDEX(Hiring_Plan_Payroll_Taxes_Marketing,MATCH(AI$1,Hiring_Plan_Months,0))</f>
        <v>2325</v>
      </c>
      <c r="AJ69" s="25">
        <f t="array" ref="AJ69">INDEX(Hiring_Plan_Payroll_Taxes_Marketing,MATCH(AJ$1,Hiring_Plan_Months,0))</f>
        <v>2325</v>
      </c>
      <c r="AK69" s="25">
        <f t="array" ref="AK69">INDEX(Hiring_Plan_Payroll_Taxes_Marketing,MATCH(AK$1,Hiring_Plan_Months,0))</f>
        <v>3075</v>
      </c>
      <c r="AL69" s="25">
        <f t="array" ref="AL69">INDEX(Hiring_Plan_Payroll_Taxes_Marketing,MATCH(AL$1,Hiring_Plan_Months,0))</f>
        <v>3075</v>
      </c>
      <c r="AM69" s="25">
        <f t="array" ref="AM69">INDEX(Hiring_Plan_Payroll_Taxes_Marketing,MATCH(AM$1,Hiring_Plan_Months,0))</f>
        <v>3825</v>
      </c>
      <c r="AN69" s="25">
        <f t="array" ref="AN69">INDEX(Hiring_Plan_Payroll_Taxes_Marketing,MATCH(AN$1,Hiring_Plan_Months,0))</f>
        <v>3825</v>
      </c>
      <c r="AO69" s="25">
        <f t="array" ref="AO69">INDEX(Hiring_Plan_Payroll_Taxes_Marketing,MATCH(AO$1,Hiring_Plan_Months,0))</f>
        <v>4575</v>
      </c>
      <c r="AP69" s="25">
        <f t="array" ref="AP69">INDEX(Hiring_Plan_Payroll_Taxes_Marketing,MATCH(AP$1,Hiring_Plan_Months,0))</f>
        <v>4575</v>
      </c>
      <c r="AQ69" s="25">
        <f t="array" ref="AQ69">INDEX(Hiring_Plan_Payroll_Taxes_Marketing,MATCH(AQ$1,Hiring_Plan_Months,0))</f>
        <v>5325</v>
      </c>
      <c r="AR69" s="25">
        <f t="array" ref="AR69">INDEX(Hiring_Plan_Payroll_Taxes_Marketing,MATCH(AR$1,Hiring_Plan_Months,0))</f>
        <v>5325</v>
      </c>
      <c r="AS69" s="25">
        <f t="array" ref="AS69">INDEX(Hiring_Plan_Payroll_Taxes_Marketing,MATCH(AS$1,Hiring_Plan_Months,0))</f>
        <v>5325</v>
      </c>
      <c r="AT69" s="25">
        <f t="array" ref="AT69">INDEX(Hiring_Plan_Payroll_Taxes_Marketing,MATCH(AT$1,Hiring_Plan_Months,0))</f>
        <v>5325</v>
      </c>
      <c r="AU69" s="25">
        <f t="array" ref="AU69">INDEX(Hiring_Plan_Payroll_Taxes_Marketing,MATCH(AU$1,Hiring_Plan_Months,0))</f>
        <v>5325</v>
      </c>
      <c r="AV69" s="25">
        <f t="array" ref="AV69">INDEX(Hiring_Plan_Payroll_Taxes_Marketing,MATCH(AV$1,Hiring_Plan_Months,0))</f>
        <v>5325</v>
      </c>
      <c r="AW69" s="25">
        <f t="array" ref="AW69">INDEX(Hiring_Plan_Payroll_Taxes_Marketing,MATCH(AW$1,Hiring_Plan_Months,0))</f>
        <v>5325</v>
      </c>
      <c r="AX69" s="25">
        <f t="array" ref="AX69">INDEX(Hiring_Plan_Payroll_Taxes_Marketing,MATCH(AX$1,Hiring_Plan_Months,0))</f>
        <v>5325</v>
      </c>
      <c r="AY69" s="25">
        <f t="array" ref="AY69">INDEX(Hiring_Plan_Payroll_Taxes_Marketing,MATCH(AY$1,Hiring_Plan_Months,0))</f>
        <v>5325</v>
      </c>
      <c r="AZ69" s="25">
        <f t="array" ref="AZ69">INDEX(Hiring_Plan_Payroll_Taxes_Marketing,MATCH(AZ$1,Hiring_Plan_Months,0))</f>
        <v>5325</v>
      </c>
      <c r="BA69" s="25">
        <f t="array" ref="BA69">INDEX(Hiring_Plan_Payroll_Taxes_Marketing,MATCH(BA$1,Hiring_Plan_Months,0))</f>
        <v>5325</v>
      </c>
      <c r="BB69" s="25">
        <f t="array" ref="BB69">INDEX(Hiring_Plan_Payroll_Taxes_Marketing,MATCH(BB$1,Hiring_Plan_Months,0))</f>
        <v>5325</v>
      </c>
      <c r="BC69" s="25">
        <f t="array" ref="BC69">INDEX(Hiring_Plan_Payroll_Taxes_Marketing,MATCH(BC$1,Hiring_Plan_Months,0))</f>
        <v>5325</v>
      </c>
      <c r="BD69" s="25">
        <f t="array" ref="BD69">INDEX(Hiring_Plan_Payroll_Taxes_Marketing,MATCH(BD$1,Hiring_Plan_Months,0))</f>
        <v>5325</v>
      </c>
      <c r="BE69" s="25">
        <f t="array" ref="BE69">INDEX(Hiring_Plan_Payroll_Taxes_Marketing,MATCH(BE$1,Hiring_Plan_Months,0))</f>
        <v>5325</v>
      </c>
      <c r="BF69" s="25">
        <f t="array" ref="BF69">INDEX(Hiring_Plan_Payroll_Taxes_Marketing,MATCH(BF$1,Hiring_Plan_Months,0))</f>
        <v>5325</v>
      </c>
      <c r="BG69" s="25">
        <f t="array" ref="BG69">INDEX(Hiring_Plan_Payroll_Taxes_Marketing,MATCH(BG$1,Hiring_Plan_Months,0))</f>
        <v>5325</v>
      </c>
      <c r="BH69" s="25">
        <f t="array" ref="BH69">INDEX(Hiring_Plan_Payroll_Taxes_Marketing,MATCH(BH$1,Hiring_Plan_Months,0))</f>
        <v>5325</v>
      </c>
      <c r="BI69" s="25">
        <f t="array" ref="BI69">INDEX(Hiring_Plan_Payroll_Taxes_Marketing,MATCH(BI$1,Hiring_Plan_Months,0))</f>
        <v>5325</v>
      </c>
      <c r="BJ69" s="25">
        <f t="array" ref="BJ69">INDEX(Hiring_Plan_Payroll_Taxes_Marketing,MATCH(BJ$1,Hiring_Plan_Months,0))</f>
        <v>5325</v>
      </c>
      <c r="BK69" s="25">
        <f t="array" ref="BK69">INDEX(Hiring_Plan_Payroll_Taxes_Marketing,MATCH(BK$1,Hiring_Plan_Months,0))</f>
        <v>5325</v>
      </c>
      <c r="BL69" s="25">
        <f t="array" ref="BL69">INDEX(Hiring_Plan_Payroll_Taxes_Marketing,MATCH(BL$1,Hiring_Plan_Months,0))</f>
        <v>5325</v>
      </c>
      <c r="BM69" s="25">
        <f t="array" ref="BM69">INDEX(Hiring_Plan_Payroll_Taxes_Marketing,MATCH(BM$1,Hiring_Plan_Months,0))</f>
        <v>5325</v>
      </c>
      <c r="BN69" s="25">
        <f t="array" ref="BN69">INDEX(Hiring_Plan_Payroll_Taxes_Marketing,MATCH(BN$1,Hiring_Plan_Months,0))</f>
        <v>5325</v>
      </c>
      <c r="BO69" s="25">
        <f t="array" ref="BO69">INDEX(Hiring_Plan_Payroll_Taxes_Marketing,MATCH(BO$1,Hiring_Plan_Months,0))</f>
        <v>5325</v>
      </c>
      <c r="BP69" s="25">
        <f t="array" ref="BP69">INDEX(Hiring_Plan_Payroll_Taxes_Marketing,MATCH(BP$1,Hiring_Plan_Months,0))</f>
        <v>5325</v>
      </c>
      <c r="BQ69" s="25">
        <f t="array" ref="BQ69">INDEX(Hiring_Plan_Payroll_Taxes_Marketing,MATCH(BQ$1,Hiring_Plan_Months,0))</f>
        <v>5325</v>
      </c>
      <c r="BR69" s="25">
        <f t="array" ref="BR69">INDEX(Hiring_Plan_Payroll_Taxes_Marketing,MATCH(BR$1,Hiring_Plan_Months,0))</f>
        <v>5325</v>
      </c>
      <c r="BS69" s="25">
        <f t="array" ref="BS69">INDEX(Hiring_Plan_Payroll_Taxes_Marketing,MATCH(BS$1,Hiring_Plan_Months,0))</f>
        <v>5325</v>
      </c>
      <c r="BT69" s="25">
        <f t="array" ref="BT69">INDEX(Hiring_Plan_Payroll_Taxes_Marketing,MATCH(BT$1,Hiring_Plan_Months,0))</f>
        <v>5325</v>
      </c>
      <c r="BU69" s="25">
        <f t="array" ref="BU69">INDEX(Hiring_Plan_Payroll_Taxes_Marketing,MATCH(BU$1,Hiring_Plan_Months,0))</f>
        <v>5325</v>
      </c>
      <c r="BV69" s="25">
        <f t="array" ref="BV69">INDEX(Hiring_Plan_Payroll_Taxes_Marketing,MATCH(BV$1,Hiring_Plan_Months,0))</f>
        <v>5325</v>
      </c>
      <c r="BW69" s="25">
        <f t="array" ref="BW69">INDEX(Hiring_Plan_Payroll_Taxes_Marketing,MATCH(BW$1,Hiring_Plan_Months,0))</f>
        <v>5325</v>
      </c>
    </row>
    <row r="70" spans="1:75" ht="12.75" x14ac:dyDescent="0.2">
      <c r="A70" s="23" t="s">
        <v>322</v>
      </c>
      <c r="B70" s="224">
        <f ca="1">AVERAGEIFS(70:70,$1:$1,"&gt;="&amp;DATE(YEAR(Current_Month),MONTH(Current_Month)-2,DAY(Current_Month)),$1:$1,"&lt;="&amp;EOMONTH(Current_Month,0))</f>
        <v>23500</v>
      </c>
      <c r="D70" s="115">
        <f t="array" aca="1" ref="D70" ca="1">INDEX(INDIRECT("PnL_"&amp;TEXT(D$1,"mmm")&amp;"_"&amp;TEXT(D$1,"yyyy")),MATCH(TRIM($A70),PnL_Accounts,0))</f>
        <v>5875</v>
      </c>
      <c r="E70" s="115">
        <f t="array" aca="1" ref="E70" ca="1">INDEX(INDIRECT("PnL_"&amp;TEXT(E$1,"mmm")&amp;"_"&amp;TEXT(E$1,"yyyy")),MATCH(TRIM($A70),PnL_Accounts,0))</f>
        <v>5875</v>
      </c>
      <c r="F70" s="115">
        <f t="array" aca="1" ref="F70" ca="1">INDEX(INDIRECT("PnL_"&amp;TEXT(F$1,"mmm")&amp;"_"&amp;TEXT(F$1,"yyyy")),MATCH(TRIM($A70),PnL_Accounts,0))</f>
        <v>5875</v>
      </c>
      <c r="G70" s="115">
        <f t="array" aca="1" ref="G70" ca="1">INDEX(INDIRECT("PnL_"&amp;TEXT(G$1,"mmm")&amp;"_"&amp;TEXT(G$1,"yyyy")),MATCH(TRIM($A70),PnL_Accounts,0))</f>
        <v>5875</v>
      </c>
      <c r="H70" s="115">
        <f t="array" aca="1" ref="H70" ca="1">INDEX(INDIRECT("PnL_"&amp;TEXT(H$1,"mmm")&amp;"_"&amp;TEXT(H$1,"yyyy")),MATCH(TRIM($A70),PnL_Accounts,0))</f>
        <v>5875</v>
      </c>
      <c r="I70" s="115">
        <f t="array" aca="1" ref="I70" ca="1">INDEX(INDIRECT("PnL_"&amp;TEXT(I$1,"mmm")&amp;"_"&amp;TEXT(I$1,"yyyy")),MATCH(TRIM($A70),PnL_Accounts,0))</f>
        <v>5875</v>
      </c>
      <c r="J70" s="115">
        <f t="array" aca="1" ref="J70" ca="1">INDEX(INDIRECT("PnL_"&amp;TEXT(J$1,"mmm")&amp;"_"&amp;TEXT(J$1,"yyyy")),MATCH(TRIM($A70),PnL_Accounts,0))</f>
        <v>11750</v>
      </c>
      <c r="K70" s="115">
        <f t="array" aca="1" ref="K70" ca="1">INDEX(INDIRECT("PnL_"&amp;TEXT(K$1,"mmm")&amp;"_"&amp;TEXT(K$1,"yyyy")),MATCH(TRIM($A70),PnL_Accounts,0))</f>
        <v>11750</v>
      </c>
      <c r="L70" s="115">
        <f t="array" aca="1" ref="L70" ca="1">INDEX(INDIRECT("PnL_"&amp;TEXT(L$1,"mmm")&amp;"_"&amp;TEXT(L$1,"yyyy")),MATCH(TRIM($A70),PnL_Accounts,0))</f>
        <v>11750</v>
      </c>
      <c r="M70" s="115">
        <f t="array" aca="1" ref="M70" ca="1">INDEX(INDIRECT("PnL_"&amp;TEXT(M$1,"mmm")&amp;"_"&amp;TEXT(M$1,"yyyy")),MATCH(TRIM($A70),PnL_Accounts,0))</f>
        <v>17625</v>
      </c>
      <c r="N70" s="115">
        <f t="array" aca="1" ref="N70" ca="1">INDEX(INDIRECT("PnL_"&amp;TEXT(N$1,"mmm")&amp;"_"&amp;TEXT(N$1,"yyyy")),MATCH(TRIM($A70),PnL_Accounts,0))</f>
        <v>17625</v>
      </c>
      <c r="O70" s="115">
        <f t="array" aca="1" ref="O70" ca="1">INDEX(INDIRECT("PnL_"&amp;TEXT(O$1,"mmm")&amp;"_"&amp;TEXT(O$1,"yyyy")),MATCH(TRIM($A70),PnL_Accounts,0))</f>
        <v>17625</v>
      </c>
      <c r="P70" s="115">
        <f t="array" aca="1" ref="P70" ca="1">INDEX(INDIRECT("PnL_"&amp;TEXT(P$1,"mmm")&amp;"_"&amp;TEXT(P$1,"yyyy")),MATCH(TRIM($A70),PnL_Accounts,0))</f>
        <v>23500</v>
      </c>
      <c r="Q70" s="115">
        <f t="array" aca="1" ref="Q70" ca="1">INDEX(INDIRECT("PnL_"&amp;TEXT(Q$1,"mmm")&amp;"_"&amp;TEXT(Q$1,"yyyy")),MATCH(TRIM($A70),PnL_Accounts,0))</f>
        <v>23500</v>
      </c>
      <c r="R70" s="115">
        <f t="array" aca="1" ref="R70" ca="1">INDEX(INDIRECT("PnL_"&amp;TEXT(R$1,"mmm")&amp;"_"&amp;TEXT(R$1,"yyyy")),MATCH(TRIM($A70),PnL_Accounts,0))</f>
        <v>23500</v>
      </c>
      <c r="S70" s="115">
        <f t="array" aca="1" ref="S70" ca="1">INDEX(INDIRECT("PnL_"&amp;TEXT(S$1,"mmm")&amp;"_"&amp;TEXT(S$1,"yyyy")),MATCH(TRIM($A70),PnL_Accounts,0))</f>
        <v>23500</v>
      </c>
      <c r="T70" s="115">
        <f t="array" aca="1" ref="T70" ca="1">INDEX(INDIRECT("PnL_"&amp;TEXT(T$1,"mmm")&amp;"_"&amp;TEXT(T$1,"yyyy")),MATCH(TRIM($A70),PnL_Accounts,0))</f>
        <v>23500</v>
      </c>
      <c r="U70" s="115">
        <f t="array" aca="1" ref="U70" ca="1">INDEX(INDIRECT("PnL_"&amp;TEXT(U$1,"mmm")&amp;"_"&amp;TEXT(U$1,"yyyy")),MATCH(TRIM($A70),PnL_Accounts,0))</f>
        <v>23500</v>
      </c>
      <c r="V70" s="115">
        <f t="array" aca="1" ref="V70" ca="1">INDEX(INDIRECT("PnL_"&amp;TEXT(V$1,"mmm")&amp;"_"&amp;TEXT(V$1,"yyyy")),MATCH(TRIM($A70),PnL_Accounts,0))</f>
        <v>23500</v>
      </c>
      <c r="W70" s="115">
        <f t="array" aca="1" ref="W70" ca="1">INDEX(INDIRECT("PnL_"&amp;TEXT(W$1,"mmm")&amp;"_"&amp;TEXT(W$1,"yyyy")),MATCH(TRIM($A70),PnL_Accounts,0))</f>
        <v>23500</v>
      </c>
      <c r="X70" s="115">
        <f t="array" aca="1" ref="X70" ca="1">INDEX(INDIRECT("PnL_"&amp;TEXT(X$1,"mmm")&amp;"_"&amp;TEXT(X$1,"yyyy")),MATCH(TRIM($A70),PnL_Accounts,0))</f>
        <v>23500</v>
      </c>
      <c r="Y70" s="115">
        <f t="array" aca="1" ref="Y70" ca="1">INDEX(INDIRECT("PnL_"&amp;TEXT(Y$1,"mmm")&amp;"_"&amp;TEXT(Y$1,"yyyy")),MATCH(TRIM($A70),PnL_Accounts,0))</f>
        <v>23500</v>
      </c>
      <c r="Z70" s="115">
        <f t="array" aca="1" ref="Z70" ca="1">INDEX(INDIRECT("PnL_"&amp;TEXT(Z$1,"mmm")&amp;"_"&amp;TEXT(Z$1,"yyyy")),MATCH(TRIM($A70),PnL_Accounts,0))</f>
        <v>23500</v>
      </c>
      <c r="AA70" s="115">
        <f t="array" aca="1" ref="AA70" ca="1">INDEX(INDIRECT("PnL_"&amp;TEXT(AA$1,"mmm")&amp;"_"&amp;TEXT(AA$1,"yyyy")),MATCH(TRIM($A70),PnL_Accounts,0))</f>
        <v>23500</v>
      </c>
      <c r="AB70" s="115">
        <f t="array" aca="1" ref="AB70" ca="1">INDEX(INDIRECT("PnL_"&amp;TEXT(AB$1,"mmm")&amp;"_"&amp;TEXT(AB$1,"yyyy")),MATCH(TRIM($A70),PnL_Accounts,0))</f>
        <v>23500</v>
      </c>
      <c r="AC70" s="115">
        <f t="array" aca="1" ref="AC70" ca="1">INDEX(INDIRECT("PnL_"&amp;TEXT(AC$1,"mmm")&amp;"_"&amp;TEXT(AC$1,"yyyy")),MATCH(TRIM($A70),PnL_Accounts,0))</f>
        <v>23500</v>
      </c>
      <c r="AD70" s="115">
        <f t="array" aca="1" ref="AD70" ca="1">INDEX(INDIRECT("PnL_"&amp;TEXT(AD$1,"mmm")&amp;"_"&amp;TEXT(AD$1,"yyyy")),MATCH(TRIM($A70),PnL_Accounts,0))</f>
        <v>23500</v>
      </c>
      <c r="AE70" s="115">
        <f t="array" aca="1" ref="AE70" ca="1">INDEX(INDIRECT("PnL_"&amp;TEXT(AE$1,"mmm")&amp;"_"&amp;TEXT(AE$1,"yyyy")),MATCH(TRIM($A70),PnL_Accounts,0))</f>
        <v>23500</v>
      </c>
      <c r="AF70" s="25">
        <f t="array" ref="AF70">INDEX(Hiring_Plan_Salaries_Marketing,MATCH(AF$1,Hiring_Plan_Months,0))</f>
        <v>25833.333333333336</v>
      </c>
      <c r="AG70" s="25">
        <f t="array" ref="AG70">INDEX(Hiring_Plan_Salaries_Marketing,MATCH(AG$1,Hiring_Plan_Months,0))</f>
        <v>25833.333333333336</v>
      </c>
      <c r="AH70" s="25">
        <f t="array" ref="AH70">INDEX(Hiring_Plan_Salaries_Marketing,MATCH(AH$1,Hiring_Plan_Months,0))</f>
        <v>25833.333333333336</v>
      </c>
      <c r="AI70" s="25">
        <f t="array" ref="AI70">INDEX(Hiring_Plan_Salaries_Marketing,MATCH(AI$1,Hiring_Plan_Months,0))</f>
        <v>25833.333333333336</v>
      </c>
      <c r="AJ70" s="25">
        <f t="array" ref="AJ70">INDEX(Hiring_Plan_Salaries_Marketing,MATCH(AJ$1,Hiring_Plan_Months,0))</f>
        <v>25833.333333333336</v>
      </c>
      <c r="AK70" s="25">
        <f t="array" ref="AK70">INDEX(Hiring_Plan_Salaries_Marketing,MATCH(AK$1,Hiring_Plan_Months,0))</f>
        <v>34166.666666666672</v>
      </c>
      <c r="AL70" s="25">
        <f t="array" ref="AL70">INDEX(Hiring_Plan_Salaries_Marketing,MATCH(AL$1,Hiring_Plan_Months,0))</f>
        <v>34166.666666666672</v>
      </c>
      <c r="AM70" s="25">
        <f t="array" ref="AM70">INDEX(Hiring_Plan_Salaries_Marketing,MATCH(AM$1,Hiring_Plan_Months,0))</f>
        <v>42500.000000000007</v>
      </c>
      <c r="AN70" s="25">
        <f t="array" ref="AN70">INDEX(Hiring_Plan_Salaries_Marketing,MATCH(AN$1,Hiring_Plan_Months,0))</f>
        <v>42500.000000000007</v>
      </c>
      <c r="AO70" s="25">
        <f t="array" ref="AO70">INDEX(Hiring_Plan_Salaries_Marketing,MATCH(AO$1,Hiring_Plan_Months,0))</f>
        <v>50833.333333333343</v>
      </c>
      <c r="AP70" s="25">
        <f t="array" ref="AP70">INDEX(Hiring_Plan_Salaries_Marketing,MATCH(AP$1,Hiring_Plan_Months,0))</f>
        <v>50833.333333333343</v>
      </c>
      <c r="AQ70" s="25">
        <f t="array" ref="AQ70">INDEX(Hiring_Plan_Salaries_Marketing,MATCH(AQ$1,Hiring_Plan_Months,0))</f>
        <v>59166.666666666679</v>
      </c>
      <c r="AR70" s="25">
        <f t="array" ref="AR70">INDEX(Hiring_Plan_Salaries_Marketing,MATCH(AR$1,Hiring_Plan_Months,0))</f>
        <v>59166.666666666679</v>
      </c>
      <c r="AS70" s="25">
        <f t="array" ref="AS70">INDEX(Hiring_Plan_Salaries_Marketing,MATCH(AS$1,Hiring_Plan_Months,0))</f>
        <v>59166.666666666679</v>
      </c>
      <c r="AT70" s="25">
        <f t="array" ref="AT70">INDEX(Hiring_Plan_Salaries_Marketing,MATCH(AT$1,Hiring_Plan_Months,0))</f>
        <v>59166.666666666679</v>
      </c>
      <c r="AU70" s="25">
        <f t="array" ref="AU70">INDEX(Hiring_Plan_Salaries_Marketing,MATCH(AU$1,Hiring_Plan_Months,0))</f>
        <v>59166.666666666679</v>
      </c>
      <c r="AV70" s="25">
        <f t="array" ref="AV70">INDEX(Hiring_Plan_Salaries_Marketing,MATCH(AV$1,Hiring_Plan_Months,0))</f>
        <v>59166.666666666679</v>
      </c>
      <c r="AW70" s="25">
        <f t="array" ref="AW70">INDEX(Hiring_Plan_Salaries_Marketing,MATCH(AW$1,Hiring_Plan_Months,0))</f>
        <v>59166.666666666679</v>
      </c>
      <c r="AX70" s="25">
        <f t="array" ref="AX70">INDEX(Hiring_Plan_Salaries_Marketing,MATCH(AX$1,Hiring_Plan_Months,0))</f>
        <v>59166.666666666679</v>
      </c>
      <c r="AY70" s="25">
        <f t="array" ref="AY70">INDEX(Hiring_Plan_Salaries_Marketing,MATCH(AY$1,Hiring_Plan_Months,0))</f>
        <v>59166.666666666679</v>
      </c>
      <c r="AZ70" s="25">
        <f t="array" ref="AZ70">INDEX(Hiring_Plan_Salaries_Marketing,MATCH(AZ$1,Hiring_Plan_Months,0))</f>
        <v>59166.666666666679</v>
      </c>
      <c r="BA70" s="25">
        <f t="array" ref="BA70">INDEX(Hiring_Plan_Salaries_Marketing,MATCH(BA$1,Hiring_Plan_Months,0))</f>
        <v>59166.666666666679</v>
      </c>
      <c r="BB70" s="25">
        <f t="array" ref="BB70">INDEX(Hiring_Plan_Salaries_Marketing,MATCH(BB$1,Hiring_Plan_Months,0))</f>
        <v>59166.666666666679</v>
      </c>
      <c r="BC70" s="25">
        <f t="array" ref="BC70">INDEX(Hiring_Plan_Salaries_Marketing,MATCH(BC$1,Hiring_Plan_Months,0))</f>
        <v>59166.666666666679</v>
      </c>
      <c r="BD70" s="25">
        <f t="array" ref="BD70">INDEX(Hiring_Plan_Salaries_Marketing,MATCH(BD$1,Hiring_Plan_Months,0))</f>
        <v>59166.666666666679</v>
      </c>
      <c r="BE70" s="25">
        <f t="array" ref="BE70">INDEX(Hiring_Plan_Salaries_Marketing,MATCH(BE$1,Hiring_Plan_Months,0))</f>
        <v>59166.666666666679</v>
      </c>
      <c r="BF70" s="25">
        <f t="array" ref="BF70">INDEX(Hiring_Plan_Salaries_Marketing,MATCH(BF$1,Hiring_Plan_Months,0))</f>
        <v>59166.666666666679</v>
      </c>
      <c r="BG70" s="25">
        <f t="array" ref="BG70">INDEX(Hiring_Plan_Salaries_Marketing,MATCH(BG$1,Hiring_Plan_Months,0))</f>
        <v>59166.666666666679</v>
      </c>
      <c r="BH70" s="25">
        <f t="array" ref="BH70">INDEX(Hiring_Plan_Salaries_Marketing,MATCH(BH$1,Hiring_Plan_Months,0))</f>
        <v>59166.666666666679</v>
      </c>
      <c r="BI70" s="25">
        <f t="array" ref="BI70">INDEX(Hiring_Plan_Salaries_Marketing,MATCH(BI$1,Hiring_Plan_Months,0))</f>
        <v>59166.666666666679</v>
      </c>
      <c r="BJ70" s="25">
        <f t="array" ref="BJ70">INDEX(Hiring_Plan_Salaries_Marketing,MATCH(BJ$1,Hiring_Plan_Months,0))</f>
        <v>59166.666666666679</v>
      </c>
      <c r="BK70" s="25">
        <f t="array" ref="BK70">INDEX(Hiring_Plan_Salaries_Marketing,MATCH(BK$1,Hiring_Plan_Months,0))</f>
        <v>59166.666666666679</v>
      </c>
      <c r="BL70" s="25">
        <f t="array" ref="BL70">INDEX(Hiring_Plan_Salaries_Marketing,MATCH(BL$1,Hiring_Plan_Months,0))</f>
        <v>59166.666666666679</v>
      </c>
      <c r="BM70" s="25">
        <f t="array" ref="BM70">INDEX(Hiring_Plan_Salaries_Marketing,MATCH(BM$1,Hiring_Plan_Months,0))</f>
        <v>59166.666666666679</v>
      </c>
      <c r="BN70" s="25">
        <f t="array" ref="BN70">INDEX(Hiring_Plan_Salaries_Marketing,MATCH(BN$1,Hiring_Plan_Months,0))</f>
        <v>59166.666666666679</v>
      </c>
      <c r="BO70" s="25">
        <f t="array" ref="BO70">INDEX(Hiring_Plan_Salaries_Marketing,MATCH(BO$1,Hiring_Plan_Months,0))</f>
        <v>59166.666666666679</v>
      </c>
      <c r="BP70" s="25">
        <f t="array" ref="BP70">INDEX(Hiring_Plan_Salaries_Marketing,MATCH(BP$1,Hiring_Plan_Months,0))</f>
        <v>59166.666666666679</v>
      </c>
      <c r="BQ70" s="25">
        <f t="array" ref="BQ70">INDEX(Hiring_Plan_Salaries_Marketing,MATCH(BQ$1,Hiring_Plan_Months,0))</f>
        <v>59166.666666666679</v>
      </c>
      <c r="BR70" s="25">
        <f t="array" ref="BR70">INDEX(Hiring_Plan_Salaries_Marketing,MATCH(BR$1,Hiring_Plan_Months,0))</f>
        <v>59166.666666666679</v>
      </c>
      <c r="BS70" s="25">
        <f t="array" ref="BS70">INDEX(Hiring_Plan_Salaries_Marketing,MATCH(BS$1,Hiring_Plan_Months,0))</f>
        <v>59166.666666666679</v>
      </c>
      <c r="BT70" s="25">
        <f t="array" ref="BT70">INDEX(Hiring_Plan_Salaries_Marketing,MATCH(BT$1,Hiring_Plan_Months,0))</f>
        <v>59166.666666666679</v>
      </c>
      <c r="BU70" s="25">
        <f t="array" ref="BU70">INDEX(Hiring_Plan_Salaries_Marketing,MATCH(BU$1,Hiring_Plan_Months,0))</f>
        <v>59166.666666666679</v>
      </c>
      <c r="BV70" s="25">
        <f t="array" ref="BV70">INDEX(Hiring_Plan_Salaries_Marketing,MATCH(BV$1,Hiring_Plan_Months,0))</f>
        <v>59166.666666666679</v>
      </c>
      <c r="BW70" s="25">
        <f t="array" ref="BW70">INDEX(Hiring_Plan_Salaries_Marketing,MATCH(BW$1,Hiring_Plan_Months,0))</f>
        <v>59166.666666666679</v>
      </c>
    </row>
    <row r="71" spans="1:75" ht="12.75" x14ac:dyDescent="0.2">
      <c r="A71" s="60" t="s">
        <v>323</v>
      </c>
      <c r="B71" s="238"/>
      <c r="C71" s="212"/>
      <c r="D71" s="226">
        <f t="shared" ref="D71:BW71" ca="1" si="39">SUM(D68:D70)</f>
        <v>6854</v>
      </c>
      <c r="E71" s="226">
        <f t="shared" ca="1" si="39"/>
        <v>6854</v>
      </c>
      <c r="F71" s="226">
        <f t="shared" ca="1" si="39"/>
        <v>6854</v>
      </c>
      <c r="G71" s="226">
        <f t="shared" ca="1" si="39"/>
        <v>6854</v>
      </c>
      <c r="H71" s="226">
        <f t="shared" ca="1" si="39"/>
        <v>6854</v>
      </c>
      <c r="I71" s="226">
        <f t="shared" ca="1" si="39"/>
        <v>6854</v>
      </c>
      <c r="J71" s="226">
        <f t="shared" ca="1" si="39"/>
        <v>13708</v>
      </c>
      <c r="K71" s="226">
        <f t="shared" ca="1" si="39"/>
        <v>13708</v>
      </c>
      <c r="L71" s="226">
        <f t="shared" ca="1" si="39"/>
        <v>13708</v>
      </c>
      <c r="M71" s="226">
        <f t="shared" ca="1" si="39"/>
        <v>20561</v>
      </c>
      <c r="N71" s="226">
        <f t="shared" ca="1" si="39"/>
        <v>20561</v>
      </c>
      <c r="O71" s="226">
        <f t="shared" ca="1" si="39"/>
        <v>20561</v>
      </c>
      <c r="P71" s="226">
        <f t="shared" ca="1" si="39"/>
        <v>27415</v>
      </c>
      <c r="Q71" s="226">
        <f t="shared" ca="1" si="39"/>
        <v>27415</v>
      </c>
      <c r="R71" s="226">
        <f t="shared" ca="1" si="39"/>
        <v>27415</v>
      </c>
      <c r="S71" s="226">
        <f t="shared" ca="1" si="39"/>
        <v>27415</v>
      </c>
      <c r="T71" s="226">
        <f t="shared" ca="1" si="39"/>
        <v>27415</v>
      </c>
      <c r="U71" s="226">
        <f t="shared" ca="1" si="39"/>
        <v>27415</v>
      </c>
      <c r="V71" s="226">
        <f t="shared" ca="1" si="39"/>
        <v>27415</v>
      </c>
      <c r="W71" s="226">
        <f t="shared" ca="1" si="39"/>
        <v>27415</v>
      </c>
      <c r="X71" s="226">
        <f t="shared" ca="1" si="39"/>
        <v>27415</v>
      </c>
      <c r="Y71" s="226">
        <f t="shared" ca="1" si="39"/>
        <v>27415</v>
      </c>
      <c r="Z71" s="226">
        <f t="shared" ca="1" si="39"/>
        <v>27415</v>
      </c>
      <c r="AA71" s="226">
        <f t="shared" ca="1" si="39"/>
        <v>27415</v>
      </c>
      <c r="AB71" s="226">
        <f t="shared" ca="1" si="39"/>
        <v>27415</v>
      </c>
      <c r="AC71" s="226">
        <f t="shared" ca="1" si="39"/>
        <v>27415</v>
      </c>
      <c r="AD71" s="226">
        <f t="shared" ca="1" si="39"/>
        <v>27415</v>
      </c>
      <c r="AE71" s="226">
        <f t="shared" ca="1" si="39"/>
        <v>27415</v>
      </c>
      <c r="AF71" s="226">
        <f t="shared" si="39"/>
        <v>30191.666666666668</v>
      </c>
      <c r="AG71" s="226">
        <f t="shared" si="39"/>
        <v>30191.666666666668</v>
      </c>
      <c r="AH71" s="226">
        <f t="shared" si="39"/>
        <v>30191.666666666668</v>
      </c>
      <c r="AI71" s="226">
        <f t="shared" si="39"/>
        <v>30191.666666666668</v>
      </c>
      <c r="AJ71" s="226">
        <f t="shared" si="39"/>
        <v>30191.666666666668</v>
      </c>
      <c r="AK71" s="226">
        <f t="shared" si="39"/>
        <v>40108.333333333336</v>
      </c>
      <c r="AL71" s="226">
        <f t="shared" si="39"/>
        <v>40108.333333333336</v>
      </c>
      <c r="AM71" s="226">
        <f t="shared" si="39"/>
        <v>50025.000000000007</v>
      </c>
      <c r="AN71" s="226">
        <f t="shared" si="39"/>
        <v>50025.000000000007</v>
      </c>
      <c r="AO71" s="226">
        <f t="shared" si="39"/>
        <v>59941.666666666672</v>
      </c>
      <c r="AP71" s="226">
        <f t="shared" si="39"/>
        <v>59941.666666666672</v>
      </c>
      <c r="AQ71" s="226">
        <f t="shared" si="39"/>
        <v>69858.333333333343</v>
      </c>
      <c r="AR71" s="226">
        <f t="shared" si="39"/>
        <v>69858.333333333343</v>
      </c>
      <c r="AS71" s="226">
        <f t="shared" si="39"/>
        <v>69858.333333333343</v>
      </c>
      <c r="AT71" s="226">
        <f t="shared" si="39"/>
        <v>69858.333333333343</v>
      </c>
      <c r="AU71" s="226">
        <f t="shared" si="39"/>
        <v>69858.333333333343</v>
      </c>
      <c r="AV71" s="226">
        <f t="shared" si="39"/>
        <v>69858.333333333343</v>
      </c>
      <c r="AW71" s="226">
        <f t="shared" si="39"/>
        <v>69858.333333333343</v>
      </c>
      <c r="AX71" s="226">
        <f t="shared" si="39"/>
        <v>69858.333333333343</v>
      </c>
      <c r="AY71" s="226">
        <f t="shared" si="39"/>
        <v>69858.333333333343</v>
      </c>
      <c r="AZ71" s="226">
        <f t="shared" si="39"/>
        <v>69858.333333333343</v>
      </c>
      <c r="BA71" s="226">
        <f t="shared" si="39"/>
        <v>69858.333333333343</v>
      </c>
      <c r="BB71" s="226">
        <f t="shared" si="39"/>
        <v>69858.333333333343</v>
      </c>
      <c r="BC71" s="226">
        <f t="shared" si="39"/>
        <v>69858.333333333343</v>
      </c>
      <c r="BD71" s="226">
        <f t="shared" si="39"/>
        <v>69858.333333333343</v>
      </c>
      <c r="BE71" s="226">
        <f t="shared" si="39"/>
        <v>69858.333333333343</v>
      </c>
      <c r="BF71" s="226">
        <f t="shared" si="39"/>
        <v>69858.333333333343</v>
      </c>
      <c r="BG71" s="226">
        <f t="shared" si="39"/>
        <v>69858.333333333343</v>
      </c>
      <c r="BH71" s="226">
        <f t="shared" si="39"/>
        <v>69858.333333333343</v>
      </c>
      <c r="BI71" s="226">
        <f t="shared" si="39"/>
        <v>69858.333333333343</v>
      </c>
      <c r="BJ71" s="226">
        <f t="shared" si="39"/>
        <v>69858.333333333343</v>
      </c>
      <c r="BK71" s="226">
        <f t="shared" si="39"/>
        <v>69858.333333333343</v>
      </c>
      <c r="BL71" s="226">
        <f t="shared" si="39"/>
        <v>69858.333333333343</v>
      </c>
      <c r="BM71" s="226">
        <f t="shared" si="39"/>
        <v>69858.333333333343</v>
      </c>
      <c r="BN71" s="226">
        <f t="shared" si="39"/>
        <v>69858.333333333343</v>
      </c>
      <c r="BO71" s="226">
        <f t="shared" si="39"/>
        <v>69858.333333333343</v>
      </c>
      <c r="BP71" s="226">
        <f t="shared" si="39"/>
        <v>69858.333333333343</v>
      </c>
      <c r="BQ71" s="226">
        <f t="shared" si="39"/>
        <v>69858.333333333343</v>
      </c>
      <c r="BR71" s="226">
        <f t="shared" si="39"/>
        <v>69858.333333333343</v>
      </c>
      <c r="BS71" s="226">
        <f t="shared" si="39"/>
        <v>69858.333333333343</v>
      </c>
      <c r="BT71" s="226">
        <f t="shared" si="39"/>
        <v>69858.333333333343</v>
      </c>
      <c r="BU71" s="226">
        <f t="shared" si="39"/>
        <v>69858.333333333343</v>
      </c>
      <c r="BV71" s="226">
        <f t="shared" si="39"/>
        <v>69858.333333333343</v>
      </c>
      <c r="BW71" s="226">
        <f t="shared" si="39"/>
        <v>69858.333333333343</v>
      </c>
    </row>
    <row r="72" spans="1:75" ht="12.75" x14ac:dyDescent="0.2">
      <c r="A72" s="23" t="s">
        <v>324</v>
      </c>
      <c r="B72" s="221"/>
      <c r="D72" s="115">
        <f t="array" aca="1" ref="D72" ca="1">INDEX(INDIRECT("PnL_"&amp;TEXT(D$1,"mmm")&amp;"_"&amp;TEXT(D$1,"yyyy")),MATCH(TRIM($A72),PnL_Accounts,0))</f>
        <v>0</v>
      </c>
      <c r="E72" s="115">
        <f t="array" aca="1" ref="E72" ca="1">INDEX(INDIRECT("PnL_"&amp;TEXT(E$1,"mmm")&amp;"_"&amp;TEXT(E$1,"yyyy")),MATCH(TRIM($A72),PnL_Accounts,0))</f>
        <v>500</v>
      </c>
      <c r="F72" s="115">
        <f t="array" aca="1" ref="F72" ca="1">INDEX(INDIRECT("PnL_"&amp;TEXT(F$1,"mmm")&amp;"_"&amp;TEXT(F$1,"yyyy")),MATCH(TRIM($A72),PnL_Accounts,0))</f>
        <v>0</v>
      </c>
      <c r="G72" s="115">
        <f t="array" aca="1" ref="G72" ca="1">INDEX(INDIRECT("PnL_"&amp;TEXT(G$1,"mmm")&amp;"_"&amp;TEXT(G$1,"yyyy")),MATCH(TRIM($A72),PnL_Accounts,0))</f>
        <v>0</v>
      </c>
      <c r="H72" s="115">
        <f t="array" aca="1" ref="H72" ca="1">INDEX(INDIRECT("PnL_"&amp;TEXT(H$1,"mmm")&amp;"_"&amp;TEXT(H$1,"yyyy")),MATCH(TRIM($A72),PnL_Accounts,0))</f>
        <v>0</v>
      </c>
      <c r="I72" s="115">
        <f t="array" aca="1" ref="I72" ca="1">INDEX(INDIRECT("PnL_"&amp;TEXT(I$1,"mmm")&amp;"_"&amp;TEXT(I$1,"yyyy")),MATCH(TRIM($A72),PnL_Accounts,0))</f>
        <v>0</v>
      </c>
      <c r="J72" s="115">
        <f t="array" aca="1" ref="J72" ca="1">INDEX(INDIRECT("PnL_"&amp;TEXT(J$1,"mmm")&amp;"_"&amp;TEXT(J$1,"yyyy")),MATCH(TRIM($A72),PnL_Accounts,0))</f>
        <v>0</v>
      </c>
      <c r="K72" s="115">
        <f t="array" aca="1" ref="K72" ca="1">INDEX(INDIRECT("PnL_"&amp;TEXT(K$1,"mmm")&amp;"_"&amp;TEXT(K$1,"yyyy")),MATCH(TRIM($A72),PnL_Accounts,0))</f>
        <v>0</v>
      </c>
      <c r="L72" s="115">
        <f t="array" aca="1" ref="L72" ca="1">INDEX(INDIRECT("PnL_"&amp;TEXT(L$1,"mmm")&amp;"_"&amp;TEXT(L$1,"yyyy")),MATCH(TRIM($A72),PnL_Accounts,0))</f>
        <v>0</v>
      </c>
      <c r="M72" s="115">
        <f t="array" aca="1" ref="M72" ca="1">INDEX(INDIRECT("PnL_"&amp;TEXT(M$1,"mmm")&amp;"_"&amp;TEXT(M$1,"yyyy")),MATCH(TRIM($A72),PnL_Accounts,0))</f>
        <v>0</v>
      </c>
      <c r="N72" s="115">
        <f t="array" aca="1" ref="N72" ca="1">INDEX(INDIRECT("PnL_"&amp;TEXT(N$1,"mmm")&amp;"_"&amp;TEXT(N$1,"yyyy")),MATCH(TRIM($A72),PnL_Accounts,0))</f>
        <v>0</v>
      </c>
      <c r="O72" s="115">
        <f t="array" aca="1" ref="O72" ca="1">INDEX(INDIRECT("PnL_"&amp;TEXT(O$1,"mmm")&amp;"_"&amp;TEXT(O$1,"yyyy")),MATCH(TRIM($A72),PnL_Accounts,0))</f>
        <v>0</v>
      </c>
      <c r="P72" s="115">
        <f t="array" aca="1" ref="P72" ca="1">INDEX(INDIRECT("PnL_"&amp;TEXT(P$1,"mmm")&amp;"_"&amp;TEXT(P$1,"yyyy")),MATCH(TRIM($A72),PnL_Accounts,0))</f>
        <v>0</v>
      </c>
      <c r="Q72" s="115">
        <f t="array" aca="1" ref="Q72" ca="1">INDEX(INDIRECT("PnL_"&amp;TEXT(Q$1,"mmm")&amp;"_"&amp;TEXT(Q$1,"yyyy")),MATCH(TRIM($A72),PnL_Accounts,0))</f>
        <v>0</v>
      </c>
      <c r="R72" s="115">
        <f t="array" aca="1" ref="R72" ca="1">INDEX(INDIRECT("PnL_"&amp;TEXT(R$1,"mmm")&amp;"_"&amp;TEXT(R$1,"yyyy")),MATCH(TRIM($A72),PnL_Accounts,0))</f>
        <v>0</v>
      </c>
      <c r="S72" s="115">
        <f t="array" aca="1" ref="S72" ca="1">INDEX(INDIRECT("PnL_"&amp;TEXT(S$1,"mmm")&amp;"_"&amp;TEXT(S$1,"yyyy")),MATCH(TRIM($A72),PnL_Accounts,0))</f>
        <v>0</v>
      </c>
      <c r="T72" s="115">
        <f t="array" aca="1" ref="T72" ca="1">INDEX(INDIRECT("PnL_"&amp;TEXT(T$1,"mmm")&amp;"_"&amp;TEXT(T$1,"yyyy")),MATCH(TRIM($A72),PnL_Accounts,0))</f>
        <v>0</v>
      </c>
      <c r="U72" s="115">
        <f t="array" aca="1" ref="U72" ca="1">INDEX(INDIRECT("PnL_"&amp;TEXT(U$1,"mmm")&amp;"_"&amp;TEXT(U$1,"yyyy")),MATCH(TRIM($A72),PnL_Accounts,0))</f>
        <v>0</v>
      </c>
      <c r="V72" s="115">
        <f t="array" aca="1" ref="V72" ca="1">INDEX(INDIRECT("PnL_"&amp;TEXT(V$1,"mmm")&amp;"_"&amp;TEXT(V$1,"yyyy")),MATCH(TRIM($A72),PnL_Accounts,0))</f>
        <v>0</v>
      </c>
      <c r="W72" s="115">
        <f t="array" aca="1" ref="W72" ca="1">INDEX(INDIRECT("PnL_"&amp;TEXT(W$1,"mmm")&amp;"_"&amp;TEXT(W$1,"yyyy")),MATCH(TRIM($A72),PnL_Accounts,0))</f>
        <v>0</v>
      </c>
      <c r="X72" s="115">
        <f t="array" aca="1" ref="X72" ca="1">INDEX(INDIRECT("PnL_"&amp;TEXT(X$1,"mmm")&amp;"_"&amp;TEXT(X$1,"yyyy")),MATCH(TRIM($A72),PnL_Accounts,0))</f>
        <v>0</v>
      </c>
      <c r="Y72" s="115">
        <f t="array" aca="1" ref="Y72" ca="1">INDEX(INDIRECT("PnL_"&amp;TEXT(Y$1,"mmm")&amp;"_"&amp;TEXT(Y$1,"yyyy")),MATCH(TRIM($A72),PnL_Accounts,0))</f>
        <v>0</v>
      </c>
      <c r="Z72" s="115">
        <f t="array" aca="1" ref="Z72" ca="1">INDEX(INDIRECT("PnL_"&amp;TEXT(Z$1,"mmm")&amp;"_"&amp;TEXT(Z$1,"yyyy")),MATCH(TRIM($A72),PnL_Accounts,0))</f>
        <v>0</v>
      </c>
      <c r="AA72" s="115">
        <f t="array" aca="1" ref="AA72" ca="1">INDEX(INDIRECT("PnL_"&amp;TEXT(AA$1,"mmm")&amp;"_"&amp;TEXT(AA$1,"yyyy")),MATCH(TRIM($A72),PnL_Accounts,0))</f>
        <v>0</v>
      </c>
      <c r="AB72" s="115">
        <f t="array" aca="1" ref="AB72" ca="1">INDEX(INDIRECT("PnL_"&amp;TEXT(AB$1,"mmm")&amp;"_"&amp;TEXT(AB$1,"yyyy")),MATCH(TRIM($A72),PnL_Accounts,0))</f>
        <v>0</v>
      </c>
      <c r="AC72" s="115">
        <f t="array" aca="1" ref="AC72" ca="1">INDEX(INDIRECT("PnL_"&amp;TEXT(AC$1,"mmm")&amp;"_"&amp;TEXT(AC$1,"yyyy")),MATCH(TRIM($A72),PnL_Accounts,0))</f>
        <v>0</v>
      </c>
      <c r="AD72" s="115">
        <f t="array" aca="1" ref="AD72" ca="1">INDEX(INDIRECT("PnL_"&amp;TEXT(AD$1,"mmm")&amp;"_"&amp;TEXT(AD$1,"yyyy")),MATCH(TRIM($A72),PnL_Accounts,0))</f>
        <v>0</v>
      </c>
      <c r="AE72" s="115">
        <f t="array" aca="1" ref="AE72" ca="1">INDEX(INDIRECT("PnL_"&amp;TEXT(AE$1,"mmm")&amp;"_"&amp;TEXT(AE$1,"yyyy")),MATCH(TRIM($A72),PnL_Accounts,0))</f>
        <v>0</v>
      </c>
    </row>
    <row r="73" spans="1:75" ht="12.75" x14ac:dyDescent="0.2">
      <c r="A73" s="23" t="s">
        <v>325</v>
      </c>
      <c r="B73" s="224">
        <f ca="1">AVERAGEIFS(73:73,$1:$1,"&gt;="&amp;DATE(YEAR(Current_Month),MONTH(Current_Month)-2,DAY(Current_Month)),$1:$1,"&lt;="&amp;EOMONTH(Current_Month,0))</f>
        <v>3869</v>
      </c>
      <c r="D73" s="115">
        <f t="array" aca="1" ref="D73" ca="1">INDEX(INDIRECT("PnL_"&amp;TEXT(D$1,"mmm")&amp;"_"&amp;TEXT(D$1,"yyyy")),MATCH(TRIM($A73),PnL_Accounts,0))</f>
        <v>352</v>
      </c>
      <c r="E73" s="115">
        <f t="array" aca="1" ref="E73" ca="1">INDEX(INDIRECT("PnL_"&amp;TEXT(E$1,"mmm")&amp;"_"&amp;TEXT(E$1,"yyyy")),MATCH(TRIM($A73),PnL_Accounts,0))</f>
        <v>0</v>
      </c>
      <c r="F73" s="115">
        <f t="array" aca="1" ref="F73" ca="1">INDEX(INDIRECT("PnL_"&amp;TEXT(F$1,"mmm")&amp;"_"&amp;TEXT(F$1,"yyyy")),MATCH(TRIM($A73),PnL_Accounts,0))</f>
        <v>0</v>
      </c>
      <c r="G73" s="115">
        <f t="array" aca="1" ref="G73" ca="1">INDEX(INDIRECT("PnL_"&amp;TEXT(G$1,"mmm")&amp;"_"&amp;TEXT(G$1,"yyyy")),MATCH(TRIM($A73),PnL_Accounts,0))</f>
        <v>0</v>
      </c>
      <c r="H73" s="115">
        <f t="array" aca="1" ref="H73" ca="1">INDEX(INDIRECT("PnL_"&amp;TEXT(H$1,"mmm")&amp;"_"&amp;TEXT(H$1,"yyyy")),MATCH(TRIM($A73),PnL_Accounts,0))</f>
        <v>0</v>
      </c>
      <c r="I73" s="115">
        <f t="array" aca="1" ref="I73" ca="1">INDEX(INDIRECT("PnL_"&amp;TEXT(I$1,"mmm")&amp;"_"&amp;TEXT(I$1,"yyyy")),MATCH(TRIM($A73),PnL_Accounts,0))</f>
        <v>0</v>
      </c>
      <c r="J73" s="115">
        <f t="array" aca="1" ref="J73" ca="1">INDEX(INDIRECT("PnL_"&amp;TEXT(J$1,"mmm")&amp;"_"&amp;TEXT(J$1,"yyyy")),MATCH(TRIM($A73),PnL_Accounts,0))</f>
        <v>0</v>
      </c>
      <c r="K73" s="115">
        <f t="array" aca="1" ref="K73" ca="1">INDEX(INDIRECT("PnL_"&amp;TEXT(K$1,"mmm")&amp;"_"&amp;TEXT(K$1,"yyyy")),MATCH(TRIM($A73),PnL_Accounts,0))</f>
        <v>0</v>
      </c>
      <c r="L73" s="115">
        <f t="array" aca="1" ref="L73" ca="1">INDEX(INDIRECT("PnL_"&amp;TEXT(L$1,"mmm")&amp;"_"&amp;TEXT(L$1,"yyyy")),MATCH(TRIM($A73),PnL_Accounts,0))</f>
        <v>0</v>
      </c>
      <c r="M73" s="115">
        <f t="array" aca="1" ref="M73" ca="1">INDEX(INDIRECT("PnL_"&amp;TEXT(M$1,"mmm")&amp;"_"&amp;TEXT(M$1,"yyyy")),MATCH(TRIM($A73),PnL_Accounts,0))</f>
        <v>0</v>
      </c>
      <c r="N73" s="115">
        <f t="array" aca="1" ref="N73" ca="1">INDEX(INDIRECT("PnL_"&amp;TEXT(N$1,"mmm")&amp;"_"&amp;TEXT(N$1,"yyyy")),MATCH(TRIM($A73),PnL_Accounts,0))</f>
        <v>0</v>
      </c>
      <c r="O73" s="115">
        <f t="array" aca="1" ref="O73" ca="1">INDEX(INDIRECT("PnL_"&amp;TEXT(O$1,"mmm")&amp;"_"&amp;TEXT(O$1,"yyyy")),MATCH(TRIM($A73),PnL_Accounts,0))</f>
        <v>0</v>
      </c>
      <c r="P73" s="115">
        <f t="array" aca="1" ref="P73" ca="1">INDEX(INDIRECT("PnL_"&amp;TEXT(P$1,"mmm")&amp;"_"&amp;TEXT(P$1,"yyyy")),MATCH(TRIM($A73),PnL_Accounts,0))</f>
        <v>2596</v>
      </c>
      <c r="Q73" s="115">
        <f t="array" aca="1" ref="Q73" ca="1">INDEX(INDIRECT("PnL_"&amp;TEXT(Q$1,"mmm")&amp;"_"&amp;TEXT(Q$1,"yyyy")),MATCH(TRIM($A73),PnL_Accounts,0))</f>
        <v>2743</v>
      </c>
      <c r="R73" s="115">
        <f t="array" aca="1" ref="R73" ca="1">INDEX(INDIRECT("PnL_"&amp;TEXT(R$1,"mmm")&amp;"_"&amp;TEXT(R$1,"yyyy")),MATCH(TRIM($A73),PnL_Accounts,0))</f>
        <v>2942</v>
      </c>
      <c r="S73" s="115">
        <f t="array" aca="1" ref="S73" ca="1">INDEX(INDIRECT("PnL_"&amp;TEXT(S$1,"mmm")&amp;"_"&amp;TEXT(S$1,"yyyy")),MATCH(TRIM($A73),PnL_Accounts,0))</f>
        <v>3086</v>
      </c>
      <c r="T73" s="115">
        <f t="array" aca="1" ref="T73" ca="1">INDEX(INDIRECT("PnL_"&amp;TEXT(T$1,"mmm")&amp;"_"&amp;TEXT(T$1,"yyyy")),MATCH(TRIM($A73),PnL_Accounts,0))</f>
        <v>3284</v>
      </c>
      <c r="U73" s="115">
        <f t="array" aca="1" ref="U73" ca="1">INDEX(INDIRECT("PnL_"&amp;TEXT(U$1,"mmm")&amp;"_"&amp;TEXT(U$1,"yyyy")),MATCH(TRIM($A73),PnL_Accounts,0))</f>
        <v>3398</v>
      </c>
      <c r="V73" s="115">
        <f t="array" aca="1" ref="V73" ca="1">INDEX(INDIRECT("PnL_"&amp;TEXT(V$1,"mmm")&amp;"_"&amp;TEXT(V$1,"yyyy")),MATCH(TRIM($A73),PnL_Accounts,0))</f>
        <v>3535</v>
      </c>
      <c r="W73" s="115">
        <f t="array" aca="1" ref="W73" ca="1">INDEX(INDIRECT("PnL_"&amp;TEXT(W$1,"mmm")&amp;"_"&amp;TEXT(W$1,"yyyy")),MATCH(TRIM($A73),PnL_Accounts,0))</f>
        <v>3755</v>
      </c>
      <c r="X73" s="115">
        <f t="array" aca="1" ref="X73" ca="1">INDEX(INDIRECT("PnL_"&amp;TEXT(X$1,"mmm")&amp;"_"&amp;TEXT(X$1,"yyyy")),MATCH(TRIM($A73),PnL_Accounts,0))</f>
        <v>3869</v>
      </c>
      <c r="Y73" s="115">
        <f t="array" aca="1" ref="Y73" ca="1">INDEX(INDIRECT("PnL_"&amp;TEXT(Y$1,"mmm")&amp;"_"&amp;TEXT(Y$1,"yyyy")),MATCH(TRIM($A73),PnL_Accounts,0))</f>
        <v>3869</v>
      </c>
      <c r="Z73" s="115">
        <f t="array" aca="1" ref="Z73" ca="1">INDEX(INDIRECT("PnL_"&amp;TEXT(Z$1,"mmm")&amp;"_"&amp;TEXT(Z$1,"yyyy")),MATCH(TRIM($A73),PnL_Accounts,0))</f>
        <v>4315</v>
      </c>
      <c r="AA73" s="115">
        <f t="array" aca="1" ref="AA73" ca="1">INDEX(INDIRECT("PnL_"&amp;TEXT(AA$1,"mmm")&amp;"_"&amp;TEXT(AA$1,"yyyy")),MATCH(TRIM($A73),PnL_Accounts,0))</f>
        <v>3869</v>
      </c>
      <c r="AB73" s="115">
        <f t="array" aca="1" ref="AB73" ca="1">INDEX(INDIRECT("PnL_"&amp;TEXT(AB$1,"mmm")&amp;"_"&amp;TEXT(AB$1,"yyyy")),MATCH(TRIM($A73),PnL_Accounts,0))</f>
        <v>3869</v>
      </c>
      <c r="AC73" s="115">
        <f t="array" aca="1" ref="AC73" ca="1">INDEX(INDIRECT("PnL_"&amp;TEXT(AC$1,"mmm")&amp;"_"&amp;TEXT(AC$1,"yyyy")),MATCH(TRIM($A73),PnL_Accounts,0))</f>
        <v>3869</v>
      </c>
      <c r="AD73" s="115">
        <f t="array" aca="1" ref="AD73" ca="1">INDEX(INDIRECT("PnL_"&amp;TEXT(AD$1,"mmm")&amp;"_"&amp;TEXT(AD$1,"yyyy")),MATCH(TRIM($A73),PnL_Accounts,0))</f>
        <v>3869</v>
      </c>
      <c r="AE73" s="115">
        <f t="array" aca="1" ref="AE73" ca="1">INDEX(INDIRECT("PnL_"&amp;TEXT(AE$1,"mmm")&amp;"_"&amp;TEXT(AE$1,"yyyy")),MATCH(TRIM($A73),PnL_Accounts,0))</f>
        <v>3869</v>
      </c>
      <c r="AF73" s="165">
        <f t="shared" ref="AF73:BW73" ca="1" si="40">$B73</f>
        <v>3869</v>
      </c>
      <c r="AG73" s="165">
        <f t="shared" ca="1" si="40"/>
        <v>3869</v>
      </c>
      <c r="AH73" s="165">
        <f t="shared" ca="1" si="40"/>
        <v>3869</v>
      </c>
      <c r="AI73" s="165">
        <f t="shared" ca="1" si="40"/>
        <v>3869</v>
      </c>
      <c r="AJ73" s="165">
        <f t="shared" ca="1" si="40"/>
        <v>3869</v>
      </c>
      <c r="AK73" s="165">
        <f t="shared" ca="1" si="40"/>
        <v>3869</v>
      </c>
      <c r="AL73" s="165">
        <f t="shared" ca="1" si="40"/>
        <v>3869</v>
      </c>
      <c r="AM73" s="165">
        <f t="shared" ca="1" si="40"/>
        <v>3869</v>
      </c>
      <c r="AN73" s="165">
        <f t="shared" ca="1" si="40"/>
        <v>3869</v>
      </c>
      <c r="AO73" s="165">
        <f t="shared" ca="1" si="40"/>
        <v>3869</v>
      </c>
      <c r="AP73" s="165">
        <f t="shared" ca="1" si="40"/>
        <v>3869</v>
      </c>
      <c r="AQ73" s="165">
        <f t="shared" ca="1" si="40"/>
        <v>3869</v>
      </c>
      <c r="AR73" s="165">
        <f t="shared" ca="1" si="40"/>
        <v>3869</v>
      </c>
      <c r="AS73" s="165">
        <f t="shared" ca="1" si="40"/>
        <v>3869</v>
      </c>
      <c r="AT73" s="165">
        <f t="shared" ca="1" si="40"/>
        <v>3869</v>
      </c>
      <c r="AU73" s="165">
        <f t="shared" ca="1" si="40"/>
        <v>3869</v>
      </c>
      <c r="AV73" s="165">
        <f t="shared" ca="1" si="40"/>
        <v>3869</v>
      </c>
      <c r="AW73" s="165">
        <f t="shared" ca="1" si="40"/>
        <v>3869</v>
      </c>
      <c r="AX73" s="165">
        <f t="shared" ca="1" si="40"/>
        <v>3869</v>
      </c>
      <c r="AY73" s="165">
        <f t="shared" ca="1" si="40"/>
        <v>3869</v>
      </c>
      <c r="AZ73" s="165">
        <f t="shared" ca="1" si="40"/>
        <v>3869</v>
      </c>
      <c r="BA73" s="165">
        <f t="shared" ca="1" si="40"/>
        <v>3869</v>
      </c>
      <c r="BB73" s="165">
        <f t="shared" ca="1" si="40"/>
        <v>3869</v>
      </c>
      <c r="BC73" s="165">
        <f t="shared" ca="1" si="40"/>
        <v>3869</v>
      </c>
      <c r="BD73" s="165">
        <f t="shared" ca="1" si="40"/>
        <v>3869</v>
      </c>
      <c r="BE73" s="165">
        <f t="shared" ca="1" si="40"/>
        <v>3869</v>
      </c>
      <c r="BF73" s="165">
        <f t="shared" ca="1" si="40"/>
        <v>3869</v>
      </c>
      <c r="BG73" s="165">
        <f t="shared" ca="1" si="40"/>
        <v>3869</v>
      </c>
      <c r="BH73" s="165">
        <f t="shared" ca="1" si="40"/>
        <v>3869</v>
      </c>
      <c r="BI73" s="165">
        <f t="shared" ca="1" si="40"/>
        <v>3869</v>
      </c>
      <c r="BJ73" s="165">
        <f t="shared" ca="1" si="40"/>
        <v>3869</v>
      </c>
      <c r="BK73" s="165">
        <f t="shared" ca="1" si="40"/>
        <v>3869</v>
      </c>
      <c r="BL73" s="165">
        <f t="shared" ca="1" si="40"/>
        <v>3869</v>
      </c>
      <c r="BM73" s="165">
        <f t="shared" ca="1" si="40"/>
        <v>3869</v>
      </c>
      <c r="BN73" s="165">
        <f t="shared" ca="1" si="40"/>
        <v>3869</v>
      </c>
      <c r="BO73" s="165">
        <f t="shared" ca="1" si="40"/>
        <v>3869</v>
      </c>
      <c r="BP73" s="165">
        <f t="shared" ca="1" si="40"/>
        <v>3869</v>
      </c>
      <c r="BQ73" s="165">
        <f t="shared" ca="1" si="40"/>
        <v>3869</v>
      </c>
      <c r="BR73" s="165">
        <f t="shared" ca="1" si="40"/>
        <v>3869</v>
      </c>
      <c r="BS73" s="165">
        <f t="shared" ca="1" si="40"/>
        <v>3869</v>
      </c>
      <c r="BT73" s="165">
        <f t="shared" ca="1" si="40"/>
        <v>3869</v>
      </c>
      <c r="BU73" s="165">
        <f t="shared" ca="1" si="40"/>
        <v>3869</v>
      </c>
      <c r="BV73" s="165">
        <f t="shared" ca="1" si="40"/>
        <v>3869</v>
      </c>
      <c r="BW73" s="165">
        <f t="shared" ca="1" si="40"/>
        <v>3869</v>
      </c>
    </row>
    <row r="74" spans="1:75" ht="12.75" x14ac:dyDescent="0.2">
      <c r="A74" s="60" t="s">
        <v>326</v>
      </c>
      <c r="B74" s="238"/>
      <c r="C74" s="212"/>
      <c r="D74" s="226">
        <f t="shared" ref="D74:BW74" ca="1" si="41">SUM(D66,D71:D73)</f>
        <v>50830</v>
      </c>
      <c r="E74" s="226">
        <f t="shared" ca="1" si="41"/>
        <v>53521</v>
      </c>
      <c r="F74" s="226">
        <f t="shared" ca="1" si="41"/>
        <v>55820</v>
      </c>
      <c r="G74" s="226">
        <f t="shared" ca="1" si="41"/>
        <v>58732</v>
      </c>
      <c r="H74" s="226">
        <f t="shared" ca="1" si="41"/>
        <v>62363</v>
      </c>
      <c r="I74" s="226">
        <f t="shared" ca="1" si="41"/>
        <v>64584</v>
      </c>
      <c r="J74" s="226">
        <f t="shared" ca="1" si="41"/>
        <v>80386</v>
      </c>
      <c r="K74" s="226">
        <f t="shared" ca="1" si="41"/>
        <v>85883</v>
      </c>
      <c r="L74" s="226">
        <f t="shared" ca="1" si="41"/>
        <v>109291</v>
      </c>
      <c r="M74" s="226">
        <f t="shared" ca="1" si="41"/>
        <v>121314</v>
      </c>
      <c r="N74" s="226">
        <f t="shared" ca="1" si="41"/>
        <v>142427</v>
      </c>
      <c r="O74" s="226">
        <f t="shared" ca="1" si="41"/>
        <v>152755</v>
      </c>
      <c r="P74" s="226">
        <f t="shared" ca="1" si="41"/>
        <v>165245</v>
      </c>
      <c r="Q74" s="226">
        <f t="shared" ca="1" si="41"/>
        <v>186540</v>
      </c>
      <c r="R74" s="226">
        <f t="shared" ca="1" si="41"/>
        <v>188578</v>
      </c>
      <c r="S74" s="226">
        <f t="shared" ca="1" si="41"/>
        <v>186883</v>
      </c>
      <c r="T74" s="226">
        <f t="shared" ca="1" si="41"/>
        <v>201833</v>
      </c>
      <c r="U74" s="226">
        <f t="shared" ca="1" si="41"/>
        <v>199585</v>
      </c>
      <c r="V74" s="226">
        <f t="shared" ca="1" si="41"/>
        <v>197169</v>
      </c>
      <c r="W74" s="226">
        <f t="shared" ca="1" si="41"/>
        <v>199191</v>
      </c>
      <c r="X74" s="226">
        <f t="shared" ca="1" si="41"/>
        <v>203398</v>
      </c>
      <c r="Y74" s="226">
        <f t="shared" ca="1" si="41"/>
        <v>183327</v>
      </c>
      <c r="Z74" s="226">
        <f t="shared" ca="1" si="41"/>
        <v>194742</v>
      </c>
      <c r="AA74" s="226">
        <f t="shared" ca="1" si="41"/>
        <v>206705</v>
      </c>
      <c r="AB74" s="226">
        <f t="shared" ca="1" si="41"/>
        <v>210711</v>
      </c>
      <c r="AC74" s="226">
        <f t="shared" ca="1" si="41"/>
        <v>217048</v>
      </c>
      <c r="AD74" s="226">
        <f t="shared" ca="1" si="41"/>
        <v>207048</v>
      </c>
      <c r="AE74" s="226">
        <f t="shared" ca="1" si="41"/>
        <v>198753</v>
      </c>
      <c r="AF74" s="226">
        <f t="shared" ca="1" si="41"/>
        <v>184060.66666666666</v>
      </c>
      <c r="AG74" s="226">
        <f t="shared" ca="1" si="41"/>
        <v>199060.66666666666</v>
      </c>
      <c r="AH74" s="226">
        <f t="shared" ca="1" si="41"/>
        <v>214060.66666666666</v>
      </c>
      <c r="AI74" s="226">
        <f t="shared" ca="1" si="41"/>
        <v>229060.66666666666</v>
      </c>
      <c r="AJ74" s="226">
        <f t="shared" ca="1" si="41"/>
        <v>244060.66666666666</v>
      </c>
      <c r="AK74" s="226">
        <f t="shared" ca="1" si="41"/>
        <v>268977.33333333331</v>
      </c>
      <c r="AL74" s="226">
        <f t="shared" ca="1" si="41"/>
        <v>283977.33333333331</v>
      </c>
      <c r="AM74" s="226">
        <f t="shared" ca="1" si="41"/>
        <v>308894</v>
      </c>
      <c r="AN74" s="226">
        <f t="shared" ca="1" si="41"/>
        <v>323894</v>
      </c>
      <c r="AO74" s="226">
        <f t="shared" ca="1" si="41"/>
        <v>348810.66666666669</v>
      </c>
      <c r="AP74" s="226">
        <f t="shared" ca="1" si="41"/>
        <v>363810.66666666669</v>
      </c>
      <c r="AQ74" s="226">
        <f t="shared" ca="1" si="41"/>
        <v>388727.33333333337</v>
      </c>
      <c r="AR74" s="226">
        <f t="shared" ca="1" si="41"/>
        <v>403727.33333333337</v>
      </c>
      <c r="AS74" s="226">
        <f t="shared" ca="1" si="41"/>
        <v>418727.33333333337</v>
      </c>
      <c r="AT74" s="226">
        <f t="shared" ca="1" si="41"/>
        <v>433727.33333333337</v>
      </c>
      <c r="AU74" s="226">
        <f t="shared" ca="1" si="41"/>
        <v>448727.33333333337</v>
      </c>
      <c r="AV74" s="226">
        <f t="shared" ca="1" si="41"/>
        <v>463727.33333333337</v>
      </c>
      <c r="AW74" s="226">
        <f t="shared" ca="1" si="41"/>
        <v>478727.33333333337</v>
      </c>
      <c r="AX74" s="226">
        <f t="shared" ca="1" si="41"/>
        <v>493727.33333333337</v>
      </c>
      <c r="AY74" s="226">
        <f t="shared" ca="1" si="41"/>
        <v>508727.33333333337</v>
      </c>
      <c r="AZ74" s="226">
        <f t="shared" ca="1" si="41"/>
        <v>500323.49570026714</v>
      </c>
      <c r="BA74" s="226">
        <f t="shared" ca="1" si="41"/>
        <v>512023.85772128543</v>
      </c>
      <c r="BB74" s="226">
        <f t="shared" ca="1" si="41"/>
        <v>522214.54654053226</v>
      </c>
      <c r="BC74" s="226">
        <f t="shared" ca="1" si="41"/>
        <v>530388.96281078644</v>
      </c>
      <c r="BD74" s="226">
        <f t="shared" ca="1" si="41"/>
        <v>536046.79210436577</v>
      </c>
      <c r="BE74" s="226">
        <f t="shared" ca="1" si="41"/>
        <v>545377.40654723102</v>
      </c>
      <c r="BF74" s="226">
        <f t="shared" ca="1" si="41"/>
        <v>554089.06352523819</v>
      </c>
      <c r="BG74" s="226">
        <f t="shared" ca="1" si="41"/>
        <v>562414.41024499759</v>
      </c>
      <c r="BH74" s="226">
        <f t="shared" ca="1" si="41"/>
        <v>570779.17868598038</v>
      </c>
      <c r="BI74" s="226">
        <f t="shared" ca="1" si="41"/>
        <v>579850.97609817039</v>
      </c>
      <c r="BJ74" s="226">
        <f t="shared" ca="1" si="41"/>
        <v>588855.17275209981</v>
      </c>
      <c r="BK74" s="226">
        <f t="shared" ca="1" si="41"/>
        <v>597935.77822604403</v>
      </c>
      <c r="BL74" s="226">
        <f t="shared" ca="1" si="41"/>
        <v>607213.6507203714</v>
      </c>
      <c r="BM74" s="226">
        <f t="shared" ca="1" si="41"/>
        <v>616730.01805491734</v>
      </c>
      <c r="BN74" s="226">
        <f t="shared" ca="1" si="41"/>
        <v>626362.50318809727</v>
      </c>
      <c r="BO74" s="226">
        <f t="shared" ca="1" si="41"/>
        <v>636159.09180972516</v>
      </c>
      <c r="BP74" s="226">
        <f t="shared" ca="1" si="41"/>
        <v>646142.68900477991</v>
      </c>
      <c r="BQ74" s="226">
        <f t="shared" ca="1" si="41"/>
        <v>656310.61535610305</v>
      </c>
      <c r="BR74" s="226">
        <f t="shared" ca="1" si="41"/>
        <v>666648.72325796261</v>
      </c>
      <c r="BS74" s="226">
        <f t="shared" ca="1" si="41"/>
        <v>677171.13369232567</v>
      </c>
      <c r="BT74" s="226">
        <f t="shared" ca="1" si="41"/>
        <v>687883.12247388985</v>
      </c>
      <c r="BU74" s="226">
        <f t="shared" ca="1" si="41"/>
        <v>698785.360805223</v>
      </c>
      <c r="BV74" s="226">
        <f t="shared" ca="1" si="41"/>
        <v>709879.39504163573</v>
      </c>
      <c r="BW74" s="226">
        <f t="shared" ca="1" si="41"/>
        <v>721170.87066461961</v>
      </c>
    </row>
    <row r="75" spans="1:75" ht="12.75" x14ac:dyDescent="0.2">
      <c r="A75" s="23" t="s">
        <v>327</v>
      </c>
      <c r="B75" s="221"/>
      <c r="D75" s="115">
        <f t="array" aca="1" ref="D75" ca="1">INDEX(INDIRECT("PnL_"&amp;TEXT(D$1,"mmm")&amp;"_"&amp;TEXT(D$1,"yyyy")),MATCH(TRIM($A75),PnL_Accounts,0))</f>
        <v>0</v>
      </c>
      <c r="E75" s="115">
        <f t="array" aca="1" ref="E75" ca="1">INDEX(INDIRECT("PnL_"&amp;TEXT(E$1,"mmm")&amp;"_"&amp;TEXT(E$1,"yyyy")),MATCH(TRIM($A75),PnL_Accounts,0))</f>
        <v>0</v>
      </c>
      <c r="F75" s="115">
        <f t="array" aca="1" ref="F75" ca="1">INDEX(INDIRECT("PnL_"&amp;TEXT(F$1,"mmm")&amp;"_"&amp;TEXT(F$1,"yyyy")),MATCH(TRIM($A75),PnL_Accounts,0))</f>
        <v>0</v>
      </c>
      <c r="G75" s="115">
        <f t="array" aca="1" ref="G75" ca="1">INDEX(INDIRECT("PnL_"&amp;TEXT(G$1,"mmm")&amp;"_"&amp;TEXT(G$1,"yyyy")),MATCH(TRIM($A75),PnL_Accounts,0))</f>
        <v>0</v>
      </c>
      <c r="H75" s="115">
        <f t="array" aca="1" ref="H75" ca="1">INDEX(INDIRECT("PnL_"&amp;TEXT(H$1,"mmm")&amp;"_"&amp;TEXT(H$1,"yyyy")),MATCH(TRIM($A75),PnL_Accounts,0))</f>
        <v>0</v>
      </c>
      <c r="I75" s="115">
        <f t="array" aca="1" ref="I75" ca="1">INDEX(INDIRECT("PnL_"&amp;TEXT(I$1,"mmm")&amp;"_"&amp;TEXT(I$1,"yyyy")),MATCH(TRIM($A75),PnL_Accounts,0))</f>
        <v>0</v>
      </c>
      <c r="J75" s="115">
        <f t="array" aca="1" ref="J75" ca="1">INDEX(INDIRECT("PnL_"&amp;TEXT(J$1,"mmm")&amp;"_"&amp;TEXT(J$1,"yyyy")),MATCH(TRIM($A75),PnL_Accounts,0))</f>
        <v>0</v>
      </c>
      <c r="K75" s="115">
        <f t="array" aca="1" ref="K75" ca="1">INDEX(INDIRECT("PnL_"&amp;TEXT(K$1,"mmm")&amp;"_"&amp;TEXT(K$1,"yyyy")),MATCH(TRIM($A75),PnL_Accounts,0))</f>
        <v>0</v>
      </c>
      <c r="L75" s="115">
        <f t="array" aca="1" ref="L75" ca="1">INDEX(INDIRECT("PnL_"&amp;TEXT(L$1,"mmm")&amp;"_"&amp;TEXT(L$1,"yyyy")),MATCH(TRIM($A75),PnL_Accounts,0))</f>
        <v>0</v>
      </c>
      <c r="M75" s="115">
        <f t="array" aca="1" ref="M75" ca="1">INDEX(INDIRECT("PnL_"&amp;TEXT(M$1,"mmm")&amp;"_"&amp;TEXT(M$1,"yyyy")),MATCH(TRIM($A75),PnL_Accounts,0))</f>
        <v>0</v>
      </c>
      <c r="N75" s="115">
        <f t="array" aca="1" ref="N75" ca="1">INDEX(INDIRECT("PnL_"&amp;TEXT(N$1,"mmm")&amp;"_"&amp;TEXT(N$1,"yyyy")),MATCH(TRIM($A75),PnL_Accounts,0))</f>
        <v>0</v>
      </c>
      <c r="O75" s="115">
        <f t="array" aca="1" ref="O75" ca="1">INDEX(INDIRECT("PnL_"&amp;TEXT(O$1,"mmm")&amp;"_"&amp;TEXT(O$1,"yyyy")),MATCH(TRIM($A75),PnL_Accounts,0))</f>
        <v>0</v>
      </c>
      <c r="P75" s="115">
        <f t="array" aca="1" ref="P75" ca="1">INDEX(INDIRECT("PnL_"&amp;TEXT(P$1,"mmm")&amp;"_"&amp;TEXT(P$1,"yyyy")),MATCH(TRIM($A75),PnL_Accounts,0))</f>
        <v>0</v>
      </c>
      <c r="Q75" s="115">
        <f t="array" aca="1" ref="Q75" ca="1">INDEX(INDIRECT("PnL_"&amp;TEXT(Q$1,"mmm")&amp;"_"&amp;TEXT(Q$1,"yyyy")),MATCH(TRIM($A75),PnL_Accounts,0))</f>
        <v>0</v>
      </c>
      <c r="R75" s="115">
        <f t="array" aca="1" ref="R75" ca="1">INDEX(INDIRECT("PnL_"&amp;TEXT(R$1,"mmm")&amp;"_"&amp;TEXT(R$1,"yyyy")),MATCH(TRIM($A75),PnL_Accounts,0))</f>
        <v>0</v>
      </c>
      <c r="S75" s="115">
        <f t="array" aca="1" ref="S75" ca="1">INDEX(INDIRECT("PnL_"&amp;TEXT(S$1,"mmm")&amp;"_"&amp;TEXT(S$1,"yyyy")),MATCH(TRIM($A75),PnL_Accounts,0))</f>
        <v>0</v>
      </c>
      <c r="T75" s="115">
        <f t="array" aca="1" ref="T75" ca="1">INDEX(INDIRECT("PnL_"&amp;TEXT(T$1,"mmm")&amp;"_"&amp;TEXT(T$1,"yyyy")),MATCH(TRIM($A75),PnL_Accounts,0))</f>
        <v>0</v>
      </c>
      <c r="U75" s="115">
        <f t="array" aca="1" ref="U75" ca="1">INDEX(INDIRECT("PnL_"&amp;TEXT(U$1,"mmm")&amp;"_"&amp;TEXT(U$1,"yyyy")),MATCH(TRIM($A75),PnL_Accounts,0))</f>
        <v>0</v>
      </c>
      <c r="V75" s="115">
        <f t="array" aca="1" ref="V75" ca="1">INDEX(INDIRECT("PnL_"&amp;TEXT(V$1,"mmm")&amp;"_"&amp;TEXT(V$1,"yyyy")),MATCH(TRIM($A75),PnL_Accounts,0))</f>
        <v>0</v>
      </c>
      <c r="W75" s="115">
        <f t="array" aca="1" ref="W75" ca="1">INDEX(INDIRECT("PnL_"&amp;TEXT(W$1,"mmm")&amp;"_"&amp;TEXT(W$1,"yyyy")),MATCH(TRIM($A75),PnL_Accounts,0))</f>
        <v>0</v>
      </c>
      <c r="X75" s="115">
        <f t="array" aca="1" ref="X75" ca="1">INDEX(INDIRECT("PnL_"&amp;TEXT(X$1,"mmm")&amp;"_"&amp;TEXT(X$1,"yyyy")),MATCH(TRIM($A75),PnL_Accounts,0))</f>
        <v>0</v>
      </c>
      <c r="Y75" s="115">
        <f t="array" aca="1" ref="Y75" ca="1">INDEX(INDIRECT("PnL_"&amp;TEXT(Y$1,"mmm")&amp;"_"&amp;TEXT(Y$1,"yyyy")),MATCH(TRIM($A75),PnL_Accounts,0))</f>
        <v>0</v>
      </c>
      <c r="Z75" s="115">
        <f t="array" aca="1" ref="Z75" ca="1">INDEX(INDIRECT("PnL_"&amp;TEXT(Z$1,"mmm")&amp;"_"&amp;TEXT(Z$1,"yyyy")),MATCH(TRIM($A75),PnL_Accounts,0))</f>
        <v>0</v>
      </c>
      <c r="AA75" s="115">
        <f t="array" aca="1" ref="AA75" ca="1">INDEX(INDIRECT("PnL_"&amp;TEXT(AA$1,"mmm")&amp;"_"&amp;TEXT(AA$1,"yyyy")),MATCH(TRIM($A75),PnL_Accounts,0))</f>
        <v>0</v>
      </c>
      <c r="AB75" s="115">
        <f t="array" aca="1" ref="AB75" ca="1">INDEX(INDIRECT("PnL_"&amp;TEXT(AB$1,"mmm")&amp;"_"&amp;TEXT(AB$1,"yyyy")),MATCH(TRIM($A75),PnL_Accounts,0))</f>
        <v>0</v>
      </c>
      <c r="AC75" s="115">
        <f t="array" aca="1" ref="AC75" ca="1">INDEX(INDIRECT("PnL_"&amp;TEXT(AC$1,"mmm")&amp;"_"&amp;TEXT(AC$1,"yyyy")),MATCH(TRIM($A75),PnL_Accounts,0))</f>
        <v>0</v>
      </c>
      <c r="AD75" s="115">
        <f t="array" aca="1" ref="AD75" ca="1">INDEX(INDIRECT("PnL_"&amp;TEXT(AD$1,"mmm")&amp;"_"&amp;TEXT(AD$1,"yyyy")),MATCH(TRIM($A75),PnL_Accounts,0))</f>
        <v>0</v>
      </c>
      <c r="AE75" s="115">
        <f t="array" aca="1" ref="AE75" ca="1">INDEX(INDIRECT("PnL_"&amp;TEXT(AE$1,"mmm")&amp;"_"&amp;TEXT(AE$1,"yyyy")),MATCH(TRIM($A75),PnL_Accounts,0))</f>
        <v>0</v>
      </c>
    </row>
    <row r="76" spans="1:75" ht="12.75" x14ac:dyDescent="0.2">
      <c r="A76" s="23" t="s">
        <v>328</v>
      </c>
      <c r="B76" s="221"/>
      <c r="D76" s="115">
        <f t="array" aca="1" ref="D76" ca="1">INDEX(INDIRECT("PnL_"&amp;TEXT(D$1,"mmm")&amp;"_"&amp;TEXT(D$1,"yyyy")),MATCH(TRIM($A76),PnL_Accounts,0))</f>
        <v>0</v>
      </c>
      <c r="E76" s="115">
        <f t="array" aca="1" ref="E76" ca="1">INDEX(INDIRECT("PnL_"&amp;TEXT(E$1,"mmm")&amp;"_"&amp;TEXT(E$1,"yyyy")),MATCH(TRIM($A76),PnL_Accounts,0))</f>
        <v>0</v>
      </c>
      <c r="F76" s="115">
        <f t="array" aca="1" ref="F76" ca="1">INDEX(INDIRECT("PnL_"&amp;TEXT(F$1,"mmm")&amp;"_"&amp;TEXT(F$1,"yyyy")),MATCH(TRIM($A76),PnL_Accounts,0))</f>
        <v>0</v>
      </c>
      <c r="G76" s="115">
        <f t="array" aca="1" ref="G76" ca="1">INDEX(INDIRECT("PnL_"&amp;TEXT(G$1,"mmm")&amp;"_"&amp;TEXT(G$1,"yyyy")),MATCH(TRIM($A76),PnL_Accounts,0))</f>
        <v>0</v>
      </c>
      <c r="H76" s="115">
        <f t="array" aca="1" ref="H76" ca="1">INDEX(INDIRECT("PnL_"&amp;TEXT(H$1,"mmm")&amp;"_"&amp;TEXT(H$1,"yyyy")),MATCH(TRIM($A76),PnL_Accounts,0))</f>
        <v>0</v>
      </c>
      <c r="I76" s="115">
        <f t="array" aca="1" ref="I76" ca="1">INDEX(INDIRECT("PnL_"&amp;TEXT(I$1,"mmm")&amp;"_"&amp;TEXT(I$1,"yyyy")),MATCH(TRIM($A76),PnL_Accounts,0))</f>
        <v>0</v>
      </c>
      <c r="J76" s="115">
        <f t="array" aca="1" ref="J76" ca="1">INDEX(INDIRECT("PnL_"&amp;TEXT(J$1,"mmm")&amp;"_"&amp;TEXT(J$1,"yyyy")),MATCH(TRIM($A76),PnL_Accounts,0))</f>
        <v>0</v>
      </c>
      <c r="K76" s="115">
        <f t="array" aca="1" ref="K76" ca="1">INDEX(INDIRECT("PnL_"&amp;TEXT(K$1,"mmm")&amp;"_"&amp;TEXT(K$1,"yyyy")),MATCH(TRIM($A76),PnL_Accounts,0))</f>
        <v>0</v>
      </c>
      <c r="L76" s="115">
        <f t="array" aca="1" ref="L76" ca="1">INDEX(INDIRECT("PnL_"&amp;TEXT(L$1,"mmm")&amp;"_"&amp;TEXT(L$1,"yyyy")),MATCH(TRIM($A76),PnL_Accounts,0))</f>
        <v>0</v>
      </c>
      <c r="M76" s="115">
        <f t="array" aca="1" ref="M76" ca="1">INDEX(INDIRECT("PnL_"&amp;TEXT(M$1,"mmm")&amp;"_"&amp;TEXT(M$1,"yyyy")),MATCH(TRIM($A76),PnL_Accounts,0))</f>
        <v>0</v>
      </c>
      <c r="N76" s="115">
        <f t="array" aca="1" ref="N76" ca="1">INDEX(INDIRECT("PnL_"&amp;TEXT(N$1,"mmm")&amp;"_"&amp;TEXT(N$1,"yyyy")),MATCH(TRIM($A76),PnL_Accounts,0))</f>
        <v>0</v>
      </c>
      <c r="O76" s="115">
        <f t="array" aca="1" ref="O76" ca="1">INDEX(INDIRECT("PnL_"&amp;TEXT(O$1,"mmm")&amp;"_"&amp;TEXT(O$1,"yyyy")),MATCH(TRIM($A76),PnL_Accounts,0))</f>
        <v>0</v>
      </c>
      <c r="P76" s="115">
        <f t="array" aca="1" ref="P76" ca="1">INDEX(INDIRECT("PnL_"&amp;TEXT(P$1,"mmm")&amp;"_"&amp;TEXT(P$1,"yyyy")),MATCH(TRIM($A76),PnL_Accounts,0))</f>
        <v>0</v>
      </c>
      <c r="Q76" s="115">
        <f t="array" aca="1" ref="Q76" ca="1">INDEX(INDIRECT("PnL_"&amp;TEXT(Q$1,"mmm")&amp;"_"&amp;TEXT(Q$1,"yyyy")),MATCH(TRIM($A76),PnL_Accounts,0))</f>
        <v>0</v>
      </c>
      <c r="R76" s="115">
        <f t="array" aca="1" ref="R76" ca="1">INDEX(INDIRECT("PnL_"&amp;TEXT(R$1,"mmm")&amp;"_"&amp;TEXT(R$1,"yyyy")),MATCH(TRIM($A76),PnL_Accounts,0))</f>
        <v>0</v>
      </c>
      <c r="S76" s="115">
        <f t="array" aca="1" ref="S76" ca="1">INDEX(INDIRECT("PnL_"&amp;TEXT(S$1,"mmm")&amp;"_"&amp;TEXT(S$1,"yyyy")),MATCH(TRIM($A76),PnL_Accounts,0))</f>
        <v>0</v>
      </c>
      <c r="T76" s="115">
        <f t="array" aca="1" ref="T76" ca="1">INDEX(INDIRECT("PnL_"&amp;TEXT(T$1,"mmm")&amp;"_"&amp;TEXT(T$1,"yyyy")),MATCH(TRIM($A76),PnL_Accounts,0))</f>
        <v>0</v>
      </c>
      <c r="U76" s="115">
        <f t="array" aca="1" ref="U76" ca="1">INDEX(INDIRECT("PnL_"&amp;TEXT(U$1,"mmm")&amp;"_"&amp;TEXT(U$1,"yyyy")),MATCH(TRIM($A76),PnL_Accounts,0))</f>
        <v>0</v>
      </c>
      <c r="V76" s="115">
        <f t="array" aca="1" ref="V76" ca="1">INDEX(INDIRECT("PnL_"&amp;TEXT(V$1,"mmm")&amp;"_"&amp;TEXT(V$1,"yyyy")),MATCH(TRIM($A76),PnL_Accounts,0))</f>
        <v>0</v>
      </c>
      <c r="W76" s="115">
        <f t="array" aca="1" ref="W76" ca="1">INDEX(INDIRECT("PnL_"&amp;TEXT(W$1,"mmm")&amp;"_"&amp;TEXT(W$1,"yyyy")),MATCH(TRIM($A76),PnL_Accounts,0))</f>
        <v>0</v>
      </c>
      <c r="X76" s="115">
        <f t="array" aca="1" ref="X76" ca="1">INDEX(INDIRECT("PnL_"&amp;TEXT(X$1,"mmm")&amp;"_"&amp;TEXT(X$1,"yyyy")),MATCH(TRIM($A76),PnL_Accounts,0))</f>
        <v>0</v>
      </c>
      <c r="Y76" s="115">
        <f t="array" aca="1" ref="Y76" ca="1">INDEX(INDIRECT("PnL_"&amp;TEXT(Y$1,"mmm")&amp;"_"&amp;TEXT(Y$1,"yyyy")),MATCH(TRIM($A76),PnL_Accounts,0))</f>
        <v>0</v>
      </c>
      <c r="Z76" s="115">
        <f t="array" aca="1" ref="Z76" ca="1">INDEX(INDIRECT("PnL_"&amp;TEXT(Z$1,"mmm")&amp;"_"&amp;TEXT(Z$1,"yyyy")),MATCH(TRIM($A76),PnL_Accounts,0))</f>
        <v>0</v>
      </c>
      <c r="AA76" s="115">
        <f t="array" aca="1" ref="AA76" ca="1">INDEX(INDIRECT("PnL_"&amp;TEXT(AA$1,"mmm")&amp;"_"&amp;TEXT(AA$1,"yyyy")),MATCH(TRIM($A76),PnL_Accounts,0))</f>
        <v>0</v>
      </c>
      <c r="AB76" s="115">
        <f t="array" aca="1" ref="AB76" ca="1">INDEX(INDIRECT("PnL_"&amp;TEXT(AB$1,"mmm")&amp;"_"&amp;TEXT(AB$1,"yyyy")),MATCH(TRIM($A76),PnL_Accounts,0))</f>
        <v>0</v>
      </c>
      <c r="AC76" s="115">
        <f t="array" aca="1" ref="AC76" ca="1">INDEX(INDIRECT("PnL_"&amp;TEXT(AC$1,"mmm")&amp;"_"&amp;TEXT(AC$1,"yyyy")),MATCH(TRIM($A76),PnL_Accounts,0))</f>
        <v>0</v>
      </c>
      <c r="AD76" s="115">
        <f t="array" aca="1" ref="AD76" ca="1">INDEX(INDIRECT("PnL_"&amp;TEXT(AD$1,"mmm")&amp;"_"&amp;TEXT(AD$1,"yyyy")),MATCH(TRIM($A76),PnL_Accounts,0))</f>
        <v>0</v>
      </c>
      <c r="AE76" s="115">
        <f t="array" aca="1" ref="AE76" ca="1">INDEX(INDIRECT("PnL_"&amp;TEXT(AE$1,"mmm")&amp;"_"&amp;TEXT(AE$1,"yyyy")),MATCH(TRIM($A76),PnL_Accounts,0))</f>
        <v>0</v>
      </c>
    </row>
    <row r="77" spans="1:75" ht="12.75" x14ac:dyDescent="0.2">
      <c r="A77" s="23" t="s">
        <v>329</v>
      </c>
      <c r="B77" s="224">
        <f ca="1">AVERAGEIFS(77:77,$1:$1,"&gt;="&amp;DATE(YEAR(Current_Month),MONTH(Current_Month)-2,DAY(Current_Month)),$1:$1,"&lt;="&amp;EOMONTH(Current_Month,0))</f>
        <v>1576</v>
      </c>
      <c r="D77" s="115">
        <f t="array" aca="1" ref="D77" ca="1">INDEX(INDIRECT("PnL_"&amp;TEXT(D$1,"mmm")&amp;"_"&amp;TEXT(D$1,"yyyy")),MATCH(TRIM($A77),PnL_Accounts,0))</f>
        <v>394</v>
      </c>
      <c r="E77" s="115">
        <f t="array" aca="1" ref="E77" ca="1">INDEX(INDIRECT("PnL_"&amp;TEXT(E$1,"mmm")&amp;"_"&amp;TEXT(E$1,"yyyy")),MATCH(TRIM($A77),PnL_Accounts,0))</f>
        <v>394</v>
      </c>
      <c r="F77" s="115">
        <f t="array" aca="1" ref="F77" ca="1">INDEX(INDIRECT("PnL_"&amp;TEXT(F$1,"mmm")&amp;"_"&amp;TEXT(F$1,"yyyy")),MATCH(TRIM($A77),PnL_Accounts,0))</f>
        <v>591</v>
      </c>
      <c r="G77" s="115">
        <f t="array" aca="1" ref="G77" ca="1">INDEX(INDIRECT("PnL_"&amp;TEXT(G$1,"mmm")&amp;"_"&amp;TEXT(G$1,"yyyy")),MATCH(TRIM($A77),PnL_Accounts,0))</f>
        <v>591</v>
      </c>
      <c r="H77" s="115">
        <f t="array" aca="1" ref="H77" ca="1">INDEX(INDIRECT("PnL_"&amp;TEXT(H$1,"mmm")&amp;"_"&amp;TEXT(H$1,"yyyy")),MATCH(TRIM($A77),PnL_Accounts,0))</f>
        <v>591</v>
      </c>
      <c r="I77" s="115">
        <f t="array" aca="1" ref="I77" ca="1">INDEX(INDIRECT("PnL_"&amp;TEXT(I$1,"mmm")&amp;"_"&amp;TEXT(I$1,"yyyy")),MATCH(TRIM($A77),PnL_Accounts,0))</f>
        <v>788</v>
      </c>
      <c r="J77" s="115">
        <f t="array" aca="1" ref="J77" ca="1">INDEX(INDIRECT("PnL_"&amp;TEXT(J$1,"mmm")&amp;"_"&amp;TEXT(J$1,"yyyy")),MATCH(TRIM($A77),PnL_Accounts,0))</f>
        <v>985</v>
      </c>
      <c r="K77" s="115">
        <f t="array" aca="1" ref="K77" ca="1">INDEX(INDIRECT("PnL_"&amp;TEXT(K$1,"mmm")&amp;"_"&amp;TEXT(K$1,"yyyy")),MATCH(TRIM($A77),PnL_Accounts,0))</f>
        <v>985</v>
      </c>
      <c r="L77" s="115">
        <f t="array" aca="1" ref="L77" ca="1">INDEX(INDIRECT("PnL_"&amp;TEXT(L$1,"mmm")&amp;"_"&amp;TEXT(L$1,"yyyy")),MATCH(TRIM($A77),PnL_Accounts,0))</f>
        <v>985</v>
      </c>
      <c r="M77" s="115">
        <f t="array" aca="1" ref="M77" ca="1">INDEX(INDIRECT("PnL_"&amp;TEXT(M$1,"mmm")&amp;"_"&amp;TEXT(M$1,"yyyy")),MATCH(TRIM($A77),PnL_Accounts,0))</f>
        <v>1182</v>
      </c>
      <c r="N77" s="115">
        <f t="array" aca="1" ref="N77" ca="1">INDEX(INDIRECT("PnL_"&amp;TEXT(N$1,"mmm")&amp;"_"&amp;TEXT(N$1,"yyyy")),MATCH(TRIM($A77),PnL_Accounts,0))</f>
        <v>1182</v>
      </c>
      <c r="O77" s="115">
        <f t="array" aca="1" ref="O77" ca="1">INDEX(INDIRECT("PnL_"&amp;TEXT(O$1,"mmm")&amp;"_"&amp;TEXT(O$1,"yyyy")),MATCH(TRIM($A77),PnL_Accounts,0))</f>
        <v>1379</v>
      </c>
      <c r="P77" s="115">
        <f t="array" aca="1" ref="P77" ca="1">INDEX(INDIRECT("PnL_"&amp;TEXT(P$1,"mmm")&amp;"_"&amp;TEXT(P$1,"yyyy")),MATCH(TRIM($A77),PnL_Accounts,0))</f>
        <v>1379</v>
      </c>
      <c r="Q77" s="115">
        <f t="array" aca="1" ref="Q77" ca="1">INDEX(INDIRECT("PnL_"&amp;TEXT(Q$1,"mmm")&amp;"_"&amp;TEXT(Q$1,"yyyy")),MATCH(TRIM($A77),PnL_Accounts,0))</f>
        <v>1576</v>
      </c>
      <c r="R77" s="115">
        <f t="array" aca="1" ref="R77" ca="1">INDEX(INDIRECT("PnL_"&amp;TEXT(R$1,"mmm")&amp;"_"&amp;TEXT(R$1,"yyyy")),MATCH(TRIM($A77),PnL_Accounts,0))</f>
        <v>1576</v>
      </c>
      <c r="S77" s="115">
        <f t="array" aca="1" ref="S77" ca="1">INDEX(INDIRECT("PnL_"&amp;TEXT(S$1,"mmm")&amp;"_"&amp;TEXT(S$1,"yyyy")),MATCH(TRIM($A77),PnL_Accounts,0))</f>
        <v>1576</v>
      </c>
      <c r="T77" s="115">
        <f t="array" aca="1" ref="T77" ca="1">INDEX(INDIRECT("PnL_"&amp;TEXT(T$1,"mmm")&amp;"_"&amp;TEXT(T$1,"yyyy")),MATCH(TRIM($A77),PnL_Accounts,0))</f>
        <v>1576</v>
      </c>
      <c r="U77" s="115">
        <f t="array" aca="1" ref="U77" ca="1">INDEX(INDIRECT("PnL_"&amp;TEXT(U$1,"mmm")&amp;"_"&amp;TEXT(U$1,"yyyy")),MATCH(TRIM($A77),PnL_Accounts,0))</f>
        <v>1576</v>
      </c>
      <c r="V77" s="115">
        <f t="array" aca="1" ref="V77" ca="1">INDEX(INDIRECT("PnL_"&amp;TEXT(V$1,"mmm")&amp;"_"&amp;TEXT(V$1,"yyyy")),MATCH(TRIM($A77),PnL_Accounts,0))</f>
        <v>1576</v>
      </c>
      <c r="W77" s="115">
        <f t="array" aca="1" ref="W77" ca="1">INDEX(INDIRECT("PnL_"&amp;TEXT(W$1,"mmm")&amp;"_"&amp;TEXT(W$1,"yyyy")),MATCH(TRIM($A77),PnL_Accounts,0))</f>
        <v>1576</v>
      </c>
      <c r="X77" s="115">
        <f t="array" aca="1" ref="X77" ca="1">INDEX(INDIRECT("PnL_"&amp;TEXT(X$1,"mmm")&amp;"_"&amp;TEXT(X$1,"yyyy")),MATCH(TRIM($A77),PnL_Accounts,0))</f>
        <v>1576</v>
      </c>
      <c r="Y77" s="115">
        <f t="array" aca="1" ref="Y77" ca="1">INDEX(INDIRECT("PnL_"&amp;TEXT(Y$1,"mmm")&amp;"_"&amp;TEXT(Y$1,"yyyy")),MATCH(TRIM($A77),PnL_Accounts,0))</f>
        <v>1576</v>
      </c>
      <c r="Z77" s="115">
        <f t="array" aca="1" ref="Z77" ca="1">INDEX(INDIRECT("PnL_"&amp;TEXT(Z$1,"mmm")&amp;"_"&amp;TEXT(Z$1,"yyyy")),MATCH(TRIM($A77),PnL_Accounts,0))</f>
        <v>1576</v>
      </c>
      <c r="AA77" s="115">
        <f t="array" aca="1" ref="AA77" ca="1">INDEX(INDIRECT("PnL_"&amp;TEXT(AA$1,"mmm")&amp;"_"&amp;TEXT(AA$1,"yyyy")),MATCH(TRIM($A77),PnL_Accounts,0))</f>
        <v>1576</v>
      </c>
      <c r="AB77" s="115">
        <f t="array" aca="1" ref="AB77" ca="1">INDEX(INDIRECT("PnL_"&amp;TEXT(AB$1,"mmm")&amp;"_"&amp;TEXT(AB$1,"yyyy")),MATCH(TRIM($A77),PnL_Accounts,0))</f>
        <v>1576</v>
      </c>
      <c r="AC77" s="115">
        <f t="array" aca="1" ref="AC77" ca="1">INDEX(INDIRECT("PnL_"&amp;TEXT(AC$1,"mmm")&amp;"_"&amp;TEXT(AC$1,"yyyy")),MATCH(TRIM($A77),PnL_Accounts,0))</f>
        <v>1576</v>
      </c>
      <c r="AD77" s="115">
        <f t="array" aca="1" ref="AD77" ca="1">INDEX(INDIRECT("PnL_"&amp;TEXT(AD$1,"mmm")&amp;"_"&amp;TEXT(AD$1,"yyyy")),MATCH(TRIM($A77),PnL_Accounts,0))</f>
        <v>1576</v>
      </c>
      <c r="AE77" s="115">
        <f t="array" aca="1" ref="AE77" ca="1">INDEX(INDIRECT("PnL_"&amp;TEXT(AE$1,"mmm")&amp;"_"&amp;TEXT(AE$1,"yyyy")),MATCH(TRIM($A77),PnL_Accounts,0))</f>
        <v>1576</v>
      </c>
      <c r="AF77" s="25">
        <f t="array" ref="AF77">INDEX(Hiring_Plan_Benefits_Sales,MATCH(AF$1,Hiring_Plan_Months,0))</f>
        <v>3500</v>
      </c>
      <c r="AG77" s="25">
        <f t="array" ref="AG77">INDEX(Hiring_Plan_Benefits_Sales,MATCH(AG$1,Hiring_Plan_Months,0))</f>
        <v>3500</v>
      </c>
      <c r="AH77" s="25">
        <f t="array" ref="AH77">INDEX(Hiring_Plan_Benefits_Sales,MATCH(AH$1,Hiring_Plan_Months,0))</f>
        <v>3500</v>
      </c>
      <c r="AI77" s="25">
        <f t="array" ref="AI77">INDEX(Hiring_Plan_Benefits_Sales,MATCH(AI$1,Hiring_Plan_Months,0))</f>
        <v>3500</v>
      </c>
      <c r="AJ77" s="25">
        <f t="array" ref="AJ77">INDEX(Hiring_Plan_Benefits_Sales,MATCH(AJ$1,Hiring_Plan_Months,0))</f>
        <v>3500</v>
      </c>
      <c r="AK77" s="25">
        <f t="array" ref="AK77">INDEX(Hiring_Plan_Benefits_Sales,MATCH(AK$1,Hiring_Plan_Months,0))</f>
        <v>5233.3333333333339</v>
      </c>
      <c r="AL77" s="25">
        <f t="array" ref="AL77">INDEX(Hiring_Plan_Benefits_Sales,MATCH(AL$1,Hiring_Plan_Months,0))</f>
        <v>5233.3333333333339</v>
      </c>
      <c r="AM77" s="25">
        <f t="array" ref="AM77">INDEX(Hiring_Plan_Benefits_Sales,MATCH(AM$1,Hiring_Plan_Months,0))</f>
        <v>6966.6666666666679</v>
      </c>
      <c r="AN77" s="25">
        <f t="array" ref="AN77">INDEX(Hiring_Plan_Benefits_Sales,MATCH(AN$1,Hiring_Plan_Months,0))</f>
        <v>6966.6666666666679</v>
      </c>
      <c r="AO77" s="25">
        <f t="array" ref="AO77">INDEX(Hiring_Plan_Benefits_Sales,MATCH(AO$1,Hiring_Plan_Months,0))</f>
        <v>8700.0000000000018</v>
      </c>
      <c r="AP77" s="25">
        <f t="array" ref="AP77">INDEX(Hiring_Plan_Benefits_Sales,MATCH(AP$1,Hiring_Plan_Months,0))</f>
        <v>8700.0000000000018</v>
      </c>
      <c r="AQ77" s="25">
        <f t="array" ref="AQ77">INDEX(Hiring_Plan_Benefits_Sales,MATCH(AQ$1,Hiring_Plan_Months,0))</f>
        <v>10433.333333333336</v>
      </c>
      <c r="AR77" s="25">
        <f t="array" ref="AR77">INDEX(Hiring_Plan_Benefits_Sales,MATCH(AR$1,Hiring_Plan_Months,0))</f>
        <v>10433.333333333336</v>
      </c>
      <c r="AS77" s="25">
        <f t="array" ref="AS77">INDEX(Hiring_Plan_Benefits_Sales,MATCH(AS$1,Hiring_Plan_Months,0))</f>
        <v>10433.333333333336</v>
      </c>
      <c r="AT77" s="25">
        <f t="array" ref="AT77">INDEX(Hiring_Plan_Benefits_Sales,MATCH(AT$1,Hiring_Plan_Months,0))</f>
        <v>10433.333333333336</v>
      </c>
      <c r="AU77" s="25">
        <f t="array" ref="AU77">INDEX(Hiring_Plan_Benefits_Sales,MATCH(AU$1,Hiring_Plan_Months,0))</f>
        <v>10433.333333333336</v>
      </c>
      <c r="AV77" s="25">
        <f t="array" ref="AV77">INDEX(Hiring_Plan_Benefits_Sales,MATCH(AV$1,Hiring_Plan_Months,0))</f>
        <v>10433.333333333336</v>
      </c>
      <c r="AW77" s="25">
        <f t="array" ref="AW77">INDEX(Hiring_Plan_Benefits_Sales,MATCH(AW$1,Hiring_Plan_Months,0))</f>
        <v>10433.333333333336</v>
      </c>
      <c r="AX77" s="25">
        <f t="array" ref="AX77">INDEX(Hiring_Plan_Benefits_Sales,MATCH(AX$1,Hiring_Plan_Months,0))</f>
        <v>10433.333333333336</v>
      </c>
      <c r="AY77" s="25">
        <f t="array" ref="AY77">INDEX(Hiring_Plan_Benefits_Sales,MATCH(AY$1,Hiring_Plan_Months,0))</f>
        <v>10433.333333333336</v>
      </c>
      <c r="AZ77" s="25">
        <f t="array" ref="AZ77">INDEX(Hiring_Plan_Benefits_Sales,MATCH(AZ$1,Hiring_Plan_Months,0))</f>
        <v>10433.333333333336</v>
      </c>
      <c r="BA77" s="25">
        <f t="array" ref="BA77">INDEX(Hiring_Plan_Benefits_Sales,MATCH(BA$1,Hiring_Plan_Months,0))</f>
        <v>10433.333333333336</v>
      </c>
      <c r="BB77" s="25">
        <f t="array" ref="BB77">INDEX(Hiring_Plan_Benefits_Sales,MATCH(BB$1,Hiring_Plan_Months,0))</f>
        <v>10433.333333333336</v>
      </c>
      <c r="BC77" s="25">
        <f t="array" ref="BC77">INDEX(Hiring_Plan_Benefits_Sales,MATCH(BC$1,Hiring_Plan_Months,0))</f>
        <v>10433.333333333336</v>
      </c>
      <c r="BD77" s="25">
        <f t="array" ref="BD77">INDEX(Hiring_Plan_Benefits_Sales,MATCH(BD$1,Hiring_Plan_Months,0))</f>
        <v>10433.333333333336</v>
      </c>
      <c r="BE77" s="25">
        <f t="array" ref="BE77">INDEX(Hiring_Plan_Benefits_Sales,MATCH(BE$1,Hiring_Plan_Months,0))</f>
        <v>10433.333333333336</v>
      </c>
      <c r="BF77" s="25">
        <f t="array" ref="BF77">INDEX(Hiring_Plan_Benefits_Sales,MATCH(BF$1,Hiring_Plan_Months,0))</f>
        <v>10433.333333333336</v>
      </c>
      <c r="BG77" s="25">
        <f t="array" ref="BG77">INDEX(Hiring_Plan_Benefits_Sales,MATCH(BG$1,Hiring_Plan_Months,0))</f>
        <v>10433.333333333336</v>
      </c>
      <c r="BH77" s="25">
        <f t="array" ref="BH77">INDEX(Hiring_Plan_Benefits_Sales,MATCH(BH$1,Hiring_Plan_Months,0))</f>
        <v>10433.333333333336</v>
      </c>
      <c r="BI77" s="25">
        <f t="array" ref="BI77">INDEX(Hiring_Plan_Benefits_Sales,MATCH(BI$1,Hiring_Plan_Months,0))</f>
        <v>10433.333333333336</v>
      </c>
      <c r="BJ77" s="25">
        <f t="array" ref="BJ77">INDEX(Hiring_Plan_Benefits_Sales,MATCH(BJ$1,Hiring_Plan_Months,0))</f>
        <v>10433.333333333336</v>
      </c>
      <c r="BK77" s="25">
        <f t="array" ref="BK77">INDEX(Hiring_Plan_Benefits_Sales,MATCH(BK$1,Hiring_Plan_Months,0))</f>
        <v>10433.333333333336</v>
      </c>
      <c r="BL77" s="25">
        <f t="array" ref="BL77">INDEX(Hiring_Plan_Benefits_Sales,MATCH(BL$1,Hiring_Plan_Months,0))</f>
        <v>10433.333333333336</v>
      </c>
      <c r="BM77" s="25">
        <f t="array" ref="BM77">INDEX(Hiring_Plan_Benefits_Sales,MATCH(BM$1,Hiring_Plan_Months,0))</f>
        <v>10433.333333333336</v>
      </c>
      <c r="BN77" s="25">
        <f t="array" ref="BN77">INDEX(Hiring_Plan_Benefits_Sales,MATCH(BN$1,Hiring_Plan_Months,0))</f>
        <v>10433.333333333336</v>
      </c>
      <c r="BO77" s="25">
        <f t="array" ref="BO77">INDEX(Hiring_Plan_Benefits_Sales,MATCH(BO$1,Hiring_Plan_Months,0))</f>
        <v>10433.333333333336</v>
      </c>
      <c r="BP77" s="25">
        <f t="array" ref="BP77">INDEX(Hiring_Plan_Benefits_Sales,MATCH(BP$1,Hiring_Plan_Months,0))</f>
        <v>10433.333333333336</v>
      </c>
      <c r="BQ77" s="25">
        <f t="array" ref="BQ77">INDEX(Hiring_Plan_Benefits_Sales,MATCH(BQ$1,Hiring_Plan_Months,0))</f>
        <v>10433.333333333336</v>
      </c>
      <c r="BR77" s="25">
        <f t="array" ref="BR77">INDEX(Hiring_Plan_Benefits_Sales,MATCH(BR$1,Hiring_Plan_Months,0))</f>
        <v>10433.333333333336</v>
      </c>
      <c r="BS77" s="25">
        <f t="array" ref="BS77">INDEX(Hiring_Plan_Benefits_Sales,MATCH(BS$1,Hiring_Plan_Months,0))</f>
        <v>10433.333333333336</v>
      </c>
      <c r="BT77" s="25">
        <f t="array" ref="BT77">INDEX(Hiring_Plan_Benefits_Sales,MATCH(BT$1,Hiring_Plan_Months,0))</f>
        <v>10433.333333333336</v>
      </c>
      <c r="BU77" s="25">
        <f t="array" ref="BU77">INDEX(Hiring_Plan_Benefits_Sales,MATCH(BU$1,Hiring_Plan_Months,0))</f>
        <v>10433.333333333336</v>
      </c>
      <c r="BV77" s="25">
        <f t="array" ref="BV77">INDEX(Hiring_Plan_Benefits_Sales,MATCH(BV$1,Hiring_Plan_Months,0))</f>
        <v>10433.333333333336</v>
      </c>
      <c r="BW77" s="25">
        <f t="array" ref="BW77">INDEX(Hiring_Plan_Benefits_Sales,MATCH(BW$1,Hiring_Plan_Months,0))</f>
        <v>10433.333333333336</v>
      </c>
    </row>
    <row r="78" spans="1:75" ht="12.75" x14ac:dyDescent="0.2">
      <c r="A78" s="23" t="s">
        <v>333</v>
      </c>
      <c r="B78" s="224">
        <f ca="1">AVERAGEIFS(78:78,$1:$1,"&gt;="&amp;DATE(YEAR(Current_Month),MONTH(Current_Month)-2,DAY(Current_Month)),$1:$1,"&lt;="&amp;EOMONTH(Current_Month,0))</f>
        <v>3645</v>
      </c>
      <c r="D78" s="115">
        <f t="array" aca="1" ref="D78" ca="1">INDEX(INDIRECT("PnL_"&amp;TEXT(D$1,"mmm")&amp;"_"&amp;TEXT(D$1,"yyyy")),MATCH(TRIM($A78),PnL_Accounts,0))</f>
        <v>900</v>
      </c>
      <c r="E78" s="115">
        <f t="array" aca="1" ref="E78" ca="1">INDEX(INDIRECT("PnL_"&amp;TEXT(E$1,"mmm")&amp;"_"&amp;TEXT(E$1,"yyyy")),MATCH(TRIM($A78),PnL_Accounts,0))</f>
        <v>900</v>
      </c>
      <c r="F78" s="115">
        <f t="array" aca="1" ref="F78" ca="1">INDEX(INDIRECT("PnL_"&amp;TEXT(F$1,"mmm")&amp;"_"&amp;TEXT(F$1,"yyyy")),MATCH(TRIM($A78),PnL_Accounts,0))</f>
        <v>1350</v>
      </c>
      <c r="G78" s="115">
        <f t="array" aca="1" ref="G78" ca="1">INDEX(INDIRECT("PnL_"&amp;TEXT(G$1,"mmm")&amp;"_"&amp;TEXT(G$1,"yyyy")),MATCH(TRIM($A78),PnL_Accounts,0))</f>
        <v>1350</v>
      </c>
      <c r="H78" s="115">
        <f t="array" aca="1" ref="H78" ca="1">INDEX(INDIRECT("PnL_"&amp;TEXT(H$1,"mmm")&amp;"_"&amp;TEXT(H$1,"yyyy")),MATCH(TRIM($A78),PnL_Accounts,0))</f>
        <v>1350</v>
      </c>
      <c r="I78" s="115">
        <f t="array" aca="1" ref="I78" ca="1">INDEX(INDIRECT("PnL_"&amp;TEXT(I$1,"mmm")&amp;"_"&amp;TEXT(I$1,"yyyy")),MATCH(TRIM($A78),PnL_Accounts,0))</f>
        <v>1800</v>
      </c>
      <c r="J78" s="115">
        <f t="array" aca="1" ref="J78" ca="1">INDEX(INDIRECT("PnL_"&amp;TEXT(J$1,"mmm")&amp;"_"&amp;TEXT(J$1,"yyyy")),MATCH(TRIM($A78),PnL_Accounts,0))</f>
        <v>2205</v>
      </c>
      <c r="K78" s="115">
        <f t="array" aca="1" ref="K78" ca="1">INDEX(INDIRECT("PnL_"&amp;TEXT(K$1,"mmm")&amp;"_"&amp;TEXT(K$1,"yyyy")),MATCH(TRIM($A78),PnL_Accounts,0))</f>
        <v>2205</v>
      </c>
      <c r="L78" s="115">
        <f t="array" aca="1" ref="L78" ca="1">INDEX(INDIRECT("PnL_"&amp;TEXT(L$1,"mmm")&amp;"_"&amp;TEXT(L$1,"yyyy")),MATCH(TRIM($A78),PnL_Accounts,0))</f>
        <v>2205</v>
      </c>
      <c r="M78" s="115">
        <f t="array" aca="1" ref="M78" ca="1">INDEX(INDIRECT("PnL_"&amp;TEXT(M$1,"mmm")&amp;"_"&amp;TEXT(M$1,"yyyy")),MATCH(TRIM($A78),PnL_Accounts,0))</f>
        <v>2700</v>
      </c>
      <c r="N78" s="115">
        <f t="array" aca="1" ref="N78" ca="1">INDEX(INDIRECT("PnL_"&amp;TEXT(N$1,"mmm")&amp;"_"&amp;TEXT(N$1,"yyyy")),MATCH(TRIM($A78),PnL_Accounts,0))</f>
        <v>2700</v>
      </c>
      <c r="O78" s="115">
        <f t="array" aca="1" ref="O78" ca="1">INDEX(INDIRECT("PnL_"&amp;TEXT(O$1,"mmm")&amp;"_"&amp;TEXT(O$1,"yyyy")),MATCH(TRIM($A78),PnL_Accounts,0))</f>
        <v>3150</v>
      </c>
      <c r="P78" s="115">
        <f t="array" aca="1" ref="P78" ca="1">INDEX(INDIRECT("PnL_"&amp;TEXT(P$1,"mmm")&amp;"_"&amp;TEXT(P$1,"yyyy")),MATCH(TRIM($A78),PnL_Accounts,0))</f>
        <v>3150</v>
      </c>
      <c r="Q78" s="115">
        <f t="array" aca="1" ref="Q78" ca="1">INDEX(INDIRECT("PnL_"&amp;TEXT(Q$1,"mmm")&amp;"_"&amp;TEXT(Q$1,"yyyy")),MATCH(TRIM($A78),PnL_Accounts,0))</f>
        <v>3645</v>
      </c>
      <c r="R78" s="115">
        <f t="array" aca="1" ref="R78" ca="1">INDEX(INDIRECT("PnL_"&amp;TEXT(R$1,"mmm")&amp;"_"&amp;TEXT(R$1,"yyyy")),MATCH(TRIM($A78),PnL_Accounts,0))</f>
        <v>3645</v>
      </c>
      <c r="S78" s="115">
        <f t="array" aca="1" ref="S78" ca="1">INDEX(INDIRECT("PnL_"&amp;TEXT(S$1,"mmm")&amp;"_"&amp;TEXT(S$1,"yyyy")),MATCH(TRIM($A78),PnL_Accounts,0))</f>
        <v>3645</v>
      </c>
      <c r="T78" s="115">
        <f t="array" aca="1" ref="T78" ca="1">INDEX(INDIRECT("PnL_"&amp;TEXT(T$1,"mmm")&amp;"_"&amp;TEXT(T$1,"yyyy")),MATCH(TRIM($A78),PnL_Accounts,0))</f>
        <v>3645</v>
      </c>
      <c r="U78" s="115">
        <f t="array" aca="1" ref="U78" ca="1">INDEX(INDIRECT("PnL_"&amp;TEXT(U$1,"mmm")&amp;"_"&amp;TEXT(U$1,"yyyy")),MATCH(TRIM($A78),PnL_Accounts,0))</f>
        <v>3645</v>
      </c>
      <c r="V78" s="115">
        <f t="array" aca="1" ref="V78" ca="1">INDEX(INDIRECT("PnL_"&amp;TEXT(V$1,"mmm")&amp;"_"&amp;TEXT(V$1,"yyyy")),MATCH(TRIM($A78),PnL_Accounts,0))</f>
        <v>3645</v>
      </c>
      <c r="W78" s="115">
        <f t="array" aca="1" ref="W78" ca="1">INDEX(INDIRECT("PnL_"&amp;TEXT(W$1,"mmm")&amp;"_"&amp;TEXT(W$1,"yyyy")),MATCH(TRIM($A78),PnL_Accounts,0))</f>
        <v>3645</v>
      </c>
      <c r="X78" s="115">
        <f t="array" aca="1" ref="X78" ca="1">INDEX(INDIRECT("PnL_"&amp;TEXT(X$1,"mmm")&amp;"_"&amp;TEXT(X$1,"yyyy")),MATCH(TRIM($A78),PnL_Accounts,0))</f>
        <v>3645</v>
      </c>
      <c r="Y78" s="115">
        <f t="array" aca="1" ref="Y78" ca="1">INDEX(INDIRECT("PnL_"&amp;TEXT(Y$1,"mmm")&amp;"_"&amp;TEXT(Y$1,"yyyy")),MATCH(TRIM($A78),PnL_Accounts,0))</f>
        <v>3645</v>
      </c>
      <c r="Z78" s="115">
        <f t="array" aca="1" ref="Z78" ca="1">INDEX(INDIRECT("PnL_"&amp;TEXT(Z$1,"mmm")&amp;"_"&amp;TEXT(Z$1,"yyyy")),MATCH(TRIM($A78),PnL_Accounts,0))</f>
        <v>3645</v>
      </c>
      <c r="AA78" s="115">
        <f t="array" aca="1" ref="AA78" ca="1">INDEX(INDIRECT("PnL_"&amp;TEXT(AA$1,"mmm")&amp;"_"&amp;TEXT(AA$1,"yyyy")),MATCH(TRIM($A78),PnL_Accounts,0))</f>
        <v>3645</v>
      </c>
      <c r="AB78" s="115">
        <f t="array" aca="1" ref="AB78" ca="1">INDEX(INDIRECT("PnL_"&amp;TEXT(AB$1,"mmm")&amp;"_"&amp;TEXT(AB$1,"yyyy")),MATCH(TRIM($A78),PnL_Accounts,0))</f>
        <v>3645</v>
      </c>
      <c r="AC78" s="115">
        <f t="array" aca="1" ref="AC78" ca="1">INDEX(INDIRECT("PnL_"&amp;TEXT(AC$1,"mmm")&amp;"_"&amp;TEXT(AC$1,"yyyy")),MATCH(TRIM($A78),PnL_Accounts,0))</f>
        <v>3645</v>
      </c>
      <c r="AD78" s="115">
        <f t="array" aca="1" ref="AD78" ca="1">INDEX(INDIRECT("PnL_"&amp;TEXT(AD$1,"mmm")&amp;"_"&amp;TEXT(AD$1,"yyyy")),MATCH(TRIM($A78),PnL_Accounts,0))</f>
        <v>3645</v>
      </c>
      <c r="AE78" s="115">
        <f t="array" aca="1" ref="AE78" ca="1">INDEX(INDIRECT("PnL_"&amp;TEXT(AE$1,"mmm")&amp;"_"&amp;TEXT(AE$1,"yyyy")),MATCH(TRIM($A78),PnL_Accounts,0))</f>
        <v>3645</v>
      </c>
      <c r="AF78" s="25">
        <f t="array" ref="AF78">INDEX(Hiring_Plan_Payroll_Taxes_Sales,MATCH(AF$1,Hiring_Plan_Months,0))</f>
        <v>3375</v>
      </c>
      <c r="AG78" s="25">
        <f t="array" ref="AG78">INDEX(Hiring_Plan_Payroll_Taxes_Sales,MATCH(AG$1,Hiring_Plan_Months,0))</f>
        <v>3375</v>
      </c>
      <c r="AH78" s="25">
        <f t="array" ref="AH78">INDEX(Hiring_Plan_Payroll_Taxes_Sales,MATCH(AH$1,Hiring_Plan_Months,0))</f>
        <v>3375</v>
      </c>
      <c r="AI78" s="25">
        <f t="array" ref="AI78">INDEX(Hiring_Plan_Payroll_Taxes_Sales,MATCH(AI$1,Hiring_Plan_Months,0))</f>
        <v>3375</v>
      </c>
      <c r="AJ78" s="25">
        <f t="array" ref="AJ78">INDEX(Hiring_Plan_Payroll_Taxes_Sales,MATCH(AJ$1,Hiring_Plan_Months,0))</f>
        <v>3375</v>
      </c>
      <c r="AK78" s="25">
        <f t="array" ref="AK78">INDEX(Hiring_Plan_Payroll_Taxes_Sales,MATCH(AK$1,Hiring_Plan_Months,0))</f>
        <v>5025</v>
      </c>
      <c r="AL78" s="25">
        <f t="array" ref="AL78">INDEX(Hiring_Plan_Payroll_Taxes_Sales,MATCH(AL$1,Hiring_Plan_Months,0))</f>
        <v>5025</v>
      </c>
      <c r="AM78" s="25">
        <f t="array" ref="AM78">INDEX(Hiring_Plan_Payroll_Taxes_Sales,MATCH(AM$1,Hiring_Plan_Months,0))</f>
        <v>6675</v>
      </c>
      <c r="AN78" s="25">
        <f t="array" ref="AN78">INDEX(Hiring_Plan_Payroll_Taxes_Sales,MATCH(AN$1,Hiring_Plan_Months,0))</f>
        <v>6675</v>
      </c>
      <c r="AO78" s="25">
        <f t="array" ref="AO78">INDEX(Hiring_Plan_Payroll_Taxes_Sales,MATCH(AO$1,Hiring_Plan_Months,0))</f>
        <v>8325</v>
      </c>
      <c r="AP78" s="25">
        <f t="array" ref="AP78">INDEX(Hiring_Plan_Payroll_Taxes_Sales,MATCH(AP$1,Hiring_Plan_Months,0))</f>
        <v>8325</v>
      </c>
      <c r="AQ78" s="25">
        <f t="array" ref="AQ78">INDEX(Hiring_Plan_Payroll_Taxes_Sales,MATCH(AQ$1,Hiring_Plan_Months,0))</f>
        <v>9975</v>
      </c>
      <c r="AR78" s="25">
        <f t="array" ref="AR78">INDEX(Hiring_Plan_Payroll_Taxes_Sales,MATCH(AR$1,Hiring_Plan_Months,0))</f>
        <v>9975</v>
      </c>
      <c r="AS78" s="25">
        <f t="array" ref="AS78">INDEX(Hiring_Plan_Payroll_Taxes_Sales,MATCH(AS$1,Hiring_Plan_Months,0))</f>
        <v>9975</v>
      </c>
      <c r="AT78" s="25">
        <f t="array" ref="AT78">INDEX(Hiring_Plan_Payroll_Taxes_Sales,MATCH(AT$1,Hiring_Plan_Months,0))</f>
        <v>9975</v>
      </c>
      <c r="AU78" s="25">
        <f t="array" ref="AU78">INDEX(Hiring_Plan_Payroll_Taxes_Sales,MATCH(AU$1,Hiring_Plan_Months,0))</f>
        <v>9975</v>
      </c>
      <c r="AV78" s="25">
        <f t="array" ref="AV78">INDEX(Hiring_Plan_Payroll_Taxes_Sales,MATCH(AV$1,Hiring_Plan_Months,0))</f>
        <v>9975</v>
      </c>
      <c r="AW78" s="25">
        <f t="array" ref="AW78">INDEX(Hiring_Plan_Payroll_Taxes_Sales,MATCH(AW$1,Hiring_Plan_Months,0))</f>
        <v>9975</v>
      </c>
      <c r="AX78" s="25">
        <f t="array" ref="AX78">INDEX(Hiring_Plan_Payroll_Taxes_Sales,MATCH(AX$1,Hiring_Plan_Months,0))</f>
        <v>9975</v>
      </c>
      <c r="AY78" s="25">
        <f t="array" ref="AY78">INDEX(Hiring_Plan_Payroll_Taxes_Sales,MATCH(AY$1,Hiring_Plan_Months,0))</f>
        <v>9975</v>
      </c>
      <c r="AZ78" s="25">
        <f t="array" ref="AZ78">INDEX(Hiring_Plan_Payroll_Taxes_Sales,MATCH(AZ$1,Hiring_Plan_Months,0))</f>
        <v>9975</v>
      </c>
      <c r="BA78" s="25">
        <f t="array" ref="BA78">INDEX(Hiring_Plan_Payroll_Taxes_Sales,MATCH(BA$1,Hiring_Plan_Months,0))</f>
        <v>9975</v>
      </c>
      <c r="BB78" s="25">
        <f t="array" ref="BB78">INDEX(Hiring_Plan_Payroll_Taxes_Sales,MATCH(BB$1,Hiring_Plan_Months,0))</f>
        <v>9975</v>
      </c>
      <c r="BC78" s="25">
        <f t="array" ref="BC78">INDEX(Hiring_Plan_Payroll_Taxes_Sales,MATCH(BC$1,Hiring_Plan_Months,0))</f>
        <v>9975</v>
      </c>
      <c r="BD78" s="25">
        <f t="array" ref="BD78">INDEX(Hiring_Plan_Payroll_Taxes_Sales,MATCH(BD$1,Hiring_Plan_Months,0))</f>
        <v>9975</v>
      </c>
      <c r="BE78" s="25">
        <f t="array" ref="BE78">INDEX(Hiring_Plan_Payroll_Taxes_Sales,MATCH(BE$1,Hiring_Plan_Months,0))</f>
        <v>9975</v>
      </c>
      <c r="BF78" s="25">
        <f t="array" ref="BF78">INDEX(Hiring_Plan_Payroll_Taxes_Sales,MATCH(BF$1,Hiring_Plan_Months,0))</f>
        <v>9975</v>
      </c>
      <c r="BG78" s="25">
        <f t="array" ref="BG78">INDEX(Hiring_Plan_Payroll_Taxes_Sales,MATCH(BG$1,Hiring_Plan_Months,0))</f>
        <v>9975</v>
      </c>
      <c r="BH78" s="25">
        <f t="array" ref="BH78">INDEX(Hiring_Plan_Payroll_Taxes_Sales,MATCH(BH$1,Hiring_Plan_Months,0))</f>
        <v>9975</v>
      </c>
      <c r="BI78" s="25">
        <f t="array" ref="BI78">INDEX(Hiring_Plan_Payroll_Taxes_Sales,MATCH(BI$1,Hiring_Plan_Months,0))</f>
        <v>9975</v>
      </c>
      <c r="BJ78" s="25">
        <f t="array" ref="BJ78">INDEX(Hiring_Plan_Payroll_Taxes_Sales,MATCH(BJ$1,Hiring_Plan_Months,0))</f>
        <v>9975</v>
      </c>
      <c r="BK78" s="25">
        <f t="array" ref="BK78">INDEX(Hiring_Plan_Payroll_Taxes_Sales,MATCH(BK$1,Hiring_Plan_Months,0))</f>
        <v>9975</v>
      </c>
      <c r="BL78" s="25">
        <f t="array" ref="BL78">INDEX(Hiring_Plan_Payroll_Taxes_Sales,MATCH(BL$1,Hiring_Plan_Months,0))</f>
        <v>9975</v>
      </c>
      <c r="BM78" s="25">
        <f t="array" ref="BM78">INDEX(Hiring_Plan_Payroll_Taxes_Sales,MATCH(BM$1,Hiring_Plan_Months,0))</f>
        <v>9975</v>
      </c>
      <c r="BN78" s="25">
        <f t="array" ref="BN78">INDEX(Hiring_Plan_Payroll_Taxes_Sales,MATCH(BN$1,Hiring_Plan_Months,0))</f>
        <v>9975</v>
      </c>
      <c r="BO78" s="25">
        <f t="array" ref="BO78">INDEX(Hiring_Plan_Payroll_Taxes_Sales,MATCH(BO$1,Hiring_Plan_Months,0))</f>
        <v>9975</v>
      </c>
      <c r="BP78" s="25">
        <f t="array" ref="BP78">INDEX(Hiring_Plan_Payroll_Taxes_Sales,MATCH(BP$1,Hiring_Plan_Months,0))</f>
        <v>9975</v>
      </c>
      <c r="BQ78" s="25">
        <f t="array" ref="BQ78">INDEX(Hiring_Plan_Payroll_Taxes_Sales,MATCH(BQ$1,Hiring_Plan_Months,0))</f>
        <v>9975</v>
      </c>
      <c r="BR78" s="25">
        <f t="array" ref="BR78">INDEX(Hiring_Plan_Payroll_Taxes_Sales,MATCH(BR$1,Hiring_Plan_Months,0))</f>
        <v>9975</v>
      </c>
      <c r="BS78" s="25">
        <f t="array" ref="BS78">INDEX(Hiring_Plan_Payroll_Taxes_Sales,MATCH(BS$1,Hiring_Plan_Months,0))</f>
        <v>9975</v>
      </c>
      <c r="BT78" s="25">
        <f t="array" ref="BT78">INDEX(Hiring_Plan_Payroll_Taxes_Sales,MATCH(BT$1,Hiring_Plan_Months,0))</f>
        <v>9975</v>
      </c>
      <c r="BU78" s="25">
        <f t="array" ref="BU78">INDEX(Hiring_Plan_Payroll_Taxes_Sales,MATCH(BU$1,Hiring_Plan_Months,0))</f>
        <v>9975</v>
      </c>
      <c r="BV78" s="25">
        <f t="array" ref="BV78">INDEX(Hiring_Plan_Payroll_Taxes_Sales,MATCH(BV$1,Hiring_Plan_Months,0))</f>
        <v>9975</v>
      </c>
      <c r="BW78" s="25">
        <f t="array" ref="BW78">INDEX(Hiring_Plan_Payroll_Taxes_Sales,MATCH(BW$1,Hiring_Plan_Months,0))</f>
        <v>9975</v>
      </c>
    </row>
    <row r="79" spans="1:75" ht="12.75" x14ac:dyDescent="0.2">
      <c r="A79" s="23" t="s">
        <v>334</v>
      </c>
      <c r="B79" s="240">
        <f ca="1">AVERAGEIFS(79:79,$1:$1,"&gt;="&amp;DATE(YEAR(Current_Month),MONTH(Current_Month)-2,DAY(Current_Month)),$1:$1,"&lt;="&amp;EOMONTH(Current_Month,0))/AVERAGEIFS(Oper_Model_Revenue,$1:$1,"&gt;="&amp;DATE(YEAR(Current_Month),MONTH(Current_Month)-2,DAY(Current_Month)),$1:$1,"&lt;="&amp;EOMONTH(Current_Month,0))</f>
        <v>5.4558493852926652E-2</v>
      </c>
      <c r="D79" s="115">
        <f t="array" aca="1" ref="D79" ca="1">INDEX(INDIRECT("PnL_"&amp;TEXT(D$1,"mmm")&amp;"_"&amp;TEXT(D$1,"yyyy")),MATCH(TRIM($A79),PnL_Accounts,0))</f>
        <v>11652</v>
      </c>
      <c r="E79" s="115">
        <f t="array" aca="1" ref="E79" ca="1">INDEX(INDIRECT("PnL_"&amp;TEXT(E$1,"mmm")&amp;"_"&amp;TEXT(E$1,"yyyy")),MATCH(TRIM($A79),PnL_Accounts,0))</f>
        <v>14166</v>
      </c>
      <c r="F79" s="115">
        <f t="array" aca="1" ref="F79" ca="1">INDEX(INDIRECT("PnL_"&amp;TEXT(F$1,"mmm")&amp;"_"&amp;TEXT(F$1,"yyyy")),MATCH(TRIM($A79),PnL_Accounts,0))</f>
        <v>21021</v>
      </c>
      <c r="G79" s="115">
        <f t="array" aca="1" ref="G79" ca="1">INDEX(INDIRECT("PnL_"&amp;TEXT(G$1,"mmm")&amp;"_"&amp;TEXT(G$1,"yyyy")),MATCH(TRIM($A79),PnL_Accounts,0))</f>
        <v>21868</v>
      </c>
      <c r="H79" s="115">
        <f t="array" aca="1" ref="H79" ca="1">INDEX(INDIRECT("PnL_"&amp;TEXT(H$1,"mmm")&amp;"_"&amp;TEXT(H$1,"yyyy")),MATCH(TRIM($A79),PnL_Accounts,0))</f>
        <v>27274</v>
      </c>
      <c r="I79" s="115">
        <f t="array" aca="1" ref="I79" ca="1">INDEX(INDIRECT("PnL_"&amp;TEXT(I$1,"mmm")&amp;"_"&amp;TEXT(I$1,"yyyy")),MATCH(TRIM($A79),PnL_Accounts,0))</f>
        <v>16676</v>
      </c>
      <c r="J79" s="115">
        <f t="array" aca="1" ref="J79" ca="1">INDEX(INDIRECT("PnL_"&amp;TEXT(J$1,"mmm")&amp;"_"&amp;TEXT(J$1,"yyyy")),MATCH(TRIM($A79),PnL_Accounts,0))</f>
        <v>24845</v>
      </c>
      <c r="K79" s="115">
        <f t="array" aca="1" ref="K79" ca="1">INDEX(INDIRECT("PnL_"&amp;TEXT(K$1,"mmm")&amp;"_"&amp;TEXT(K$1,"yyyy")),MATCH(TRIM($A79),PnL_Accounts,0))</f>
        <v>25937</v>
      </c>
      <c r="L79" s="115">
        <f t="array" aca="1" ref="L79" ca="1">INDEX(INDIRECT("PnL_"&amp;TEXT(L$1,"mmm")&amp;"_"&amp;TEXT(L$1,"yyyy")),MATCH(TRIM($A79),PnL_Accounts,0))</f>
        <v>26800</v>
      </c>
      <c r="M79" s="115">
        <f t="array" aca="1" ref="M79" ca="1">INDEX(INDIRECT("PnL_"&amp;TEXT(M$1,"mmm")&amp;"_"&amp;TEXT(M$1,"yyyy")),MATCH(TRIM($A79),PnL_Accounts,0))</f>
        <v>29607</v>
      </c>
      <c r="N79" s="115">
        <f t="array" aca="1" ref="N79" ca="1">INDEX(INDIRECT("PnL_"&amp;TEXT(N$1,"mmm")&amp;"_"&amp;TEXT(N$1,"yyyy")),MATCH(TRIM($A79),PnL_Accounts,0))</f>
        <v>28195</v>
      </c>
      <c r="O79" s="115">
        <f t="array" aca="1" ref="O79" ca="1">INDEX(INDIRECT("PnL_"&amp;TEXT(O$1,"mmm")&amp;"_"&amp;TEXT(O$1,"yyyy")),MATCH(TRIM($A79),PnL_Accounts,0))</f>
        <v>31733</v>
      </c>
      <c r="P79" s="115">
        <f t="array" aca="1" ref="P79" ca="1">INDEX(INDIRECT("PnL_"&amp;TEXT(P$1,"mmm")&amp;"_"&amp;TEXT(P$1,"yyyy")),MATCH(TRIM($A79),PnL_Accounts,0))</f>
        <v>29875</v>
      </c>
      <c r="Q79" s="115">
        <f t="array" aca="1" ref="Q79" ca="1">INDEX(INDIRECT("PnL_"&amp;TEXT(Q$1,"mmm")&amp;"_"&amp;TEXT(Q$1,"yyyy")),MATCH(TRIM($A79),PnL_Accounts,0))</f>
        <v>31767</v>
      </c>
      <c r="R79" s="115">
        <f t="array" aca="1" ref="R79" ca="1">INDEX(INDIRECT("PnL_"&amp;TEXT(R$1,"mmm")&amp;"_"&amp;TEXT(R$1,"yyyy")),MATCH(TRIM($A79),PnL_Accounts,0))</f>
        <v>33744</v>
      </c>
      <c r="S79" s="115">
        <f t="array" aca="1" ref="S79" ca="1">INDEX(INDIRECT("PnL_"&amp;TEXT(S$1,"mmm")&amp;"_"&amp;TEXT(S$1,"yyyy")),MATCH(TRIM($A79),PnL_Accounts,0))</f>
        <v>32911</v>
      </c>
      <c r="T79" s="115">
        <f t="array" aca="1" ref="T79" ca="1">INDEX(INDIRECT("PnL_"&amp;TEXT(T$1,"mmm")&amp;"_"&amp;TEXT(T$1,"yyyy")),MATCH(TRIM($A79),PnL_Accounts,0))</f>
        <v>38116</v>
      </c>
      <c r="U79" s="115">
        <f t="array" aca="1" ref="U79" ca="1">INDEX(INDIRECT("PnL_"&amp;TEXT(U$1,"mmm")&amp;"_"&amp;TEXT(U$1,"yyyy")),MATCH(TRIM($A79),PnL_Accounts,0))</f>
        <v>37096</v>
      </c>
      <c r="V79" s="115">
        <f t="array" aca="1" ref="V79" ca="1">INDEX(INDIRECT("PnL_"&amp;TEXT(V$1,"mmm")&amp;"_"&amp;TEXT(V$1,"yyyy")),MATCH(TRIM($A79),PnL_Accounts,0))</f>
        <v>37962</v>
      </c>
      <c r="W79" s="115">
        <f t="array" aca="1" ref="W79" ca="1">INDEX(INDIRECT("PnL_"&amp;TEXT(W$1,"mmm")&amp;"_"&amp;TEXT(W$1,"yyyy")),MATCH(TRIM($A79),PnL_Accounts,0))</f>
        <v>38719</v>
      </c>
      <c r="X79" s="115">
        <f t="array" aca="1" ref="X79" ca="1">INDEX(INDIRECT("PnL_"&amp;TEXT(X$1,"mmm")&amp;"_"&amp;TEXT(X$1,"yyyy")),MATCH(TRIM($A79),PnL_Accounts,0))</f>
        <v>41789</v>
      </c>
      <c r="Y79" s="115">
        <f t="array" aca="1" ref="Y79" ca="1">INDEX(INDIRECT("PnL_"&amp;TEXT(Y$1,"mmm")&amp;"_"&amp;TEXT(Y$1,"yyyy")),MATCH(TRIM($A79),PnL_Accounts,0))</f>
        <v>44555</v>
      </c>
      <c r="Z79" s="115">
        <f t="array" aca="1" ref="Z79" ca="1">INDEX(INDIRECT("PnL_"&amp;TEXT(Z$1,"mmm")&amp;"_"&amp;TEXT(Z$1,"yyyy")),MATCH(TRIM($A79),PnL_Accounts,0))</f>
        <v>49785</v>
      </c>
      <c r="AA79" s="115">
        <f t="array" aca="1" ref="AA79" ca="1">INDEX(INDIRECT("PnL_"&amp;TEXT(AA$1,"mmm")&amp;"_"&amp;TEXT(AA$1,"yyyy")),MATCH(TRIM($A79),PnL_Accounts,0))</f>
        <v>52007</v>
      </c>
      <c r="AB79" s="115">
        <f t="array" aca="1" ref="AB79" ca="1">INDEX(INDIRECT("PnL_"&amp;TEXT(AB$1,"mmm")&amp;"_"&amp;TEXT(AB$1,"yyyy")),MATCH(TRIM($A79),PnL_Accounts,0))</f>
        <v>52007</v>
      </c>
      <c r="AC79" s="115">
        <f t="array" aca="1" ref="AC79" ca="1">INDEX(INDIRECT("PnL_"&amp;TEXT(AC$1,"mmm")&amp;"_"&amp;TEXT(AC$1,"yyyy")),MATCH(TRIM($A79),PnL_Accounts,0))</f>
        <v>59124</v>
      </c>
      <c r="AD79" s="115">
        <f t="array" aca="1" ref="AD79" ca="1">INDEX(INDIRECT("PnL_"&amp;TEXT(AD$1,"mmm")&amp;"_"&amp;TEXT(AD$1,"yyyy")),MATCH(TRIM($A79),PnL_Accounts,0))</f>
        <v>39117</v>
      </c>
      <c r="AE79" s="115">
        <f t="array" aca="1" ref="AE79" ca="1">INDEX(INDIRECT("PnL_"&amp;TEXT(AE$1,"mmm")&amp;"_"&amp;TEXT(AE$1,"yyyy")),MATCH(TRIM($A79),PnL_Accounts,0))</f>
        <v>35989</v>
      </c>
      <c r="AF79" s="115">
        <f t="shared" ref="AF79:BW79" ca="1" si="42">$B79*AF$5</f>
        <v>42574.689519098916</v>
      </c>
      <c r="AG79" s="115">
        <f t="shared" ca="1" si="42"/>
        <v>42383.16025988703</v>
      </c>
      <c r="AH79" s="115">
        <f t="shared" ca="1" si="42"/>
        <v>42790.635720745428</v>
      </c>
      <c r="AI79" s="115">
        <f t="shared" ca="1" si="42"/>
        <v>43334.181372006162</v>
      </c>
      <c r="AJ79" s="115">
        <f t="shared" ca="1" si="42"/>
        <v>44216.763145226621</v>
      </c>
      <c r="AK79" s="115">
        <f t="shared" ca="1" si="42"/>
        <v>45220.449927523354</v>
      </c>
      <c r="AL79" s="115">
        <f t="shared" ca="1" si="42"/>
        <v>46167.475017096483</v>
      </c>
      <c r="AM79" s="115">
        <f t="shared" ca="1" si="42"/>
        <v>47169.915991039437</v>
      </c>
      <c r="AN79" s="115">
        <f t="shared" ca="1" si="42"/>
        <v>48166.419748231296</v>
      </c>
      <c r="AO79" s="115">
        <f t="shared" ca="1" si="42"/>
        <v>49225.215560464043</v>
      </c>
      <c r="AP79" s="115">
        <f t="shared" ca="1" si="42"/>
        <v>50275.28177051073</v>
      </c>
      <c r="AQ79" s="115">
        <f t="shared" ca="1" si="42"/>
        <v>51386.404233015448</v>
      </c>
      <c r="AR79" s="115">
        <f t="shared" ca="1" si="42"/>
        <v>52557.873118664298</v>
      </c>
      <c r="AS79" s="115">
        <f t="shared" ca="1" si="42"/>
        <v>53720.79038049763</v>
      </c>
      <c r="AT79" s="115">
        <f t="shared" ca="1" si="42"/>
        <v>54943.646761103824</v>
      </c>
      <c r="AU79" s="115">
        <f t="shared" ca="1" si="42"/>
        <v>56157.829690137231</v>
      </c>
      <c r="AV79" s="115">
        <f t="shared" ca="1" si="42"/>
        <v>57431.436070168289</v>
      </c>
      <c r="AW79" s="115">
        <f t="shared" ca="1" si="42"/>
        <v>58764.0956349103</v>
      </c>
      <c r="AX79" s="115">
        <f t="shared" ca="1" si="42"/>
        <v>60087.277200548568</v>
      </c>
      <c r="AY79" s="115">
        <f t="shared" ca="1" si="42"/>
        <v>61469.130189993062</v>
      </c>
      <c r="AZ79" s="115">
        <f t="shared" ca="1" si="42"/>
        <v>63313.204095692854</v>
      </c>
      <c r="BA79" s="115">
        <f t="shared" ca="1" si="42"/>
        <v>65212.600218563646</v>
      </c>
      <c r="BB79" s="115">
        <f t="shared" ca="1" si="42"/>
        <v>67168.978225120547</v>
      </c>
      <c r="BC79" s="115">
        <f t="shared" ca="1" si="42"/>
        <v>69184.047571874165</v>
      </c>
      <c r="BD79" s="115">
        <f t="shared" ca="1" si="42"/>
        <v>71259.568999030394</v>
      </c>
      <c r="BE79" s="115">
        <f t="shared" ca="1" si="42"/>
        <v>73397.356069001296</v>
      </c>
      <c r="BF79" s="115">
        <f t="shared" ca="1" si="42"/>
        <v>75599.276751071346</v>
      </c>
      <c r="BG79" s="115">
        <f t="shared" ca="1" si="42"/>
        <v>77867.255053603483</v>
      </c>
      <c r="BH79" s="115">
        <f t="shared" ca="1" si="42"/>
        <v>80203.272705211595</v>
      </c>
      <c r="BI79" s="115">
        <f t="shared" ca="1" si="42"/>
        <v>82609.370886367949</v>
      </c>
      <c r="BJ79" s="115">
        <f t="shared" ca="1" si="42"/>
        <v>85087.652012958977</v>
      </c>
      <c r="BK79" s="115">
        <f t="shared" ca="1" si="42"/>
        <v>87640.281573347747</v>
      </c>
      <c r="BL79" s="115">
        <f t="shared" ca="1" si="42"/>
        <v>90269.490020548183</v>
      </c>
      <c r="BM79" s="115">
        <f t="shared" ca="1" si="42"/>
        <v>92977.574721164638</v>
      </c>
      <c r="BN79" s="115">
        <f t="shared" ca="1" si="42"/>
        <v>95766.901962799573</v>
      </c>
      <c r="BO79" s="115">
        <f t="shared" ca="1" si="42"/>
        <v>98639.909021683561</v>
      </c>
      <c r="BP79" s="115">
        <f t="shared" ca="1" si="42"/>
        <v>101599.10629233408</v>
      </c>
      <c r="BQ79" s="115">
        <f t="shared" ca="1" si="42"/>
        <v>104647.0794811041</v>
      </c>
      <c r="BR79" s="115">
        <f t="shared" ca="1" si="42"/>
        <v>107786.49186553723</v>
      </c>
      <c r="BS79" s="115">
        <f t="shared" ca="1" si="42"/>
        <v>111020.08662150335</v>
      </c>
      <c r="BT79" s="115">
        <f t="shared" ca="1" si="42"/>
        <v>114350.68922014846</v>
      </c>
      <c r="BU79" s="115">
        <f t="shared" ca="1" si="42"/>
        <v>117781.2098967529</v>
      </c>
      <c r="BV79" s="115">
        <f t="shared" ca="1" si="42"/>
        <v>121314.6461936555</v>
      </c>
      <c r="BW79" s="115">
        <f t="shared" ca="1" si="42"/>
        <v>124954.08557946517</v>
      </c>
    </row>
    <row r="80" spans="1:75" ht="12.75" x14ac:dyDescent="0.2">
      <c r="A80" s="23" t="s">
        <v>335</v>
      </c>
      <c r="B80" s="224">
        <f ca="1">AVERAGEIFS(80:80,$1:$1,"&gt;="&amp;DATE(YEAR(Current_Month),MONTH(Current_Month)-2,DAY(Current_Month)),$1:$1,"&lt;="&amp;EOMONTH(Current_Month,0))</f>
        <v>40500</v>
      </c>
      <c r="D80" s="115">
        <f t="array" aca="1" ref="D80" ca="1">INDEX(INDIRECT("PnL_"&amp;TEXT(D$1,"mmm")&amp;"_"&amp;TEXT(D$1,"yyyy")),MATCH(TRIM($A80),PnL_Accounts,0))</f>
        <v>10000</v>
      </c>
      <c r="E80" s="115">
        <f t="array" aca="1" ref="E80" ca="1">INDEX(INDIRECT("PnL_"&amp;TEXT(E$1,"mmm")&amp;"_"&amp;TEXT(E$1,"yyyy")),MATCH(TRIM($A80),PnL_Accounts,0))</f>
        <v>10000</v>
      </c>
      <c r="F80" s="115">
        <f t="array" aca="1" ref="F80" ca="1">INDEX(INDIRECT("PnL_"&amp;TEXT(F$1,"mmm")&amp;"_"&amp;TEXT(F$1,"yyyy")),MATCH(TRIM($A80),PnL_Accounts,0))</f>
        <v>15000</v>
      </c>
      <c r="G80" s="115">
        <f t="array" aca="1" ref="G80" ca="1">INDEX(INDIRECT("PnL_"&amp;TEXT(G$1,"mmm")&amp;"_"&amp;TEXT(G$1,"yyyy")),MATCH(TRIM($A80),PnL_Accounts,0))</f>
        <v>15000</v>
      </c>
      <c r="H80" s="115">
        <f t="array" aca="1" ref="H80" ca="1">INDEX(INDIRECT("PnL_"&amp;TEXT(H$1,"mmm")&amp;"_"&amp;TEXT(H$1,"yyyy")),MATCH(TRIM($A80),PnL_Accounts,0))</f>
        <v>15000</v>
      </c>
      <c r="I80" s="115">
        <f t="array" aca="1" ref="I80" ca="1">INDEX(INDIRECT("PnL_"&amp;TEXT(I$1,"mmm")&amp;"_"&amp;TEXT(I$1,"yyyy")),MATCH(TRIM($A80),PnL_Accounts,0))</f>
        <v>20000</v>
      </c>
      <c r="J80" s="115">
        <f t="array" aca="1" ref="J80" ca="1">INDEX(INDIRECT("PnL_"&amp;TEXT(J$1,"mmm")&amp;"_"&amp;TEXT(J$1,"yyyy")),MATCH(TRIM($A80),PnL_Accounts,0))</f>
        <v>24500</v>
      </c>
      <c r="K80" s="115">
        <f t="array" aca="1" ref="K80" ca="1">INDEX(INDIRECT("PnL_"&amp;TEXT(K$1,"mmm")&amp;"_"&amp;TEXT(K$1,"yyyy")),MATCH(TRIM($A80),PnL_Accounts,0))</f>
        <v>24500</v>
      </c>
      <c r="L80" s="115">
        <f t="array" aca="1" ref="L80" ca="1">INDEX(INDIRECT("PnL_"&amp;TEXT(L$1,"mmm")&amp;"_"&amp;TEXT(L$1,"yyyy")),MATCH(TRIM($A80),PnL_Accounts,0))</f>
        <v>24500</v>
      </c>
      <c r="M80" s="115">
        <f t="array" aca="1" ref="M80" ca="1">INDEX(INDIRECT("PnL_"&amp;TEXT(M$1,"mmm")&amp;"_"&amp;TEXT(M$1,"yyyy")),MATCH(TRIM($A80),PnL_Accounts,0))</f>
        <v>30000</v>
      </c>
      <c r="N80" s="115">
        <f t="array" aca="1" ref="N80" ca="1">INDEX(INDIRECT("PnL_"&amp;TEXT(N$1,"mmm")&amp;"_"&amp;TEXT(N$1,"yyyy")),MATCH(TRIM($A80),PnL_Accounts,0))</f>
        <v>30000</v>
      </c>
      <c r="O80" s="115">
        <f t="array" aca="1" ref="O80" ca="1">INDEX(INDIRECT("PnL_"&amp;TEXT(O$1,"mmm")&amp;"_"&amp;TEXT(O$1,"yyyy")),MATCH(TRIM($A80),PnL_Accounts,0))</f>
        <v>35000</v>
      </c>
      <c r="P80" s="115">
        <f t="array" aca="1" ref="P80" ca="1">INDEX(INDIRECT("PnL_"&amp;TEXT(P$1,"mmm")&amp;"_"&amp;TEXT(P$1,"yyyy")),MATCH(TRIM($A80),PnL_Accounts,0))</f>
        <v>35000</v>
      </c>
      <c r="Q80" s="115">
        <f t="array" aca="1" ref="Q80" ca="1">INDEX(INDIRECT("PnL_"&amp;TEXT(Q$1,"mmm")&amp;"_"&amp;TEXT(Q$1,"yyyy")),MATCH(TRIM($A80),PnL_Accounts,0))</f>
        <v>40500</v>
      </c>
      <c r="R80" s="115">
        <f t="array" aca="1" ref="R80" ca="1">INDEX(INDIRECT("PnL_"&amp;TEXT(R$1,"mmm")&amp;"_"&amp;TEXT(R$1,"yyyy")),MATCH(TRIM($A80),PnL_Accounts,0))</f>
        <v>40500</v>
      </c>
      <c r="S80" s="115">
        <f t="array" aca="1" ref="S80" ca="1">INDEX(INDIRECT("PnL_"&amp;TEXT(S$1,"mmm")&amp;"_"&amp;TEXT(S$1,"yyyy")),MATCH(TRIM($A80),PnL_Accounts,0))</f>
        <v>40500</v>
      </c>
      <c r="T80" s="115">
        <f t="array" aca="1" ref="T80" ca="1">INDEX(INDIRECT("PnL_"&amp;TEXT(T$1,"mmm")&amp;"_"&amp;TEXT(T$1,"yyyy")),MATCH(TRIM($A80),PnL_Accounts,0))</f>
        <v>40500</v>
      </c>
      <c r="U80" s="115">
        <f t="array" aca="1" ref="U80" ca="1">INDEX(INDIRECT("PnL_"&amp;TEXT(U$1,"mmm")&amp;"_"&amp;TEXT(U$1,"yyyy")),MATCH(TRIM($A80),PnL_Accounts,0))</f>
        <v>40500</v>
      </c>
      <c r="V80" s="115">
        <f t="array" aca="1" ref="V80" ca="1">INDEX(INDIRECT("PnL_"&amp;TEXT(V$1,"mmm")&amp;"_"&amp;TEXT(V$1,"yyyy")),MATCH(TRIM($A80),PnL_Accounts,0))</f>
        <v>40500</v>
      </c>
      <c r="W80" s="115">
        <f t="array" aca="1" ref="W80" ca="1">INDEX(INDIRECT("PnL_"&amp;TEXT(W$1,"mmm")&amp;"_"&amp;TEXT(W$1,"yyyy")),MATCH(TRIM($A80),PnL_Accounts,0))</f>
        <v>40500</v>
      </c>
      <c r="X80" s="115">
        <f t="array" aca="1" ref="X80" ca="1">INDEX(INDIRECT("PnL_"&amp;TEXT(X$1,"mmm")&amp;"_"&amp;TEXT(X$1,"yyyy")),MATCH(TRIM($A80),PnL_Accounts,0))</f>
        <v>40500</v>
      </c>
      <c r="Y80" s="115">
        <f t="array" aca="1" ref="Y80" ca="1">INDEX(INDIRECT("PnL_"&amp;TEXT(Y$1,"mmm")&amp;"_"&amp;TEXT(Y$1,"yyyy")),MATCH(TRIM($A80),PnL_Accounts,0))</f>
        <v>40500</v>
      </c>
      <c r="Z80" s="115">
        <f t="array" aca="1" ref="Z80" ca="1">INDEX(INDIRECT("PnL_"&amp;TEXT(Z$1,"mmm")&amp;"_"&amp;TEXT(Z$1,"yyyy")),MATCH(TRIM($A80),PnL_Accounts,0))</f>
        <v>40500</v>
      </c>
      <c r="AA80" s="115">
        <f t="array" aca="1" ref="AA80" ca="1">INDEX(INDIRECT("PnL_"&amp;TEXT(AA$1,"mmm")&amp;"_"&amp;TEXT(AA$1,"yyyy")),MATCH(TRIM($A80),PnL_Accounts,0))</f>
        <v>40500</v>
      </c>
      <c r="AB80" s="115">
        <f t="array" aca="1" ref="AB80" ca="1">INDEX(INDIRECT("PnL_"&amp;TEXT(AB$1,"mmm")&amp;"_"&amp;TEXT(AB$1,"yyyy")),MATCH(TRIM($A80),PnL_Accounts,0))</f>
        <v>40500</v>
      </c>
      <c r="AC80" s="115">
        <f t="array" aca="1" ref="AC80" ca="1">INDEX(INDIRECT("PnL_"&amp;TEXT(AC$1,"mmm")&amp;"_"&amp;TEXT(AC$1,"yyyy")),MATCH(TRIM($A80),PnL_Accounts,0))</f>
        <v>40500</v>
      </c>
      <c r="AD80" s="115">
        <f t="array" aca="1" ref="AD80" ca="1">INDEX(INDIRECT("PnL_"&amp;TEXT(AD$1,"mmm")&amp;"_"&amp;TEXT(AD$1,"yyyy")),MATCH(TRIM($A80),PnL_Accounts,0))</f>
        <v>40500</v>
      </c>
      <c r="AE80" s="115">
        <f t="array" aca="1" ref="AE80" ca="1">INDEX(INDIRECT("PnL_"&amp;TEXT(AE$1,"mmm")&amp;"_"&amp;TEXT(AE$1,"yyyy")),MATCH(TRIM($A80),PnL_Accounts,0))</f>
        <v>40500</v>
      </c>
      <c r="AF80" s="25">
        <f t="array" ref="AF80">INDEX(Hiring_Plan_Salaries_Sales,MATCH(AF$1,Hiring_Plan_Months,0))</f>
        <v>37500</v>
      </c>
      <c r="AG80" s="25">
        <f t="array" ref="AG80">INDEX(Hiring_Plan_Salaries_Sales,MATCH(AG$1,Hiring_Plan_Months,0))</f>
        <v>37500</v>
      </c>
      <c r="AH80" s="25">
        <f t="array" ref="AH80">INDEX(Hiring_Plan_Salaries_Sales,MATCH(AH$1,Hiring_Plan_Months,0))</f>
        <v>37500</v>
      </c>
      <c r="AI80" s="25">
        <f t="array" ref="AI80">INDEX(Hiring_Plan_Salaries_Sales,MATCH(AI$1,Hiring_Plan_Months,0))</f>
        <v>37500</v>
      </c>
      <c r="AJ80" s="25">
        <f t="array" ref="AJ80">INDEX(Hiring_Plan_Salaries_Sales,MATCH(AJ$1,Hiring_Plan_Months,0))</f>
        <v>37500</v>
      </c>
      <c r="AK80" s="25">
        <f t="array" ref="AK80">INDEX(Hiring_Plan_Salaries_Sales,MATCH(AK$1,Hiring_Plan_Months,0))</f>
        <v>55833.333333333336</v>
      </c>
      <c r="AL80" s="25">
        <f t="array" ref="AL80">INDEX(Hiring_Plan_Salaries_Sales,MATCH(AL$1,Hiring_Plan_Months,0))</f>
        <v>55833.333333333336</v>
      </c>
      <c r="AM80" s="25">
        <f t="array" ref="AM80">INDEX(Hiring_Plan_Salaries_Sales,MATCH(AM$1,Hiring_Plan_Months,0))</f>
        <v>74166.666666666672</v>
      </c>
      <c r="AN80" s="25">
        <f t="array" ref="AN80">INDEX(Hiring_Plan_Salaries_Sales,MATCH(AN$1,Hiring_Plan_Months,0))</f>
        <v>74166.666666666672</v>
      </c>
      <c r="AO80" s="25">
        <f t="array" ref="AO80">INDEX(Hiring_Plan_Salaries_Sales,MATCH(AO$1,Hiring_Plan_Months,0))</f>
        <v>92499.999999999985</v>
      </c>
      <c r="AP80" s="25">
        <f t="array" ref="AP80">INDEX(Hiring_Plan_Salaries_Sales,MATCH(AP$1,Hiring_Plan_Months,0))</f>
        <v>92499.999999999985</v>
      </c>
      <c r="AQ80" s="25">
        <f t="array" ref="AQ80">INDEX(Hiring_Plan_Salaries_Sales,MATCH(AQ$1,Hiring_Plan_Months,0))</f>
        <v>110833.33333333331</v>
      </c>
      <c r="AR80" s="25">
        <f t="array" ref="AR80">INDEX(Hiring_Plan_Salaries_Sales,MATCH(AR$1,Hiring_Plan_Months,0))</f>
        <v>110833.33333333331</v>
      </c>
      <c r="AS80" s="25">
        <f t="array" ref="AS80">INDEX(Hiring_Plan_Salaries_Sales,MATCH(AS$1,Hiring_Plan_Months,0))</f>
        <v>110833.33333333331</v>
      </c>
      <c r="AT80" s="25">
        <f t="array" ref="AT80">INDEX(Hiring_Plan_Salaries_Sales,MATCH(AT$1,Hiring_Plan_Months,0))</f>
        <v>110833.33333333331</v>
      </c>
      <c r="AU80" s="25">
        <f t="array" ref="AU80">INDEX(Hiring_Plan_Salaries_Sales,MATCH(AU$1,Hiring_Plan_Months,0))</f>
        <v>110833.33333333331</v>
      </c>
      <c r="AV80" s="25">
        <f t="array" ref="AV80">INDEX(Hiring_Plan_Salaries_Sales,MATCH(AV$1,Hiring_Plan_Months,0))</f>
        <v>110833.33333333331</v>
      </c>
      <c r="AW80" s="25">
        <f t="array" ref="AW80">INDEX(Hiring_Plan_Salaries_Sales,MATCH(AW$1,Hiring_Plan_Months,0))</f>
        <v>110833.33333333331</v>
      </c>
      <c r="AX80" s="25">
        <f t="array" ref="AX80">INDEX(Hiring_Plan_Salaries_Sales,MATCH(AX$1,Hiring_Plan_Months,0))</f>
        <v>110833.33333333331</v>
      </c>
      <c r="AY80" s="25">
        <f t="array" ref="AY80">INDEX(Hiring_Plan_Salaries_Sales,MATCH(AY$1,Hiring_Plan_Months,0))</f>
        <v>110833.33333333331</v>
      </c>
      <c r="AZ80" s="25">
        <f t="array" ref="AZ80">INDEX(Hiring_Plan_Salaries_Sales,MATCH(AZ$1,Hiring_Plan_Months,0))</f>
        <v>110833.33333333331</v>
      </c>
      <c r="BA80" s="25">
        <f t="array" ref="BA80">INDEX(Hiring_Plan_Salaries_Sales,MATCH(BA$1,Hiring_Plan_Months,0))</f>
        <v>110833.33333333331</v>
      </c>
      <c r="BB80" s="25">
        <f t="array" ref="BB80">INDEX(Hiring_Plan_Salaries_Sales,MATCH(BB$1,Hiring_Plan_Months,0))</f>
        <v>110833.33333333331</v>
      </c>
      <c r="BC80" s="25">
        <f t="array" ref="BC80">INDEX(Hiring_Plan_Salaries_Sales,MATCH(BC$1,Hiring_Plan_Months,0))</f>
        <v>110833.33333333331</v>
      </c>
      <c r="BD80" s="25">
        <f t="array" ref="BD80">INDEX(Hiring_Plan_Salaries_Sales,MATCH(BD$1,Hiring_Plan_Months,0))</f>
        <v>110833.33333333331</v>
      </c>
      <c r="BE80" s="25">
        <f t="array" ref="BE80">INDEX(Hiring_Plan_Salaries_Sales,MATCH(BE$1,Hiring_Plan_Months,0))</f>
        <v>110833.33333333331</v>
      </c>
      <c r="BF80" s="25">
        <f t="array" ref="BF80">INDEX(Hiring_Plan_Salaries_Sales,MATCH(BF$1,Hiring_Plan_Months,0))</f>
        <v>110833.33333333331</v>
      </c>
      <c r="BG80" s="25">
        <f t="array" ref="BG80">INDEX(Hiring_Plan_Salaries_Sales,MATCH(BG$1,Hiring_Plan_Months,0))</f>
        <v>110833.33333333331</v>
      </c>
      <c r="BH80" s="25">
        <f t="array" ref="BH80">INDEX(Hiring_Plan_Salaries_Sales,MATCH(BH$1,Hiring_Plan_Months,0))</f>
        <v>110833.33333333331</v>
      </c>
      <c r="BI80" s="25">
        <f t="array" ref="BI80">INDEX(Hiring_Plan_Salaries_Sales,MATCH(BI$1,Hiring_Plan_Months,0))</f>
        <v>110833.33333333331</v>
      </c>
      <c r="BJ80" s="25">
        <f t="array" ref="BJ80">INDEX(Hiring_Plan_Salaries_Sales,MATCH(BJ$1,Hiring_Plan_Months,0))</f>
        <v>110833.33333333331</v>
      </c>
      <c r="BK80" s="25">
        <f t="array" ref="BK80">INDEX(Hiring_Plan_Salaries_Sales,MATCH(BK$1,Hiring_Plan_Months,0))</f>
        <v>110833.33333333331</v>
      </c>
      <c r="BL80" s="25">
        <f t="array" ref="BL80">INDEX(Hiring_Plan_Salaries_Sales,MATCH(BL$1,Hiring_Plan_Months,0))</f>
        <v>110833.33333333331</v>
      </c>
      <c r="BM80" s="25">
        <f t="array" ref="BM80">INDEX(Hiring_Plan_Salaries_Sales,MATCH(BM$1,Hiring_Plan_Months,0))</f>
        <v>110833.33333333331</v>
      </c>
      <c r="BN80" s="25">
        <f t="array" ref="BN80">INDEX(Hiring_Plan_Salaries_Sales,MATCH(BN$1,Hiring_Plan_Months,0))</f>
        <v>110833.33333333331</v>
      </c>
      <c r="BO80" s="25">
        <f t="array" ref="BO80">INDEX(Hiring_Plan_Salaries_Sales,MATCH(BO$1,Hiring_Plan_Months,0))</f>
        <v>110833.33333333331</v>
      </c>
      <c r="BP80" s="25">
        <f t="array" ref="BP80">INDEX(Hiring_Plan_Salaries_Sales,MATCH(BP$1,Hiring_Plan_Months,0))</f>
        <v>110833.33333333331</v>
      </c>
      <c r="BQ80" s="25">
        <f t="array" ref="BQ80">INDEX(Hiring_Plan_Salaries_Sales,MATCH(BQ$1,Hiring_Plan_Months,0))</f>
        <v>110833.33333333331</v>
      </c>
      <c r="BR80" s="25">
        <f t="array" ref="BR80">INDEX(Hiring_Plan_Salaries_Sales,MATCH(BR$1,Hiring_Plan_Months,0))</f>
        <v>110833.33333333331</v>
      </c>
      <c r="BS80" s="25">
        <f t="array" ref="BS80">INDEX(Hiring_Plan_Salaries_Sales,MATCH(BS$1,Hiring_Plan_Months,0))</f>
        <v>110833.33333333331</v>
      </c>
      <c r="BT80" s="25">
        <f t="array" ref="BT80">INDEX(Hiring_Plan_Salaries_Sales,MATCH(BT$1,Hiring_Plan_Months,0))</f>
        <v>110833.33333333331</v>
      </c>
      <c r="BU80" s="25">
        <f t="array" ref="BU80">INDEX(Hiring_Plan_Salaries_Sales,MATCH(BU$1,Hiring_Plan_Months,0))</f>
        <v>110833.33333333331</v>
      </c>
      <c r="BV80" s="25">
        <f t="array" ref="BV80">INDEX(Hiring_Plan_Salaries_Sales,MATCH(BV$1,Hiring_Plan_Months,0))</f>
        <v>110833.33333333331</v>
      </c>
      <c r="BW80" s="25">
        <f t="array" ref="BW80">INDEX(Hiring_Plan_Salaries_Sales,MATCH(BW$1,Hiring_Plan_Months,0))</f>
        <v>110833.33333333331</v>
      </c>
    </row>
    <row r="81" spans="1:75" ht="12.75" x14ac:dyDescent="0.2">
      <c r="A81" s="60" t="s">
        <v>336</v>
      </c>
      <c r="B81" s="238"/>
      <c r="C81" s="212"/>
      <c r="D81" s="226">
        <f t="shared" ref="D81:BW81" ca="1" si="43">SUM(D77:D80)</f>
        <v>22946</v>
      </c>
      <c r="E81" s="226">
        <f t="shared" ca="1" si="43"/>
        <v>25460</v>
      </c>
      <c r="F81" s="226">
        <f t="shared" ca="1" si="43"/>
        <v>37962</v>
      </c>
      <c r="G81" s="226">
        <f t="shared" ca="1" si="43"/>
        <v>38809</v>
      </c>
      <c r="H81" s="226">
        <f t="shared" ca="1" si="43"/>
        <v>44215</v>
      </c>
      <c r="I81" s="226">
        <f t="shared" ca="1" si="43"/>
        <v>39264</v>
      </c>
      <c r="J81" s="226">
        <f t="shared" ca="1" si="43"/>
        <v>52535</v>
      </c>
      <c r="K81" s="226">
        <f t="shared" ca="1" si="43"/>
        <v>53627</v>
      </c>
      <c r="L81" s="226">
        <f t="shared" ca="1" si="43"/>
        <v>54490</v>
      </c>
      <c r="M81" s="226">
        <f t="shared" ca="1" si="43"/>
        <v>63489</v>
      </c>
      <c r="N81" s="226">
        <f t="shared" ca="1" si="43"/>
        <v>62077</v>
      </c>
      <c r="O81" s="226">
        <f t="shared" ca="1" si="43"/>
        <v>71262</v>
      </c>
      <c r="P81" s="226">
        <f t="shared" ca="1" si="43"/>
        <v>69404</v>
      </c>
      <c r="Q81" s="226">
        <f t="shared" ca="1" si="43"/>
        <v>77488</v>
      </c>
      <c r="R81" s="226">
        <f t="shared" ca="1" si="43"/>
        <v>79465</v>
      </c>
      <c r="S81" s="226">
        <f t="shared" ca="1" si="43"/>
        <v>78632</v>
      </c>
      <c r="T81" s="226">
        <f t="shared" ca="1" si="43"/>
        <v>83837</v>
      </c>
      <c r="U81" s="226">
        <f t="shared" ca="1" si="43"/>
        <v>82817</v>
      </c>
      <c r="V81" s="226">
        <f t="shared" ca="1" si="43"/>
        <v>83683</v>
      </c>
      <c r="W81" s="226">
        <f t="shared" ca="1" si="43"/>
        <v>84440</v>
      </c>
      <c r="X81" s="226">
        <f t="shared" ca="1" si="43"/>
        <v>87510</v>
      </c>
      <c r="Y81" s="226">
        <f t="shared" ca="1" si="43"/>
        <v>90276</v>
      </c>
      <c r="Z81" s="226">
        <f t="shared" ca="1" si="43"/>
        <v>95506</v>
      </c>
      <c r="AA81" s="226">
        <f t="shared" ca="1" si="43"/>
        <v>97728</v>
      </c>
      <c r="AB81" s="226">
        <f t="shared" ca="1" si="43"/>
        <v>97728</v>
      </c>
      <c r="AC81" s="226">
        <f t="shared" ca="1" si="43"/>
        <v>104845</v>
      </c>
      <c r="AD81" s="226">
        <f t="shared" ca="1" si="43"/>
        <v>84838</v>
      </c>
      <c r="AE81" s="226">
        <f t="shared" ca="1" si="43"/>
        <v>81710</v>
      </c>
      <c r="AF81" s="226">
        <f t="shared" ca="1" si="43"/>
        <v>86949.689519098916</v>
      </c>
      <c r="AG81" s="226">
        <f t="shared" ca="1" si="43"/>
        <v>86758.160259887023</v>
      </c>
      <c r="AH81" s="226">
        <f t="shared" ca="1" si="43"/>
        <v>87165.635720745428</v>
      </c>
      <c r="AI81" s="226">
        <f t="shared" ca="1" si="43"/>
        <v>87709.181372006162</v>
      </c>
      <c r="AJ81" s="226">
        <f t="shared" ca="1" si="43"/>
        <v>88591.763145226621</v>
      </c>
      <c r="AK81" s="226">
        <f t="shared" ca="1" si="43"/>
        <v>111312.11659419003</v>
      </c>
      <c r="AL81" s="226">
        <f t="shared" ca="1" si="43"/>
        <v>112259.14168376316</v>
      </c>
      <c r="AM81" s="226">
        <f t="shared" ca="1" si="43"/>
        <v>134978.24932437279</v>
      </c>
      <c r="AN81" s="226">
        <f t="shared" ca="1" si="43"/>
        <v>135974.75308156462</v>
      </c>
      <c r="AO81" s="226">
        <f t="shared" ca="1" si="43"/>
        <v>158750.21556046401</v>
      </c>
      <c r="AP81" s="226">
        <f t="shared" ca="1" si="43"/>
        <v>159800.28177051072</v>
      </c>
      <c r="AQ81" s="226">
        <f t="shared" ca="1" si="43"/>
        <v>182628.07089968209</v>
      </c>
      <c r="AR81" s="226">
        <f t="shared" ca="1" si="43"/>
        <v>183799.53978533094</v>
      </c>
      <c r="AS81" s="226">
        <f t="shared" ca="1" si="43"/>
        <v>184962.45704716427</v>
      </c>
      <c r="AT81" s="226">
        <f t="shared" ca="1" si="43"/>
        <v>186185.31342777048</v>
      </c>
      <c r="AU81" s="226">
        <f t="shared" ca="1" si="43"/>
        <v>187399.49635680387</v>
      </c>
      <c r="AV81" s="226">
        <f t="shared" ca="1" si="43"/>
        <v>188673.10273683493</v>
      </c>
      <c r="AW81" s="226">
        <f t="shared" ca="1" si="43"/>
        <v>190005.76230157696</v>
      </c>
      <c r="AX81" s="226">
        <f t="shared" ca="1" si="43"/>
        <v>191328.94386721522</v>
      </c>
      <c r="AY81" s="226">
        <f t="shared" ca="1" si="43"/>
        <v>192710.7968566597</v>
      </c>
      <c r="AZ81" s="226">
        <f t="shared" ca="1" si="43"/>
        <v>194554.8707623595</v>
      </c>
      <c r="BA81" s="226">
        <f t="shared" ca="1" si="43"/>
        <v>196454.26688523029</v>
      </c>
      <c r="BB81" s="226">
        <f t="shared" ca="1" si="43"/>
        <v>198410.6448917872</v>
      </c>
      <c r="BC81" s="226">
        <f t="shared" ca="1" si="43"/>
        <v>200425.71423854082</v>
      </c>
      <c r="BD81" s="226">
        <f t="shared" ca="1" si="43"/>
        <v>202501.23566569705</v>
      </c>
      <c r="BE81" s="226">
        <f t="shared" ca="1" si="43"/>
        <v>204639.02273566794</v>
      </c>
      <c r="BF81" s="226">
        <f t="shared" ca="1" si="43"/>
        <v>206840.94341773799</v>
      </c>
      <c r="BG81" s="226">
        <f t="shared" ca="1" si="43"/>
        <v>209108.92172027013</v>
      </c>
      <c r="BH81" s="226">
        <f t="shared" ca="1" si="43"/>
        <v>211444.93937187825</v>
      </c>
      <c r="BI81" s="226">
        <f t="shared" ca="1" si="43"/>
        <v>213851.03755303461</v>
      </c>
      <c r="BJ81" s="226">
        <f t="shared" ca="1" si="43"/>
        <v>216329.31867962563</v>
      </c>
      <c r="BK81" s="226">
        <f t="shared" ca="1" si="43"/>
        <v>218881.9482400144</v>
      </c>
      <c r="BL81" s="226">
        <f t="shared" ca="1" si="43"/>
        <v>221511.15668721483</v>
      </c>
      <c r="BM81" s="226">
        <f t="shared" ca="1" si="43"/>
        <v>224219.24138783128</v>
      </c>
      <c r="BN81" s="226">
        <f t="shared" ca="1" si="43"/>
        <v>227008.56862946623</v>
      </c>
      <c r="BO81" s="226">
        <f t="shared" ca="1" si="43"/>
        <v>229881.57568835022</v>
      </c>
      <c r="BP81" s="226">
        <f t="shared" ca="1" si="43"/>
        <v>232840.77295900072</v>
      </c>
      <c r="BQ81" s="226">
        <f t="shared" ca="1" si="43"/>
        <v>235888.74614777075</v>
      </c>
      <c r="BR81" s="226">
        <f t="shared" ca="1" si="43"/>
        <v>239028.15853220387</v>
      </c>
      <c r="BS81" s="226">
        <f t="shared" ca="1" si="43"/>
        <v>242261.75328817</v>
      </c>
      <c r="BT81" s="226">
        <f t="shared" ca="1" si="43"/>
        <v>245592.35588681512</v>
      </c>
      <c r="BU81" s="226">
        <f t="shared" ca="1" si="43"/>
        <v>249022.87656341956</v>
      </c>
      <c r="BV81" s="226">
        <f t="shared" ca="1" si="43"/>
        <v>252556.31286032216</v>
      </c>
      <c r="BW81" s="226">
        <f t="shared" ca="1" si="43"/>
        <v>256195.75224613183</v>
      </c>
    </row>
    <row r="82" spans="1:75" ht="12.75" x14ac:dyDescent="0.2">
      <c r="A82" s="23" t="s">
        <v>407</v>
      </c>
      <c r="B82" s="224">
        <f ca="1">AVERAGEIFS(82:82,$1:$1,"&gt;="&amp;DATE(YEAR(Current_Month),MONTH(Current_Month)-2,DAY(Current_Month)),$1:$1,"&lt;="&amp;EOMONTH(Current_Month,0))</f>
        <v>4618.333333333333</v>
      </c>
      <c r="D82" s="115">
        <f t="array" aca="1" ref="D82" ca="1">INDEX(INDIRECT("PnL_"&amp;TEXT(D$1,"mmm")&amp;"_"&amp;TEXT(D$1,"yyyy")),MATCH(TRIM($A82),PnL_Accounts,0))</f>
        <v>77</v>
      </c>
      <c r="E82" s="115">
        <f t="array" aca="1" ref="E82" ca="1">INDEX(INDIRECT("PnL_"&amp;TEXT(E$1,"mmm")&amp;"_"&amp;TEXT(E$1,"yyyy")),MATCH(TRIM($A82),PnL_Accounts,0))</f>
        <v>0</v>
      </c>
      <c r="F82" s="115">
        <f t="array" aca="1" ref="F82" ca="1">INDEX(INDIRECT("PnL_"&amp;TEXT(F$1,"mmm")&amp;"_"&amp;TEXT(F$1,"yyyy")),MATCH(TRIM($A82),PnL_Accounts,0))</f>
        <v>0</v>
      </c>
      <c r="G82" s="115">
        <f t="array" aca="1" ref="G82" ca="1">INDEX(INDIRECT("PnL_"&amp;TEXT(G$1,"mmm")&amp;"_"&amp;TEXT(G$1,"yyyy")),MATCH(TRIM($A82),PnL_Accounts,0))</f>
        <v>0</v>
      </c>
      <c r="H82" s="115">
        <f t="array" aca="1" ref="H82" ca="1">INDEX(INDIRECT("PnL_"&amp;TEXT(H$1,"mmm")&amp;"_"&amp;TEXT(H$1,"yyyy")),MATCH(TRIM($A82),PnL_Accounts,0))</f>
        <v>0</v>
      </c>
      <c r="I82" s="115">
        <f t="array" aca="1" ref="I82" ca="1">INDEX(INDIRECT("PnL_"&amp;TEXT(I$1,"mmm")&amp;"_"&amp;TEXT(I$1,"yyyy")),MATCH(TRIM($A82),PnL_Accounts,0))</f>
        <v>0</v>
      </c>
      <c r="J82" s="115">
        <f t="array" aca="1" ref="J82" ca="1">INDEX(INDIRECT("PnL_"&amp;TEXT(J$1,"mmm")&amp;"_"&amp;TEXT(J$1,"yyyy")),MATCH(TRIM($A82),PnL_Accounts,0))</f>
        <v>0</v>
      </c>
      <c r="K82" s="115">
        <f t="array" aca="1" ref="K82" ca="1">INDEX(INDIRECT("PnL_"&amp;TEXT(K$1,"mmm")&amp;"_"&amp;TEXT(K$1,"yyyy")),MATCH(TRIM($A82),PnL_Accounts,0))</f>
        <v>0</v>
      </c>
      <c r="L82" s="115">
        <f t="array" aca="1" ref="L82" ca="1">INDEX(INDIRECT("PnL_"&amp;TEXT(L$1,"mmm")&amp;"_"&amp;TEXT(L$1,"yyyy")),MATCH(TRIM($A82),PnL_Accounts,0))</f>
        <v>0</v>
      </c>
      <c r="M82" s="115">
        <f t="array" aca="1" ref="M82" ca="1">INDEX(INDIRECT("PnL_"&amp;TEXT(M$1,"mmm")&amp;"_"&amp;TEXT(M$1,"yyyy")),MATCH(TRIM($A82),PnL_Accounts,0))</f>
        <v>0</v>
      </c>
      <c r="N82" s="115">
        <f t="array" aca="1" ref="N82" ca="1">INDEX(INDIRECT("PnL_"&amp;TEXT(N$1,"mmm")&amp;"_"&amp;TEXT(N$1,"yyyy")),MATCH(TRIM($A82),PnL_Accounts,0))</f>
        <v>0</v>
      </c>
      <c r="O82" s="115">
        <f t="array" aca="1" ref="O82" ca="1">INDEX(INDIRECT("PnL_"&amp;TEXT(O$1,"mmm")&amp;"_"&amp;TEXT(O$1,"yyyy")),MATCH(TRIM($A82),PnL_Accounts,0))</f>
        <v>0</v>
      </c>
      <c r="P82" s="115">
        <f t="array" aca="1" ref="P82" ca="1">INDEX(INDIRECT("PnL_"&amp;TEXT(P$1,"mmm")&amp;"_"&amp;TEXT(P$1,"yyyy")),MATCH(TRIM($A82),PnL_Accounts,0))</f>
        <v>2042</v>
      </c>
      <c r="Q82" s="115">
        <f t="array" aca="1" ref="Q82" ca="1">INDEX(INDIRECT("PnL_"&amp;TEXT(Q$1,"mmm")&amp;"_"&amp;TEXT(Q$1,"yyyy")),MATCH(TRIM($A82),PnL_Accounts,0))</f>
        <v>2190</v>
      </c>
      <c r="R82" s="115">
        <f t="array" aca="1" ref="R82" ca="1">INDEX(INDIRECT("PnL_"&amp;TEXT(R$1,"mmm")&amp;"_"&amp;TEXT(R$1,"yyyy")),MATCH(TRIM($A82),PnL_Accounts,0))</f>
        <v>2465</v>
      </c>
      <c r="S82" s="115">
        <f t="array" aca="1" ref="S82" ca="1">INDEX(INDIRECT("PnL_"&amp;TEXT(S$1,"mmm")&amp;"_"&amp;TEXT(S$1,"yyyy")),MATCH(TRIM($A82),PnL_Accounts,0))</f>
        <v>2747</v>
      </c>
      <c r="T82" s="115">
        <f t="array" aca="1" ref="T82" ca="1">INDEX(INDIRECT("PnL_"&amp;TEXT(T$1,"mmm")&amp;"_"&amp;TEXT(T$1,"yyyy")),MATCH(TRIM($A82),PnL_Accounts,0))</f>
        <v>2874</v>
      </c>
      <c r="U82" s="115">
        <f t="array" aca="1" ref="U82" ca="1">INDEX(INDIRECT("PnL_"&amp;TEXT(U$1,"mmm")&amp;"_"&amp;TEXT(U$1,"yyyy")),MATCH(TRIM($A82),PnL_Accounts,0))</f>
        <v>3124</v>
      </c>
      <c r="V82" s="115">
        <f t="array" aca="1" ref="V82" ca="1">INDEX(INDIRECT("PnL_"&amp;TEXT(V$1,"mmm")&amp;"_"&amp;TEXT(V$1,"yyyy")),MATCH(TRIM($A82),PnL_Accounts,0))</f>
        <v>3274</v>
      </c>
      <c r="W82" s="115">
        <f t="array" aca="1" ref="W82" ca="1">INDEX(INDIRECT("PnL_"&amp;TEXT(W$1,"mmm")&amp;"_"&amp;TEXT(W$1,"yyyy")),MATCH(TRIM($A82),PnL_Accounts,0))</f>
        <v>3414</v>
      </c>
      <c r="X82" s="115">
        <f t="array" aca="1" ref="X82" ca="1">INDEX(INDIRECT("PnL_"&amp;TEXT(X$1,"mmm")&amp;"_"&amp;TEXT(X$1,"yyyy")),MATCH(TRIM($A82),PnL_Accounts,0))</f>
        <v>3414</v>
      </c>
      <c r="Y82" s="115">
        <f t="array" aca="1" ref="Y82" ca="1">INDEX(INDIRECT("PnL_"&amp;TEXT(Y$1,"mmm")&amp;"_"&amp;TEXT(Y$1,"yyyy")),MATCH(TRIM($A82),PnL_Accounts,0))</f>
        <v>3898</v>
      </c>
      <c r="Z82" s="115">
        <f t="array" aca="1" ref="Z82" ca="1">INDEX(INDIRECT("PnL_"&amp;TEXT(Z$1,"mmm")&amp;"_"&amp;TEXT(Z$1,"yyyy")),MATCH(TRIM($A82),PnL_Accounts,0))</f>
        <v>4129</v>
      </c>
      <c r="AA82" s="115">
        <f t="array" aca="1" ref="AA82" ca="1">INDEX(INDIRECT("PnL_"&amp;TEXT(AA$1,"mmm")&amp;"_"&amp;TEXT(AA$1,"yyyy")),MATCH(TRIM($A82),PnL_Accounts,0))</f>
        <v>4243</v>
      </c>
      <c r="AB82" s="115">
        <f t="array" aca="1" ref="AB82" ca="1">INDEX(INDIRECT("PnL_"&amp;TEXT(AB$1,"mmm")&amp;"_"&amp;TEXT(AB$1,"yyyy")),MATCH(TRIM($A82),PnL_Accounts,0))</f>
        <v>4243</v>
      </c>
      <c r="AC82" s="115">
        <f t="array" aca="1" ref="AC82" ca="1">INDEX(INDIRECT("PnL_"&amp;TEXT(AC$1,"mmm")&amp;"_"&amp;TEXT(AC$1,"yyyy")),MATCH(TRIM($A82),PnL_Accounts,0))</f>
        <v>4987</v>
      </c>
      <c r="AD82" s="115">
        <f t="array" aca="1" ref="AD82" ca="1">INDEX(INDIRECT("PnL_"&amp;TEXT(AD$1,"mmm")&amp;"_"&amp;TEXT(AD$1,"yyyy")),MATCH(TRIM($A82),PnL_Accounts,0))</f>
        <v>4756</v>
      </c>
      <c r="AE82" s="115">
        <f t="array" aca="1" ref="AE82" ca="1">INDEX(INDIRECT("PnL_"&amp;TEXT(AE$1,"mmm")&amp;"_"&amp;TEXT(AE$1,"yyyy")),MATCH(TRIM($A82),PnL_Accounts,0))</f>
        <v>4112</v>
      </c>
      <c r="AF82" s="165">
        <f t="shared" ref="AF82:BW82" ca="1" si="44">$B82</f>
        <v>4618.333333333333</v>
      </c>
      <c r="AG82" s="165">
        <f t="shared" ca="1" si="44"/>
        <v>4618.333333333333</v>
      </c>
      <c r="AH82" s="165">
        <f t="shared" ca="1" si="44"/>
        <v>4618.333333333333</v>
      </c>
      <c r="AI82" s="165">
        <f t="shared" ca="1" si="44"/>
        <v>4618.333333333333</v>
      </c>
      <c r="AJ82" s="165">
        <f t="shared" ca="1" si="44"/>
        <v>4618.333333333333</v>
      </c>
      <c r="AK82" s="165">
        <f t="shared" ca="1" si="44"/>
        <v>4618.333333333333</v>
      </c>
      <c r="AL82" s="165">
        <f t="shared" ca="1" si="44"/>
        <v>4618.333333333333</v>
      </c>
      <c r="AM82" s="165">
        <f t="shared" ca="1" si="44"/>
        <v>4618.333333333333</v>
      </c>
      <c r="AN82" s="165">
        <f t="shared" ca="1" si="44"/>
        <v>4618.333333333333</v>
      </c>
      <c r="AO82" s="165">
        <f t="shared" ca="1" si="44"/>
        <v>4618.333333333333</v>
      </c>
      <c r="AP82" s="165">
        <f t="shared" ca="1" si="44"/>
        <v>4618.333333333333</v>
      </c>
      <c r="AQ82" s="165">
        <f t="shared" ca="1" si="44"/>
        <v>4618.333333333333</v>
      </c>
      <c r="AR82" s="165">
        <f t="shared" ca="1" si="44"/>
        <v>4618.333333333333</v>
      </c>
      <c r="AS82" s="165">
        <f t="shared" ca="1" si="44"/>
        <v>4618.333333333333</v>
      </c>
      <c r="AT82" s="165">
        <f t="shared" ca="1" si="44"/>
        <v>4618.333333333333</v>
      </c>
      <c r="AU82" s="165">
        <f t="shared" ca="1" si="44"/>
        <v>4618.333333333333</v>
      </c>
      <c r="AV82" s="165">
        <f t="shared" ca="1" si="44"/>
        <v>4618.333333333333</v>
      </c>
      <c r="AW82" s="165">
        <f t="shared" ca="1" si="44"/>
        <v>4618.333333333333</v>
      </c>
      <c r="AX82" s="165">
        <f t="shared" ca="1" si="44"/>
        <v>4618.333333333333</v>
      </c>
      <c r="AY82" s="165">
        <f t="shared" ca="1" si="44"/>
        <v>4618.333333333333</v>
      </c>
      <c r="AZ82" s="165">
        <f t="shared" ca="1" si="44"/>
        <v>4618.333333333333</v>
      </c>
      <c r="BA82" s="165">
        <f t="shared" ca="1" si="44"/>
        <v>4618.333333333333</v>
      </c>
      <c r="BB82" s="165">
        <f t="shared" ca="1" si="44"/>
        <v>4618.333333333333</v>
      </c>
      <c r="BC82" s="165">
        <f t="shared" ca="1" si="44"/>
        <v>4618.333333333333</v>
      </c>
      <c r="BD82" s="165">
        <f t="shared" ca="1" si="44"/>
        <v>4618.333333333333</v>
      </c>
      <c r="BE82" s="165">
        <f t="shared" ca="1" si="44"/>
        <v>4618.333333333333</v>
      </c>
      <c r="BF82" s="165">
        <f t="shared" ca="1" si="44"/>
        <v>4618.333333333333</v>
      </c>
      <c r="BG82" s="165">
        <f t="shared" ca="1" si="44"/>
        <v>4618.333333333333</v>
      </c>
      <c r="BH82" s="165">
        <f t="shared" ca="1" si="44"/>
        <v>4618.333333333333</v>
      </c>
      <c r="BI82" s="165">
        <f t="shared" ca="1" si="44"/>
        <v>4618.333333333333</v>
      </c>
      <c r="BJ82" s="165">
        <f t="shared" ca="1" si="44"/>
        <v>4618.333333333333</v>
      </c>
      <c r="BK82" s="165">
        <f t="shared" ca="1" si="44"/>
        <v>4618.333333333333</v>
      </c>
      <c r="BL82" s="165">
        <f t="shared" ca="1" si="44"/>
        <v>4618.333333333333</v>
      </c>
      <c r="BM82" s="165">
        <f t="shared" ca="1" si="44"/>
        <v>4618.333333333333</v>
      </c>
      <c r="BN82" s="165">
        <f t="shared" ca="1" si="44"/>
        <v>4618.333333333333</v>
      </c>
      <c r="BO82" s="165">
        <f t="shared" ca="1" si="44"/>
        <v>4618.333333333333</v>
      </c>
      <c r="BP82" s="165">
        <f t="shared" ca="1" si="44"/>
        <v>4618.333333333333</v>
      </c>
      <c r="BQ82" s="165">
        <f t="shared" ca="1" si="44"/>
        <v>4618.333333333333</v>
      </c>
      <c r="BR82" s="165">
        <f t="shared" ca="1" si="44"/>
        <v>4618.333333333333</v>
      </c>
      <c r="BS82" s="165">
        <f t="shared" ca="1" si="44"/>
        <v>4618.333333333333</v>
      </c>
      <c r="BT82" s="165">
        <f t="shared" ca="1" si="44"/>
        <v>4618.333333333333</v>
      </c>
      <c r="BU82" s="165">
        <f t="shared" ca="1" si="44"/>
        <v>4618.333333333333</v>
      </c>
      <c r="BV82" s="165">
        <f t="shared" ca="1" si="44"/>
        <v>4618.333333333333</v>
      </c>
      <c r="BW82" s="165">
        <f t="shared" ca="1" si="44"/>
        <v>4618.333333333333</v>
      </c>
    </row>
    <row r="83" spans="1:75" ht="12.75" x14ac:dyDescent="0.2">
      <c r="A83" s="60" t="s">
        <v>337</v>
      </c>
      <c r="B83" s="238"/>
      <c r="C83" s="212"/>
      <c r="D83" s="226">
        <f t="shared" ref="D83:BW83" ca="1" si="45">SUM(D81:D82)</f>
        <v>23023</v>
      </c>
      <c r="E83" s="226">
        <f t="shared" ca="1" si="45"/>
        <v>25460</v>
      </c>
      <c r="F83" s="226">
        <f t="shared" ca="1" si="45"/>
        <v>37962</v>
      </c>
      <c r="G83" s="226">
        <f t="shared" ca="1" si="45"/>
        <v>38809</v>
      </c>
      <c r="H83" s="226">
        <f t="shared" ca="1" si="45"/>
        <v>44215</v>
      </c>
      <c r="I83" s="226">
        <f t="shared" ca="1" si="45"/>
        <v>39264</v>
      </c>
      <c r="J83" s="226">
        <f t="shared" ca="1" si="45"/>
        <v>52535</v>
      </c>
      <c r="K83" s="226">
        <f t="shared" ca="1" si="45"/>
        <v>53627</v>
      </c>
      <c r="L83" s="226">
        <f t="shared" ca="1" si="45"/>
        <v>54490</v>
      </c>
      <c r="M83" s="226">
        <f t="shared" ca="1" si="45"/>
        <v>63489</v>
      </c>
      <c r="N83" s="226">
        <f t="shared" ca="1" si="45"/>
        <v>62077</v>
      </c>
      <c r="O83" s="226">
        <f t="shared" ca="1" si="45"/>
        <v>71262</v>
      </c>
      <c r="P83" s="226">
        <f t="shared" ca="1" si="45"/>
        <v>71446</v>
      </c>
      <c r="Q83" s="226">
        <f t="shared" ca="1" si="45"/>
        <v>79678</v>
      </c>
      <c r="R83" s="226">
        <f t="shared" ca="1" si="45"/>
        <v>81930</v>
      </c>
      <c r="S83" s="226">
        <f t="shared" ca="1" si="45"/>
        <v>81379</v>
      </c>
      <c r="T83" s="226">
        <f t="shared" ca="1" si="45"/>
        <v>86711</v>
      </c>
      <c r="U83" s="226">
        <f t="shared" ca="1" si="45"/>
        <v>85941</v>
      </c>
      <c r="V83" s="226">
        <f t="shared" ca="1" si="45"/>
        <v>86957</v>
      </c>
      <c r="W83" s="226">
        <f t="shared" ca="1" si="45"/>
        <v>87854</v>
      </c>
      <c r="X83" s="226">
        <f t="shared" ca="1" si="45"/>
        <v>90924</v>
      </c>
      <c r="Y83" s="226">
        <f t="shared" ca="1" si="45"/>
        <v>94174</v>
      </c>
      <c r="Z83" s="226">
        <f t="shared" ca="1" si="45"/>
        <v>99635</v>
      </c>
      <c r="AA83" s="226">
        <f t="shared" ca="1" si="45"/>
        <v>101971</v>
      </c>
      <c r="AB83" s="226">
        <f t="shared" ca="1" si="45"/>
        <v>101971</v>
      </c>
      <c r="AC83" s="226">
        <f t="shared" ca="1" si="45"/>
        <v>109832</v>
      </c>
      <c r="AD83" s="226">
        <f t="shared" ca="1" si="45"/>
        <v>89594</v>
      </c>
      <c r="AE83" s="226">
        <f t="shared" ca="1" si="45"/>
        <v>85822</v>
      </c>
      <c r="AF83" s="226">
        <f t="shared" ca="1" si="45"/>
        <v>91568.022852432245</v>
      </c>
      <c r="AG83" s="226">
        <f t="shared" ca="1" si="45"/>
        <v>91376.493593220352</v>
      </c>
      <c r="AH83" s="226">
        <f t="shared" ca="1" si="45"/>
        <v>91783.969054078756</v>
      </c>
      <c r="AI83" s="226">
        <f t="shared" ca="1" si="45"/>
        <v>92327.51470533949</v>
      </c>
      <c r="AJ83" s="226">
        <f t="shared" ca="1" si="45"/>
        <v>93210.09647855995</v>
      </c>
      <c r="AK83" s="226">
        <f t="shared" ca="1" si="45"/>
        <v>115930.44992752335</v>
      </c>
      <c r="AL83" s="226">
        <f t="shared" ca="1" si="45"/>
        <v>116877.47501709648</v>
      </c>
      <c r="AM83" s="226">
        <f t="shared" ca="1" si="45"/>
        <v>139596.58265770614</v>
      </c>
      <c r="AN83" s="226">
        <f t="shared" ca="1" si="45"/>
        <v>140593.08641489796</v>
      </c>
      <c r="AO83" s="226">
        <f t="shared" ca="1" si="45"/>
        <v>163368.54889379736</v>
      </c>
      <c r="AP83" s="226">
        <f t="shared" ca="1" si="45"/>
        <v>164418.61510384406</v>
      </c>
      <c r="AQ83" s="226">
        <f t="shared" ca="1" si="45"/>
        <v>187246.40423301543</v>
      </c>
      <c r="AR83" s="226">
        <f t="shared" ca="1" si="45"/>
        <v>188417.87311866428</v>
      </c>
      <c r="AS83" s="226">
        <f t="shared" ca="1" si="45"/>
        <v>189580.79038049761</v>
      </c>
      <c r="AT83" s="226">
        <f t="shared" ca="1" si="45"/>
        <v>190803.64676110382</v>
      </c>
      <c r="AU83" s="226">
        <f t="shared" ca="1" si="45"/>
        <v>192017.82969013721</v>
      </c>
      <c r="AV83" s="226">
        <f t="shared" ca="1" si="45"/>
        <v>193291.43607016827</v>
      </c>
      <c r="AW83" s="226">
        <f t="shared" ca="1" si="45"/>
        <v>194624.09563491031</v>
      </c>
      <c r="AX83" s="226">
        <f t="shared" ca="1" si="45"/>
        <v>195947.27720054856</v>
      </c>
      <c r="AY83" s="226">
        <f t="shared" ca="1" si="45"/>
        <v>197329.13018999304</v>
      </c>
      <c r="AZ83" s="226">
        <f t="shared" ca="1" si="45"/>
        <v>199173.20409569284</v>
      </c>
      <c r="BA83" s="226">
        <f t="shared" ca="1" si="45"/>
        <v>201072.60021856363</v>
      </c>
      <c r="BB83" s="226">
        <f t="shared" ca="1" si="45"/>
        <v>203028.97822512055</v>
      </c>
      <c r="BC83" s="226">
        <f t="shared" ca="1" si="45"/>
        <v>205044.04757187417</v>
      </c>
      <c r="BD83" s="226">
        <f t="shared" ca="1" si="45"/>
        <v>207119.56899903039</v>
      </c>
      <c r="BE83" s="226">
        <f t="shared" ca="1" si="45"/>
        <v>209257.35606900128</v>
      </c>
      <c r="BF83" s="226">
        <f t="shared" ca="1" si="45"/>
        <v>211459.27675107133</v>
      </c>
      <c r="BG83" s="226">
        <f t="shared" ca="1" si="45"/>
        <v>213727.25505360347</v>
      </c>
      <c r="BH83" s="226">
        <f t="shared" ca="1" si="45"/>
        <v>216063.2727052116</v>
      </c>
      <c r="BI83" s="226">
        <f t="shared" ca="1" si="45"/>
        <v>218469.37088636795</v>
      </c>
      <c r="BJ83" s="226">
        <f t="shared" ca="1" si="45"/>
        <v>220947.65201295898</v>
      </c>
      <c r="BK83" s="226">
        <f t="shared" ca="1" si="45"/>
        <v>223500.28157334775</v>
      </c>
      <c r="BL83" s="226">
        <f t="shared" ca="1" si="45"/>
        <v>226129.49002054817</v>
      </c>
      <c r="BM83" s="226">
        <f t="shared" ca="1" si="45"/>
        <v>228837.57472116462</v>
      </c>
      <c r="BN83" s="226">
        <f t="shared" ca="1" si="45"/>
        <v>231626.90196279957</v>
      </c>
      <c r="BO83" s="226">
        <f t="shared" ca="1" si="45"/>
        <v>234499.90902168356</v>
      </c>
      <c r="BP83" s="226">
        <f t="shared" ca="1" si="45"/>
        <v>237459.10629233407</v>
      </c>
      <c r="BQ83" s="226">
        <f t="shared" ca="1" si="45"/>
        <v>240507.0794811041</v>
      </c>
      <c r="BR83" s="226">
        <f t="shared" ca="1" si="45"/>
        <v>243646.49186553722</v>
      </c>
      <c r="BS83" s="226">
        <f t="shared" ca="1" si="45"/>
        <v>246880.08662150335</v>
      </c>
      <c r="BT83" s="226">
        <f t="shared" ca="1" si="45"/>
        <v>250210.68922014846</v>
      </c>
      <c r="BU83" s="226">
        <f t="shared" ca="1" si="45"/>
        <v>253641.2098967529</v>
      </c>
      <c r="BV83" s="226">
        <f t="shared" ca="1" si="45"/>
        <v>257174.6461936555</v>
      </c>
      <c r="BW83" s="226">
        <f t="shared" ca="1" si="45"/>
        <v>260814.08557946517</v>
      </c>
    </row>
    <row r="84" spans="1:75" ht="12.75" x14ac:dyDescent="0.2">
      <c r="A84" s="60" t="s">
        <v>338</v>
      </c>
      <c r="B84" s="238"/>
      <c r="C84" s="212"/>
      <c r="D84" s="213">
        <f t="shared" ref="D84:BW84" ca="1" si="46">SUM(D74,D83)</f>
        <v>73853</v>
      </c>
      <c r="E84" s="213">
        <f t="shared" ca="1" si="46"/>
        <v>78981</v>
      </c>
      <c r="F84" s="213">
        <f t="shared" ca="1" si="46"/>
        <v>93782</v>
      </c>
      <c r="G84" s="213">
        <f t="shared" ca="1" si="46"/>
        <v>97541</v>
      </c>
      <c r="H84" s="213">
        <f t="shared" ca="1" si="46"/>
        <v>106578</v>
      </c>
      <c r="I84" s="213">
        <f t="shared" ca="1" si="46"/>
        <v>103848</v>
      </c>
      <c r="J84" s="213">
        <f t="shared" ca="1" si="46"/>
        <v>132921</v>
      </c>
      <c r="K84" s="213">
        <f t="shared" ca="1" si="46"/>
        <v>139510</v>
      </c>
      <c r="L84" s="213">
        <f t="shared" ca="1" si="46"/>
        <v>163781</v>
      </c>
      <c r="M84" s="213">
        <f t="shared" ca="1" si="46"/>
        <v>184803</v>
      </c>
      <c r="N84" s="213">
        <f t="shared" ca="1" si="46"/>
        <v>204504</v>
      </c>
      <c r="O84" s="213">
        <f t="shared" ca="1" si="46"/>
        <v>224017</v>
      </c>
      <c r="P84" s="213">
        <f t="shared" ca="1" si="46"/>
        <v>236691</v>
      </c>
      <c r="Q84" s="213">
        <f t="shared" ca="1" si="46"/>
        <v>266218</v>
      </c>
      <c r="R84" s="213">
        <f t="shared" ca="1" si="46"/>
        <v>270508</v>
      </c>
      <c r="S84" s="213">
        <f t="shared" ca="1" si="46"/>
        <v>268262</v>
      </c>
      <c r="T84" s="213">
        <f t="shared" ca="1" si="46"/>
        <v>288544</v>
      </c>
      <c r="U84" s="213">
        <f t="shared" ca="1" si="46"/>
        <v>285526</v>
      </c>
      <c r="V84" s="213">
        <f t="shared" ca="1" si="46"/>
        <v>284126</v>
      </c>
      <c r="W84" s="213">
        <f t="shared" ca="1" si="46"/>
        <v>287045</v>
      </c>
      <c r="X84" s="213">
        <f t="shared" ca="1" si="46"/>
        <v>294322</v>
      </c>
      <c r="Y84" s="213">
        <f t="shared" ca="1" si="46"/>
        <v>277501</v>
      </c>
      <c r="Z84" s="213">
        <f t="shared" ca="1" si="46"/>
        <v>294377</v>
      </c>
      <c r="AA84" s="213">
        <f t="shared" ca="1" si="46"/>
        <v>308676</v>
      </c>
      <c r="AB84" s="213">
        <f t="shared" ca="1" si="46"/>
        <v>312682</v>
      </c>
      <c r="AC84" s="213">
        <f t="shared" ca="1" si="46"/>
        <v>326880</v>
      </c>
      <c r="AD84" s="213">
        <f t="shared" ca="1" si="46"/>
        <v>296642</v>
      </c>
      <c r="AE84" s="213">
        <f t="shared" ca="1" si="46"/>
        <v>284575</v>
      </c>
      <c r="AF84" s="213">
        <f t="shared" ca="1" si="46"/>
        <v>275628.6895190989</v>
      </c>
      <c r="AG84" s="213">
        <f t="shared" ca="1" si="46"/>
        <v>290437.16025988699</v>
      </c>
      <c r="AH84" s="213">
        <f t="shared" ca="1" si="46"/>
        <v>305844.63572074543</v>
      </c>
      <c r="AI84" s="213">
        <f t="shared" ca="1" si="46"/>
        <v>321388.18137200613</v>
      </c>
      <c r="AJ84" s="213">
        <f t="shared" ca="1" si="46"/>
        <v>337270.76314522664</v>
      </c>
      <c r="AK84" s="213">
        <f t="shared" ca="1" si="46"/>
        <v>384907.78326085664</v>
      </c>
      <c r="AL84" s="213">
        <f t="shared" ca="1" si="46"/>
        <v>400854.80835042981</v>
      </c>
      <c r="AM84" s="213">
        <f t="shared" ca="1" si="46"/>
        <v>448490.58265770611</v>
      </c>
      <c r="AN84" s="213">
        <f t="shared" ca="1" si="46"/>
        <v>464487.08641489793</v>
      </c>
      <c r="AO84" s="213">
        <f t="shared" ca="1" si="46"/>
        <v>512179.21556046407</v>
      </c>
      <c r="AP84" s="213">
        <f t="shared" ca="1" si="46"/>
        <v>528229.28177051072</v>
      </c>
      <c r="AQ84" s="213">
        <f t="shared" ca="1" si="46"/>
        <v>575973.73756634886</v>
      </c>
      <c r="AR84" s="213">
        <f t="shared" ca="1" si="46"/>
        <v>592145.20645199763</v>
      </c>
      <c r="AS84" s="213">
        <f t="shared" ca="1" si="46"/>
        <v>608308.12371383095</v>
      </c>
      <c r="AT84" s="213">
        <f t="shared" ca="1" si="46"/>
        <v>624530.98009443725</v>
      </c>
      <c r="AU84" s="213">
        <f t="shared" ca="1" si="46"/>
        <v>640745.16302347055</v>
      </c>
      <c r="AV84" s="213">
        <f t="shared" ca="1" si="46"/>
        <v>657018.76940350165</v>
      </c>
      <c r="AW84" s="213">
        <f t="shared" ca="1" si="46"/>
        <v>673351.42896824365</v>
      </c>
      <c r="AX84" s="213">
        <f t="shared" ca="1" si="46"/>
        <v>689674.61053388193</v>
      </c>
      <c r="AY84" s="213">
        <f t="shared" ca="1" si="46"/>
        <v>706056.46352332644</v>
      </c>
      <c r="AZ84" s="213">
        <f t="shared" ca="1" si="46"/>
        <v>699496.69979595998</v>
      </c>
      <c r="BA84" s="213">
        <f t="shared" ca="1" si="46"/>
        <v>713096.457939849</v>
      </c>
      <c r="BB84" s="213">
        <f t="shared" ca="1" si="46"/>
        <v>725243.52476565284</v>
      </c>
      <c r="BC84" s="213">
        <f t="shared" ca="1" si="46"/>
        <v>735433.01038266066</v>
      </c>
      <c r="BD84" s="213">
        <f t="shared" ca="1" si="46"/>
        <v>743166.36110339616</v>
      </c>
      <c r="BE84" s="213">
        <f t="shared" ca="1" si="46"/>
        <v>754634.76261623227</v>
      </c>
      <c r="BF84" s="213">
        <f t="shared" ca="1" si="46"/>
        <v>765548.34027630952</v>
      </c>
      <c r="BG84" s="213">
        <f t="shared" ca="1" si="46"/>
        <v>776141.66529860103</v>
      </c>
      <c r="BH84" s="213">
        <f t="shared" ca="1" si="46"/>
        <v>786842.45139119192</v>
      </c>
      <c r="BI84" s="213">
        <f t="shared" ca="1" si="46"/>
        <v>798320.34698453837</v>
      </c>
      <c r="BJ84" s="213">
        <f t="shared" ca="1" si="46"/>
        <v>809802.82476505882</v>
      </c>
      <c r="BK84" s="213">
        <f t="shared" ca="1" si="46"/>
        <v>821436.05979939178</v>
      </c>
      <c r="BL84" s="213">
        <f t="shared" ca="1" si="46"/>
        <v>833343.14074091963</v>
      </c>
      <c r="BM84" s="213">
        <f t="shared" ca="1" si="46"/>
        <v>845567.59277608199</v>
      </c>
      <c r="BN84" s="213">
        <f t="shared" ca="1" si="46"/>
        <v>857989.40515089687</v>
      </c>
      <c r="BO84" s="213">
        <f t="shared" ca="1" si="46"/>
        <v>870659.00083140866</v>
      </c>
      <c r="BP84" s="213">
        <f t="shared" ca="1" si="46"/>
        <v>883601.79529711395</v>
      </c>
      <c r="BQ84" s="213">
        <f t="shared" ca="1" si="46"/>
        <v>896817.69483720721</v>
      </c>
      <c r="BR84" s="213">
        <f t="shared" ca="1" si="46"/>
        <v>910295.21512349986</v>
      </c>
      <c r="BS84" s="213">
        <f t="shared" ca="1" si="46"/>
        <v>924051.22031382902</v>
      </c>
      <c r="BT84" s="213">
        <f t="shared" ca="1" si="46"/>
        <v>938093.81169403833</v>
      </c>
      <c r="BU84" s="213">
        <f t="shared" ca="1" si="46"/>
        <v>952426.57070197584</v>
      </c>
      <c r="BV84" s="213">
        <f t="shared" ca="1" si="46"/>
        <v>967054.04123529117</v>
      </c>
      <c r="BW84" s="213">
        <f t="shared" ca="1" si="46"/>
        <v>981984.95624408475</v>
      </c>
    </row>
    <row r="85" spans="1:75" ht="12.75" x14ac:dyDescent="0.2">
      <c r="A85" s="69" t="s">
        <v>244</v>
      </c>
      <c r="B85" s="221"/>
      <c r="D85" s="115">
        <f t="array" aca="1" ref="D85" ca="1">INDEX(INDIRECT("PnL_"&amp;TEXT(D$1,"mmm")&amp;"_"&amp;TEXT(D$1,"yyyy")),MATCH(TRIM($A84),PnL_Accounts,0))-D84</f>
        <v>0</v>
      </c>
      <c r="E85" s="115">
        <f t="array" aca="1" ref="E85" ca="1">INDEX(INDIRECT("PnL_"&amp;TEXT(E$1,"mmm")&amp;"_"&amp;TEXT(E$1,"yyyy")),MATCH(TRIM($A84),PnL_Accounts,0))-E84</f>
        <v>0</v>
      </c>
      <c r="F85" s="115">
        <f t="array" aca="1" ref="F85" ca="1">INDEX(INDIRECT("PnL_"&amp;TEXT(F$1,"mmm")&amp;"_"&amp;TEXT(F$1,"yyyy")),MATCH(TRIM($A84),PnL_Accounts,0))-F84</f>
        <v>0</v>
      </c>
      <c r="G85" s="115">
        <f t="array" aca="1" ref="G85" ca="1">INDEX(INDIRECT("PnL_"&amp;TEXT(G$1,"mmm")&amp;"_"&amp;TEXT(G$1,"yyyy")),MATCH(TRIM($A84),PnL_Accounts,0))-G84</f>
        <v>0</v>
      </c>
      <c r="H85" s="115">
        <f t="array" aca="1" ref="H85" ca="1">INDEX(INDIRECT("PnL_"&amp;TEXT(H$1,"mmm")&amp;"_"&amp;TEXT(H$1,"yyyy")),MATCH(TRIM($A84),PnL_Accounts,0))-H84</f>
        <v>0</v>
      </c>
      <c r="I85" s="115">
        <f t="array" aca="1" ref="I85" ca="1">INDEX(INDIRECT("PnL_"&amp;TEXT(I$1,"mmm")&amp;"_"&amp;TEXT(I$1,"yyyy")),MATCH(TRIM($A84),PnL_Accounts,0))-I84</f>
        <v>0</v>
      </c>
      <c r="J85" s="115">
        <f t="array" aca="1" ref="J85" ca="1">INDEX(INDIRECT("PnL_"&amp;TEXT(J$1,"mmm")&amp;"_"&amp;TEXT(J$1,"yyyy")),MATCH(TRIM($A84),PnL_Accounts,0))-J84</f>
        <v>0</v>
      </c>
      <c r="K85" s="115">
        <f t="array" aca="1" ref="K85" ca="1">INDEX(INDIRECT("PnL_"&amp;TEXT(K$1,"mmm")&amp;"_"&amp;TEXT(K$1,"yyyy")),MATCH(TRIM($A84),PnL_Accounts,0))-K84</f>
        <v>0</v>
      </c>
      <c r="L85" s="115">
        <f t="array" aca="1" ref="L85" ca="1">INDEX(INDIRECT("PnL_"&amp;TEXT(L$1,"mmm")&amp;"_"&amp;TEXT(L$1,"yyyy")),MATCH(TRIM($A84),PnL_Accounts,0))-L84</f>
        <v>0</v>
      </c>
      <c r="M85" s="115">
        <f t="array" aca="1" ref="M85" ca="1">INDEX(INDIRECT("PnL_"&amp;TEXT(M$1,"mmm")&amp;"_"&amp;TEXT(M$1,"yyyy")),MATCH(TRIM($A84),PnL_Accounts,0))-M84</f>
        <v>0</v>
      </c>
      <c r="N85" s="115">
        <f t="array" aca="1" ref="N85" ca="1">INDEX(INDIRECT("PnL_"&amp;TEXT(N$1,"mmm")&amp;"_"&amp;TEXT(N$1,"yyyy")),MATCH(TRIM($A84),PnL_Accounts,0))-N84</f>
        <v>0</v>
      </c>
      <c r="O85" s="115">
        <f t="array" aca="1" ref="O85" ca="1">INDEX(INDIRECT("PnL_"&amp;TEXT(O$1,"mmm")&amp;"_"&amp;TEXT(O$1,"yyyy")),MATCH(TRIM($A84),PnL_Accounts,0))-O84</f>
        <v>0</v>
      </c>
      <c r="P85" s="115">
        <f t="array" aca="1" ref="P85" ca="1">INDEX(INDIRECT("PnL_"&amp;TEXT(P$1,"mmm")&amp;"_"&amp;TEXT(P$1,"yyyy")),MATCH(TRIM($A84),PnL_Accounts,0))-P84</f>
        <v>0</v>
      </c>
      <c r="Q85" s="115">
        <f t="array" aca="1" ref="Q85" ca="1">INDEX(INDIRECT("PnL_"&amp;TEXT(Q$1,"mmm")&amp;"_"&amp;TEXT(Q$1,"yyyy")),MATCH(TRIM($A84),PnL_Accounts,0))-Q84</f>
        <v>0</v>
      </c>
      <c r="R85" s="115">
        <f t="array" aca="1" ref="R85" ca="1">INDEX(INDIRECT("PnL_"&amp;TEXT(R$1,"mmm")&amp;"_"&amp;TEXT(R$1,"yyyy")),MATCH(TRIM($A84),PnL_Accounts,0))-R84</f>
        <v>0</v>
      </c>
      <c r="S85" s="115">
        <f t="array" aca="1" ref="S85" ca="1">INDEX(INDIRECT("PnL_"&amp;TEXT(S$1,"mmm")&amp;"_"&amp;TEXT(S$1,"yyyy")),MATCH(TRIM($A84),PnL_Accounts,0))-S84</f>
        <v>0</v>
      </c>
      <c r="T85" s="115">
        <f t="array" aca="1" ref="T85" ca="1">INDEX(INDIRECT("PnL_"&amp;TEXT(T$1,"mmm")&amp;"_"&amp;TEXT(T$1,"yyyy")),MATCH(TRIM($A84),PnL_Accounts,0))-T84</f>
        <v>0</v>
      </c>
      <c r="U85" s="115">
        <f t="array" aca="1" ref="U85" ca="1">INDEX(INDIRECT("PnL_"&amp;TEXT(U$1,"mmm")&amp;"_"&amp;TEXT(U$1,"yyyy")),MATCH(TRIM($A84),PnL_Accounts,0))-U84</f>
        <v>0</v>
      </c>
      <c r="V85" s="115">
        <f t="array" aca="1" ref="V85" ca="1">INDEX(INDIRECT("PnL_"&amp;TEXT(V$1,"mmm")&amp;"_"&amp;TEXT(V$1,"yyyy")),MATCH(TRIM($A84),PnL_Accounts,0))-V84</f>
        <v>0</v>
      </c>
      <c r="W85" s="115">
        <f t="array" aca="1" ref="W85" ca="1">INDEX(INDIRECT("PnL_"&amp;TEXT(W$1,"mmm")&amp;"_"&amp;TEXT(W$1,"yyyy")),MATCH(TRIM($A84),PnL_Accounts,0))-W84</f>
        <v>0</v>
      </c>
      <c r="X85" s="115">
        <f t="array" aca="1" ref="X85" ca="1">INDEX(INDIRECT("PnL_"&amp;TEXT(X$1,"mmm")&amp;"_"&amp;TEXT(X$1,"yyyy")),MATCH(TRIM($A84),PnL_Accounts,0))-X84</f>
        <v>0</v>
      </c>
      <c r="Y85" s="115">
        <f t="array" aca="1" ref="Y85" ca="1">INDEX(INDIRECT("PnL_"&amp;TEXT(Y$1,"mmm")&amp;"_"&amp;TEXT(Y$1,"yyyy")),MATCH(TRIM($A84),PnL_Accounts,0))-Y84</f>
        <v>0</v>
      </c>
      <c r="Z85" s="115">
        <f t="array" aca="1" ref="Z85" ca="1">INDEX(INDIRECT("PnL_"&amp;TEXT(Z$1,"mmm")&amp;"_"&amp;TEXT(Z$1,"yyyy")),MATCH(TRIM($A84),PnL_Accounts,0))-Z84</f>
        <v>0</v>
      </c>
      <c r="AA85" s="115">
        <f t="array" aca="1" ref="AA85" ca="1">INDEX(INDIRECT("PnL_"&amp;TEXT(AA$1,"mmm")&amp;"_"&amp;TEXT(AA$1,"yyyy")),MATCH(TRIM($A84),PnL_Accounts,0))-AA84</f>
        <v>0</v>
      </c>
      <c r="AB85" s="115">
        <f t="array" aca="1" ref="AB85" ca="1">INDEX(INDIRECT("PnL_"&amp;TEXT(AB$1,"mmm")&amp;"_"&amp;TEXT(AB$1,"yyyy")),MATCH(TRIM($A84),PnL_Accounts,0))-AB84</f>
        <v>0</v>
      </c>
      <c r="AC85" s="115">
        <f t="array" aca="1" ref="AC85" ca="1">INDEX(INDIRECT("PnL_"&amp;TEXT(AC$1,"mmm")&amp;"_"&amp;TEXT(AC$1,"yyyy")),MATCH(TRIM($A84),PnL_Accounts,0))-AC84</f>
        <v>0</v>
      </c>
      <c r="AD85" s="115">
        <f t="array" aca="1" ref="AD85" ca="1">INDEX(INDIRECT("PnL_"&amp;TEXT(AD$1,"mmm")&amp;"_"&amp;TEXT(AD$1,"yyyy")),MATCH(TRIM($A84),PnL_Accounts,0))-AD84</f>
        <v>0</v>
      </c>
      <c r="AE85" s="115">
        <f t="array" aca="1" ref="AE85" ca="1">INDEX(INDIRECT("PnL_"&amp;TEXT(AE$1,"mmm")&amp;"_"&amp;TEXT(AE$1,"yyyy")),MATCH(TRIM($A84),PnL_Accounts,0))-AE84</f>
        <v>0</v>
      </c>
    </row>
    <row r="86" spans="1:75" ht="12.75" x14ac:dyDescent="0.2">
      <c r="A86" s="60" t="s">
        <v>23</v>
      </c>
      <c r="B86" s="225"/>
      <c r="C86" s="226"/>
      <c r="D86" s="226">
        <f t="shared" ref="D86:BW86" ca="1" si="47">SUM(D84,D62,D30)</f>
        <v>328011</v>
      </c>
      <c r="E86" s="226">
        <f t="shared" ca="1" si="47"/>
        <v>342504</v>
      </c>
      <c r="F86" s="226">
        <f t="shared" ca="1" si="47"/>
        <v>373037</v>
      </c>
      <c r="G86" s="226">
        <f t="shared" ca="1" si="47"/>
        <v>378693</v>
      </c>
      <c r="H86" s="226">
        <f t="shared" ca="1" si="47"/>
        <v>389569</v>
      </c>
      <c r="I86" s="226">
        <f t="shared" ca="1" si="47"/>
        <v>400628</v>
      </c>
      <c r="J86" s="226">
        <f t="shared" ca="1" si="47"/>
        <v>433445</v>
      </c>
      <c r="K86" s="226">
        <f t="shared" ca="1" si="47"/>
        <v>441986</v>
      </c>
      <c r="L86" s="226">
        <f t="shared" ca="1" si="47"/>
        <v>476779</v>
      </c>
      <c r="M86" s="226">
        <f t="shared" ca="1" si="47"/>
        <v>501961</v>
      </c>
      <c r="N86" s="226">
        <f t="shared" ca="1" si="47"/>
        <v>523426</v>
      </c>
      <c r="O86" s="226">
        <f t="shared" ca="1" si="47"/>
        <v>555326</v>
      </c>
      <c r="P86" s="226">
        <f t="shared" ca="1" si="47"/>
        <v>570318</v>
      </c>
      <c r="Q86" s="226">
        <f t="shared" ca="1" si="47"/>
        <v>603679</v>
      </c>
      <c r="R86" s="226">
        <f t="shared" ca="1" si="47"/>
        <v>612058</v>
      </c>
      <c r="S86" s="226">
        <f t="shared" ca="1" si="47"/>
        <v>612015</v>
      </c>
      <c r="T86" s="226">
        <f t="shared" ca="1" si="47"/>
        <v>642491</v>
      </c>
      <c r="U86" s="226">
        <f t="shared" ca="1" si="47"/>
        <v>638079</v>
      </c>
      <c r="V86" s="226">
        <f t="shared" ca="1" si="47"/>
        <v>637176</v>
      </c>
      <c r="W86" s="226">
        <f t="shared" ca="1" si="47"/>
        <v>643183</v>
      </c>
      <c r="X86" s="226">
        <f t="shared" ca="1" si="47"/>
        <v>652025</v>
      </c>
      <c r="Y86" s="226">
        <f t="shared" ca="1" si="47"/>
        <v>649057</v>
      </c>
      <c r="Z86" s="226">
        <f t="shared" ca="1" si="47"/>
        <v>668368</v>
      </c>
      <c r="AA86" s="226">
        <f t="shared" ca="1" si="47"/>
        <v>689501</v>
      </c>
      <c r="AB86" s="226">
        <f t="shared" ca="1" si="47"/>
        <v>693794</v>
      </c>
      <c r="AC86" s="226">
        <f t="shared" ca="1" si="47"/>
        <v>723324</v>
      </c>
      <c r="AD86" s="226">
        <f t="shared" ca="1" si="47"/>
        <v>663911</v>
      </c>
      <c r="AE86" s="226">
        <f t="shared" ca="1" si="47"/>
        <v>650853</v>
      </c>
      <c r="AF86" s="226">
        <f t="shared" ca="1" si="47"/>
        <v>583176.85618576559</v>
      </c>
      <c r="AG86" s="226">
        <f t="shared" ca="1" si="47"/>
        <v>597985.32692655362</v>
      </c>
      <c r="AH86" s="226">
        <f t="shared" ca="1" si="47"/>
        <v>613392.80238741206</v>
      </c>
      <c r="AI86" s="226">
        <f t="shared" ca="1" si="47"/>
        <v>634190.18137200619</v>
      </c>
      <c r="AJ86" s="226">
        <f t="shared" ca="1" si="47"/>
        <v>650072.76314522664</v>
      </c>
      <c r="AK86" s="226">
        <f t="shared" ca="1" si="47"/>
        <v>720884.44992752327</v>
      </c>
      <c r="AL86" s="226">
        <f t="shared" ca="1" si="47"/>
        <v>736831.4750170965</v>
      </c>
      <c r="AM86" s="226">
        <f t="shared" ca="1" si="47"/>
        <v>784467.24932437285</v>
      </c>
      <c r="AN86" s="226">
        <f t="shared" ca="1" si="47"/>
        <v>817442.9197482313</v>
      </c>
      <c r="AO86" s="226">
        <f t="shared" ca="1" si="47"/>
        <v>865135.04889379744</v>
      </c>
      <c r="AP86" s="226">
        <f t="shared" ca="1" si="47"/>
        <v>881185.11510384409</v>
      </c>
      <c r="AQ86" s="226">
        <f t="shared" ca="1" si="47"/>
        <v>945908.73756634886</v>
      </c>
      <c r="AR86" s="226">
        <f t="shared" ca="1" si="47"/>
        <v>962080.20645199763</v>
      </c>
      <c r="AS86" s="226">
        <f t="shared" ca="1" si="47"/>
        <v>978243.12371383095</v>
      </c>
      <c r="AT86" s="226">
        <f t="shared" ca="1" si="47"/>
        <v>1012104.3134277706</v>
      </c>
      <c r="AU86" s="226">
        <f t="shared" ca="1" si="47"/>
        <v>1028318.4963568039</v>
      </c>
      <c r="AV86" s="226">
        <f t="shared" ca="1" si="47"/>
        <v>1044592.102736835</v>
      </c>
      <c r="AW86" s="226">
        <f t="shared" ca="1" si="47"/>
        <v>1076962.262301577</v>
      </c>
      <c r="AX86" s="226">
        <f t="shared" ca="1" si="47"/>
        <v>1093285.4438672154</v>
      </c>
      <c r="AY86" s="226">
        <f t="shared" ca="1" si="47"/>
        <v>1109667.2968566599</v>
      </c>
      <c r="AZ86" s="226">
        <f t="shared" ca="1" si="47"/>
        <v>1119145.0331292935</v>
      </c>
      <c r="BA86" s="226">
        <f t="shared" ca="1" si="47"/>
        <v>1132744.7912731823</v>
      </c>
      <c r="BB86" s="226">
        <f t="shared" ca="1" si="47"/>
        <v>1144891.8580989861</v>
      </c>
      <c r="BC86" s="226">
        <f t="shared" ca="1" si="47"/>
        <v>1171118.8437159942</v>
      </c>
      <c r="BD86" s="226">
        <f t="shared" ca="1" si="47"/>
        <v>1178852.1944367294</v>
      </c>
      <c r="BE86" s="226">
        <f t="shared" ca="1" si="47"/>
        <v>1190320.5959495655</v>
      </c>
      <c r="BF86" s="226">
        <f t="shared" ca="1" si="47"/>
        <v>1217271.6736096428</v>
      </c>
      <c r="BG86" s="226">
        <f t="shared" ca="1" si="47"/>
        <v>1227864.9986319344</v>
      </c>
      <c r="BH86" s="226">
        <f t="shared" ca="1" si="47"/>
        <v>1238565.7847245252</v>
      </c>
      <c r="BI86" s="226">
        <f t="shared" ca="1" si="47"/>
        <v>1266081.1803178717</v>
      </c>
      <c r="BJ86" s="226">
        <f t="shared" ca="1" si="47"/>
        <v>1277563.6580983922</v>
      </c>
      <c r="BK86" s="226">
        <f t="shared" ca="1" si="47"/>
        <v>1289196.8931327253</v>
      </c>
      <c r="BL86" s="226">
        <f t="shared" ca="1" si="47"/>
        <v>1317141.4740742529</v>
      </c>
      <c r="BM86" s="226">
        <f t="shared" ca="1" si="47"/>
        <v>1329365.9261094155</v>
      </c>
      <c r="BN86" s="226">
        <f t="shared" ca="1" si="47"/>
        <v>1341787.7384842304</v>
      </c>
      <c r="BO86" s="226">
        <f t="shared" ca="1" si="47"/>
        <v>1370494.8341647419</v>
      </c>
      <c r="BP86" s="226">
        <f t="shared" ca="1" si="47"/>
        <v>1383437.6286304472</v>
      </c>
      <c r="BQ86" s="226">
        <f t="shared" ca="1" si="47"/>
        <v>1396653.5281705405</v>
      </c>
      <c r="BR86" s="226">
        <f t="shared" ca="1" si="47"/>
        <v>1426168.5484568332</v>
      </c>
      <c r="BS86" s="226">
        <f t="shared" ca="1" si="47"/>
        <v>1439924.5536471624</v>
      </c>
      <c r="BT86" s="226">
        <f t="shared" ca="1" si="47"/>
        <v>1453967.1450273716</v>
      </c>
      <c r="BU86" s="226">
        <f t="shared" ca="1" si="47"/>
        <v>1468299.9040353093</v>
      </c>
      <c r="BV86" s="226">
        <f t="shared" ca="1" si="47"/>
        <v>1482927.3745686244</v>
      </c>
      <c r="BW86" s="226">
        <f t="shared" ca="1" si="47"/>
        <v>1497858.289577418</v>
      </c>
    </row>
    <row r="87" spans="1:75" ht="12.75" x14ac:dyDescent="0.2">
      <c r="A87" s="60" t="s">
        <v>339</v>
      </c>
      <c r="B87" s="238"/>
      <c r="C87" s="212"/>
      <c r="D87" s="213">
        <f t="shared" ref="D87:BW87" ca="1" si="48">D20-D86</f>
        <v>-89438</v>
      </c>
      <c r="E87" s="213">
        <f t="shared" ca="1" si="48"/>
        <v>-88124</v>
      </c>
      <c r="F87" s="213">
        <f t="shared" ca="1" si="48"/>
        <v>-102956</v>
      </c>
      <c r="G87" s="213">
        <f t="shared" ca="1" si="48"/>
        <v>-94595</v>
      </c>
      <c r="H87" s="213">
        <f t="shared" ca="1" si="48"/>
        <v>-82065</v>
      </c>
      <c r="I87" s="213">
        <f t="shared" ca="1" si="48"/>
        <v>-78132</v>
      </c>
      <c r="J87" s="213">
        <f t="shared" ca="1" si="48"/>
        <v>-94045</v>
      </c>
      <c r="K87" s="213">
        <f t="shared" ca="1" si="48"/>
        <v>-89766</v>
      </c>
      <c r="L87" s="213">
        <f t="shared" ca="1" si="48"/>
        <v>-114445</v>
      </c>
      <c r="M87" s="213">
        <f t="shared" ca="1" si="48"/>
        <v>-131881</v>
      </c>
      <c r="N87" s="213">
        <f t="shared" ca="1" si="48"/>
        <v>-140597</v>
      </c>
      <c r="O87" s="213">
        <f t="shared" ca="1" si="48"/>
        <v>-177194</v>
      </c>
      <c r="P87" s="213">
        <f t="shared" ca="1" si="48"/>
        <v>-177124</v>
      </c>
      <c r="Q87" s="213">
        <f t="shared" ca="1" si="48"/>
        <v>-189575</v>
      </c>
      <c r="R87" s="213">
        <f t="shared" ca="1" si="48"/>
        <v>-184131</v>
      </c>
      <c r="S87" s="213">
        <f t="shared" ca="1" si="48"/>
        <v>-128941</v>
      </c>
      <c r="T87" s="213">
        <f t="shared" ca="1" si="48"/>
        <v>-151754</v>
      </c>
      <c r="U87" s="213">
        <f t="shared" ca="1" si="48"/>
        <v>-122283</v>
      </c>
      <c r="V87" s="213">
        <f t="shared" ca="1" si="48"/>
        <v>-102474</v>
      </c>
      <c r="W87" s="213">
        <f t="shared" ca="1" si="48"/>
        <v>-82495</v>
      </c>
      <c r="X87" s="213">
        <f t="shared" ca="1" si="48"/>
        <v>-60038</v>
      </c>
      <c r="Y87" s="213">
        <f t="shared" ca="1" si="48"/>
        <v>-27320</v>
      </c>
      <c r="Z87" s="213">
        <f t="shared" ca="1" si="48"/>
        <v>-18905</v>
      </c>
      <c r="AA87" s="213">
        <f t="shared" ca="1" si="48"/>
        <v>-24211</v>
      </c>
      <c r="AB87" s="213">
        <f t="shared" ca="1" si="48"/>
        <v>-13824</v>
      </c>
      <c r="AC87" s="213">
        <f t="shared" ca="1" si="48"/>
        <v>-26169</v>
      </c>
      <c r="AD87" s="213">
        <f t="shared" ca="1" si="48"/>
        <v>8407.1899999999441</v>
      </c>
      <c r="AE87" s="213">
        <f t="shared" ca="1" si="48"/>
        <v>-117</v>
      </c>
      <c r="AF87" s="213">
        <f t="shared" ca="1" si="48"/>
        <v>53348.166337172617</v>
      </c>
      <c r="AG87" s="213">
        <f t="shared" ca="1" si="48"/>
        <v>35365.854453630745</v>
      </c>
      <c r="AH87" s="213">
        <f t="shared" ca="1" si="48"/>
        <v>26710.675679224078</v>
      </c>
      <c r="AI87" s="213">
        <f t="shared" ca="1" si="48"/>
        <v>14920.419460284058</v>
      </c>
      <c r="AJ87" s="213">
        <f t="shared" ca="1" si="48"/>
        <v>13663.145356597728</v>
      </c>
      <c r="AK87" s="213">
        <f t="shared" ca="1" si="48"/>
        <v>-48549.729794865241</v>
      </c>
      <c r="AL87" s="213">
        <f t="shared" ca="1" si="48"/>
        <v>-48803.553726164275</v>
      </c>
      <c r="AM87" s="213">
        <f t="shared" ca="1" si="48"/>
        <v>-88331.994089839398</v>
      </c>
      <c r="AN87" s="213">
        <f t="shared" ca="1" si="48"/>
        <v>-104794.54982564156</v>
      </c>
      <c r="AO87" s="213">
        <f t="shared" ca="1" si="48"/>
        <v>-142974.65278888505</v>
      </c>
      <c r="AP87" s="213">
        <f t="shared" ca="1" si="48"/>
        <v>-141624.0181672388</v>
      </c>
      <c r="AQ87" s="213">
        <f t="shared" ca="1" si="48"/>
        <v>-187935.17351820879</v>
      </c>
      <c r="AR87" s="213">
        <f t="shared" ca="1" si="48"/>
        <v>-184694.17163031828</v>
      </c>
      <c r="AS87" s="213">
        <f t="shared" ca="1" si="48"/>
        <v>-181586.3275139014</v>
      </c>
      <c r="AT87" s="213">
        <f t="shared" ca="1" si="48"/>
        <v>-195183.5016491384</v>
      </c>
      <c r="AU87" s="213">
        <f t="shared" ca="1" si="48"/>
        <v>-191277.3972087499</v>
      </c>
      <c r="AV87" s="213">
        <f t="shared" ca="1" si="48"/>
        <v>-186446.00717596372</v>
      </c>
      <c r="AW87" s="213">
        <f t="shared" ca="1" si="48"/>
        <v>-196732.59698605305</v>
      </c>
      <c r="AX87" s="213">
        <f t="shared" ca="1" si="48"/>
        <v>-191129.26920457231</v>
      </c>
      <c r="AY87" s="213">
        <f t="shared" ca="1" si="48"/>
        <v>-184612.36568452464</v>
      </c>
      <c r="AZ87" s="213">
        <f t="shared" ca="1" si="48"/>
        <v>-163531.85902199417</v>
      </c>
      <c r="BA87" s="213">
        <f t="shared" ca="1" si="48"/>
        <v>-145656.62694266392</v>
      </c>
      <c r="BB87" s="213">
        <f t="shared" ca="1" si="48"/>
        <v>-125384.45383855235</v>
      </c>
      <c r="BC87" s="213">
        <f t="shared" ca="1" si="48"/>
        <v>-118219.62232774729</v>
      </c>
      <c r="BD87" s="213">
        <f t="shared" ca="1" si="48"/>
        <v>-91559.401406835299</v>
      </c>
      <c r="BE87" s="213">
        <f t="shared" ca="1" si="48"/>
        <v>-67602.424128774554</v>
      </c>
      <c r="BF87" s="213">
        <f t="shared" ca="1" si="48"/>
        <v>-58065.361634227913</v>
      </c>
      <c r="BG87" s="213">
        <f t="shared" ca="1" si="48"/>
        <v>-31075.902297257213</v>
      </c>
      <c r="BH87" s="213">
        <f t="shared" ca="1" si="48"/>
        <v>-3066.4204998074565</v>
      </c>
      <c r="BI87" s="213">
        <f t="shared" ca="1" si="48"/>
        <v>9289.7598335875664</v>
      </c>
      <c r="BJ87" s="213">
        <f t="shared" ca="1" si="48"/>
        <v>38875.005257610697</v>
      </c>
      <c r="BK87" s="213">
        <f t="shared" ca="1" si="48"/>
        <v>69541.525123957777</v>
      </c>
      <c r="BL87" s="213">
        <f t="shared" ca="1" si="48"/>
        <v>85165.691730130697</v>
      </c>
      <c r="BM87" s="213">
        <f t="shared" ca="1" si="48"/>
        <v>117817.04966909951</v>
      </c>
      <c r="BN87" s="213">
        <f t="shared" ca="1" si="48"/>
        <v>151617.32156764017</v>
      </c>
      <c r="BO87" s="213">
        <f t="shared" ca="1" si="48"/>
        <v>170518.97268868494</v>
      </c>
      <c r="BP87" s="213">
        <f t="shared" ca="1" si="48"/>
        <v>206613.18742858246</v>
      </c>
      <c r="BQ87" s="213">
        <f t="shared" ca="1" si="48"/>
        <v>243905.40737026022</v>
      </c>
      <c r="BR87" s="213">
        <f t="shared" ca="1" si="48"/>
        <v>266413.7501501916</v>
      </c>
      <c r="BS87" s="213">
        <f t="shared" ca="1" si="48"/>
        <v>306241.80891807307</v>
      </c>
      <c r="BT87" s="213">
        <f t="shared" ca="1" si="48"/>
        <v>347390.80341482116</v>
      </c>
      <c r="BU87" s="213">
        <f t="shared" ca="1" si="48"/>
        <v>389905.3778601489</v>
      </c>
      <c r="BV87" s="213">
        <f t="shared" ca="1" si="48"/>
        <v>433830.66078369785</v>
      </c>
      <c r="BW87" s="213">
        <f t="shared" ca="1" si="48"/>
        <v>479209.08183547389</v>
      </c>
    </row>
    <row r="88" spans="1:75" ht="12.75" x14ac:dyDescent="0.2">
      <c r="A88" s="69" t="s">
        <v>244</v>
      </c>
      <c r="B88" s="221"/>
      <c r="D88" s="115">
        <f t="array" aca="1" ref="D88" ca="1">ROUND(INDEX(INDIRECT("PnL_"&amp;TEXT(D$1,"mmm")&amp;"_"&amp;TEXT(D$1,"yyyy")),MATCH(TRIM($A87),PnL_Accounts,0))-D87,2)</f>
        <v>0</v>
      </c>
      <c r="E88" s="115">
        <f t="array" aca="1" ref="E88" ca="1">ROUND(INDEX(INDIRECT("PnL_"&amp;TEXT(E$1,"mmm")&amp;"_"&amp;TEXT(E$1,"yyyy")),MATCH(TRIM($A87),PnL_Accounts,0))-E87,2)</f>
        <v>0</v>
      </c>
      <c r="F88" s="115">
        <f t="array" aca="1" ref="F88" ca="1">ROUND(INDEX(INDIRECT("PnL_"&amp;TEXT(F$1,"mmm")&amp;"_"&amp;TEXT(F$1,"yyyy")),MATCH(TRIM($A87),PnL_Accounts,0))-F87,2)</f>
        <v>0</v>
      </c>
      <c r="G88" s="115">
        <f t="array" aca="1" ref="G88" ca="1">ROUND(INDEX(INDIRECT("PnL_"&amp;TEXT(G$1,"mmm")&amp;"_"&amp;TEXT(G$1,"yyyy")),MATCH(TRIM($A87),PnL_Accounts,0))-G87,2)</f>
        <v>0</v>
      </c>
      <c r="H88" s="115">
        <f t="array" aca="1" ref="H88" ca="1">ROUND(INDEX(INDIRECT("PnL_"&amp;TEXT(H$1,"mmm")&amp;"_"&amp;TEXT(H$1,"yyyy")),MATCH(TRIM($A87),PnL_Accounts,0))-H87,2)</f>
        <v>0</v>
      </c>
      <c r="I88" s="115">
        <f t="array" aca="1" ref="I88" ca="1">ROUND(INDEX(INDIRECT("PnL_"&amp;TEXT(I$1,"mmm")&amp;"_"&amp;TEXT(I$1,"yyyy")),MATCH(TRIM($A87),PnL_Accounts,0))-I87,2)</f>
        <v>0</v>
      </c>
      <c r="J88" s="115">
        <f t="array" aca="1" ref="J88" ca="1">ROUND(INDEX(INDIRECT("PnL_"&amp;TEXT(J$1,"mmm")&amp;"_"&amp;TEXT(J$1,"yyyy")),MATCH(TRIM($A87),PnL_Accounts,0))-J87,2)</f>
        <v>0</v>
      </c>
      <c r="K88" s="115">
        <f t="array" aca="1" ref="K88" ca="1">ROUND(INDEX(INDIRECT("PnL_"&amp;TEXT(K$1,"mmm")&amp;"_"&amp;TEXT(K$1,"yyyy")),MATCH(TRIM($A87),PnL_Accounts,0))-K87,2)</f>
        <v>0</v>
      </c>
      <c r="L88" s="115">
        <f t="array" aca="1" ref="L88" ca="1">ROUND(INDEX(INDIRECT("PnL_"&amp;TEXT(L$1,"mmm")&amp;"_"&amp;TEXT(L$1,"yyyy")),MATCH(TRIM($A87),PnL_Accounts,0))-L87,2)</f>
        <v>0</v>
      </c>
      <c r="M88" s="115">
        <f t="array" aca="1" ref="M88" ca="1">ROUND(INDEX(INDIRECT("PnL_"&amp;TEXT(M$1,"mmm")&amp;"_"&amp;TEXT(M$1,"yyyy")),MATCH(TRIM($A87),PnL_Accounts,0))-M87,2)</f>
        <v>0</v>
      </c>
      <c r="N88" s="115">
        <f t="array" aca="1" ref="N88" ca="1">ROUND(INDEX(INDIRECT("PnL_"&amp;TEXT(N$1,"mmm")&amp;"_"&amp;TEXT(N$1,"yyyy")),MATCH(TRIM($A87),PnL_Accounts,0))-N87,2)</f>
        <v>0</v>
      </c>
      <c r="O88" s="115">
        <f t="array" aca="1" ref="O88" ca="1">ROUND(INDEX(INDIRECT("PnL_"&amp;TEXT(O$1,"mmm")&amp;"_"&amp;TEXT(O$1,"yyyy")),MATCH(TRIM($A87),PnL_Accounts,0))-O87,2)</f>
        <v>0</v>
      </c>
      <c r="P88" s="115">
        <f t="array" aca="1" ref="P88" ca="1">ROUND(INDEX(INDIRECT("PnL_"&amp;TEXT(P$1,"mmm")&amp;"_"&amp;TEXT(P$1,"yyyy")),MATCH(TRIM($A87),PnL_Accounts,0))-P87,2)</f>
        <v>0</v>
      </c>
      <c r="Q88" s="115">
        <f t="array" aca="1" ref="Q88" ca="1">ROUND(INDEX(INDIRECT("PnL_"&amp;TEXT(Q$1,"mmm")&amp;"_"&amp;TEXT(Q$1,"yyyy")),MATCH(TRIM($A87),PnL_Accounts,0))-Q87,2)</f>
        <v>0</v>
      </c>
      <c r="R88" s="115">
        <f t="array" aca="1" ref="R88" ca="1">ROUND(INDEX(INDIRECT("PnL_"&amp;TEXT(R$1,"mmm")&amp;"_"&amp;TEXT(R$1,"yyyy")),MATCH(TRIM($A87),PnL_Accounts,0))-R87,2)</f>
        <v>0</v>
      </c>
      <c r="S88" s="115">
        <f t="array" aca="1" ref="S88" ca="1">ROUND(INDEX(INDIRECT("PnL_"&amp;TEXT(S$1,"mmm")&amp;"_"&amp;TEXT(S$1,"yyyy")),MATCH(TRIM($A87),PnL_Accounts,0))-S87,2)</f>
        <v>0</v>
      </c>
      <c r="T88" s="115">
        <f t="array" aca="1" ref="T88" ca="1">ROUND(INDEX(INDIRECT("PnL_"&amp;TEXT(T$1,"mmm")&amp;"_"&amp;TEXT(T$1,"yyyy")),MATCH(TRIM($A87),PnL_Accounts,0))-T87,2)</f>
        <v>0</v>
      </c>
      <c r="U88" s="115">
        <f t="array" aca="1" ref="U88" ca="1">ROUND(INDEX(INDIRECT("PnL_"&amp;TEXT(U$1,"mmm")&amp;"_"&amp;TEXT(U$1,"yyyy")),MATCH(TRIM($A87),PnL_Accounts,0))-U87,2)</f>
        <v>0</v>
      </c>
      <c r="V88" s="115">
        <f t="array" aca="1" ref="V88" ca="1">ROUND(INDEX(INDIRECT("PnL_"&amp;TEXT(V$1,"mmm")&amp;"_"&amp;TEXT(V$1,"yyyy")),MATCH(TRIM($A87),PnL_Accounts,0))-V87,2)</f>
        <v>0</v>
      </c>
      <c r="W88" s="115">
        <f t="array" aca="1" ref="W88" ca="1">ROUND(INDEX(INDIRECT("PnL_"&amp;TEXT(W$1,"mmm")&amp;"_"&amp;TEXT(W$1,"yyyy")),MATCH(TRIM($A87),PnL_Accounts,0))-W87,2)</f>
        <v>0</v>
      </c>
      <c r="X88" s="115">
        <f t="array" aca="1" ref="X88" ca="1">ROUND(INDEX(INDIRECT("PnL_"&amp;TEXT(X$1,"mmm")&amp;"_"&amp;TEXT(X$1,"yyyy")),MATCH(TRIM($A87),PnL_Accounts,0))-X87,2)</f>
        <v>0</v>
      </c>
      <c r="Y88" s="115">
        <f t="array" aca="1" ref="Y88" ca="1">ROUND(INDEX(INDIRECT("PnL_"&amp;TEXT(Y$1,"mmm")&amp;"_"&amp;TEXT(Y$1,"yyyy")),MATCH(TRIM($A87),PnL_Accounts,0))-Y87,2)</f>
        <v>0</v>
      </c>
      <c r="Z88" s="115">
        <f t="array" aca="1" ref="Z88" ca="1">ROUND(INDEX(INDIRECT("PnL_"&amp;TEXT(Z$1,"mmm")&amp;"_"&amp;TEXT(Z$1,"yyyy")),MATCH(TRIM($A87),PnL_Accounts,0))-Z87,2)</f>
        <v>0</v>
      </c>
      <c r="AA88" s="115">
        <f t="array" aca="1" ref="AA88" ca="1">ROUND(INDEX(INDIRECT("PnL_"&amp;TEXT(AA$1,"mmm")&amp;"_"&amp;TEXT(AA$1,"yyyy")),MATCH(TRIM($A87),PnL_Accounts,0))-AA87,2)</f>
        <v>0</v>
      </c>
      <c r="AB88" s="115">
        <f t="array" aca="1" ref="AB88" ca="1">ROUND(INDEX(INDIRECT("PnL_"&amp;TEXT(AB$1,"mmm")&amp;"_"&amp;TEXT(AB$1,"yyyy")),MATCH(TRIM($A87),PnL_Accounts,0))-AB87,2)</f>
        <v>0</v>
      </c>
      <c r="AC88" s="115">
        <f t="array" aca="1" ref="AC88" ca="1">ROUND(INDEX(INDIRECT("PnL_"&amp;TEXT(AC$1,"mmm")&amp;"_"&amp;TEXT(AC$1,"yyyy")),MATCH(TRIM($A87),PnL_Accounts,0))-AC87,2)</f>
        <v>0</v>
      </c>
      <c r="AD88" s="115">
        <f t="array" aca="1" ref="AD88" ca="1">ROUND(INDEX(INDIRECT("PnL_"&amp;TEXT(AD$1,"mmm")&amp;"_"&amp;TEXT(AD$1,"yyyy")),MATCH(TRIM($A87),PnL_Accounts,0))-AD87,2)</f>
        <v>0</v>
      </c>
      <c r="AE88" s="115">
        <f t="array" aca="1" ref="AE88" ca="1">ROUND(INDEX(INDIRECT("PnL_"&amp;TEXT(AE$1,"mmm")&amp;"_"&amp;TEXT(AE$1,"yyyy")),MATCH(TRIM($A87),PnL_Accounts,0))-AE87,2)</f>
        <v>0</v>
      </c>
    </row>
    <row r="89" spans="1:75" ht="12.75" x14ac:dyDescent="0.2">
      <c r="A89" s="69" t="s">
        <v>340</v>
      </c>
      <c r="B89" s="221"/>
    </row>
    <row r="90" spans="1:75" ht="12.75" x14ac:dyDescent="0.2">
      <c r="A90" s="23" t="s">
        <v>416</v>
      </c>
      <c r="B90" s="221"/>
      <c r="AF90" s="25">
        <f t="shared" ref="AF90:BW90" si="49">_xlfn.IFNA(INDEX(Loans_Forgivable_Loan_Forgivable_Income,MATCH(AF$1,Loans_Months,0)),0)</f>
        <v>0</v>
      </c>
      <c r="AG90" s="25">
        <f t="shared" si="49"/>
        <v>0</v>
      </c>
      <c r="AH90" s="25">
        <f t="shared" si="49"/>
        <v>0</v>
      </c>
      <c r="AI90" s="25">
        <f t="shared" si="49"/>
        <v>0</v>
      </c>
      <c r="AJ90" s="25">
        <f t="shared" si="49"/>
        <v>0</v>
      </c>
      <c r="AK90" s="25">
        <f t="shared" si="49"/>
        <v>0</v>
      </c>
      <c r="AL90" s="25">
        <f t="shared" si="49"/>
        <v>0</v>
      </c>
      <c r="AM90" s="25">
        <f t="shared" si="49"/>
        <v>0</v>
      </c>
      <c r="AN90" s="25">
        <f t="shared" si="49"/>
        <v>0</v>
      </c>
      <c r="AO90" s="25">
        <f t="shared" si="49"/>
        <v>0</v>
      </c>
      <c r="AP90" s="25">
        <f t="shared" si="49"/>
        <v>0</v>
      </c>
      <c r="AQ90" s="25">
        <f t="shared" si="49"/>
        <v>0</v>
      </c>
      <c r="AR90" s="25">
        <f t="shared" si="49"/>
        <v>0</v>
      </c>
      <c r="AS90" s="25">
        <f t="shared" si="49"/>
        <v>0</v>
      </c>
      <c r="AT90" s="25">
        <f t="shared" si="49"/>
        <v>0</v>
      </c>
      <c r="AU90" s="25">
        <f t="shared" si="49"/>
        <v>0</v>
      </c>
      <c r="AV90" s="25">
        <f t="shared" si="49"/>
        <v>0</v>
      </c>
      <c r="AW90" s="25">
        <f t="shared" si="49"/>
        <v>0</v>
      </c>
      <c r="AX90" s="25">
        <f t="shared" si="49"/>
        <v>0</v>
      </c>
      <c r="AY90" s="25">
        <f t="shared" si="49"/>
        <v>0</v>
      </c>
      <c r="AZ90" s="25">
        <f t="shared" si="49"/>
        <v>0</v>
      </c>
      <c r="BA90" s="25">
        <f t="shared" si="49"/>
        <v>0</v>
      </c>
      <c r="BB90" s="25">
        <f t="shared" si="49"/>
        <v>0</v>
      </c>
      <c r="BC90" s="25">
        <f t="shared" si="49"/>
        <v>0</v>
      </c>
      <c r="BD90" s="25">
        <f t="shared" si="49"/>
        <v>0</v>
      </c>
      <c r="BE90" s="25">
        <f t="shared" si="49"/>
        <v>0</v>
      </c>
      <c r="BF90" s="25">
        <f t="shared" si="49"/>
        <v>0</v>
      </c>
      <c r="BG90" s="25">
        <f t="shared" si="49"/>
        <v>0</v>
      </c>
      <c r="BH90" s="25">
        <f t="shared" si="49"/>
        <v>0</v>
      </c>
      <c r="BI90" s="25">
        <f t="shared" si="49"/>
        <v>0</v>
      </c>
      <c r="BJ90" s="25">
        <f t="shared" si="49"/>
        <v>0</v>
      </c>
      <c r="BK90" s="25">
        <f t="shared" si="49"/>
        <v>0</v>
      </c>
      <c r="BL90" s="25">
        <f t="shared" si="49"/>
        <v>0</v>
      </c>
      <c r="BM90" s="25">
        <f t="shared" si="49"/>
        <v>0</v>
      </c>
      <c r="BN90" s="25">
        <f t="shared" si="49"/>
        <v>0</v>
      </c>
      <c r="BO90" s="25">
        <f t="shared" si="49"/>
        <v>0</v>
      </c>
      <c r="BP90" s="25">
        <f t="shared" si="49"/>
        <v>0</v>
      </c>
      <c r="BQ90" s="25">
        <f t="shared" si="49"/>
        <v>0</v>
      </c>
      <c r="BR90" s="25">
        <f t="shared" si="49"/>
        <v>0</v>
      </c>
      <c r="BS90" s="25">
        <f t="shared" si="49"/>
        <v>0</v>
      </c>
      <c r="BT90" s="25">
        <f t="shared" si="49"/>
        <v>0</v>
      </c>
      <c r="BU90" s="25">
        <f t="shared" si="49"/>
        <v>0</v>
      </c>
      <c r="BV90" s="25">
        <f t="shared" si="49"/>
        <v>0</v>
      </c>
      <c r="BW90" s="25">
        <f t="shared" si="49"/>
        <v>0</v>
      </c>
    </row>
    <row r="91" spans="1:75" ht="12.75" hidden="1" x14ac:dyDescent="0.2">
      <c r="B91" s="221"/>
    </row>
    <row r="92" spans="1:75" ht="12.75" x14ac:dyDescent="0.2">
      <c r="A92" s="60" t="s">
        <v>341</v>
      </c>
      <c r="B92" s="225"/>
      <c r="C92" s="226"/>
      <c r="D92" s="226">
        <f t="shared" ref="D92:BW92" si="50">SUM(D89:D91)</f>
        <v>0</v>
      </c>
      <c r="E92" s="226">
        <f t="shared" si="50"/>
        <v>0</v>
      </c>
      <c r="F92" s="226">
        <f t="shared" si="50"/>
        <v>0</v>
      </c>
      <c r="G92" s="226">
        <f t="shared" si="50"/>
        <v>0</v>
      </c>
      <c r="H92" s="226">
        <f t="shared" si="50"/>
        <v>0</v>
      </c>
      <c r="I92" s="226">
        <f t="shared" si="50"/>
        <v>0</v>
      </c>
      <c r="J92" s="226">
        <f t="shared" si="50"/>
        <v>0</v>
      </c>
      <c r="K92" s="226">
        <f t="shared" si="50"/>
        <v>0</v>
      </c>
      <c r="L92" s="226">
        <f t="shared" si="50"/>
        <v>0</v>
      </c>
      <c r="M92" s="226">
        <f t="shared" si="50"/>
        <v>0</v>
      </c>
      <c r="N92" s="226">
        <f t="shared" si="50"/>
        <v>0</v>
      </c>
      <c r="O92" s="226">
        <f t="shared" si="50"/>
        <v>0</v>
      </c>
      <c r="P92" s="226">
        <f t="shared" si="50"/>
        <v>0</v>
      </c>
      <c r="Q92" s="226">
        <f t="shared" si="50"/>
        <v>0</v>
      </c>
      <c r="R92" s="226">
        <f t="shared" si="50"/>
        <v>0</v>
      </c>
      <c r="S92" s="226">
        <f t="shared" si="50"/>
        <v>0</v>
      </c>
      <c r="T92" s="226">
        <f t="shared" si="50"/>
        <v>0</v>
      </c>
      <c r="U92" s="226">
        <f t="shared" si="50"/>
        <v>0</v>
      </c>
      <c r="V92" s="226">
        <f t="shared" si="50"/>
        <v>0</v>
      </c>
      <c r="W92" s="226">
        <f t="shared" si="50"/>
        <v>0</v>
      </c>
      <c r="X92" s="226">
        <f t="shared" si="50"/>
        <v>0</v>
      </c>
      <c r="Y92" s="226">
        <f t="shared" si="50"/>
        <v>0</v>
      </c>
      <c r="Z92" s="226">
        <f t="shared" si="50"/>
        <v>0</v>
      </c>
      <c r="AA92" s="226">
        <f t="shared" si="50"/>
        <v>0</v>
      </c>
      <c r="AB92" s="226">
        <f t="shared" si="50"/>
        <v>0</v>
      </c>
      <c r="AC92" s="226">
        <f t="shared" si="50"/>
        <v>0</v>
      </c>
      <c r="AD92" s="226">
        <f t="shared" si="50"/>
        <v>0</v>
      </c>
      <c r="AE92" s="226">
        <f t="shared" si="50"/>
        <v>0</v>
      </c>
      <c r="AF92" s="226">
        <f t="shared" si="50"/>
        <v>0</v>
      </c>
      <c r="AG92" s="226">
        <f t="shared" si="50"/>
        <v>0</v>
      </c>
      <c r="AH92" s="226">
        <f t="shared" si="50"/>
        <v>0</v>
      </c>
      <c r="AI92" s="226">
        <f t="shared" si="50"/>
        <v>0</v>
      </c>
      <c r="AJ92" s="226">
        <f t="shared" si="50"/>
        <v>0</v>
      </c>
      <c r="AK92" s="226">
        <f t="shared" si="50"/>
        <v>0</v>
      </c>
      <c r="AL92" s="226">
        <f t="shared" si="50"/>
        <v>0</v>
      </c>
      <c r="AM92" s="226">
        <f t="shared" si="50"/>
        <v>0</v>
      </c>
      <c r="AN92" s="226">
        <f t="shared" si="50"/>
        <v>0</v>
      </c>
      <c r="AO92" s="226">
        <f t="shared" si="50"/>
        <v>0</v>
      </c>
      <c r="AP92" s="226">
        <f t="shared" si="50"/>
        <v>0</v>
      </c>
      <c r="AQ92" s="226">
        <f t="shared" si="50"/>
        <v>0</v>
      </c>
      <c r="AR92" s="226">
        <f t="shared" si="50"/>
        <v>0</v>
      </c>
      <c r="AS92" s="226">
        <f t="shared" si="50"/>
        <v>0</v>
      </c>
      <c r="AT92" s="226">
        <f t="shared" si="50"/>
        <v>0</v>
      </c>
      <c r="AU92" s="226">
        <f t="shared" si="50"/>
        <v>0</v>
      </c>
      <c r="AV92" s="226">
        <f t="shared" si="50"/>
        <v>0</v>
      </c>
      <c r="AW92" s="226">
        <f t="shared" si="50"/>
        <v>0</v>
      </c>
      <c r="AX92" s="226">
        <f t="shared" si="50"/>
        <v>0</v>
      </c>
      <c r="AY92" s="226">
        <f t="shared" si="50"/>
        <v>0</v>
      </c>
      <c r="AZ92" s="226">
        <f t="shared" si="50"/>
        <v>0</v>
      </c>
      <c r="BA92" s="226">
        <f t="shared" si="50"/>
        <v>0</v>
      </c>
      <c r="BB92" s="226">
        <f t="shared" si="50"/>
        <v>0</v>
      </c>
      <c r="BC92" s="226">
        <f t="shared" si="50"/>
        <v>0</v>
      </c>
      <c r="BD92" s="226">
        <f t="shared" si="50"/>
        <v>0</v>
      </c>
      <c r="BE92" s="226">
        <f t="shared" si="50"/>
        <v>0</v>
      </c>
      <c r="BF92" s="226">
        <f t="shared" si="50"/>
        <v>0</v>
      </c>
      <c r="BG92" s="226">
        <f t="shared" si="50"/>
        <v>0</v>
      </c>
      <c r="BH92" s="226">
        <f t="shared" si="50"/>
        <v>0</v>
      </c>
      <c r="BI92" s="226">
        <f t="shared" si="50"/>
        <v>0</v>
      </c>
      <c r="BJ92" s="226">
        <f t="shared" si="50"/>
        <v>0</v>
      </c>
      <c r="BK92" s="226">
        <f t="shared" si="50"/>
        <v>0</v>
      </c>
      <c r="BL92" s="226">
        <f t="shared" si="50"/>
        <v>0</v>
      </c>
      <c r="BM92" s="226">
        <f t="shared" si="50"/>
        <v>0</v>
      </c>
      <c r="BN92" s="226">
        <f t="shared" si="50"/>
        <v>0</v>
      </c>
      <c r="BO92" s="226">
        <f t="shared" si="50"/>
        <v>0</v>
      </c>
      <c r="BP92" s="226">
        <f t="shared" si="50"/>
        <v>0</v>
      </c>
      <c r="BQ92" s="226">
        <f t="shared" si="50"/>
        <v>0</v>
      </c>
      <c r="BR92" s="226">
        <f t="shared" si="50"/>
        <v>0</v>
      </c>
      <c r="BS92" s="226">
        <f t="shared" si="50"/>
        <v>0</v>
      </c>
      <c r="BT92" s="226">
        <f t="shared" si="50"/>
        <v>0</v>
      </c>
      <c r="BU92" s="226">
        <f t="shared" si="50"/>
        <v>0</v>
      </c>
      <c r="BV92" s="226">
        <f t="shared" si="50"/>
        <v>0</v>
      </c>
      <c r="BW92" s="226">
        <f t="shared" si="50"/>
        <v>0</v>
      </c>
    </row>
    <row r="93" spans="1:75" ht="12.75" x14ac:dyDescent="0.2">
      <c r="A93" s="69" t="s">
        <v>342</v>
      </c>
      <c r="B93" s="221"/>
    </row>
    <row r="94" spans="1:75" ht="12.75" x14ac:dyDescent="0.2">
      <c r="A94" s="23" t="s">
        <v>421</v>
      </c>
      <c r="B94" s="221"/>
      <c r="AF94" s="25">
        <f t="shared" ref="AF94:BW94" si="51">_xlfn.IFNA(INDEX(Loans_Forgivable_Loan_Interest_Owed,MATCH(AF$1,Loans_Months,0)),0)</f>
        <v>0</v>
      </c>
      <c r="AG94" s="25">
        <f t="shared" si="51"/>
        <v>0</v>
      </c>
      <c r="AH94" s="25">
        <f t="shared" si="51"/>
        <v>0</v>
      </c>
      <c r="AI94" s="25">
        <f t="shared" si="51"/>
        <v>0</v>
      </c>
      <c r="AJ94" s="25">
        <f t="shared" si="51"/>
        <v>0</v>
      </c>
      <c r="AK94" s="25">
        <f t="shared" si="51"/>
        <v>0</v>
      </c>
      <c r="AL94" s="25">
        <f t="shared" si="51"/>
        <v>0</v>
      </c>
      <c r="AM94" s="25">
        <f t="shared" si="51"/>
        <v>0</v>
      </c>
      <c r="AN94" s="25">
        <f t="shared" si="51"/>
        <v>0</v>
      </c>
      <c r="AO94" s="25">
        <f t="shared" si="51"/>
        <v>0</v>
      </c>
      <c r="AP94" s="25">
        <f t="shared" si="51"/>
        <v>0</v>
      </c>
      <c r="AQ94" s="25">
        <f t="shared" si="51"/>
        <v>0</v>
      </c>
      <c r="AR94" s="25">
        <f t="shared" si="51"/>
        <v>0</v>
      </c>
      <c r="AS94" s="25">
        <f t="shared" si="51"/>
        <v>0</v>
      </c>
      <c r="AT94" s="25">
        <f t="shared" si="51"/>
        <v>0</v>
      </c>
      <c r="AU94" s="25">
        <f t="shared" si="51"/>
        <v>0</v>
      </c>
      <c r="AV94" s="25">
        <f t="shared" si="51"/>
        <v>0</v>
      </c>
      <c r="AW94" s="25">
        <f t="shared" si="51"/>
        <v>0</v>
      </c>
      <c r="AX94" s="25">
        <f t="shared" si="51"/>
        <v>0</v>
      </c>
      <c r="AY94" s="25">
        <f t="shared" si="51"/>
        <v>0</v>
      </c>
      <c r="AZ94" s="25">
        <f t="shared" si="51"/>
        <v>0</v>
      </c>
      <c r="BA94" s="25">
        <f t="shared" si="51"/>
        <v>0</v>
      </c>
      <c r="BB94" s="25">
        <f t="shared" si="51"/>
        <v>0</v>
      </c>
      <c r="BC94" s="25">
        <f t="shared" si="51"/>
        <v>0</v>
      </c>
      <c r="BD94" s="25">
        <f t="shared" si="51"/>
        <v>0</v>
      </c>
      <c r="BE94" s="25">
        <f t="shared" si="51"/>
        <v>0</v>
      </c>
      <c r="BF94" s="25">
        <f t="shared" si="51"/>
        <v>0</v>
      </c>
      <c r="BG94" s="25">
        <f t="shared" si="51"/>
        <v>0</v>
      </c>
      <c r="BH94" s="25">
        <f t="shared" si="51"/>
        <v>0</v>
      </c>
      <c r="BI94" s="25">
        <f t="shared" si="51"/>
        <v>0</v>
      </c>
      <c r="BJ94" s="25">
        <f t="shared" si="51"/>
        <v>0</v>
      </c>
      <c r="BK94" s="25">
        <f t="shared" si="51"/>
        <v>0</v>
      </c>
      <c r="BL94" s="25">
        <f t="shared" si="51"/>
        <v>0</v>
      </c>
      <c r="BM94" s="25">
        <f t="shared" si="51"/>
        <v>0</v>
      </c>
      <c r="BN94" s="25">
        <f t="shared" si="51"/>
        <v>0</v>
      </c>
      <c r="BO94" s="25">
        <f t="shared" si="51"/>
        <v>0</v>
      </c>
      <c r="BP94" s="25">
        <f t="shared" si="51"/>
        <v>0</v>
      </c>
      <c r="BQ94" s="25">
        <f t="shared" si="51"/>
        <v>0</v>
      </c>
      <c r="BR94" s="25">
        <f t="shared" si="51"/>
        <v>0</v>
      </c>
      <c r="BS94" s="25">
        <f t="shared" si="51"/>
        <v>0</v>
      </c>
      <c r="BT94" s="25">
        <f t="shared" si="51"/>
        <v>0</v>
      </c>
      <c r="BU94" s="25">
        <f t="shared" si="51"/>
        <v>0</v>
      </c>
      <c r="BV94" s="25">
        <f t="shared" si="51"/>
        <v>0</v>
      </c>
      <c r="BW94" s="25">
        <f t="shared" si="51"/>
        <v>0</v>
      </c>
    </row>
    <row r="95" spans="1:75" ht="12.75" x14ac:dyDescent="0.2">
      <c r="A95" s="23" t="s">
        <v>422</v>
      </c>
      <c r="B95" s="221"/>
      <c r="AF95" s="25">
        <f t="shared" ref="AF95:BW95" si="52">_xlfn.IFNA(INDEX(Loans_Standard_Loan_Interest_Owed,MATCH(AF$1,Loans_Months,0)),0)</f>
        <v>0</v>
      </c>
      <c r="AG95" s="25">
        <f t="shared" si="52"/>
        <v>0</v>
      </c>
      <c r="AH95" s="25">
        <f t="shared" si="52"/>
        <v>0</v>
      </c>
      <c r="AI95" s="25">
        <f t="shared" si="52"/>
        <v>0</v>
      </c>
      <c r="AJ95" s="25">
        <f t="shared" si="52"/>
        <v>0</v>
      </c>
      <c r="AK95" s="25">
        <f t="shared" si="52"/>
        <v>0</v>
      </c>
      <c r="AL95" s="25">
        <f t="shared" si="52"/>
        <v>0</v>
      </c>
      <c r="AM95" s="25">
        <f t="shared" si="52"/>
        <v>0</v>
      </c>
      <c r="AN95" s="25">
        <f t="shared" si="52"/>
        <v>0</v>
      </c>
      <c r="AO95" s="25">
        <f t="shared" si="52"/>
        <v>0</v>
      </c>
      <c r="AP95" s="25">
        <f t="shared" si="52"/>
        <v>0</v>
      </c>
      <c r="AQ95" s="25">
        <f t="shared" si="52"/>
        <v>0</v>
      </c>
      <c r="AR95" s="25">
        <f t="shared" si="52"/>
        <v>0</v>
      </c>
      <c r="AS95" s="25">
        <f t="shared" si="52"/>
        <v>0</v>
      </c>
      <c r="AT95" s="25">
        <f t="shared" si="52"/>
        <v>0</v>
      </c>
      <c r="AU95" s="25">
        <f t="shared" si="52"/>
        <v>0</v>
      </c>
      <c r="AV95" s="25">
        <f t="shared" si="52"/>
        <v>0</v>
      </c>
      <c r="AW95" s="25">
        <f t="shared" si="52"/>
        <v>0</v>
      </c>
      <c r="AX95" s="25">
        <f t="shared" si="52"/>
        <v>0</v>
      </c>
      <c r="AY95" s="25">
        <f t="shared" si="52"/>
        <v>0</v>
      </c>
      <c r="AZ95" s="25">
        <f t="shared" si="52"/>
        <v>0</v>
      </c>
      <c r="BA95" s="25">
        <f t="shared" si="52"/>
        <v>0</v>
      </c>
      <c r="BB95" s="25">
        <f t="shared" si="52"/>
        <v>0</v>
      </c>
      <c r="BC95" s="25">
        <f t="shared" si="52"/>
        <v>0</v>
      </c>
      <c r="BD95" s="25">
        <f t="shared" si="52"/>
        <v>0</v>
      </c>
      <c r="BE95" s="25">
        <f t="shared" si="52"/>
        <v>0</v>
      </c>
      <c r="BF95" s="25">
        <f t="shared" si="52"/>
        <v>0</v>
      </c>
      <c r="BG95" s="25">
        <f t="shared" si="52"/>
        <v>0</v>
      </c>
      <c r="BH95" s="25">
        <f t="shared" si="52"/>
        <v>0</v>
      </c>
      <c r="BI95" s="25">
        <f t="shared" si="52"/>
        <v>0</v>
      </c>
      <c r="BJ95" s="25">
        <f t="shared" si="52"/>
        <v>0</v>
      </c>
      <c r="BK95" s="25">
        <f t="shared" si="52"/>
        <v>0</v>
      </c>
      <c r="BL95" s="25">
        <f t="shared" si="52"/>
        <v>0</v>
      </c>
      <c r="BM95" s="25">
        <f t="shared" si="52"/>
        <v>0</v>
      </c>
      <c r="BN95" s="25">
        <f t="shared" si="52"/>
        <v>0</v>
      </c>
      <c r="BO95" s="25">
        <f t="shared" si="52"/>
        <v>0</v>
      </c>
      <c r="BP95" s="25">
        <f t="shared" si="52"/>
        <v>0</v>
      </c>
      <c r="BQ95" s="25">
        <f t="shared" si="52"/>
        <v>0</v>
      </c>
      <c r="BR95" s="25">
        <f t="shared" si="52"/>
        <v>0</v>
      </c>
      <c r="BS95" s="25">
        <f t="shared" si="52"/>
        <v>0</v>
      </c>
      <c r="BT95" s="25">
        <f t="shared" si="52"/>
        <v>0</v>
      </c>
      <c r="BU95" s="25">
        <f t="shared" si="52"/>
        <v>0</v>
      </c>
      <c r="BV95" s="25">
        <f t="shared" si="52"/>
        <v>0</v>
      </c>
      <c r="BW95" s="25">
        <f t="shared" si="52"/>
        <v>0</v>
      </c>
    </row>
    <row r="96" spans="1:75" ht="12.75" x14ac:dyDescent="0.2">
      <c r="A96" s="60" t="s">
        <v>343</v>
      </c>
      <c r="B96" s="225"/>
      <c r="C96" s="226"/>
      <c r="D96" s="226">
        <f t="shared" ref="D96:BW96" si="53">SUM(D93:D95)</f>
        <v>0</v>
      </c>
      <c r="E96" s="226">
        <f t="shared" si="53"/>
        <v>0</v>
      </c>
      <c r="F96" s="226">
        <f t="shared" si="53"/>
        <v>0</v>
      </c>
      <c r="G96" s="226">
        <f t="shared" si="53"/>
        <v>0</v>
      </c>
      <c r="H96" s="226">
        <f t="shared" si="53"/>
        <v>0</v>
      </c>
      <c r="I96" s="226">
        <f t="shared" si="53"/>
        <v>0</v>
      </c>
      <c r="J96" s="226">
        <f t="shared" si="53"/>
        <v>0</v>
      </c>
      <c r="K96" s="226">
        <f t="shared" si="53"/>
        <v>0</v>
      </c>
      <c r="L96" s="226">
        <f t="shared" si="53"/>
        <v>0</v>
      </c>
      <c r="M96" s="226">
        <f t="shared" si="53"/>
        <v>0</v>
      </c>
      <c r="N96" s="226">
        <f t="shared" si="53"/>
        <v>0</v>
      </c>
      <c r="O96" s="226">
        <f t="shared" si="53"/>
        <v>0</v>
      </c>
      <c r="P96" s="226">
        <f t="shared" si="53"/>
        <v>0</v>
      </c>
      <c r="Q96" s="226">
        <f t="shared" si="53"/>
        <v>0</v>
      </c>
      <c r="R96" s="226">
        <f t="shared" si="53"/>
        <v>0</v>
      </c>
      <c r="S96" s="226">
        <f t="shared" si="53"/>
        <v>0</v>
      </c>
      <c r="T96" s="226">
        <f t="shared" si="53"/>
        <v>0</v>
      </c>
      <c r="U96" s="226">
        <f t="shared" si="53"/>
        <v>0</v>
      </c>
      <c r="V96" s="226">
        <f t="shared" si="53"/>
        <v>0</v>
      </c>
      <c r="W96" s="226">
        <f t="shared" si="53"/>
        <v>0</v>
      </c>
      <c r="X96" s="226">
        <f t="shared" si="53"/>
        <v>0</v>
      </c>
      <c r="Y96" s="226">
        <f t="shared" si="53"/>
        <v>0</v>
      </c>
      <c r="Z96" s="226">
        <f t="shared" si="53"/>
        <v>0</v>
      </c>
      <c r="AA96" s="226">
        <f t="shared" si="53"/>
        <v>0</v>
      </c>
      <c r="AB96" s="226">
        <f t="shared" si="53"/>
        <v>0</v>
      </c>
      <c r="AC96" s="226">
        <f t="shared" si="53"/>
        <v>0</v>
      </c>
      <c r="AD96" s="226">
        <f t="shared" si="53"/>
        <v>0</v>
      </c>
      <c r="AE96" s="226">
        <f t="shared" si="53"/>
        <v>0</v>
      </c>
      <c r="AF96" s="226">
        <f t="shared" si="53"/>
        <v>0</v>
      </c>
      <c r="AG96" s="226">
        <f t="shared" si="53"/>
        <v>0</v>
      </c>
      <c r="AH96" s="226">
        <f t="shared" si="53"/>
        <v>0</v>
      </c>
      <c r="AI96" s="226">
        <f t="shared" si="53"/>
        <v>0</v>
      </c>
      <c r="AJ96" s="226">
        <f t="shared" si="53"/>
        <v>0</v>
      </c>
      <c r="AK96" s="226">
        <f t="shared" si="53"/>
        <v>0</v>
      </c>
      <c r="AL96" s="226">
        <f t="shared" si="53"/>
        <v>0</v>
      </c>
      <c r="AM96" s="226">
        <f t="shared" si="53"/>
        <v>0</v>
      </c>
      <c r="AN96" s="226">
        <f t="shared" si="53"/>
        <v>0</v>
      </c>
      <c r="AO96" s="226">
        <f t="shared" si="53"/>
        <v>0</v>
      </c>
      <c r="AP96" s="226">
        <f t="shared" si="53"/>
        <v>0</v>
      </c>
      <c r="AQ96" s="226">
        <f t="shared" si="53"/>
        <v>0</v>
      </c>
      <c r="AR96" s="226">
        <f t="shared" si="53"/>
        <v>0</v>
      </c>
      <c r="AS96" s="226">
        <f t="shared" si="53"/>
        <v>0</v>
      </c>
      <c r="AT96" s="226">
        <f t="shared" si="53"/>
        <v>0</v>
      </c>
      <c r="AU96" s="226">
        <f t="shared" si="53"/>
        <v>0</v>
      </c>
      <c r="AV96" s="226">
        <f t="shared" si="53"/>
        <v>0</v>
      </c>
      <c r="AW96" s="226">
        <f t="shared" si="53"/>
        <v>0</v>
      </c>
      <c r="AX96" s="226">
        <f t="shared" si="53"/>
        <v>0</v>
      </c>
      <c r="AY96" s="226">
        <f t="shared" si="53"/>
        <v>0</v>
      </c>
      <c r="AZ96" s="226">
        <f t="shared" si="53"/>
        <v>0</v>
      </c>
      <c r="BA96" s="226">
        <f t="shared" si="53"/>
        <v>0</v>
      </c>
      <c r="BB96" s="226">
        <f t="shared" si="53"/>
        <v>0</v>
      </c>
      <c r="BC96" s="226">
        <f t="shared" si="53"/>
        <v>0</v>
      </c>
      <c r="BD96" s="226">
        <f t="shared" si="53"/>
        <v>0</v>
      </c>
      <c r="BE96" s="226">
        <f t="shared" si="53"/>
        <v>0</v>
      </c>
      <c r="BF96" s="226">
        <f t="shared" si="53"/>
        <v>0</v>
      </c>
      <c r="BG96" s="226">
        <f t="shared" si="53"/>
        <v>0</v>
      </c>
      <c r="BH96" s="226">
        <f t="shared" si="53"/>
        <v>0</v>
      </c>
      <c r="BI96" s="226">
        <f t="shared" si="53"/>
        <v>0</v>
      </c>
      <c r="BJ96" s="226">
        <f t="shared" si="53"/>
        <v>0</v>
      </c>
      <c r="BK96" s="226">
        <f t="shared" si="53"/>
        <v>0</v>
      </c>
      <c r="BL96" s="226">
        <f t="shared" si="53"/>
        <v>0</v>
      </c>
      <c r="BM96" s="226">
        <f t="shared" si="53"/>
        <v>0</v>
      </c>
      <c r="BN96" s="226">
        <f t="shared" si="53"/>
        <v>0</v>
      </c>
      <c r="BO96" s="226">
        <f t="shared" si="53"/>
        <v>0</v>
      </c>
      <c r="BP96" s="226">
        <f t="shared" si="53"/>
        <v>0</v>
      </c>
      <c r="BQ96" s="226">
        <f t="shared" si="53"/>
        <v>0</v>
      </c>
      <c r="BR96" s="226">
        <f t="shared" si="53"/>
        <v>0</v>
      </c>
      <c r="BS96" s="226">
        <f t="shared" si="53"/>
        <v>0</v>
      </c>
      <c r="BT96" s="226">
        <f t="shared" si="53"/>
        <v>0</v>
      </c>
      <c r="BU96" s="226">
        <f t="shared" si="53"/>
        <v>0</v>
      </c>
      <c r="BV96" s="226">
        <f t="shared" si="53"/>
        <v>0</v>
      </c>
      <c r="BW96" s="226">
        <f t="shared" si="53"/>
        <v>0</v>
      </c>
    </row>
    <row r="97" spans="1:75" ht="12.75" x14ac:dyDescent="0.2">
      <c r="A97" s="60" t="s">
        <v>24</v>
      </c>
      <c r="B97" s="238"/>
      <c r="C97" s="212"/>
      <c r="D97" s="213">
        <f t="shared" ref="D97:BW97" ca="1" si="54">D87+D92-D96</f>
        <v>-89438</v>
      </c>
      <c r="E97" s="213">
        <f t="shared" ca="1" si="54"/>
        <v>-88124</v>
      </c>
      <c r="F97" s="213">
        <f t="shared" ca="1" si="54"/>
        <v>-102956</v>
      </c>
      <c r="G97" s="213">
        <f t="shared" ca="1" si="54"/>
        <v>-94595</v>
      </c>
      <c r="H97" s="213">
        <f t="shared" ca="1" si="54"/>
        <v>-82065</v>
      </c>
      <c r="I97" s="213">
        <f t="shared" ca="1" si="54"/>
        <v>-78132</v>
      </c>
      <c r="J97" s="213">
        <f t="shared" ca="1" si="54"/>
        <v>-94045</v>
      </c>
      <c r="K97" s="213">
        <f t="shared" ca="1" si="54"/>
        <v>-89766</v>
      </c>
      <c r="L97" s="213">
        <f t="shared" ca="1" si="54"/>
        <v>-114445</v>
      </c>
      <c r="M97" s="213">
        <f t="shared" ca="1" si="54"/>
        <v>-131881</v>
      </c>
      <c r="N97" s="213">
        <f t="shared" ca="1" si="54"/>
        <v>-140597</v>
      </c>
      <c r="O97" s="213">
        <f t="shared" ca="1" si="54"/>
        <v>-177194</v>
      </c>
      <c r="P97" s="213">
        <f t="shared" ca="1" si="54"/>
        <v>-177124</v>
      </c>
      <c r="Q97" s="213">
        <f t="shared" ca="1" si="54"/>
        <v>-189575</v>
      </c>
      <c r="R97" s="213">
        <f t="shared" ca="1" si="54"/>
        <v>-184131</v>
      </c>
      <c r="S97" s="213">
        <f t="shared" ca="1" si="54"/>
        <v>-128941</v>
      </c>
      <c r="T97" s="213">
        <f t="shared" ca="1" si="54"/>
        <v>-151754</v>
      </c>
      <c r="U97" s="213">
        <f t="shared" ca="1" si="54"/>
        <v>-122283</v>
      </c>
      <c r="V97" s="213">
        <f t="shared" ca="1" si="54"/>
        <v>-102474</v>
      </c>
      <c r="W97" s="213">
        <f t="shared" ca="1" si="54"/>
        <v>-82495</v>
      </c>
      <c r="X97" s="213">
        <f t="shared" ca="1" si="54"/>
        <v>-60038</v>
      </c>
      <c r="Y97" s="213">
        <f t="shared" ca="1" si="54"/>
        <v>-27320</v>
      </c>
      <c r="Z97" s="213">
        <f t="shared" ca="1" si="54"/>
        <v>-18905</v>
      </c>
      <c r="AA97" s="213">
        <f t="shared" ca="1" si="54"/>
        <v>-24211</v>
      </c>
      <c r="AB97" s="213">
        <f t="shared" ca="1" si="54"/>
        <v>-13824</v>
      </c>
      <c r="AC97" s="213">
        <f t="shared" ca="1" si="54"/>
        <v>-26169</v>
      </c>
      <c r="AD97" s="213">
        <f t="shared" ca="1" si="54"/>
        <v>8407.1899999999441</v>
      </c>
      <c r="AE97" s="213">
        <f t="shared" ca="1" si="54"/>
        <v>-117</v>
      </c>
      <c r="AF97" s="213">
        <f t="shared" ca="1" si="54"/>
        <v>53348.166337172617</v>
      </c>
      <c r="AG97" s="213">
        <f t="shared" ca="1" si="54"/>
        <v>35365.854453630745</v>
      </c>
      <c r="AH97" s="213">
        <f t="shared" ca="1" si="54"/>
        <v>26710.675679224078</v>
      </c>
      <c r="AI97" s="213">
        <f t="shared" ca="1" si="54"/>
        <v>14920.419460284058</v>
      </c>
      <c r="AJ97" s="213">
        <f t="shared" ca="1" si="54"/>
        <v>13663.145356597728</v>
      </c>
      <c r="AK97" s="213">
        <f t="shared" ca="1" si="54"/>
        <v>-48549.729794865241</v>
      </c>
      <c r="AL97" s="213">
        <f t="shared" ca="1" si="54"/>
        <v>-48803.553726164275</v>
      </c>
      <c r="AM97" s="213">
        <f t="shared" ca="1" si="54"/>
        <v>-88331.994089839398</v>
      </c>
      <c r="AN97" s="213">
        <f t="shared" ca="1" si="54"/>
        <v>-104794.54982564156</v>
      </c>
      <c r="AO97" s="213">
        <f t="shared" ca="1" si="54"/>
        <v>-142974.65278888505</v>
      </c>
      <c r="AP97" s="213">
        <f t="shared" ca="1" si="54"/>
        <v>-141624.0181672388</v>
      </c>
      <c r="AQ97" s="213">
        <f t="shared" ca="1" si="54"/>
        <v>-187935.17351820879</v>
      </c>
      <c r="AR97" s="213">
        <f t="shared" ca="1" si="54"/>
        <v>-184694.17163031828</v>
      </c>
      <c r="AS97" s="213">
        <f t="shared" ca="1" si="54"/>
        <v>-181586.3275139014</v>
      </c>
      <c r="AT97" s="213">
        <f t="shared" ca="1" si="54"/>
        <v>-195183.5016491384</v>
      </c>
      <c r="AU97" s="213">
        <f t="shared" ca="1" si="54"/>
        <v>-191277.3972087499</v>
      </c>
      <c r="AV97" s="213">
        <f t="shared" ca="1" si="54"/>
        <v>-186446.00717596372</v>
      </c>
      <c r="AW97" s="213">
        <f t="shared" ca="1" si="54"/>
        <v>-196732.59698605305</v>
      </c>
      <c r="AX97" s="213">
        <f t="shared" ca="1" si="54"/>
        <v>-191129.26920457231</v>
      </c>
      <c r="AY97" s="213">
        <f t="shared" ca="1" si="54"/>
        <v>-184612.36568452464</v>
      </c>
      <c r="AZ97" s="213">
        <f t="shared" ca="1" si="54"/>
        <v>-163531.85902199417</v>
      </c>
      <c r="BA97" s="213">
        <f t="shared" ca="1" si="54"/>
        <v>-145656.62694266392</v>
      </c>
      <c r="BB97" s="213">
        <f t="shared" ca="1" si="54"/>
        <v>-125384.45383855235</v>
      </c>
      <c r="BC97" s="213">
        <f t="shared" ca="1" si="54"/>
        <v>-118219.62232774729</v>
      </c>
      <c r="BD97" s="213">
        <f t="shared" ca="1" si="54"/>
        <v>-91559.401406835299</v>
      </c>
      <c r="BE97" s="213">
        <f t="shared" ca="1" si="54"/>
        <v>-67602.424128774554</v>
      </c>
      <c r="BF97" s="213">
        <f t="shared" ca="1" si="54"/>
        <v>-58065.361634227913</v>
      </c>
      <c r="BG97" s="213">
        <f t="shared" ca="1" si="54"/>
        <v>-31075.902297257213</v>
      </c>
      <c r="BH97" s="213">
        <f t="shared" ca="1" si="54"/>
        <v>-3066.4204998074565</v>
      </c>
      <c r="BI97" s="213">
        <f t="shared" ca="1" si="54"/>
        <v>9289.7598335875664</v>
      </c>
      <c r="BJ97" s="213">
        <f t="shared" ca="1" si="54"/>
        <v>38875.005257610697</v>
      </c>
      <c r="BK97" s="213">
        <f t="shared" ca="1" si="54"/>
        <v>69541.525123957777</v>
      </c>
      <c r="BL97" s="213">
        <f t="shared" ca="1" si="54"/>
        <v>85165.691730130697</v>
      </c>
      <c r="BM97" s="213">
        <f t="shared" ca="1" si="54"/>
        <v>117817.04966909951</v>
      </c>
      <c r="BN97" s="213">
        <f t="shared" ca="1" si="54"/>
        <v>151617.32156764017</v>
      </c>
      <c r="BO97" s="213">
        <f t="shared" ca="1" si="54"/>
        <v>170518.97268868494</v>
      </c>
      <c r="BP97" s="213">
        <f t="shared" ca="1" si="54"/>
        <v>206613.18742858246</v>
      </c>
      <c r="BQ97" s="213">
        <f t="shared" ca="1" si="54"/>
        <v>243905.40737026022</v>
      </c>
      <c r="BR97" s="213">
        <f t="shared" ca="1" si="54"/>
        <v>266413.7501501916</v>
      </c>
      <c r="BS97" s="213">
        <f t="shared" ca="1" si="54"/>
        <v>306241.80891807307</v>
      </c>
      <c r="BT97" s="213">
        <f t="shared" ca="1" si="54"/>
        <v>347390.80341482116</v>
      </c>
      <c r="BU97" s="213">
        <f t="shared" ca="1" si="54"/>
        <v>389905.3778601489</v>
      </c>
      <c r="BV97" s="213">
        <f t="shared" ca="1" si="54"/>
        <v>433830.66078369785</v>
      </c>
      <c r="BW97" s="213">
        <f t="shared" ca="1" si="54"/>
        <v>479209.08183547389</v>
      </c>
    </row>
    <row r="98" spans="1:75" ht="12.75" x14ac:dyDescent="0.2">
      <c r="A98" s="69" t="s">
        <v>244</v>
      </c>
      <c r="B98" s="221"/>
      <c r="D98" s="115">
        <f t="array" aca="1" ref="D98" ca="1">ROUND(INDEX(INDIRECT("PnL_"&amp;TEXT(D$1,"mmm")&amp;"_"&amp;TEXT(D$1,"yyyy")),MATCH(TRIM($A97),PnL_Accounts,0))-D97,2)</f>
        <v>0</v>
      </c>
      <c r="E98" s="115">
        <f t="array" aca="1" ref="E98" ca="1">ROUND(INDEX(INDIRECT("PnL_"&amp;TEXT(E$1,"mmm")&amp;"_"&amp;TEXT(E$1,"yyyy")),MATCH(TRIM($A97),PnL_Accounts,0))-E97,2)</f>
        <v>0</v>
      </c>
      <c r="F98" s="115">
        <f t="array" aca="1" ref="F98" ca="1">ROUND(INDEX(INDIRECT("PnL_"&amp;TEXT(F$1,"mmm")&amp;"_"&amp;TEXT(F$1,"yyyy")),MATCH(TRIM($A97),PnL_Accounts,0))-F97,2)</f>
        <v>0</v>
      </c>
      <c r="G98" s="115">
        <f t="array" aca="1" ref="G98" ca="1">ROUND(INDEX(INDIRECT("PnL_"&amp;TEXT(G$1,"mmm")&amp;"_"&amp;TEXT(G$1,"yyyy")),MATCH(TRIM($A97),PnL_Accounts,0))-G97,2)</f>
        <v>0</v>
      </c>
      <c r="H98" s="115">
        <f t="array" aca="1" ref="H98" ca="1">ROUND(INDEX(INDIRECT("PnL_"&amp;TEXT(H$1,"mmm")&amp;"_"&amp;TEXT(H$1,"yyyy")),MATCH(TRIM($A97),PnL_Accounts,0))-H97,2)</f>
        <v>0</v>
      </c>
      <c r="I98" s="115">
        <f t="array" aca="1" ref="I98" ca="1">ROUND(INDEX(INDIRECT("PnL_"&amp;TEXT(I$1,"mmm")&amp;"_"&amp;TEXT(I$1,"yyyy")),MATCH(TRIM($A97),PnL_Accounts,0))-I97,2)</f>
        <v>0</v>
      </c>
      <c r="J98" s="115">
        <f t="array" aca="1" ref="J98" ca="1">ROUND(INDEX(INDIRECT("PnL_"&amp;TEXT(J$1,"mmm")&amp;"_"&amp;TEXT(J$1,"yyyy")),MATCH(TRIM($A97),PnL_Accounts,0))-J97,2)</f>
        <v>0</v>
      </c>
      <c r="K98" s="115">
        <f t="array" aca="1" ref="K98" ca="1">ROUND(INDEX(INDIRECT("PnL_"&amp;TEXT(K$1,"mmm")&amp;"_"&amp;TEXT(K$1,"yyyy")),MATCH(TRIM($A97),PnL_Accounts,0))-K97,2)</f>
        <v>0</v>
      </c>
      <c r="L98" s="115">
        <f t="array" aca="1" ref="L98" ca="1">ROUND(INDEX(INDIRECT("PnL_"&amp;TEXT(L$1,"mmm")&amp;"_"&amp;TEXT(L$1,"yyyy")),MATCH(TRIM($A97),PnL_Accounts,0))-L97,2)</f>
        <v>0</v>
      </c>
      <c r="M98" s="115">
        <f t="array" aca="1" ref="M98" ca="1">ROUND(INDEX(INDIRECT("PnL_"&amp;TEXT(M$1,"mmm")&amp;"_"&amp;TEXT(M$1,"yyyy")),MATCH(TRIM($A97),PnL_Accounts,0))-M97,2)</f>
        <v>0</v>
      </c>
      <c r="N98" s="115">
        <f t="array" aca="1" ref="N98" ca="1">ROUND(INDEX(INDIRECT("PnL_"&amp;TEXT(N$1,"mmm")&amp;"_"&amp;TEXT(N$1,"yyyy")),MATCH(TRIM($A97),PnL_Accounts,0))-N97,2)</f>
        <v>0</v>
      </c>
      <c r="O98" s="115">
        <f t="array" aca="1" ref="O98" ca="1">ROUND(INDEX(INDIRECT("PnL_"&amp;TEXT(O$1,"mmm")&amp;"_"&amp;TEXT(O$1,"yyyy")),MATCH(TRIM($A97),PnL_Accounts,0))-O97,2)</f>
        <v>0</v>
      </c>
      <c r="P98" s="115">
        <f t="array" aca="1" ref="P98" ca="1">ROUND(INDEX(INDIRECT("PnL_"&amp;TEXT(P$1,"mmm")&amp;"_"&amp;TEXT(P$1,"yyyy")),MATCH(TRIM($A97),PnL_Accounts,0))-P97,2)</f>
        <v>0</v>
      </c>
      <c r="Q98" s="115">
        <f t="array" aca="1" ref="Q98" ca="1">ROUND(INDEX(INDIRECT("PnL_"&amp;TEXT(Q$1,"mmm")&amp;"_"&amp;TEXT(Q$1,"yyyy")),MATCH(TRIM($A97),PnL_Accounts,0))-Q97,2)</f>
        <v>0</v>
      </c>
      <c r="R98" s="115">
        <f t="array" aca="1" ref="R98" ca="1">ROUND(INDEX(INDIRECT("PnL_"&amp;TEXT(R$1,"mmm")&amp;"_"&amp;TEXT(R$1,"yyyy")),MATCH(TRIM($A97),PnL_Accounts,0))-R97,2)</f>
        <v>0</v>
      </c>
      <c r="S98" s="115">
        <f t="array" aca="1" ref="S98" ca="1">ROUND(INDEX(INDIRECT("PnL_"&amp;TEXT(S$1,"mmm")&amp;"_"&amp;TEXT(S$1,"yyyy")),MATCH(TRIM($A97),PnL_Accounts,0))-S97,2)</f>
        <v>0</v>
      </c>
      <c r="T98" s="115">
        <f t="array" aca="1" ref="T98" ca="1">ROUND(INDEX(INDIRECT("PnL_"&amp;TEXT(T$1,"mmm")&amp;"_"&amp;TEXT(T$1,"yyyy")),MATCH(TRIM($A97),PnL_Accounts,0))-T97,2)</f>
        <v>0</v>
      </c>
      <c r="U98" s="115">
        <f t="array" aca="1" ref="U98" ca="1">ROUND(INDEX(INDIRECT("PnL_"&amp;TEXT(U$1,"mmm")&amp;"_"&amp;TEXT(U$1,"yyyy")),MATCH(TRIM($A97),PnL_Accounts,0))-U97,2)</f>
        <v>0</v>
      </c>
      <c r="V98" s="115">
        <f t="array" aca="1" ref="V98" ca="1">ROUND(INDEX(INDIRECT("PnL_"&amp;TEXT(V$1,"mmm")&amp;"_"&amp;TEXT(V$1,"yyyy")),MATCH(TRIM($A97),PnL_Accounts,0))-V97,2)</f>
        <v>0</v>
      </c>
      <c r="W98" s="115">
        <f t="array" aca="1" ref="W98" ca="1">ROUND(INDEX(INDIRECT("PnL_"&amp;TEXT(W$1,"mmm")&amp;"_"&amp;TEXT(W$1,"yyyy")),MATCH(TRIM($A97),PnL_Accounts,0))-W97,2)</f>
        <v>0</v>
      </c>
      <c r="X98" s="115">
        <f t="array" aca="1" ref="X98" ca="1">ROUND(INDEX(INDIRECT("PnL_"&amp;TEXT(X$1,"mmm")&amp;"_"&amp;TEXT(X$1,"yyyy")),MATCH(TRIM($A97),PnL_Accounts,0))-X97,2)</f>
        <v>0</v>
      </c>
      <c r="Y98" s="115">
        <f t="array" aca="1" ref="Y98" ca="1">ROUND(INDEX(INDIRECT("PnL_"&amp;TEXT(Y$1,"mmm")&amp;"_"&amp;TEXT(Y$1,"yyyy")),MATCH(TRIM($A97),PnL_Accounts,0))-Y97,2)</f>
        <v>0</v>
      </c>
      <c r="Z98" s="115">
        <f t="array" aca="1" ref="Z98" ca="1">ROUND(INDEX(INDIRECT("PnL_"&amp;TEXT(Z$1,"mmm")&amp;"_"&amp;TEXT(Z$1,"yyyy")),MATCH(TRIM($A97),PnL_Accounts,0))-Z97,2)</f>
        <v>0</v>
      </c>
      <c r="AA98" s="115">
        <f t="array" aca="1" ref="AA98" ca="1">ROUND(INDEX(INDIRECT("PnL_"&amp;TEXT(AA$1,"mmm")&amp;"_"&amp;TEXT(AA$1,"yyyy")),MATCH(TRIM($A97),PnL_Accounts,0))-AA97,2)</f>
        <v>0</v>
      </c>
      <c r="AB98" s="115">
        <f t="array" aca="1" ref="AB98" ca="1">ROUND(INDEX(INDIRECT("PnL_"&amp;TEXT(AB$1,"mmm")&amp;"_"&amp;TEXT(AB$1,"yyyy")),MATCH(TRIM($A97),PnL_Accounts,0))-AB97,2)</f>
        <v>0</v>
      </c>
      <c r="AC98" s="115">
        <f t="array" aca="1" ref="AC98" ca="1">ROUND(INDEX(INDIRECT("PnL_"&amp;TEXT(AC$1,"mmm")&amp;"_"&amp;TEXT(AC$1,"yyyy")),MATCH(TRIM($A97),PnL_Accounts,0))-AC97,2)</f>
        <v>0</v>
      </c>
      <c r="AD98" s="115">
        <f t="array" aca="1" ref="AD98" ca="1">ROUND(INDEX(INDIRECT("PnL_"&amp;TEXT(AD$1,"mmm")&amp;"_"&amp;TEXT(AD$1,"yyyy")),MATCH(TRIM($A97),PnL_Accounts,0))-AD97,2)</f>
        <v>0</v>
      </c>
      <c r="AE98" s="115">
        <f t="array" aca="1" ref="AE98" ca="1">ROUND(INDEX(INDIRECT("PnL_"&amp;TEXT(AE$1,"mmm")&amp;"_"&amp;TEXT(AE$1,"yyyy")),MATCH(TRIM($A97),PnL_Accounts,0))-AE97,2)</f>
        <v>0</v>
      </c>
    </row>
    <row r="99" spans="1:75" ht="12.75" x14ac:dyDescent="0.2">
      <c r="B99" s="221"/>
    </row>
    <row r="100" spans="1:75" ht="12.75" x14ac:dyDescent="0.2">
      <c r="A100" s="21" t="s">
        <v>344</v>
      </c>
      <c r="B100" s="221"/>
    </row>
    <row r="101" spans="1:75" ht="12.75" x14ac:dyDescent="0.2">
      <c r="A101" s="23" t="s">
        <v>345</v>
      </c>
      <c r="B101" s="221"/>
    </row>
    <row r="102" spans="1:75" ht="12.75" x14ac:dyDescent="0.2">
      <c r="A102" s="23" t="s">
        <v>346</v>
      </c>
      <c r="B102" s="221"/>
    </row>
    <row r="103" spans="1:75" ht="12.75" x14ac:dyDescent="0.2">
      <c r="A103" s="23" t="s">
        <v>347</v>
      </c>
      <c r="B103" s="221"/>
      <c r="AF103" s="165">
        <f t="shared" ref="AF103:BW103" ca="1" si="55">AE105+AF181</f>
        <v>317048.35633717262</v>
      </c>
      <c r="AG103" s="165">
        <f t="shared" ca="1" si="55"/>
        <v>352414.21079080336</v>
      </c>
      <c r="AH103" s="165">
        <f t="shared" ca="1" si="55"/>
        <v>379124.88647002744</v>
      </c>
      <c r="AI103" s="165">
        <f t="shared" ca="1" si="55"/>
        <v>394045.3059303115</v>
      </c>
      <c r="AJ103" s="165">
        <f t="shared" ca="1" si="55"/>
        <v>407708.45128690923</v>
      </c>
      <c r="AK103" s="165">
        <f t="shared" ca="1" si="55"/>
        <v>359158.72149204399</v>
      </c>
      <c r="AL103" s="165">
        <f t="shared" ca="1" si="55"/>
        <v>310355.16776587971</v>
      </c>
      <c r="AM103" s="165">
        <f t="shared" ca="1" si="55"/>
        <v>222023.17367604031</v>
      </c>
      <c r="AN103" s="165">
        <f t="shared" ca="1" si="55"/>
        <v>117228.62385039876</v>
      </c>
      <c r="AO103" s="165">
        <f t="shared" ca="1" si="55"/>
        <v>-25746.028938486299</v>
      </c>
      <c r="AP103" s="165">
        <f t="shared" ca="1" si="55"/>
        <v>-167370.0471057251</v>
      </c>
      <c r="AQ103" s="165">
        <f t="shared" ca="1" si="55"/>
        <v>-355305.22062393388</v>
      </c>
      <c r="AR103" s="165">
        <f t="shared" ca="1" si="55"/>
        <v>-539999.39225425222</v>
      </c>
      <c r="AS103" s="165">
        <f t="shared" ca="1" si="55"/>
        <v>-721585.71976815362</v>
      </c>
      <c r="AT103" s="165">
        <f t="shared" ca="1" si="55"/>
        <v>-916769.22141729202</v>
      </c>
      <c r="AU103" s="165">
        <f t="shared" ca="1" si="55"/>
        <v>-1108046.6186260418</v>
      </c>
      <c r="AV103" s="165">
        <f t="shared" ca="1" si="55"/>
        <v>-1294492.6258020056</v>
      </c>
      <c r="AW103" s="165">
        <f t="shared" ca="1" si="55"/>
        <v>-1491225.2227880587</v>
      </c>
      <c r="AX103" s="165">
        <f t="shared" ca="1" si="55"/>
        <v>-1682354.491992631</v>
      </c>
      <c r="AY103" s="165">
        <f t="shared" ca="1" si="55"/>
        <v>-1866966.8576771556</v>
      </c>
      <c r="AZ103" s="165">
        <f t="shared" ca="1" si="55"/>
        <v>-2030498.7166991499</v>
      </c>
      <c r="BA103" s="165">
        <f t="shared" ca="1" si="55"/>
        <v>-2176155.3436418138</v>
      </c>
      <c r="BB103" s="165">
        <f t="shared" ca="1" si="55"/>
        <v>-2301539.7974803662</v>
      </c>
      <c r="BC103" s="165">
        <f t="shared" ca="1" si="55"/>
        <v>-2419759.4198081135</v>
      </c>
      <c r="BD103" s="165">
        <f t="shared" ca="1" si="55"/>
        <v>-2511318.8212149488</v>
      </c>
      <c r="BE103" s="165">
        <f t="shared" ca="1" si="55"/>
        <v>-2578921.2453437233</v>
      </c>
      <c r="BF103" s="165">
        <f t="shared" ca="1" si="55"/>
        <v>-2636986.6069779512</v>
      </c>
      <c r="BG103" s="165">
        <f t="shared" ca="1" si="55"/>
        <v>-2668062.5092752082</v>
      </c>
      <c r="BH103" s="165">
        <f t="shared" ca="1" si="55"/>
        <v>-2671128.9297750155</v>
      </c>
      <c r="BI103" s="165">
        <f t="shared" ca="1" si="55"/>
        <v>-2661839.1699414281</v>
      </c>
      <c r="BJ103" s="165">
        <f t="shared" ca="1" si="55"/>
        <v>-2622964.1646838174</v>
      </c>
      <c r="BK103" s="165">
        <f t="shared" ca="1" si="55"/>
        <v>-2553422.6395598594</v>
      </c>
      <c r="BL103" s="165">
        <f t="shared" ca="1" si="55"/>
        <v>-2468256.9478297289</v>
      </c>
      <c r="BM103" s="165">
        <f t="shared" ca="1" si="55"/>
        <v>-2350439.8981606294</v>
      </c>
      <c r="BN103" s="165">
        <f t="shared" ca="1" si="55"/>
        <v>-2198822.5765929893</v>
      </c>
      <c r="BO103" s="165">
        <f t="shared" ca="1" si="55"/>
        <v>-2028303.6039043043</v>
      </c>
      <c r="BP103" t="e">
        <f t="shared" ca="1" si="55"/>
        <v>#N/A</v>
      </c>
      <c r="BQ103" t="e">
        <f t="shared" ca="1" si="55"/>
        <v>#N/A</v>
      </c>
      <c r="BR103" t="e">
        <f t="shared" ca="1" si="55"/>
        <v>#N/A</v>
      </c>
      <c r="BS103" t="e">
        <f t="shared" ca="1" si="55"/>
        <v>#N/A</v>
      </c>
      <c r="BT103" t="e">
        <f t="shared" ca="1" si="55"/>
        <v>#N/A</v>
      </c>
      <c r="BU103" t="e">
        <f t="shared" ca="1" si="55"/>
        <v>#N/A</v>
      </c>
      <c r="BV103" t="e">
        <f t="shared" ca="1" si="55"/>
        <v>#N/A</v>
      </c>
      <c r="BW103" t="e">
        <f t="shared" ca="1" si="55"/>
        <v>#N/A</v>
      </c>
    </row>
    <row r="104" spans="1:75" ht="12.75" x14ac:dyDescent="0.2">
      <c r="A104" s="23" t="s">
        <v>348</v>
      </c>
      <c r="B104" s="221"/>
      <c r="D104" s="115">
        <f t="array" aca="1" ref="D104" ca="1">INDEX(INDIRECT("BS_"&amp;TEXT(D$1,"mmm")&amp;"_"&amp;TEXT(D$1,"yyyy")),MATCH(TRIM($A104),BS_Accounts,0))</f>
        <v>960680</v>
      </c>
      <c r="E104" s="115">
        <f t="array" aca="1" ref="E104" ca="1">INDEX(INDIRECT("BS_"&amp;TEXT(E$1,"mmm")&amp;"_"&amp;TEXT(E$1,"yyyy")),MATCH(TRIM($A104),BS_Accounts,0))</f>
        <v>970330</v>
      </c>
      <c r="F104" s="115">
        <f t="array" aca="1" ref="F104" ca="1">INDEX(INDIRECT("BS_"&amp;TEXT(F$1,"mmm")&amp;"_"&amp;TEXT(F$1,"yyyy")),MATCH(TRIM($A104),BS_Accounts,0))</f>
        <v>867374</v>
      </c>
      <c r="G104" s="115">
        <f t="array" aca="1" ref="G104" ca="1">INDEX(INDIRECT("BS_"&amp;TEXT(G$1,"mmm")&amp;"_"&amp;TEXT(G$1,"yyyy")),MATCH(TRIM($A104),BS_Accounts,0))</f>
        <v>772779</v>
      </c>
      <c r="H104" s="115">
        <f t="array" aca="1" ref="H104" ca="1">INDEX(INDIRECT("BS_"&amp;TEXT(H$1,"mmm")&amp;"_"&amp;TEXT(H$1,"yyyy")),MATCH(TRIM($A104),BS_Accounts,0))</f>
        <v>690714</v>
      </c>
      <c r="I104" s="115">
        <f t="array" aca="1" ref="I104" ca="1">INDEX(INDIRECT("BS_"&amp;TEXT(I$1,"mmm")&amp;"_"&amp;TEXT(I$1,"yyyy")),MATCH(TRIM($A104),BS_Accounts,0))</f>
        <v>612582</v>
      </c>
      <c r="J104" s="115">
        <f t="array" aca="1" ref="J104" ca="1">INDEX(INDIRECT("BS_"&amp;TEXT(J$1,"mmm")&amp;"_"&amp;TEXT(J$1,"yyyy")),MATCH(TRIM($A104),BS_Accounts,0))</f>
        <v>518537</v>
      </c>
      <c r="K104" s="115">
        <f t="array" aca="1" ref="K104" ca="1">INDEX(INDIRECT("BS_"&amp;TEXT(K$1,"mmm")&amp;"_"&amp;TEXT(K$1,"yyyy")),MATCH(TRIM($A104),BS_Accounts,0))</f>
        <v>428771</v>
      </c>
      <c r="L104" s="115">
        <f t="array" aca="1" ref="L104" ca="1">INDEX(INDIRECT("BS_"&amp;TEXT(L$1,"mmm")&amp;"_"&amp;TEXT(L$1,"yyyy")),MATCH(TRIM($A104),BS_Accounts,0))</f>
        <v>314326</v>
      </c>
      <c r="M104" s="115">
        <f t="array" aca="1" ref="M104" ca="1">INDEX(INDIRECT("BS_"&amp;TEXT(M$1,"mmm")&amp;"_"&amp;TEXT(M$1,"yyyy")),MATCH(TRIM($A104),BS_Accounts,0))</f>
        <v>782445</v>
      </c>
      <c r="N104" s="115">
        <f t="array" aca="1" ref="N104" ca="1">INDEX(INDIRECT("BS_"&amp;TEXT(N$1,"mmm")&amp;"_"&amp;TEXT(N$1,"yyyy")),MATCH(TRIM($A104),BS_Accounts,0))</f>
        <v>641848</v>
      </c>
      <c r="O104" s="115">
        <f t="array" aca="1" ref="O104" ca="1">INDEX(INDIRECT("BS_"&amp;TEXT(O$1,"mmm")&amp;"_"&amp;TEXT(O$1,"yyyy")),MATCH(TRIM($A104),BS_Accounts,0))</f>
        <v>464654</v>
      </c>
      <c r="P104" s="115">
        <f t="array" aca="1" ref="P104" ca="1">INDEX(INDIRECT("BS_"&amp;TEXT(P$1,"mmm")&amp;"_"&amp;TEXT(P$1,"yyyy")),MATCH(TRIM($A104),BS_Accounts,0))</f>
        <v>787530</v>
      </c>
      <c r="Q104" s="115">
        <f t="array" aca="1" ref="Q104" ca="1">INDEX(INDIRECT("BS_"&amp;TEXT(Q$1,"mmm")&amp;"_"&amp;TEXT(Q$1,"yyyy")),MATCH(TRIM($A104),BS_Accounts,0))</f>
        <v>597955</v>
      </c>
      <c r="R104" s="115">
        <f t="array" aca="1" ref="R104" ca="1">INDEX(INDIRECT("BS_"&amp;TEXT(R$1,"mmm")&amp;"_"&amp;TEXT(R$1,"yyyy")),MATCH(TRIM($A104),BS_Accounts,0))</f>
        <v>413824</v>
      </c>
      <c r="S104" s="115">
        <f t="array" aca="1" ref="S104" ca="1">INDEX(INDIRECT("BS_"&amp;TEXT(S$1,"mmm")&amp;"_"&amp;TEXT(S$1,"yyyy")),MATCH(TRIM($A104),BS_Accounts,0))</f>
        <v>284883</v>
      </c>
      <c r="T104" s="115">
        <f t="array" aca="1" ref="T104" ca="1">INDEX(INDIRECT("BS_"&amp;TEXT(T$1,"mmm")&amp;"_"&amp;TEXT(T$1,"yyyy")),MATCH(TRIM($A104),BS_Accounts,0))</f>
        <v>433129</v>
      </c>
      <c r="U104" s="115">
        <f t="array" aca="1" ref="U104" ca="1">INDEX(INDIRECT("BS_"&amp;TEXT(U$1,"mmm")&amp;"_"&amp;TEXT(U$1,"yyyy")),MATCH(TRIM($A104),BS_Accounts,0))</f>
        <v>310846</v>
      </c>
      <c r="V104" s="115">
        <f t="array" aca="1" ref="V104" ca="1">INDEX(INDIRECT("BS_"&amp;TEXT(V$1,"mmm")&amp;"_"&amp;TEXT(V$1,"yyyy")),MATCH(TRIM($A104),BS_Accounts,0))</f>
        <v>208372</v>
      </c>
      <c r="W104" s="115">
        <f t="array" aca="1" ref="W104" ca="1">INDEX(INDIRECT("BS_"&amp;TEXT(W$1,"mmm")&amp;"_"&amp;TEXT(W$1,"yyyy")),MATCH(TRIM($A104),BS_Accounts,0))</f>
        <v>125877</v>
      </c>
      <c r="X104" s="115">
        <f t="array" aca="1" ref="X104" ca="1">INDEX(INDIRECT("BS_"&amp;TEXT(X$1,"mmm")&amp;"_"&amp;TEXT(X$1,"yyyy")),MATCH(TRIM($A104),BS_Accounts,0))</f>
        <v>65839</v>
      </c>
      <c r="Y104" s="115">
        <f t="array" aca="1" ref="Y104" ca="1">INDEX(INDIRECT("BS_"&amp;TEXT(Y$1,"mmm")&amp;"_"&amp;TEXT(Y$1,"yyyy")),MATCH(TRIM($A104),BS_Accounts,0))</f>
        <v>338519</v>
      </c>
      <c r="Z104" s="115">
        <f t="array" aca="1" ref="Z104" ca="1">INDEX(INDIRECT("BS_"&amp;TEXT(Z$1,"mmm")&amp;"_"&amp;TEXT(Z$1,"yyyy")),MATCH(TRIM($A104),BS_Accounts,0))</f>
        <v>319614</v>
      </c>
      <c r="AA104" s="115">
        <f t="array" aca="1" ref="AA104" ca="1">INDEX(INDIRECT("BS_"&amp;TEXT(AA$1,"mmm")&amp;"_"&amp;TEXT(AA$1,"yyyy")),MATCH(TRIM($A104),BS_Accounts,0))</f>
        <v>295403</v>
      </c>
      <c r="AB104" s="115">
        <f t="array" aca="1" ref="AB104" ca="1">INDEX(INDIRECT("BS_"&amp;TEXT(AB$1,"mmm")&amp;"_"&amp;TEXT(AB$1,"yyyy")),MATCH(TRIM($A104),BS_Accounts,0))</f>
        <v>281579</v>
      </c>
      <c r="AC104" s="115">
        <f t="array" aca="1" ref="AC104" ca="1">INDEX(INDIRECT("BS_"&amp;TEXT(AC$1,"mmm")&amp;"_"&amp;TEXT(AC$1,"yyyy")),MATCH(TRIM($A104),BS_Accounts,0))</f>
        <v>255410</v>
      </c>
      <c r="AD104" s="115">
        <f t="array" aca="1" ref="AD104" ca="1">INDEX(INDIRECT("BS_"&amp;TEXT(AD$1,"mmm")&amp;"_"&amp;TEXT(AD$1,"yyyy")),MATCH(TRIM($A104),BS_Accounts,0))</f>
        <v>263817.19</v>
      </c>
      <c r="AE104" s="115">
        <f t="array" aca="1" ref="AE104" ca="1">INDEX(INDIRECT("BS_"&amp;TEXT(AE$1,"mmm")&amp;"_"&amp;TEXT(AE$1,"yyyy")),MATCH(TRIM($A104),BS_Accounts,0))</f>
        <v>263700.19</v>
      </c>
    </row>
    <row r="105" spans="1:75" ht="12.75" x14ac:dyDescent="0.2">
      <c r="A105" s="60" t="s">
        <v>349</v>
      </c>
      <c r="B105" s="238"/>
      <c r="C105" s="212"/>
      <c r="D105" s="226">
        <f t="shared" ref="D105:BW105" ca="1" si="56">SUM(D103:D104)</f>
        <v>960680</v>
      </c>
      <c r="E105" s="226">
        <f t="shared" ca="1" si="56"/>
        <v>970330</v>
      </c>
      <c r="F105" s="226">
        <f t="shared" ca="1" si="56"/>
        <v>867374</v>
      </c>
      <c r="G105" s="226">
        <f t="shared" ca="1" si="56"/>
        <v>772779</v>
      </c>
      <c r="H105" s="226">
        <f t="shared" ca="1" si="56"/>
        <v>690714</v>
      </c>
      <c r="I105" s="226">
        <f t="shared" ca="1" si="56"/>
        <v>612582</v>
      </c>
      <c r="J105" s="226">
        <f t="shared" ca="1" si="56"/>
        <v>518537</v>
      </c>
      <c r="K105" s="226">
        <f t="shared" ca="1" si="56"/>
        <v>428771</v>
      </c>
      <c r="L105" s="226">
        <f t="shared" ca="1" si="56"/>
        <v>314326</v>
      </c>
      <c r="M105" s="226">
        <f t="shared" ca="1" si="56"/>
        <v>782445</v>
      </c>
      <c r="N105" s="226">
        <f t="shared" ca="1" si="56"/>
        <v>641848</v>
      </c>
      <c r="O105" s="226">
        <f t="shared" ca="1" si="56"/>
        <v>464654</v>
      </c>
      <c r="P105" s="226">
        <f t="shared" ca="1" si="56"/>
        <v>787530</v>
      </c>
      <c r="Q105" s="226">
        <f t="shared" ca="1" si="56"/>
        <v>597955</v>
      </c>
      <c r="R105" s="226">
        <f t="shared" ca="1" si="56"/>
        <v>413824</v>
      </c>
      <c r="S105" s="226">
        <f t="shared" ca="1" si="56"/>
        <v>284883</v>
      </c>
      <c r="T105" s="226">
        <f t="shared" ca="1" si="56"/>
        <v>433129</v>
      </c>
      <c r="U105" s="226">
        <f t="shared" ca="1" si="56"/>
        <v>310846</v>
      </c>
      <c r="V105" s="226">
        <f t="shared" ca="1" si="56"/>
        <v>208372</v>
      </c>
      <c r="W105" s="226">
        <f t="shared" ca="1" si="56"/>
        <v>125877</v>
      </c>
      <c r="X105" s="226">
        <f t="shared" ca="1" si="56"/>
        <v>65839</v>
      </c>
      <c r="Y105" s="226">
        <f t="shared" ca="1" si="56"/>
        <v>338519</v>
      </c>
      <c r="Z105" s="226">
        <f t="shared" ca="1" si="56"/>
        <v>319614</v>
      </c>
      <c r="AA105" s="226">
        <f t="shared" ca="1" si="56"/>
        <v>295403</v>
      </c>
      <c r="AB105" s="226">
        <f t="shared" ca="1" si="56"/>
        <v>281579</v>
      </c>
      <c r="AC105" s="226">
        <f t="shared" ca="1" si="56"/>
        <v>255410</v>
      </c>
      <c r="AD105" s="226">
        <f t="shared" ca="1" si="56"/>
        <v>263817.19</v>
      </c>
      <c r="AE105" s="226">
        <f t="shared" ca="1" si="56"/>
        <v>263700.19</v>
      </c>
      <c r="AF105" s="226">
        <f t="shared" ca="1" si="56"/>
        <v>317048.35633717262</v>
      </c>
      <c r="AG105" s="226">
        <f t="shared" ca="1" si="56"/>
        <v>352414.21079080336</v>
      </c>
      <c r="AH105" s="226">
        <f t="shared" ca="1" si="56"/>
        <v>379124.88647002744</v>
      </c>
      <c r="AI105" s="226">
        <f t="shared" ca="1" si="56"/>
        <v>394045.3059303115</v>
      </c>
      <c r="AJ105" s="226">
        <f t="shared" ca="1" si="56"/>
        <v>407708.45128690923</v>
      </c>
      <c r="AK105" s="226">
        <f t="shared" ca="1" si="56"/>
        <v>359158.72149204399</v>
      </c>
      <c r="AL105" s="226">
        <f t="shared" ca="1" si="56"/>
        <v>310355.16776587971</v>
      </c>
      <c r="AM105" s="226">
        <f t="shared" ca="1" si="56"/>
        <v>222023.17367604031</v>
      </c>
      <c r="AN105" s="226">
        <f t="shared" ca="1" si="56"/>
        <v>117228.62385039876</v>
      </c>
      <c r="AO105" s="226">
        <f t="shared" ca="1" si="56"/>
        <v>-25746.028938486299</v>
      </c>
      <c r="AP105" s="226">
        <f t="shared" ca="1" si="56"/>
        <v>-167370.0471057251</v>
      </c>
      <c r="AQ105" s="226">
        <f t="shared" ca="1" si="56"/>
        <v>-355305.22062393388</v>
      </c>
      <c r="AR105" s="226">
        <f t="shared" ca="1" si="56"/>
        <v>-539999.39225425222</v>
      </c>
      <c r="AS105" s="226">
        <f t="shared" ca="1" si="56"/>
        <v>-721585.71976815362</v>
      </c>
      <c r="AT105" s="226">
        <f t="shared" ca="1" si="56"/>
        <v>-916769.22141729202</v>
      </c>
      <c r="AU105" s="226">
        <f t="shared" ca="1" si="56"/>
        <v>-1108046.6186260418</v>
      </c>
      <c r="AV105" s="226">
        <f t="shared" ca="1" si="56"/>
        <v>-1294492.6258020056</v>
      </c>
      <c r="AW105" s="226">
        <f t="shared" ca="1" si="56"/>
        <v>-1491225.2227880587</v>
      </c>
      <c r="AX105" s="226">
        <f t="shared" ca="1" si="56"/>
        <v>-1682354.491992631</v>
      </c>
      <c r="AY105" s="226">
        <f t="shared" ca="1" si="56"/>
        <v>-1866966.8576771556</v>
      </c>
      <c r="AZ105" s="226">
        <f t="shared" ca="1" si="56"/>
        <v>-2030498.7166991499</v>
      </c>
      <c r="BA105" s="226">
        <f t="shared" ca="1" si="56"/>
        <v>-2176155.3436418138</v>
      </c>
      <c r="BB105" s="226">
        <f t="shared" ca="1" si="56"/>
        <v>-2301539.7974803662</v>
      </c>
      <c r="BC105" s="226">
        <f t="shared" ca="1" si="56"/>
        <v>-2419759.4198081135</v>
      </c>
      <c r="BD105" s="226">
        <f t="shared" ca="1" si="56"/>
        <v>-2511318.8212149488</v>
      </c>
      <c r="BE105" s="226">
        <f t="shared" ca="1" si="56"/>
        <v>-2578921.2453437233</v>
      </c>
      <c r="BF105" s="226">
        <f t="shared" ca="1" si="56"/>
        <v>-2636986.6069779512</v>
      </c>
      <c r="BG105" s="226">
        <f t="shared" ca="1" si="56"/>
        <v>-2668062.5092752082</v>
      </c>
      <c r="BH105" s="226">
        <f t="shared" ca="1" si="56"/>
        <v>-2671128.9297750155</v>
      </c>
      <c r="BI105" s="226">
        <f t="shared" ca="1" si="56"/>
        <v>-2661839.1699414281</v>
      </c>
      <c r="BJ105" s="226">
        <f t="shared" ca="1" si="56"/>
        <v>-2622964.1646838174</v>
      </c>
      <c r="BK105" s="226">
        <f t="shared" ca="1" si="56"/>
        <v>-2553422.6395598594</v>
      </c>
      <c r="BL105" s="226">
        <f t="shared" ca="1" si="56"/>
        <v>-2468256.9478297289</v>
      </c>
      <c r="BM105" s="226">
        <f t="shared" ca="1" si="56"/>
        <v>-2350439.8981606294</v>
      </c>
      <c r="BN105" s="226">
        <f t="shared" ca="1" si="56"/>
        <v>-2198822.5765929893</v>
      </c>
      <c r="BO105" s="226">
        <f t="shared" ca="1" si="56"/>
        <v>-2028303.6039043043</v>
      </c>
      <c r="BP105" s="226" t="e">
        <f t="shared" ca="1" si="56"/>
        <v>#N/A</v>
      </c>
      <c r="BQ105" s="226" t="e">
        <f t="shared" ca="1" si="56"/>
        <v>#N/A</v>
      </c>
      <c r="BR105" s="226" t="e">
        <f t="shared" ca="1" si="56"/>
        <v>#N/A</v>
      </c>
      <c r="BS105" s="226" t="e">
        <f t="shared" ca="1" si="56"/>
        <v>#N/A</v>
      </c>
      <c r="BT105" s="226" t="e">
        <f t="shared" ca="1" si="56"/>
        <v>#N/A</v>
      </c>
      <c r="BU105" s="226" t="e">
        <f t="shared" ca="1" si="56"/>
        <v>#N/A</v>
      </c>
      <c r="BV105" s="226" t="e">
        <f t="shared" ca="1" si="56"/>
        <v>#N/A</v>
      </c>
      <c r="BW105" s="226" t="e">
        <f t="shared" ca="1" si="56"/>
        <v>#N/A</v>
      </c>
    </row>
    <row r="106" spans="1:75" ht="12.75" x14ac:dyDescent="0.2">
      <c r="A106" s="60" t="s">
        <v>350</v>
      </c>
      <c r="B106" s="238"/>
      <c r="C106" s="212"/>
      <c r="D106" s="226">
        <f t="shared" ref="D106:BW106" ca="1" si="57">SUM(D105)</f>
        <v>960680</v>
      </c>
      <c r="E106" s="226">
        <f t="shared" ca="1" si="57"/>
        <v>970330</v>
      </c>
      <c r="F106" s="226">
        <f t="shared" ca="1" si="57"/>
        <v>867374</v>
      </c>
      <c r="G106" s="226">
        <f t="shared" ca="1" si="57"/>
        <v>772779</v>
      </c>
      <c r="H106" s="226">
        <f t="shared" ca="1" si="57"/>
        <v>690714</v>
      </c>
      <c r="I106" s="226">
        <f t="shared" ca="1" si="57"/>
        <v>612582</v>
      </c>
      <c r="J106" s="226">
        <f t="shared" ca="1" si="57"/>
        <v>518537</v>
      </c>
      <c r="K106" s="226">
        <f t="shared" ca="1" si="57"/>
        <v>428771</v>
      </c>
      <c r="L106" s="226">
        <f t="shared" ca="1" si="57"/>
        <v>314326</v>
      </c>
      <c r="M106" s="226">
        <f t="shared" ca="1" si="57"/>
        <v>782445</v>
      </c>
      <c r="N106" s="226">
        <f t="shared" ca="1" si="57"/>
        <v>641848</v>
      </c>
      <c r="O106" s="226">
        <f t="shared" ca="1" si="57"/>
        <v>464654</v>
      </c>
      <c r="P106" s="226">
        <f t="shared" ca="1" si="57"/>
        <v>787530</v>
      </c>
      <c r="Q106" s="226">
        <f t="shared" ca="1" si="57"/>
        <v>597955</v>
      </c>
      <c r="R106" s="226">
        <f t="shared" ca="1" si="57"/>
        <v>413824</v>
      </c>
      <c r="S106" s="226">
        <f t="shared" ca="1" si="57"/>
        <v>284883</v>
      </c>
      <c r="T106" s="226">
        <f t="shared" ca="1" si="57"/>
        <v>433129</v>
      </c>
      <c r="U106" s="226">
        <f t="shared" ca="1" si="57"/>
        <v>310846</v>
      </c>
      <c r="V106" s="226">
        <f t="shared" ca="1" si="57"/>
        <v>208372</v>
      </c>
      <c r="W106" s="226">
        <f t="shared" ca="1" si="57"/>
        <v>125877</v>
      </c>
      <c r="X106" s="226">
        <f t="shared" ca="1" si="57"/>
        <v>65839</v>
      </c>
      <c r="Y106" s="226">
        <f t="shared" ca="1" si="57"/>
        <v>338519</v>
      </c>
      <c r="Z106" s="226">
        <f t="shared" ca="1" si="57"/>
        <v>319614</v>
      </c>
      <c r="AA106" s="226">
        <f t="shared" ca="1" si="57"/>
        <v>295403</v>
      </c>
      <c r="AB106" s="226">
        <f t="shared" ca="1" si="57"/>
        <v>281579</v>
      </c>
      <c r="AC106" s="226">
        <f t="shared" ca="1" si="57"/>
        <v>255410</v>
      </c>
      <c r="AD106" s="226">
        <f t="shared" ca="1" si="57"/>
        <v>263817.19</v>
      </c>
      <c r="AE106" s="226">
        <f t="shared" ca="1" si="57"/>
        <v>263700.19</v>
      </c>
      <c r="AF106" s="226">
        <f t="shared" ca="1" si="57"/>
        <v>317048.35633717262</v>
      </c>
      <c r="AG106" s="226">
        <f t="shared" ca="1" si="57"/>
        <v>352414.21079080336</v>
      </c>
      <c r="AH106" s="226">
        <f t="shared" ca="1" si="57"/>
        <v>379124.88647002744</v>
      </c>
      <c r="AI106" s="226">
        <f t="shared" ca="1" si="57"/>
        <v>394045.3059303115</v>
      </c>
      <c r="AJ106" s="226">
        <f t="shared" ca="1" si="57"/>
        <v>407708.45128690923</v>
      </c>
      <c r="AK106" s="226">
        <f t="shared" ca="1" si="57"/>
        <v>359158.72149204399</v>
      </c>
      <c r="AL106" s="226">
        <f t="shared" ca="1" si="57"/>
        <v>310355.16776587971</v>
      </c>
      <c r="AM106" s="226">
        <f t="shared" ca="1" si="57"/>
        <v>222023.17367604031</v>
      </c>
      <c r="AN106" s="226">
        <f t="shared" ca="1" si="57"/>
        <v>117228.62385039876</v>
      </c>
      <c r="AO106" s="226">
        <f t="shared" ca="1" si="57"/>
        <v>-25746.028938486299</v>
      </c>
      <c r="AP106" s="226">
        <f t="shared" ca="1" si="57"/>
        <v>-167370.0471057251</v>
      </c>
      <c r="AQ106" s="226">
        <f t="shared" ca="1" si="57"/>
        <v>-355305.22062393388</v>
      </c>
      <c r="AR106" s="226">
        <f t="shared" ca="1" si="57"/>
        <v>-539999.39225425222</v>
      </c>
      <c r="AS106" s="226">
        <f t="shared" ca="1" si="57"/>
        <v>-721585.71976815362</v>
      </c>
      <c r="AT106" s="226">
        <f t="shared" ca="1" si="57"/>
        <v>-916769.22141729202</v>
      </c>
      <c r="AU106" s="226">
        <f t="shared" ca="1" si="57"/>
        <v>-1108046.6186260418</v>
      </c>
      <c r="AV106" s="226">
        <f t="shared" ca="1" si="57"/>
        <v>-1294492.6258020056</v>
      </c>
      <c r="AW106" s="226">
        <f t="shared" ca="1" si="57"/>
        <v>-1491225.2227880587</v>
      </c>
      <c r="AX106" s="226">
        <f t="shared" ca="1" si="57"/>
        <v>-1682354.491992631</v>
      </c>
      <c r="AY106" s="226">
        <f t="shared" ca="1" si="57"/>
        <v>-1866966.8576771556</v>
      </c>
      <c r="AZ106" s="226">
        <f t="shared" ca="1" si="57"/>
        <v>-2030498.7166991499</v>
      </c>
      <c r="BA106" s="226">
        <f t="shared" ca="1" si="57"/>
        <v>-2176155.3436418138</v>
      </c>
      <c r="BB106" s="226">
        <f t="shared" ca="1" si="57"/>
        <v>-2301539.7974803662</v>
      </c>
      <c r="BC106" s="226">
        <f t="shared" ca="1" si="57"/>
        <v>-2419759.4198081135</v>
      </c>
      <c r="BD106" s="226">
        <f t="shared" ca="1" si="57"/>
        <v>-2511318.8212149488</v>
      </c>
      <c r="BE106" s="226">
        <f t="shared" ca="1" si="57"/>
        <v>-2578921.2453437233</v>
      </c>
      <c r="BF106" s="226">
        <f t="shared" ca="1" si="57"/>
        <v>-2636986.6069779512</v>
      </c>
      <c r="BG106" s="226">
        <f t="shared" ca="1" si="57"/>
        <v>-2668062.5092752082</v>
      </c>
      <c r="BH106" s="226">
        <f t="shared" ca="1" si="57"/>
        <v>-2671128.9297750155</v>
      </c>
      <c r="BI106" s="226">
        <f t="shared" ca="1" si="57"/>
        <v>-2661839.1699414281</v>
      </c>
      <c r="BJ106" s="226">
        <f t="shared" ca="1" si="57"/>
        <v>-2622964.1646838174</v>
      </c>
      <c r="BK106" s="226">
        <f t="shared" ca="1" si="57"/>
        <v>-2553422.6395598594</v>
      </c>
      <c r="BL106" s="226">
        <f t="shared" ca="1" si="57"/>
        <v>-2468256.9478297289</v>
      </c>
      <c r="BM106" s="226">
        <f t="shared" ca="1" si="57"/>
        <v>-2350439.8981606294</v>
      </c>
      <c r="BN106" s="226">
        <f t="shared" ca="1" si="57"/>
        <v>-2198822.5765929893</v>
      </c>
      <c r="BO106" s="226">
        <f t="shared" ca="1" si="57"/>
        <v>-2028303.6039043043</v>
      </c>
      <c r="BP106" s="226" t="e">
        <f t="shared" ca="1" si="57"/>
        <v>#N/A</v>
      </c>
      <c r="BQ106" s="226" t="e">
        <f t="shared" ca="1" si="57"/>
        <v>#N/A</v>
      </c>
      <c r="BR106" s="226" t="e">
        <f t="shared" ca="1" si="57"/>
        <v>#N/A</v>
      </c>
      <c r="BS106" s="226" t="e">
        <f t="shared" ca="1" si="57"/>
        <v>#N/A</v>
      </c>
      <c r="BT106" s="226" t="e">
        <f t="shared" ca="1" si="57"/>
        <v>#N/A</v>
      </c>
      <c r="BU106" s="226" t="e">
        <f t="shared" ca="1" si="57"/>
        <v>#N/A</v>
      </c>
      <c r="BV106" s="226" t="e">
        <f t="shared" ca="1" si="57"/>
        <v>#N/A</v>
      </c>
      <c r="BW106" s="226" t="e">
        <f t="shared" ca="1" si="57"/>
        <v>#N/A</v>
      </c>
    </row>
    <row r="107" spans="1:75" ht="12.75" x14ac:dyDescent="0.2">
      <c r="A107" s="69" t="s">
        <v>244</v>
      </c>
      <c r="B107" s="221"/>
      <c r="D107" s="115">
        <f t="array" aca="1" ref="D107" ca="1">INDEX(INDIRECT("BS_"&amp;TEXT(D$1,"mmm")&amp;"_"&amp;TEXT(D$1,"yyyy")),MATCH(TRIM($A106),BS_Accounts,0))-D106</f>
        <v>0</v>
      </c>
      <c r="E107" s="115">
        <f t="array" aca="1" ref="E107" ca="1">INDEX(INDIRECT("BS_"&amp;TEXT(E$1,"mmm")&amp;"_"&amp;TEXT(E$1,"yyyy")),MATCH(TRIM($A106),BS_Accounts,0))-E106</f>
        <v>0</v>
      </c>
      <c r="F107" s="115">
        <f t="array" aca="1" ref="F107" ca="1">INDEX(INDIRECT("BS_"&amp;TEXT(F$1,"mmm")&amp;"_"&amp;TEXT(F$1,"yyyy")),MATCH(TRIM($A106),BS_Accounts,0))-F106</f>
        <v>0</v>
      </c>
      <c r="G107" s="115">
        <f t="array" aca="1" ref="G107" ca="1">INDEX(INDIRECT("BS_"&amp;TEXT(G$1,"mmm")&amp;"_"&amp;TEXT(G$1,"yyyy")),MATCH(TRIM($A106),BS_Accounts,0))-G106</f>
        <v>0</v>
      </c>
      <c r="H107" s="115">
        <f t="array" aca="1" ref="H107" ca="1">INDEX(INDIRECT("BS_"&amp;TEXT(H$1,"mmm")&amp;"_"&amp;TEXT(H$1,"yyyy")),MATCH(TRIM($A106),BS_Accounts,0))-H106</f>
        <v>0</v>
      </c>
      <c r="I107" s="115">
        <f t="array" aca="1" ref="I107" ca="1">INDEX(INDIRECT("BS_"&amp;TEXT(I$1,"mmm")&amp;"_"&amp;TEXT(I$1,"yyyy")),MATCH(TRIM($A106),BS_Accounts,0))-I106</f>
        <v>0</v>
      </c>
      <c r="J107" s="115">
        <f t="array" aca="1" ref="J107" ca="1">INDEX(INDIRECT("BS_"&amp;TEXT(J$1,"mmm")&amp;"_"&amp;TEXT(J$1,"yyyy")),MATCH(TRIM($A106),BS_Accounts,0))-J106</f>
        <v>0</v>
      </c>
      <c r="K107" s="115">
        <f t="array" aca="1" ref="K107" ca="1">INDEX(INDIRECT("BS_"&amp;TEXT(K$1,"mmm")&amp;"_"&amp;TEXT(K$1,"yyyy")),MATCH(TRIM($A106),BS_Accounts,0))-K106</f>
        <v>0</v>
      </c>
      <c r="L107" s="115">
        <f t="array" aca="1" ref="L107" ca="1">INDEX(INDIRECT("BS_"&amp;TEXT(L$1,"mmm")&amp;"_"&amp;TEXT(L$1,"yyyy")),MATCH(TRIM($A106),BS_Accounts,0))-L106</f>
        <v>0</v>
      </c>
      <c r="M107" s="115">
        <f t="array" aca="1" ref="M107" ca="1">INDEX(INDIRECT("BS_"&amp;TEXT(M$1,"mmm")&amp;"_"&amp;TEXT(M$1,"yyyy")),MATCH(TRIM($A106),BS_Accounts,0))-M106</f>
        <v>0</v>
      </c>
      <c r="N107" s="115">
        <f t="array" aca="1" ref="N107" ca="1">INDEX(INDIRECT("BS_"&amp;TEXT(N$1,"mmm")&amp;"_"&amp;TEXT(N$1,"yyyy")),MATCH(TRIM($A106),BS_Accounts,0))-N106</f>
        <v>0</v>
      </c>
      <c r="O107" s="115">
        <f t="array" aca="1" ref="O107" ca="1">INDEX(INDIRECT("BS_"&amp;TEXT(O$1,"mmm")&amp;"_"&amp;TEXT(O$1,"yyyy")),MATCH(TRIM($A106),BS_Accounts,0))-O106</f>
        <v>0</v>
      </c>
      <c r="P107" s="115">
        <f t="array" aca="1" ref="P107" ca="1">INDEX(INDIRECT("BS_"&amp;TEXT(P$1,"mmm")&amp;"_"&amp;TEXT(P$1,"yyyy")),MATCH(TRIM($A106),BS_Accounts,0))-P106</f>
        <v>0</v>
      </c>
      <c r="Q107" s="115">
        <f t="array" aca="1" ref="Q107" ca="1">INDEX(INDIRECT("BS_"&amp;TEXT(Q$1,"mmm")&amp;"_"&amp;TEXT(Q$1,"yyyy")),MATCH(TRIM($A106),BS_Accounts,0))-Q106</f>
        <v>0</v>
      </c>
      <c r="R107" s="115">
        <f t="array" aca="1" ref="R107" ca="1">INDEX(INDIRECT("BS_"&amp;TEXT(R$1,"mmm")&amp;"_"&amp;TEXT(R$1,"yyyy")),MATCH(TRIM($A106),BS_Accounts,0))-R106</f>
        <v>0</v>
      </c>
      <c r="S107" s="115">
        <f t="array" aca="1" ref="S107" ca="1">INDEX(INDIRECT("BS_"&amp;TEXT(S$1,"mmm")&amp;"_"&amp;TEXT(S$1,"yyyy")),MATCH(TRIM($A106),BS_Accounts,0))-S106</f>
        <v>0</v>
      </c>
      <c r="T107" s="115">
        <f t="array" aca="1" ref="T107" ca="1">INDEX(INDIRECT("BS_"&amp;TEXT(T$1,"mmm")&amp;"_"&amp;TEXT(T$1,"yyyy")),MATCH(TRIM($A106),BS_Accounts,0))-T106</f>
        <v>0</v>
      </c>
      <c r="U107" s="115">
        <f t="array" aca="1" ref="U107" ca="1">INDEX(INDIRECT("BS_"&amp;TEXT(U$1,"mmm")&amp;"_"&amp;TEXT(U$1,"yyyy")),MATCH(TRIM($A106),BS_Accounts,0))-U106</f>
        <v>0</v>
      </c>
      <c r="V107" s="115">
        <f t="array" aca="1" ref="V107" ca="1">INDEX(INDIRECT("BS_"&amp;TEXT(V$1,"mmm")&amp;"_"&amp;TEXT(V$1,"yyyy")),MATCH(TRIM($A106),BS_Accounts,0))-V106</f>
        <v>0</v>
      </c>
      <c r="W107" s="115">
        <f t="array" aca="1" ref="W107" ca="1">INDEX(INDIRECT("BS_"&amp;TEXT(W$1,"mmm")&amp;"_"&amp;TEXT(W$1,"yyyy")),MATCH(TRIM($A106),BS_Accounts,0))-W106</f>
        <v>0</v>
      </c>
      <c r="X107" s="115">
        <f t="array" aca="1" ref="X107" ca="1">INDEX(INDIRECT("BS_"&amp;TEXT(X$1,"mmm")&amp;"_"&amp;TEXT(X$1,"yyyy")),MATCH(TRIM($A106),BS_Accounts,0))-X106</f>
        <v>0</v>
      </c>
      <c r="Y107" s="115">
        <f t="array" aca="1" ref="Y107" ca="1">INDEX(INDIRECT("BS_"&amp;TEXT(Y$1,"mmm")&amp;"_"&amp;TEXT(Y$1,"yyyy")),MATCH(TRIM($A106),BS_Accounts,0))-Y106</f>
        <v>0</v>
      </c>
      <c r="Z107" s="115">
        <f t="array" aca="1" ref="Z107" ca="1">INDEX(INDIRECT("BS_"&amp;TEXT(Z$1,"mmm")&amp;"_"&amp;TEXT(Z$1,"yyyy")),MATCH(TRIM($A106),BS_Accounts,0))-Z106</f>
        <v>0</v>
      </c>
      <c r="AA107" s="115">
        <f t="array" aca="1" ref="AA107" ca="1">INDEX(INDIRECT("BS_"&amp;TEXT(AA$1,"mmm")&amp;"_"&amp;TEXT(AA$1,"yyyy")),MATCH(TRIM($A106),BS_Accounts,0))-AA106</f>
        <v>0</v>
      </c>
      <c r="AB107" s="115">
        <f t="array" aca="1" ref="AB107" ca="1">INDEX(INDIRECT("BS_"&amp;TEXT(AB$1,"mmm")&amp;"_"&amp;TEXT(AB$1,"yyyy")),MATCH(TRIM($A106),BS_Accounts,0))-AB106</f>
        <v>0</v>
      </c>
      <c r="AC107" s="115">
        <f t="array" aca="1" ref="AC107" ca="1">INDEX(INDIRECT("BS_"&amp;TEXT(AC$1,"mmm")&amp;"_"&amp;TEXT(AC$1,"yyyy")),MATCH(TRIM($A106),BS_Accounts,0))-AC106</f>
        <v>0</v>
      </c>
      <c r="AD107" s="115">
        <f t="array" aca="1" ref="AD107" ca="1">INDEX(INDIRECT("BS_"&amp;TEXT(AD$1,"mmm")&amp;"_"&amp;TEXT(AD$1,"yyyy")),MATCH(TRIM($A106),BS_Accounts,0))-AD106</f>
        <v>0</v>
      </c>
      <c r="AE107" s="115">
        <f t="array" aca="1" ref="AE107" ca="1">INDEX(INDIRECT("BS_"&amp;TEXT(AE$1,"mmm")&amp;"_"&amp;TEXT(AE$1,"yyyy")),MATCH(TRIM($A106),BS_Accounts,0))-AE106</f>
        <v>0</v>
      </c>
    </row>
    <row r="108" spans="1:75" ht="12.75" x14ac:dyDescent="0.2">
      <c r="A108" s="23" t="s">
        <v>351</v>
      </c>
      <c r="B108" s="221"/>
    </row>
    <row r="109" spans="1:75" ht="12.75" x14ac:dyDescent="0.2">
      <c r="A109" s="23" t="s">
        <v>352</v>
      </c>
      <c r="B109" s="224">
        <f ca="1">AVERAGEIFS(109:109,$1:$1,"&gt;="&amp;DATE(YEAR(Current_Month),MONTH(Current_Month),DAY(Current_Month)),$1:$1,"&lt;="&amp;EOMONTH(Current_Month,0))</f>
        <v>0</v>
      </c>
      <c r="D109" s="115">
        <f t="array" aca="1" ref="D109" ca="1">INDEX(INDIRECT("BS_"&amp;TEXT(D$1,"mmm")&amp;"_"&amp;TEXT(D$1,"yyyy")),MATCH(TRIM($A109),BS_Accounts,0))</f>
        <v>0</v>
      </c>
      <c r="E109" s="115">
        <f t="array" aca="1" ref="E109" ca="1">INDEX(INDIRECT("BS_"&amp;TEXT(E$1,"mmm")&amp;"_"&amp;TEXT(E$1,"yyyy")),MATCH(TRIM($A109),BS_Accounts,0))</f>
        <v>0</v>
      </c>
      <c r="F109" s="115">
        <f t="array" aca="1" ref="F109" ca="1">INDEX(INDIRECT("BS_"&amp;TEXT(F$1,"mmm")&amp;"_"&amp;TEXT(F$1,"yyyy")),MATCH(TRIM($A109),BS_Accounts,0))</f>
        <v>0</v>
      </c>
      <c r="G109" s="115">
        <f t="array" aca="1" ref="G109" ca="1">INDEX(INDIRECT("BS_"&amp;TEXT(G$1,"mmm")&amp;"_"&amp;TEXT(G$1,"yyyy")),MATCH(TRIM($A109),BS_Accounts,0))</f>
        <v>0</v>
      </c>
      <c r="H109" s="115">
        <f t="array" aca="1" ref="H109" ca="1">INDEX(INDIRECT("BS_"&amp;TEXT(H$1,"mmm")&amp;"_"&amp;TEXT(H$1,"yyyy")),MATCH(TRIM($A109),BS_Accounts,0))</f>
        <v>0</v>
      </c>
      <c r="I109" s="115">
        <f t="array" aca="1" ref="I109" ca="1">INDEX(INDIRECT("BS_"&amp;TEXT(I$1,"mmm")&amp;"_"&amp;TEXT(I$1,"yyyy")),MATCH(TRIM($A109),BS_Accounts,0))</f>
        <v>0</v>
      </c>
      <c r="J109" s="115">
        <f t="array" aca="1" ref="J109" ca="1">INDEX(INDIRECT("BS_"&amp;TEXT(J$1,"mmm")&amp;"_"&amp;TEXT(J$1,"yyyy")),MATCH(TRIM($A109),BS_Accounts,0))</f>
        <v>0</v>
      </c>
      <c r="K109" s="115">
        <f t="array" aca="1" ref="K109" ca="1">INDEX(INDIRECT("BS_"&amp;TEXT(K$1,"mmm")&amp;"_"&amp;TEXT(K$1,"yyyy")),MATCH(TRIM($A109),BS_Accounts,0))</f>
        <v>0</v>
      </c>
      <c r="L109" s="115">
        <f t="array" aca="1" ref="L109" ca="1">INDEX(INDIRECT("BS_"&amp;TEXT(L$1,"mmm")&amp;"_"&amp;TEXT(L$1,"yyyy")),MATCH(TRIM($A109),BS_Accounts,0))</f>
        <v>0</v>
      </c>
      <c r="M109" s="115">
        <f t="array" aca="1" ref="M109" ca="1">INDEX(INDIRECT("BS_"&amp;TEXT(M$1,"mmm")&amp;"_"&amp;TEXT(M$1,"yyyy")),MATCH(TRIM($A109),BS_Accounts,0))</f>
        <v>0</v>
      </c>
      <c r="N109" s="115">
        <f t="array" aca="1" ref="N109" ca="1">INDEX(INDIRECT("BS_"&amp;TEXT(N$1,"mmm")&amp;"_"&amp;TEXT(N$1,"yyyy")),MATCH(TRIM($A109),BS_Accounts,0))</f>
        <v>0</v>
      </c>
      <c r="O109" s="115">
        <f t="array" aca="1" ref="O109" ca="1">INDEX(INDIRECT("BS_"&amp;TEXT(O$1,"mmm")&amp;"_"&amp;TEXT(O$1,"yyyy")),MATCH(TRIM($A109),BS_Accounts,0))</f>
        <v>0</v>
      </c>
      <c r="P109" s="115">
        <f t="array" aca="1" ref="P109" ca="1">INDEX(INDIRECT("BS_"&amp;TEXT(P$1,"mmm")&amp;"_"&amp;TEXT(P$1,"yyyy")),MATCH(TRIM($A109),BS_Accounts,0))</f>
        <v>0</v>
      </c>
      <c r="Q109" s="115">
        <f t="array" aca="1" ref="Q109" ca="1">INDEX(INDIRECT("BS_"&amp;TEXT(Q$1,"mmm")&amp;"_"&amp;TEXT(Q$1,"yyyy")),MATCH(TRIM($A109),BS_Accounts,0))</f>
        <v>0</v>
      </c>
      <c r="R109" s="115">
        <f t="array" aca="1" ref="R109" ca="1">INDEX(INDIRECT("BS_"&amp;TEXT(R$1,"mmm")&amp;"_"&amp;TEXT(R$1,"yyyy")),MATCH(TRIM($A109),BS_Accounts,0))</f>
        <v>0</v>
      </c>
      <c r="S109" s="115">
        <f t="array" aca="1" ref="S109" ca="1">INDEX(INDIRECT("BS_"&amp;TEXT(S$1,"mmm")&amp;"_"&amp;TEXT(S$1,"yyyy")),MATCH(TRIM($A109),BS_Accounts,0))</f>
        <v>0</v>
      </c>
      <c r="T109" s="115">
        <f t="array" aca="1" ref="T109" ca="1">INDEX(INDIRECT("BS_"&amp;TEXT(T$1,"mmm")&amp;"_"&amp;TEXT(T$1,"yyyy")),MATCH(TRIM($A109),BS_Accounts,0))</f>
        <v>0</v>
      </c>
      <c r="U109" s="115">
        <f t="array" aca="1" ref="U109" ca="1">INDEX(INDIRECT("BS_"&amp;TEXT(U$1,"mmm")&amp;"_"&amp;TEXT(U$1,"yyyy")),MATCH(TRIM($A109),BS_Accounts,0))</f>
        <v>0</v>
      </c>
      <c r="V109" s="115">
        <f t="array" aca="1" ref="V109" ca="1">INDEX(INDIRECT("BS_"&amp;TEXT(V$1,"mmm")&amp;"_"&amp;TEXT(V$1,"yyyy")),MATCH(TRIM($A109),BS_Accounts,0))</f>
        <v>0</v>
      </c>
      <c r="W109" s="115">
        <f t="array" aca="1" ref="W109" ca="1">INDEX(INDIRECT("BS_"&amp;TEXT(W$1,"mmm")&amp;"_"&amp;TEXT(W$1,"yyyy")),MATCH(TRIM($A109),BS_Accounts,0))</f>
        <v>0</v>
      </c>
      <c r="X109" s="115">
        <f t="array" aca="1" ref="X109" ca="1">INDEX(INDIRECT("BS_"&amp;TEXT(X$1,"mmm")&amp;"_"&amp;TEXT(X$1,"yyyy")),MATCH(TRIM($A109),BS_Accounts,0))</f>
        <v>0</v>
      </c>
      <c r="Y109" s="115">
        <f t="array" aca="1" ref="Y109" ca="1">INDEX(INDIRECT("BS_"&amp;TEXT(Y$1,"mmm")&amp;"_"&amp;TEXT(Y$1,"yyyy")),MATCH(TRIM($A109),BS_Accounts,0))</f>
        <v>0</v>
      </c>
      <c r="Z109" s="115">
        <f t="array" aca="1" ref="Z109" ca="1">INDEX(INDIRECT("BS_"&amp;TEXT(Z$1,"mmm")&amp;"_"&amp;TEXT(Z$1,"yyyy")),MATCH(TRIM($A109),BS_Accounts,0))</f>
        <v>0</v>
      </c>
      <c r="AA109" s="115">
        <f t="array" aca="1" ref="AA109" ca="1">INDEX(INDIRECT("BS_"&amp;TEXT(AA$1,"mmm")&amp;"_"&amp;TEXT(AA$1,"yyyy")),MATCH(TRIM($A109),BS_Accounts,0))</f>
        <v>0</v>
      </c>
      <c r="AB109" s="115">
        <f t="array" aca="1" ref="AB109" ca="1">INDEX(INDIRECT("BS_"&amp;TEXT(AB$1,"mmm")&amp;"_"&amp;TEXT(AB$1,"yyyy")),MATCH(TRIM($A109),BS_Accounts,0))</f>
        <v>0</v>
      </c>
      <c r="AC109" s="115">
        <f t="array" aca="1" ref="AC109" ca="1">INDEX(INDIRECT("BS_"&amp;TEXT(AC$1,"mmm")&amp;"_"&amp;TEXT(AC$1,"yyyy")),MATCH(TRIM($A109),BS_Accounts,0))</f>
        <v>0</v>
      </c>
      <c r="AD109" s="115">
        <f t="array" aca="1" ref="AD109" ca="1">INDEX(INDIRECT("BS_"&amp;TEXT(AD$1,"mmm")&amp;"_"&amp;TEXT(AD$1,"yyyy")),MATCH(TRIM($A109),BS_Accounts,0))</f>
        <v>0</v>
      </c>
      <c r="AE109" s="115">
        <f t="array" aca="1" ref="AE109" ca="1">INDEX(INDIRECT("BS_"&amp;TEXT(AE$1,"mmm")&amp;"_"&amp;TEXT(AE$1,"yyyy")),MATCH(TRIM($A109),BS_Accounts,0))</f>
        <v>0</v>
      </c>
      <c r="AF109" s="165">
        <f t="shared" ref="AF109:BW109" ca="1" si="58">$B109</f>
        <v>0</v>
      </c>
      <c r="AG109" s="165">
        <f t="shared" ca="1" si="58"/>
        <v>0</v>
      </c>
      <c r="AH109" s="165">
        <f t="shared" ca="1" si="58"/>
        <v>0</v>
      </c>
      <c r="AI109" s="165">
        <f t="shared" ca="1" si="58"/>
        <v>0</v>
      </c>
      <c r="AJ109" s="165">
        <f t="shared" ca="1" si="58"/>
        <v>0</v>
      </c>
      <c r="AK109" s="165">
        <f t="shared" ca="1" si="58"/>
        <v>0</v>
      </c>
      <c r="AL109" s="165">
        <f t="shared" ca="1" si="58"/>
        <v>0</v>
      </c>
      <c r="AM109" s="165">
        <f t="shared" ca="1" si="58"/>
        <v>0</v>
      </c>
      <c r="AN109" s="165">
        <f t="shared" ca="1" si="58"/>
        <v>0</v>
      </c>
      <c r="AO109" s="165">
        <f t="shared" ca="1" si="58"/>
        <v>0</v>
      </c>
      <c r="AP109" s="165">
        <f t="shared" ca="1" si="58"/>
        <v>0</v>
      </c>
      <c r="AQ109" s="165">
        <f t="shared" ca="1" si="58"/>
        <v>0</v>
      </c>
      <c r="AR109" s="165">
        <f t="shared" ca="1" si="58"/>
        <v>0</v>
      </c>
      <c r="AS109" s="165">
        <f t="shared" ca="1" si="58"/>
        <v>0</v>
      </c>
      <c r="AT109" s="165">
        <f t="shared" ca="1" si="58"/>
        <v>0</v>
      </c>
      <c r="AU109" s="165">
        <f t="shared" ca="1" si="58"/>
        <v>0</v>
      </c>
      <c r="AV109" s="165">
        <f t="shared" ca="1" si="58"/>
        <v>0</v>
      </c>
      <c r="AW109" s="165">
        <f t="shared" ca="1" si="58"/>
        <v>0</v>
      </c>
      <c r="AX109" s="165">
        <f t="shared" ca="1" si="58"/>
        <v>0</v>
      </c>
      <c r="AY109" s="165">
        <f t="shared" ca="1" si="58"/>
        <v>0</v>
      </c>
      <c r="AZ109" s="165">
        <f t="shared" ca="1" si="58"/>
        <v>0</v>
      </c>
      <c r="BA109" s="165">
        <f t="shared" ca="1" si="58"/>
        <v>0</v>
      </c>
      <c r="BB109" s="165">
        <f t="shared" ca="1" si="58"/>
        <v>0</v>
      </c>
      <c r="BC109" s="165">
        <f t="shared" ca="1" si="58"/>
        <v>0</v>
      </c>
      <c r="BD109" s="165">
        <f t="shared" ca="1" si="58"/>
        <v>0</v>
      </c>
      <c r="BE109" s="165">
        <f t="shared" ca="1" si="58"/>
        <v>0</v>
      </c>
      <c r="BF109" s="165">
        <f t="shared" ca="1" si="58"/>
        <v>0</v>
      </c>
      <c r="BG109" s="165">
        <f t="shared" ca="1" si="58"/>
        <v>0</v>
      </c>
      <c r="BH109" s="165">
        <f t="shared" ca="1" si="58"/>
        <v>0</v>
      </c>
      <c r="BI109" s="165">
        <f t="shared" ca="1" si="58"/>
        <v>0</v>
      </c>
      <c r="BJ109" s="165">
        <f t="shared" ca="1" si="58"/>
        <v>0</v>
      </c>
      <c r="BK109" s="165">
        <f t="shared" ca="1" si="58"/>
        <v>0</v>
      </c>
      <c r="BL109" s="165">
        <f t="shared" ca="1" si="58"/>
        <v>0</v>
      </c>
      <c r="BM109" s="165">
        <f t="shared" ca="1" si="58"/>
        <v>0</v>
      </c>
      <c r="BN109" s="165">
        <f t="shared" ca="1" si="58"/>
        <v>0</v>
      </c>
      <c r="BO109" s="165">
        <f t="shared" ca="1" si="58"/>
        <v>0</v>
      </c>
      <c r="BP109" s="165">
        <f t="shared" ca="1" si="58"/>
        <v>0</v>
      </c>
      <c r="BQ109" s="165">
        <f t="shared" ca="1" si="58"/>
        <v>0</v>
      </c>
      <c r="BR109" s="165">
        <f t="shared" ca="1" si="58"/>
        <v>0</v>
      </c>
      <c r="BS109" s="165">
        <f t="shared" ca="1" si="58"/>
        <v>0</v>
      </c>
      <c r="BT109" s="165">
        <f t="shared" ca="1" si="58"/>
        <v>0</v>
      </c>
      <c r="BU109" s="165">
        <f t="shared" ca="1" si="58"/>
        <v>0</v>
      </c>
      <c r="BV109" s="165">
        <f t="shared" ca="1" si="58"/>
        <v>0</v>
      </c>
      <c r="BW109" s="165">
        <f t="shared" ca="1" si="58"/>
        <v>0</v>
      </c>
    </row>
    <row r="110" spans="1:75" ht="12.75" x14ac:dyDescent="0.2">
      <c r="A110" s="23" t="s">
        <v>353</v>
      </c>
      <c r="B110" s="224">
        <f ca="1">AVERAGEIFS(110:110,$1:$1,"&gt;="&amp;DATE(YEAR(Current_Month),MONTH(Current_Month),DAY(Current_Month)),$1:$1,"&lt;="&amp;EOMONTH(Current_Month,0))</f>
        <v>0</v>
      </c>
      <c r="D110" s="115">
        <f t="array" aca="1" ref="D110" ca="1">INDEX(INDIRECT("BS_"&amp;TEXT(D$1,"mmm")&amp;"_"&amp;TEXT(D$1,"yyyy")),MATCH(TRIM($A110),BS_Accounts,0))</f>
        <v>0</v>
      </c>
      <c r="E110" s="115">
        <f t="array" aca="1" ref="E110" ca="1">INDEX(INDIRECT("BS_"&amp;TEXT(E$1,"mmm")&amp;"_"&amp;TEXT(E$1,"yyyy")),MATCH(TRIM($A110),BS_Accounts,0))</f>
        <v>0</v>
      </c>
      <c r="F110" s="115">
        <f t="array" aca="1" ref="F110" ca="1">INDEX(INDIRECT("BS_"&amp;TEXT(F$1,"mmm")&amp;"_"&amp;TEXT(F$1,"yyyy")),MATCH(TRIM($A110),BS_Accounts,0))</f>
        <v>0</v>
      </c>
      <c r="G110" s="115">
        <f t="array" aca="1" ref="G110" ca="1">INDEX(INDIRECT("BS_"&amp;TEXT(G$1,"mmm")&amp;"_"&amp;TEXT(G$1,"yyyy")),MATCH(TRIM($A110),BS_Accounts,0))</f>
        <v>0</v>
      </c>
      <c r="H110" s="115">
        <f t="array" aca="1" ref="H110" ca="1">INDEX(INDIRECT("BS_"&amp;TEXT(H$1,"mmm")&amp;"_"&amp;TEXT(H$1,"yyyy")),MATCH(TRIM($A110),BS_Accounts,0))</f>
        <v>0</v>
      </c>
      <c r="I110" s="115">
        <f t="array" aca="1" ref="I110" ca="1">INDEX(INDIRECT("BS_"&amp;TEXT(I$1,"mmm")&amp;"_"&amp;TEXT(I$1,"yyyy")),MATCH(TRIM($A110),BS_Accounts,0))</f>
        <v>0</v>
      </c>
      <c r="J110" s="115">
        <f t="array" aca="1" ref="J110" ca="1">INDEX(INDIRECT("BS_"&amp;TEXT(J$1,"mmm")&amp;"_"&amp;TEXT(J$1,"yyyy")),MATCH(TRIM($A110),BS_Accounts,0))</f>
        <v>0</v>
      </c>
      <c r="K110" s="115">
        <f t="array" aca="1" ref="K110" ca="1">INDEX(INDIRECT("BS_"&amp;TEXT(K$1,"mmm")&amp;"_"&amp;TEXT(K$1,"yyyy")),MATCH(TRIM($A110),BS_Accounts,0))</f>
        <v>0</v>
      </c>
      <c r="L110" s="115">
        <f t="array" aca="1" ref="L110" ca="1">INDEX(INDIRECT("BS_"&amp;TEXT(L$1,"mmm")&amp;"_"&amp;TEXT(L$1,"yyyy")),MATCH(TRIM($A110),BS_Accounts,0))</f>
        <v>0</v>
      </c>
      <c r="M110" s="115">
        <f t="array" aca="1" ref="M110" ca="1">INDEX(INDIRECT("BS_"&amp;TEXT(M$1,"mmm")&amp;"_"&amp;TEXT(M$1,"yyyy")),MATCH(TRIM($A110),BS_Accounts,0))</f>
        <v>0</v>
      </c>
      <c r="N110" s="115">
        <f t="array" aca="1" ref="N110" ca="1">INDEX(INDIRECT("BS_"&amp;TEXT(N$1,"mmm")&amp;"_"&amp;TEXT(N$1,"yyyy")),MATCH(TRIM($A110),BS_Accounts,0))</f>
        <v>0</v>
      </c>
      <c r="O110" s="115">
        <f t="array" aca="1" ref="O110" ca="1">INDEX(INDIRECT("BS_"&amp;TEXT(O$1,"mmm")&amp;"_"&amp;TEXT(O$1,"yyyy")),MATCH(TRIM($A110),BS_Accounts,0))</f>
        <v>0</v>
      </c>
      <c r="P110" s="115">
        <f t="array" aca="1" ref="P110" ca="1">INDEX(INDIRECT("BS_"&amp;TEXT(P$1,"mmm")&amp;"_"&amp;TEXT(P$1,"yyyy")),MATCH(TRIM($A110),BS_Accounts,0))</f>
        <v>0</v>
      </c>
      <c r="Q110" s="115">
        <f t="array" aca="1" ref="Q110" ca="1">INDEX(INDIRECT("BS_"&amp;TEXT(Q$1,"mmm")&amp;"_"&amp;TEXT(Q$1,"yyyy")),MATCH(TRIM($A110),BS_Accounts,0))</f>
        <v>0</v>
      </c>
      <c r="R110" s="115">
        <f t="array" aca="1" ref="R110" ca="1">INDEX(INDIRECT("BS_"&amp;TEXT(R$1,"mmm")&amp;"_"&amp;TEXT(R$1,"yyyy")),MATCH(TRIM($A110),BS_Accounts,0))</f>
        <v>0</v>
      </c>
      <c r="S110" s="115">
        <f t="array" aca="1" ref="S110" ca="1">INDEX(INDIRECT("BS_"&amp;TEXT(S$1,"mmm")&amp;"_"&amp;TEXT(S$1,"yyyy")),MATCH(TRIM($A110),BS_Accounts,0))</f>
        <v>0</v>
      </c>
      <c r="T110" s="115">
        <f t="array" aca="1" ref="T110" ca="1">INDEX(INDIRECT("BS_"&amp;TEXT(T$1,"mmm")&amp;"_"&amp;TEXT(T$1,"yyyy")),MATCH(TRIM($A110),BS_Accounts,0))</f>
        <v>0</v>
      </c>
      <c r="U110" s="115">
        <f t="array" aca="1" ref="U110" ca="1">INDEX(INDIRECT("BS_"&amp;TEXT(U$1,"mmm")&amp;"_"&amp;TEXT(U$1,"yyyy")),MATCH(TRIM($A110),BS_Accounts,0))</f>
        <v>0</v>
      </c>
      <c r="V110" s="115">
        <f t="array" aca="1" ref="V110" ca="1">INDEX(INDIRECT("BS_"&amp;TEXT(V$1,"mmm")&amp;"_"&amp;TEXT(V$1,"yyyy")),MATCH(TRIM($A110),BS_Accounts,0))</f>
        <v>0</v>
      </c>
      <c r="W110" s="115">
        <f t="array" aca="1" ref="W110" ca="1">INDEX(INDIRECT("BS_"&amp;TEXT(W$1,"mmm")&amp;"_"&amp;TEXT(W$1,"yyyy")),MATCH(TRIM($A110),BS_Accounts,0))</f>
        <v>0</v>
      </c>
      <c r="X110" s="115">
        <f t="array" aca="1" ref="X110" ca="1">INDEX(INDIRECT("BS_"&amp;TEXT(X$1,"mmm")&amp;"_"&amp;TEXT(X$1,"yyyy")),MATCH(TRIM($A110),BS_Accounts,0))</f>
        <v>0</v>
      </c>
      <c r="Y110" s="115">
        <f t="array" aca="1" ref="Y110" ca="1">INDEX(INDIRECT("BS_"&amp;TEXT(Y$1,"mmm")&amp;"_"&amp;TEXT(Y$1,"yyyy")),MATCH(TRIM($A110),BS_Accounts,0))</f>
        <v>0</v>
      </c>
      <c r="Z110" s="115">
        <f t="array" aca="1" ref="Z110" ca="1">INDEX(INDIRECT("BS_"&amp;TEXT(Z$1,"mmm")&amp;"_"&amp;TEXT(Z$1,"yyyy")),MATCH(TRIM($A110),BS_Accounts,0))</f>
        <v>0</v>
      </c>
      <c r="AA110" s="115">
        <f t="array" aca="1" ref="AA110" ca="1">INDEX(INDIRECT("BS_"&amp;TEXT(AA$1,"mmm")&amp;"_"&amp;TEXT(AA$1,"yyyy")),MATCH(TRIM($A110),BS_Accounts,0))</f>
        <v>0</v>
      </c>
      <c r="AB110" s="115">
        <f t="array" aca="1" ref="AB110" ca="1">INDEX(INDIRECT("BS_"&amp;TEXT(AB$1,"mmm")&amp;"_"&amp;TEXT(AB$1,"yyyy")),MATCH(TRIM($A110),BS_Accounts,0))</f>
        <v>0</v>
      </c>
      <c r="AC110" s="115">
        <f t="array" aca="1" ref="AC110" ca="1">INDEX(INDIRECT("BS_"&amp;TEXT(AC$1,"mmm")&amp;"_"&amp;TEXT(AC$1,"yyyy")),MATCH(TRIM($A110),BS_Accounts,0))</f>
        <v>0</v>
      </c>
      <c r="AD110" s="115">
        <f t="array" aca="1" ref="AD110" ca="1">INDEX(INDIRECT("BS_"&amp;TEXT(AD$1,"mmm")&amp;"_"&amp;TEXT(AD$1,"yyyy")),MATCH(TRIM($A110),BS_Accounts,0))</f>
        <v>0</v>
      </c>
      <c r="AE110" s="115">
        <f t="array" aca="1" ref="AE110" ca="1">INDEX(INDIRECT("BS_"&amp;TEXT(AE$1,"mmm")&amp;"_"&amp;TEXT(AE$1,"yyyy")),MATCH(TRIM($A110),BS_Accounts,0))</f>
        <v>0</v>
      </c>
      <c r="AF110" s="165">
        <f t="shared" ref="AF110:BW110" ca="1" si="59">$B110</f>
        <v>0</v>
      </c>
      <c r="AG110" s="165">
        <f t="shared" ca="1" si="59"/>
        <v>0</v>
      </c>
      <c r="AH110" s="165">
        <f t="shared" ca="1" si="59"/>
        <v>0</v>
      </c>
      <c r="AI110" s="165">
        <f t="shared" ca="1" si="59"/>
        <v>0</v>
      </c>
      <c r="AJ110" s="165">
        <f t="shared" ca="1" si="59"/>
        <v>0</v>
      </c>
      <c r="AK110" s="165">
        <f t="shared" ca="1" si="59"/>
        <v>0</v>
      </c>
      <c r="AL110" s="165">
        <f t="shared" ca="1" si="59"/>
        <v>0</v>
      </c>
      <c r="AM110" s="165">
        <f t="shared" ca="1" si="59"/>
        <v>0</v>
      </c>
      <c r="AN110" s="165">
        <f t="shared" ca="1" si="59"/>
        <v>0</v>
      </c>
      <c r="AO110" s="165">
        <f t="shared" ca="1" si="59"/>
        <v>0</v>
      </c>
      <c r="AP110" s="165">
        <f t="shared" ca="1" si="59"/>
        <v>0</v>
      </c>
      <c r="AQ110" s="165">
        <f t="shared" ca="1" si="59"/>
        <v>0</v>
      </c>
      <c r="AR110" s="165">
        <f t="shared" ca="1" si="59"/>
        <v>0</v>
      </c>
      <c r="AS110" s="165">
        <f t="shared" ca="1" si="59"/>
        <v>0</v>
      </c>
      <c r="AT110" s="165">
        <f t="shared" ca="1" si="59"/>
        <v>0</v>
      </c>
      <c r="AU110" s="165">
        <f t="shared" ca="1" si="59"/>
        <v>0</v>
      </c>
      <c r="AV110" s="165">
        <f t="shared" ca="1" si="59"/>
        <v>0</v>
      </c>
      <c r="AW110" s="165">
        <f t="shared" ca="1" si="59"/>
        <v>0</v>
      </c>
      <c r="AX110" s="165">
        <f t="shared" ca="1" si="59"/>
        <v>0</v>
      </c>
      <c r="AY110" s="165">
        <f t="shared" ca="1" si="59"/>
        <v>0</v>
      </c>
      <c r="AZ110" s="165">
        <f t="shared" ca="1" si="59"/>
        <v>0</v>
      </c>
      <c r="BA110" s="165">
        <f t="shared" ca="1" si="59"/>
        <v>0</v>
      </c>
      <c r="BB110" s="165">
        <f t="shared" ca="1" si="59"/>
        <v>0</v>
      </c>
      <c r="BC110" s="165">
        <f t="shared" ca="1" si="59"/>
        <v>0</v>
      </c>
      <c r="BD110" s="165">
        <f t="shared" ca="1" si="59"/>
        <v>0</v>
      </c>
      <c r="BE110" s="165">
        <f t="shared" ca="1" si="59"/>
        <v>0</v>
      </c>
      <c r="BF110" s="165">
        <f t="shared" ca="1" si="59"/>
        <v>0</v>
      </c>
      <c r="BG110" s="165">
        <f t="shared" ca="1" si="59"/>
        <v>0</v>
      </c>
      <c r="BH110" s="165">
        <f t="shared" ca="1" si="59"/>
        <v>0</v>
      </c>
      <c r="BI110" s="165">
        <f t="shared" ca="1" si="59"/>
        <v>0</v>
      </c>
      <c r="BJ110" s="165">
        <f t="shared" ca="1" si="59"/>
        <v>0</v>
      </c>
      <c r="BK110" s="165">
        <f t="shared" ca="1" si="59"/>
        <v>0</v>
      </c>
      <c r="BL110" s="165">
        <f t="shared" ca="1" si="59"/>
        <v>0</v>
      </c>
      <c r="BM110" s="165">
        <f t="shared" ca="1" si="59"/>
        <v>0</v>
      </c>
      <c r="BN110" s="165">
        <f t="shared" ca="1" si="59"/>
        <v>0</v>
      </c>
      <c r="BO110" s="165">
        <f t="shared" ca="1" si="59"/>
        <v>0</v>
      </c>
      <c r="BP110" s="165">
        <f t="shared" ca="1" si="59"/>
        <v>0</v>
      </c>
      <c r="BQ110" s="165">
        <f t="shared" ca="1" si="59"/>
        <v>0</v>
      </c>
      <c r="BR110" s="165">
        <f t="shared" ca="1" si="59"/>
        <v>0</v>
      </c>
      <c r="BS110" s="165">
        <f t="shared" ca="1" si="59"/>
        <v>0</v>
      </c>
      <c r="BT110" s="165">
        <f t="shared" ca="1" si="59"/>
        <v>0</v>
      </c>
      <c r="BU110" s="165">
        <f t="shared" ca="1" si="59"/>
        <v>0</v>
      </c>
      <c r="BV110" s="165">
        <f t="shared" ca="1" si="59"/>
        <v>0</v>
      </c>
      <c r="BW110" s="165">
        <f t="shared" ca="1" si="59"/>
        <v>0</v>
      </c>
    </row>
    <row r="111" spans="1:75" ht="12.75" x14ac:dyDescent="0.2">
      <c r="A111" s="60" t="s">
        <v>354</v>
      </c>
      <c r="B111" s="238"/>
      <c r="C111" s="212"/>
      <c r="D111" s="226">
        <f t="shared" ref="D111:BW111" ca="1" si="60">SUM(D109:D110)</f>
        <v>0</v>
      </c>
      <c r="E111" s="226">
        <f t="shared" ca="1" si="60"/>
        <v>0</v>
      </c>
      <c r="F111" s="226">
        <f t="shared" ca="1" si="60"/>
        <v>0</v>
      </c>
      <c r="G111" s="226">
        <f t="shared" ca="1" si="60"/>
        <v>0</v>
      </c>
      <c r="H111" s="226">
        <f t="shared" ca="1" si="60"/>
        <v>0</v>
      </c>
      <c r="I111" s="226">
        <f t="shared" ca="1" si="60"/>
        <v>0</v>
      </c>
      <c r="J111" s="226">
        <f t="shared" ca="1" si="60"/>
        <v>0</v>
      </c>
      <c r="K111" s="226">
        <f t="shared" ca="1" si="60"/>
        <v>0</v>
      </c>
      <c r="L111" s="226">
        <f t="shared" ca="1" si="60"/>
        <v>0</v>
      </c>
      <c r="M111" s="226">
        <f t="shared" ca="1" si="60"/>
        <v>0</v>
      </c>
      <c r="N111" s="226">
        <f t="shared" ca="1" si="60"/>
        <v>0</v>
      </c>
      <c r="O111" s="226">
        <f t="shared" ca="1" si="60"/>
        <v>0</v>
      </c>
      <c r="P111" s="226">
        <f t="shared" ca="1" si="60"/>
        <v>0</v>
      </c>
      <c r="Q111" s="226">
        <f t="shared" ca="1" si="60"/>
        <v>0</v>
      </c>
      <c r="R111" s="226">
        <f t="shared" ca="1" si="60"/>
        <v>0</v>
      </c>
      <c r="S111" s="226">
        <f t="shared" ca="1" si="60"/>
        <v>0</v>
      </c>
      <c r="T111" s="226">
        <f t="shared" ca="1" si="60"/>
        <v>0</v>
      </c>
      <c r="U111" s="226">
        <f t="shared" ca="1" si="60"/>
        <v>0</v>
      </c>
      <c r="V111" s="226">
        <f t="shared" ca="1" si="60"/>
        <v>0</v>
      </c>
      <c r="W111" s="226">
        <f t="shared" ca="1" si="60"/>
        <v>0</v>
      </c>
      <c r="X111" s="226">
        <f t="shared" ca="1" si="60"/>
        <v>0</v>
      </c>
      <c r="Y111" s="226">
        <f t="shared" ca="1" si="60"/>
        <v>0</v>
      </c>
      <c r="Z111" s="226">
        <f t="shared" ca="1" si="60"/>
        <v>0</v>
      </c>
      <c r="AA111" s="226">
        <f t="shared" ca="1" si="60"/>
        <v>0</v>
      </c>
      <c r="AB111" s="226">
        <f t="shared" ca="1" si="60"/>
        <v>0</v>
      </c>
      <c r="AC111" s="226">
        <f t="shared" ca="1" si="60"/>
        <v>0</v>
      </c>
      <c r="AD111" s="226">
        <f t="shared" ca="1" si="60"/>
        <v>0</v>
      </c>
      <c r="AE111" s="226">
        <f t="shared" ca="1" si="60"/>
        <v>0</v>
      </c>
      <c r="AF111" s="226">
        <f t="shared" ca="1" si="60"/>
        <v>0</v>
      </c>
      <c r="AG111" s="226">
        <f t="shared" ca="1" si="60"/>
        <v>0</v>
      </c>
      <c r="AH111" s="226">
        <f t="shared" ca="1" si="60"/>
        <v>0</v>
      </c>
      <c r="AI111" s="226">
        <f t="shared" ca="1" si="60"/>
        <v>0</v>
      </c>
      <c r="AJ111" s="226">
        <f t="shared" ca="1" si="60"/>
        <v>0</v>
      </c>
      <c r="AK111" s="226">
        <f t="shared" ca="1" si="60"/>
        <v>0</v>
      </c>
      <c r="AL111" s="226">
        <f t="shared" ca="1" si="60"/>
        <v>0</v>
      </c>
      <c r="AM111" s="226">
        <f t="shared" ca="1" si="60"/>
        <v>0</v>
      </c>
      <c r="AN111" s="226">
        <f t="shared" ca="1" si="60"/>
        <v>0</v>
      </c>
      <c r="AO111" s="226">
        <f t="shared" ca="1" si="60"/>
        <v>0</v>
      </c>
      <c r="AP111" s="226">
        <f t="shared" ca="1" si="60"/>
        <v>0</v>
      </c>
      <c r="AQ111" s="226">
        <f t="shared" ca="1" si="60"/>
        <v>0</v>
      </c>
      <c r="AR111" s="226">
        <f t="shared" ca="1" si="60"/>
        <v>0</v>
      </c>
      <c r="AS111" s="226">
        <f t="shared" ca="1" si="60"/>
        <v>0</v>
      </c>
      <c r="AT111" s="226">
        <f t="shared" ca="1" si="60"/>
        <v>0</v>
      </c>
      <c r="AU111" s="226">
        <f t="shared" ca="1" si="60"/>
        <v>0</v>
      </c>
      <c r="AV111" s="226">
        <f t="shared" ca="1" si="60"/>
        <v>0</v>
      </c>
      <c r="AW111" s="226">
        <f t="shared" ca="1" si="60"/>
        <v>0</v>
      </c>
      <c r="AX111" s="226">
        <f t="shared" ca="1" si="60"/>
        <v>0</v>
      </c>
      <c r="AY111" s="226">
        <f t="shared" ca="1" si="60"/>
        <v>0</v>
      </c>
      <c r="AZ111" s="226">
        <f t="shared" ca="1" si="60"/>
        <v>0</v>
      </c>
      <c r="BA111" s="226">
        <f t="shared" ca="1" si="60"/>
        <v>0</v>
      </c>
      <c r="BB111" s="226">
        <f t="shared" ca="1" si="60"/>
        <v>0</v>
      </c>
      <c r="BC111" s="226">
        <f t="shared" ca="1" si="60"/>
        <v>0</v>
      </c>
      <c r="BD111" s="226">
        <f t="shared" ca="1" si="60"/>
        <v>0</v>
      </c>
      <c r="BE111" s="226">
        <f t="shared" ca="1" si="60"/>
        <v>0</v>
      </c>
      <c r="BF111" s="226">
        <f t="shared" ca="1" si="60"/>
        <v>0</v>
      </c>
      <c r="BG111" s="226">
        <f t="shared" ca="1" si="60"/>
        <v>0</v>
      </c>
      <c r="BH111" s="226">
        <f t="shared" ca="1" si="60"/>
        <v>0</v>
      </c>
      <c r="BI111" s="226">
        <f t="shared" ca="1" si="60"/>
        <v>0</v>
      </c>
      <c r="BJ111" s="226">
        <f t="shared" ca="1" si="60"/>
        <v>0</v>
      </c>
      <c r="BK111" s="226">
        <f t="shared" ca="1" si="60"/>
        <v>0</v>
      </c>
      <c r="BL111" s="226">
        <f t="shared" ca="1" si="60"/>
        <v>0</v>
      </c>
      <c r="BM111" s="226">
        <f t="shared" ca="1" si="60"/>
        <v>0</v>
      </c>
      <c r="BN111" s="226">
        <f t="shared" ca="1" si="60"/>
        <v>0</v>
      </c>
      <c r="BO111" s="226">
        <f t="shared" ca="1" si="60"/>
        <v>0</v>
      </c>
      <c r="BP111" s="226">
        <f t="shared" ca="1" si="60"/>
        <v>0</v>
      </c>
      <c r="BQ111" s="226">
        <f t="shared" ca="1" si="60"/>
        <v>0</v>
      </c>
      <c r="BR111" s="226">
        <f t="shared" ca="1" si="60"/>
        <v>0</v>
      </c>
      <c r="BS111" s="226">
        <f t="shared" ca="1" si="60"/>
        <v>0</v>
      </c>
      <c r="BT111" s="226">
        <f t="shared" ca="1" si="60"/>
        <v>0</v>
      </c>
      <c r="BU111" s="226">
        <f t="shared" ca="1" si="60"/>
        <v>0</v>
      </c>
      <c r="BV111" s="226">
        <f t="shared" ca="1" si="60"/>
        <v>0</v>
      </c>
      <c r="BW111" s="226">
        <f t="shared" ca="1" si="60"/>
        <v>0</v>
      </c>
    </row>
    <row r="112" spans="1:75" ht="12.75" x14ac:dyDescent="0.2">
      <c r="A112" s="69" t="s">
        <v>244</v>
      </c>
      <c r="B112" s="221"/>
      <c r="D112" s="115">
        <f t="array" aca="1" ref="D112" ca="1">INDEX(INDIRECT("BS_"&amp;TEXT(D$1,"mmm")&amp;"_"&amp;TEXT(D$1,"yyyy")),MATCH(TRIM($A111),BS_Accounts,0))-D111</f>
        <v>0</v>
      </c>
      <c r="E112" s="115">
        <f t="array" aca="1" ref="E112" ca="1">INDEX(INDIRECT("BS_"&amp;TEXT(E$1,"mmm")&amp;"_"&amp;TEXT(E$1,"yyyy")),MATCH(TRIM($A111),BS_Accounts,0))-E111</f>
        <v>0</v>
      </c>
      <c r="F112" s="115">
        <f t="array" aca="1" ref="F112" ca="1">INDEX(INDIRECT("BS_"&amp;TEXT(F$1,"mmm")&amp;"_"&amp;TEXT(F$1,"yyyy")),MATCH(TRIM($A111),BS_Accounts,0))-F111</f>
        <v>0</v>
      </c>
      <c r="G112" s="115">
        <f t="array" aca="1" ref="G112" ca="1">INDEX(INDIRECT("BS_"&amp;TEXT(G$1,"mmm")&amp;"_"&amp;TEXT(G$1,"yyyy")),MATCH(TRIM($A111),BS_Accounts,0))-G111</f>
        <v>0</v>
      </c>
      <c r="H112" s="115">
        <f t="array" aca="1" ref="H112" ca="1">INDEX(INDIRECT("BS_"&amp;TEXT(H$1,"mmm")&amp;"_"&amp;TEXT(H$1,"yyyy")),MATCH(TRIM($A111),BS_Accounts,0))-H111</f>
        <v>0</v>
      </c>
      <c r="I112" s="115">
        <f t="array" aca="1" ref="I112" ca="1">INDEX(INDIRECT("BS_"&amp;TEXT(I$1,"mmm")&amp;"_"&amp;TEXT(I$1,"yyyy")),MATCH(TRIM($A111),BS_Accounts,0))-I111</f>
        <v>0</v>
      </c>
      <c r="J112" s="115">
        <f t="array" aca="1" ref="J112" ca="1">INDEX(INDIRECT("BS_"&amp;TEXT(J$1,"mmm")&amp;"_"&amp;TEXT(J$1,"yyyy")),MATCH(TRIM($A111),BS_Accounts,0))-J111</f>
        <v>0</v>
      </c>
      <c r="K112" s="115">
        <f t="array" aca="1" ref="K112" ca="1">INDEX(INDIRECT("BS_"&amp;TEXT(K$1,"mmm")&amp;"_"&amp;TEXT(K$1,"yyyy")),MATCH(TRIM($A111),BS_Accounts,0))-K111</f>
        <v>0</v>
      </c>
      <c r="L112" s="115">
        <f t="array" aca="1" ref="L112" ca="1">INDEX(INDIRECT("BS_"&amp;TEXT(L$1,"mmm")&amp;"_"&amp;TEXT(L$1,"yyyy")),MATCH(TRIM($A111),BS_Accounts,0))-L111</f>
        <v>0</v>
      </c>
      <c r="M112" s="115">
        <f t="array" aca="1" ref="M112" ca="1">INDEX(INDIRECT("BS_"&amp;TEXT(M$1,"mmm")&amp;"_"&amp;TEXT(M$1,"yyyy")),MATCH(TRIM($A111),BS_Accounts,0))-M111</f>
        <v>0</v>
      </c>
      <c r="N112" s="115">
        <f t="array" aca="1" ref="N112" ca="1">INDEX(INDIRECT("BS_"&amp;TEXT(N$1,"mmm")&amp;"_"&amp;TEXT(N$1,"yyyy")),MATCH(TRIM($A111),BS_Accounts,0))-N111</f>
        <v>0</v>
      </c>
      <c r="O112" s="115">
        <f t="array" aca="1" ref="O112" ca="1">INDEX(INDIRECT("BS_"&amp;TEXT(O$1,"mmm")&amp;"_"&amp;TEXT(O$1,"yyyy")),MATCH(TRIM($A111),BS_Accounts,0))-O111</f>
        <v>0</v>
      </c>
      <c r="P112" s="115">
        <f t="array" aca="1" ref="P112" ca="1">INDEX(INDIRECT("BS_"&amp;TEXT(P$1,"mmm")&amp;"_"&amp;TEXT(P$1,"yyyy")),MATCH(TRIM($A111),BS_Accounts,0))-P111</f>
        <v>0</v>
      </c>
      <c r="Q112" s="115">
        <f t="array" aca="1" ref="Q112" ca="1">INDEX(INDIRECT("BS_"&amp;TEXT(Q$1,"mmm")&amp;"_"&amp;TEXT(Q$1,"yyyy")),MATCH(TRIM($A111),BS_Accounts,0))-Q111</f>
        <v>0</v>
      </c>
      <c r="R112" s="115">
        <f t="array" aca="1" ref="R112" ca="1">INDEX(INDIRECT("BS_"&amp;TEXT(R$1,"mmm")&amp;"_"&amp;TEXT(R$1,"yyyy")),MATCH(TRIM($A111),BS_Accounts,0))-R111</f>
        <v>0</v>
      </c>
      <c r="S112" s="115">
        <f t="array" aca="1" ref="S112" ca="1">INDEX(INDIRECT("BS_"&amp;TEXT(S$1,"mmm")&amp;"_"&amp;TEXT(S$1,"yyyy")),MATCH(TRIM($A111),BS_Accounts,0))-S111</f>
        <v>0</v>
      </c>
      <c r="T112" s="115">
        <f t="array" aca="1" ref="T112" ca="1">INDEX(INDIRECT("BS_"&amp;TEXT(T$1,"mmm")&amp;"_"&amp;TEXT(T$1,"yyyy")),MATCH(TRIM($A111),BS_Accounts,0))-T111</f>
        <v>0</v>
      </c>
      <c r="U112" s="115">
        <f t="array" aca="1" ref="U112" ca="1">INDEX(INDIRECT("BS_"&amp;TEXT(U$1,"mmm")&amp;"_"&amp;TEXT(U$1,"yyyy")),MATCH(TRIM($A111),BS_Accounts,0))-U111</f>
        <v>0</v>
      </c>
      <c r="V112" s="115">
        <f t="array" aca="1" ref="V112" ca="1">INDEX(INDIRECT("BS_"&amp;TEXT(V$1,"mmm")&amp;"_"&amp;TEXT(V$1,"yyyy")),MATCH(TRIM($A111),BS_Accounts,0))-V111</f>
        <v>0</v>
      </c>
      <c r="W112" s="115">
        <f t="array" aca="1" ref="W112" ca="1">INDEX(INDIRECT("BS_"&amp;TEXT(W$1,"mmm")&amp;"_"&amp;TEXT(W$1,"yyyy")),MATCH(TRIM($A111),BS_Accounts,0))-W111</f>
        <v>0</v>
      </c>
      <c r="X112" s="115">
        <f t="array" aca="1" ref="X112" ca="1">INDEX(INDIRECT("BS_"&amp;TEXT(X$1,"mmm")&amp;"_"&amp;TEXT(X$1,"yyyy")),MATCH(TRIM($A111),BS_Accounts,0))-X111</f>
        <v>0</v>
      </c>
      <c r="Y112" s="115">
        <f t="array" aca="1" ref="Y112" ca="1">INDEX(INDIRECT("BS_"&amp;TEXT(Y$1,"mmm")&amp;"_"&amp;TEXT(Y$1,"yyyy")),MATCH(TRIM($A111),BS_Accounts,0))-Y111</f>
        <v>0</v>
      </c>
      <c r="Z112" s="115">
        <f t="array" aca="1" ref="Z112" ca="1">INDEX(INDIRECT("BS_"&amp;TEXT(Z$1,"mmm")&amp;"_"&amp;TEXT(Z$1,"yyyy")),MATCH(TRIM($A111),BS_Accounts,0))-Z111</f>
        <v>0</v>
      </c>
      <c r="AA112" s="115">
        <f t="array" aca="1" ref="AA112" ca="1">INDEX(INDIRECT("BS_"&amp;TEXT(AA$1,"mmm")&amp;"_"&amp;TEXT(AA$1,"yyyy")),MATCH(TRIM($A111),BS_Accounts,0))-AA111</f>
        <v>0</v>
      </c>
      <c r="AB112" s="115">
        <f t="array" aca="1" ref="AB112" ca="1">INDEX(INDIRECT("BS_"&amp;TEXT(AB$1,"mmm")&amp;"_"&amp;TEXT(AB$1,"yyyy")),MATCH(TRIM($A111),BS_Accounts,0))-AB111</f>
        <v>0</v>
      </c>
      <c r="AC112" s="115">
        <f t="array" aca="1" ref="AC112" ca="1">INDEX(INDIRECT("BS_"&amp;TEXT(AC$1,"mmm")&amp;"_"&amp;TEXT(AC$1,"yyyy")),MATCH(TRIM($A111),BS_Accounts,0))-AC111</f>
        <v>0</v>
      </c>
      <c r="AD112" s="115">
        <f t="array" aca="1" ref="AD112" ca="1">INDEX(INDIRECT("BS_"&amp;TEXT(AD$1,"mmm")&amp;"_"&amp;TEXT(AD$1,"yyyy")),MATCH(TRIM($A111),BS_Accounts,0))-AD111</f>
        <v>0</v>
      </c>
      <c r="AE112" s="115">
        <f t="array" aca="1" ref="AE112" ca="1">INDEX(INDIRECT("BS_"&amp;TEXT(AE$1,"mmm")&amp;"_"&amp;TEXT(AE$1,"yyyy")),MATCH(TRIM($A111),BS_Accounts,0))-AE111</f>
        <v>0</v>
      </c>
    </row>
    <row r="113" spans="1:75" ht="12.75" x14ac:dyDescent="0.2">
      <c r="A113" s="23" t="s">
        <v>355</v>
      </c>
      <c r="B113" s="221"/>
    </row>
    <row r="114" spans="1:75" ht="12.75" x14ac:dyDescent="0.2">
      <c r="A114" s="23" t="s">
        <v>356</v>
      </c>
      <c r="B114" s="224">
        <f ca="1">AVERAGEIFS(114:114,$1:$1,"&gt;="&amp;DATE(YEAR(Current_Month),MONTH(Current_Month),DAY(Current_Month)),$1:$1,"&lt;="&amp;EOMONTH(Current_Month,0))</f>
        <v>0</v>
      </c>
      <c r="D114" s="115">
        <f t="array" aca="1" ref="D114" ca="1">INDEX(INDIRECT("BS_"&amp;TEXT(D$1,"mmm")&amp;"_"&amp;TEXT(D$1,"yyyy")),MATCH(TRIM($A114),BS_Accounts,0))</f>
        <v>0</v>
      </c>
      <c r="E114" s="115">
        <f t="array" aca="1" ref="E114" ca="1">INDEX(INDIRECT("BS_"&amp;TEXT(E$1,"mmm")&amp;"_"&amp;TEXT(E$1,"yyyy")),MATCH(TRIM($A114),BS_Accounts,0))</f>
        <v>0</v>
      </c>
      <c r="F114" s="115">
        <f t="array" aca="1" ref="F114" ca="1">INDEX(INDIRECT("BS_"&amp;TEXT(F$1,"mmm")&amp;"_"&amp;TEXT(F$1,"yyyy")),MATCH(TRIM($A114),BS_Accounts,0))</f>
        <v>0</v>
      </c>
      <c r="G114" s="115">
        <f t="array" aca="1" ref="G114" ca="1">INDEX(INDIRECT("BS_"&amp;TEXT(G$1,"mmm")&amp;"_"&amp;TEXT(G$1,"yyyy")),MATCH(TRIM($A114),BS_Accounts,0))</f>
        <v>0</v>
      </c>
      <c r="H114" s="115">
        <f t="array" aca="1" ref="H114" ca="1">INDEX(INDIRECT("BS_"&amp;TEXT(H$1,"mmm")&amp;"_"&amp;TEXT(H$1,"yyyy")),MATCH(TRIM($A114),BS_Accounts,0))</f>
        <v>0</v>
      </c>
      <c r="I114" s="115">
        <f t="array" aca="1" ref="I114" ca="1">INDEX(INDIRECT("BS_"&amp;TEXT(I$1,"mmm")&amp;"_"&amp;TEXT(I$1,"yyyy")),MATCH(TRIM($A114),BS_Accounts,0))</f>
        <v>0</v>
      </c>
      <c r="J114" s="115">
        <f t="array" aca="1" ref="J114" ca="1">INDEX(INDIRECT("BS_"&amp;TEXT(J$1,"mmm")&amp;"_"&amp;TEXT(J$1,"yyyy")),MATCH(TRIM($A114),BS_Accounts,0))</f>
        <v>0</v>
      </c>
      <c r="K114" s="115">
        <f t="array" aca="1" ref="K114" ca="1">INDEX(INDIRECT("BS_"&amp;TEXT(K$1,"mmm")&amp;"_"&amp;TEXT(K$1,"yyyy")),MATCH(TRIM($A114),BS_Accounts,0))</f>
        <v>0</v>
      </c>
      <c r="L114" s="115">
        <f t="array" aca="1" ref="L114" ca="1">INDEX(INDIRECT("BS_"&amp;TEXT(L$1,"mmm")&amp;"_"&amp;TEXT(L$1,"yyyy")),MATCH(TRIM($A114),BS_Accounts,0))</f>
        <v>0</v>
      </c>
      <c r="M114" s="115">
        <f t="array" aca="1" ref="M114" ca="1">INDEX(INDIRECT("BS_"&amp;TEXT(M$1,"mmm")&amp;"_"&amp;TEXT(M$1,"yyyy")),MATCH(TRIM($A114),BS_Accounts,0))</f>
        <v>0</v>
      </c>
      <c r="N114" s="115">
        <f t="array" aca="1" ref="N114" ca="1">INDEX(INDIRECT("BS_"&amp;TEXT(N$1,"mmm")&amp;"_"&amp;TEXT(N$1,"yyyy")),MATCH(TRIM($A114),BS_Accounts,0))</f>
        <v>0</v>
      </c>
      <c r="O114" s="115">
        <f t="array" aca="1" ref="O114" ca="1">INDEX(INDIRECT("BS_"&amp;TEXT(O$1,"mmm")&amp;"_"&amp;TEXT(O$1,"yyyy")),MATCH(TRIM($A114),BS_Accounts,0))</f>
        <v>0</v>
      </c>
      <c r="P114" s="115">
        <f t="array" aca="1" ref="P114" ca="1">INDEX(INDIRECT("BS_"&amp;TEXT(P$1,"mmm")&amp;"_"&amp;TEXT(P$1,"yyyy")),MATCH(TRIM($A114),BS_Accounts,0))</f>
        <v>0</v>
      </c>
      <c r="Q114" s="115">
        <f t="array" aca="1" ref="Q114" ca="1">INDEX(INDIRECT("BS_"&amp;TEXT(Q$1,"mmm")&amp;"_"&amp;TEXT(Q$1,"yyyy")),MATCH(TRIM($A114),BS_Accounts,0))</f>
        <v>0</v>
      </c>
      <c r="R114" s="115">
        <f t="array" aca="1" ref="R114" ca="1">INDEX(INDIRECT("BS_"&amp;TEXT(R$1,"mmm")&amp;"_"&amp;TEXT(R$1,"yyyy")),MATCH(TRIM($A114),BS_Accounts,0))</f>
        <v>0</v>
      </c>
      <c r="S114" s="115">
        <f t="array" aca="1" ref="S114" ca="1">INDEX(INDIRECT("BS_"&amp;TEXT(S$1,"mmm")&amp;"_"&amp;TEXT(S$1,"yyyy")),MATCH(TRIM($A114),BS_Accounts,0))</f>
        <v>0</v>
      </c>
      <c r="T114" s="115">
        <f t="array" aca="1" ref="T114" ca="1">INDEX(INDIRECT("BS_"&amp;TEXT(T$1,"mmm")&amp;"_"&amp;TEXT(T$1,"yyyy")),MATCH(TRIM($A114),BS_Accounts,0))</f>
        <v>0</v>
      </c>
      <c r="U114" s="115">
        <f t="array" aca="1" ref="U114" ca="1">INDEX(INDIRECT("BS_"&amp;TEXT(U$1,"mmm")&amp;"_"&amp;TEXT(U$1,"yyyy")),MATCH(TRIM($A114),BS_Accounts,0))</f>
        <v>0</v>
      </c>
      <c r="V114" s="115">
        <f t="array" aca="1" ref="V114" ca="1">INDEX(INDIRECT("BS_"&amp;TEXT(V$1,"mmm")&amp;"_"&amp;TEXT(V$1,"yyyy")),MATCH(TRIM($A114),BS_Accounts,0))</f>
        <v>0</v>
      </c>
      <c r="W114" s="115">
        <f t="array" aca="1" ref="W114" ca="1">INDEX(INDIRECT("BS_"&amp;TEXT(W$1,"mmm")&amp;"_"&amp;TEXT(W$1,"yyyy")),MATCH(TRIM($A114),BS_Accounts,0))</f>
        <v>0</v>
      </c>
      <c r="X114" s="115">
        <f t="array" aca="1" ref="X114" ca="1">INDEX(INDIRECT("BS_"&amp;TEXT(X$1,"mmm")&amp;"_"&amp;TEXT(X$1,"yyyy")),MATCH(TRIM($A114),BS_Accounts,0))</f>
        <v>0</v>
      </c>
      <c r="Y114" s="115">
        <f t="array" aca="1" ref="Y114" ca="1">INDEX(INDIRECT("BS_"&amp;TEXT(Y$1,"mmm")&amp;"_"&amp;TEXT(Y$1,"yyyy")),MATCH(TRIM($A114),BS_Accounts,0))</f>
        <v>0</v>
      </c>
      <c r="Z114" s="115">
        <f t="array" aca="1" ref="Z114" ca="1">INDEX(INDIRECT("BS_"&amp;TEXT(Z$1,"mmm")&amp;"_"&amp;TEXT(Z$1,"yyyy")),MATCH(TRIM($A114),BS_Accounts,0))</f>
        <v>0</v>
      </c>
      <c r="AA114" s="115">
        <f t="array" aca="1" ref="AA114" ca="1">INDEX(INDIRECT("BS_"&amp;TEXT(AA$1,"mmm")&amp;"_"&amp;TEXT(AA$1,"yyyy")),MATCH(TRIM($A114),BS_Accounts,0))</f>
        <v>0</v>
      </c>
      <c r="AB114" s="115">
        <f t="array" aca="1" ref="AB114" ca="1">INDEX(INDIRECT("BS_"&amp;TEXT(AB$1,"mmm")&amp;"_"&amp;TEXT(AB$1,"yyyy")),MATCH(TRIM($A114),BS_Accounts,0))</f>
        <v>0</v>
      </c>
      <c r="AC114" s="115">
        <f t="array" aca="1" ref="AC114" ca="1">INDEX(INDIRECT("BS_"&amp;TEXT(AC$1,"mmm")&amp;"_"&amp;TEXT(AC$1,"yyyy")),MATCH(TRIM($A114),BS_Accounts,0))</f>
        <v>0</v>
      </c>
      <c r="AD114" s="115">
        <f t="array" aca="1" ref="AD114" ca="1">INDEX(INDIRECT("BS_"&amp;TEXT(AD$1,"mmm")&amp;"_"&amp;TEXT(AD$1,"yyyy")),MATCH(TRIM($A114),BS_Accounts,0))</f>
        <v>0</v>
      </c>
      <c r="AE114" s="115">
        <f t="array" aca="1" ref="AE114" ca="1">INDEX(INDIRECT("BS_"&amp;TEXT(AE$1,"mmm")&amp;"_"&amp;TEXT(AE$1,"yyyy")),MATCH(TRIM($A114),BS_Accounts,0))</f>
        <v>0</v>
      </c>
      <c r="AF114" s="165">
        <f t="shared" ref="AF114:BW114" ca="1" si="61">$B114</f>
        <v>0</v>
      </c>
      <c r="AG114" s="165">
        <f t="shared" ca="1" si="61"/>
        <v>0</v>
      </c>
      <c r="AH114" s="165">
        <f t="shared" ca="1" si="61"/>
        <v>0</v>
      </c>
      <c r="AI114" s="165">
        <f t="shared" ca="1" si="61"/>
        <v>0</v>
      </c>
      <c r="AJ114" s="165">
        <f t="shared" ca="1" si="61"/>
        <v>0</v>
      </c>
      <c r="AK114" s="165">
        <f t="shared" ca="1" si="61"/>
        <v>0</v>
      </c>
      <c r="AL114" s="165">
        <f t="shared" ca="1" si="61"/>
        <v>0</v>
      </c>
      <c r="AM114" s="165">
        <f t="shared" ca="1" si="61"/>
        <v>0</v>
      </c>
      <c r="AN114" s="165">
        <f t="shared" ca="1" si="61"/>
        <v>0</v>
      </c>
      <c r="AO114" s="165">
        <f t="shared" ca="1" si="61"/>
        <v>0</v>
      </c>
      <c r="AP114" s="165">
        <f t="shared" ca="1" si="61"/>
        <v>0</v>
      </c>
      <c r="AQ114" s="165">
        <f t="shared" ca="1" si="61"/>
        <v>0</v>
      </c>
      <c r="AR114" s="165">
        <f t="shared" ca="1" si="61"/>
        <v>0</v>
      </c>
      <c r="AS114" s="165">
        <f t="shared" ca="1" si="61"/>
        <v>0</v>
      </c>
      <c r="AT114" s="165">
        <f t="shared" ca="1" si="61"/>
        <v>0</v>
      </c>
      <c r="AU114" s="165">
        <f t="shared" ca="1" si="61"/>
        <v>0</v>
      </c>
      <c r="AV114" s="165">
        <f t="shared" ca="1" si="61"/>
        <v>0</v>
      </c>
      <c r="AW114" s="165">
        <f t="shared" ca="1" si="61"/>
        <v>0</v>
      </c>
      <c r="AX114" s="165">
        <f t="shared" ca="1" si="61"/>
        <v>0</v>
      </c>
      <c r="AY114" s="165">
        <f t="shared" ca="1" si="61"/>
        <v>0</v>
      </c>
      <c r="AZ114" s="165">
        <f t="shared" ca="1" si="61"/>
        <v>0</v>
      </c>
      <c r="BA114" s="165">
        <f t="shared" ca="1" si="61"/>
        <v>0</v>
      </c>
      <c r="BB114" s="165">
        <f t="shared" ca="1" si="61"/>
        <v>0</v>
      </c>
      <c r="BC114" s="165">
        <f t="shared" ca="1" si="61"/>
        <v>0</v>
      </c>
      <c r="BD114" s="165">
        <f t="shared" ca="1" si="61"/>
        <v>0</v>
      </c>
      <c r="BE114" s="165">
        <f t="shared" ca="1" si="61"/>
        <v>0</v>
      </c>
      <c r="BF114" s="165">
        <f t="shared" ca="1" si="61"/>
        <v>0</v>
      </c>
      <c r="BG114" s="165">
        <f t="shared" ca="1" si="61"/>
        <v>0</v>
      </c>
      <c r="BH114" s="165">
        <f t="shared" ca="1" si="61"/>
        <v>0</v>
      </c>
      <c r="BI114" s="165">
        <f t="shared" ca="1" si="61"/>
        <v>0</v>
      </c>
      <c r="BJ114" s="165">
        <f t="shared" ca="1" si="61"/>
        <v>0</v>
      </c>
      <c r="BK114" s="165">
        <f t="shared" ca="1" si="61"/>
        <v>0</v>
      </c>
      <c r="BL114" s="165">
        <f t="shared" ca="1" si="61"/>
        <v>0</v>
      </c>
      <c r="BM114" s="165">
        <f t="shared" ca="1" si="61"/>
        <v>0</v>
      </c>
      <c r="BN114" s="165">
        <f t="shared" ca="1" si="61"/>
        <v>0</v>
      </c>
      <c r="BO114" s="165">
        <f t="shared" ca="1" si="61"/>
        <v>0</v>
      </c>
      <c r="BP114" s="165">
        <f t="shared" ca="1" si="61"/>
        <v>0</v>
      </c>
      <c r="BQ114" s="165">
        <f t="shared" ca="1" si="61"/>
        <v>0</v>
      </c>
      <c r="BR114" s="165">
        <f t="shared" ca="1" si="61"/>
        <v>0</v>
      </c>
      <c r="BS114" s="165">
        <f t="shared" ca="1" si="61"/>
        <v>0</v>
      </c>
      <c r="BT114" s="165">
        <f t="shared" ca="1" si="61"/>
        <v>0</v>
      </c>
      <c r="BU114" s="165">
        <f t="shared" ca="1" si="61"/>
        <v>0</v>
      </c>
      <c r="BV114" s="165">
        <f t="shared" ca="1" si="61"/>
        <v>0</v>
      </c>
      <c r="BW114" s="165">
        <f t="shared" ca="1" si="61"/>
        <v>0</v>
      </c>
    </row>
    <row r="115" spans="1:75" ht="12.75" x14ac:dyDescent="0.2">
      <c r="A115" s="23" t="s">
        <v>357</v>
      </c>
      <c r="B115" s="224">
        <f ca="1">AVERAGEIFS(115:115,$1:$1,"&gt;="&amp;DATE(YEAR(Current_Month),MONTH(Current_Month),DAY(Current_Month)),$1:$1,"&lt;="&amp;EOMONTH(Current_Month,0))</f>
        <v>0</v>
      </c>
      <c r="D115" s="115">
        <f t="array" aca="1" ref="D115" ca="1">INDEX(INDIRECT("BS_"&amp;TEXT(D$1,"mmm")&amp;"_"&amp;TEXT(D$1,"yyyy")),MATCH(TRIM($A115),BS_Accounts,0))</f>
        <v>0</v>
      </c>
      <c r="E115" s="115">
        <f t="array" aca="1" ref="E115" ca="1">INDEX(INDIRECT("BS_"&amp;TEXT(E$1,"mmm")&amp;"_"&amp;TEXT(E$1,"yyyy")),MATCH(TRIM($A115),BS_Accounts,0))</f>
        <v>0</v>
      </c>
      <c r="F115" s="115">
        <f t="array" aca="1" ref="F115" ca="1">INDEX(INDIRECT("BS_"&amp;TEXT(F$1,"mmm")&amp;"_"&amp;TEXT(F$1,"yyyy")),MATCH(TRIM($A115),BS_Accounts,0))</f>
        <v>0</v>
      </c>
      <c r="G115" s="115">
        <f t="array" aca="1" ref="G115" ca="1">INDEX(INDIRECT("BS_"&amp;TEXT(G$1,"mmm")&amp;"_"&amp;TEXT(G$1,"yyyy")),MATCH(TRIM($A115),BS_Accounts,0))</f>
        <v>0</v>
      </c>
      <c r="H115" s="115">
        <f t="array" aca="1" ref="H115" ca="1">INDEX(INDIRECT("BS_"&amp;TEXT(H$1,"mmm")&amp;"_"&amp;TEXT(H$1,"yyyy")),MATCH(TRIM($A115),BS_Accounts,0))</f>
        <v>0</v>
      </c>
      <c r="I115" s="115">
        <f t="array" aca="1" ref="I115" ca="1">INDEX(INDIRECT("BS_"&amp;TEXT(I$1,"mmm")&amp;"_"&amp;TEXT(I$1,"yyyy")),MATCH(TRIM($A115),BS_Accounts,0))</f>
        <v>0</v>
      </c>
      <c r="J115" s="115">
        <f t="array" aca="1" ref="J115" ca="1">INDEX(INDIRECT("BS_"&amp;TEXT(J$1,"mmm")&amp;"_"&amp;TEXT(J$1,"yyyy")),MATCH(TRIM($A115),BS_Accounts,0))</f>
        <v>0</v>
      </c>
      <c r="K115" s="115">
        <f t="array" aca="1" ref="K115" ca="1">INDEX(INDIRECT("BS_"&amp;TEXT(K$1,"mmm")&amp;"_"&amp;TEXT(K$1,"yyyy")),MATCH(TRIM($A115),BS_Accounts,0))</f>
        <v>0</v>
      </c>
      <c r="L115" s="115">
        <f t="array" aca="1" ref="L115" ca="1">INDEX(INDIRECT("BS_"&amp;TEXT(L$1,"mmm")&amp;"_"&amp;TEXT(L$1,"yyyy")),MATCH(TRIM($A115),BS_Accounts,0))</f>
        <v>0</v>
      </c>
      <c r="M115" s="115">
        <f t="array" aca="1" ref="M115" ca="1">INDEX(INDIRECT("BS_"&amp;TEXT(M$1,"mmm")&amp;"_"&amp;TEXT(M$1,"yyyy")),MATCH(TRIM($A115),BS_Accounts,0))</f>
        <v>0</v>
      </c>
      <c r="N115" s="115">
        <f t="array" aca="1" ref="N115" ca="1">INDEX(INDIRECT("BS_"&amp;TEXT(N$1,"mmm")&amp;"_"&amp;TEXT(N$1,"yyyy")),MATCH(TRIM($A115),BS_Accounts,0))</f>
        <v>0</v>
      </c>
      <c r="O115" s="115">
        <f t="array" aca="1" ref="O115" ca="1">INDEX(INDIRECT("BS_"&amp;TEXT(O$1,"mmm")&amp;"_"&amp;TEXT(O$1,"yyyy")),MATCH(TRIM($A115),BS_Accounts,0))</f>
        <v>0</v>
      </c>
      <c r="P115" s="115">
        <f t="array" aca="1" ref="P115" ca="1">INDEX(INDIRECT("BS_"&amp;TEXT(P$1,"mmm")&amp;"_"&amp;TEXT(P$1,"yyyy")),MATCH(TRIM($A115),BS_Accounts,0))</f>
        <v>0</v>
      </c>
      <c r="Q115" s="115">
        <f t="array" aca="1" ref="Q115" ca="1">INDEX(INDIRECT("BS_"&amp;TEXT(Q$1,"mmm")&amp;"_"&amp;TEXT(Q$1,"yyyy")),MATCH(TRIM($A115),BS_Accounts,0))</f>
        <v>0</v>
      </c>
      <c r="R115" s="115">
        <f t="array" aca="1" ref="R115" ca="1">INDEX(INDIRECT("BS_"&amp;TEXT(R$1,"mmm")&amp;"_"&amp;TEXT(R$1,"yyyy")),MATCH(TRIM($A115),BS_Accounts,0))</f>
        <v>0</v>
      </c>
      <c r="S115" s="115">
        <f t="array" aca="1" ref="S115" ca="1">INDEX(INDIRECT("BS_"&amp;TEXT(S$1,"mmm")&amp;"_"&amp;TEXT(S$1,"yyyy")),MATCH(TRIM($A115),BS_Accounts,0))</f>
        <v>0</v>
      </c>
      <c r="T115" s="115">
        <f t="array" aca="1" ref="T115" ca="1">INDEX(INDIRECT("BS_"&amp;TEXT(T$1,"mmm")&amp;"_"&amp;TEXT(T$1,"yyyy")),MATCH(TRIM($A115),BS_Accounts,0))</f>
        <v>0</v>
      </c>
      <c r="U115" s="115">
        <f t="array" aca="1" ref="U115" ca="1">INDEX(INDIRECT("BS_"&amp;TEXT(U$1,"mmm")&amp;"_"&amp;TEXT(U$1,"yyyy")),MATCH(TRIM($A115),BS_Accounts,0))</f>
        <v>0</v>
      </c>
      <c r="V115" s="115">
        <f t="array" aca="1" ref="V115" ca="1">INDEX(INDIRECT("BS_"&amp;TEXT(V$1,"mmm")&amp;"_"&amp;TEXT(V$1,"yyyy")),MATCH(TRIM($A115),BS_Accounts,0))</f>
        <v>0</v>
      </c>
      <c r="W115" s="115">
        <f t="array" aca="1" ref="W115" ca="1">INDEX(INDIRECT("BS_"&amp;TEXT(W$1,"mmm")&amp;"_"&amp;TEXT(W$1,"yyyy")),MATCH(TRIM($A115),BS_Accounts,0))</f>
        <v>0</v>
      </c>
      <c r="X115" s="115">
        <f t="array" aca="1" ref="X115" ca="1">INDEX(INDIRECT("BS_"&amp;TEXT(X$1,"mmm")&amp;"_"&amp;TEXT(X$1,"yyyy")),MATCH(TRIM($A115),BS_Accounts,0))</f>
        <v>0</v>
      </c>
      <c r="Y115" s="115">
        <f t="array" aca="1" ref="Y115" ca="1">INDEX(INDIRECT("BS_"&amp;TEXT(Y$1,"mmm")&amp;"_"&amp;TEXT(Y$1,"yyyy")),MATCH(TRIM($A115),BS_Accounts,0))</f>
        <v>0</v>
      </c>
      <c r="Z115" s="115">
        <f t="array" aca="1" ref="Z115" ca="1">INDEX(INDIRECT("BS_"&amp;TEXT(Z$1,"mmm")&amp;"_"&amp;TEXT(Z$1,"yyyy")),MATCH(TRIM($A115),BS_Accounts,0))</f>
        <v>0</v>
      </c>
      <c r="AA115" s="115">
        <f t="array" aca="1" ref="AA115" ca="1">INDEX(INDIRECT("BS_"&amp;TEXT(AA$1,"mmm")&amp;"_"&amp;TEXT(AA$1,"yyyy")),MATCH(TRIM($A115),BS_Accounts,0))</f>
        <v>0</v>
      </c>
      <c r="AB115" s="115">
        <f t="array" aca="1" ref="AB115" ca="1">INDEX(INDIRECT("BS_"&amp;TEXT(AB$1,"mmm")&amp;"_"&amp;TEXT(AB$1,"yyyy")),MATCH(TRIM($A115),BS_Accounts,0))</f>
        <v>0</v>
      </c>
      <c r="AC115" s="115">
        <f t="array" aca="1" ref="AC115" ca="1">INDEX(INDIRECT("BS_"&amp;TEXT(AC$1,"mmm")&amp;"_"&amp;TEXT(AC$1,"yyyy")),MATCH(TRIM($A115),BS_Accounts,0))</f>
        <v>0</v>
      </c>
      <c r="AD115" s="115">
        <f t="array" aca="1" ref="AD115" ca="1">INDEX(INDIRECT("BS_"&amp;TEXT(AD$1,"mmm")&amp;"_"&amp;TEXT(AD$1,"yyyy")),MATCH(TRIM($A115),BS_Accounts,0))</f>
        <v>0</v>
      </c>
      <c r="AE115" s="115">
        <f t="array" aca="1" ref="AE115" ca="1">INDEX(INDIRECT("BS_"&amp;TEXT(AE$1,"mmm")&amp;"_"&amp;TEXT(AE$1,"yyyy")),MATCH(TRIM($A115),BS_Accounts,0))</f>
        <v>0</v>
      </c>
      <c r="AF115" s="165">
        <f t="shared" ref="AF115:BW115" ca="1" si="62">$B115</f>
        <v>0</v>
      </c>
      <c r="AG115" s="165">
        <f t="shared" ca="1" si="62"/>
        <v>0</v>
      </c>
      <c r="AH115" s="165">
        <f t="shared" ca="1" si="62"/>
        <v>0</v>
      </c>
      <c r="AI115" s="165">
        <f t="shared" ca="1" si="62"/>
        <v>0</v>
      </c>
      <c r="AJ115" s="165">
        <f t="shared" ca="1" si="62"/>
        <v>0</v>
      </c>
      <c r="AK115" s="165">
        <f t="shared" ca="1" si="62"/>
        <v>0</v>
      </c>
      <c r="AL115" s="165">
        <f t="shared" ca="1" si="62"/>
        <v>0</v>
      </c>
      <c r="AM115" s="165">
        <f t="shared" ca="1" si="62"/>
        <v>0</v>
      </c>
      <c r="AN115" s="165">
        <f t="shared" ca="1" si="62"/>
        <v>0</v>
      </c>
      <c r="AO115" s="165">
        <f t="shared" ca="1" si="62"/>
        <v>0</v>
      </c>
      <c r="AP115" s="165">
        <f t="shared" ca="1" si="62"/>
        <v>0</v>
      </c>
      <c r="AQ115" s="165">
        <f t="shared" ca="1" si="62"/>
        <v>0</v>
      </c>
      <c r="AR115" s="165">
        <f t="shared" ca="1" si="62"/>
        <v>0</v>
      </c>
      <c r="AS115" s="165">
        <f t="shared" ca="1" si="62"/>
        <v>0</v>
      </c>
      <c r="AT115" s="165">
        <f t="shared" ca="1" si="62"/>
        <v>0</v>
      </c>
      <c r="AU115" s="165">
        <f t="shared" ca="1" si="62"/>
        <v>0</v>
      </c>
      <c r="AV115" s="165">
        <f t="shared" ca="1" si="62"/>
        <v>0</v>
      </c>
      <c r="AW115" s="165">
        <f t="shared" ca="1" si="62"/>
        <v>0</v>
      </c>
      <c r="AX115" s="165">
        <f t="shared" ca="1" si="62"/>
        <v>0</v>
      </c>
      <c r="AY115" s="165">
        <f t="shared" ca="1" si="62"/>
        <v>0</v>
      </c>
      <c r="AZ115" s="165">
        <f t="shared" ca="1" si="62"/>
        <v>0</v>
      </c>
      <c r="BA115" s="165">
        <f t="shared" ca="1" si="62"/>
        <v>0</v>
      </c>
      <c r="BB115" s="165">
        <f t="shared" ca="1" si="62"/>
        <v>0</v>
      </c>
      <c r="BC115" s="165">
        <f t="shared" ca="1" si="62"/>
        <v>0</v>
      </c>
      <c r="BD115" s="165">
        <f t="shared" ca="1" si="62"/>
        <v>0</v>
      </c>
      <c r="BE115" s="165">
        <f t="shared" ca="1" si="62"/>
        <v>0</v>
      </c>
      <c r="BF115" s="165">
        <f t="shared" ca="1" si="62"/>
        <v>0</v>
      </c>
      <c r="BG115" s="165">
        <f t="shared" ca="1" si="62"/>
        <v>0</v>
      </c>
      <c r="BH115" s="165">
        <f t="shared" ca="1" si="62"/>
        <v>0</v>
      </c>
      <c r="BI115" s="165">
        <f t="shared" ca="1" si="62"/>
        <v>0</v>
      </c>
      <c r="BJ115" s="165">
        <f t="shared" ca="1" si="62"/>
        <v>0</v>
      </c>
      <c r="BK115" s="165">
        <f t="shared" ca="1" si="62"/>
        <v>0</v>
      </c>
      <c r="BL115" s="165">
        <f t="shared" ca="1" si="62"/>
        <v>0</v>
      </c>
      <c r="BM115" s="165">
        <f t="shared" ca="1" si="62"/>
        <v>0</v>
      </c>
      <c r="BN115" s="165">
        <f t="shared" ca="1" si="62"/>
        <v>0</v>
      </c>
      <c r="BO115" s="165">
        <f t="shared" ca="1" si="62"/>
        <v>0</v>
      </c>
      <c r="BP115" s="165">
        <f t="shared" ca="1" si="62"/>
        <v>0</v>
      </c>
      <c r="BQ115" s="165">
        <f t="shared" ca="1" si="62"/>
        <v>0</v>
      </c>
      <c r="BR115" s="165">
        <f t="shared" ca="1" si="62"/>
        <v>0</v>
      </c>
      <c r="BS115" s="165">
        <f t="shared" ca="1" si="62"/>
        <v>0</v>
      </c>
      <c r="BT115" s="165">
        <f t="shared" ca="1" si="62"/>
        <v>0</v>
      </c>
      <c r="BU115" s="165">
        <f t="shared" ca="1" si="62"/>
        <v>0</v>
      </c>
      <c r="BV115" s="165">
        <f t="shared" ca="1" si="62"/>
        <v>0</v>
      </c>
      <c r="BW115" s="165">
        <f t="shared" ca="1" si="62"/>
        <v>0</v>
      </c>
    </row>
    <row r="116" spans="1:75" ht="12.75" x14ac:dyDescent="0.2">
      <c r="A116" s="23" t="s">
        <v>358</v>
      </c>
      <c r="B116" s="224">
        <f ca="1">AVERAGEIFS(116:116,$1:$1,"&gt;="&amp;DATE(YEAR(Current_Month),MONTH(Current_Month),DAY(Current_Month)),$1:$1,"&lt;="&amp;EOMONTH(Current_Month,0))</f>
        <v>0</v>
      </c>
      <c r="D116" s="115">
        <f t="array" aca="1" ref="D116" ca="1">INDEX(INDIRECT("BS_"&amp;TEXT(D$1,"mmm")&amp;"_"&amp;TEXT(D$1,"yyyy")),MATCH(TRIM($A116),BS_Accounts,0))</f>
        <v>0</v>
      </c>
      <c r="E116" s="115">
        <f t="array" aca="1" ref="E116" ca="1">INDEX(INDIRECT("BS_"&amp;TEXT(E$1,"mmm")&amp;"_"&amp;TEXT(E$1,"yyyy")),MATCH(TRIM($A116),BS_Accounts,0))</f>
        <v>0</v>
      </c>
      <c r="F116" s="115">
        <f t="array" aca="1" ref="F116" ca="1">INDEX(INDIRECT("BS_"&amp;TEXT(F$1,"mmm")&amp;"_"&amp;TEXT(F$1,"yyyy")),MATCH(TRIM($A116),BS_Accounts,0))</f>
        <v>0</v>
      </c>
      <c r="G116" s="115">
        <f t="array" aca="1" ref="G116" ca="1">INDEX(INDIRECT("BS_"&amp;TEXT(G$1,"mmm")&amp;"_"&amp;TEXT(G$1,"yyyy")),MATCH(TRIM($A116),BS_Accounts,0))</f>
        <v>0</v>
      </c>
      <c r="H116" s="115">
        <f t="array" aca="1" ref="H116" ca="1">INDEX(INDIRECT("BS_"&amp;TEXT(H$1,"mmm")&amp;"_"&amp;TEXT(H$1,"yyyy")),MATCH(TRIM($A116),BS_Accounts,0))</f>
        <v>0</v>
      </c>
      <c r="I116" s="115">
        <f t="array" aca="1" ref="I116" ca="1">INDEX(INDIRECT("BS_"&amp;TEXT(I$1,"mmm")&amp;"_"&amp;TEXT(I$1,"yyyy")),MATCH(TRIM($A116),BS_Accounts,0))</f>
        <v>0</v>
      </c>
      <c r="J116" s="115">
        <f t="array" aca="1" ref="J116" ca="1">INDEX(INDIRECT("BS_"&amp;TEXT(J$1,"mmm")&amp;"_"&amp;TEXT(J$1,"yyyy")),MATCH(TRIM($A116),BS_Accounts,0))</f>
        <v>0</v>
      </c>
      <c r="K116" s="115">
        <f t="array" aca="1" ref="K116" ca="1">INDEX(INDIRECT("BS_"&amp;TEXT(K$1,"mmm")&amp;"_"&amp;TEXT(K$1,"yyyy")),MATCH(TRIM($A116),BS_Accounts,0))</f>
        <v>0</v>
      </c>
      <c r="L116" s="115">
        <f t="array" aca="1" ref="L116" ca="1">INDEX(INDIRECT("BS_"&amp;TEXT(L$1,"mmm")&amp;"_"&amp;TEXT(L$1,"yyyy")),MATCH(TRIM($A116),BS_Accounts,0))</f>
        <v>0</v>
      </c>
      <c r="M116" s="115">
        <f t="array" aca="1" ref="M116" ca="1">INDEX(INDIRECT("BS_"&amp;TEXT(M$1,"mmm")&amp;"_"&amp;TEXT(M$1,"yyyy")),MATCH(TRIM($A116),BS_Accounts,0))</f>
        <v>0</v>
      </c>
      <c r="N116" s="115">
        <f t="array" aca="1" ref="N116" ca="1">INDEX(INDIRECT("BS_"&amp;TEXT(N$1,"mmm")&amp;"_"&amp;TEXT(N$1,"yyyy")),MATCH(TRIM($A116),BS_Accounts,0))</f>
        <v>0</v>
      </c>
      <c r="O116" s="115">
        <f t="array" aca="1" ref="O116" ca="1">INDEX(INDIRECT("BS_"&amp;TEXT(O$1,"mmm")&amp;"_"&amp;TEXT(O$1,"yyyy")),MATCH(TRIM($A116),BS_Accounts,0))</f>
        <v>0</v>
      </c>
      <c r="P116" s="115">
        <f t="array" aca="1" ref="P116" ca="1">INDEX(INDIRECT("BS_"&amp;TEXT(P$1,"mmm")&amp;"_"&amp;TEXT(P$1,"yyyy")),MATCH(TRIM($A116),BS_Accounts,0))</f>
        <v>0</v>
      </c>
      <c r="Q116" s="115">
        <f t="array" aca="1" ref="Q116" ca="1">INDEX(INDIRECT("BS_"&amp;TEXT(Q$1,"mmm")&amp;"_"&amp;TEXT(Q$1,"yyyy")),MATCH(TRIM($A116),BS_Accounts,0))</f>
        <v>0</v>
      </c>
      <c r="R116" s="115">
        <f t="array" aca="1" ref="R116" ca="1">INDEX(INDIRECT("BS_"&amp;TEXT(R$1,"mmm")&amp;"_"&amp;TEXT(R$1,"yyyy")),MATCH(TRIM($A116),BS_Accounts,0))</f>
        <v>0</v>
      </c>
      <c r="S116" s="115">
        <f t="array" aca="1" ref="S116" ca="1">INDEX(INDIRECT("BS_"&amp;TEXT(S$1,"mmm")&amp;"_"&amp;TEXT(S$1,"yyyy")),MATCH(TRIM($A116),BS_Accounts,0))</f>
        <v>0</v>
      </c>
      <c r="T116" s="115">
        <f t="array" aca="1" ref="T116" ca="1">INDEX(INDIRECT("BS_"&amp;TEXT(T$1,"mmm")&amp;"_"&amp;TEXT(T$1,"yyyy")),MATCH(TRIM($A116),BS_Accounts,0))</f>
        <v>0</v>
      </c>
      <c r="U116" s="115">
        <f t="array" aca="1" ref="U116" ca="1">INDEX(INDIRECT("BS_"&amp;TEXT(U$1,"mmm")&amp;"_"&amp;TEXT(U$1,"yyyy")),MATCH(TRIM($A116),BS_Accounts,0))</f>
        <v>0</v>
      </c>
      <c r="V116" s="115">
        <f t="array" aca="1" ref="V116" ca="1">INDEX(INDIRECT("BS_"&amp;TEXT(V$1,"mmm")&amp;"_"&amp;TEXT(V$1,"yyyy")),MATCH(TRIM($A116),BS_Accounts,0))</f>
        <v>0</v>
      </c>
      <c r="W116" s="115">
        <f t="array" aca="1" ref="W116" ca="1">INDEX(INDIRECT("BS_"&amp;TEXT(W$1,"mmm")&amp;"_"&amp;TEXT(W$1,"yyyy")),MATCH(TRIM($A116),BS_Accounts,0))</f>
        <v>0</v>
      </c>
      <c r="X116" s="115">
        <f t="array" aca="1" ref="X116" ca="1">INDEX(INDIRECT("BS_"&amp;TEXT(X$1,"mmm")&amp;"_"&amp;TEXT(X$1,"yyyy")),MATCH(TRIM($A116),BS_Accounts,0))</f>
        <v>0</v>
      </c>
      <c r="Y116" s="115">
        <f t="array" aca="1" ref="Y116" ca="1">INDEX(INDIRECT("BS_"&amp;TEXT(Y$1,"mmm")&amp;"_"&amp;TEXT(Y$1,"yyyy")),MATCH(TRIM($A116),BS_Accounts,0))</f>
        <v>0</v>
      </c>
      <c r="Z116" s="115">
        <f t="array" aca="1" ref="Z116" ca="1">INDEX(INDIRECT("BS_"&amp;TEXT(Z$1,"mmm")&amp;"_"&amp;TEXT(Z$1,"yyyy")),MATCH(TRIM($A116),BS_Accounts,0))</f>
        <v>0</v>
      </c>
      <c r="AA116" s="115">
        <f t="array" aca="1" ref="AA116" ca="1">INDEX(INDIRECT("BS_"&amp;TEXT(AA$1,"mmm")&amp;"_"&amp;TEXT(AA$1,"yyyy")),MATCH(TRIM($A116),BS_Accounts,0))</f>
        <v>0</v>
      </c>
      <c r="AB116" s="115">
        <f t="array" aca="1" ref="AB116" ca="1">INDEX(INDIRECT("BS_"&amp;TEXT(AB$1,"mmm")&amp;"_"&amp;TEXT(AB$1,"yyyy")),MATCH(TRIM($A116),BS_Accounts,0))</f>
        <v>0</v>
      </c>
      <c r="AC116" s="115">
        <f t="array" aca="1" ref="AC116" ca="1">INDEX(INDIRECT("BS_"&amp;TEXT(AC$1,"mmm")&amp;"_"&amp;TEXT(AC$1,"yyyy")),MATCH(TRIM($A116),BS_Accounts,0))</f>
        <v>0</v>
      </c>
      <c r="AD116" s="115">
        <f t="array" aca="1" ref="AD116" ca="1">INDEX(INDIRECT("BS_"&amp;TEXT(AD$1,"mmm")&amp;"_"&amp;TEXT(AD$1,"yyyy")),MATCH(TRIM($A116),BS_Accounts,0))</f>
        <v>0</v>
      </c>
      <c r="AE116" s="115">
        <f t="array" aca="1" ref="AE116" ca="1">INDEX(INDIRECT("BS_"&amp;TEXT(AE$1,"mmm")&amp;"_"&amp;TEXT(AE$1,"yyyy")),MATCH(TRIM($A116),BS_Accounts,0))</f>
        <v>0</v>
      </c>
      <c r="AF116" s="165">
        <f t="shared" ref="AF116:BW116" ca="1" si="63">$B116</f>
        <v>0</v>
      </c>
      <c r="AG116" s="165">
        <f t="shared" ca="1" si="63"/>
        <v>0</v>
      </c>
      <c r="AH116" s="165">
        <f t="shared" ca="1" si="63"/>
        <v>0</v>
      </c>
      <c r="AI116" s="165">
        <f t="shared" ca="1" si="63"/>
        <v>0</v>
      </c>
      <c r="AJ116" s="165">
        <f t="shared" ca="1" si="63"/>
        <v>0</v>
      </c>
      <c r="AK116" s="165">
        <f t="shared" ca="1" si="63"/>
        <v>0</v>
      </c>
      <c r="AL116" s="165">
        <f t="shared" ca="1" si="63"/>
        <v>0</v>
      </c>
      <c r="AM116" s="165">
        <f t="shared" ca="1" si="63"/>
        <v>0</v>
      </c>
      <c r="AN116" s="165">
        <f t="shared" ca="1" si="63"/>
        <v>0</v>
      </c>
      <c r="AO116" s="165">
        <f t="shared" ca="1" si="63"/>
        <v>0</v>
      </c>
      <c r="AP116" s="165">
        <f t="shared" ca="1" si="63"/>
        <v>0</v>
      </c>
      <c r="AQ116" s="165">
        <f t="shared" ca="1" si="63"/>
        <v>0</v>
      </c>
      <c r="AR116" s="165">
        <f t="shared" ca="1" si="63"/>
        <v>0</v>
      </c>
      <c r="AS116" s="165">
        <f t="shared" ca="1" si="63"/>
        <v>0</v>
      </c>
      <c r="AT116" s="165">
        <f t="shared" ca="1" si="63"/>
        <v>0</v>
      </c>
      <c r="AU116" s="165">
        <f t="shared" ca="1" si="63"/>
        <v>0</v>
      </c>
      <c r="AV116" s="165">
        <f t="shared" ca="1" si="63"/>
        <v>0</v>
      </c>
      <c r="AW116" s="165">
        <f t="shared" ca="1" si="63"/>
        <v>0</v>
      </c>
      <c r="AX116" s="165">
        <f t="shared" ca="1" si="63"/>
        <v>0</v>
      </c>
      <c r="AY116" s="165">
        <f t="shared" ca="1" si="63"/>
        <v>0</v>
      </c>
      <c r="AZ116" s="165">
        <f t="shared" ca="1" si="63"/>
        <v>0</v>
      </c>
      <c r="BA116" s="165">
        <f t="shared" ca="1" si="63"/>
        <v>0</v>
      </c>
      <c r="BB116" s="165">
        <f t="shared" ca="1" si="63"/>
        <v>0</v>
      </c>
      <c r="BC116" s="165">
        <f t="shared" ca="1" si="63"/>
        <v>0</v>
      </c>
      <c r="BD116" s="165">
        <f t="shared" ca="1" si="63"/>
        <v>0</v>
      </c>
      <c r="BE116" s="165">
        <f t="shared" ca="1" si="63"/>
        <v>0</v>
      </c>
      <c r="BF116" s="165">
        <f t="shared" ca="1" si="63"/>
        <v>0</v>
      </c>
      <c r="BG116" s="165">
        <f t="shared" ca="1" si="63"/>
        <v>0</v>
      </c>
      <c r="BH116" s="165">
        <f t="shared" ca="1" si="63"/>
        <v>0</v>
      </c>
      <c r="BI116" s="165">
        <f t="shared" ca="1" si="63"/>
        <v>0</v>
      </c>
      <c r="BJ116" s="165">
        <f t="shared" ca="1" si="63"/>
        <v>0</v>
      </c>
      <c r="BK116" s="165">
        <f t="shared" ca="1" si="63"/>
        <v>0</v>
      </c>
      <c r="BL116" s="165">
        <f t="shared" ca="1" si="63"/>
        <v>0</v>
      </c>
      <c r="BM116" s="165">
        <f t="shared" ca="1" si="63"/>
        <v>0</v>
      </c>
      <c r="BN116" s="165">
        <f t="shared" ca="1" si="63"/>
        <v>0</v>
      </c>
      <c r="BO116" s="165">
        <f t="shared" ca="1" si="63"/>
        <v>0</v>
      </c>
      <c r="BP116" s="165">
        <f t="shared" ca="1" si="63"/>
        <v>0</v>
      </c>
      <c r="BQ116" s="165">
        <f t="shared" ca="1" si="63"/>
        <v>0</v>
      </c>
      <c r="BR116" s="165">
        <f t="shared" ca="1" si="63"/>
        <v>0</v>
      </c>
      <c r="BS116" s="165">
        <f t="shared" ca="1" si="63"/>
        <v>0</v>
      </c>
      <c r="BT116" s="165">
        <f t="shared" ca="1" si="63"/>
        <v>0</v>
      </c>
      <c r="BU116" s="165">
        <f t="shared" ca="1" si="63"/>
        <v>0</v>
      </c>
      <c r="BV116" s="165">
        <f t="shared" ca="1" si="63"/>
        <v>0</v>
      </c>
      <c r="BW116" s="165">
        <f t="shared" ca="1" si="63"/>
        <v>0</v>
      </c>
    </row>
    <row r="117" spans="1:75" ht="12.75" x14ac:dyDescent="0.2">
      <c r="A117" s="60" t="s">
        <v>359</v>
      </c>
      <c r="B117" s="238"/>
      <c r="C117" s="212"/>
      <c r="D117" s="226">
        <f t="shared" ref="D117:BW117" ca="1" si="64">SUM(D114:D116)</f>
        <v>0</v>
      </c>
      <c r="E117" s="226">
        <f t="shared" ca="1" si="64"/>
        <v>0</v>
      </c>
      <c r="F117" s="226">
        <f t="shared" ca="1" si="64"/>
        <v>0</v>
      </c>
      <c r="G117" s="226">
        <f t="shared" ca="1" si="64"/>
        <v>0</v>
      </c>
      <c r="H117" s="226">
        <f t="shared" ca="1" si="64"/>
        <v>0</v>
      </c>
      <c r="I117" s="226">
        <f t="shared" ca="1" si="64"/>
        <v>0</v>
      </c>
      <c r="J117" s="226">
        <f t="shared" ca="1" si="64"/>
        <v>0</v>
      </c>
      <c r="K117" s="226">
        <f t="shared" ca="1" si="64"/>
        <v>0</v>
      </c>
      <c r="L117" s="226">
        <f t="shared" ca="1" si="64"/>
        <v>0</v>
      </c>
      <c r="M117" s="226">
        <f t="shared" ca="1" si="64"/>
        <v>0</v>
      </c>
      <c r="N117" s="226">
        <f t="shared" ca="1" si="64"/>
        <v>0</v>
      </c>
      <c r="O117" s="226">
        <f t="shared" ca="1" si="64"/>
        <v>0</v>
      </c>
      <c r="P117" s="226">
        <f t="shared" ca="1" si="64"/>
        <v>0</v>
      </c>
      <c r="Q117" s="226">
        <f t="shared" ca="1" si="64"/>
        <v>0</v>
      </c>
      <c r="R117" s="226">
        <f t="shared" ca="1" si="64"/>
        <v>0</v>
      </c>
      <c r="S117" s="226">
        <f t="shared" ca="1" si="64"/>
        <v>0</v>
      </c>
      <c r="T117" s="226">
        <f t="shared" ca="1" si="64"/>
        <v>0</v>
      </c>
      <c r="U117" s="226">
        <f t="shared" ca="1" si="64"/>
        <v>0</v>
      </c>
      <c r="V117" s="226">
        <f t="shared" ca="1" si="64"/>
        <v>0</v>
      </c>
      <c r="W117" s="226">
        <f t="shared" ca="1" si="64"/>
        <v>0</v>
      </c>
      <c r="X117" s="226">
        <f t="shared" ca="1" si="64"/>
        <v>0</v>
      </c>
      <c r="Y117" s="226">
        <f t="shared" ca="1" si="64"/>
        <v>0</v>
      </c>
      <c r="Z117" s="226">
        <f t="shared" ca="1" si="64"/>
        <v>0</v>
      </c>
      <c r="AA117" s="226">
        <f t="shared" ca="1" si="64"/>
        <v>0</v>
      </c>
      <c r="AB117" s="226">
        <f t="shared" ca="1" si="64"/>
        <v>0</v>
      </c>
      <c r="AC117" s="226">
        <f t="shared" ca="1" si="64"/>
        <v>0</v>
      </c>
      <c r="AD117" s="226">
        <f t="shared" ca="1" si="64"/>
        <v>0</v>
      </c>
      <c r="AE117" s="226">
        <f t="shared" ca="1" si="64"/>
        <v>0</v>
      </c>
      <c r="AF117" s="226">
        <f t="shared" ca="1" si="64"/>
        <v>0</v>
      </c>
      <c r="AG117" s="226">
        <f t="shared" ca="1" si="64"/>
        <v>0</v>
      </c>
      <c r="AH117" s="226">
        <f t="shared" ca="1" si="64"/>
        <v>0</v>
      </c>
      <c r="AI117" s="226">
        <f t="shared" ca="1" si="64"/>
        <v>0</v>
      </c>
      <c r="AJ117" s="226">
        <f t="shared" ca="1" si="64"/>
        <v>0</v>
      </c>
      <c r="AK117" s="226">
        <f t="shared" ca="1" si="64"/>
        <v>0</v>
      </c>
      <c r="AL117" s="226">
        <f t="shared" ca="1" si="64"/>
        <v>0</v>
      </c>
      <c r="AM117" s="226">
        <f t="shared" ca="1" si="64"/>
        <v>0</v>
      </c>
      <c r="AN117" s="226">
        <f t="shared" ca="1" si="64"/>
        <v>0</v>
      </c>
      <c r="AO117" s="226">
        <f t="shared" ca="1" si="64"/>
        <v>0</v>
      </c>
      <c r="AP117" s="226">
        <f t="shared" ca="1" si="64"/>
        <v>0</v>
      </c>
      <c r="AQ117" s="226">
        <f t="shared" ca="1" si="64"/>
        <v>0</v>
      </c>
      <c r="AR117" s="226">
        <f t="shared" ca="1" si="64"/>
        <v>0</v>
      </c>
      <c r="AS117" s="226">
        <f t="shared" ca="1" si="64"/>
        <v>0</v>
      </c>
      <c r="AT117" s="226">
        <f t="shared" ca="1" si="64"/>
        <v>0</v>
      </c>
      <c r="AU117" s="226">
        <f t="shared" ca="1" si="64"/>
        <v>0</v>
      </c>
      <c r="AV117" s="226">
        <f t="shared" ca="1" si="64"/>
        <v>0</v>
      </c>
      <c r="AW117" s="226">
        <f t="shared" ca="1" si="64"/>
        <v>0</v>
      </c>
      <c r="AX117" s="226">
        <f t="shared" ca="1" si="64"/>
        <v>0</v>
      </c>
      <c r="AY117" s="226">
        <f t="shared" ca="1" si="64"/>
        <v>0</v>
      </c>
      <c r="AZ117" s="226">
        <f t="shared" ca="1" si="64"/>
        <v>0</v>
      </c>
      <c r="BA117" s="226">
        <f t="shared" ca="1" si="64"/>
        <v>0</v>
      </c>
      <c r="BB117" s="226">
        <f t="shared" ca="1" si="64"/>
        <v>0</v>
      </c>
      <c r="BC117" s="226">
        <f t="shared" ca="1" si="64"/>
        <v>0</v>
      </c>
      <c r="BD117" s="226">
        <f t="shared" ca="1" si="64"/>
        <v>0</v>
      </c>
      <c r="BE117" s="226">
        <f t="shared" ca="1" si="64"/>
        <v>0</v>
      </c>
      <c r="BF117" s="226">
        <f t="shared" ca="1" si="64"/>
        <v>0</v>
      </c>
      <c r="BG117" s="226">
        <f t="shared" ca="1" si="64"/>
        <v>0</v>
      </c>
      <c r="BH117" s="226">
        <f t="shared" ca="1" si="64"/>
        <v>0</v>
      </c>
      <c r="BI117" s="226">
        <f t="shared" ca="1" si="64"/>
        <v>0</v>
      </c>
      <c r="BJ117" s="226">
        <f t="shared" ca="1" si="64"/>
        <v>0</v>
      </c>
      <c r="BK117" s="226">
        <f t="shared" ca="1" si="64"/>
        <v>0</v>
      </c>
      <c r="BL117" s="226">
        <f t="shared" ca="1" si="64"/>
        <v>0</v>
      </c>
      <c r="BM117" s="226">
        <f t="shared" ca="1" si="64"/>
        <v>0</v>
      </c>
      <c r="BN117" s="226">
        <f t="shared" ca="1" si="64"/>
        <v>0</v>
      </c>
      <c r="BO117" s="226">
        <f t="shared" ca="1" si="64"/>
        <v>0</v>
      </c>
      <c r="BP117" s="226">
        <f t="shared" ca="1" si="64"/>
        <v>0</v>
      </c>
      <c r="BQ117" s="226">
        <f t="shared" ca="1" si="64"/>
        <v>0</v>
      </c>
      <c r="BR117" s="226">
        <f t="shared" ca="1" si="64"/>
        <v>0</v>
      </c>
      <c r="BS117" s="226">
        <f t="shared" ca="1" si="64"/>
        <v>0</v>
      </c>
      <c r="BT117" s="226">
        <f t="shared" ca="1" si="64"/>
        <v>0</v>
      </c>
      <c r="BU117" s="226">
        <f t="shared" ca="1" si="64"/>
        <v>0</v>
      </c>
      <c r="BV117" s="226">
        <f t="shared" ca="1" si="64"/>
        <v>0</v>
      </c>
      <c r="BW117" s="226">
        <f t="shared" ca="1" si="64"/>
        <v>0</v>
      </c>
    </row>
    <row r="118" spans="1:75" ht="12.75" x14ac:dyDescent="0.2">
      <c r="A118" s="69" t="s">
        <v>244</v>
      </c>
      <c r="B118" s="221"/>
      <c r="D118" s="115">
        <f t="array" aca="1" ref="D118" ca="1">INDEX(INDIRECT("BS_"&amp;TEXT(D$1,"mmm")&amp;"_"&amp;TEXT(D$1,"yyyy")),MATCH(TRIM($A117),BS_Accounts,0))-D117</f>
        <v>0</v>
      </c>
      <c r="E118" s="115">
        <f t="array" aca="1" ref="E118" ca="1">INDEX(INDIRECT("BS_"&amp;TEXT(E$1,"mmm")&amp;"_"&amp;TEXT(E$1,"yyyy")),MATCH(TRIM($A117),BS_Accounts,0))-E117</f>
        <v>0</v>
      </c>
      <c r="F118" s="115">
        <f t="array" aca="1" ref="F118" ca="1">INDEX(INDIRECT("BS_"&amp;TEXT(F$1,"mmm")&amp;"_"&amp;TEXT(F$1,"yyyy")),MATCH(TRIM($A117),BS_Accounts,0))-F117</f>
        <v>0</v>
      </c>
      <c r="G118" s="115">
        <f t="array" aca="1" ref="G118" ca="1">INDEX(INDIRECT("BS_"&amp;TEXT(G$1,"mmm")&amp;"_"&amp;TEXT(G$1,"yyyy")),MATCH(TRIM($A117),BS_Accounts,0))-G117</f>
        <v>0</v>
      </c>
      <c r="H118" s="115">
        <f t="array" aca="1" ref="H118" ca="1">INDEX(INDIRECT("BS_"&amp;TEXT(H$1,"mmm")&amp;"_"&amp;TEXT(H$1,"yyyy")),MATCH(TRIM($A117),BS_Accounts,0))-H117</f>
        <v>0</v>
      </c>
      <c r="I118" s="115">
        <f t="array" aca="1" ref="I118" ca="1">INDEX(INDIRECT("BS_"&amp;TEXT(I$1,"mmm")&amp;"_"&amp;TEXT(I$1,"yyyy")),MATCH(TRIM($A117),BS_Accounts,0))-I117</f>
        <v>0</v>
      </c>
      <c r="J118" s="115">
        <f t="array" aca="1" ref="J118" ca="1">INDEX(INDIRECT("BS_"&amp;TEXT(J$1,"mmm")&amp;"_"&amp;TEXT(J$1,"yyyy")),MATCH(TRIM($A117),BS_Accounts,0))-J117</f>
        <v>0</v>
      </c>
      <c r="K118" s="115">
        <f t="array" aca="1" ref="K118" ca="1">INDEX(INDIRECT("BS_"&amp;TEXT(K$1,"mmm")&amp;"_"&amp;TEXT(K$1,"yyyy")),MATCH(TRIM($A117),BS_Accounts,0))-K117</f>
        <v>0</v>
      </c>
      <c r="L118" s="115">
        <f t="array" aca="1" ref="L118" ca="1">INDEX(INDIRECT("BS_"&amp;TEXT(L$1,"mmm")&amp;"_"&amp;TEXT(L$1,"yyyy")),MATCH(TRIM($A117),BS_Accounts,0))-L117</f>
        <v>0</v>
      </c>
      <c r="M118" s="115">
        <f t="array" aca="1" ref="M118" ca="1">INDEX(INDIRECT("BS_"&amp;TEXT(M$1,"mmm")&amp;"_"&amp;TEXT(M$1,"yyyy")),MATCH(TRIM($A117),BS_Accounts,0))-M117</f>
        <v>0</v>
      </c>
      <c r="N118" s="115">
        <f t="array" aca="1" ref="N118" ca="1">INDEX(INDIRECT("BS_"&amp;TEXT(N$1,"mmm")&amp;"_"&amp;TEXT(N$1,"yyyy")),MATCH(TRIM($A117),BS_Accounts,0))-N117</f>
        <v>0</v>
      </c>
      <c r="O118" s="115">
        <f t="array" aca="1" ref="O118" ca="1">INDEX(INDIRECT("BS_"&amp;TEXT(O$1,"mmm")&amp;"_"&amp;TEXT(O$1,"yyyy")),MATCH(TRIM($A117),BS_Accounts,0))-O117</f>
        <v>0</v>
      </c>
      <c r="P118" s="115">
        <f t="array" aca="1" ref="P118" ca="1">INDEX(INDIRECT("BS_"&amp;TEXT(P$1,"mmm")&amp;"_"&amp;TEXT(P$1,"yyyy")),MATCH(TRIM($A117),BS_Accounts,0))-P117</f>
        <v>0</v>
      </c>
      <c r="Q118" s="115">
        <f t="array" aca="1" ref="Q118" ca="1">INDEX(INDIRECT("BS_"&amp;TEXT(Q$1,"mmm")&amp;"_"&amp;TEXT(Q$1,"yyyy")),MATCH(TRIM($A117),BS_Accounts,0))-Q117</f>
        <v>0</v>
      </c>
      <c r="R118" s="115">
        <f t="array" aca="1" ref="R118" ca="1">INDEX(INDIRECT("BS_"&amp;TEXT(R$1,"mmm")&amp;"_"&amp;TEXT(R$1,"yyyy")),MATCH(TRIM($A117),BS_Accounts,0))-R117</f>
        <v>0</v>
      </c>
      <c r="S118" s="115">
        <f t="array" aca="1" ref="S118" ca="1">INDEX(INDIRECT("BS_"&amp;TEXT(S$1,"mmm")&amp;"_"&amp;TEXT(S$1,"yyyy")),MATCH(TRIM($A117),BS_Accounts,0))-S117</f>
        <v>0</v>
      </c>
      <c r="T118" s="115">
        <f t="array" aca="1" ref="T118" ca="1">INDEX(INDIRECT("BS_"&amp;TEXT(T$1,"mmm")&amp;"_"&amp;TEXT(T$1,"yyyy")),MATCH(TRIM($A117),BS_Accounts,0))-T117</f>
        <v>0</v>
      </c>
      <c r="U118" s="115">
        <f t="array" aca="1" ref="U118" ca="1">INDEX(INDIRECT("BS_"&amp;TEXT(U$1,"mmm")&amp;"_"&amp;TEXT(U$1,"yyyy")),MATCH(TRIM($A117),BS_Accounts,0))-U117</f>
        <v>0</v>
      </c>
      <c r="V118" s="115">
        <f t="array" aca="1" ref="V118" ca="1">INDEX(INDIRECT("BS_"&amp;TEXT(V$1,"mmm")&amp;"_"&amp;TEXT(V$1,"yyyy")),MATCH(TRIM($A117),BS_Accounts,0))-V117</f>
        <v>0</v>
      </c>
      <c r="W118" s="115">
        <f t="array" aca="1" ref="W118" ca="1">INDEX(INDIRECT("BS_"&amp;TEXT(W$1,"mmm")&amp;"_"&amp;TEXT(W$1,"yyyy")),MATCH(TRIM($A117),BS_Accounts,0))-W117</f>
        <v>0</v>
      </c>
      <c r="X118" s="115">
        <f t="array" aca="1" ref="X118" ca="1">INDEX(INDIRECT("BS_"&amp;TEXT(X$1,"mmm")&amp;"_"&amp;TEXT(X$1,"yyyy")),MATCH(TRIM($A117),BS_Accounts,0))-X117</f>
        <v>0</v>
      </c>
      <c r="Y118" s="115">
        <f t="array" aca="1" ref="Y118" ca="1">INDEX(INDIRECT("BS_"&amp;TEXT(Y$1,"mmm")&amp;"_"&amp;TEXT(Y$1,"yyyy")),MATCH(TRIM($A117),BS_Accounts,0))-Y117</f>
        <v>0</v>
      </c>
      <c r="Z118" s="115">
        <f t="array" aca="1" ref="Z118" ca="1">INDEX(INDIRECT("BS_"&amp;TEXT(Z$1,"mmm")&amp;"_"&amp;TEXT(Z$1,"yyyy")),MATCH(TRIM($A117),BS_Accounts,0))-Z117</f>
        <v>0</v>
      </c>
      <c r="AA118" s="115">
        <f t="array" aca="1" ref="AA118" ca="1">INDEX(INDIRECT("BS_"&amp;TEXT(AA$1,"mmm")&amp;"_"&amp;TEXT(AA$1,"yyyy")),MATCH(TRIM($A117),BS_Accounts,0))-AA117</f>
        <v>0</v>
      </c>
      <c r="AB118" s="115">
        <f t="array" aca="1" ref="AB118" ca="1">INDEX(INDIRECT("BS_"&amp;TEXT(AB$1,"mmm")&amp;"_"&amp;TEXT(AB$1,"yyyy")),MATCH(TRIM($A117),BS_Accounts,0))-AB117</f>
        <v>0</v>
      </c>
      <c r="AC118" s="115">
        <f t="array" aca="1" ref="AC118" ca="1">INDEX(INDIRECT("BS_"&amp;TEXT(AC$1,"mmm")&amp;"_"&amp;TEXT(AC$1,"yyyy")),MATCH(TRIM($A117),BS_Accounts,0))-AC117</f>
        <v>0</v>
      </c>
      <c r="AD118" s="115">
        <f t="array" aca="1" ref="AD118" ca="1">INDEX(INDIRECT("BS_"&amp;TEXT(AD$1,"mmm")&amp;"_"&amp;TEXT(AD$1,"yyyy")),MATCH(TRIM($A117),BS_Accounts,0))-AD117</f>
        <v>0</v>
      </c>
      <c r="AE118" s="115">
        <f t="array" aca="1" ref="AE118" ca="1">INDEX(INDIRECT("BS_"&amp;TEXT(AE$1,"mmm")&amp;"_"&amp;TEXT(AE$1,"yyyy")),MATCH(TRIM($A117),BS_Accounts,0))-AE117</f>
        <v>0</v>
      </c>
    </row>
    <row r="119" spans="1:75" ht="12.75" x14ac:dyDescent="0.2">
      <c r="A119" s="60" t="s">
        <v>360</v>
      </c>
      <c r="B119" s="238"/>
      <c r="C119" s="212"/>
      <c r="D119" s="213">
        <f t="shared" ref="D119:BW119" ca="1" si="65">SUM(D117,D111,D106)</f>
        <v>960680</v>
      </c>
      <c r="E119" s="213">
        <f t="shared" ca="1" si="65"/>
        <v>970330</v>
      </c>
      <c r="F119" s="213">
        <f t="shared" ca="1" si="65"/>
        <v>867374</v>
      </c>
      <c r="G119" s="213">
        <f t="shared" ca="1" si="65"/>
        <v>772779</v>
      </c>
      <c r="H119" s="213">
        <f t="shared" ca="1" si="65"/>
        <v>690714</v>
      </c>
      <c r="I119" s="213">
        <f t="shared" ca="1" si="65"/>
        <v>612582</v>
      </c>
      <c r="J119" s="213">
        <f t="shared" ca="1" si="65"/>
        <v>518537</v>
      </c>
      <c r="K119" s="213">
        <f t="shared" ca="1" si="65"/>
        <v>428771</v>
      </c>
      <c r="L119" s="213">
        <f t="shared" ca="1" si="65"/>
        <v>314326</v>
      </c>
      <c r="M119" s="213">
        <f t="shared" ca="1" si="65"/>
        <v>782445</v>
      </c>
      <c r="N119" s="213">
        <f t="shared" ca="1" si="65"/>
        <v>641848</v>
      </c>
      <c r="O119" s="213">
        <f t="shared" ca="1" si="65"/>
        <v>464654</v>
      </c>
      <c r="P119" s="213">
        <f t="shared" ca="1" si="65"/>
        <v>787530</v>
      </c>
      <c r="Q119" s="213">
        <f t="shared" ca="1" si="65"/>
        <v>597955</v>
      </c>
      <c r="R119" s="213">
        <f t="shared" ca="1" si="65"/>
        <v>413824</v>
      </c>
      <c r="S119" s="213">
        <f t="shared" ca="1" si="65"/>
        <v>284883</v>
      </c>
      <c r="T119" s="213">
        <f t="shared" ca="1" si="65"/>
        <v>433129</v>
      </c>
      <c r="U119" s="213">
        <f t="shared" ca="1" si="65"/>
        <v>310846</v>
      </c>
      <c r="V119" s="213">
        <f t="shared" ca="1" si="65"/>
        <v>208372</v>
      </c>
      <c r="W119" s="213">
        <f t="shared" ca="1" si="65"/>
        <v>125877</v>
      </c>
      <c r="X119" s="213">
        <f t="shared" ca="1" si="65"/>
        <v>65839</v>
      </c>
      <c r="Y119" s="213">
        <f t="shared" ca="1" si="65"/>
        <v>338519</v>
      </c>
      <c r="Z119" s="213">
        <f t="shared" ca="1" si="65"/>
        <v>319614</v>
      </c>
      <c r="AA119" s="213">
        <f t="shared" ca="1" si="65"/>
        <v>295403</v>
      </c>
      <c r="AB119" s="213">
        <f t="shared" ca="1" si="65"/>
        <v>281579</v>
      </c>
      <c r="AC119" s="213">
        <f t="shared" ca="1" si="65"/>
        <v>255410</v>
      </c>
      <c r="AD119" s="213">
        <f t="shared" ca="1" si="65"/>
        <v>263817.19</v>
      </c>
      <c r="AE119" s="213">
        <f t="shared" ca="1" si="65"/>
        <v>263700.19</v>
      </c>
      <c r="AF119" s="213">
        <f t="shared" ca="1" si="65"/>
        <v>317048.35633717262</v>
      </c>
      <c r="AG119" s="213">
        <f t="shared" ca="1" si="65"/>
        <v>352414.21079080336</v>
      </c>
      <c r="AH119" s="213">
        <f t="shared" ca="1" si="65"/>
        <v>379124.88647002744</v>
      </c>
      <c r="AI119" s="213">
        <f t="shared" ca="1" si="65"/>
        <v>394045.3059303115</v>
      </c>
      <c r="AJ119" s="213">
        <f t="shared" ca="1" si="65"/>
        <v>407708.45128690923</v>
      </c>
      <c r="AK119" s="213">
        <f t="shared" ca="1" si="65"/>
        <v>359158.72149204399</v>
      </c>
      <c r="AL119" s="213">
        <f t="shared" ca="1" si="65"/>
        <v>310355.16776587971</v>
      </c>
      <c r="AM119" s="213">
        <f t="shared" ca="1" si="65"/>
        <v>222023.17367604031</v>
      </c>
      <c r="AN119" s="213">
        <f t="shared" ca="1" si="65"/>
        <v>117228.62385039876</v>
      </c>
      <c r="AO119" s="213">
        <f t="shared" ca="1" si="65"/>
        <v>-25746.028938486299</v>
      </c>
      <c r="AP119" s="213">
        <f t="shared" ca="1" si="65"/>
        <v>-167370.0471057251</v>
      </c>
      <c r="AQ119" s="213">
        <f t="shared" ca="1" si="65"/>
        <v>-355305.22062393388</v>
      </c>
      <c r="AR119" s="213">
        <f t="shared" ca="1" si="65"/>
        <v>-539999.39225425222</v>
      </c>
      <c r="AS119" s="213">
        <f t="shared" ca="1" si="65"/>
        <v>-721585.71976815362</v>
      </c>
      <c r="AT119" s="213">
        <f t="shared" ca="1" si="65"/>
        <v>-916769.22141729202</v>
      </c>
      <c r="AU119" s="213">
        <f t="shared" ca="1" si="65"/>
        <v>-1108046.6186260418</v>
      </c>
      <c r="AV119" s="213">
        <f t="shared" ca="1" si="65"/>
        <v>-1294492.6258020056</v>
      </c>
      <c r="AW119" s="213">
        <f t="shared" ca="1" si="65"/>
        <v>-1491225.2227880587</v>
      </c>
      <c r="AX119" s="213">
        <f t="shared" ca="1" si="65"/>
        <v>-1682354.491992631</v>
      </c>
      <c r="AY119" s="213">
        <f t="shared" ca="1" si="65"/>
        <v>-1866966.8576771556</v>
      </c>
      <c r="AZ119" s="213">
        <f t="shared" ca="1" si="65"/>
        <v>-2030498.7166991499</v>
      </c>
      <c r="BA119" s="213">
        <f t="shared" ca="1" si="65"/>
        <v>-2176155.3436418138</v>
      </c>
      <c r="BB119" s="213">
        <f t="shared" ca="1" si="65"/>
        <v>-2301539.7974803662</v>
      </c>
      <c r="BC119" s="213">
        <f t="shared" ca="1" si="65"/>
        <v>-2419759.4198081135</v>
      </c>
      <c r="BD119" s="213">
        <f t="shared" ca="1" si="65"/>
        <v>-2511318.8212149488</v>
      </c>
      <c r="BE119" s="213">
        <f t="shared" ca="1" si="65"/>
        <v>-2578921.2453437233</v>
      </c>
      <c r="BF119" s="213">
        <f t="shared" ca="1" si="65"/>
        <v>-2636986.6069779512</v>
      </c>
      <c r="BG119" s="213">
        <f t="shared" ca="1" si="65"/>
        <v>-2668062.5092752082</v>
      </c>
      <c r="BH119" s="213">
        <f t="shared" ca="1" si="65"/>
        <v>-2671128.9297750155</v>
      </c>
      <c r="BI119" s="213">
        <f t="shared" ca="1" si="65"/>
        <v>-2661839.1699414281</v>
      </c>
      <c r="BJ119" s="213">
        <f t="shared" ca="1" si="65"/>
        <v>-2622964.1646838174</v>
      </c>
      <c r="BK119" s="213">
        <f t="shared" ca="1" si="65"/>
        <v>-2553422.6395598594</v>
      </c>
      <c r="BL119" s="213">
        <f t="shared" ca="1" si="65"/>
        <v>-2468256.9478297289</v>
      </c>
      <c r="BM119" s="213">
        <f t="shared" ca="1" si="65"/>
        <v>-2350439.8981606294</v>
      </c>
      <c r="BN119" s="213">
        <f t="shared" ca="1" si="65"/>
        <v>-2198822.5765929893</v>
      </c>
      <c r="BO119" s="213">
        <f t="shared" ca="1" si="65"/>
        <v>-2028303.6039043043</v>
      </c>
      <c r="BP119" s="212" t="e">
        <f t="shared" ca="1" si="65"/>
        <v>#N/A</v>
      </c>
      <c r="BQ119" s="212" t="e">
        <f t="shared" ca="1" si="65"/>
        <v>#N/A</v>
      </c>
      <c r="BR119" s="212" t="e">
        <f t="shared" ca="1" si="65"/>
        <v>#N/A</v>
      </c>
      <c r="BS119" s="212" t="e">
        <f t="shared" ca="1" si="65"/>
        <v>#N/A</v>
      </c>
      <c r="BT119" s="212" t="e">
        <f t="shared" ca="1" si="65"/>
        <v>#N/A</v>
      </c>
      <c r="BU119" s="212" t="e">
        <f t="shared" ca="1" si="65"/>
        <v>#N/A</v>
      </c>
      <c r="BV119" s="212" t="e">
        <f t="shared" ca="1" si="65"/>
        <v>#N/A</v>
      </c>
      <c r="BW119" s="212" t="e">
        <f t="shared" ca="1" si="65"/>
        <v>#N/A</v>
      </c>
    </row>
    <row r="120" spans="1:75" ht="12.75" x14ac:dyDescent="0.2">
      <c r="A120" s="69" t="s">
        <v>244</v>
      </c>
      <c r="B120" s="221"/>
      <c r="D120" s="115">
        <f t="array" aca="1" ref="D120" ca="1">INDEX(INDIRECT("BS_"&amp;TEXT(D$1,"mmm")&amp;"_"&amp;TEXT(D$1,"yyyy")),MATCH(TRIM($A119),BS_Accounts,0))-D119</f>
        <v>0</v>
      </c>
      <c r="E120" s="115">
        <f t="array" aca="1" ref="E120" ca="1">INDEX(INDIRECT("BS_"&amp;TEXT(E$1,"mmm")&amp;"_"&amp;TEXT(E$1,"yyyy")),MATCH(TRIM($A119),BS_Accounts,0))-E119</f>
        <v>0</v>
      </c>
      <c r="F120" s="115">
        <f t="array" aca="1" ref="F120" ca="1">INDEX(INDIRECT("BS_"&amp;TEXT(F$1,"mmm")&amp;"_"&amp;TEXT(F$1,"yyyy")),MATCH(TRIM($A119),BS_Accounts,0))-F119</f>
        <v>0</v>
      </c>
      <c r="G120" s="115">
        <f t="array" aca="1" ref="G120" ca="1">INDEX(INDIRECT("BS_"&amp;TEXT(G$1,"mmm")&amp;"_"&amp;TEXT(G$1,"yyyy")),MATCH(TRIM($A119),BS_Accounts,0))-G119</f>
        <v>0</v>
      </c>
      <c r="H120" s="115">
        <f t="array" aca="1" ref="H120" ca="1">INDEX(INDIRECT("BS_"&amp;TEXT(H$1,"mmm")&amp;"_"&amp;TEXT(H$1,"yyyy")),MATCH(TRIM($A119),BS_Accounts,0))-H119</f>
        <v>0</v>
      </c>
      <c r="I120" s="115">
        <f t="array" aca="1" ref="I120" ca="1">INDEX(INDIRECT("BS_"&amp;TEXT(I$1,"mmm")&amp;"_"&amp;TEXT(I$1,"yyyy")),MATCH(TRIM($A119),BS_Accounts,0))-I119</f>
        <v>0</v>
      </c>
      <c r="J120" s="115">
        <f t="array" aca="1" ref="J120" ca="1">INDEX(INDIRECT("BS_"&amp;TEXT(J$1,"mmm")&amp;"_"&amp;TEXT(J$1,"yyyy")),MATCH(TRIM($A119),BS_Accounts,0))-J119</f>
        <v>0</v>
      </c>
      <c r="K120" s="115">
        <f t="array" aca="1" ref="K120" ca="1">INDEX(INDIRECT("BS_"&amp;TEXT(K$1,"mmm")&amp;"_"&amp;TEXT(K$1,"yyyy")),MATCH(TRIM($A119),BS_Accounts,0))-K119</f>
        <v>0</v>
      </c>
      <c r="L120" s="115">
        <f t="array" aca="1" ref="L120" ca="1">INDEX(INDIRECT("BS_"&amp;TEXT(L$1,"mmm")&amp;"_"&amp;TEXT(L$1,"yyyy")),MATCH(TRIM($A119),BS_Accounts,0))-L119</f>
        <v>0</v>
      </c>
      <c r="M120" s="115">
        <f t="array" aca="1" ref="M120" ca="1">INDEX(INDIRECT("BS_"&amp;TEXT(M$1,"mmm")&amp;"_"&amp;TEXT(M$1,"yyyy")),MATCH(TRIM($A119),BS_Accounts,0))-M119</f>
        <v>0</v>
      </c>
      <c r="N120" s="115">
        <f t="array" aca="1" ref="N120" ca="1">INDEX(INDIRECT("BS_"&amp;TEXT(N$1,"mmm")&amp;"_"&amp;TEXT(N$1,"yyyy")),MATCH(TRIM($A119),BS_Accounts,0))-N119</f>
        <v>0</v>
      </c>
      <c r="O120" s="115">
        <f t="array" aca="1" ref="O120" ca="1">INDEX(INDIRECT("BS_"&amp;TEXT(O$1,"mmm")&amp;"_"&amp;TEXT(O$1,"yyyy")),MATCH(TRIM($A119),BS_Accounts,0))-O119</f>
        <v>0</v>
      </c>
      <c r="P120" s="115">
        <f t="array" aca="1" ref="P120" ca="1">INDEX(INDIRECT("BS_"&amp;TEXT(P$1,"mmm")&amp;"_"&amp;TEXT(P$1,"yyyy")),MATCH(TRIM($A119),BS_Accounts,0))-P119</f>
        <v>0</v>
      </c>
      <c r="Q120" s="115">
        <f t="array" aca="1" ref="Q120" ca="1">INDEX(INDIRECT("BS_"&amp;TEXT(Q$1,"mmm")&amp;"_"&amp;TEXT(Q$1,"yyyy")),MATCH(TRIM($A119),BS_Accounts,0))-Q119</f>
        <v>0</v>
      </c>
      <c r="R120" s="115">
        <f t="array" aca="1" ref="R120" ca="1">INDEX(INDIRECT("BS_"&amp;TEXT(R$1,"mmm")&amp;"_"&amp;TEXT(R$1,"yyyy")),MATCH(TRIM($A119),BS_Accounts,0))-R119</f>
        <v>0</v>
      </c>
      <c r="S120" s="115">
        <f t="array" aca="1" ref="S120" ca="1">INDEX(INDIRECT("BS_"&amp;TEXT(S$1,"mmm")&amp;"_"&amp;TEXT(S$1,"yyyy")),MATCH(TRIM($A119),BS_Accounts,0))-S119</f>
        <v>0</v>
      </c>
      <c r="T120" s="115">
        <f t="array" aca="1" ref="T120" ca="1">INDEX(INDIRECT("BS_"&amp;TEXT(T$1,"mmm")&amp;"_"&amp;TEXT(T$1,"yyyy")),MATCH(TRIM($A119),BS_Accounts,0))-T119</f>
        <v>0</v>
      </c>
      <c r="U120" s="115">
        <f t="array" aca="1" ref="U120" ca="1">INDEX(INDIRECT("BS_"&amp;TEXT(U$1,"mmm")&amp;"_"&amp;TEXT(U$1,"yyyy")),MATCH(TRIM($A119),BS_Accounts,0))-U119</f>
        <v>0</v>
      </c>
      <c r="V120" s="115">
        <f t="array" aca="1" ref="V120" ca="1">INDEX(INDIRECT("BS_"&amp;TEXT(V$1,"mmm")&amp;"_"&amp;TEXT(V$1,"yyyy")),MATCH(TRIM($A119),BS_Accounts,0))-V119</f>
        <v>0</v>
      </c>
      <c r="W120" s="115">
        <f t="array" aca="1" ref="W120" ca="1">INDEX(INDIRECT("BS_"&amp;TEXT(W$1,"mmm")&amp;"_"&amp;TEXT(W$1,"yyyy")),MATCH(TRIM($A119),BS_Accounts,0))-W119</f>
        <v>0</v>
      </c>
      <c r="X120" s="115">
        <f t="array" aca="1" ref="X120" ca="1">INDEX(INDIRECT("BS_"&amp;TEXT(X$1,"mmm")&amp;"_"&amp;TEXT(X$1,"yyyy")),MATCH(TRIM($A119),BS_Accounts,0))-X119</f>
        <v>0</v>
      </c>
      <c r="Y120" s="115">
        <f t="array" aca="1" ref="Y120" ca="1">INDEX(INDIRECT("BS_"&amp;TEXT(Y$1,"mmm")&amp;"_"&amp;TEXT(Y$1,"yyyy")),MATCH(TRIM($A119),BS_Accounts,0))-Y119</f>
        <v>0</v>
      </c>
      <c r="Z120" s="115">
        <f t="array" aca="1" ref="Z120" ca="1">INDEX(INDIRECT("BS_"&amp;TEXT(Z$1,"mmm")&amp;"_"&amp;TEXT(Z$1,"yyyy")),MATCH(TRIM($A119),BS_Accounts,0))-Z119</f>
        <v>0</v>
      </c>
      <c r="AA120" s="115">
        <f t="array" aca="1" ref="AA120" ca="1">INDEX(INDIRECT("BS_"&amp;TEXT(AA$1,"mmm")&amp;"_"&amp;TEXT(AA$1,"yyyy")),MATCH(TRIM($A119),BS_Accounts,0))-AA119</f>
        <v>0</v>
      </c>
      <c r="AB120" s="115">
        <f t="array" aca="1" ref="AB120" ca="1">INDEX(INDIRECT("BS_"&amp;TEXT(AB$1,"mmm")&amp;"_"&amp;TEXT(AB$1,"yyyy")),MATCH(TRIM($A119),BS_Accounts,0))-AB119</f>
        <v>0</v>
      </c>
      <c r="AC120" s="115">
        <f t="array" aca="1" ref="AC120" ca="1">INDEX(INDIRECT("BS_"&amp;TEXT(AC$1,"mmm")&amp;"_"&amp;TEXT(AC$1,"yyyy")),MATCH(TRIM($A119),BS_Accounts,0))-AC119</f>
        <v>0</v>
      </c>
      <c r="AD120" s="115">
        <f t="array" aca="1" ref="AD120" ca="1">INDEX(INDIRECT("BS_"&amp;TEXT(AD$1,"mmm")&amp;"_"&amp;TEXT(AD$1,"yyyy")),MATCH(TRIM($A119),BS_Accounts,0))-AD119</f>
        <v>0</v>
      </c>
      <c r="AE120" s="115">
        <f t="array" aca="1" ref="AE120" ca="1">INDEX(INDIRECT("BS_"&amp;TEXT(AE$1,"mmm")&amp;"_"&amp;TEXT(AE$1,"yyyy")),MATCH(TRIM($A119),BS_Accounts,0))-AE119</f>
        <v>0</v>
      </c>
    </row>
    <row r="121" spans="1:75" ht="12.75" x14ac:dyDescent="0.2">
      <c r="A121" s="23" t="s">
        <v>361</v>
      </c>
      <c r="B121" s="221"/>
    </row>
    <row r="122" spans="1:75" ht="12.75" x14ac:dyDescent="0.2">
      <c r="A122" s="23" t="s">
        <v>362</v>
      </c>
      <c r="B122" s="221"/>
    </row>
    <row r="123" spans="1:75" ht="12.75" x14ac:dyDescent="0.2">
      <c r="A123" s="23" t="s">
        <v>363</v>
      </c>
      <c r="B123" s="221"/>
      <c r="D123" s="115">
        <f t="array" aca="1" ref="D123" ca="1">INDEX(INDIRECT("BS_"&amp;TEXT(D$1,"mmm")&amp;"_"&amp;TEXT(D$1,"yyyy")),MATCH(TRIM($A123),BS_Accounts,0))</f>
        <v>0</v>
      </c>
      <c r="E123" s="115">
        <f t="array" aca="1" ref="E123" ca="1">INDEX(INDIRECT("BS_"&amp;TEXT(E$1,"mmm")&amp;"_"&amp;TEXT(E$1,"yyyy")),MATCH(TRIM($A123),BS_Accounts,0))</f>
        <v>0</v>
      </c>
      <c r="F123" s="115">
        <f t="array" aca="1" ref="F123" ca="1">INDEX(INDIRECT("BS_"&amp;TEXT(F$1,"mmm")&amp;"_"&amp;TEXT(F$1,"yyyy")),MATCH(TRIM($A123),BS_Accounts,0))</f>
        <v>0</v>
      </c>
      <c r="G123" s="115">
        <f t="array" aca="1" ref="G123" ca="1">INDEX(INDIRECT("BS_"&amp;TEXT(G$1,"mmm")&amp;"_"&amp;TEXT(G$1,"yyyy")),MATCH(TRIM($A123),BS_Accounts,0))</f>
        <v>0</v>
      </c>
      <c r="H123" s="115">
        <f t="array" aca="1" ref="H123" ca="1">INDEX(INDIRECT("BS_"&amp;TEXT(H$1,"mmm")&amp;"_"&amp;TEXT(H$1,"yyyy")),MATCH(TRIM($A123),BS_Accounts,0))</f>
        <v>0</v>
      </c>
      <c r="I123" s="115">
        <f t="array" aca="1" ref="I123" ca="1">INDEX(INDIRECT("BS_"&amp;TEXT(I$1,"mmm")&amp;"_"&amp;TEXT(I$1,"yyyy")),MATCH(TRIM($A123),BS_Accounts,0))</f>
        <v>0</v>
      </c>
      <c r="J123" s="115">
        <f t="array" aca="1" ref="J123" ca="1">INDEX(INDIRECT("BS_"&amp;TEXT(J$1,"mmm")&amp;"_"&amp;TEXT(J$1,"yyyy")),MATCH(TRIM($A123),BS_Accounts,0))</f>
        <v>0</v>
      </c>
      <c r="K123" s="115">
        <f t="array" aca="1" ref="K123" ca="1">INDEX(INDIRECT("BS_"&amp;TEXT(K$1,"mmm")&amp;"_"&amp;TEXT(K$1,"yyyy")),MATCH(TRIM($A123),BS_Accounts,0))</f>
        <v>0</v>
      </c>
      <c r="L123" s="115">
        <f t="array" aca="1" ref="L123" ca="1">INDEX(INDIRECT("BS_"&amp;TEXT(L$1,"mmm")&amp;"_"&amp;TEXT(L$1,"yyyy")),MATCH(TRIM($A123),BS_Accounts,0))</f>
        <v>0</v>
      </c>
      <c r="M123" s="115">
        <f t="array" aca="1" ref="M123" ca="1">INDEX(INDIRECT("BS_"&amp;TEXT(M$1,"mmm")&amp;"_"&amp;TEXT(M$1,"yyyy")),MATCH(TRIM($A123),BS_Accounts,0))</f>
        <v>0</v>
      </c>
      <c r="N123" s="115">
        <f t="array" aca="1" ref="N123" ca="1">INDEX(INDIRECT("BS_"&amp;TEXT(N$1,"mmm")&amp;"_"&amp;TEXT(N$1,"yyyy")),MATCH(TRIM($A123),BS_Accounts,0))</f>
        <v>0</v>
      </c>
      <c r="O123" s="115">
        <f t="array" aca="1" ref="O123" ca="1">INDEX(INDIRECT("BS_"&amp;TEXT(O$1,"mmm")&amp;"_"&amp;TEXT(O$1,"yyyy")),MATCH(TRIM($A123),BS_Accounts,0))</f>
        <v>0</v>
      </c>
      <c r="P123" s="115">
        <f t="array" aca="1" ref="P123" ca="1">INDEX(INDIRECT("BS_"&amp;TEXT(P$1,"mmm")&amp;"_"&amp;TEXT(P$1,"yyyy")),MATCH(TRIM($A123),BS_Accounts,0))</f>
        <v>0</v>
      </c>
      <c r="Q123" s="115">
        <f t="array" aca="1" ref="Q123" ca="1">INDEX(INDIRECT("BS_"&amp;TEXT(Q$1,"mmm")&amp;"_"&amp;TEXT(Q$1,"yyyy")),MATCH(TRIM($A123),BS_Accounts,0))</f>
        <v>0</v>
      </c>
      <c r="R123" s="115">
        <f t="array" aca="1" ref="R123" ca="1">INDEX(INDIRECT("BS_"&amp;TEXT(R$1,"mmm")&amp;"_"&amp;TEXT(R$1,"yyyy")),MATCH(TRIM($A123),BS_Accounts,0))</f>
        <v>0</v>
      </c>
      <c r="S123" s="115">
        <f t="array" aca="1" ref="S123" ca="1">INDEX(INDIRECT("BS_"&amp;TEXT(S$1,"mmm")&amp;"_"&amp;TEXT(S$1,"yyyy")),MATCH(TRIM($A123),BS_Accounts,0))</f>
        <v>0</v>
      </c>
      <c r="T123" s="115">
        <f t="array" aca="1" ref="T123" ca="1">INDEX(INDIRECT("BS_"&amp;TEXT(T$1,"mmm")&amp;"_"&amp;TEXT(T$1,"yyyy")),MATCH(TRIM($A123),BS_Accounts,0))</f>
        <v>0</v>
      </c>
      <c r="U123" s="115">
        <f t="array" aca="1" ref="U123" ca="1">INDEX(INDIRECT("BS_"&amp;TEXT(U$1,"mmm")&amp;"_"&amp;TEXT(U$1,"yyyy")),MATCH(TRIM($A123),BS_Accounts,0))</f>
        <v>0</v>
      </c>
      <c r="V123" s="115">
        <f t="array" aca="1" ref="V123" ca="1">INDEX(INDIRECT("BS_"&amp;TEXT(V$1,"mmm")&amp;"_"&amp;TEXT(V$1,"yyyy")),MATCH(TRIM($A123),BS_Accounts,0))</f>
        <v>0</v>
      </c>
      <c r="W123" s="115">
        <f t="array" aca="1" ref="W123" ca="1">INDEX(INDIRECT("BS_"&amp;TEXT(W$1,"mmm")&amp;"_"&amp;TEXT(W$1,"yyyy")),MATCH(TRIM($A123),BS_Accounts,0))</f>
        <v>0</v>
      </c>
      <c r="X123" s="115">
        <f t="array" aca="1" ref="X123" ca="1">INDEX(INDIRECT("BS_"&amp;TEXT(X$1,"mmm")&amp;"_"&amp;TEXT(X$1,"yyyy")),MATCH(TRIM($A123),BS_Accounts,0))</f>
        <v>0</v>
      </c>
      <c r="Y123" s="115">
        <f t="array" aca="1" ref="Y123" ca="1">INDEX(INDIRECT("BS_"&amp;TEXT(Y$1,"mmm")&amp;"_"&amp;TEXT(Y$1,"yyyy")),MATCH(TRIM($A123),BS_Accounts,0))</f>
        <v>0</v>
      </c>
      <c r="Z123" s="115">
        <f t="array" aca="1" ref="Z123" ca="1">INDEX(INDIRECT("BS_"&amp;TEXT(Z$1,"mmm")&amp;"_"&amp;TEXT(Z$1,"yyyy")),MATCH(TRIM($A123),BS_Accounts,0))</f>
        <v>0</v>
      </c>
      <c r="AA123" s="115">
        <f t="array" aca="1" ref="AA123" ca="1">INDEX(INDIRECT("BS_"&amp;TEXT(AA$1,"mmm")&amp;"_"&amp;TEXT(AA$1,"yyyy")),MATCH(TRIM($A123),BS_Accounts,0))</f>
        <v>0</v>
      </c>
      <c r="AB123" s="115">
        <f t="array" aca="1" ref="AB123" ca="1">INDEX(INDIRECT("BS_"&amp;TEXT(AB$1,"mmm")&amp;"_"&amp;TEXT(AB$1,"yyyy")),MATCH(TRIM($A123),BS_Accounts,0))</f>
        <v>0</v>
      </c>
      <c r="AC123" s="115">
        <f t="array" aca="1" ref="AC123" ca="1">INDEX(INDIRECT("BS_"&amp;TEXT(AC$1,"mmm")&amp;"_"&amp;TEXT(AC$1,"yyyy")),MATCH(TRIM($A123),BS_Accounts,0))</f>
        <v>0</v>
      </c>
      <c r="AD123" s="115">
        <f t="array" aca="1" ref="AD123" ca="1">INDEX(INDIRECT("BS_"&amp;TEXT(AD$1,"mmm")&amp;"_"&amp;TEXT(AD$1,"yyyy")),MATCH(TRIM($A123),BS_Accounts,0))</f>
        <v>0</v>
      </c>
      <c r="AE123" s="115">
        <f t="array" aca="1" ref="AE123" ca="1">INDEX(INDIRECT("BS_"&amp;TEXT(AE$1,"mmm")&amp;"_"&amp;TEXT(AE$1,"yyyy")),MATCH(TRIM($A123),BS_Accounts,0))</f>
        <v>0</v>
      </c>
    </row>
    <row r="124" spans="1:75" ht="12.75" x14ac:dyDescent="0.2">
      <c r="A124" s="23" t="s">
        <v>364</v>
      </c>
      <c r="B124" s="221"/>
      <c r="D124" s="115">
        <f t="array" aca="1" ref="D124" ca="1">INDEX(INDIRECT("BS_"&amp;TEXT(D$1,"mmm")&amp;"_"&amp;TEXT(D$1,"yyyy")),MATCH(TRIM($A124),BS_Accounts,0))</f>
        <v>0</v>
      </c>
      <c r="E124" s="115">
        <f t="array" aca="1" ref="E124" ca="1">INDEX(INDIRECT("BS_"&amp;TEXT(E$1,"mmm")&amp;"_"&amp;TEXT(E$1,"yyyy")),MATCH(TRIM($A124),BS_Accounts,0))</f>
        <v>0</v>
      </c>
      <c r="F124" s="115">
        <f t="array" aca="1" ref="F124" ca="1">INDEX(INDIRECT("BS_"&amp;TEXT(F$1,"mmm")&amp;"_"&amp;TEXT(F$1,"yyyy")),MATCH(TRIM($A124),BS_Accounts,0))</f>
        <v>0</v>
      </c>
      <c r="G124" s="115">
        <f t="array" aca="1" ref="G124" ca="1">INDEX(INDIRECT("BS_"&amp;TEXT(G$1,"mmm")&amp;"_"&amp;TEXT(G$1,"yyyy")),MATCH(TRIM($A124),BS_Accounts,0))</f>
        <v>0</v>
      </c>
      <c r="H124" s="115">
        <f t="array" aca="1" ref="H124" ca="1">INDEX(INDIRECT("BS_"&amp;TEXT(H$1,"mmm")&amp;"_"&amp;TEXT(H$1,"yyyy")),MATCH(TRIM($A124),BS_Accounts,0))</f>
        <v>0</v>
      </c>
      <c r="I124" s="115">
        <f t="array" aca="1" ref="I124" ca="1">INDEX(INDIRECT("BS_"&amp;TEXT(I$1,"mmm")&amp;"_"&amp;TEXT(I$1,"yyyy")),MATCH(TRIM($A124),BS_Accounts,0))</f>
        <v>0</v>
      </c>
      <c r="J124" s="115">
        <f t="array" aca="1" ref="J124" ca="1">INDEX(INDIRECT("BS_"&amp;TEXT(J$1,"mmm")&amp;"_"&amp;TEXT(J$1,"yyyy")),MATCH(TRIM($A124),BS_Accounts,0))</f>
        <v>0</v>
      </c>
      <c r="K124" s="115">
        <f t="array" aca="1" ref="K124" ca="1">INDEX(INDIRECT("BS_"&amp;TEXT(K$1,"mmm")&amp;"_"&amp;TEXT(K$1,"yyyy")),MATCH(TRIM($A124),BS_Accounts,0))</f>
        <v>0</v>
      </c>
      <c r="L124" s="115">
        <f t="array" aca="1" ref="L124" ca="1">INDEX(INDIRECT("BS_"&amp;TEXT(L$1,"mmm")&amp;"_"&amp;TEXT(L$1,"yyyy")),MATCH(TRIM($A124),BS_Accounts,0))</f>
        <v>0</v>
      </c>
      <c r="M124" s="115">
        <f t="array" aca="1" ref="M124" ca="1">INDEX(INDIRECT("BS_"&amp;TEXT(M$1,"mmm")&amp;"_"&amp;TEXT(M$1,"yyyy")),MATCH(TRIM($A124),BS_Accounts,0))</f>
        <v>0</v>
      </c>
      <c r="N124" s="115">
        <f t="array" aca="1" ref="N124" ca="1">INDEX(INDIRECT("BS_"&amp;TEXT(N$1,"mmm")&amp;"_"&amp;TEXT(N$1,"yyyy")),MATCH(TRIM($A124),BS_Accounts,0))</f>
        <v>0</v>
      </c>
      <c r="O124" s="115">
        <f t="array" aca="1" ref="O124" ca="1">INDEX(INDIRECT("BS_"&amp;TEXT(O$1,"mmm")&amp;"_"&amp;TEXT(O$1,"yyyy")),MATCH(TRIM($A124),BS_Accounts,0))</f>
        <v>0</v>
      </c>
      <c r="P124" s="115">
        <f t="array" aca="1" ref="P124" ca="1">INDEX(INDIRECT("BS_"&amp;TEXT(P$1,"mmm")&amp;"_"&amp;TEXT(P$1,"yyyy")),MATCH(TRIM($A124),BS_Accounts,0))</f>
        <v>0</v>
      </c>
      <c r="Q124" s="115">
        <f t="array" aca="1" ref="Q124" ca="1">INDEX(INDIRECT("BS_"&amp;TEXT(Q$1,"mmm")&amp;"_"&amp;TEXT(Q$1,"yyyy")),MATCH(TRIM($A124),BS_Accounts,0))</f>
        <v>0</v>
      </c>
      <c r="R124" s="115">
        <f t="array" aca="1" ref="R124" ca="1">INDEX(INDIRECT("BS_"&amp;TEXT(R$1,"mmm")&amp;"_"&amp;TEXT(R$1,"yyyy")),MATCH(TRIM($A124),BS_Accounts,0))</f>
        <v>0</v>
      </c>
      <c r="S124" s="115">
        <f t="array" aca="1" ref="S124" ca="1">INDEX(INDIRECT("BS_"&amp;TEXT(S$1,"mmm")&amp;"_"&amp;TEXT(S$1,"yyyy")),MATCH(TRIM($A124),BS_Accounts,0))</f>
        <v>0</v>
      </c>
      <c r="T124" s="115">
        <f t="array" aca="1" ref="T124" ca="1">INDEX(INDIRECT("BS_"&amp;TEXT(T$1,"mmm")&amp;"_"&amp;TEXT(T$1,"yyyy")),MATCH(TRIM($A124),BS_Accounts,0))</f>
        <v>0</v>
      </c>
      <c r="U124" s="115">
        <f t="array" aca="1" ref="U124" ca="1">INDEX(INDIRECT("BS_"&amp;TEXT(U$1,"mmm")&amp;"_"&amp;TEXT(U$1,"yyyy")),MATCH(TRIM($A124),BS_Accounts,0))</f>
        <v>0</v>
      </c>
      <c r="V124" s="115">
        <f t="array" aca="1" ref="V124" ca="1">INDEX(INDIRECT("BS_"&amp;TEXT(V$1,"mmm")&amp;"_"&amp;TEXT(V$1,"yyyy")),MATCH(TRIM($A124),BS_Accounts,0))</f>
        <v>0</v>
      </c>
      <c r="W124" s="115">
        <f t="array" aca="1" ref="W124" ca="1">INDEX(INDIRECT("BS_"&amp;TEXT(W$1,"mmm")&amp;"_"&amp;TEXT(W$1,"yyyy")),MATCH(TRIM($A124),BS_Accounts,0))</f>
        <v>0</v>
      </c>
      <c r="X124" s="115">
        <f t="array" aca="1" ref="X124" ca="1">INDEX(INDIRECT("BS_"&amp;TEXT(X$1,"mmm")&amp;"_"&amp;TEXT(X$1,"yyyy")),MATCH(TRIM($A124),BS_Accounts,0))</f>
        <v>0</v>
      </c>
      <c r="Y124" s="115">
        <f t="array" aca="1" ref="Y124" ca="1">INDEX(INDIRECT("BS_"&amp;TEXT(Y$1,"mmm")&amp;"_"&amp;TEXT(Y$1,"yyyy")),MATCH(TRIM($A124),BS_Accounts,0))</f>
        <v>0</v>
      </c>
      <c r="Z124" s="115">
        <f t="array" aca="1" ref="Z124" ca="1">INDEX(INDIRECT("BS_"&amp;TEXT(Z$1,"mmm")&amp;"_"&amp;TEXT(Z$1,"yyyy")),MATCH(TRIM($A124),BS_Accounts,0))</f>
        <v>0</v>
      </c>
      <c r="AA124" s="115">
        <f t="array" aca="1" ref="AA124" ca="1">INDEX(INDIRECT("BS_"&amp;TEXT(AA$1,"mmm")&amp;"_"&amp;TEXT(AA$1,"yyyy")),MATCH(TRIM($A124),BS_Accounts,0))</f>
        <v>0</v>
      </c>
      <c r="AB124" s="115">
        <f t="array" aca="1" ref="AB124" ca="1">INDEX(INDIRECT("BS_"&amp;TEXT(AB$1,"mmm")&amp;"_"&amp;TEXT(AB$1,"yyyy")),MATCH(TRIM($A124),BS_Accounts,0))</f>
        <v>0</v>
      </c>
      <c r="AC124" s="115">
        <f t="array" aca="1" ref="AC124" ca="1">INDEX(INDIRECT("BS_"&amp;TEXT(AC$1,"mmm")&amp;"_"&amp;TEXT(AC$1,"yyyy")),MATCH(TRIM($A124),BS_Accounts,0))</f>
        <v>0</v>
      </c>
      <c r="AD124" s="115">
        <f t="array" aca="1" ref="AD124" ca="1">INDEX(INDIRECT("BS_"&amp;TEXT(AD$1,"mmm")&amp;"_"&amp;TEXT(AD$1,"yyyy")),MATCH(TRIM($A124),BS_Accounts,0))</f>
        <v>0</v>
      </c>
      <c r="AE124" s="115">
        <f t="array" aca="1" ref="AE124" ca="1">INDEX(INDIRECT("BS_"&amp;TEXT(AE$1,"mmm")&amp;"_"&amp;TEXT(AE$1,"yyyy")),MATCH(TRIM($A124),BS_Accounts,0))</f>
        <v>0</v>
      </c>
    </row>
    <row r="125" spans="1:75" ht="12.75" x14ac:dyDescent="0.2">
      <c r="A125" s="23" t="s">
        <v>365</v>
      </c>
      <c r="B125" s="224">
        <f ca="1">AVERAGEIFS(125:125,$1:$1,"&gt;="&amp;DATE(YEAR(Current_Month),MONTH(Current_Month),DAY(Current_Month)),$1:$1,"&lt;="&amp;EOMONTH(Current_Month,0))</f>
        <v>-1756</v>
      </c>
      <c r="D125" s="115">
        <f t="array" aca="1" ref="D125" ca="1">INDEX(INDIRECT("BS_"&amp;TEXT(D$1,"mmm")&amp;"_"&amp;TEXT(D$1,"yyyy")),MATCH(TRIM($A125),BS_Accounts,0))</f>
        <v>357</v>
      </c>
      <c r="E125" s="115">
        <f t="array" aca="1" ref="E125" ca="1">INDEX(INDIRECT("BS_"&amp;TEXT(E$1,"mmm")&amp;"_"&amp;TEXT(E$1,"yyyy")),MATCH(TRIM($A125),BS_Accounts,0))</f>
        <v>-1756</v>
      </c>
      <c r="F125" s="115">
        <f t="array" aca="1" ref="F125" ca="1">INDEX(INDIRECT("BS_"&amp;TEXT(F$1,"mmm")&amp;"_"&amp;TEXT(F$1,"yyyy")),MATCH(TRIM($A125),BS_Accounts,0))</f>
        <v>-1756</v>
      </c>
      <c r="G125" s="115">
        <f t="array" aca="1" ref="G125" ca="1">INDEX(INDIRECT("BS_"&amp;TEXT(G$1,"mmm")&amp;"_"&amp;TEXT(G$1,"yyyy")),MATCH(TRIM($A125),BS_Accounts,0))</f>
        <v>-1756</v>
      </c>
      <c r="H125" s="115">
        <f t="array" aca="1" ref="H125" ca="1">INDEX(INDIRECT("BS_"&amp;TEXT(H$1,"mmm")&amp;"_"&amp;TEXT(H$1,"yyyy")),MATCH(TRIM($A125),BS_Accounts,0))</f>
        <v>-1756</v>
      </c>
      <c r="I125" s="115">
        <f t="array" aca="1" ref="I125" ca="1">INDEX(INDIRECT("BS_"&amp;TEXT(I$1,"mmm")&amp;"_"&amp;TEXT(I$1,"yyyy")),MATCH(TRIM($A125),BS_Accounts,0))</f>
        <v>-1756</v>
      </c>
      <c r="J125" s="115">
        <f t="array" aca="1" ref="J125" ca="1">INDEX(INDIRECT("BS_"&amp;TEXT(J$1,"mmm")&amp;"_"&amp;TEXT(J$1,"yyyy")),MATCH(TRIM($A125),BS_Accounts,0))</f>
        <v>-1756</v>
      </c>
      <c r="K125" s="115">
        <f t="array" aca="1" ref="K125" ca="1">INDEX(INDIRECT("BS_"&amp;TEXT(K$1,"mmm")&amp;"_"&amp;TEXT(K$1,"yyyy")),MATCH(TRIM($A125),BS_Accounts,0))</f>
        <v>-1756</v>
      </c>
      <c r="L125" s="115">
        <f t="array" aca="1" ref="L125" ca="1">INDEX(INDIRECT("BS_"&amp;TEXT(L$1,"mmm")&amp;"_"&amp;TEXT(L$1,"yyyy")),MATCH(TRIM($A125),BS_Accounts,0))</f>
        <v>-1756</v>
      </c>
      <c r="M125" s="115">
        <f t="array" aca="1" ref="M125" ca="1">INDEX(INDIRECT("BS_"&amp;TEXT(M$1,"mmm")&amp;"_"&amp;TEXT(M$1,"yyyy")),MATCH(TRIM($A125),BS_Accounts,0))</f>
        <v>-1756</v>
      </c>
      <c r="N125" s="115">
        <f t="array" aca="1" ref="N125" ca="1">INDEX(INDIRECT("BS_"&amp;TEXT(N$1,"mmm")&amp;"_"&amp;TEXT(N$1,"yyyy")),MATCH(TRIM($A125),BS_Accounts,0))</f>
        <v>-1756</v>
      </c>
      <c r="O125" s="115">
        <f t="array" aca="1" ref="O125" ca="1">INDEX(INDIRECT("BS_"&amp;TEXT(O$1,"mmm")&amp;"_"&amp;TEXT(O$1,"yyyy")),MATCH(TRIM($A125),BS_Accounts,0))</f>
        <v>-1756</v>
      </c>
      <c r="P125" s="115">
        <f t="array" aca="1" ref="P125" ca="1">INDEX(INDIRECT("BS_"&amp;TEXT(P$1,"mmm")&amp;"_"&amp;TEXT(P$1,"yyyy")),MATCH(TRIM($A125),BS_Accounts,0))</f>
        <v>-1756</v>
      </c>
      <c r="Q125" s="115">
        <f t="array" aca="1" ref="Q125" ca="1">INDEX(INDIRECT("BS_"&amp;TEXT(Q$1,"mmm")&amp;"_"&amp;TEXT(Q$1,"yyyy")),MATCH(TRIM($A125),BS_Accounts,0))</f>
        <v>-1756</v>
      </c>
      <c r="R125" s="115">
        <f t="array" aca="1" ref="R125" ca="1">INDEX(INDIRECT("BS_"&amp;TEXT(R$1,"mmm")&amp;"_"&amp;TEXT(R$1,"yyyy")),MATCH(TRIM($A125),BS_Accounts,0))</f>
        <v>-1756</v>
      </c>
      <c r="S125" s="115">
        <f t="array" aca="1" ref="S125" ca="1">INDEX(INDIRECT("BS_"&amp;TEXT(S$1,"mmm")&amp;"_"&amp;TEXT(S$1,"yyyy")),MATCH(TRIM($A125),BS_Accounts,0))</f>
        <v>-1756</v>
      </c>
      <c r="T125" s="115">
        <f t="array" aca="1" ref="T125" ca="1">INDEX(INDIRECT("BS_"&amp;TEXT(T$1,"mmm")&amp;"_"&amp;TEXT(T$1,"yyyy")),MATCH(TRIM($A125),BS_Accounts,0))</f>
        <v>-1756</v>
      </c>
      <c r="U125" s="115">
        <f t="array" aca="1" ref="U125" ca="1">INDEX(INDIRECT("BS_"&amp;TEXT(U$1,"mmm")&amp;"_"&amp;TEXT(U$1,"yyyy")),MATCH(TRIM($A125),BS_Accounts,0))</f>
        <v>-1756</v>
      </c>
      <c r="V125" s="115">
        <f t="array" aca="1" ref="V125" ca="1">INDEX(INDIRECT("BS_"&amp;TEXT(V$1,"mmm")&amp;"_"&amp;TEXT(V$1,"yyyy")),MATCH(TRIM($A125),BS_Accounts,0))</f>
        <v>-1756</v>
      </c>
      <c r="W125" s="115">
        <f t="array" aca="1" ref="W125" ca="1">INDEX(INDIRECT("BS_"&amp;TEXT(W$1,"mmm")&amp;"_"&amp;TEXT(W$1,"yyyy")),MATCH(TRIM($A125),BS_Accounts,0))</f>
        <v>-1756</v>
      </c>
      <c r="X125" s="115">
        <f t="array" aca="1" ref="X125" ca="1">INDEX(INDIRECT("BS_"&amp;TEXT(X$1,"mmm")&amp;"_"&amp;TEXT(X$1,"yyyy")),MATCH(TRIM($A125),BS_Accounts,0))</f>
        <v>-1756</v>
      </c>
      <c r="Y125" s="115">
        <f t="array" aca="1" ref="Y125" ca="1">INDEX(INDIRECT("BS_"&amp;TEXT(Y$1,"mmm")&amp;"_"&amp;TEXT(Y$1,"yyyy")),MATCH(TRIM($A125),BS_Accounts,0))</f>
        <v>-1756</v>
      </c>
      <c r="Z125" s="115">
        <f t="array" aca="1" ref="Z125" ca="1">INDEX(INDIRECT("BS_"&amp;TEXT(Z$1,"mmm")&amp;"_"&amp;TEXT(Z$1,"yyyy")),MATCH(TRIM($A125),BS_Accounts,0))</f>
        <v>-1756</v>
      </c>
      <c r="AA125" s="115">
        <f t="array" aca="1" ref="AA125" ca="1">INDEX(INDIRECT("BS_"&amp;TEXT(AA$1,"mmm")&amp;"_"&amp;TEXT(AA$1,"yyyy")),MATCH(TRIM($A125),BS_Accounts,0))</f>
        <v>-1756</v>
      </c>
      <c r="AB125" s="115">
        <f t="array" aca="1" ref="AB125" ca="1">INDEX(INDIRECT("BS_"&amp;TEXT(AB$1,"mmm")&amp;"_"&amp;TEXT(AB$1,"yyyy")),MATCH(TRIM($A125),BS_Accounts,0))</f>
        <v>-1756</v>
      </c>
      <c r="AC125" s="115">
        <f t="array" aca="1" ref="AC125" ca="1">INDEX(INDIRECT("BS_"&amp;TEXT(AC$1,"mmm")&amp;"_"&amp;TEXT(AC$1,"yyyy")),MATCH(TRIM($A125),BS_Accounts,0))</f>
        <v>-1756</v>
      </c>
      <c r="AD125" s="115">
        <f t="array" aca="1" ref="AD125" ca="1">INDEX(INDIRECT("BS_"&amp;TEXT(AD$1,"mmm")&amp;"_"&amp;TEXT(AD$1,"yyyy")),MATCH(TRIM($A125),BS_Accounts,0))</f>
        <v>-1756</v>
      </c>
      <c r="AE125" s="115">
        <f t="array" aca="1" ref="AE125" ca="1">INDEX(INDIRECT("BS_"&amp;TEXT(AE$1,"mmm")&amp;"_"&amp;TEXT(AE$1,"yyyy")),MATCH(TRIM($A125),BS_Accounts,0))</f>
        <v>-1756</v>
      </c>
      <c r="AF125" s="165">
        <f t="shared" ref="AF125:BW125" ca="1" si="66">$B125</f>
        <v>-1756</v>
      </c>
      <c r="AG125" s="165">
        <f t="shared" ca="1" si="66"/>
        <v>-1756</v>
      </c>
      <c r="AH125" s="165">
        <f t="shared" ca="1" si="66"/>
        <v>-1756</v>
      </c>
      <c r="AI125" s="165">
        <f t="shared" ca="1" si="66"/>
        <v>-1756</v>
      </c>
      <c r="AJ125" s="165">
        <f t="shared" ca="1" si="66"/>
        <v>-1756</v>
      </c>
      <c r="AK125" s="165">
        <f t="shared" ca="1" si="66"/>
        <v>-1756</v>
      </c>
      <c r="AL125" s="165">
        <f t="shared" ca="1" si="66"/>
        <v>-1756</v>
      </c>
      <c r="AM125" s="165">
        <f t="shared" ca="1" si="66"/>
        <v>-1756</v>
      </c>
      <c r="AN125" s="165">
        <f t="shared" ca="1" si="66"/>
        <v>-1756</v>
      </c>
      <c r="AO125" s="165">
        <f t="shared" ca="1" si="66"/>
        <v>-1756</v>
      </c>
      <c r="AP125" s="165">
        <f t="shared" ca="1" si="66"/>
        <v>-1756</v>
      </c>
      <c r="AQ125" s="165">
        <f t="shared" ca="1" si="66"/>
        <v>-1756</v>
      </c>
      <c r="AR125" s="165">
        <f t="shared" ca="1" si="66"/>
        <v>-1756</v>
      </c>
      <c r="AS125" s="165">
        <f t="shared" ca="1" si="66"/>
        <v>-1756</v>
      </c>
      <c r="AT125" s="165">
        <f t="shared" ca="1" si="66"/>
        <v>-1756</v>
      </c>
      <c r="AU125" s="165">
        <f t="shared" ca="1" si="66"/>
        <v>-1756</v>
      </c>
      <c r="AV125" s="165">
        <f t="shared" ca="1" si="66"/>
        <v>-1756</v>
      </c>
      <c r="AW125" s="165">
        <f t="shared" ca="1" si="66"/>
        <v>-1756</v>
      </c>
      <c r="AX125" s="165">
        <f t="shared" ca="1" si="66"/>
        <v>-1756</v>
      </c>
      <c r="AY125" s="165">
        <f t="shared" ca="1" si="66"/>
        <v>-1756</v>
      </c>
      <c r="AZ125" s="165">
        <f t="shared" ca="1" si="66"/>
        <v>-1756</v>
      </c>
      <c r="BA125" s="165">
        <f t="shared" ca="1" si="66"/>
        <v>-1756</v>
      </c>
      <c r="BB125" s="165">
        <f t="shared" ca="1" si="66"/>
        <v>-1756</v>
      </c>
      <c r="BC125" s="165">
        <f t="shared" ca="1" si="66"/>
        <v>-1756</v>
      </c>
      <c r="BD125" s="165">
        <f t="shared" ca="1" si="66"/>
        <v>-1756</v>
      </c>
      <c r="BE125" s="165">
        <f t="shared" ca="1" si="66"/>
        <v>-1756</v>
      </c>
      <c r="BF125" s="165">
        <f t="shared" ca="1" si="66"/>
        <v>-1756</v>
      </c>
      <c r="BG125" s="165">
        <f t="shared" ca="1" si="66"/>
        <v>-1756</v>
      </c>
      <c r="BH125" s="165">
        <f t="shared" ca="1" si="66"/>
        <v>-1756</v>
      </c>
      <c r="BI125" s="165">
        <f t="shared" ca="1" si="66"/>
        <v>-1756</v>
      </c>
      <c r="BJ125" s="165">
        <f t="shared" ca="1" si="66"/>
        <v>-1756</v>
      </c>
      <c r="BK125" s="165">
        <f t="shared" ca="1" si="66"/>
        <v>-1756</v>
      </c>
      <c r="BL125" s="165">
        <f t="shared" ca="1" si="66"/>
        <v>-1756</v>
      </c>
      <c r="BM125" s="165">
        <f t="shared" ca="1" si="66"/>
        <v>-1756</v>
      </c>
      <c r="BN125" s="165">
        <f t="shared" ca="1" si="66"/>
        <v>-1756</v>
      </c>
      <c r="BO125" s="165">
        <f t="shared" ca="1" si="66"/>
        <v>-1756</v>
      </c>
      <c r="BP125" s="165">
        <f t="shared" ca="1" si="66"/>
        <v>-1756</v>
      </c>
      <c r="BQ125" s="165">
        <f t="shared" ca="1" si="66"/>
        <v>-1756</v>
      </c>
      <c r="BR125" s="165">
        <f t="shared" ca="1" si="66"/>
        <v>-1756</v>
      </c>
      <c r="BS125" s="165">
        <f t="shared" ca="1" si="66"/>
        <v>-1756</v>
      </c>
      <c r="BT125" s="165">
        <f t="shared" ca="1" si="66"/>
        <v>-1756</v>
      </c>
      <c r="BU125" s="165">
        <f t="shared" ca="1" si="66"/>
        <v>-1756</v>
      </c>
      <c r="BV125" s="165">
        <f t="shared" ca="1" si="66"/>
        <v>-1756</v>
      </c>
      <c r="BW125" s="165">
        <f t="shared" ca="1" si="66"/>
        <v>-1756</v>
      </c>
    </row>
    <row r="126" spans="1:75" ht="12.75" x14ac:dyDescent="0.2">
      <c r="A126" s="60" t="s">
        <v>366</v>
      </c>
      <c r="B126" s="238"/>
      <c r="C126" s="212"/>
      <c r="D126" s="226">
        <f t="shared" ref="D126:BW126" ca="1" si="67">SUM(D124:D125)</f>
        <v>357</v>
      </c>
      <c r="E126" s="226">
        <f t="shared" ca="1" si="67"/>
        <v>-1756</v>
      </c>
      <c r="F126" s="226">
        <f t="shared" ca="1" si="67"/>
        <v>-1756</v>
      </c>
      <c r="G126" s="226">
        <f t="shared" ca="1" si="67"/>
        <v>-1756</v>
      </c>
      <c r="H126" s="226">
        <f t="shared" ca="1" si="67"/>
        <v>-1756</v>
      </c>
      <c r="I126" s="226">
        <f t="shared" ca="1" si="67"/>
        <v>-1756</v>
      </c>
      <c r="J126" s="226">
        <f t="shared" ca="1" si="67"/>
        <v>-1756</v>
      </c>
      <c r="K126" s="226">
        <f t="shared" ca="1" si="67"/>
        <v>-1756</v>
      </c>
      <c r="L126" s="226">
        <f t="shared" ca="1" si="67"/>
        <v>-1756</v>
      </c>
      <c r="M126" s="226">
        <f t="shared" ca="1" si="67"/>
        <v>-1756</v>
      </c>
      <c r="N126" s="226">
        <f t="shared" ca="1" si="67"/>
        <v>-1756</v>
      </c>
      <c r="O126" s="226">
        <f t="shared" ca="1" si="67"/>
        <v>-1756</v>
      </c>
      <c r="P126" s="226">
        <f t="shared" ca="1" si="67"/>
        <v>-1756</v>
      </c>
      <c r="Q126" s="226">
        <f t="shared" ca="1" si="67"/>
        <v>-1756</v>
      </c>
      <c r="R126" s="226">
        <f t="shared" ca="1" si="67"/>
        <v>-1756</v>
      </c>
      <c r="S126" s="226">
        <f t="shared" ca="1" si="67"/>
        <v>-1756</v>
      </c>
      <c r="T126" s="226">
        <f t="shared" ca="1" si="67"/>
        <v>-1756</v>
      </c>
      <c r="U126" s="226">
        <f t="shared" ca="1" si="67"/>
        <v>-1756</v>
      </c>
      <c r="V126" s="226">
        <f t="shared" ca="1" si="67"/>
        <v>-1756</v>
      </c>
      <c r="W126" s="226">
        <f t="shared" ca="1" si="67"/>
        <v>-1756</v>
      </c>
      <c r="X126" s="226">
        <f t="shared" ca="1" si="67"/>
        <v>-1756</v>
      </c>
      <c r="Y126" s="226">
        <f t="shared" ca="1" si="67"/>
        <v>-1756</v>
      </c>
      <c r="Z126" s="226">
        <f t="shared" ca="1" si="67"/>
        <v>-1756</v>
      </c>
      <c r="AA126" s="226">
        <f t="shared" ca="1" si="67"/>
        <v>-1756</v>
      </c>
      <c r="AB126" s="226">
        <f t="shared" ca="1" si="67"/>
        <v>-1756</v>
      </c>
      <c r="AC126" s="226">
        <f t="shared" ca="1" si="67"/>
        <v>-1756</v>
      </c>
      <c r="AD126" s="226">
        <f t="shared" ca="1" si="67"/>
        <v>-1756</v>
      </c>
      <c r="AE126" s="226">
        <f t="shared" ca="1" si="67"/>
        <v>-1756</v>
      </c>
      <c r="AF126" s="226">
        <f t="shared" ca="1" si="67"/>
        <v>-1756</v>
      </c>
      <c r="AG126" s="226">
        <f t="shared" ca="1" si="67"/>
        <v>-1756</v>
      </c>
      <c r="AH126" s="226">
        <f t="shared" ca="1" si="67"/>
        <v>-1756</v>
      </c>
      <c r="AI126" s="226">
        <f t="shared" ca="1" si="67"/>
        <v>-1756</v>
      </c>
      <c r="AJ126" s="226">
        <f t="shared" ca="1" si="67"/>
        <v>-1756</v>
      </c>
      <c r="AK126" s="226">
        <f t="shared" ca="1" si="67"/>
        <v>-1756</v>
      </c>
      <c r="AL126" s="226">
        <f t="shared" ca="1" si="67"/>
        <v>-1756</v>
      </c>
      <c r="AM126" s="226">
        <f t="shared" ca="1" si="67"/>
        <v>-1756</v>
      </c>
      <c r="AN126" s="226">
        <f t="shared" ca="1" si="67"/>
        <v>-1756</v>
      </c>
      <c r="AO126" s="226">
        <f t="shared" ca="1" si="67"/>
        <v>-1756</v>
      </c>
      <c r="AP126" s="226">
        <f t="shared" ca="1" si="67"/>
        <v>-1756</v>
      </c>
      <c r="AQ126" s="226">
        <f t="shared" ca="1" si="67"/>
        <v>-1756</v>
      </c>
      <c r="AR126" s="226">
        <f t="shared" ca="1" si="67"/>
        <v>-1756</v>
      </c>
      <c r="AS126" s="226">
        <f t="shared" ca="1" si="67"/>
        <v>-1756</v>
      </c>
      <c r="AT126" s="226">
        <f t="shared" ca="1" si="67"/>
        <v>-1756</v>
      </c>
      <c r="AU126" s="226">
        <f t="shared" ca="1" si="67"/>
        <v>-1756</v>
      </c>
      <c r="AV126" s="226">
        <f t="shared" ca="1" si="67"/>
        <v>-1756</v>
      </c>
      <c r="AW126" s="226">
        <f t="shared" ca="1" si="67"/>
        <v>-1756</v>
      </c>
      <c r="AX126" s="226">
        <f t="shared" ca="1" si="67"/>
        <v>-1756</v>
      </c>
      <c r="AY126" s="226">
        <f t="shared" ca="1" si="67"/>
        <v>-1756</v>
      </c>
      <c r="AZ126" s="226">
        <f t="shared" ca="1" si="67"/>
        <v>-1756</v>
      </c>
      <c r="BA126" s="226">
        <f t="shared" ca="1" si="67"/>
        <v>-1756</v>
      </c>
      <c r="BB126" s="226">
        <f t="shared" ca="1" si="67"/>
        <v>-1756</v>
      </c>
      <c r="BC126" s="226">
        <f t="shared" ca="1" si="67"/>
        <v>-1756</v>
      </c>
      <c r="BD126" s="226">
        <f t="shared" ca="1" si="67"/>
        <v>-1756</v>
      </c>
      <c r="BE126" s="226">
        <f t="shared" ca="1" si="67"/>
        <v>-1756</v>
      </c>
      <c r="BF126" s="226">
        <f t="shared" ca="1" si="67"/>
        <v>-1756</v>
      </c>
      <c r="BG126" s="226">
        <f t="shared" ca="1" si="67"/>
        <v>-1756</v>
      </c>
      <c r="BH126" s="226">
        <f t="shared" ca="1" si="67"/>
        <v>-1756</v>
      </c>
      <c r="BI126" s="226">
        <f t="shared" ca="1" si="67"/>
        <v>-1756</v>
      </c>
      <c r="BJ126" s="226">
        <f t="shared" ca="1" si="67"/>
        <v>-1756</v>
      </c>
      <c r="BK126" s="226">
        <f t="shared" ca="1" si="67"/>
        <v>-1756</v>
      </c>
      <c r="BL126" s="226">
        <f t="shared" ca="1" si="67"/>
        <v>-1756</v>
      </c>
      <c r="BM126" s="226">
        <f t="shared" ca="1" si="67"/>
        <v>-1756</v>
      </c>
      <c r="BN126" s="226">
        <f t="shared" ca="1" si="67"/>
        <v>-1756</v>
      </c>
      <c r="BO126" s="226">
        <f t="shared" ca="1" si="67"/>
        <v>-1756</v>
      </c>
      <c r="BP126" s="226">
        <f t="shared" ca="1" si="67"/>
        <v>-1756</v>
      </c>
      <c r="BQ126" s="226">
        <f t="shared" ca="1" si="67"/>
        <v>-1756</v>
      </c>
      <c r="BR126" s="226">
        <f t="shared" ca="1" si="67"/>
        <v>-1756</v>
      </c>
      <c r="BS126" s="226">
        <f t="shared" ca="1" si="67"/>
        <v>-1756</v>
      </c>
      <c r="BT126" s="226">
        <f t="shared" ca="1" si="67"/>
        <v>-1756</v>
      </c>
      <c r="BU126" s="226">
        <f t="shared" ca="1" si="67"/>
        <v>-1756</v>
      </c>
      <c r="BV126" s="226">
        <f t="shared" ca="1" si="67"/>
        <v>-1756</v>
      </c>
      <c r="BW126" s="226">
        <f t="shared" ca="1" si="67"/>
        <v>-1756</v>
      </c>
    </row>
    <row r="127" spans="1:75" ht="12.75" x14ac:dyDescent="0.2">
      <c r="A127" s="23" t="s">
        <v>367</v>
      </c>
      <c r="B127" s="221"/>
      <c r="D127" s="115">
        <f t="array" aca="1" ref="D127" ca="1">INDEX(INDIRECT("BS_"&amp;TEXT(D$1,"mmm")&amp;"_"&amp;TEXT(D$1,"yyyy")),MATCH(TRIM($A127),BS_Accounts,0))</f>
        <v>0</v>
      </c>
      <c r="E127" s="115">
        <f t="array" aca="1" ref="E127" ca="1">INDEX(INDIRECT("BS_"&amp;TEXT(E$1,"mmm")&amp;"_"&amp;TEXT(E$1,"yyyy")),MATCH(TRIM($A127),BS_Accounts,0))</f>
        <v>0</v>
      </c>
      <c r="F127" s="115">
        <f t="array" aca="1" ref="F127" ca="1">INDEX(INDIRECT("BS_"&amp;TEXT(F$1,"mmm")&amp;"_"&amp;TEXT(F$1,"yyyy")),MATCH(TRIM($A127),BS_Accounts,0))</f>
        <v>0</v>
      </c>
      <c r="G127" s="115">
        <f t="array" aca="1" ref="G127" ca="1">INDEX(INDIRECT("BS_"&amp;TEXT(G$1,"mmm")&amp;"_"&amp;TEXT(G$1,"yyyy")),MATCH(TRIM($A127),BS_Accounts,0))</f>
        <v>0</v>
      </c>
      <c r="H127" s="115">
        <f t="array" aca="1" ref="H127" ca="1">INDEX(INDIRECT("BS_"&amp;TEXT(H$1,"mmm")&amp;"_"&amp;TEXT(H$1,"yyyy")),MATCH(TRIM($A127),BS_Accounts,0))</f>
        <v>0</v>
      </c>
      <c r="I127" s="115">
        <f t="array" aca="1" ref="I127" ca="1">INDEX(INDIRECT("BS_"&amp;TEXT(I$1,"mmm")&amp;"_"&amp;TEXT(I$1,"yyyy")),MATCH(TRIM($A127),BS_Accounts,0))</f>
        <v>0</v>
      </c>
      <c r="J127" s="115">
        <f t="array" aca="1" ref="J127" ca="1">INDEX(INDIRECT("BS_"&amp;TEXT(J$1,"mmm")&amp;"_"&amp;TEXT(J$1,"yyyy")),MATCH(TRIM($A127),BS_Accounts,0))</f>
        <v>0</v>
      </c>
      <c r="K127" s="115">
        <f t="array" aca="1" ref="K127" ca="1">INDEX(INDIRECT("BS_"&amp;TEXT(K$1,"mmm")&amp;"_"&amp;TEXT(K$1,"yyyy")),MATCH(TRIM($A127),BS_Accounts,0))</f>
        <v>0</v>
      </c>
      <c r="L127" s="115">
        <f t="array" aca="1" ref="L127" ca="1">INDEX(INDIRECT("BS_"&amp;TEXT(L$1,"mmm")&amp;"_"&amp;TEXT(L$1,"yyyy")),MATCH(TRIM($A127),BS_Accounts,0))</f>
        <v>0</v>
      </c>
      <c r="M127" s="115">
        <f t="array" aca="1" ref="M127" ca="1">INDEX(INDIRECT("BS_"&amp;TEXT(M$1,"mmm")&amp;"_"&amp;TEXT(M$1,"yyyy")),MATCH(TRIM($A127),BS_Accounts,0))</f>
        <v>0</v>
      </c>
      <c r="N127" s="115">
        <f t="array" aca="1" ref="N127" ca="1">INDEX(INDIRECT("BS_"&amp;TEXT(N$1,"mmm")&amp;"_"&amp;TEXT(N$1,"yyyy")),MATCH(TRIM($A127),BS_Accounts,0))</f>
        <v>0</v>
      </c>
      <c r="O127" s="115">
        <f t="array" aca="1" ref="O127" ca="1">INDEX(INDIRECT("BS_"&amp;TEXT(O$1,"mmm")&amp;"_"&amp;TEXT(O$1,"yyyy")),MATCH(TRIM($A127),BS_Accounts,0))</f>
        <v>0</v>
      </c>
      <c r="P127" s="115">
        <f t="array" aca="1" ref="P127" ca="1">INDEX(INDIRECT("BS_"&amp;TEXT(P$1,"mmm")&amp;"_"&amp;TEXT(P$1,"yyyy")),MATCH(TRIM($A127),BS_Accounts,0))</f>
        <v>0</v>
      </c>
      <c r="Q127" s="115">
        <f t="array" aca="1" ref="Q127" ca="1">INDEX(INDIRECT("BS_"&amp;TEXT(Q$1,"mmm")&amp;"_"&amp;TEXT(Q$1,"yyyy")),MATCH(TRIM($A127),BS_Accounts,0))</f>
        <v>0</v>
      </c>
      <c r="R127" s="115">
        <f t="array" aca="1" ref="R127" ca="1">INDEX(INDIRECT("BS_"&amp;TEXT(R$1,"mmm")&amp;"_"&amp;TEXT(R$1,"yyyy")),MATCH(TRIM($A127),BS_Accounts,0))</f>
        <v>0</v>
      </c>
      <c r="S127" s="115">
        <f t="array" aca="1" ref="S127" ca="1">INDEX(INDIRECT("BS_"&amp;TEXT(S$1,"mmm")&amp;"_"&amp;TEXT(S$1,"yyyy")),MATCH(TRIM($A127),BS_Accounts,0))</f>
        <v>0</v>
      </c>
      <c r="T127" s="115">
        <f t="array" aca="1" ref="T127" ca="1">INDEX(INDIRECT("BS_"&amp;TEXT(T$1,"mmm")&amp;"_"&amp;TEXT(T$1,"yyyy")),MATCH(TRIM($A127),BS_Accounts,0))</f>
        <v>0</v>
      </c>
      <c r="U127" s="115">
        <f t="array" aca="1" ref="U127" ca="1">INDEX(INDIRECT("BS_"&amp;TEXT(U$1,"mmm")&amp;"_"&amp;TEXT(U$1,"yyyy")),MATCH(TRIM($A127),BS_Accounts,0))</f>
        <v>0</v>
      </c>
      <c r="V127" s="115">
        <f t="array" aca="1" ref="V127" ca="1">INDEX(INDIRECT("BS_"&amp;TEXT(V$1,"mmm")&amp;"_"&amp;TEXT(V$1,"yyyy")),MATCH(TRIM($A127),BS_Accounts,0))</f>
        <v>0</v>
      </c>
      <c r="W127" s="115">
        <f t="array" aca="1" ref="W127" ca="1">INDEX(INDIRECT("BS_"&amp;TEXT(W$1,"mmm")&amp;"_"&amp;TEXT(W$1,"yyyy")),MATCH(TRIM($A127),BS_Accounts,0))</f>
        <v>0</v>
      </c>
      <c r="X127" s="115">
        <f t="array" aca="1" ref="X127" ca="1">INDEX(INDIRECT("BS_"&amp;TEXT(X$1,"mmm")&amp;"_"&amp;TEXT(X$1,"yyyy")),MATCH(TRIM($A127),BS_Accounts,0))</f>
        <v>0</v>
      </c>
      <c r="Y127" s="115">
        <f t="array" aca="1" ref="Y127" ca="1">INDEX(INDIRECT("BS_"&amp;TEXT(Y$1,"mmm")&amp;"_"&amp;TEXT(Y$1,"yyyy")),MATCH(TRIM($A127),BS_Accounts,0))</f>
        <v>0</v>
      </c>
      <c r="Z127" s="115">
        <f t="array" aca="1" ref="Z127" ca="1">INDEX(INDIRECT("BS_"&amp;TEXT(Z$1,"mmm")&amp;"_"&amp;TEXT(Z$1,"yyyy")),MATCH(TRIM($A127),BS_Accounts,0))</f>
        <v>0</v>
      </c>
      <c r="AA127" s="115">
        <f t="array" aca="1" ref="AA127" ca="1">INDEX(INDIRECT("BS_"&amp;TEXT(AA$1,"mmm")&amp;"_"&amp;TEXT(AA$1,"yyyy")),MATCH(TRIM($A127),BS_Accounts,0))</f>
        <v>0</v>
      </c>
      <c r="AB127" s="115">
        <f t="array" aca="1" ref="AB127" ca="1">INDEX(INDIRECT("BS_"&amp;TEXT(AB$1,"mmm")&amp;"_"&amp;TEXT(AB$1,"yyyy")),MATCH(TRIM($A127),BS_Accounts,0))</f>
        <v>0</v>
      </c>
      <c r="AC127" s="115">
        <f t="array" aca="1" ref="AC127" ca="1">INDEX(INDIRECT("BS_"&amp;TEXT(AC$1,"mmm")&amp;"_"&amp;TEXT(AC$1,"yyyy")),MATCH(TRIM($A127),BS_Accounts,0))</f>
        <v>0</v>
      </c>
      <c r="AD127" s="115">
        <f t="array" aca="1" ref="AD127" ca="1">INDEX(INDIRECT("BS_"&amp;TEXT(AD$1,"mmm")&amp;"_"&amp;TEXT(AD$1,"yyyy")),MATCH(TRIM($A127),BS_Accounts,0))</f>
        <v>0</v>
      </c>
      <c r="AE127" s="115">
        <f t="array" aca="1" ref="AE127" ca="1">INDEX(INDIRECT("BS_"&amp;TEXT(AE$1,"mmm")&amp;"_"&amp;TEXT(AE$1,"yyyy")),MATCH(TRIM($A127),BS_Accounts,0))</f>
        <v>0</v>
      </c>
    </row>
    <row r="128" spans="1:75" ht="12.75" x14ac:dyDescent="0.2">
      <c r="A128" s="23" t="s">
        <v>368</v>
      </c>
      <c r="B128" s="221"/>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25">
        <f t="array" aca="1" ref="AF128" ca="1">INDEX(Deferred_Revenue_Balance,MATCH(AF$1,Deferred_Revenue_Months,0))</f>
        <v>0</v>
      </c>
      <c r="AG128" s="25">
        <f t="array" aca="1" ref="AG128" ca="1">INDEX(Deferred_Revenue_Balance,MATCH(AG$1,Deferred_Revenue_Months,0))</f>
        <v>0</v>
      </c>
      <c r="AH128" s="25">
        <f t="array" aca="1" ref="AH128" ca="1">INDEX(Deferred_Revenue_Balance,MATCH(AH$1,Deferred_Revenue_Months,0))</f>
        <v>0</v>
      </c>
      <c r="AI128" s="25">
        <f t="array" aca="1" ref="AI128" ca="1">INDEX(Deferred_Revenue_Balance,MATCH(AI$1,Deferred_Revenue_Months,0))</f>
        <v>0</v>
      </c>
      <c r="AJ128" s="25">
        <f t="array" aca="1" ref="AJ128" ca="1">INDEX(Deferred_Revenue_Balance,MATCH(AJ$1,Deferred_Revenue_Months,0))</f>
        <v>0</v>
      </c>
      <c r="AK128" s="25">
        <f t="array" aca="1" ref="AK128" ca="1">INDEX(Deferred_Revenue_Balance,MATCH(AK$1,Deferred_Revenue_Months,0))</f>
        <v>0</v>
      </c>
      <c r="AL128" s="25">
        <f t="array" aca="1" ref="AL128" ca="1">INDEX(Deferred_Revenue_Balance,MATCH(AL$1,Deferred_Revenue_Months,0))</f>
        <v>0</v>
      </c>
      <c r="AM128" s="25">
        <f t="array" aca="1" ref="AM128" ca="1">INDEX(Deferred_Revenue_Balance,MATCH(AM$1,Deferred_Revenue_Months,0))</f>
        <v>0</v>
      </c>
      <c r="AN128" s="25">
        <f t="array" aca="1" ref="AN128" ca="1">INDEX(Deferred_Revenue_Balance,MATCH(AN$1,Deferred_Revenue_Months,0))</f>
        <v>0</v>
      </c>
      <c r="AO128" s="25">
        <f t="array" aca="1" ref="AO128" ca="1">INDEX(Deferred_Revenue_Balance,MATCH(AO$1,Deferred_Revenue_Months,0))</f>
        <v>0</v>
      </c>
      <c r="AP128" s="25">
        <f t="array" aca="1" ref="AP128" ca="1">INDEX(Deferred_Revenue_Balance,MATCH(AP$1,Deferred_Revenue_Months,0))</f>
        <v>0</v>
      </c>
      <c r="AQ128" s="25">
        <f t="array" aca="1" ref="AQ128" ca="1">INDEX(Deferred_Revenue_Balance,MATCH(AQ$1,Deferred_Revenue_Months,0))</f>
        <v>0</v>
      </c>
      <c r="AR128" s="25">
        <f t="array" aca="1" ref="AR128" ca="1">INDEX(Deferred_Revenue_Balance,MATCH(AR$1,Deferred_Revenue_Months,0))</f>
        <v>0</v>
      </c>
      <c r="AS128" s="25">
        <f t="array" aca="1" ref="AS128" ca="1">INDEX(Deferred_Revenue_Balance,MATCH(AS$1,Deferred_Revenue_Months,0))</f>
        <v>0</v>
      </c>
      <c r="AT128" s="25">
        <f t="array" aca="1" ref="AT128" ca="1">INDEX(Deferred_Revenue_Balance,MATCH(AT$1,Deferred_Revenue_Months,0))</f>
        <v>0</v>
      </c>
      <c r="AU128" s="25">
        <f t="array" aca="1" ref="AU128" ca="1">INDEX(Deferred_Revenue_Balance,MATCH(AU$1,Deferred_Revenue_Months,0))</f>
        <v>0</v>
      </c>
      <c r="AV128" s="25">
        <f t="array" aca="1" ref="AV128" ca="1">INDEX(Deferred_Revenue_Balance,MATCH(AV$1,Deferred_Revenue_Months,0))</f>
        <v>0</v>
      </c>
      <c r="AW128" s="25">
        <f t="array" aca="1" ref="AW128" ca="1">INDEX(Deferred_Revenue_Balance,MATCH(AW$1,Deferred_Revenue_Months,0))</f>
        <v>0</v>
      </c>
      <c r="AX128" s="25">
        <f t="array" aca="1" ref="AX128" ca="1">INDEX(Deferred_Revenue_Balance,MATCH(AX$1,Deferred_Revenue_Months,0))</f>
        <v>0</v>
      </c>
      <c r="AY128" s="25">
        <f t="array" aca="1" ref="AY128" ca="1">INDEX(Deferred_Revenue_Balance,MATCH(AY$1,Deferred_Revenue_Months,0))</f>
        <v>0</v>
      </c>
      <c r="AZ128" s="25">
        <f t="array" aca="1" ref="AZ128" ca="1">INDEX(Deferred_Revenue_Balance,MATCH(AZ$1,Deferred_Revenue_Months,0))</f>
        <v>0</v>
      </c>
      <c r="BA128" s="25">
        <f t="array" aca="1" ref="BA128" ca="1">INDEX(Deferred_Revenue_Balance,MATCH(BA$1,Deferred_Revenue_Months,0))</f>
        <v>0</v>
      </c>
      <c r="BB128" s="25">
        <f t="array" aca="1" ref="BB128" ca="1">INDEX(Deferred_Revenue_Balance,MATCH(BB$1,Deferred_Revenue_Months,0))</f>
        <v>0</v>
      </c>
      <c r="BC128" s="25">
        <f t="array" aca="1" ref="BC128" ca="1">INDEX(Deferred_Revenue_Balance,MATCH(BC$1,Deferred_Revenue_Months,0))</f>
        <v>0</v>
      </c>
      <c r="BD128" s="25">
        <f t="array" aca="1" ref="BD128" ca="1">INDEX(Deferred_Revenue_Balance,MATCH(BD$1,Deferred_Revenue_Months,0))</f>
        <v>0</v>
      </c>
      <c r="BE128" s="25">
        <f t="array" aca="1" ref="BE128" ca="1">INDEX(Deferred_Revenue_Balance,MATCH(BE$1,Deferred_Revenue_Months,0))</f>
        <v>0</v>
      </c>
      <c r="BF128" s="25">
        <f t="array" aca="1" ref="BF128" ca="1">INDEX(Deferred_Revenue_Balance,MATCH(BF$1,Deferred_Revenue_Months,0))</f>
        <v>0</v>
      </c>
      <c r="BG128" s="25">
        <f t="array" aca="1" ref="BG128" ca="1">INDEX(Deferred_Revenue_Balance,MATCH(BG$1,Deferred_Revenue_Months,0))</f>
        <v>0</v>
      </c>
      <c r="BH128" s="25">
        <f t="array" aca="1" ref="BH128" ca="1">INDEX(Deferred_Revenue_Balance,MATCH(BH$1,Deferred_Revenue_Months,0))</f>
        <v>0</v>
      </c>
      <c r="BI128" s="25">
        <f t="array" aca="1" ref="BI128" ca="1">INDEX(Deferred_Revenue_Balance,MATCH(BI$1,Deferred_Revenue_Months,0))</f>
        <v>0</v>
      </c>
      <c r="BJ128" s="25">
        <f t="array" aca="1" ref="BJ128" ca="1">INDEX(Deferred_Revenue_Balance,MATCH(BJ$1,Deferred_Revenue_Months,0))</f>
        <v>0</v>
      </c>
      <c r="BK128" s="25">
        <f t="array" aca="1" ref="BK128" ca="1">INDEX(Deferred_Revenue_Balance,MATCH(BK$1,Deferred_Revenue_Months,0))</f>
        <v>0</v>
      </c>
      <c r="BL128" s="25">
        <f t="array" aca="1" ref="BL128" ca="1">INDEX(Deferred_Revenue_Balance,MATCH(BL$1,Deferred_Revenue_Months,0))</f>
        <v>0</v>
      </c>
      <c r="BM128" s="25">
        <f t="array" aca="1" ref="BM128" ca="1">INDEX(Deferred_Revenue_Balance,MATCH(BM$1,Deferred_Revenue_Months,0))</f>
        <v>0</v>
      </c>
      <c r="BN128" s="25">
        <f t="array" aca="1" ref="BN128" ca="1">INDEX(Deferred_Revenue_Balance,MATCH(BN$1,Deferred_Revenue_Months,0))</f>
        <v>0</v>
      </c>
      <c r="BO128" s="25">
        <f t="array" aca="1" ref="BO128" ca="1">INDEX(Deferred_Revenue_Balance,MATCH(BO$1,Deferred_Revenue_Months,0))</f>
        <v>0</v>
      </c>
      <c r="BP128" s="25" t="e">
        <f t="array" ref="BP128">INDEX(Deferred_Revenue_Balance,MATCH(BP$1,Deferred_Revenue_Months,0))</f>
        <v>#N/A</v>
      </c>
      <c r="BQ128" s="25" t="e">
        <f t="array" ref="BQ128">INDEX(Deferred_Revenue_Balance,MATCH(BQ$1,Deferred_Revenue_Months,0))</f>
        <v>#N/A</v>
      </c>
      <c r="BR128" s="25" t="e">
        <f t="array" ref="BR128">INDEX(Deferred_Revenue_Balance,MATCH(BR$1,Deferred_Revenue_Months,0))</f>
        <v>#N/A</v>
      </c>
      <c r="BS128" s="25" t="e">
        <f t="array" ref="BS128">INDEX(Deferred_Revenue_Balance,MATCH(BS$1,Deferred_Revenue_Months,0))</f>
        <v>#N/A</v>
      </c>
      <c r="BT128" s="25" t="e">
        <f t="array" ref="BT128">INDEX(Deferred_Revenue_Balance,MATCH(BT$1,Deferred_Revenue_Months,0))</f>
        <v>#N/A</v>
      </c>
      <c r="BU128" s="25" t="e">
        <f t="array" ref="BU128">INDEX(Deferred_Revenue_Balance,MATCH(BU$1,Deferred_Revenue_Months,0))</f>
        <v>#N/A</v>
      </c>
      <c r="BV128" s="25" t="e">
        <f t="array" ref="BV128">INDEX(Deferred_Revenue_Balance,MATCH(BV$1,Deferred_Revenue_Months,0))</f>
        <v>#N/A</v>
      </c>
      <c r="BW128" s="25" t="e">
        <f t="array" ref="BW128">INDEX(Deferred_Revenue_Balance,MATCH(BW$1,Deferred_Revenue_Months,0))</f>
        <v>#N/A</v>
      </c>
    </row>
    <row r="129" spans="1:75" ht="12.75" x14ac:dyDescent="0.2">
      <c r="A129" s="23" t="s">
        <v>369</v>
      </c>
      <c r="B129" s="224">
        <f ca="1">AVERAGEIFS(129:129,$1:$1,"&gt;="&amp;DATE(YEAR(Current_Month),MONTH(Current_Month),DAY(Current_Month)),$1:$1,"&lt;="&amp;EOMONTH(Current_Month,0))</f>
        <v>-352</v>
      </c>
      <c r="D129" s="115">
        <f t="array" aca="1" ref="D129" ca="1">INDEX(INDIRECT("BS_"&amp;TEXT(D$1,"mmm")&amp;"_"&amp;TEXT(D$1,"yyyy")),MATCH(TRIM($A129),BS_Accounts,0))</f>
        <v>-239</v>
      </c>
      <c r="E129" s="115">
        <f t="array" aca="1" ref="E129" ca="1">INDEX(INDIRECT("BS_"&amp;TEXT(E$1,"mmm")&amp;"_"&amp;TEXT(E$1,"yyyy")),MATCH(TRIM($A129),BS_Accounts,0))</f>
        <v>-352</v>
      </c>
      <c r="F129" s="115">
        <f t="array" aca="1" ref="F129" ca="1">INDEX(INDIRECT("BS_"&amp;TEXT(F$1,"mmm")&amp;"_"&amp;TEXT(F$1,"yyyy")),MATCH(TRIM($A129),BS_Accounts,0))</f>
        <v>-352</v>
      </c>
      <c r="G129" s="115">
        <f t="array" aca="1" ref="G129" ca="1">INDEX(INDIRECT("BS_"&amp;TEXT(G$1,"mmm")&amp;"_"&amp;TEXT(G$1,"yyyy")),MATCH(TRIM($A129),BS_Accounts,0))</f>
        <v>-352</v>
      </c>
      <c r="H129" s="115">
        <f t="array" aca="1" ref="H129" ca="1">INDEX(INDIRECT("BS_"&amp;TEXT(H$1,"mmm")&amp;"_"&amp;TEXT(H$1,"yyyy")),MATCH(TRIM($A129),BS_Accounts,0))</f>
        <v>-352</v>
      </c>
      <c r="I129" s="115">
        <f t="array" aca="1" ref="I129" ca="1">INDEX(INDIRECT("BS_"&amp;TEXT(I$1,"mmm")&amp;"_"&amp;TEXT(I$1,"yyyy")),MATCH(TRIM($A129),BS_Accounts,0))</f>
        <v>-352</v>
      </c>
      <c r="J129" s="115">
        <f t="array" aca="1" ref="J129" ca="1">INDEX(INDIRECT("BS_"&amp;TEXT(J$1,"mmm")&amp;"_"&amp;TEXT(J$1,"yyyy")),MATCH(TRIM($A129),BS_Accounts,0))</f>
        <v>-352</v>
      </c>
      <c r="K129" s="115">
        <f t="array" aca="1" ref="K129" ca="1">INDEX(INDIRECT("BS_"&amp;TEXT(K$1,"mmm")&amp;"_"&amp;TEXT(K$1,"yyyy")),MATCH(TRIM($A129),BS_Accounts,0))</f>
        <v>-352</v>
      </c>
      <c r="L129" s="115">
        <f t="array" aca="1" ref="L129" ca="1">INDEX(INDIRECT("BS_"&amp;TEXT(L$1,"mmm")&amp;"_"&amp;TEXT(L$1,"yyyy")),MATCH(TRIM($A129),BS_Accounts,0))</f>
        <v>-352</v>
      </c>
      <c r="M129" s="115">
        <f t="array" aca="1" ref="M129" ca="1">INDEX(INDIRECT("BS_"&amp;TEXT(M$1,"mmm")&amp;"_"&amp;TEXT(M$1,"yyyy")),MATCH(TRIM($A129),BS_Accounts,0))</f>
        <v>-352</v>
      </c>
      <c r="N129" s="115">
        <f t="array" aca="1" ref="N129" ca="1">INDEX(INDIRECT("BS_"&amp;TEXT(N$1,"mmm")&amp;"_"&amp;TEXT(N$1,"yyyy")),MATCH(TRIM($A129),BS_Accounts,0))</f>
        <v>-352</v>
      </c>
      <c r="O129" s="115">
        <f t="array" aca="1" ref="O129" ca="1">INDEX(INDIRECT("BS_"&amp;TEXT(O$1,"mmm")&amp;"_"&amp;TEXT(O$1,"yyyy")),MATCH(TRIM($A129),BS_Accounts,0))</f>
        <v>-352</v>
      </c>
      <c r="P129" s="115">
        <f t="array" aca="1" ref="P129" ca="1">INDEX(INDIRECT("BS_"&amp;TEXT(P$1,"mmm")&amp;"_"&amp;TEXT(P$1,"yyyy")),MATCH(TRIM($A129),BS_Accounts,0))</f>
        <v>-352</v>
      </c>
      <c r="Q129" s="115">
        <f t="array" aca="1" ref="Q129" ca="1">INDEX(INDIRECT("BS_"&amp;TEXT(Q$1,"mmm")&amp;"_"&amp;TEXT(Q$1,"yyyy")),MATCH(TRIM($A129),BS_Accounts,0))</f>
        <v>-352</v>
      </c>
      <c r="R129" s="115">
        <f t="array" aca="1" ref="R129" ca="1">INDEX(INDIRECT("BS_"&amp;TEXT(R$1,"mmm")&amp;"_"&amp;TEXT(R$1,"yyyy")),MATCH(TRIM($A129),BS_Accounts,0))</f>
        <v>-352</v>
      </c>
      <c r="S129" s="115">
        <f t="array" aca="1" ref="S129" ca="1">INDEX(INDIRECT("BS_"&amp;TEXT(S$1,"mmm")&amp;"_"&amp;TEXT(S$1,"yyyy")),MATCH(TRIM($A129),BS_Accounts,0))</f>
        <v>-352</v>
      </c>
      <c r="T129" s="115">
        <f t="array" aca="1" ref="T129" ca="1">INDEX(INDIRECT("BS_"&amp;TEXT(T$1,"mmm")&amp;"_"&amp;TEXT(T$1,"yyyy")),MATCH(TRIM($A129),BS_Accounts,0))</f>
        <v>-352</v>
      </c>
      <c r="U129" s="115">
        <f t="array" aca="1" ref="U129" ca="1">INDEX(INDIRECT("BS_"&amp;TEXT(U$1,"mmm")&amp;"_"&amp;TEXT(U$1,"yyyy")),MATCH(TRIM($A129),BS_Accounts,0))</f>
        <v>-352</v>
      </c>
      <c r="V129" s="115">
        <f t="array" aca="1" ref="V129" ca="1">INDEX(INDIRECT("BS_"&amp;TEXT(V$1,"mmm")&amp;"_"&amp;TEXT(V$1,"yyyy")),MATCH(TRIM($A129),BS_Accounts,0))</f>
        <v>-352</v>
      </c>
      <c r="W129" s="115">
        <f t="array" aca="1" ref="W129" ca="1">INDEX(INDIRECT("BS_"&amp;TEXT(W$1,"mmm")&amp;"_"&amp;TEXT(W$1,"yyyy")),MATCH(TRIM($A129),BS_Accounts,0))</f>
        <v>-352</v>
      </c>
      <c r="X129" s="115">
        <f t="array" aca="1" ref="X129" ca="1">INDEX(INDIRECT("BS_"&amp;TEXT(X$1,"mmm")&amp;"_"&amp;TEXT(X$1,"yyyy")),MATCH(TRIM($A129),BS_Accounts,0))</f>
        <v>-352</v>
      </c>
      <c r="Y129" s="115">
        <f t="array" aca="1" ref="Y129" ca="1">INDEX(INDIRECT("BS_"&amp;TEXT(Y$1,"mmm")&amp;"_"&amp;TEXT(Y$1,"yyyy")),MATCH(TRIM($A129),BS_Accounts,0))</f>
        <v>-352</v>
      </c>
      <c r="Z129" s="115">
        <f t="array" aca="1" ref="Z129" ca="1">INDEX(INDIRECT("BS_"&amp;TEXT(Z$1,"mmm")&amp;"_"&amp;TEXT(Z$1,"yyyy")),MATCH(TRIM($A129),BS_Accounts,0))</f>
        <v>-352</v>
      </c>
      <c r="AA129" s="115">
        <f t="array" aca="1" ref="AA129" ca="1">INDEX(INDIRECT("BS_"&amp;TEXT(AA$1,"mmm")&amp;"_"&amp;TEXT(AA$1,"yyyy")),MATCH(TRIM($A129),BS_Accounts,0))</f>
        <v>-352</v>
      </c>
      <c r="AB129" s="115">
        <f t="array" aca="1" ref="AB129" ca="1">INDEX(INDIRECT("BS_"&amp;TEXT(AB$1,"mmm")&amp;"_"&amp;TEXT(AB$1,"yyyy")),MATCH(TRIM($A129),BS_Accounts,0))</f>
        <v>-352</v>
      </c>
      <c r="AC129" s="115">
        <f t="array" aca="1" ref="AC129" ca="1">INDEX(INDIRECT("BS_"&amp;TEXT(AC$1,"mmm")&amp;"_"&amp;TEXT(AC$1,"yyyy")),MATCH(TRIM($A129),BS_Accounts,0))</f>
        <v>-352</v>
      </c>
      <c r="AD129" s="115">
        <f t="array" aca="1" ref="AD129" ca="1">INDEX(INDIRECT("BS_"&amp;TEXT(AD$1,"mmm")&amp;"_"&amp;TEXT(AD$1,"yyyy")),MATCH(TRIM($A129),BS_Accounts,0))</f>
        <v>-352</v>
      </c>
      <c r="AE129" s="115">
        <f t="array" aca="1" ref="AE129" ca="1">INDEX(INDIRECT("BS_"&amp;TEXT(AE$1,"mmm")&amp;"_"&amp;TEXT(AE$1,"yyyy")),MATCH(TRIM($A129),BS_Accounts,0))</f>
        <v>-352</v>
      </c>
      <c r="AF129" s="165">
        <f t="shared" ref="AF129:BW129" ca="1" si="68">$B129</f>
        <v>-352</v>
      </c>
      <c r="AG129" s="165">
        <f t="shared" ca="1" si="68"/>
        <v>-352</v>
      </c>
      <c r="AH129" s="165">
        <f t="shared" ca="1" si="68"/>
        <v>-352</v>
      </c>
      <c r="AI129" s="165">
        <f t="shared" ca="1" si="68"/>
        <v>-352</v>
      </c>
      <c r="AJ129" s="165">
        <f t="shared" ca="1" si="68"/>
        <v>-352</v>
      </c>
      <c r="AK129" s="165">
        <f t="shared" ca="1" si="68"/>
        <v>-352</v>
      </c>
      <c r="AL129" s="165">
        <f t="shared" ca="1" si="68"/>
        <v>-352</v>
      </c>
      <c r="AM129" s="165">
        <f t="shared" ca="1" si="68"/>
        <v>-352</v>
      </c>
      <c r="AN129" s="165">
        <f t="shared" ca="1" si="68"/>
        <v>-352</v>
      </c>
      <c r="AO129" s="165">
        <f t="shared" ca="1" si="68"/>
        <v>-352</v>
      </c>
      <c r="AP129" s="165">
        <f t="shared" ca="1" si="68"/>
        <v>-352</v>
      </c>
      <c r="AQ129" s="165">
        <f t="shared" ca="1" si="68"/>
        <v>-352</v>
      </c>
      <c r="AR129" s="165">
        <f t="shared" ca="1" si="68"/>
        <v>-352</v>
      </c>
      <c r="AS129" s="165">
        <f t="shared" ca="1" si="68"/>
        <v>-352</v>
      </c>
      <c r="AT129" s="165">
        <f t="shared" ca="1" si="68"/>
        <v>-352</v>
      </c>
      <c r="AU129" s="165">
        <f t="shared" ca="1" si="68"/>
        <v>-352</v>
      </c>
      <c r="AV129" s="165">
        <f t="shared" ca="1" si="68"/>
        <v>-352</v>
      </c>
      <c r="AW129" s="165">
        <f t="shared" ca="1" si="68"/>
        <v>-352</v>
      </c>
      <c r="AX129" s="165">
        <f t="shared" ca="1" si="68"/>
        <v>-352</v>
      </c>
      <c r="AY129" s="165">
        <f t="shared" ca="1" si="68"/>
        <v>-352</v>
      </c>
      <c r="AZ129" s="165">
        <f t="shared" ca="1" si="68"/>
        <v>-352</v>
      </c>
      <c r="BA129" s="165">
        <f t="shared" ca="1" si="68"/>
        <v>-352</v>
      </c>
      <c r="BB129" s="165">
        <f t="shared" ca="1" si="68"/>
        <v>-352</v>
      </c>
      <c r="BC129" s="165">
        <f t="shared" ca="1" si="68"/>
        <v>-352</v>
      </c>
      <c r="BD129" s="165">
        <f t="shared" ca="1" si="68"/>
        <v>-352</v>
      </c>
      <c r="BE129" s="165">
        <f t="shared" ca="1" si="68"/>
        <v>-352</v>
      </c>
      <c r="BF129" s="165">
        <f t="shared" ca="1" si="68"/>
        <v>-352</v>
      </c>
      <c r="BG129" s="165">
        <f t="shared" ca="1" si="68"/>
        <v>-352</v>
      </c>
      <c r="BH129" s="165">
        <f t="shared" ca="1" si="68"/>
        <v>-352</v>
      </c>
      <c r="BI129" s="165">
        <f t="shared" ca="1" si="68"/>
        <v>-352</v>
      </c>
      <c r="BJ129" s="165">
        <f t="shared" ca="1" si="68"/>
        <v>-352</v>
      </c>
      <c r="BK129" s="165">
        <f t="shared" ca="1" si="68"/>
        <v>-352</v>
      </c>
      <c r="BL129" s="165">
        <f t="shared" ca="1" si="68"/>
        <v>-352</v>
      </c>
      <c r="BM129" s="165">
        <f t="shared" ca="1" si="68"/>
        <v>-352</v>
      </c>
      <c r="BN129" s="165">
        <f t="shared" ca="1" si="68"/>
        <v>-352</v>
      </c>
      <c r="BO129" s="165">
        <f t="shared" ca="1" si="68"/>
        <v>-352</v>
      </c>
      <c r="BP129" s="165">
        <f t="shared" ca="1" si="68"/>
        <v>-352</v>
      </c>
      <c r="BQ129" s="165">
        <f t="shared" ca="1" si="68"/>
        <v>-352</v>
      </c>
      <c r="BR129" s="165">
        <f t="shared" ca="1" si="68"/>
        <v>-352</v>
      </c>
      <c r="BS129" s="165">
        <f t="shared" ca="1" si="68"/>
        <v>-352</v>
      </c>
      <c r="BT129" s="165">
        <f t="shared" ca="1" si="68"/>
        <v>-352</v>
      </c>
      <c r="BU129" s="165">
        <f t="shared" ca="1" si="68"/>
        <v>-352</v>
      </c>
      <c r="BV129" s="165">
        <f t="shared" ca="1" si="68"/>
        <v>-352</v>
      </c>
      <c r="BW129" s="165">
        <f t="shared" ca="1" si="68"/>
        <v>-352</v>
      </c>
    </row>
    <row r="130" spans="1:75" ht="12.75" x14ac:dyDescent="0.2">
      <c r="A130" s="60" t="s">
        <v>370</v>
      </c>
      <c r="B130" s="238"/>
      <c r="C130" s="212"/>
      <c r="D130" s="226">
        <f t="shared" ref="D130:BW130" ca="1" si="69">SUM(D127:D129)</f>
        <v>-239</v>
      </c>
      <c r="E130" s="226">
        <f t="shared" ca="1" si="69"/>
        <v>-352</v>
      </c>
      <c r="F130" s="226">
        <f t="shared" ca="1" si="69"/>
        <v>-352</v>
      </c>
      <c r="G130" s="226">
        <f t="shared" ca="1" si="69"/>
        <v>-352</v>
      </c>
      <c r="H130" s="226">
        <f t="shared" ca="1" si="69"/>
        <v>-352</v>
      </c>
      <c r="I130" s="226">
        <f t="shared" ca="1" si="69"/>
        <v>-352</v>
      </c>
      <c r="J130" s="226">
        <f t="shared" ca="1" si="69"/>
        <v>-352</v>
      </c>
      <c r="K130" s="226">
        <f t="shared" ca="1" si="69"/>
        <v>-352</v>
      </c>
      <c r="L130" s="226">
        <f t="shared" ca="1" si="69"/>
        <v>-352</v>
      </c>
      <c r="M130" s="226">
        <f t="shared" ca="1" si="69"/>
        <v>-352</v>
      </c>
      <c r="N130" s="226">
        <f t="shared" ca="1" si="69"/>
        <v>-352</v>
      </c>
      <c r="O130" s="226">
        <f t="shared" ca="1" si="69"/>
        <v>-352</v>
      </c>
      <c r="P130" s="226">
        <f t="shared" ca="1" si="69"/>
        <v>-352</v>
      </c>
      <c r="Q130" s="226">
        <f t="shared" ca="1" si="69"/>
        <v>-352</v>
      </c>
      <c r="R130" s="226">
        <f t="shared" ca="1" si="69"/>
        <v>-352</v>
      </c>
      <c r="S130" s="226">
        <f t="shared" ca="1" si="69"/>
        <v>-352</v>
      </c>
      <c r="T130" s="226">
        <f t="shared" ca="1" si="69"/>
        <v>-352</v>
      </c>
      <c r="U130" s="226">
        <f t="shared" ca="1" si="69"/>
        <v>-352</v>
      </c>
      <c r="V130" s="226">
        <f t="shared" ca="1" si="69"/>
        <v>-352</v>
      </c>
      <c r="W130" s="226">
        <f t="shared" ca="1" si="69"/>
        <v>-352</v>
      </c>
      <c r="X130" s="226">
        <f t="shared" ca="1" si="69"/>
        <v>-352</v>
      </c>
      <c r="Y130" s="226">
        <f t="shared" ca="1" si="69"/>
        <v>-352</v>
      </c>
      <c r="Z130" s="226">
        <f t="shared" ca="1" si="69"/>
        <v>-352</v>
      </c>
      <c r="AA130" s="226">
        <f t="shared" ca="1" si="69"/>
        <v>-352</v>
      </c>
      <c r="AB130" s="226">
        <f t="shared" ca="1" si="69"/>
        <v>-352</v>
      </c>
      <c r="AC130" s="226">
        <f t="shared" ca="1" si="69"/>
        <v>-352</v>
      </c>
      <c r="AD130" s="226">
        <f t="shared" ca="1" si="69"/>
        <v>-352</v>
      </c>
      <c r="AE130" s="226">
        <f t="shared" ca="1" si="69"/>
        <v>-352</v>
      </c>
      <c r="AF130" s="226">
        <f t="shared" ca="1" si="69"/>
        <v>-352</v>
      </c>
      <c r="AG130" s="226">
        <f t="shared" ca="1" si="69"/>
        <v>-352</v>
      </c>
      <c r="AH130" s="226">
        <f t="shared" ca="1" si="69"/>
        <v>-352</v>
      </c>
      <c r="AI130" s="226">
        <f t="shared" ca="1" si="69"/>
        <v>-352</v>
      </c>
      <c r="AJ130" s="226">
        <f t="shared" ca="1" si="69"/>
        <v>-352</v>
      </c>
      <c r="AK130" s="226">
        <f t="shared" ca="1" si="69"/>
        <v>-352</v>
      </c>
      <c r="AL130" s="226">
        <f t="shared" ca="1" si="69"/>
        <v>-352</v>
      </c>
      <c r="AM130" s="226">
        <f t="shared" ca="1" si="69"/>
        <v>-352</v>
      </c>
      <c r="AN130" s="226">
        <f t="shared" ca="1" si="69"/>
        <v>-352</v>
      </c>
      <c r="AO130" s="226">
        <f t="shared" ca="1" si="69"/>
        <v>-352</v>
      </c>
      <c r="AP130" s="226">
        <f t="shared" ca="1" si="69"/>
        <v>-352</v>
      </c>
      <c r="AQ130" s="226">
        <f t="shared" ca="1" si="69"/>
        <v>-352</v>
      </c>
      <c r="AR130" s="226">
        <f t="shared" ca="1" si="69"/>
        <v>-352</v>
      </c>
      <c r="AS130" s="226">
        <f t="shared" ca="1" si="69"/>
        <v>-352</v>
      </c>
      <c r="AT130" s="226">
        <f t="shared" ca="1" si="69"/>
        <v>-352</v>
      </c>
      <c r="AU130" s="226">
        <f t="shared" ca="1" si="69"/>
        <v>-352</v>
      </c>
      <c r="AV130" s="226">
        <f t="shared" ca="1" si="69"/>
        <v>-352</v>
      </c>
      <c r="AW130" s="226">
        <f t="shared" ca="1" si="69"/>
        <v>-352</v>
      </c>
      <c r="AX130" s="226">
        <f t="shared" ca="1" si="69"/>
        <v>-352</v>
      </c>
      <c r="AY130" s="226">
        <f t="shared" ca="1" si="69"/>
        <v>-352</v>
      </c>
      <c r="AZ130" s="226">
        <f t="shared" ca="1" si="69"/>
        <v>-352</v>
      </c>
      <c r="BA130" s="226">
        <f t="shared" ca="1" si="69"/>
        <v>-352</v>
      </c>
      <c r="BB130" s="226">
        <f t="shared" ca="1" si="69"/>
        <v>-352</v>
      </c>
      <c r="BC130" s="226">
        <f t="shared" ca="1" si="69"/>
        <v>-352</v>
      </c>
      <c r="BD130" s="226">
        <f t="shared" ca="1" si="69"/>
        <v>-352</v>
      </c>
      <c r="BE130" s="226">
        <f t="shared" ca="1" si="69"/>
        <v>-352</v>
      </c>
      <c r="BF130" s="226">
        <f t="shared" ca="1" si="69"/>
        <v>-352</v>
      </c>
      <c r="BG130" s="226">
        <f t="shared" ca="1" si="69"/>
        <v>-352</v>
      </c>
      <c r="BH130" s="226">
        <f t="shared" ca="1" si="69"/>
        <v>-352</v>
      </c>
      <c r="BI130" s="226">
        <f t="shared" ca="1" si="69"/>
        <v>-352</v>
      </c>
      <c r="BJ130" s="226">
        <f t="shared" ca="1" si="69"/>
        <v>-352</v>
      </c>
      <c r="BK130" s="226">
        <f t="shared" ca="1" si="69"/>
        <v>-352</v>
      </c>
      <c r="BL130" s="226">
        <f t="shared" ca="1" si="69"/>
        <v>-352</v>
      </c>
      <c r="BM130" s="226">
        <f t="shared" ca="1" si="69"/>
        <v>-352</v>
      </c>
      <c r="BN130" s="226">
        <f t="shared" ca="1" si="69"/>
        <v>-352</v>
      </c>
      <c r="BO130" s="226">
        <f t="shared" ca="1" si="69"/>
        <v>-352</v>
      </c>
      <c r="BP130" s="226" t="e">
        <f t="shared" si="69"/>
        <v>#N/A</v>
      </c>
      <c r="BQ130" s="226" t="e">
        <f t="shared" si="69"/>
        <v>#N/A</v>
      </c>
      <c r="BR130" s="226" t="e">
        <f t="shared" si="69"/>
        <v>#N/A</v>
      </c>
      <c r="BS130" s="226" t="e">
        <f t="shared" si="69"/>
        <v>#N/A</v>
      </c>
      <c r="BT130" s="226" t="e">
        <f t="shared" si="69"/>
        <v>#N/A</v>
      </c>
      <c r="BU130" s="226" t="e">
        <f t="shared" si="69"/>
        <v>#N/A</v>
      </c>
      <c r="BV130" s="226" t="e">
        <f t="shared" si="69"/>
        <v>#N/A</v>
      </c>
      <c r="BW130" s="226" t="e">
        <f t="shared" si="69"/>
        <v>#N/A</v>
      </c>
    </row>
    <row r="131" spans="1:75" ht="12.75" x14ac:dyDescent="0.2">
      <c r="A131" s="60" t="s">
        <v>371</v>
      </c>
      <c r="B131" s="238"/>
      <c r="C131" s="212"/>
      <c r="D131" s="226">
        <f t="shared" ref="D131:BW131" ca="1" si="70">SUM(D130,D126)</f>
        <v>118</v>
      </c>
      <c r="E131" s="226">
        <f t="shared" ca="1" si="70"/>
        <v>-2108</v>
      </c>
      <c r="F131" s="226">
        <f t="shared" ca="1" si="70"/>
        <v>-2108</v>
      </c>
      <c r="G131" s="226">
        <f t="shared" ca="1" si="70"/>
        <v>-2108</v>
      </c>
      <c r="H131" s="226">
        <f t="shared" ca="1" si="70"/>
        <v>-2108</v>
      </c>
      <c r="I131" s="226">
        <f t="shared" ca="1" si="70"/>
        <v>-2108</v>
      </c>
      <c r="J131" s="226">
        <f t="shared" ca="1" si="70"/>
        <v>-2108</v>
      </c>
      <c r="K131" s="226">
        <f t="shared" ca="1" si="70"/>
        <v>-2108</v>
      </c>
      <c r="L131" s="226">
        <f t="shared" ca="1" si="70"/>
        <v>-2108</v>
      </c>
      <c r="M131" s="226">
        <f t="shared" ca="1" si="70"/>
        <v>-2108</v>
      </c>
      <c r="N131" s="226">
        <f t="shared" ca="1" si="70"/>
        <v>-2108</v>
      </c>
      <c r="O131" s="226">
        <f t="shared" ca="1" si="70"/>
        <v>-2108</v>
      </c>
      <c r="P131" s="226">
        <f t="shared" ca="1" si="70"/>
        <v>-2108</v>
      </c>
      <c r="Q131" s="226">
        <f t="shared" ca="1" si="70"/>
        <v>-2108</v>
      </c>
      <c r="R131" s="226">
        <f t="shared" ca="1" si="70"/>
        <v>-2108</v>
      </c>
      <c r="S131" s="226">
        <f t="shared" ca="1" si="70"/>
        <v>-2108</v>
      </c>
      <c r="T131" s="226">
        <f t="shared" ca="1" si="70"/>
        <v>-2108</v>
      </c>
      <c r="U131" s="226">
        <f t="shared" ca="1" si="70"/>
        <v>-2108</v>
      </c>
      <c r="V131" s="226">
        <f t="shared" ca="1" si="70"/>
        <v>-2108</v>
      </c>
      <c r="W131" s="226">
        <f t="shared" ca="1" si="70"/>
        <v>-2108</v>
      </c>
      <c r="X131" s="226">
        <f t="shared" ca="1" si="70"/>
        <v>-2108</v>
      </c>
      <c r="Y131" s="226">
        <f t="shared" ca="1" si="70"/>
        <v>-2108</v>
      </c>
      <c r="Z131" s="226">
        <f t="shared" ca="1" si="70"/>
        <v>-2108</v>
      </c>
      <c r="AA131" s="226">
        <f t="shared" ca="1" si="70"/>
        <v>-2108</v>
      </c>
      <c r="AB131" s="226">
        <f t="shared" ca="1" si="70"/>
        <v>-2108</v>
      </c>
      <c r="AC131" s="226">
        <f t="shared" ca="1" si="70"/>
        <v>-2108</v>
      </c>
      <c r="AD131" s="226">
        <f t="shared" ca="1" si="70"/>
        <v>-2108</v>
      </c>
      <c r="AE131" s="226">
        <f t="shared" ca="1" si="70"/>
        <v>-2108</v>
      </c>
      <c r="AF131" s="226">
        <f t="shared" ca="1" si="70"/>
        <v>-2108</v>
      </c>
      <c r="AG131" s="226">
        <f t="shared" ca="1" si="70"/>
        <v>-2108</v>
      </c>
      <c r="AH131" s="226">
        <f t="shared" ca="1" si="70"/>
        <v>-2108</v>
      </c>
      <c r="AI131" s="226">
        <f t="shared" ca="1" si="70"/>
        <v>-2108</v>
      </c>
      <c r="AJ131" s="226">
        <f t="shared" ca="1" si="70"/>
        <v>-2108</v>
      </c>
      <c r="AK131" s="226">
        <f t="shared" ca="1" si="70"/>
        <v>-2108</v>
      </c>
      <c r="AL131" s="226">
        <f t="shared" ca="1" si="70"/>
        <v>-2108</v>
      </c>
      <c r="AM131" s="226">
        <f t="shared" ca="1" si="70"/>
        <v>-2108</v>
      </c>
      <c r="AN131" s="226">
        <f t="shared" ca="1" si="70"/>
        <v>-2108</v>
      </c>
      <c r="AO131" s="226">
        <f t="shared" ca="1" si="70"/>
        <v>-2108</v>
      </c>
      <c r="AP131" s="226">
        <f t="shared" ca="1" si="70"/>
        <v>-2108</v>
      </c>
      <c r="AQ131" s="226">
        <f t="shared" ca="1" si="70"/>
        <v>-2108</v>
      </c>
      <c r="AR131" s="226">
        <f t="shared" ca="1" si="70"/>
        <v>-2108</v>
      </c>
      <c r="AS131" s="226">
        <f t="shared" ca="1" si="70"/>
        <v>-2108</v>
      </c>
      <c r="AT131" s="226">
        <f t="shared" ca="1" si="70"/>
        <v>-2108</v>
      </c>
      <c r="AU131" s="226">
        <f t="shared" ca="1" si="70"/>
        <v>-2108</v>
      </c>
      <c r="AV131" s="226">
        <f t="shared" ca="1" si="70"/>
        <v>-2108</v>
      </c>
      <c r="AW131" s="226">
        <f t="shared" ca="1" si="70"/>
        <v>-2108</v>
      </c>
      <c r="AX131" s="226">
        <f t="shared" ca="1" si="70"/>
        <v>-2108</v>
      </c>
      <c r="AY131" s="226">
        <f t="shared" ca="1" si="70"/>
        <v>-2108</v>
      </c>
      <c r="AZ131" s="226">
        <f t="shared" ca="1" si="70"/>
        <v>-2108</v>
      </c>
      <c r="BA131" s="226">
        <f t="shared" ca="1" si="70"/>
        <v>-2108</v>
      </c>
      <c r="BB131" s="226">
        <f t="shared" ca="1" si="70"/>
        <v>-2108</v>
      </c>
      <c r="BC131" s="226">
        <f t="shared" ca="1" si="70"/>
        <v>-2108</v>
      </c>
      <c r="BD131" s="226">
        <f t="shared" ca="1" si="70"/>
        <v>-2108</v>
      </c>
      <c r="BE131" s="226">
        <f t="shared" ca="1" si="70"/>
        <v>-2108</v>
      </c>
      <c r="BF131" s="226">
        <f t="shared" ca="1" si="70"/>
        <v>-2108</v>
      </c>
      <c r="BG131" s="226">
        <f t="shared" ca="1" si="70"/>
        <v>-2108</v>
      </c>
      <c r="BH131" s="226">
        <f t="shared" ca="1" si="70"/>
        <v>-2108</v>
      </c>
      <c r="BI131" s="226">
        <f t="shared" ca="1" si="70"/>
        <v>-2108</v>
      </c>
      <c r="BJ131" s="226">
        <f t="shared" ca="1" si="70"/>
        <v>-2108</v>
      </c>
      <c r="BK131" s="226">
        <f t="shared" ca="1" si="70"/>
        <v>-2108</v>
      </c>
      <c r="BL131" s="226">
        <f t="shared" ca="1" si="70"/>
        <v>-2108</v>
      </c>
      <c r="BM131" s="226">
        <f t="shared" ca="1" si="70"/>
        <v>-2108</v>
      </c>
      <c r="BN131" s="226">
        <f t="shared" ca="1" si="70"/>
        <v>-2108</v>
      </c>
      <c r="BO131" s="226">
        <f t="shared" ca="1" si="70"/>
        <v>-2108</v>
      </c>
      <c r="BP131" s="226" t="e">
        <f t="shared" si="70"/>
        <v>#N/A</v>
      </c>
      <c r="BQ131" s="226" t="e">
        <f t="shared" si="70"/>
        <v>#N/A</v>
      </c>
      <c r="BR131" s="226" t="e">
        <f t="shared" si="70"/>
        <v>#N/A</v>
      </c>
      <c r="BS131" s="226" t="e">
        <f t="shared" si="70"/>
        <v>#N/A</v>
      </c>
      <c r="BT131" s="226" t="e">
        <f t="shared" si="70"/>
        <v>#N/A</v>
      </c>
      <c r="BU131" s="226" t="e">
        <f t="shared" si="70"/>
        <v>#N/A</v>
      </c>
      <c r="BV131" s="226" t="e">
        <f t="shared" si="70"/>
        <v>#N/A</v>
      </c>
      <c r="BW131" s="226" t="e">
        <f t="shared" si="70"/>
        <v>#N/A</v>
      </c>
    </row>
    <row r="132" spans="1:75" ht="12.75" x14ac:dyDescent="0.2">
      <c r="A132" s="69" t="s">
        <v>244</v>
      </c>
      <c r="B132" s="221"/>
      <c r="D132" s="115">
        <f t="array" aca="1" ref="D132" ca="1">INDEX(INDIRECT("BS_"&amp;TEXT(D$1,"mmm")&amp;"_"&amp;TEXT(D$1,"yyyy")),MATCH(TRIM($A131),BS_Accounts,0))-D131</f>
        <v>0</v>
      </c>
      <c r="E132" s="115">
        <f t="array" aca="1" ref="E132" ca="1">INDEX(INDIRECT("BS_"&amp;TEXT(E$1,"mmm")&amp;"_"&amp;TEXT(E$1,"yyyy")),MATCH(TRIM($A131),BS_Accounts,0))-E131</f>
        <v>0</v>
      </c>
      <c r="F132" s="115">
        <f t="array" aca="1" ref="F132" ca="1">INDEX(INDIRECT("BS_"&amp;TEXT(F$1,"mmm")&amp;"_"&amp;TEXT(F$1,"yyyy")),MATCH(TRIM($A131),BS_Accounts,0))-F131</f>
        <v>0</v>
      </c>
      <c r="G132" s="115">
        <f t="array" aca="1" ref="G132" ca="1">INDEX(INDIRECT("BS_"&amp;TEXT(G$1,"mmm")&amp;"_"&amp;TEXT(G$1,"yyyy")),MATCH(TRIM($A131),BS_Accounts,0))-G131</f>
        <v>0</v>
      </c>
      <c r="H132" s="115">
        <f t="array" aca="1" ref="H132" ca="1">INDEX(INDIRECT("BS_"&amp;TEXT(H$1,"mmm")&amp;"_"&amp;TEXT(H$1,"yyyy")),MATCH(TRIM($A131),BS_Accounts,0))-H131</f>
        <v>0</v>
      </c>
      <c r="I132" s="115">
        <f t="array" aca="1" ref="I132" ca="1">INDEX(INDIRECT("BS_"&amp;TEXT(I$1,"mmm")&amp;"_"&amp;TEXT(I$1,"yyyy")),MATCH(TRIM($A131),BS_Accounts,0))-I131</f>
        <v>0</v>
      </c>
      <c r="J132" s="115">
        <f t="array" aca="1" ref="J132" ca="1">INDEX(INDIRECT("BS_"&amp;TEXT(J$1,"mmm")&amp;"_"&amp;TEXT(J$1,"yyyy")),MATCH(TRIM($A131),BS_Accounts,0))-J131</f>
        <v>0</v>
      </c>
      <c r="K132" s="115">
        <f t="array" aca="1" ref="K132" ca="1">INDEX(INDIRECT("BS_"&amp;TEXT(K$1,"mmm")&amp;"_"&amp;TEXT(K$1,"yyyy")),MATCH(TRIM($A131),BS_Accounts,0))-K131</f>
        <v>0</v>
      </c>
      <c r="L132" s="115">
        <f t="array" aca="1" ref="L132" ca="1">INDEX(INDIRECT("BS_"&amp;TEXT(L$1,"mmm")&amp;"_"&amp;TEXT(L$1,"yyyy")),MATCH(TRIM($A131),BS_Accounts,0))-L131</f>
        <v>0</v>
      </c>
      <c r="M132" s="115">
        <f t="array" aca="1" ref="M132" ca="1">INDEX(INDIRECT("BS_"&amp;TEXT(M$1,"mmm")&amp;"_"&amp;TEXT(M$1,"yyyy")),MATCH(TRIM($A131),BS_Accounts,0))-M131</f>
        <v>0</v>
      </c>
      <c r="N132" s="115">
        <f t="array" aca="1" ref="N132" ca="1">INDEX(INDIRECT("BS_"&amp;TEXT(N$1,"mmm")&amp;"_"&amp;TEXT(N$1,"yyyy")),MATCH(TRIM($A131),BS_Accounts,0))-N131</f>
        <v>0</v>
      </c>
      <c r="O132" s="115">
        <f t="array" aca="1" ref="O132" ca="1">INDEX(INDIRECT("BS_"&amp;TEXT(O$1,"mmm")&amp;"_"&amp;TEXT(O$1,"yyyy")),MATCH(TRIM($A131),BS_Accounts,0))-O131</f>
        <v>0</v>
      </c>
      <c r="P132" s="115">
        <f t="array" aca="1" ref="P132" ca="1">INDEX(INDIRECT("BS_"&amp;TEXT(P$1,"mmm")&amp;"_"&amp;TEXT(P$1,"yyyy")),MATCH(TRIM($A131),BS_Accounts,0))-P131</f>
        <v>0</v>
      </c>
      <c r="Q132" s="115">
        <f t="array" aca="1" ref="Q132" ca="1">INDEX(INDIRECT("BS_"&amp;TEXT(Q$1,"mmm")&amp;"_"&amp;TEXT(Q$1,"yyyy")),MATCH(TRIM($A131),BS_Accounts,0))-Q131</f>
        <v>0</v>
      </c>
      <c r="R132" s="115">
        <f t="array" aca="1" ref="R132" ca="1">INDEX(INDIRECT("BS_"&amp;TEXT(R$1,"mmm")&amp;"_"&amp;TEXT(R$1,"yyyy")),MATCH(TRIM($A131),BS_Accounts,0))-R131</f>
        <v>0</v>
      </c>
      <c r="S132" s="115">
        <f t="array" aca="1" ref="S132" ca="1">INDEX(INDIRECT("BS_"&amp;TEXT(S$1,"mmm")&amp;"_"&amp;TEXT(S$1,"yyyy")),MATCH(TRIM($A131),BS_Accounts,0))-S131</f>
        <v>0</v>
      </c>
      <c r="T132" s="115">
        <f t="array" aca="1" ref="T132" ca="1">INDEX(INDIRECT("BS_"&amp;TEXT(T$1,"mmm")&amp;"_"&amp;TEXT(T$1,"yyyy")),MATCH(TRIM($A131),BS_Accounts,0))-T131</f>
        <v>0</v>
      </c>
      <c r="U132" s="115">
        <f t="array" aca="1" ref="U132" ca="1">INDEX(INDIRECT("BS_"&amp;TEXT(U$1,"mmm")&amp;"_"&amp;TEXT(U$1,"yyyy")),MATCH(TRIM($A131),BS_Accounts,0))-U131</f>
        <v>0</v>
      </c>
      <c r="V132" s="115">
        <f t="array" aca="1" ref="V132" ca="1">INDEX(INDIRECT("BS_"&amp;TEXT(V$1,"mmm")&amp;"_"&amp;TEXT(V$1,"yyyy")),MATCH(TRIM($A131),BS_Accounts,0))-V131</f>
        <v>0</v>
      </c>
      <c r="W132" s="115">
        <f t="array" aca="1" ref="W132" ca="1">INDEX(INDIRECT("BS_"&amp;TEXT(W$1,"mmm")&amp;"_"&amp;TEXT(W$1,"yyyy")),MATCH(TRIM($A131),BS_Accounts,0))-W131</f>
        <v>0</v>
      </c>
      <c r="X132" s="115">
        <f t="array" aca="1" ref="X132" ca="1">INDEX(INDIRECT("BS_"&amp;TEXT(X$1,"mmm")&amp;"_"&amp;TEXT(X$1,"yyyy")),MATCH(TRIM($A131),BS_Accounts,0))-X131</f>
        <v>0</v>
      </c>
      <c r="Y132" s="115">
        <f t="array" aca="1" ref="Y132" ca="1">INDEX(INDIRECT("BS_"&amp;TEXT(Y$1,"mmm")&amp;"_"&amp;TEXT(Y$1,"yyyy")),MATCH(TRIM($A131),BS_Accounts,0))-Y131</f>
        <v>0</v>
      </c>
      <c r="Z132" s="115">
        <f t="array" aca="1" ref="Z132" ca="1">INDEX(INDIRECT("BS_"&amp;TEXT(Z$1,"mmm")&amp;"_"&amp;TEXT(Z$1,"yyyy")),MATCH(TRIM($A131),BS_Accounts,0))-Z131</f>
        <v>0</v>
      </c>
      <c r="AA132" s="115">
        <f t="array" aca="1" ref="AA132" ca="1">INDEX(INDIRECT("BS_"&amp;TEXT(AA$1,"mmm")&amp;"_"&amp;TEXT(AA$1,"yyyy")),MATCH(TRIM($A131),BS_Accounts,0))-AA131</f>
        <v>0</v>
      </c>
      <c r="AB132" s="115">
        <f t="array" aca="1" ref="AB132" ca="1">INDEX(INDIRECT("BS_"&amp;TEXT(AB$1,"mmm")&amp;"_"&amp;TEXT(AB$1,"yyyy")),MATCH(TRIM($A131),BS_Accounts,0))-AB131</f>
        <v>0</v>
      </c>
      <c r="AC132" s="115">
        <f t="array" aca="1" ref="AC132" ca="1">INDEX(INDIRECT("BS_"&amp;TEXT(AC$1,"mmm")&amp;"_"&amp;TEXT(AC$1,"yyyy")),MATCH(TRIM($A131),BS_Accounts,0))-AC131</f>
        <v>0</v>
      </c>
      <c r="AD132" s="115">
        <f t="array" aca="1" ref="AD132" ca="1">INDEX(INDIRECT("BS_"&amp;TEXT(AD$1,"mmm")&amp;"_"&amp;TEXT(AD$1,"yyyy")),MATCH(TRIM($A131),BS_Accounts,0))-AD131</f>
        <v>0</v>
      </c>
      <c r="AE132" s="115">
        <f t="array" aca="1" ref="AE132" ca="1">INDEX(INDIRECT("BS_"&amp;TEXT(AE$1,"mmm")&amp;"_"&amp;TEXT(AE$1,"yyyy")),MATCH(TRIM($A131),BS_Accounts,0))-AE131</f>
        <v>0</v>
      </c>
    </row>
    <row r="133" spans="1:75" ht="12.75" x14ac:dyDescent="0.2">
      <c r="A133" s="23" t="s">
        <v>372</v>
      </c>
      <c r="B133" s="221"/>
      <c r="D133" s="123">
        <f t="array" aca="1" ref="D133" ca="1">INDEX(INDIRECT("BS_"&amp;TEXT(D$1,"mmm")&amp;"_"&amp;TEXT(D$1,"yyyy")),MATCH(TRIM($A133),BS_Accounts,0))</f>
        <v>0</v>
      </c>
      <c r="E133" s="123">
        <f t="array" aca="1" ref="E133" ca="1">INDEX(INDIRECT("BS_"&amp;TEXT(E$1,"mmm")&amp;"_"&amp;TEXT(E$1,"yyyy")),MATCH(TRIM($A133),BS_Accounts,0))</f>
        <v>0</v>
      </c>
      <c r="F133" s="123">
        <f t="array" aca="1" ref="F133" ca="1">INDEX(INDIRECT("BS_"&amp;TEXT(F$1,"mmm")&amp;"_"&amp;TEXT(F$1,"yyyy")),MATCH(TRIM($A133),BS_Accounts,0))</f>
        <v>0</v>
      </c>
      <c r="G133" s="123">
        <f t="array" aca="1" ref="G133" ca="1">INDEX(INDIRECT("BS_"&amp;TEXT(G$1,"mmm")&amp;"_"&amp;TEXT(G$1,"yyyy")),MATCH(TRIM($A133),BS_Accounts,0))</f>
        <v>0</v>
      </c>
      <c r="H133" s="123">
        <f t="array" aca="1" ref="H133" ca="1">INDEX(INDIRECT("BS_"&amp;TEXT(H$1,"mmm")&amp;"_"&amp;TEXT(H$1,"yyyy")),MATCH(TRIM($A133),BS_Accounts,0))</f>
        <v>0</v>
      </c>
      <c r="I133" s="123">
        <f t="array" aca="1" ref="I133" ca="1">INDEX(INDIRECT("BS_"&amp;TEXT(I$1,"mmm")&amp;"_"&amp;TEXT(I$1,"yyyy")),MATCH(TRIM($A133),BS_Accounts,0))</f>
        <v>0</v>
      </c>
      <c r="J133" s="123">
        <f t="array" aca="1" ref="J133" ca="1">INDEX(INDIRECT("BS_"&amp;TEXT(J$1,"mmm")&amp;"_"&amp;TEXT(J$1,"yyyy")),MATCH(TRIM($A133),BS_Accounts,0))</f>
        <v>0</v>
      </c>
      <c r="K133" s="123">
        <f t="array" aca="1" ref="K133" ca="1">INDEX(INDIRECT("BS_"&amp;TEXT(K$1,"mmm")&amp;"_"&amp;TEXT(K$1,"yyyy")),MATCH(TRIM($A133),BS_Accounts,0))</f>
        <v>0</v>
      </c>
      <c r="L133" s="123">
        <f t="array" aca="1" ref="L133" ca="1">INDEX(INDIRECT("BS_"&amp;TEXT(L$1,"mmm")&amp;"_"&amp;TEXT(L$1,"yyyy")),MATCH(TRIM($A133),BS_Accounts,0))</f>
        <v>0</v>
      </c>
      <c r="M133" s="123">
        <f t="array" aca="1" ref="M133" ca="1">INDEX(INDIRECT("BS_"&amp;TEXT(M$1,"mmm")&amp;"_"&amp;TEXT(M$1,"yyyy")),MATCH(TRIM($A133),BS_Accounts,0))</f>
        <v>0</v>
      </c>
      <c r="N133" s="123">
        <f t="array" aca="1" ref="N133" ca="1">INDEX(INDIRECT("BS_"&amp;TEXT(N$1,"mmm")&amp;"_"&amp;TEXT(N$1,"yyyy")),MATCH(TRIM($A133),BS_Accounts,0))</f>
        <v>0</v>
      </c>
      <c r="O133" s="123">
        <f t="array" aca="1" ref="O133" ca="1">INDEX(INDIRECT("BS_"&amp;TEXT(O$1,"mmm")&amp;"_"&amp;TEXT(O$1,"yyyy")),MATCH(TRIM($A133),BS_Accounts,0))</f>
        <v>0</v>
      </c>
      <c r="P133" s="123">
        <f t="array" aca="1" ref="P133" ca="1">INDEX(INDIRECT("BS_"&amp;TEXT(P$1,"mmm")&amp;"_"&amp;TEXT(P$1,"yyyy")),MATCH(TRIM($A133),BS_Accounts,0))</f>
        <v>0</v>
      </c>
      <c r="Q133" s="123">
        <f t="array" aca="1" ref="Q133" ca="1">INDEX(INDIRECT("BS_"&amp;TEXT(Q$1,"mmm")&amp;"_"&amp;TEXT(Q$1,"yyyy")),MATCH(TRIM($A133),BS_Accounts,0))</f>
        <v>0</v>
      </c>
      <c r="R133" s="123">
        <f t="array" aca="1" ref="R133" ca="1">INDEX(INDIRECT("BS_"&amp;TEXT(R$1,"mmm")&amp;"_"&amp;TEXT(R$1,"yyyy")),MATCH(TRIM($A133),BS_Accounts,0))</f>
        <v>0</v>
      </c>
      <c r="S133" s="123">
        <f t="array" aca="1" ref="S133" ca="1">INDEX(INDIRECT("BS_"&amp;TEXT(S$1,"mmm")&amp;"_"&amp;TEXT(S$1,"yyyy")),MATCH(TRIM($A133),BS_Accounts,0))</f>
        <v>0</v>
      </c>
      <c r="T133" s="123">
        <f t="array" aca="1" ref="T133" ca="1">INDEX(INDIRECT("BS_"&amp;TEXT(T$1,"mmm")&amp;"_"&amp;TEXT(T$1,"yyyy")),MATCH(TRIM($A133),BS_Accounts,0))</f>
        <v>0</v>
      </c>
      <c r="U133" s="123">
        <f t="array" aca="1" ref="U133" ca="1">INDEX(INDIRECT("BS_"&amp;TEXT(U$1,"mmm")&amp;"_"&amp;TEXT(U$1,"yyyy")),MATCH(TRIM($A133),BS_Accounts,0))</f>
        <v>0</v>
      </c>
      <c r="V133" s="123">
        <f t="array" aca="1" ref="V133" ca="1">INDEX(INDIRECT("BS_"&amp;TEXT(V$1,"mmm")&amp;"_"&amp;TEXT(V$1,"yyyy")),MATCH(TRIM($A133),BS_Accounts,0))</f>
        <v>0</v>
      </c>
      <c r="W133" s="123">
        <f t="array" aca="1" ref="W133" ca="1">INDEX(INDIRECT("BS_"&amp;TEXT(W$1,"mmm")&amp;"_"&amp;TEXT(W$1,"yyyy")),MATCH(TRIM($A133),BS_Accounts,0))</f>
        <v>0</v>
      </c>
      <c r="X133" s="123">
        <f t="array" aca="1" ref="X133" ca="1">INDEX(INDIRECT("BS_"&amp;TEXT(X$1,"mmm")&amp;"_"&amp;TEXT(X$1,"yyyy")),MATCH(TRIM($A133),BS_Accounts,0))</f>
        <v>0</v>
      </c>
      <c r="Y133" s="123">
        <f t="array" aca="1" ref="Y133" ca="1">INDEX(INDIRECT("BS_"&amp;TEXT(Y$1,"mmm")&amp;"_"&amp;TEXT(Y$1,"yyyy")),MATCH(TRIM($A133),BS_Accounts,0))</f>
        <v>0</v>
      </c>
      <c r="Z133" s="123">
        <f t="array" aca="1" ref="Z133" ca="1">INDEX(INDIRECT("BS_"&amp;TEXT(Z$1,"mmm")&amp;"_"&amp;TEXT(Z$1,"yyyy")),MATCH(TRIM($A133),BS_Accounts,0))</f>
        <v>0</v>
      </c>
      <c r="AA133" s="123">
        <f t="array" aca="1" ref="AA133" ca="1">INDEX(INDIRECT("BS_"&amp;TEXT(AA$1,"mmm")&amp;"_"&amp;TEXT(AA$1,"yyyy")),MATCH(TRIM($A133),BS_Accounts,0))</f>
        <v>0</v>
      </c>
      <c r="AB133" s="123">
        <f t="array" aca="1" ref="AB133" ca="1">INDEX(INDIRECT("BS_"&amp;TEXT(AB$1,"mmm")&amp;"_"&amp;TEXT(AB$1,"yyyy")),MATCH(TRIM($A133),BS_Accounts,0))</f>
        <v>0</v>
      </c>
      <c r="AC133" s="123">
        <f t="array" aca="1" ref="AC133" ca="1">INDEX(INDIRECT("BS_"&amp;TEXT(AC$1,"mmm")&amp;"_"&amp;TEXT(AC$1,"yyyy")),MATCH(TRIM($A133),BS_Accounts,0))</f>
        <v>0</v>
      </c>
      <c r="AD133" s="123">
        <f t="array" aca="1" ref="AD133" ca="1">INDEX(INDIRECT("BS_"&amp;TEXT(AD$1,"mmm")&amp;"_"&amp;TEXT(AD$1,"yyyy")),MATCH(TRIM($A133),BS_Accounts,0))</f>
        <v>0</v>
      </c>
      <c r="AE133" s="123">
        <f t="array" aca="1" ref="AE133" ca="1">INDEX(INDIRECT("BS_"&amp;TEXT(AE$1,"mmm")&amp;"_"&amp;TEXT(AE$1,"yyyy")),MATCH(TRIM($A133),BS_Accounts,0))</f>
        <v>0</v>
      </c>
    </row>
    <row r="134" spans="1:75" ht="12.75" x14ac:dyDescent="0.2">
      <c r="A134" s="23" t="s">
        <v>373</v>
      </c>
      <c r="B134" s="224">
        <f ca="1">AVERAGEIFS(134:134,$1:$1,"&gt;="&amp;DATE(YEAR(Current_Month),MONTH(Current_Month),DAY(Current_Month)),$1:$1,"&lt;="&amp;EOMONTH(Current_Month,0))</f>
        <v>2350000</v>
      </c>
      <c r="D134" s="115">
        <f t="array" aca="1" ref="D134" ca="1">INDEX(INDIRECT("BS_"&amp;TEXT(D$1,"mmm")&amp;"_"&amp;TEXT(D$1,"yyyy")),MATCH(TRIM($A134),BS_Accounts,0))</f>
        <v>550000</v>
      </c>
      <c r="E134" s="115">
        <f t="array" aca="1" ref="E134" ca="1">INDEX(INDIRECT("BS_"&amp;TEXT(E$1,"mmm")&amp;"_"&amp;TEXT(E$1,"yyyy")),MATCH(TRIM($A134),BS_Accounts,0))</f>
        <v>650000</v>
      </c>
      <c r="F134" s="115">
        <f t="array" aca="1" ref="F134" ca="1">INDEX(INDIRECT("BS_"&amp;TEXT(F$1,"mmm")&amp;"_"&amp;TEXT(F$1,"yyyy")),MATCH(TRIM($A134),BS_Accounts,0))</f>
        <v>650000</v>
      </c>
      <c r="G134" s="115">
        <f t="array" aca="1" ref="G134" ca="1">INDEX(INDIRECT("BS_"&amp;TEXT(G$1,"mmm")&amp;"_"&amp;TEXT(G$1,"yyyy")),MATCH(TRIM($A134),BS_Accounts,0))</f>
        <v>650000</v>
      </c>
      <c r="H134" s="115">
        <f t="array" aca="1" ref="H134" ca="1">INDEX(INDIRECT("BS_"&amp;TEXT(H$1,"mmm")&amp;"_"&amp;TEXT(H$1,"yyyy")),MATCH(TRIM($A134),BS_Accounts,0))</f>
        <v>650000</v>
      </c>
      <c r="I134" s="115">
        <f t="array" aca="1" ref="I134" ca="1">INDEX(INDIRECT("BS_"&amp;TEXT(I$1,"mmm")&amp;"_"&amp;TEXT(I$1,"yyyy")),MATCH(TRIM($A134),BS_Accounts,0))</f>
        <v>650000</v>
      </c>
      <c r="J134" s="115">
        <f t="array" aca="1" ref="J134" ca="1">INDEX(INDIRECT("BS_"&amp;TEXT(J$1,"mmm")&amp;"_"&amp;TEXT(J$1,"yyyy")),MATCH(TRIM($A134),BS_Accounts,0))</f>
        <v>650000</v>
      </c>
      <c r="K134" s="115">
        <f t="array" aca="1" ref="K134" ca="1">INDEX(INDIRECT("BS_"&amp;TEXT(K$1,"mmm")&amp;"_"&amp;TEXT(K$1,"yyyy")),MATCH(TRIM($A134),BS_Accounts,0))</f>
        <v>650000</v>
      </c>
      <c r="L134" s="115">
        <f t="array" aca="1" ref="L134" ca="1">INDEX(INDIRECT("BS_"&amp;TEXT(L$1,"mmm")&amp;"_"&amp;TEXT(L$1,"yyyy")),MATCH(TRIM($A134),BS_Accounts,0))</f>
        <v>650000</v>
      </c>
      <c r="M134" s="115">
        <f t="array" aca="1" ref="M134" ca="1">INDEX(INDIRECT("BS_"&amp;TEXT(M$1,"mmm")&amp;"_"&amp;TEXT(M$1,"yyyy")),MATCH(TRIM($A134),BS_Accounts,0))</f>
        <v>1250000</v>
      </c>
      <c r="N134" s="115">
        <f t="array" aca="1" ref="N134" ca="1">INDEX(INDIRECT("BS_"&amp;TEXT(N$1,"mmm")&amp;"_"&amp;TEXT(N$1,"yyyy")),MATCH(TRIM($A134),BS_Accounts,0))</f>
        <v>1250000</v>
      </c>
      <c r="O134" s="115">
        <f t="array" aca="1" ref="O134" ca="1">INDEX(INDIRECT("BS_"&amp;TEXT(O$1,"mmm")&amp;"_"&amp;TEXT(O$1,"yyyy")),MATCH(TRIM($A134),BS_Accounts,0))</f>
        <v>1250000</v>
      </c>
      <c r="P134" s="115">
        <f t="array" aca="1" ref="P134" ca="1">INDEX(INDIRECT("BS_"&amp;TEXT(P$1,"mmm")&amp;"_"&amp;TEXT(P$1,"yyyy")),MATCH(TRIM($A134),BS_Accounts,0))</f>
        <v>1750000</v>
      </c>
      <c r="Q134" s="115">
        <f t="array" aca="1" ref="Q134" ca="1">INDEX(INDIRECT("BS_"&amp;TEXT(Q$1,"mmm")&amp;"_"&amp;TEXT(Q$1,"yyyy")),MATCH(TRIM($A134),BS_Accounts,0))</f>
        <v>1750000</v>
      </c>
      <c r="R134" s="115">
        <f t="array" aca="1" ref="R134" ca="1">INDEX(INDIRECT("BS_"&amp;TEXT(R$1,"mmm")&amp;"_"&amp;TEXT(R$1,"yyyy")),MATCH(TRIM($A134),BS_Accounts,0))</f>
        <v>1750000</v>
      </c>
      <c r="S134" s="115">
        <f t="array" aca="1" ref="S134" ca="1">INDEX(INDIRECT("BS_"&amp;TEXT(S$1,"mmm")&amp;"_"&amp;TEXT(S$1,"yyyy")),MATCH(TRIM($A134),BS_Accounts,0))</f>
        <v>1750000</v>
      </c>
      <c r="T134" s="115">
        <f t="array" aca="1" ref="T134" ca="1">INDEX(INDIRECT("BS_"&amp;TEXT(T$1,"mmm")&amp;"_"&amp;TEXT(T$1,"yyyy")),MATCH(TRIM($A134),BS_Accounts,0))</f>
        <v>2050000</v>
      </c>
      <c r="U134" s="115">
        <f t="array" aca="1" ref="U134" ca="1">INDEX(INDIRECT("BS_"&amp;TEXT(U$1,"mmm")&amp;"_"&amp;TEXT(U$1,"yyyy")),MATCH(TRIM($A134),BS_Accounts,0))</f>
        <v>2050000</v>
      </c>
      <c r="V134" s="115">
        <f t="array" aca="1" ref="V134" ca="1">INDEX(INDIRECT("BS_"&amp;TEXT(V$1,"mmm")&amp;"_"&amp;TEXT(V$1,"yyyy")),MATCH(TRIM($A134),BS_Accounts,0))</f>
        <v>2050000</v>
      </c>
      <c r="W134" s="115">
        <f t="array" aca="1" ref="W134" ca="1">INDEX(INDIRECT("BS_"&amp;TEXT(W$1,"mmm")&amp;"_"&amp;TEXT(W$1,"yyyy")),MATCH(TRIM($A134),BS_Accounts,0))</f>
        <v>2050000</v>
      </c>
      <c r="X134" s="115">
        <f t="array" aca="1" ref="X134" ca="1">INDEX(INDIRECT("BS_"&amp;TEXT(X$1,"mmm")&amp;"_"&amp;TEXT(X$1,"yyyy")),MATCH(TRIM($A134),BS_Accounts,0))</f>
        <v>2050000</v>
      </c>
      <c r="Y134" s="115">
        <f t="array" aca="1" ref="Y134" ca="1">INDEX(INDIRECT("BS_"&amp;TEXT(Y$1,"mmm")&amp;"_"&amp;TEXT(Y$1,"yyyy")),MATCH(TRIM($A134),BS_Accounts,0))</f>
        <v>2350000</v>
      </c>
      <c r="Z134" s="115">
        <f t="array" aca="1" ref="Z134" ca="1">INDEX(INDIRECT("BS_"&amp;TEXT(Z$1,"mmm")&amp;"_"&amp;TEXT(Z$1,"yyyy")),MATCH(TRIM($A134),BS_Accounts,0))</f>
        <v>2350000</v>
      </c>
      <c r="AA134" s="115">
        <f t="array" aca="1" ref="AA134" ca="1">INDEX(INDIRECT("BS_"&amp;TEXT(AA$1,"mmm")&amp;"_"&amp;TEXT(AA$1,"yyyy")),MATCH(TRIM($A134),BS_Accounts,0))</f>
        <v>2350000</v>
      </c>
      <c r="AB134" s="115">
        <f t="array" aca="1" ref="AB134" ca="1">INDEX(INDIRECT("BS_"&amp;TEXT(AB$1,"mmm")&amp;"_"&amp;TEXT(AB$1,"yyyy")),MATCH(TRIM($A134),BS_Accounts,0))</f>
        <v>2350000</v>
      </c>
      <c r="AC134" s="115">
        <f t="array" aca="1" ref="AC134" ca="1">INDEX(INDIRECT("BS_"&amp;TEXT(AC$1,"mmm")&amp;"_"&amp;TEXT(AC$1,"yyyy")),MATCH(TRIM($A134),BS_Accounts,0))</f>
        <v>2350000</v>
      </c>
      <c r="AD134" s="115">
        <f t="array" aca="1" ref="AD134" ca="1">INDEX(INDIRECT("BS_"&amp;TEXT(AD$1,"mmm")&amp;"_"&amp;TEXT(AD$1,"yyyy")),MATCH(TRIM($A134),BS_Accounts,0))</f>
        <v>2350000</v>
      </c>
      <c r="AE134" s="115">
        <f t="array" aca="1" ref="AE134" ca="1">INDEX(INDIRECT("BS_"&amp;TEXT(AE$1,"mmm")&amp;"_"&amp;TEXT(AE$1,"yyyy")),MATCH(TRIM($A134),BS_Accounts,0))</f>
        <v>2350000</v>
      </c>
      <c r="AF134" s="165">
        <f t="shared" ref="AF134:BW134" ca="1" si="71">$B134</f>
        <v>2350000</v>
      </c>
      <c r="AG134" s="165">
        <f t="shared" ca="1" si="71"/>
        <v>2350000</v>
      </c>
      <c r="AH134" s="165">
        <f t="shared" ca="1" si="71"/>
        <v>2350000</v>
      </c>
      <c r="AI134" s="165">
        <f t="shared" ca="1" si="71"/>
        <v>2350000</v>
      </c>
      <c r="AJ134" s="165">
        <f t="shared" ca="1" si="71"/>
        <v>2350000</v>
      </c>
      <c r="AK134" s="165">
        <f t="shared" ca="1" si="71"/>
        <v>2350000</v>
      </c>
      <c r="AL134" s="165">
        <f t="shared" ca="1" si="71"/>
        <v>2350000</v>
      </c>
      <c r="AM134" s="165">
        <f t="shared" ca="1" si="71"/>
        <v>2350000</v>
      </c>
      <c r="AN134" s="165">
        <f t="shared" ca="1" si="71"/>
        <v>2350000</v>
      </c>
      <c r="AO134" s="165">
        <f t="shared" ca="1" si="71"/>
        <v>2350000</v>
      </c>
      <c r="AP134" s="165">
        <f t="shared" ca="1" si="71"/>
        <v>2350000</v>
      </c>
      <c r="AQ134" s="165">
        <f t="shared" ca="1" si="71"/>
        <v>2350000</v>
      </c>
      <c r="AR134" s="165">
        <f t="shared" ca="1" si="71"/>
        <v>2350000</v>
      </c>
      <c r="AS134" s="165">
        <f t="shared" ca="1" si="71"/>
        <v>2350000</v>
      </c>
      <c r="AT134" s="165">
        <f t="shared" ca="1" si="71"/>
        <v>2350000</v>
      </c>
      <c r="AU134" s="165">
        <f t="shared" ca="1" si="71"/>
        <v>2350000</v>
      </c>
      <c r="AV134" s="165">
        <f t="shared" ca="1" si="71"/>
        <v>2350000</v>
      </c>
      <c r="AW134" s="165">
        <f t="shared" ca="1" si="71"/>
        <v>2350000</v>
      </c>
      <c r="AX134" s="165">
        <f t="shared" ca="1" si="71"/>
        <v>2350000</v>
      </c>
      <c r="AY134" s="165">
        <f t="shared" ca="1" si="71"/>
        <v>2350000</v>
      </c>
      <c r="AZ134" s="165">
        <f t="shared" ca="1" si="71"/>
        <v>2350000</v>
      </c>
      <c r="BA134" s="165">
        <f t="shared" ca="1" si="71"/>
        <v>2350000</v>
      </c>
      <c r="BB134" s="165">
        <f t="shared" ca="1" si="71"/>
        <v>2350000</v>
      </c>
      <c r="BC134" s="165">
        <f t="shared" ca="1" si="71"/>
        <v>2350000</v>
      </c>
      <c r="BD134" s="165">
        <f t="shared" ca="1" si="71"/>
        <v>2350000</v>
      </c>
      <c r="BE134" s="165">
        <f t="shared" ca="1" si="71"/>
        <v>2350000</v>
      </c>
      <c r="BF134" s="165">
        <f t="shared" ca="1" si="71"/>
        <v>2350000</v>
      </c>
      <c r="BG134" s="165">
        <f t="shared" ca="1" si="71"/>
        <v>2350000</v>
      </c>
      <c r="BH134" s="165">
        <f t="shared" ca="1" si="71"/>
        <v>2350000</v>
      </c>
      <c r="BI134" s="165">
        <f t="shared" ca="1" si="71"/>
        <v>2350000</v>
      </c>
      <c r="BJ134" s="165">
        <f t="shared" ca="1" si="71"/>
        <v>2350000</v>
      </c>
      <c r="BK134" s="165">
        <f t="shared" ca="1" si="71"/>
        <v>2350000</v>
      </c>
      <c r="BL134" s="165">
        <f t="shared" ca="1" si="71"/>
        <v>2350000</v>
      </c>
      <c r="BM134" s="165">
        <f t="shared" ca="1" si="71"/>
        <v>2350000</v>
      </c>
      <c r="BN134" s="165">
        <f t="shared" ca="1" si="71"/>
        <v>2350000</v>
      </c>
      <c r="BO134" s="165">
        <f t="shared" ca="1" si="71"/>
        <v>2350000</v>
      </c>
      <c r="BP134" s="165">
        <f t="shared" ca="1" si="71"/>
        <v>2350000</v>
      </c>
      <c r="BQ134" s="165">
        <f t="shared" ca="1" si="71"/>
        <v>2350000</v>
      </c>
      <c r="BR134" s="165">
        <f t="shared" ca="1" si="71"/>
        <v>2350000</v>
      </c>
      <c r="BS134" s="165">
        <f t="shared" ca="1" si="71"/>
        <v>2350000</v>
      </c>
      <c r="BT134" s="165">
        <f t="shared" ca="1" si="71"/>
        <v>2350000</v>
      </c>
      <c r="BU134" s="165">
        <f t="shared" ca="1" si="71"/>
        <v>2350000</v>
      </c>
      <c r="BV134" s="165">
        <f t="shared" ca="1" si="71"/>
        <v>2350000</v>
      </c>
      <c r="BW134" s="165">
        <f t="shared" ca="1" si="71"/>
        <v>2350000</v>
      </c>
    </row>
    <row r="135" spans="1:75" ht="12.75" x14ac:dyDescent="0.2">
      <c r="A135" s="23" t="s">
        <v>374</v>
      </c>
      <c r="B135" s="224">
        <f ca="1">AVERAGEIFS(135:135,$1:$1,"&gt;="&amp;DATE(YEAR(Current_Month),MONTH(Current_Month),DAY(Current_Month)),$1:$1,"&lt;="&amp;EOMONTH(Current_Month,0))</f>
        <v>500000</v>
      </c>
      <c r="D135" s="115">
        <f t="array" aca="1" ref="D135" ca="1">INDEX(INDIRECT("BS_"&amp;TEXT(D$1,"mmm")&amp;"_"&amp;TEXT(D$1,"yyyy")),MATCH(TRIM($A135),BS_Accounts,0))</f>
        <v>500000</v>
      </c>
      <c r="E135" s="115">
        <f t="array" aca="1" ref="E135" ca="1">INDEX(INDIRECT("BS_"&amp;TEXT(E$1,"mmm")&amp;"_"&amp;TEXT(E$1,"yyyy")),MATCH(TRIM($A135),BS_Accounts,0))</f>
        <v>500000</v>
      </c>
      <c r="F135" s="115">
        <f t="array" aca="1" ref="F135" ca="1">INDEX(INDIRECT("BS_"&amp;TEXT(F$1,"mmm")&amp;"_"&amp;TEXT(F$1,"yyyy")),MATCH(TRIM($A135),BS_Accounts,0))</f>
        <v>500000</v>
      </c>
      <c r="G135" s="115">
        <f t="array" aca="1" ref="G135" ca="1">INDEX(INDIRECT("BS_"&amp;TEXT(G$1,"mmm")&amp;"_"&amp;TEXT(G$1,"yyyy")),MATCH(TRIM($A135),BS_Accounts,0))</f>
        <v>500000</v>
      </c>
      <c r="H135" s="115">
        <f t="array" aca="1" ref="H135" ca="1">INDEX(INDIRECT("BS_"&amp;TEXT(H$1,"mmm")&amp;"_"&amp;TEXT(H$1,"yyyy")),MATCH(TRIM($A135),BS_Accounts,0))</f>
        <v>500000</v>
      </c>
      <c r="I135" s="115">
        <f t="array" aca="1" ref="I135" ca="1">INDEX(INDIRECT("BS_"&amp;TEXT(I$1,"mmm")&amp;"_"&amp;TEXT(I$1,"yyyy")),MATCH(TRIM($A135),BS_Accounts,0))</f>
        <v>500000</v>
      </c>
      <c r="J135" s="115">
        <f t="array" aca="1" ref="J135" ca="1">INDEX(INDIRECT("BS_"&amp;TEXT(J$1,"mmm")&amp;"_"&amp;TEXT(J$1,"yyyy")),MATCH(TRIM($A135),BS_Accounts,0))</f>
        <v>500000</v>
      </c>
      <c r="K135" s="115">
        <f t="array" aca="1" ref="K135" ca="1">INDEX(INDIRECT("BS_"&amp;TEXT(K$1,"mmm")&amp;"_"&amp;TEXT(K$1,"yyyy")),MATCH(TRIM($A135),BS_Accounts,0))</f>
        <v>500000</v>
      </c>
      <c r="L135" s="115">
        <f t="array" aca="1" ref="L135" ca="1">INDEX(INDIRECT("BS_"&amp;TEXT(L$1,"mmm")&amp;"_"&amp;TEXT(L$1,"yyyy")),MATCH(TRIM($A135),BS_Accounts,0))</f>
        <v>500000</v>
      </c>
      <c r="M135" s="115">
        <f t="array" aca="1" ref="M135" ca="1">INDEX(INDIRECT("BS_"&amp;TEXT(M$1,"mmm")&amp;"_"&amp;TEXT(M$1,"yyyy")),MATCH(TRIM($A135),BS_Accounts,0))</f>
        <v>500000</v>
      </c>
      <c r="N135" s="115">
        <f t="array" aca="1" ref="N135" ca="1">INDEX(INDIRECT("BS_"&amp;TEXT(N$1,"mmm")&amp;"_"&amp;TEXT(N$1,"yyyy")),MATCH(TRIM($A135),BS_Accounts,0))</f>
        <v>500000</v>
      </c>
      <c r="O135" s="115">
        <f t="array" aca="1" ref="O135" ca="1">INDEX(INDIRECT("BS_"&amp;TEXT(O$1,"mmm")&amp;"_"&amp;TEXT(O$1,"yyyy")),MATCH(TRIM($A135),BS_Accounts,0))</f>
        <v>500000</v>
      </c>
      <c r="P135" s="115">
        <f t="array" aca="1" ref="P135" ca="1">INDEX(INDIRECT("BS_"&amp;TEXT(P$1,"mmm")&amp;"_"&amp;TEXT(P$1,"yyyy")),MATCH(TRIM($A135),BS_Accounts,0))</f>
        <v>500000</v>
      </c>
      <c r="Q135" s="115">
        <f t="array" aca="1" ref="Q135" ca="1">INDEX(INDIRECT("BS_"&amp;TEXT(Q$1,"mmm")&amp;"_"&amp;TEXT(Q$1,"yyyy")),MATCH(TRIM($A135),BS_Accounts,0))</f>
        <v>500000</v>
      </c>
      <c r="R135" s="115">
        <f t="array" aca="1" ref="R135" ca="1">INDEX(INDIRECT("BS_"&amp;TEXT(R$1,"mmm")&amp;"_"&amp;TEXT(R$1,"yyyy")),MATCH(TRIM($A135),BS_Accounts,0))</f>
        <v>500000</v>
      </c>
      <c r="S135" s="115">
        <f t="array" aca="1" ref="S135" ca="1">INDEX(INDIRECT("BS_"&amp;TEXT(S$1,"mmm")&amp;"_"&amp;TEXT(S$1,"yyyy")),MATCH(TRIM($A135),BS_Accounts,0))</f>
        <v>500000</v>
      </c>
      <c r="T135" s="115">
        <f t="array" aca="1" ref="T135" ca="1">INDEX(INDIRECT("BS_"&amp;TEXT(T$1,"mmm")&amp;"_"&amp;TEXT(T$1,"yyyy")),MATCH(TRIM($A135),BS_Accounts,0))</f>
        <v>500000</v>
      </c>
      <c r="U135" s="115">
        <f t="array" aca="1" ref="U135" ca="1">INDEX(INDIRECT("BS_"&amp;TEXT(U$1,"mmm")&amp;"_"&amp;TEXT(U$1,"yyyy")),MATCH(TRIM($A135),BS_Accounts,0))</f>
        <v>500000</v>
      </c>
      <c r="V135" s="115">
        <f t="array" aca="1" ref="V135" ca="1">INDEX(INDIRECT("BS_"&amp;TEXT(V$1,"mmm")&amp;"_"&amp;TEXT(V$1,"yyyy")),MATCH(TRIM($A135),BS_Accounts,0))</f>
        <v>500000</v>
      </c>
      <c r="W135" s="115">
        <f t="array" aca="1" ref="W135" ca="1">INDEX(INDIRECT("BS_"&amp;TEXT(W$1,"mmm")&amp;"_"&amp;TEXT(W$1,"yyyy")),MATCH(TRIM($A135),BS_Accounts,0))</f>
        <v>500000</v>
      </c>
      <c r="X135" s="115">
        <f t="array" aca="1" ref="X135" ca="1">INDEX(INDIRECT("BS_"&amp;TEXT(X$1,"mmm")&amp;"_"&amp;TEXT(X$1,"yyyy")),MATCH(TRIM($A135),BS_Accounts,0))</f>
        <v>500000</v>
      </c>
      <c r="Y135" s="115">
        <f t="array" aca="1" ref="Y135" ca="1">INDEX(INDIRECT("BS_"&amp;TEXT(Y$1,"mmm")&amp;"_"&amp;TEXT(Y$1,"yyyy")),MATCH(TRIM($A135),BS_Accounts,0))</f>
        <v>500000</v>
      </c>
      <c r="Z135" s="115">
        <f t="array" aca="1" ref="Z135" ca="1">INDEX(INDIRECT("BS_"&amp;TEXT(Z$1,"mmm")&amp;"_"&amp;TEXT(Z$1,"yyyy")),MATCH(TRIM($A135),BS_Accounts,0))</f>
        <v>500000</v>
      </c>
      <c r="AA135" s="115">
        <f t="array" aca="1" ref="AA135" ca="1">INDEX(INDIRECT("BS_"&amp;TEXT(AA$1,"mmm")&amp;"_"&amp;TEXT(AA$1,"yyyy")),MATCH(TRIM($A135),BS_Accounts,0))</f>
        <v>500000</v>
      </c>
      <c r="AB135" s="115">
        <f t="array" aca="1" ref="AB135" ca="1">INDEX(INDIRECT("BS_"&amp;TEXT(AB$1,"mmm")&amp;"_"&amp;TEXT(AB$1,"yyyy")),MATCH(TRIM($A135),BS_Accounts,0))</f>
        <v>500000</v>
      </c>
      <c r="AC135" s="115">
        <f t="array" aca="1" ref="AC135" ca="1">INDEX(INDIRECT("BS_"&amp;TEXT(AC$1,"mmm")&amp;"_"&amp;TEXT(AC$1,"yyyy")),MATCH(TRIM($A135),BS_Accounts,0))</f>
        <v>500000</v>
      </c>
      <c r="AD135" s="115">
        <f t="array" aca="1" ref="AD135" ca="1">INDEX(INDIRECT("BS_"&amp;TEXT(AD$1,"mmm")&amp;"_"&amp;TEXT(AD$1,"yyyy")),MATCH(TRIM($A135),BS_Accounts,0))</f>
        <v>500000</v>
      </c>
      <c r="AE135" s="115">
        <f t="array" aca="1" ref="AE135" ca="1">INDEX(INDIRECT("BS_"&amp;TEXT(AE$1,"mmm")&amp;"_"&amp;TEXT(AE$1,"yyyy")),MATCH(TRIM($A135),BS_Accounts,0))</f>
        <v>500000</v>
      </c>
      <c r="AF135" s="165">
        <f t="shared" ref="AF135:BW135" ca="1" si="72">$B135</f>
        <v>500000</v>
      </c>
      <c r="AG135" s="165">
        <f t="shared" ca="1" si="72"/>
        <v>500000</v>
      </c>
      <c r="AH135" s="165">
        <f t="shared" ca="1" si="72"/>
        <v>500000</v>
      </c>
      <c r="AI135" s="165">
        <f t="shared" ca="1" si="72"/>
        <v>500000</v>
      </c>
      <c r="AJ135" s="165">
        <f t="shared" ca="1" si="72"/>
        <v>500000</v>
      </c>
      <c r="AK135" s="165">
        <f t="shared" ca="1" si="72"/>
        <v>500000</v>
      </c>
      <c r="AL135" s="165">
        <f t="shared" ca="1" si="72"/>
        <v>500000</v>
      </c>
      <c r="AM135" s="165">
        <f t="shared" ca="1" si="72"/>
        <v>500000</v>
      </c>
      <c r="AN135" s="165">
        <f t="shared" ca="1" si="72"/>
        <v>500000</v>
      </c>
      <c r="AO135" s="165">
        <f t="shared" ca="1" si="72"/>
        <v>500000</v>
      </c>
      <c r="AP135" s="165">
        <f t="shared" ca="1" si="72"/>
        <v>500000</v>
      </c>
      <c r="AQ135" s="165">
        <f t="shared" ca="1" si="72"/>
        <v>500000</v>
      </c>
      <c r="AR135" s="165">
        <f t="shared" ca="1" si="72"/>
        <v>500000</v>
      </c>
      <c r="AS135" s="165">
        <f t="shared" ca="1" si="72"/>
        <v>500000</v>
      </c>
      <c r="AT135" s="165">
        <f t="shared" ca="1" si="72"/>
        <v>500000</v>
      </c>
      <c r="AU135" s="165">
        <f t="shared" ca="1" si="72"/>
        <v>500000</v>
      </c>
      <c r="AV135" s="165">
        <f t="shared" ca="1" si="72"/>
        <v>500000</v>
      </c>
      <c r="AW135" s="165">
        <f t="shared" ca="1" si="72"/>
        <v>500000</v>
      </c>
      <c r="AX135" s="165">
        <f t="shared" ca="1" si="72"/>
        <v>500000</v>
      </c>
      <c r="AY135" s="165">
        <f t="shared" ca="1" si="72"/>
        <v>500000</v>
      </c>
      <c r="AZ135" s="165">
        <f t="shared" ca="1" si="72"/>
        <v>500000</v>
      </c>
      <c r="BA135" s="165">
        <f t="shared" ca="1" si="72"/>
        <v>500000</v>
      </c>
      <c r="BB135" s="165">
        <f t="shared" ca="1" si="72"/>
        <v>500000</v>
      </c>
      <c r="BC135" s="165">
        <f t="shared" ca="1" si="72"/>
        <v>500000</v>
      </c>
      <c r="BD135" s="165">
        <f t="shared" ca="1" si="72"/>
        <v>500000</v>
      </c>
      <c r="BE135" s="165">
        <f t="shared" ca="1" si="72"/>
        <v>500000</v>
      </c>
      <c r="BF135" s="165">
        <f t="shared" ca="1" si="72"/>
        <v>500000</v>
      </c>
      <c r="BG135" s="165">
        <f t="shared" ca="1" si="72"/>
        <v>500000</v>
      </c>
      <c r="BH135" s="165">
        <f t="shared" ca="1" si="72"/>
        <v>500000</v>
      </c>
      <c r="BI135" s="165">
        <f t="shared" ca="1" si="72"/>
        <v>500000</v>
      </c>
      <c r="BJ135" s="165">
        <f t="shared" ca="1" si="72"/>
        <v>500000</v>
      </c>
      <c r="BK135" s="165">
        <f t="shared" ca="1" si="72"/>
        <v>500000</v>
      </c>
      <c r="BL135" s="165">
        <f t="shared" ca="1" si="72"/>
        <v>500000</v>
      </c>
      <c r="BM135" s="165">
        <f t="shared" ca="1" si="72"/>
        <v>500000</v>
      </c>
      <c r="BN135" s="165">
        <f t="shared" ca="1" si="72"/>
        <v>500000</v>
      </c>
      <c r="BO135" s="165">
        <f t="shared" ca="1" si="72"/>
        <v>500000</v>
      </c>
      <c r="BP135" s="165">
        <f t="shared" ca="1" si="72"/>
        <v>500000</v>
      </c>
      <c r="BQ135" s="165">
        <f t="shared" ca="1" si="72"/>
        <v>500000</v>
      </c>
      <c r="BR135" s="165">
        <f t="shared" ca="1" si="72"/>
        <v>500000</v>
      </c>
      <c r="BS135" s="165">
        <f t="shared" ca="1" si="72"/>
        <v>500000</v>
      </c>
      <c r="BT135" s="165">
        <f t="shared" ca="1" si="72"/>
        <v>500000</v>
      </c>
      <c r="BU135" s="165">
        <f t="shared" ca="1" si="72"/>
        <v>500000</v>
      </c>
      <c r="BV135" s="165">
        <f t="shared" ca="1" si="72"/>
        <v>500000</v>
      </c>
      <c r="BW135" s="165">
        <f t="shared" ca="1" si="72"/>
        <v>500000</v>
      </c>
    </row>
    <row r="136" spans="1:75" ht="12.75" x14ac:dyDescent="0.2">
      <c r="A136" s="23" t="s">
        <v>375</v>
      </c>
      <c r="B136" s="224">
        <f ca="1">AVERAGEIFS(136:136,$1:$1,"&gt;="&amp;DATE(YEAR(Current_Month),MONTH(Current_Month),DAY(Current_Month)),$1:$1,"&lt;="&amp;EOMONTH(Current_Month,0))</f>
        <v>0</v>
      </c>
      <c r="D136" s="115">
        <f t="array" aca="1" ref="D136" ca="1">INDEX(INDIRECT("BS_"&amp;TEXT(D$1,"mmm")&amp;"_"&amp;TEXT(D$1,"yyyy")),MATCH(TRIM($A136),BS_Accounts,0))</f>
        <v>0</v>
      </c>
      <c r="E136" s="115">
        <f t="array" aca="1" ref="E136" ca="1">INDEX(INDIRECT("BS_"&amp;TEXT(E$1,"mmm")&amp;"_"&amp;TEXT(E$1,"yyyy")),MATCH(TRIM($A136),BS_Accounts,0))</f>
        <v>0</v>
      </c>
      <c r="F136" s="115">
        <f t="array" aca="1" ref="F136" ca="1">INDEX(INDIRECT("BS_"&amp;TEXT(F$1,"mmm")&amp;"_"&amp;TEXT(F$1,"yyyy")),MATCH(TRIM($A136),BS_Accounts,0))</f>
        <v>0</v>
      </c>
      <c r="G136" s="115">
        <f t="array" aca="1" ref="G136" ca="1">INDEX(INDIRECT("BS_"&amp;TEXT(G$1,"mmm")&amp;"_"&amp;TEXT(G$1,"yyyy")),MATCH(TRIM($A136),BS_Accounts,0))</f>
        <v>0</v>
      </c>
      <c r="H136" s="115">
        <f t="array" aca="1" ref="H136" ca="1">INDEX(INDIRECT("BS_"&amp;TEXT(H$1,"mmm")&amp;"_"&amp;TEXT(H$1,"yyyy")),MATCH(TRIM($A136),BS_Accounts,0))</f>
        <v>0</v>
      </c>
      <c r="I136" s="115">
        <f t="array" aca="1" ref="I136" ca="1">INDEX(INDIRECT("BS_"&amp;TEXT(I$1,"mmm")&amp;"_"&amp;TEXT(I$1,"yyyy")),MATCH(TRIM($A136),BS_Accounts,0))</f>
        <v>0</v>
      </c>
      <c r="J136" s="115">
        <f t="array" aca="1" ref="J136" ca="1">INDEX(INDIRECT("BS_"&amp;TEXT(J$1,"mmm")&amp;"_"&amp;TEXT(J$1,"yyyy")),MATCH(TRIM($A136),BS_Accounts,0))</f>
        <v>0</v>
      </c>
      <c r="K136" s="115">
        <f t="array" aca="1" ref="K136" ca="1">INDEX(INDIRECT("BS_"&amp;TEXT(K$1,"mmm")&amp;"_"&amp;TEXT(K$1,"yyyy")),MATCH(TRIM($A136),BS_Accounts,0))</f>
        <v>0</v>
      </c>
      <c r="L136" s="115">
        <f t="array" aca="1" ref="L136" ca="1">INDEX(INDIRECT("BS_"&amp;TEXT(L$1,"mmm")&amp;"_"&amp;TEXT(L$1,"yyyy")),MATCH(TRIM($A136),BS_Accounts,0))</f>
        <v>0</v>
      </c>
      <c r="M136" s="115">
        <f t="array" aca="1" ref="M136" ca="1">INDEX(INDIRECT("BS_"&amp;TEXT(M$1,"mmm")&amp;"_"&amp;TEXT(M$1,"yyyy")),MATCH(TRIM($A136),BS_Accounts,0))</f>
        <v>0</v>
      </c>
      <c r="N136" s="115">
        <f t="array" aca="1" ref="N136" ca="1">INDEX(INDIRECT("BS_"&amp;TEXT(N$1,"mmm")&amp;"_"&amp;TEXT(N$1,"yyyy")),MATCH(TRIM($A136),BS_Accounts,0))</f>
        <v>0</v>
      </c>
      <c r="O136" s="115">
        <f t="array" aca="1" ref="O136" ca="1">INDEX(INDIRECT("BS_"&amp;TEXT(O$1,"mmm")&amp;"_"&amp;TEXT(O$1,"yyyy")),MATCH(TRIM($A136),BS_Accounts,0))</f>
        <v>0</v>
      </c>
      <c r="P136" s="115">
        <f t="array" aca="1" ref="P136" ca="1">INDEX(INDIRECT("BS_"&amp;TEXT(P$1,"mmm")&amp;"_"&amp;TEXT(P$1,"yyyy")),MATCH(TRIM($A136),BS_Accounts,0))</f>
        <v>0</v>
      </c>
      <c r="Q136" s="115">
        <f t="array" aca="1" ref="Q136" ca="1">INDEX(INDIRECT("BS_"&amp;TEXT(Q$1,"mmm")&amp;"_"&amp;TEXT(Q$1,"yyyy")),MATCH(TRIM($A136),BS_Accounts,0))</f>
        <v>0</v>
      </c>
      <c r="R136" s="115">
        <f t="array" aca="1" ref="R136" ca="1">INDEX(INDIRECT("BS_"&amp;TEXT(R$1,"mmm")&amp;"_"&amp;TEXT(R$1,"yyyy")),MATCH(TRIM($A136),BS_Accounts,0))</f>
        <v>0</v>
      </c>
      <c r="S136" s="115">
        <f t="array" aca="1" ref="S136" ca="1">INDEX(INDIRECT("BS_"&amp;TEXT(S$1,"mmm")&amp;"_"&amp;TEXT(S$1,"yyyy")),MATCH(TRIM($A136),BS_Accounts,0))</f>
        <v>0</v>
      </c>
      <c r="T136" s="115">
        <f t="array" aca="1" ref="T136" ca="1">INDEX(INDIRECT("BS_"&amp;TEXT(T$1,"mmm")&amp;"_"&amp;TEXT(T$1,"yyyy")),MATCH(TRIM($A136),BS_Accounts,0))</f>
        <v>0</v>
      </c>
      <c r="U136" s="115">
        <f t="array" aca="1" ref="U136" ca="1">INDEX(INDIRECT("BS_"&amp;TEXT(U$1,"mmm")&amp;"_"&amp;TEXT(U$1,"yyyy")),MATCH(TRIM($A136),BS_Accounts,0))</f>
        <v>0</v>
      </c>
      <c r="V136" s="115">
        <f t="array" aca="1" ref="V136" ca="1">INDEX(INDIRECT("BS_"&amp;TEXT(V$1,"mmm")&amp;"_"&amp;TEXT(V$1,"yyyy")),MATCH(TRIM($A136),BS_Accounts,0))</f>
        <v>0</v>
      </c>
      <c r="W136" s="115">
        <f t="array" aca="1" ref="W136" ca="1">INDEX(INDIRECT("BS_"&amp;TEXT(W$1,"mmm")&amp;"_"&amp;TEXT(W$1,"yyyy")),MATCH(TRIM($A136),BS_Accounts,0))</f>
        <v>0</v>
      </c>
      <c r="X136" s="115">
        <f t="array" aca="1" ref="X136" ca="1">INDEX(INDIRECT("BS_"&amp;TEXT(X$1,"mmm")&amp;"_"&amp;TEXT(X$1,"yyyy")),MATCH(TRIM($A136),BS_Accounts,0))</f>
        <v>0</v>
      </c>
      <c r="Y136" s="115">
        <f t="array" aca="1" ref="Y136" ca="1">INDEX(INDIRECT("BS_"&amp;TEXT(Y$1,"mmm")&amp;"_"&amp;TEXT(Y$1,"yyyy")),MATCH(TRIM($A136),BS_Accounts,0))</f>
        <v>0</v>
      </c>
      <c r="Z136" s="115">
        <f t="array" aca="1" ref="Z136" ca="1">INDEX(INDIRECT("BS_"&amp;TEXT(Z$1,"mmm")&amp;"_"&amp;TEXT(Z$1,"yyyy")),MATCH(TRIM($A136),BS_Accounts,0))</f>
        <v>0</v>
      </c>
      <c r="AA136" s="115">
        <f t="array" aca="1" ref="AA136" ca="1">INDEX(INDIRECT("BS_"&amp;TEXT(AA$1,"mmm")&amp;"_"&amp;TEXT(AA$1,"yyyy")),MATCH(TRIM($A136),BS_Accounts,0))</f>
        <v>0</v>
      </c>
      <c r="AB136" s="115">
        <f t="array" aca="1" ref="AB136" ca="1">INDEX(INDIRECT("BS_"&amp;TEXT(AB$1,"mmm")&amp;"_"&amp;TEXT(AB$1,"yyyy")),MATCH(TRIM($A136),BS_Accounts,0))</f>
        <v>0</v>
      </c>
      <c r="AC136" s="115">
        <f t="array" aca="1" ref="AC136" ca="1">INDEX(INDIRECT("BS_"&amp;TEXT(AC$1,"mmm")&amp;"_"&amp;TEXT(AC$1,"yyyy")),MATCH(TRIM($A136),BS_Accounts,0))</f>
        <v>0</v>
      </c>
      <c r="AD136" s="115">
        <f t="array" aca="1" ref="AD136" ca="1">INDEX(INDIRECT("BS_"&amp;TEXT(AD$1,"mmm")&amp;"_"&amp;TEXT(AD$1,"yyyy")),MATCH(TRIM($A136),BS_Accounts,0))</f>
        <v>0</v>
      </c>
      <c r="AE136" s="115">
        <f t="array" aca="1" ref="AE136" ca="1">INDEX(INDIRECT("BS_"&amp;TEXT(AE$1,"mmm")&amp;"_"&amp;TEXT(AE$1,"yyyy")),MATCH(TRIM($A136),BS_Accounts,0))</f>
        <v>0</v>
      </c>
      <c r="AF136" s="165">
        <f t="shared" ref="AF136:BW136" ca="1" si="73">$B136</f>
        <v>0</v>
      </c>
      <c r="AG136" s="165">
        <f t="shared" ca="1" si="73"/>
        <v>0</v>
      </c>
      <c r="AH136" s="165">
        <f t="shared" ca="1" si="73"/>
        <v>0</v>
      </c>
      <c r="AI136" s="165">
        <f t="shared" ca="1" si="73"/>
        <v>0</v>
      </c>
      <c r="AJ136" s="165">
        <f t="shared" ca="1" si="73"/>
        <v>0</v>
      </c>
      <c r="AK136" s="165">
        <f t="shared" ca="1" si="73"/>
        <v>0</v>
      </c>
      <c r="AL136" s="165">
        <f t="shared" ca="1" si="73"/>
        <v>0</v>
      </c>
      <c r="AM136" s="165">
        <f t="shared" ca="1" si="73"/>
        <v>0</v>
      </c>
      <c r="AN136" s="165">
        <f t="shared" ca="1" si="73"/>
        <v>0</v>
      </c>
      <c r="AO136" s="165">
        <f t="shared" ca="1" si="73"/>
        <v>0</v>
      </c>
      <c r="AP136" s="165">
        <f t="shared" ca="1" si="73"/>
        <v>0</v>
      </c>
      <c r="AQ136" s="165">
        <f t="shared" ca="1" si="73"/>
        <v>0</v>
      </c>
      <c r="AR136" s="165">
        <f t="shared" ca="1" si="73"/>
        <v>0</v>
      </c>
      <c r="AS136" s="165">
        <f t="shared" ca="1" si="73"/>
        <v>0</v>
      </c>
      <c r="AT136" s="165">
        <f t="shared" ca="1" si="73"/>
        <v>0</v>
      </c>
      <c r="AU136" s="165">
        <f t="shared" ca="1" si="73"/>
        <v>0</v>
      </c>
      <c r="AV136" s="165">
        <f t="shared" ca="1" si="73"/>
        <v>0</v>
      </c>
      <c r="AW136" s="165">
        <f t="shared" ca="1" si="73"/>
        <v>0</v>
      </c>
      <c r="AX136" s="165">
        <f t="shared" ca="1" si="73"/>
        <v>0</v>
      </c>
      <c r="AY136" s="165">
        <f t="shared" ca="1" si="73"/>
        <v>0</v>
      </c>
      <c r="AZ136" s="165">
        <f t="shared" ca="1" si="73"/>
        <v>0</v>
      </c>
      <c r="BA136" s="165">
        <f t="shared" ca="1" si="73"/>
        <v>0</v>
      </c>
      <c r="BB136" s="165">
        <f t="shared" ca="1" si="73"/>
        <v>0</v>
      </c>
      <c r="BC136" s="165">
        <f t="shared" ca="1" si="73"/>
        <v>0</v>
      </c>
      <c r="BD136" s="165">
        <f t="shared" ca="1" si="73"/>
        <v>0</v>
      </c>
      <c r="BE136" s="165">
        <f t="shared" ca="1" si="73"/>
        <v>0</v>
      </c>
      <c r="BF136" s="165">
        <f t="shared" ca="1" si="73"/>
        <v>0</v>
      </c>
      <c r="BG136" s="165">
        <f t="shared" ca="1" si="73"/>
        <v>0</v>
      </c>
      <c r="BH136" s="165">
        <f t="shared" ca="1" si="73"/>
        <v>0</v>
      </c>
      <c r="BI136" s="165">
        <f t="shared" ca="1" si="73"/>
        <v>0</v>
      </c>
      <c r="BJ136" s="165">
        <f t="shared" ca="1" si="73"/>
        <v>0</v>
      </c>
      <c r="BK136" s="165">
        <f t="shared" ca="1" si="73"/>
        <v>0</v>
      </c>
      <c r="BL136" s="165">
        <f t="shared" ca="1" si="73"/>
        <v>0</v>
      </c>
      <c r="BM136" s="165">
        <f t="shared" ca="1" si="73"/>
        <v>0</v>
      </c>
      <c r="BN136" s="165">
        <f t="shared" ca="1" si="73"/>
        <v>0</v>
      </c>
      <c r="BO136" s="165">
        <f t="shared" ca="1" si="73"/>
        <v>0</v>
      </c>
      <c r="BP136" s="165">
        <f t="shared" ca="1" si="73"/>
        <v>0</v>
      </c>
      <c r="BQ136" s="165">
        <f t="shared" ca="1" si="73"/>
        <v>0</v>
      </c>
      <c r="BR136" s="165">
        <f t="shared" ca="1" si="73"/>
        <v>0</v>
      </c>
      <c r="BS136" s="165">
        <f t="shared" ca="1" si="73"/>
        <v>0</v>
      </c>
      <c r="BT136" s="165">
        <f t="shared" ca="1" si="73"/>
        <v>0</v>
      </c>
      <c r="BU136" s="165">
        <f t="shared" ca="1" si="73"/>
        <v>0</v>
      </c>
      <c r="BV136" s="165">
        <f t="shared" ca="1" si="73"/>
        <v>0</v>
      </c>
      <c r="BW136" s="165">
        <f t="shared" ca="1" si="73"/>
        <v>0</v>
      </c>
    </row>
    <row r="137" spans="1:75" ht="12.75" x14ac:dyDescent="0.2">
      <c r="A137" s="23" t="s">
        <v>431</v>
      </c>
      <c r="B137" s="224"/>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25">
        <f t="shared" ref="AF137:BW137" si="74">_xlfn.IFNA(INDEX(Loans_Forgivable_Loan_Nonforgivable_Balance,MATCH(AF$1,Loans_Months,0)),0)</f>
        <v>0</v>
      </c>
      <c r="AG137" s="25">
        <f t="shared" si="74"/>
        <v>0</v>
      </c>
      <c r="AH137" s="25">
        <f t="shared" si="74"/>
        <v>0</v>
      </c>
      <c r="AI137" s="25">
        <f t="shared" si="74"/>
        <v>0</v>
      </c>
      <c r="AJ137" s="25">
        <f t="shared" si="74"/>
        <v>0</v>
      </c>
      <c r="AK137" s="25">
        <f t="shared" si="74"/>
        <v>0</v>
      </c>
      <c r="AL137" s="25">
        <f t="shared" si="74"/>
        <v>0</v>
      </c>
      <c r="AM137" s="25">
        <f t="shared" si="74"/>
        <v>0</v>
      </c>
      <c r="AN137" s="25">
        <f t="shared" si="74"/>
        <v>0</v>
      </c>
      <c r="AO137" s="25">
        <f t="shared" si="74"/>
        <v>0</v>
      </c>
      <c r="AP137" s="25">
        <f t="shared" si="74"/>
        <v>0</v>
      </c>
      <c r="AQ137" s="25">
        <f t="shared" si="74"/>
        <v>0</v>
      </c>
      <c r="AR137" s="25">
        <f t="shared" si="74"/>
        <v>0</v>
      </c>
      <c r="AS137" s="25">
        <f t="shared" si="74"/>
        <v>0</v>
      </c>
      <c r="AT137" s="25">
        <f t="shared" si="74"/>
        <v>0</v>
      </c>
      <c r="AU137" s="25">
        <f t="shared" si="74"/>
        <v>0</v>
      </c>
      <c r="AV137" s="25">
        <f t="shared" si="74"/>
        <v>0</v>
      </c>
      <c r="AW137" s="25">
        <f t="shared" si="74"/>
        <v>0</v>
      </c>
      <c r="AX137" s="25">
        <f t="shared" si="74"/>
        <v>0</v>
      </c>
      <c r="AY137" s="25">
        <f t="shared" si="74"/>
        <v>0</v>
      </c>
      <c r="AZ137" s="25">
        <f t="shared" si="74"/>
        <v>0</v>
      </c>
      <c r="BA137" s="25">
        <f t="shared" si="74"/>
        <v>0</v>
      </c>
      <c r="BB137" s="25">
        <f t="shared" si="74"/>
        <v>0</v>
      </c>
      <c r="BC137" s="25">
        <f t="shared" si="74"/>
        <v>0</v>
      </c>
      <c r="BD137" s="25">
        <f t="shared" si="74"/>
        <v>0</v>
      </c>
      <c r="BE137" s="25">
        <f t="shared" si="74"/>
        <v>0</v>
      </c>
      <c r="BF137" s="25">
        <f t="shared" si="74"/>
        <v>0</v>
      </c>
      <c r="BG137" s="25">
        <f t="shared" si="74"/>
        <v>0</v>
      </c>
      <c r="BH137" s="25">
        <f t="shared" si="74"/>
        <v>0</v>
      </c>
      <c r="BI137" s="25">
        <f t="shared" si="74"/>
        <v>0</v>
      </c>
      <c r="BJ137" s="25">
        <f t="shared" si="74"/>
        <v>0</v>
      </c>
      <c r="BK137" s="25">
        <f t="shared" si="74"/>
        <v>0</v>
      </c>
      <c r="BL137" s="25">
        <f t="shared" si="74"/>
        <v>0</v>
      </c>
      <c r="BM137" s="25">
        <f t="shared" si="74"/>
        <v>0</v>
      </c>
      <c r="BN137" s="25">
        <f t="shared" si="74"/>
        <v>0</v>
      </c>
      <c r="BO137" s="25">
        <f t="shared" si="74"/>
        <v>0</v>
      </c>
      <c r="BP137" s="25">
        <f t="shared" si="74"/>
        <v>0</v>
      </c>
      <c r="BQ137" s="25">
        <f t="shared" si="74"/>
        <v>0</v>
      </c>
      <c r="BR137" s="25">
        <f t="shared" si="74"/>
        <v>0</v>
      </c>
      <c r="BS137" s="25">
        <f t="shared" si="74"/>
        <v>0</v>
      </c>
      <c r="BT137" s="25">
        <f t="shared" si="74"/>
        <v>0</v>
      </c>
      <c r="BU137" s="25">
        <f t="shared" si="74"/>
        <v>0</v>
      </c>
      <c r="BV137" s="25">
        <f t="shared" si="74"/>
        <v>0</v>
      </c>
      <c r="BW137" s="25">
        <f t="shared" si="74"/>
        <v>0</v>
      </c>
    </row>
    <row r="138" spans="1:75" ht="12.75" x14ac:dyDescent="0.2">
      <c r="A138" s="23" t="s">
        <v>432</v>
      </c>
      <c r="B138" s="224"/>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25">
        <f t="shared" ref="AF138:BW138" si="75">_xlfn.IFNA(INDEX(Loans_Standard_Loan_Balance,MATCH(AF$1,Loans_Months,0)),0)</f>
        <v>0</v>
      </c>
      <c r="AG138" s="25">
        <f t="shared" si="75"/>
        <v>0</v>
      </c>
      <c r="AH138" s="25">
        <f t="shared" si="75"/>
        <v>0</v>
      </c>
      <c r="AI138" s="25">
        <f t="shared" si="75"/>
        <v>0</v>
      </c>
      <c r="AJ138" s="25">
        <f t="shared" si="75"/>
        <v>0</v>
      </c>
      <c r="AK138" s="25">
        <f t="shared" si="75"/>
        <v>0</v>
      </c>
      <c r="AL138" s="25">
        <f t="shared" si="75"/>
        <v>0</v>
      </c>
      <c r="AM138" s="25">
        <f t="shared" si="75"/>
        <v>0</v>
      </c>
      <c r="AN138" s="25">
        <f t="shared" si="75"/>
        <v>0</v>
      </c>
      <c r="AO138" s="25">
        <f t="shared" si="75"/>
        <v>0</v>
      </c>
      <c r="AP138" s="25">
        <f t="shared" si="75"/>
        <v>0</v>
      </c>
      <c r="AQ138" s="25">
        <f t="shared" si="75"/>
        <v>0</v>
      </c>
      <c r="AR138" s="25">
        <f t="shared" si="75"/>
        <v>0</v>
      </c>
      <c r="AS138" s="25">
        <f t="shared" si="75"/>
        <v>0</v>
      </c>
      <c r="AT138" s="25">
        <f t="shared" si="75"/>
        <v>0</v>
      </c>
      <c r="AU138" s="25">
        <f t="shared" si="75"/>
        <v>0</v>
      </c>
      <c r="AV138" s="25">
        <f t="shared" si="75"/>
        <v>0</v>
      </c>
      <c r="AW138" s="25">
        <f t="shared" si="75"/>
        <v>0</v>
      </c>
      <c r="AX138" s="25">
        <f t="shared" si="75"/>
        <v>0</v>
      </c>
      <c r="AY138" s="25">
        <f t="shared" si="75"/>
        <v>0</v>
      </c>
      <c r="AZ138" s="25">
        <f t="shared" si="75"/>
        <v>0</v>
      </c>
      <c r="BA138" s="25">
        <f t="shared" si="75"/>
        <v>0</v>
      </c>
      <c r="BB138" s="25">
        <f t="shared" si="75"/>
        <v>0</v>
      </c>
      <c r="BC138" s="25">
        <f t="shared" si="75"/>
        <v>0</v>
      </c>
      <c r="BD138" s="25">
        <f t="shared" si="75"/>
        <v>0</v>
      </c>
      <c r="BE138" s="25">
        <f t="shared" si="75"/>
        <v>0</v>
      </c>
      <c r="BF138" s="25">
        <f t="shared" si="75"/>
        <v>0</v>
      </c>
      <c r="BG138" s="25">
        <f t="shared" si="75"/>
        <v>0</v>
      </c>
      <c r="BH138" s="25">
        <f t="shared" si="75"/>
        <v>0</v>
      </c>
      <c r="BI138" s="25">
        <f t="shared" si="75"/>
        <v>0</v>
      </c>
      <c r="BJ138" s="25">
        <f t="shared" si="75"/>
        <v>0</v>
      </c>
      <c r="BK138" s="25">
        <f t="shared" si="75"/>
        <v>0</v>
      </c>
      <c r="BL138" s="25">
        <f t="shared" si="75"/>
        <v>0</v>
      </c>
      <c r="BM138" s="25">
        <f t="shared" si="75"/>
        <v>0</v>
      </c>
      <c r="BN138" s="25">
        <f t="shared" si="75"/>
        <v>0</v>
      </c>
      <c r="BO138" s="25">
        <f t="shared" si="75"/>
        <v>0</v>
      </c>
      <c r="BP138" s="25">
        <f t="shared" si="75"/>
        <v>0</v>
      </c>
      <c r="BQ138" s="25">
        <f t="shared" si="75"/>
        <v>0</v>
      </c>
      <c r="BR138" s="25">
        <f t="shared" si="75"/>
        <v>0</v>
      </c>
      <c r="BS138" s="25">
        <f t="shared" si="75"/>
        <v>0</v>
      </c>
      <c r="BT138" s="25">
        <f t="shared" si="75"/>
        <v>0</v>
      </c>
      <c r="BU138" s="25">
        <f t="shared" si="75"/>
        <v>0</v>
      </c>
      <c r="BV138" s="25">
        <f t="shared" si="75"/>
        <v>0</v>
      </c>
      <c r="BW138" s="25">
        <f t="shared" si="75"/>
        <v>0</v>
      </c>
    </row>
    <row r="139" spans="1:75" ht="12.75" x14ac:dyDescent="0.2">
      <c r="A139" s="60" t="s">
        <v>376</v>
      </c>
      <c r="B139" s="238"/>
      <c r="C139" s="212"/>
      <c r="D139" s="213">
        <f t="shared" ref="D139:BW139" ca="1" si="76">SUM(D134:D138)</f>
        <v>1050000</v>
      </c>
      <c r="E139" s="213">
        <f t="shared" ca="1" si="76"/>
        <v>1150000</v>
      </c>
      <c r="F139" s="213">
        <f t="shared" ca="1" si="76"/>
        <v>1150000</v>
      </c>
      <c r="G139" s="213">
        <f t="shared" ca="1" si="76"/>
        <v>1150000</v>
      </c>
      <c r="H139" s="213">
        <f t="shared" ca="1" si="76"/>
        <v>1150000</v>
      </c>
      <c r="I139" s="213">
        <f t="shared" ca="1" si="76"/>
        <v>1150000</v>
      </c>
      <c r="J139" s="213">
        <f t="shared" ca="1" si="76"/>
        <v>1150000</v>
      </c>
      <c r="K139" s="213">
        <f t="shared" ca="1" si="76"/>
        <v>1150000</v>
      </c>
      <c r="L139" s="213">
        <f t="shared" ca="1" si="76"/>
        <v>1150000</v>
      </c>
      <c r="M139" s="213">
        <f t="shared" ca="1" si="76"/>
        <v>1750000</v>
      </c>
      <c r="N139" s="213">
        <f t="shared" ca="1" si="76"/>
        <v>1750000</v>
      </c>
      <c r="O139" s="213">
        <f t="shared" ca="1" si="76"/>
        <v>1750000</v>
      </c>
      <c r="P139" s="213">
        <f t="shared" ca="1" si="76"/>
        <v>2250000</v>
      </c>
      <c r="Q139" s="213">
        <f t="shared" ca="1" si="76"/>
        <v>2250000</v>
      </c>
      <c r="R139" s="213">
        <f t="shared" ca="1" si="76"/>
        <v>2250000</v>
      </c>
      <c r="S139" s="213">
        <f t="shared" ca="1" si="76"/>
        <v>2250000</v>
      </c>
      <c r="T139" s="213">
        <f t="shared" ca="1" si="76"/>
        <v>2550000</v>
      </c>
      <c r="U139" s="213">
        <f t="shared" ca="1" si="76"/>
        <v>2550000</v>
      </c>
      <c r="V139" s="213">
        <f t="shared" ca="1" si="76"/>
        <v>2550000</v>
      </c>
      <c r="W139" s="213">
        <f t="shared" ca="1" si="76"/>
        <v>2550000</v>
      </c>
      <c r="X139" s="213">
        <f t="shared" ca="1" si="76"/>
        <v>2550000</v>
      </c>
      <c r="Y139" s="213">
        <f t="shared" ca="1" si="76"/>
        <v>2850000</v>
      </c>
      <c r="Z139" s="213">
        <f t="shared" ca="1" si="76"/>
        <v>2850000</v>
      </c>
      <c r="AA139" s="213">
        <f t="shared" ca="1" si="76"/>
        <v>2850000</v>
      </c>
      <c r="AB139" s="213">
        <f t="shared" ca="1" si="76"/>
        <v>2850000</v>
      </c>
      <c r="AC139" s="213">
        <f t="shared" ca="1" si="76"/>
        <v>2850000</v>
      </c>
      <c r="AD139" s="213">
        <f t="shared" ca="1" si="76"/>
        <v>2850000</v>
      </c>
      <c r="AE139" s="213">
        <f t="shared" ca="1" si="76"/>
        <v>2850000</v>
      </c>
      <c r="AF139" s="213">
        <f t="shared" ca="1" si="76"/>
        <v>2850000</v>
      </c>
      <c r="AG139" s="213">
        <f t="shared" ca="1" si="76"/>
        <v>2850000</v>
      </c>
      <c r="AH139" s="213">
        <f t="shared" ca="1" si="76"/>
        <v>2850000</v>
      </c>
      <c r="AI139" s="213">
        <f t="shared" ca="1" si="76"/>
        <v>2850000</v>
      </c>
      <c r="AJ139" s="213">
        <f t="shared" ca="1" si="76"/>
        <v>2850000</v>
      </c>
      <c r="AK139" s="213">
        <f t="shared" ca="1" si="76"/>
        <v>2850000</v>
      </c>
      <c r="AL139" s="213">
        <f t="shared" ca="1" si="76"/>
        <v>2850000</v>
      </c>
      <c r="AM139" s="213">
        <f t="shared" ca="1" si="76"/>
        <v>2850000</v>
      </c>
      <c r="AN139" s="213">
        <f t="shared" ca="1" si="76"/>
        <v>2850000</v>
      </c>
      <c r="AO139" s="213">
        <f t="shared" ca="1" si="76"/>
        <v>2850000</v>
      </c>
      <c r="AP139" s="213">
        <f t="shared" ca="1" si="76"/>
        <v>2850000</v>
      </c>
      <c r="AQ139" s="213">
        <f t="shared" ca="1" si="76"/>
        <v>2850000</v>
      </c>
      <c r="AR139" s="213">
        <f t="shared" ca="1" si="76"/>
        <v>2850000</v>
      </c>
      <c r="AS139" s="213">
        <f t="shared" ca="1" si="76"/>
        <v>2850000</v>
      </c>
      <c r="AT139" s="213">
        <f t="shared" ca="1" si="76"/>
        <v>2850000</v>
      </c>
      <c r="AU139" s="213">
        <f t="shared" ca="1" si="76"/>
        <v>2850000</v>
      </c>
      <c r="AV139" s="213">
        <f t="shared" ca="1" si="76"/>
        <v>2850000</v>
      </c>
      <c r="AW139" s="213">
        <f t="shared" ca="1" si="76"/>
        <v>2850000</v>
      </c>
      <c r="AX139" s="213">
        <f t="shared" ca="1" si="76"/>
        <v>2850000</v>
      </c>
      <c r="AY139" s="213">
        <f t="shared" ca="1" si="76"/>
        <v>2850000</v>
      </c>
      <c r="AZ139" s="213">
        <f t="shared" ca="1" si="76"/>
        <v>2850000</v>
      </c>
      <c r="BA139" s="213">
        <f t="shared" ca="1" si="76"/>
        <v>2850000</v>
      </c>
      <c r="BB139" s="213">
        <f t="shared" ca="1" si="76"/>
        <v>2850000</v>
      </c>
      <c r="BC139" s="213">
        <f t="shared" ca="1" si="76"/>
        <v>2850000</v>
      </c>
      <c r="BD139" s="213">
        <f t="shared" ca="1" si="76"/>
        <v>2850000</v>
      </c>
      <c r="BE139" s="213">
        <f t="shared" ca="1" si="76"/>
        <v>2850000</v>
      </c>
      <c r="BF139" s="213">
        <f t="shared" ca="1" si="76"/>
        <v>2850000</v>
      </c>
      <c r="BG139" s="213">
        <f t="shared" ca="1" si="76"/>
        <v>2850000</v>
      </c>
      <c r="BH139" s="213">
        <f t="shared" ca="1" si="76"/>
        <v>2850000</v>
      </c>
      <c r="BI139" s="213">
        <f t="shared" ca="1" si="76"/>
        <v>2850000</v>
      </c>
      <c r="BJ139" s="213">
        <f t="shared" ca="1" si="76"/>
        <v>2850000</v>
      </c>
      <c r="BK139" s="213">
        <f t="shared" ca="1" si="76"/>
        <v>2850000</v>
      </c>
      <c r="BL139" s="213">
        <f t="shared" ca="1" si="76"/>
        <v>2850000</v>
      </c>
      <c r="BM139" s="213">
        <f t="shared" ca="1" si="76"/>
        <v>2850000</v>
      </c>
      <c r="BN139" s="213">
        <f t="shared" ca="1" si="76"/>
        <v>2850000</v>
      </c>
      <c r="BO139" s="213">
        <f t="shared" ca="1" si="76"/>
        <v>2850000</v>
      </c>
      <c r="BP139" s="213">
        <f t="shared" ca="1" si="76"/>
        <v>2850000</v>
      </c>
      <c r="BQ139" s="213">
        <f t="shared" ca="1" si="76"/>
        <v>2850000</v>
      </c>
      <c r="BR139" s="213">
        <f t="shared" ca="1" si="76"/>
        <v>2850000</v>
      </c>
      <c r="BS139" s="213">
        <f t="shared" ca="1" si="76"/>
        <v>2850000</v>
      </c>
      <c r="BT139" s="213">
        <f t="shared" ca="1" si="76"/>
        <v>2850000</v>
      </c>
      <c r="BU139" s="213">
        <f t="shared" ca="1" si="76"/>
        <v>2850000</v>
      </c>
      <c r="BV139" s="213">
        <f t="shared" ca="1" si="76"/>
        <v>2850000</v>
      </c>
      <c r="BW139" s="213">
        <f t="shared" ca="1" si="76"/>
        <v>2850000</v>
      </c>
    </row>
    <row r="140" spans="1:75" ht="12.75" x14ac:dyDescent="0.2">
      <c r="A140" s="69" t="s">
        <v>244</v>
      </c>
      <c r="B140" s="221"/>
      <c r="D140" s="115">
        <f t="array" aca="1" ref="D140" ca="1">INDEX(INDIRECT("BS_"&amp;TEXT(D$1,"mmm")&amp;"_"&amp;TEXT(D$1,"yyyy")),MATCH(TRIM($A139),BS_Accounts,0))-D139</f>
        <v>0</v>
      </c>
      <c r="E140" s="115">
        <f t="array" aca="1" ref="E140" ca="1">INDEX(INDIRECT("BS_"&amp;TEXT(E$1,"mmm")&amp;"_"&amp;TEXT(E$1,"yyyy")),MATCH(TRIM($A139),BS_Accounts,0))-E139</f>
        <v>0</v>
      </c>
      <c r="F140" s="115">
        <f t="array" aca="1" ref="F140" ca="1">INDEX(INDIRECT("BS_"&amp;TEXT(F$1,"mmm")&amp;"_"&amp;TEXT(F$1,"yyyy")),MATCH(TRIM($A139),BS_Accounts,0))-F139</f>
        <v>0</v>
      </c>
      <c r="G140" s="115">
        <f t="array" aca="1" ref="G140" ca="1">INDEX(INDIRECT("BS_"&amp;TEXT(G$1,"mmm")&amp;"_"&amp;TEXT(G$1,"yyyy")),MATCH(TRIM($A139),BS_Accounts,0))-G139</f>
        <v>0</v>
      </c>
      <c r="H140" s="115">
        <f t="array" aca="1" ref="H140" ca="1">INDEX(INDIRECT("BS_"&amp;TEXT(H$1,"mmm")&amp;"_"&amp;TEXT(H$1,"yyyy")),MATCH(TRIM($A139),BS_Accounts,0))-H139</f>
        <v>0</v>
      </c>
      <c r="I140" s="115">
        <f t="array" aca="1" ref="I140" ca="1">INDEX(INDIRECT("BS_"&amp;TEXT(I$1,"mmm")&amp;"_"&amp;TEXT(I$1,"yyyy")),MATCH(TRIM($A139),BS_Accounts,0))-I139</f>
        <v>0</v>
      </c>
      <c r="J140" s="115">
        <f t="array" aca="1" ref="J140" ca="1">INDEX(INDIRECT("BS_"&amp;TEXT(J$1,"mmm")&amp;"_"&amp;TEXT(J$1,"yyyy")),MATCH(TRIM($A139),BS_Accounts,0))-J139</f>
        <v>0</v>
      </c>
      <c r="K140" s="115">
        <f t="array" aca="1" ref="K140" ca="1">INDEX(INDIRECT("BS_"&amp;TEXT(K$1,"mmm")&amp;"_"&amp;TEXT(K$1,"yyyy")),MATCH(TRIM($A139),BS_Accounts,0))-K139</f>
        <v>0</v>
      </c>
      <c r="L140" s="115">
        <f t="array" aca="1" ref="L140" ca="1">INDEX(INDIRECT("BS_"&amp;TEXT(L$1,"mmm")&amp;"_"&amp;TEXT(L$1,"yyyy")),MATCH(TRIM($A139),BS_Accounts,0))-L139</f>
        <v>0</v>
      </c>
      <c r="M140" s="115">
        <f t="array" aca="1" ref="M140" ca="1">INDEX(INDIRECT("BS_"&amp;TEXT(M$1,"mmm")&amp;"_"&amp;TEXT(M$1,"yyyy")),MATCH(TRIM($A139),BS_Accounts,0))-M139</f>
        <v>0</v>
      </c>
      <c r="N140" s="115">
        <f t="array" aca="1" ref="N140" ca="1">INDEX(INDIRECT("BS_"&amp;TEXT(N$1,"mmm")&amp;"_"&amp;TEXT(N$1,"yyyy")),MATCH(TRIM($A139),BS_Accounts,0))-N139</f>
        <v>0</v>
      </c>
      <c r="O140" s="115">
        <f t="array" aca="1" ref="O140" ca="1">INDEX(INDIRECT("BS_"&amp;TEXT(O$1,"mmm")&amp;"_"&amp;TEXT(O$1,"yyyy")),MATCH(TRIM($A139),BS_Accounts,0))-O139</f>
        <v>0</v>
      </c>
      <c r="P140" s="115">
        <f t="array" aca="1" ref="P140" ca="1">INDEX(INDIRECT("BS_"&amp;TEXT(P$1,"mmm")&amp;"_"&amp;TEXT(P$1,"yyyy")),MATCH(TRIM($A139),BS_Accounts,0))-P139</f>
        <v>0</v>
      </c>
      <c r="Q140" s="115">
        <f t="array" aca="1" ref="Q140" ca="1">INDEX(INDIRECT("BS_"&amp;TEXT(Q$1,"mmm")&amp;"_"&amp;TEXT(Q$1,"yyyy")),MATCH(TRIM($A139),BS_Accounts,0))-Q139</f>
        <v>0</v>
      </c>
      <c r="R140" s="115">
        <f t="array" aca="1" ref="R140" ca="1">INDEX(INDIRECT("BS_"&amp;TEXT(R$1,"mmm")&amp;"_"&amp;TEXT(R$1,"yyyy")),MATCH(TRIM($A139),BS_Accounts,0))-R139</f>
        <v>0</v>
      </c>
      <c r="S140" s="115">
        <f t="array" aca="1" ref="S140" ca="1">INDEX(INDIRECT("BS_"&amp;TEXT(S$1,"mmm")&amp;"_"&amp;TEXT(S$1,"yyyy")),MATCH(TRIM($A139),BS_Accounts,0))-S139</f>
        <v>0</v>
      </c>
      <c r="T140" s="115">
        <f t="array" aca="1" ref="T140" ca="1">INDEX(INDIRECT("BS_"&amp;TEXT(T$1,"mmm")&amp;"_"&amp;TEXT(T$1,"yyyy")),MATCH(TRIM($A139),BS_Accounts,0))-T139</f>
        <v>0</v>
      </c>
      <c r="U140" s="115">
        <f t="array" aca="1" ref="U140" ca="1">INDEX(INDIRECT("BS_"&amp;TEXT(U$1,"mmm")&amp;"_"&amp;TEXT(U$1,"yyyy")),MATCH(TRIM($A139),BS_Accounts,0))-U139</f>
        <v>0</v>
      </c>
      <c r="V140" s="115">
        <f t="array" aca="1" ref="V140" ca="1">INDEX(INDIRECT("BS_"&amp;TEXT(V$1,"mmm")&amp;"_"&amp;TEXT(V$1,"yyyy")),MATCH(TRIM($A139),BS_Accounts,0))-V139</f>
        <v>0</v>
      </c>
      <c r="W140" s="115">
        <f t="array" aca="1" ref="W140" ca="1">INDEX(INDIRECT("BS_"&amp;TEXT(W$1,"mmm")&amp;"_"&amp;TEXT(W$1,"yyyy")),MATCH(TRIM($A139),BS_Accounts,0))-W139</f>
        <v>0</v>
      </c>
      <c r="X140" s="115">
        <f t="array" aca="1" ref="X140" ca="1">INDEX(INDIRECT("BS_"&amp;TEXT(X$1,"mmm")&amp;"_"&amp;TEXT(X$1,"yyyy")),MATCH(TRIM($A139),BS_Accounts,0))-X139</f>
        <v>0</v>
      </c>
      <c r="Y140" s="115">
        <f t="array" aca="1" ref="Y140" ca="1">INDEX(INDIRECT("BS_"&amp;TEXT(Y$1,"mmm")&amp;"_"&amp;TEXT(Y$1,"yyyy")),MATCH(TRIM($A139),BS_Accounts,0))-Y139</f>
        <v>0</v>
      </c>
      <c r="Z140" s="115">
        <f t="array" aca="1" ref="Z140" ca="1">INDEX(INDIRECT("BS_"&amp;TEXT(Z$1,"mmm")&amp;"_"&amp;TEXT(Z$1,"yyyy")),MATCH(TRIM($A139),BS_Accounts,0))-Z139</f>
        <v>0</v>
      </c>
      <c r="AA140" s="115">
        <f t="array" aca="1" ref="AA140" ca="1">INDEX(INDIRECT("BS_"&amp;TEXT(AA$1,"mmm")&amp;"_"&amp;TEXT(AA$1,"yyyy")),MATCH(TRIM($A139),BS_Accounts,0))-AA139</f>
        <v>0</v>
      </c>
      <c r="AB140" s="115">
        <f t="array" aca="1" ref="AB140" ca="1">INDEX(INDIRECT("BS_"&amp;TEXT(AB$1,"mmm")&amp;"_"&amp;TEXT(AB$1,"yyyy")),MATCH(TRIM($A139),BS_Accounts,0))-AB139</f>
        <v>0</v>
      </c>
      <c r="AC140" s="115">
        <f t="array" aca="1" ref="AC140" ca="1">INDEX(INDIRECT("BS_"&amp;TEXT(AC$1,"mmm")&amp;"_"&amp;TEXT(AC$1,"yyyy")),MATCH(TRIM($A139),BS_Accounts,0))-AC139</f>
        <v>0</v>
      </c>
      <c r="AD140" s="115">
        <f t="array" aca="1" ref="AD140" ca="1">INDEX(INDIRECT("BS_"&amp;TEXT(AD$1,"mmm")&amp;"_"&amp;TEXT(AD$1,"yyyy")),MATCH(TRIM($A139),BS_Accounts,0))-AD139</f>
        <v>0</v>
      </c>
      <c r="AE140" s="115">
        <f t="array" aca="1" ref="AE140" ca="1">INDEX(INDIRECT("BS_"&amp;TEXT(AE$1,"mmm")&amp;"_"&amp;TEXT(AE$1,"yyyy")),MATCH(TRIM($A139),BS_Accounts,0))-AE139</f>
        <v>0</v>
      </c>
    </row>
    <row r="141" spans="1:75" ht="12.75" x14ac:dyDescent="0.2">
      <c r="A141" s="60" t="s">
        <v>377</v>
      </c>
      <c r="B141" s="238"/>
      <c r="C141" s="212"/>
      <c r="D141" s="213">
        <f t="shared" ref="D141:BW141" ca="1" si="77">SUM(D139,D131)</f>
        <v>1050118</v>
      </c>
      <c r="E141" s="213">
        <f t="shared" ca="1" si="77"/>
        <v>1147892</v>
      </c>
      <c r="F141" s="213">
        <f t="shared" ca="1" si="77"/>
        <v>1147892</v>
      </c>
      <c r="G141" s="213">
        <f t="shared" ca="1" si="77"/>
        <v>1147892</v>
      </c>
      <c r="H141" s="213">
        <f t="shared" ca="1" si="77"/>
        <v>1147892</v>
      </c>
      <c r="I141" s="213">
        <f t="shared" ca="1" si="77"/>
        <v>1147892</v>
      </c>
      <c r="J141" s="213">
        <f t="shared" ca="1" si="77"/>
        <v>1147892</v>
      </c>
      <c r="K141" s="213">
        <f t="shared" ca="1" si="77"/>
        <v>1147892</v>
      </c>
      <c r="L141" s="213">
        <f t="shared" ca="1" si="77"/>
        <v>1147892</v>
      </c>
      <c r="M141" s="213">
        <f t="shared" ca="1" si="77"/>
        <v>1747892</v>
      </c>
      <c r="N141" s="213">
        <f t="shared" ca="1" si="77"/>
        <v>1747892</v>
      </c>
      <c r="O141" s="213">
        <f t="shared" ca="1" si="77"/>
        <v>1747892</v>
      </c>
      <c r="P141" s="213">
        <f t="shared" ca="1" si="77"/>
        <v>2247892</v>
      </c>
      <c r="Q141" s="213">
        <f t="shared" ca="1" si="77"/>
        <v>2247892</v>
      </c>
      <c r="R141" s="213">
        <f t="shared" ca="1" si="77"/>
        <v>2247892</v>
      </c>
      <c r="S141" s="213">
        <f t="shared" ca="1" si="77"/>
        <v>2247892</v>
      </c>
      <c r="T141" s="213">
        <f t="shared" ca="1" si="77"/>
        <v>2547892</v>
      </c>
      <c r="U141" s="213">
        <f t="shared" ca="1" si="77"/>
        <v>2547892</v>
      </c>
      <c r="V141" s="213">
        <f t="shared" ca="1" si="77"/>
        <v>2547892</v>
      </c>
      <c r="W141" s="213">
        <f t="shared" ca="1" si="77"/>
        <v>2547892</v>
      </c>
      <c r="X141" s="213">
        <f t="shared" ca="1" si="77"/>
        <v>2547892</v>
      </c>
      <c r="Y141" s="213">
        <f t="shared" ca="1" si="77"/>
        <v>2847892</v>
      </c>
      <c r="Z141" s="213">
        <f t="shared" ca="1" si="77"/>
        <v>2847892</v>
      </c>
      <c r="AA141" s="213">
        <f t="shared" ca="1" si="77"/>
        <v>2847892</v>
      </c>
      <c r="AB141" s="213">
        <f t="shared" ca="1" si="77"/>
        <v>2847892</v>
      </c>
      <c r="AC141" s="213">
        <f t="shared" ca="1" si="77"/>
        <v>2847892</v>
      </c>
      <c r="AD141" s="213">
        <f t="shared" ca="1" si="77"/>
        <v>2847892</v>
      </c>
      <c r="AE141" s="213">
        <f t="shared" ca="1" si="77"/>
        <v>2847892</v>
      </c>
      <c r="AF141" s="213">
        <f t="shared" ca="1" si="77"/>
        <v>2847892</v>
      </c>
      <c r="AG141" s="213">
        <f t="shared" ca="1" si="77"/>
        <v>2847892</v>
      </c>
      <c r="AH141" s="213">
        <f t="shared" ca="1" si="77"/>
        <v>2847892</v>
      </c>
      <c r="AI141" s="213">
        <f t="shared" ca="1" si="77"/>
        <v>2847892</v>
      </c>
      <c r="AJ141" s="213">
        <f t="shared" ca="1" si="77"/>
        <v>2847892</v>
      </c>
      <c r="AK141" s="213">
        <f t="shared" ca="1" si="77"/>
        <v>2847892</v>
      </c>
      <c r="AL141" s="213">
        <f t="shared" ca="1" si="77"/>
        <v>2847892</v>
      </c>
      <c r="AM141" s="213">
        <f t="shared" ca="1" si="77"/>
        <v>2847892</v>
      </c>
      <c r="AN141" s="213">
        <f t="shared" ca="1" si="77"/>
        <v>2847892</v>
      </c>
      <c r="AO141" s="213">
        <f t="shared" ca="1" si="77"/>
        <v>2847892</v>
      </c>
      <c r="AP141" s="213">
        <f t="shared" ca="1" si="77"/>
        <v>2847892</v>
      </c>
      <c r="AQ141" s="213">
        <f t="shared" ca="1" si="77"/>
        <v>2847892</v>
      </c>
      <c r="AR141" s="213">
        <f t="shared" ca="1" si="77"/>
        <v>2847892</v>
      </c>
      <c r="AS141" s="213">
        <f t="shared" ca="1" si="77"/>
        <v>2847892</v>
      </c>
      <c r="AT141" s="213">
        <f t="shared" ca="1" si="77"/>
        <v>2847892</v>
      </c>
      <c r="AU141" s="213">
        <f t="shared" ca="1" si="77"/>
        <v>2847892</v>
      </c>
      <c r="AV141" s="213">
        <f t="shared" ca="1" si="77"/>
        <v>2847892</v>
      </c>
      <c r="AW141" s="213">
        <f t="shared" ca="1" si="77"/>
        <v>2847892</v>
      </c>
      <c r="AX141" s="213">
        <f t="shared" ca="1" si="77"/>
        <v>2847892</v>
      </c>
      <c r="AY141" s="213">
        <f t="shared" ca="1" si="77"/>
        <v>2847892</v>
      </c>
      <c r="AZ141" s="213">
        <f t="shared" ca="1" si="77"/>
        <v>2847892</v>
      </c>
      <c r="BA141" s="213">
        <f t="shared" ca="1" si="77"/>
        <v>2847892</v>
      </c>
      <c r="BB141" s="213">
        <f t="shared" ca="1" si="77"/>
        <v>2847892</v>
      </c>
      <c r="BC141" s="213">
        <f t="shared" ca="1" si="77"/>
        <v>2847892</v>
      </c>
      <c r="BD141" s="213">
        <f t="shared" ca="1" si="77"/>
        <v>2847892</v>
      </c>
      <c r="BE141" s="213">
        <f t="shared" ca="1" si="77"/>
        <v>2847892</v>
      </c>
      <c r="BF141" s="213">
        <f t="shared" ca="1" si="77"/>
        <v>2847892</v>
      </c>
      <c r="BG141" s="213">
        <f t="shared" ca="1" si="77"/>
        <v>2847892</v>
      </c>
      <c r="BH141" s="213">
        <f t="shared" ca="1" si="77"/>
        <v>2847892</v>
      </c>
      <c r="BI141" s="213">
        <f t="shared" ca="1" si="77"/>
        <v>2847892</v>
      </c>
      <c r="BJ141" s="213">
        <f t="shared" ca="1" si="77"/>
        <v>2847892</v>
      </c>
      <c r="BK141" s="213">
        <f t="shared" ca="1" si="77"/>
        <v>2847892</v>
      </c>
      <c r="BL141" s="213">
        <f t="shared" ca="1" si="77"/>
        <v>2847892</v>
      </c>
      <c r="BM141" s="213">
        <f t="shared" ca="1" si="77"/>
        <v>2847892</v>
      </c>
      <c r="BN141" s="213">
        <f t="shared" ca="1" si="77"/>
        <v>2847892</v>
      </c>
      <c r="BO141" s="213">
        <f t="shared" ca="1" si="77"/>
        <v>2847892</v>
      </c>
      <c r="BP141" s="212" t="e">
        <f t="shared" ca="1" si="77"/>
        <v>#N/A</v>
      </c>
      <c r="BQ141" s="212" t="e">
        <f t="shared" ca="1" si="77"/>
        <v>#N/A</v>
      </c>
      <c r="BR141" s="212" t="e">
        <f t="shared" ca="1" si="77"/>
        <v>#N/A</v>
      </c>
      <c r="BS141" s="212" t="e">
        <f t="shared" ca="1" si="77"/>
        <v>#N/A</v>
      </c>
      <c r="BT141" s="212" t="e">
        <f t="shared" ca="1" si="77"/>
        <v>#N/A</v>
      </c>
      <c r="BU141" s="212" t="e">
        <f t="shared" ca="1" si="77"/>
        <v>#N/A</v>
      </c>
      <c r="BV141" s="212" t="e">
        <f t="shared" ca="1" si="77"/>
        <v>#N/A</v>
      </c>
      <c r="BW141" s="212" t="e">
        <f t="shared" ca="1" si="77"/>
        <v>#N/A</v>
      </c>
    </row>
    <row r="142" spans="1:75" ht="12.75" x14ac:dyDescent="0.2">
      <c r="A142" s="69" t="s">
        <v>244</v>
      </c>
      <c r="B142" s="221"/>
      <c r="D142" s="115">
        <f t="array" aca="1" ref="D142" ca="1">INDEX(INDIRECT("BS_"&amp;TEXT(D$1,"mmm")&amp;"_"&amp;TEXT(D$1,"yyyy")),MATCH(TRIM($A141),BS_Accounts,0))-D141</f>
        <v>0</v>
      </c>
      <c r="E142" s="115">
        <f t="array" aca="1" ref="E142" ca="1">INDEX(INDIRECT("BS_"&amp;TEXT(E$1,"mmm")&amp;"_"&amp;TEXT(E$1,"yyyy")),MATCH(TRIM($A141),BS_Accounts,0))-E141</f>
        <v>0</v>
      </c>
      <c r="F142" s="115">
        <f t="array" aca="1" ref="F142" ca="1">INDEX(INDIRECT("BS_"&amp;TEXT(F$1,"mmm")&amp;"_"&amp;TEXT(F$1,"yyyy")),MATCH(TRIM($A141),BS_Accounts,0))-F141</f>
        <v>0</v>
      </c>
      <c r="G142" s="115">
        <f t="array" aca="1" ref="G142" ca="1">INDEX(INDIRECT("BS_"&amp;TEXT(G$1,"mmm")&amp;"_"&amp;TEXT(G$1,"yyyy")),MATCH(TRIM($A141),BS_Accounts,0))-G141</f>
        <v>0</v>
      </c>
      <c r="H142" s="115">
        <f t="array" aca="1" ref="H142" ca="1">INDEX(INDIRECT("BS_"&amp;TEXT(H$1,"mmm")&amp;"_"&amp;TEXT(H$1,"yyyy")),MATCH(TRIM($A141),BS_Accounts,0))-H141</f>
        <v>0</v>
      </c>
      <c r="I142" s="115">
        <f t="array" aca="1" ref="I142" ca="1">INDEX(INDIRECT("BS_"&amp;TEXT(I$1,"mmm")&amp;"_"&amp;TEXT(I$1,"yyyy")),MATCH(TRIM($A141),BS_Accounts,0))-I141</f>
        <v>0</v>
      </c>
      <c r="J142" s="115">
        <f t="array" aca="1" ref="J142" ca="1">INDEX(INDIRECT("BS_"&amp;TEXT(J$1,"mmm")&amp;"_"&amp;TEXT(J$1,"yyyy")),MATCH(TRIM($A141),BS_Accounts,0))-J141</f>
        <v>0</v>
      </c>
      <c r="K142" s="115">
        <f t="array" aca="1" ref="K142" ca="1">INDEX(INDIRECT("BS_"&amp;TEXT(K$1,"mmm")&amp;"_"&amp;TEXT(K$1,"yyyy")),MATCH(TRIM($A141),BS_Accounts,0))-K141</f>
        <v>0</v>
      </c>
      <c r="L142" s="115">
        <f t="array" aca="1" ref="L142" ca="1">INDEX(INDIRECT("BS_"&amp;TEXT(L$1,"mmm")&amp;"_"&amp;TEXT(L$1,"yyyy")),MATCH(TRIM($A141),BS_Accounts,0))-L141</f>
        <v>0</v>
      </c>
      <c r="M142" s="115">
        <f t="array" aca="1" ref="M142" ca="1">INDEX(INDIRECT("BS_"&amp;TEXT(M$1,"mmm")&amp;"_"&amp;TEXT(M$1,"yyyy")),MATCH(TRIM($A141),BS_Accounts,0))-M141</f>
        <v>0</v>
      </c>
      <c r="N142" s="115">
        <f t="array" aca="1" ref="N142" ca="1">INDEX(INDIRECT("BS_"&amp;TEXT(N$1,"mmm")&amp;"_"&amp;TEXT(N$1,"yyyy")),MATCH(TRIM($A141),BS_Accounts,0))-N141</f>
        <v>0</v>
      </c>
      <c r="O142" s="115">
        <f t="array" aca="1" ref="O142" ca="1">INDEX(INDIRECT("BS_"&amp;TEXT(O$1,"mmm")&amp;"_"&amp;TEXT(O$1,"yyyy")),MATCH(TRIM($A141),BS_Accounts,0))-O141</f>
        <v>0</v>
      </c>
      <c r="P142" s="115">
        <f t="array" aca="1" ref="P142" ca="1">INDEX(INDIRECT("BS_"&amp;TEXT(P$1,"mmm")&amp;"_"&amp;TEXT(P$1,"yyyy")),MATCH(TRIM($A141),BS_Accounts,0))-P141</f>
        <v>0</v>
      </c>
      <c r="Q142" s="115">
        <f t="array" aca="1" ref="Q142" ca="1">INDEX(INDIRECT("BS_"&amp;TEXT(Q$1,"mmm")&amp;"_"&amp;TEXT(Q$1,"yyyy")),MATCH(TRIM($A141),BS_Accounts,0))-Q141</f>
        <v>0</v>
      </c>
      <c r="R142" s="115">
        <f t="array" aca="1" ref="R142" ca="1">INDEX(INDIRECT("BS_"&amp;TEXT(R$1,"mmm")&amp;"_"&amp;TEXT(R$1,"yyyy")),MATCH(TRIM($A141),BS_Accounts,0))-R141</f>
        <v>0</v>
      </c>
      <c r="S142" s="115">
        <f t="array" aca="1" ref="S142" ca="1">INDEX(INDIRECT("BS_"&amp;TEXT(S$1,"mmm")&amp;"_"&amp;TEXT(S$1,"yyyy")),MATCH(TRIM($A141),BS_Accounts,0))-S141</f>
        <v>0</v>
      </c>
      <c r="T142" s="115">
        <f t="array" aca="1" ref="T142" ca="1">INDEX(INDIRECT("BS_"&amp;TEXT(T$1,"mmm")&amp;"_"&amp;TEXT(T$1,"yyyy")),MATCH(TRIM($A141),BS_Accounts,0))-T141</f>
        <v>0</v>
      </c>
      <c r="U142" s="115">
        <f t="array" aca="1" ref="U142" ca="1">INDEX(INDIRECT("BS_"&amp;TEXT(U$1,"mmm")&amp;"_"&amp;TEXT(U$1,"yyyy")),MATCH(TRIM($A141),BS_Accounts,0))-U141</f>
        <v>0</v>
      </c>
      <c r="V142" s="115">
        <f t="array" aca="1" ref="V142" ca="1">INDEX(INDIRECT("BS_"&amp;TEXT(V$1,"mmm")&amp;"_"&amp;TEXT(V$1,"yyyy")),MATCH(TRIM($A141),BS_Accounts,0))-V141</f>
        <v>0</v>
      </c>
      <c r="W142" s="115">
        <f t="array" aca="1" ref="W142" ca="1">INDEX(INDIRECT("BS_"&amp;TEXT(W$1,"mmm")&amp;"_"&amp;TEXT(W$1,"yyyy")),MATCH(TRIM($A141),BS_Accounts,0))-W141</f>
        <v>0</v>
      </c>
      <c r="X142" s="115">
        <f t="array" aca="1" ref="X142" ca="1">INDEX(INDIRECT("BS_"&amp;TEXT(X$1,"mmm")&amp;"_"&amp;TEXT(X$1,"yyyy")),MATCH(TRIM($A141),BS_Accounts,0))-X141</f>
        <v>0</v>
      </c>
      <c r="Y142" s="115">
        <f t="array" aca="1" ref="Y142" ca="1">INDEX(INDIRECT("BS_"&amp;TEXT(Y$1,"mmm")&amp;"_"&amp;TEXT(Y$1,"yyyy")),MATCH(TRIM($A141),BS_Accounts,0))-Y141</f>
        <v>0</v>
      </c>
      <c r="Z142" s="115">
        <f t="array" aca="1" ref="Z142" ca="1">INDEX(INDIRECT("BS_"&amp;TEXT(Z$1,"mmm")&amp;"_"&amp;TEXT(Z$1,"yyyy")),MATCH(TRIM($A141),BS_Accounts,0))-Z141</f>
        <v>0</v>
      </c>
      <c r="AA142" s="115">
        <f t="array" aca="1" ref="AA142" ca="1">INDEX(INDIRECT("BS_"&amp;TEXT(AA$1,"mmm")&amp;"_"&amp;TEXT(AA$1,"yyyy")),MATCH(TRIM($A141),BS_Accounts,0))-AA141</f>
        <v>0</v>
      </c>
      <c r="AB142" s="115">
        <f t="array" aca="1" ref="AB142" ca="1">INDEX(INDIRECT("BS_"&amp;TEXT(AB$1,"mmm")&amp;"_"&amp;TEXT(AB$1,"yyyy")),MATCH(TRIM($A141),BS_Accounts,0))-AB141</f>
        <v>0</v>
      </c>
      <c r="AC142" s="115">
        <f t="array" aca="1" ref="AC142" ca="1">INDEX(INDIRECT("BS_"&amp;TEXT(AC$1,"mmm")&amp;"_"&amp;TEXT(AC$1,"yyyy")),MATCH(TRIM($A141),BS_Accounts,0))-AC141</f>
        <v>0</v>
      </c>
      <c r="AD142" s="115">
        <f t="array" aca="1" ref="AD142" ca="1">INDEX(INDIRECT("BS_"&amp;TEXT(AD$1,"mmm")&amp;"_"&amp;TEXT(AD$1,"yyyy")),MATCH(TRIM($A141),BS_Accounts,0))-AD141</f>
        <v>0</v>
      </c>
      <c r="AE142" s="115">
        <f t="array" aca="1" ref="AE142" ca="1">INDEX(INDIRECT("BS_"&amp;TEXT(AE$1,"mmm")&amp;"_"&amp;TEXT(AE$1,"yyyy")),MATCH(TRIM($A141),BS_Accounts,0))-AE141</f>
        <v>0</v>
      </c>
    </row>
    <row r="143" spans="1:75" ht="12.75" x14ac:dyDescent="0.2">
      <c r="A143" s="23" t="s">
        <v>378</v>
      </c>
      <c r="B143" s="221"/>
    </row>
    <row r="144" spans="1:75" ht="12.75" x14ac:dyDescent="0.2">
      <c r="A144" s="23" t="s">
        <v>379</v>
      </c>
      <c r="B144" s="224">
        <f ca="1">AVERAGEIFS(144:144,$1:$1,"&gt;="&amp;DATE(YEAR(Current_Month),MONTH(Current_Month),DAY(Current_Month)),$1:$1,"&lt;="&amp;EOMONTH(Current_Month,0))</f>
        <v>0</v>
      </c>
      <c r="D144" s="115">
        <f t="array" aca="1" ref="D144" ca="1">INDEX(INDIRECT("BS_"&amp;TEXT(D$1,"mmm")&amp;"_"&amp;TEXT(D$1,"yyyy")),MATCH(TRIM($A144),BS_Accounts,0))</f>
        <v>0</v>
      </c>
      <c r="E144" s="115">
        <f t="array" aca="1" ref="E144" ca="1">INDEX(INDIRECT("BS_"&amp;TEXT(E$1,"mmm")&amp;"_"&amp;TEXT(E$1,"yyyy")),MATCH(TRIM($A144),BS_Accounts,0))</f>
        <v>0</v>
      </c>
      <c r="F144" s="115">
        <f t="array" aca="1" ref="F144" ca="1">INDEX(INDIRECT("BS_"&amp;TEXT(F$1,"mmm")&amp;"_"&amp;TEXT(F$1,"yyyy")),MATCH(TRIM($A144),BS_Accounts,0))</f>
        <v>0</v>
      </c>
      <c r="G144" s="115">
        <f t="array" aca="1" ref="G144" ca="1">INDEX(INDIRECT("BS_"&amp;TEXT(G$1,"mmm")&amp;"_"&amp;TEXT(G$1,"yyyy")),MATCH(TRIM($A144),BS_Accounts,0))</f>
        <v>0</v>
      </c>
      <c r="H144" s="115">
        <f t="array" aca="1" ref="H144" ca="1">INDEX(INDIRECT("BS_"&amp;TEXT(H$1,"mmm")&amp;"_"&amp;TEXT(H$1,"yyyy")),MATCH(TRIM($A144),BS_Accounts,0))</f>
        <v>0</v>
      </c>
      <c r="I144" s="115">
        <f t="array" aca="1" ref="I144" ca="1">INDEX(INDIRECT("BS_"&amp;TEXT(I$1,"mmm")&amp;"_"&amp;TEXT(I$1,"yyyy")),MATCH(TRIM($A144),BS_Accounts,0))</f>
        <v>0</v>
      </c>
      <c r="J144" s="115">
        <f t="array" aca="1" ref="J144" ca="1">INDEX(INDIRECT("BS_"&amp;TEXT(J$1,"mmm")&amp;"_"&amp;TEXT(J$1,"yyyy")),MATCH(TRIM($A144),BS_Accounts,0))</f>
        <v>0</v>
      </c>
      <c r="K144" s="115">
        <f t="array" aca="1" ref="K144" ca="1">INDEX(INDIRECT("BS_"&amp;TEXT(K$1,"mmm")&amp;"_"&amp;TEXT(K$1,"yyyy")),MATCH(TRIM($A144),BS_Accounts,0))</f>
        <v>0</v>
      </c>
      <c r="L144" s="115">
        <f t="array" aca="1" ref="L144" ca="1">INDEX(INDIRECT("BS_"&amp;TEXT(L$1,"mmm")&amp;"_"&amp;TEXT(L$1,"yyyy")),MATCH(TRIM($A144),BS_Accounts,0))</f>
        <v>0</v>
      </c>
      <c r="M144" s="115">
        <f t="array" aca="1" ref="M144" ca="1">INDEX(INDIRECT("BS_"&amp;TEXT(M$1,"mmm")&amp;"_"&amp;TEXT(M$1,"yyyy")),MATCH(TRIM($A144),BS_Accounts,0))</f>
        <v>0</v>
      </c>
      <c r="N144" s="115">
        <f t="array" aca="1" ref="N144" ca="1">INDEX(INDIRECT("BS_"&amp;TEXT(N$1,"mmm")&amp;"_"&amp;TEXT(N$1,"yyyy")),MATCH(TRIM($A144),BS_Accounts,0))</f>
        <v>0</v>
      </c>
      <c r="O144" s="115">
        <f t="array" aca="1" ref="O144" ca="1">INDEX(INDIRECT("BS_"&amp;TEXT(O$1,"mmm")&amp;"_"&amp;TEXT(O$1,"yyyy")),MATCH(TRIM($A144),BS_Accounts,0))</f>
        <v>0</v>
      </c>
      <c r="P144" s="115">
        <f t="array" aca="1" ref="P144" ca="1">INDEX(INDIRECT("BS_"&amp;TEXT(P$1,"mmm")&amp;"_"&amp;TEXT(P$1,"yyyy")),MATCH(TRIM($A144),BS_Accounts,0))</f>
        <v>0</v>
      </c>
      <c r="Q144" s="115">
        <f t="array" aca="1" ref="Q144" ca="1">INDEX(INDIRECT("BS_"&amp;TEXT(Q$1,"mmm")&amp;"_"&amp;TEXT(Q$1,"yyyy")),MATCH(TRIM($A144),BS_Accounts,0))</f>
        <v>0</v>
      </c>
      <c r="R144" s="115">
        <f t="array" aca="1" ref="R144" ca="1">INDEX(INDIRECT("BS_"&amp;TEXT(R$1,"mmm")&amp;"_"&amp;TEXT(R$1,"yyyy")),MATCH(TRIM($A144),BS_Accounts,0))</f>
        <v>0</v>
      </c>
      <c r="S144" s="115">
        <f t="array" aca="1" ref="S144" ca="1">INDEX(INDIRECT("BS_"&amp;TEXT(S$1,"mmm")&amp;"_"&amp;TEXT(S$1,"yyyy")),MATCH(TRIM($A144),BS_Accounts,0))</f>
        <v>0</v>
      </c>
      <c r="T144" s="115">
        <f t="array" aca="1" ref="T144" ca="1">INDEX(INDIRECT("BS_"&amp;TEXT(T$1,"mmm")&amp;"_"&amp;TEXT(T$1,"yyyy")),MATCH(TRIM($A144),BS_Accounts,0))</f>
        <v>0</v>
      </c>
      <c r="U144" s="115">
        <f t="array" aca="1" ref="U144" ca="1">INDEX(INDIRECT("BS_"&amp;TEXT(U$1,"mmm")&amp;"_"&amp;TEXT(U$1,"yyyy")),MATCH(TRIM($A144),BS_Accounts,0))</f>
        <v>0</v>
      </c>
      <c r="V144" s="115">
        <f t="array" aca="1" ref="V144" ca="1">INDEX(INDIRECT("BS_"&amp;TEXT(V$1,"mmm")&amp;"_"&amp;TEXT(V$1,"yyyy")),MATCH(TRIM($A144),BS_Accounts,0))</f>
        <v>0</v>
      </c>
      <c r="W144" s="115">
        <f t="array" aca="1" ref="W144" ca="1">INDEX(INDIRECT("BS_"&amp;TEXT(W$1,"mmm")&amp;"_"&amp;TEXT(W$1,"yyyy")),MATCH(TRIM($A144),BS_Accounts,0))</f>
        <v>0</v>
      </c>
      <c r="X144" s="115">
        <f t="array" aca="1" ref="X144" ca="1">INDEX(INDIRECT("BS_"&amp;TEXT(X$1,"mmm")&amp;"_"&amp;TEXT(X$1,"yyyy")),MATCH(TRIM($A144),BS_Accounts,0))</f>
        <v>0</v>
      </c>
      <c r="Y144" s="115">
        <f t="array" aca="1" ref="Y144" ca="1">INDEX(INDIRECT("BS_"&amp;TEXT(Y$1,"mmm")&amp;"_"&amp;TEXT(Y$1,"yyyy")),MATCH(TRIM($A144),BS_Accounts,0))</f>
        <v>0</v>
      </c>
      <c r="Z144" s="115">
        <f t="array" aca="1" ref="Z144" ca="1">INDEX(INDIRECT("BS_"&amp;TEXT(Z$1,"mmm")&amp;"_"&amp;TEXT(Z$1,"yyyy")),MATCH(TRIM($A144),BS_Accounts,0))</f>
        <v>0</v>
      </c>
      <c r="AA144" s="115">
        <f t="array" aca="1" ref="AA144" ca="1">INDEX(INDIRECT("BS_"&amp;TEXT(AA$1,"mmm")&amp;"_"&amp;TEXT(AA$1,"yyyy")),MATCH(TRIM($A144),BS_Accounts,0))</f>
        <v>0</v>
      </c>
      <c r="AB144" s="115">
        <f t="array" aca="1" ref="AB144" ca="1">INDEX(INDIRECT("BS_"&amp;TEXT(AB$1,"mmm")&amp;"_"&amp;TEXT(AB$1,"yyyy")),MATCH(TRIM($A144),BS_Accounts,0))</f>
        <v>0</v>
      </c>
      <c r="AC144" s="115">
        <f t="array" aca="1" ref="AC144" ca="1">INDEX(INDIRECT("BS_"&amp;TEXT(AC$1,"mmm")&amp;"_"&amp;TEXT(AC$1,"yyyy")),MATCH(TRIM($A144),BS_Accounts,0))</f>
        <v>0</v>
      </c>
      <c r="AD144" s="115">
        <f t="array" aca="1" ref="AD144" ca="1">INDEX(INDIRECT("BS_"&amp;TEXT(AD$1,"mmm")&amp;"_"&amp;TEXT(AD$1,"yyyy")),MATCH(TRIM($A144),BS_Accounts,0))</f>
        <v>0</v>
      </c>
      <c r="AE144" s="115">
        <f t="array" aca="1" ref="AE144" ca="1">INDEX(INDIRECT("BS_"&amp;TEXT(AE$1,"mmm")&amp;"_"&amp;TEXT(AE$1,"yyyy")),MATCH(TRIM($A144),BS_Accounts,0))</f>
        <v>0</v>
      </c>
      <c r="AF144" s="165">
        <f t="shared" ref="AF144:BW144" ca="1" si="78">$B144</f>
        <v>0</v>
      </c>
      <c r="AG144" s="165">
        <f t="shared" ca="1" si="78"/>
        <v>0</v>
      </c>
      <c r="AH144" s="165">
        <f t="shared" ca="1" si="78"/>
        <v>0</v>
      </c>
      <c r="AI144" s="165">
        <f t="shared" ca="1" si="78"/>
        <v>0</v>
      </c>
      <c r="AJ144" s="165">
        <f t="shared" ca="1" si="78"/>
        <v>0</v>
      </c>
      <c r="AK144" s="165">
        <f t="shared" ca="1" si="78"/>
        <v>0</v>
      </c>
      <c r="AL144" s="165">
        <f t="shared" ca="1" si="78"/>
        <v>0</v>
      </c>
      <c r="AM144" s="165">
        <f t="shared" ca="1" si="78"/>
        <v>0</v>
      </c>
      <c r="AN144" s="165">
        <f t="shared" ca="1" si="78"/>
        <v>0</v>
      </c>
      <c r="AO144" s="165">
        <f t="shared" ca="1" si="78"/>
        <v>0</v>
      </c>
      <c r="AP144" s="165">
        <f t="shared" ca="1" si="78"/>
        <v>0</v>
      </c>
      <c r="AQ144" s="165">
        <f t="shared" ca="1" si="78"/>
        <v>0</v>
      </c>
      <c r="AR144" s="165">
        <f t="shared" ca="1" si="78"/>
        <v>0</v>
      </c>
      <c r="AS144" s="165">
        <f t="shared" ca="1" si="78"/>
        <v>0</v>
      </c>
      <c r="AT144" s="165">
        <f t="shared" ca="1" si="78"/>
        <v>0</v>
      </c>
      <c r="AU144" s="165">
        <f t="shared" ca="1" si="78"/>
        <v>0</v>
      </c>
      <c r="AV144" s="165">
        <f t="shared" ca="1" si="78"/>
        <v>0</v>
      </c>
      <c r="AW144" s="165">
        <f t="shared" ca="1" si="78"/>
        <v>0</v>
      </c>
      <c r="AX144" s="165">
        <f t="shared" ca="1" si="78"/>
        <v>0</v>
      </c>
      <c r="AY144" s="165">
        <f t="shared" ca="1" si="78"/>
        <v>0</v>
      </c>
      <c r="AZ144" s="165">
        <f t="shared" ca="1" si="78"/>
        <v>0</v>
      </c>
      <c r="BA144" s="165">
        <f t="shared" ca="1" si="78"/>
        <v>0</v>
      </c>
      <c r="BB144" s="165">
        <f t="shared" ca="1" si="78"/>
        <v>0</v>
      </c>
      <c r="BC144" s="165">
        <f t="shared" ca="1" si="78"/>
        <v>0</v>
      </c>
      <c r="BD144" s="165">
        <f t="shared" ca="1" si="78"/>
        <v>0</v>
      </c>
      <c r="BE144" s="165">
        <f t="shared" ca="1" si="78"/>
        <v>0</v>
      </c>
      <c r="BF144" s="165">
        <f t="shared" ca="1" si="78"/>
        <v>0</v>
      </c>
      <c r="BG144" s="165">
        <f t="shared" ca="1" si="78"/>
        <v>0</v>
      </c>
      <c r="BH144" s="165">
        <f t="shared" ca="1" si="78"/>
        <v>0</v>
      </c>
      <c r="BI144" s="165">
        <f t="shared" ca="1" si="78"/>
        <v>0</v>
      </c>
      <c r="BJ144" s="165">
        <f t="shared" ca="1" si="78"/>
        <v>0</v>
      </c>
      <c r="BK144" s="165">
        <f t="shared" ca="1" si="78"/>
        <v>0</v>
      </c>
      <c r="BL144" s="165">
        <f t="shared" ca="1" si="78"/>
        <v>0</v>
      </c>
      <c r="BM144" s="165">
        <f t="shared" ca="1" si="78"/>
        <v>0</v>
      </c>
      <c r="BN144" s="165">
        <f t="shared" ca="1" si="78"/>
        <v>0</v>
      </c>
      <c r="BO144" s="165">
        <f t="shared" ca="1" si="78"/>
        <v>0</v>
      </c>
      <c r="BP144" s="165">
        <f t="shared" ca="1" si="78"/>
        <v>0</v>
      </c>
      <c r="BQ144" s="165">
        <f t="shared" ca="1" si="78"/>
        <v>0</v>
      </c>
      <c r="BR144" s="165">
        <f t="shared" ca="1" si="78"/>
        <v>0</v>
      </c>
      <c r="BS144" s="165">
        <f t="shared" ca="1" si="78"/>
        <v>0</v>
      </c>
      <c r="BT144" s="165">
        <f t="shared" ca="1" si="78"/>
        <v>0</v>
      </c>
      <c r="BU144" s="165">
        <f t="shared" ca="1" si="78"/>
        <v>0</v>
      </c>
      <c r="BV144" s="165">
        <f t="shared" ca="1" si="78"/>
        <v>0</v>
      </c>
      <c r="BW144" s="165">
        <f t="shared" ca="1" si="78"/>
        <v>0</v>
      </c>
    </row>
    <row r="145" spans="1:75" ht="12.75" x14ac:dyDescent="0.2">
      <c r="A145" s="23" t="s">
        <v>380</v>
      </c>
      <c r="B145" s="224">
        <f ca="1">AVERAGEIFS(145:145,$1:$1,"&gt;="&amp;DATE(YEAR(Current_Month),MONTH(Current_Month),DAY(Current_Month)),$1:$1,"&lt;="&amp;EOMONTH(Current_Month,0))</f>
        <v>332421</v>
      </c>
      <c r="D145" s="115">
        <f t="array" aca="1" ref="D145" ca="1">INDEX(INDIRECT("BS_"&amp;TEXT(D$1,"mmm")&amp;"_"&amp;TEXT(D$1,"yyyy")),MATCH(TRIM($A145),BS_Accounts,0))</f>
        <v>332421</v>
      </c>
      <c r="E145" s="115">
        <f t="array" aca="1" ref="E145" ca="1">INDEX(INDIRECT("BS_"&amp;TEXT(E$1,"mmm")&amp;"_"&amp;TEXT(E$1,"yyyy")),MATCH(TRIM($A145),BS_Accounts,0))</f>
        <v>332421</v>
      </c>
      <c r="F145" s="115">
        <f t="array" aca="1" ref="F145" ca="1">INDEX(INDIRECT("BS_"&amp;TEXT(F$1,"mmm")&amp;"_"&amp;TEXT(F$1,"yyyy")),MATCH(TRIM($A145),BS_Accounts,0))</f>
        <v>332421</v>
      </c>
      <c r="G145" s="115">
        <f t="array" aca="1" ref="G145" ca="1">INDEX(INDIRECT("BS_"&amp;TEXT(G$1,"mmm")&amp;"_"&amp;TEXT(G$1,"yyyy")),MATCH(TRIM($A145),BS_Accounts,0))</f>
        <v>332421</v>
      </c>
      <c r="H145" s="115">
        <f t="array" aca="1" ref="H145" ca="1">INDEX(INDIRECT("BS_"&amp;TEXT(H$1,"mmm")&amp;"_"&amp;TEXT(H$1,"yyyy")),MATCH(TRIM($A145),BS_Accounts,0))</f>
        <v>332421</v>
      </c>
      <c r="I145" s="115">
        <f t="array" aca="1" ref="I145" ca="1">INDEX(INDIRECT("BS_"&amp;TEXT(I$1,"mmm")&amp;"_"&amp;TEXT(I$1,"yyyy")),MATCH(TRIM($A145),BS_Accounts,0))</f>
        <v>332421</v>
      </c>
      <c r="J145" s="115">
        <f t="array" aca="1" ref="J145" ca="1">INDEX(INDIRECT("BS_"&amp;TEXT(J$1,"mmm")&amp;"_"&amp;TEXT(J$1,"yyyy")),MATCH(TRIM($A145),BS_Accounts,0))</f>
        <v>332421</v>
      </c>
      <c r="K145" s="115">
        <f t="array" aca="1" ref="K145" ca="1">INDEX(INDIRECT("BS_"&amp;TEXT(K$1,"mmm")&amp;"_"&amp;TEXT(K$1,"yyyy")),MATCH(TRIM($A145),BS_Accounts,0))</f>
        <v>332421</v>
      </c>
      <c r="L145" s="115">
        <f t="array" aca="1" ref="L145" ca="1">INDEX(INDIRECT("BS_"&amp;TEXT(L$1,"mmm")&amp;"_"&amp;TEXT(L$1,"yyyy")),MATCH(TRIM($A145),BS_Accounts,0))</f>
        <v>332421</v>
      </c>
      <c r="M145" s="115">
        <f t="array" aca="1" ref="M145" ca="1">INDEX(INDIRECT("BS_"&amp;TEXT(M$1,"mmm")&amp;"_"&amp;TEXT(M$1,"yyyy")),MATCH(TRIM($A145),BS_Accounts,0))</f>
        <v>332421</v>
      </c>
      <c r="N145" s="115">
        <f t="array" aca="1" ref="N145" ca="1">INDEX(INDIRECT("BS_"&amp;TEXT(N$1,"mmm")&amp;"_"&amp;TEXT(N$1,"yyyy")),MATCH(TRIM($A145),BS_Accounts,0))</f>
        <v>332421</v>
      </c>
      <c r="O145" s="115">
        <f t="array" aca="1" ref="O145" ca="1">INDEX(INDIRECT("BS_"&amp;TEXT(O$1,"mmm")&amp;"_"&amp;TEXT(O$1,"yyyy")),MATCH(TRIM($A145),BS_Accounts,0))</f>
        <v>332421</v>
      </c>
      <c r="P145" s="115">
        <f t="array" aca="1" ref="P145" ca="1">INDEX(INDIRECT("BS_"&amp;TEXT(P$1,"mmm")&amp;"_"&amp;TEXT(P$1,"yyyy")),MATCH(TRIM($A145),BS_Accounts,0))</f>
        <v>332421</v>
      </c>
      <c r="Q145" s="115">
        <f t="array" aca="1" ref="Q145" ca="1">INDEX(INDIRECT("BS_"&amp;TEXT(Q$1,"mmm")&amp;"_"&amp;TEXT(Q$1,"yyyy")),MATCH(TRIM($A145),BS_Accounts,0))</f>
        <v>332421</v>
      </c>
      <c r="R145" s="115">
        <f t="array" aca="1" ref="R145" ca="1">INDEX(INDIRECT("BS_"&amp;TEXT(R$1,"mmm")&amp;"_"&amp;TEXT(R$1,"yyyy")),MATCH(TRIM($A145),BS_Accounts,0))</f>
        <v>332421</v>
      </c>
      <c r="S145" s="115">
        <f t="array" aca="1" ref="S145" ca="1">INDEX(INDIRECT("BS_"&amp;TEXT(S$1,"mmm")&amp;"_"&amp;TEXT(S$1,"yyyy")),MATCH(TRIM($A145),BS_Accounts,0))</f>
        <v>332421</v>
      </c>
      <c r="T145" s="115">
        <f t="array" aca="1" ref="T145" ca="1">INDEX(INDIRECT("BS_"&amp;TEXT(T$1,"mmm")&amp;"_"&amp;TEXT(T$1,"yyyy")),MATCH(TRIM($A145),BS_Accounts,0))</f>
        <v>332421</v>
      </c>
      <c r="U145" s="115">
        <f t="array" aca="1" ref="U145" ca="1">INDEX(INDIRECT("BS_"&amp;TEXT(U$1,"mmm")&amp;"_"&amp;TEXT(U$1,"yyyy")),MATCH(TRIM($A145),BS_Accounts,0))</f>
        <v>332421</v>
      </c>
      <c r="V145" s="115">
        <f t="array" aca="1" ref="V145" ca="1">INDEX(INDIRECT("BS_"&amp;TEXT(V$1,"mmm")&amp;"_"&amp;TEXT(V$1,"yyyy")),MATCH(TRIM($A145),BS_Accounts,0))</f>
        <v>332421</v>
      </c>
      <c r="W145" s="115">
        <f t="array" aca="1" ref="W145" ca="1">INDEX(INDIRECT("BS_"&amp;TEXT(W$1,"mmm")&amp;"_"&amp;TEXT(W$1,"yyyy")),MATCH(TRIM($A145),BS_Accounts,0))</f>
        <v>332421</v>
      </c>
      <c r="X145" s="115">
        <f t="array" aca="1" ref="X145" ca="1">INDEX(INDIRECT("BS_"&amp;TEXT(X$1,"mmm")&amp;"_"&amp;TEXT(X$1,"yyyy")),MATCH(TRIM($A145),BS_Accounts,0))</f>
        <v>332421</v>
      </c>
      <c r="Y145" s="115">
        <f t="array" aca="1" ref="Y145" ca="1">INDEX(INDIRECT("BS_"&amp;TEXT(Y$1,"mmm")&amp;"_"&amp;TEXT(Y$1,"yyyy")),MATCH(TRIM($A145),BS_Accounts,0))</f>
        <v>332421</v>
      </c>
      <c r="Z145" s="115">
        <f t="array" aca="1" ref="Z145" ca="1">INDEX(INDIRECT("BS_"&amp;TEXT(Z$1,"mmm")&amp;"_"&amp;TEXT(Z$1,"yyyy")),MATCH(TRIM($A145),BS_Accounts,0))</f>
        <v>332421</v>
      </c>
      <c r="AA145" s="115">
        <f t="array" aca="1" ref="AA145" ca="1">INDEX(INDIRECT("BS_"&amp;TEXT(AA$1,"mmm")&amp;"_"&amp;TEXT(AA$1,"yyyy")),MATCH(TRIM($A145),BS_Accounts,0))</f>
        <v>332421</v>
      </c>
      <c r="AB145" s="115">
        <f t="array" aca="1" ref="AB145" ca="1">INDEX(INDIRECT("BS_"&amp;TEXT(AB$1,"mmm")&amp;"_"&amp;TEXT(AB$1,"yyyy")),MATCH(TRIM($A145),BS_Accounts,0))</f>
        <v>332421</v>
      </c>
      <c r="AC145" s="115">
        <f t="array" aca="1" ref="AC145" ca="1">INDEX(INDIRECT("BS_"&amp;TEXT(AC$1,"mmm")&amp;"_"&amp;TEXT(AC$1,"yyyy")),MATCH(TRIM($A145),BS_Accounts,0))</f>
        <v>332421</v>
      </c>
      <c r="AD145" s="115">
        <f t="array" aca="1" ref="AD145" ca="1">INDEX(INDIRECT("BS_"&amp;TEXT(AD$1,"mmm")&amp;"_"&amp;TEXT(AD$1,"yyyy")),MATCH(TRIM($A145),BS_Accounts,0))</f>
        <v>332421</v>
      </c>
      <c r="AE145" s="115">
        <f t="array" aca="1" ref="AE145" ca="1">INDEX(INDIRECT("BS_"&amp;TEXT(AE$1,"mmm")&amp;"_"&amp;TEXT(AE$1,"yyyy")),MATCH(TRIM($A145),BS_Accounts,0))</f>
        <v>332421</v>
      </c>
      <c r="AF145" s="165">
        <f t="shared" ref="AF145:BW145" ca="1" si="79">$B145</f>
        <v>332421</v>
      </c>
      <c r="AG145" s="165">
        <f t="shared" ca="1" si="79"/>
        <v>332421</v>
      </c>
      <c r="AH145" s="165">
        <f t="shared" ca="1" si="79"/>
        <v>332421</v>
      </c>
      <c r="AI145" s="165">
        <f t="shared" ca="1" si="79"/>
        <v>332421</v>
      </c>
      <c r="AJ145" s="165">
        <f t="shared" ca="1" si="79"/>
        <v>332421</v>
      </c>
      <c r="AK145" s="165">
        <f t="shared" ca="1" si="79"/>
        <v>332421</v>
      </c>
      <c r="AL145" s="165">
        <f t="shared" ca="1" si="79"/>
        <v>332421</v>
      </c>
      <c r="AM145" s="165">
        <f t="shared" ca="1" si="79"/>
        <v>332421</v>
      </c>
      <c r="AN145" s="165">
        <f t="shared" ca="1" si="79"/>
        <v>332421</v>
      </c>
      <c r="AO145" s="165">
        <f t="shared" ca="1" si="79"/>
        <v>332421</v>
      </c>
      <c r="AP145" s="165">
        <f t="shared" ca="1" si="79"/>
        <v>332421</v>
      </c>
      <c r="AQ145" s="165">
        <f t="shared" ca="1" si="79"/>
        <v>332421</v>
      </c>
      <c r="AR145" s="165">
        <f t="shared" ca="1" si="79"/>
        <v>332421</v>
      </c>
      <c r="AS145" s="165">
        <f t="shared" ca="1" si="79"/>
        <v>332421</v>
      </c>
      <c r="AT145" s="165">
        <f t="shared" ca="1" si="79"/>
        <v>332421</v>
      </c>
      <c r="AU145" s="165">
        <f t="shared" ca="1" si="79"/>
        <v>332421</v>
      </c>
      <c r="AV145" s="165">
        <f t="shared" ca="1" si="79"/>
        <v>332421</v>
      </c>
      <c r="AW145" s="165">
        <f t="shared" ca="1" si="79"/>
        <v>332421</v>
      </c>
      <c r="AX145" s="165">
        <f t="shared" ca="1" si="79"/>
        <v>332421</v>
      </c>
      <c r="AY145" s="165">
        <f t="shared" ca="1" si="79"/>
        <v>332421</v>
      </c>
      <c r="AZ145" s="165">
        <f t="shared" ca="1" si="79"/>
        <v>332421</v>
      </c>
      <c r="BA145" s="165">
        <f t="shared" ca="1" si="79"/>
        <v>332421</v>
      </c>
      <c r="BB145" s="165">
        <f t="shared" ca="1" si="79"/>
        <v>332421</v>
      </c>
      <c r="BC145" s="165">
        <f t="shared" ca="1" si="79"/>
        <v>332421</v>
      </c>
      <c r="BD145" s="165">
        <f t="shared" ca="1" si="79"/>
        <v>332421</v>
      </c>
      <c r="BE145" s="165">
        <f t="shared" ca="1" si="79"/>
        <v>332421</v>
      </c>
      <c r="BF145" s="165">
        <f t="shared" ca="1" si="79"/>
        <v>332421</v>
      </c>
      <c r="BG145" s="165">
        <f t="shared" ca="1" si="79"/>
        <v>332421</v>
      </c>
      <c r="BH145" s="165">
        <f t="shared" ca="1" si="79"/>
        <v>332421</v>
      </c>
      <c r="BI145" s="165">
        <f t="shared" ca="1" si="79"/>
        <v>332421</v>
      </c>
      <c r="BJ145" s="165">
        <f t="shared" ca="1" si="79"/>
        <v>332421</v>
      </c>
      <c r="BK145" s="165">
        <f t="shared" ca="1" si="79"/>
        <v>332421</v>
      </c>
      <c r="BL145" s="165">
        <f t="shared" ca="1" si="79"/>
        <v>332421</v>
      </c>
      <c r="BM145" s="165">
        <f t="shared" ca="1" si="79"/>
        <v>332421</v>
      </c>
      <c r="BN145" s="165">
        <f t="shared" ca="1" si="79"/>
        <v>332421</v>
      </c>
      <c r="BO145" s="165">
        <f t="shared" ca="1" si="79"/>
        <v>332421</v>
      </c>
      <c r="BP145" s="165">
        <f t="shared" ca="1" si="79"/>
        <v>332421</v>
      </c>
      <c r="BQ145" s="165">
        <f t="shared" ca="1" si="79"/>
        <v>332421</v>
      </c>
      <c r="BR145" s="165">
        <f t="shared" ca="1" si="79"/>
        <v>332421</v>
      </c>
      <c r="BS145" s="165">
        <f t="shared" ca="1" si="79"/>
        <v>332421</v>
      </c>
      <c r="BT145" s="165">
        <f t="shared" ca="1" si="79"/>
        <v>332421</v>
      </c>
      <c r="BU145" s="165">
        <f t="shared" ca="1" si="79"/>
        <v>332421</v>
      </c>
      <c r="BV145" s="165">
        <f t="shared" ca="1" si="79"/>
        <v>332421</v>
      </c>
      <c r="BW145" s="165">
        <f t="shared" ca="1" si="79"/>
        <v>332421</v>
      </c>
    </row>
    <row r="146" spans="1:75" ht="12.75" x14ac:dyDescent="0.2">
      <c r="A146" s="23" t="s">
        <v>381</v>
      </c>
      <c r="B146" s="224">
        <f ca="1">AVERAGEIFS(146:146,$1:$1,"&gt;="&amp;DATE(YEAR(Current_Month),MONTH(Current_Month),DAY(Current_Month)),$1:$1,"&lt;="&amp;EOMONTH(Current_Month,0))</f>
        <v>-2884910</v>
      </c>
      <c r="D146" s="115">
        <f t="array" aca="1" ref="D146" ca="1">INDEX(INDIRECT("BS_"&amp;TEXT(D$1,"mmm")&amp;"_"&amp;TEXT(D$1,"yyyy")),MATCH(TRIM($A146),BS_Accounts,0))</f>
        <v>-332421</v>
      </c>
      <c r="E146" s="115">
        <f t="array" aca="1" ref="E146" ca="1">INDEX(INDIRECT("BS_"&amp;TEXT(E$1,"mmm")&amp;"_"&amp;TEXT(E$1,"yyyy")),MATCH(TRIM($A146),BS_Accounts,0))</f>
        <v>-332421</v>
      </c>
      <c r="F146" s="115">
        <f t="array" aca="1" ref="F146" ca="1">INDEX(INDIRECT("BS_"&amp;TEXT(F$1,"mmm")&amp;"_"&amp;TEXT(F$1,"yyyy")),MATCH(TRIM($A146),BS_Accounts,0))</f>
        <v>-332421</v>
      </c>
      <c r="G146" s="115">
        <f t="array" aca="1" ref="G146" ca="1">INDEX(INDIRECT("BS_"&amp;TEXT(G$1,"mmm")&amp;"_"&amp;TEXT(G$1,"yyyy")),MATCH(TRIM($A146),BS_Accounts,0))</f>
        <v>-332421</v>
      </c>
      <c r="H146" s="115">
        <f t="array" aca="1" ref="H146" ca="1">INDEX(INDIRECT("BS_"&amp;TEXT(H$1,"mmm")&amp;"_"&amp;TEXT(H$1,"yyyy")),MATCH(TRIM($A146),BS_Accounts,0))</f>
        <v>-332421</v>
      </c>
      <c r="I146" s="115">
        <f t="array" aca="1" ref="I146" ca="1">INDEX(INDIRECT("BS_"&amp;TEXT(I$1,"mmm")&amp;"_"&amp;TEXT(I$1,"yyyy")),MATCH(TRIM($A146),BS_Accounts,0))</f>
        <v>-332421</v>
      </c>
      <c r="J146" s="115">
        <f t="array" aca="1" ref="J146" ca="1">INDEX(INDIRECT("BS_"&amp;TEXT(J$1,"mmm")&amp;"_"&amp;TEXT(J$1,"yyyy")),MATCH(TRIM($A146),BS_Accounts,0))</f>
        <v>-332421</v>
      </c>
      <c r="K146" s="115">
        <f t="array" aca="1" ref="K146" ca="1">INDEX(INDIRECT("BS_"&amp;TEXT(K$1,"mmm")&amp;"_"&amp;TEXT(K$1,"yyyy")),MATCH(TRIM($A146),BS_Accounts,0))</f>
        <v>-332421</v>
      </c>
      <c r="L146" s="115">
        <f t="array" aca="1" ref="L146" ca="1">INDEX(INDIRECT("BS_"&amp;TEXT(L$1,"mmm")&amp;"_"&amp;TEXT(L$1,"yyyy")),MATCH(TRIM($A146),BS_Accounts,0))</f>
        <v>-332421</v>
      </c>
      <c r="M146" s="115">
        <f t="array" aca="1" ref="M146" ca="1">INDEX(INDIRECT("BS_"&amp;TEXT(M$1,"mmm")&amp;"_"&amp;TEXT(M$1,"yyyy")),MATCH(TRIM($A146),BS_Accounts,0))</f>
        <v>-332421</v>
      </c>
      <c r="N146" s="115">
        <f t="array" aca="1" ref="N146" ca="1">INDEX(INDIRECT("BS_"&amp;TEXT(N$1,"mmm")&amp;"_"&amp;TEXT(N$1,"yyyy")),MATCH(TRIM($A146),BS_Accounts,0))</f>
        <v>-332421</v>
      </c>
      <c r="O146" s="115">
        <f t="array" aca="1" ref="O146" ca="1">INDEX(INDIRECT("BS_"&amp;TEXT(O$1,"mmm")&amp;"_"&amp;TEXT(O$1,"yyyy")),MATCH(TRIM($A146),BS_Accounts,0))</f>
        <v>-332421</v>
      </c>
      <c r="P146" s="115">
        <f t="array" aca="1" ref="P146" ca="1">INDEX(INDIRECT("BS_"&amp;TEXT(P$1,"mmm")&amp;"_"&amp;TEXT(P$1,"yyyy")),MATCH(TRIM($A146),BS_Accounts,0))</f>
        <v>-1615659</v>
      </c>
      <c r="Q146" s="115">
        <f t="array" aca="1" ref="Q146" ca="1">INDEX(INDIRECT("BS_"&amp;TEXT(Q$1,"mmm")&amp;"_"&amp;TEXT(Q$1,"yyyy")),MATCH(TRIM($A146),BS_Accounts,0))</f>
        <v>-1615659</v>
      </c>
      <c r="R146" s="115">
        <f t="array" aca="1" ref="R146" ca="1">INDEX(INDIRECT("BS_"&amp;TEXT(R$1,"mmm")&amp;"_"&amp;TEXT(R$1,"yyyy")),MATCH(TRIM($A146),BS_Accounts,0))</f>
        <v>-1615659</v>
      </c>
      <c r="S146" s="115">
        <f t="array" aca="1" ref="S146" ca="1">INDEX(INDIRECT("BS_"&amp;TEXT(S$1,"mmm")&amp;"_"&amp;TEXT(S$1,"yyyy")),MATCH(TRIM($A146),BS_Accounts,0))</f>
        <v>-1615659</v>
      </c>
      <c r="T146" s="115">
        <f t="array" aca="1" ref="T146" ca="1">INDEX(INDIRECT("BS_"&amp;TEXT(T$1,"mmm")&amp;"_"&amp;TEXT(T$1,"yyyy")),MATCH(TRIM($A146),BS_Accounts,0))</f>
        <v>-1615659</v>
      </c>
      <c r="U146" s="115">
        <f t="array" aca="1" ref="U146" ca="1">INDEX(INDIRECT("BS_"&amp;TEXT(U$1,"mmm")&amp;"_"&amp;TEXT(U$1,"yyyy")),MATCH(TRIM($A146),BS_Accounts,0))</f>
        <v>-1615659</v>
      </c>
      <c r="V146" s="115">
        <f t="array" aca="1" ref="V146" ca="1">INDEX(INDIRECT("BS_"&amp;TEXT(V$1,"mmm")&amp;"_"&amp;TEXT(V$1,"yyyy")),MATCH(TRIM($A146),BS_Accounts,0))</f>
        <v>-1615659</v>
      </c>
      <c r="W146" s="115">
        <f t="array" aca="1" ref="W146" ca="1">INDEX(INDIRECT("BS_"&amp;TEXT(W$1,"mmm")&amp;"_"&amp;TEXT(W$1,"yyyy")),MATCH(TRIM($A146),BS_Accounts,0))</f>
        <v>-1615659</v>
      </c>
      <c r="X146" s="115">
        <f t="array" aca="1" ref="X146" ca="1">INDEX(INDIRECT("BS_"&amp;TEXT(X$1,"mmm")&amp;"_"&amp;TEXT(X$1,"yyyy")),MATCH(TRIM($A146),BS_Accounts,0))</f>
        <v>-1615659</v>
      </c>
      <c r="Y146" s="115">
        <f t="array" aca="1" ref="Y146" ca="1">INDEX(INDIRECT("BS_"&amp;TEXT(Y$1,"mmm")&amp;"_"&amp;TEXT(Y$1,"yyyy")),MATCH(TRIM($A146),BS_Accounts,0))</f>
        <v>-1615659</v>
      </c>
      <c r="Z146" s="115">
        <f t="array" aca="1" ref="Z146" ca="1">INDEX(INDIRECT("BS_"&amp;TEXT(Z$1,"mmm")&amp;"_"&amp;TEXT(Z$1,"yyyy")),MATCH(TRIM($A146),BS_Accounts,0))</f>
        <v>-1615659</v>
      </c>
      <c r="AA146" s="115">
        <f t="array" aca="1" ref="AA146" ca="1">INDEX(INDIRECT("BS_"&amp;TEXT(AA$1,"mmm")&amp;"_"&amp;TEXT(AA$1,"yyyy")),MATCH(TRIM($A146),BS_Accounts,0))</f>
        <v>-1615659</v>
      </c>
      <c r="AB146" s="115">
        <f t="array" aca="1" ref="AB146" ca="1">INDEX(INDIRECT("BS_"&amp;TEXT(AB$1,"mmm")&amp;"_"&amp;TEXT(AB$1,"yyyy")),MATCH(TRIM($A146),BS_Accounts,0))</f>
        <v>-2884910</v>
      </c>
      <c r="AC146" s="115">
        <f t="array" aca="1" ref="AC146" ca="1">INDEX(INDIRECT("BS_"&amp;TEXT(AC$1,"mmm")&amp;"_"&amp;TEXT(AC$1,"yyyy")),MATCH(TRIM($A146),BS_Accounts,0))</f>
        <v>-2884910</v>
      </c>
      <c r="AD146" s="115">
        <f t="array" aca="1" ref="AD146" ca="1">INDEX(INDIRECT("BS_"&amp;TEXT(AD$1,"mmm")&amp;"_"&amp;TEXT(AD$1,"yyyy")),MATCH(TRIM($A146),BS_Accounts,0))</f>
        <v>-2884910</v>
      </c>
      <c r="AE146" s="115">
        <f t="array" aca="1" ref="AE146" ca="1">INDEX(INDIRECT("BS_"&amp;TEXT(AE$1,"mmm")&amp;"_"&amp;TEXT(AE$1,"yyyy")),MATCH(TRIM($A146),BS_Accounts,0))</f>
        <v>-2884910</v>
      </c>
      <c r="AF146" s="165">
        <f t="shared" ref="AF146:BW146" ca="1" si="80">$B146</f>
        <v>-2884910</v>
      </c>
      <c r="AG146" s="165">
        <f t="shared" ca="1" si="80"/>
        <v>-2884910</v>
      </c>
      <c r="AH146" s="165">
        <f t="shared" ca="1" si="80"/>
        <v>-2884910</v>
      </c>
      <c r="AI146" s="165">
        <f t="shared" ca="1" si="80"/>
        <v>-2884910</v>
      </c>
      <c r="AJ146" s="165">
        <f t="shared" ca="1" si="80"/>
        <v>-2884910</v>
      </c>
      <c r="AK146" s="165">
        <f t="shared" ca="1" si="80"/>
        <v>-2884910</v>
      </c>
      <c r="AL146" s="165">
        <f t="shared" ca="1" si="80"/>
        <v>-2884910</v>
      </c>
      <c r="AM146" s="165">
        <f t="shared" ca="1" si="80"/>
        <v>-2884910</v>
      </c>
      <c r="AN146" s="165">
        <f t="shared" ca="1" si="80"/>
        <v>-2884910</v>
      </c>
      <c r="AO146" s="165">
        <f t="shared" ca="1" si="80"/>
        <v>-2884910</v>
      </c>
      <c r="AP146" s="165">
        <f t="shared" ca="1" si="80"/>
        <v>-2884910</v>
      </c>
      <c r="AQ146" s="165">
        <f t="shared" ca="1" si="80"/>
        <v>-2884910</v>
      </c>
      <c r="AR146" s="165">
        <f t="shared" ca="1" si="80"/>
        <v>-2884910</v>
      </c>
      <c r="AS146" s="165">
        <f t="shared" ca="1" si="80"/>
        <v>-2884910</v>
      </c>
      <c r="AT146" s="165">
        <f t="shared" ca="1" si="80"/>
        <v>-2884910</v>
      </c>
      <c r="AU146" s="165">
        <f t="shared" ca="1" si="80"/>
        <v>-2884910</v>
      </c>
      <c r="AV146" s="165">
        <f t="shared" ca="1" si="80"/>
        <v>-2884910</v>
      </c>
      <c r="AW146" s="165">
        <f t="shared" ca="1" si="80"/>
        <v>-2884910</v>
      </c>
      <c r="AX146" s="165">
        <f t="shared" ca="1" si="80"/>
        <v>-2884910</v>
      </c>
      <c r="AY146" s="165">
        <f t="shared" ca="1" si="80"/>
        <v>-2884910</v>
      </c>
      <c r="AZ146" s="165">
        <f t="shared" ca="1" si="80"/>
        <v>-2884910</v>
      </c>
      <c r="BA146" s="165">
        <f t="shared" ca="1" si="80"/>
        <v>-2884910</v>
      </c>
      <c r="BB146" s="165">
        <f t="shared" ca="1" si="80"/>
        <v>-2884910</v>
      </c>
      <c r="BC146" s="165">
        <f t="shared" ca="1" si="80"/>
        <v>-2884910</v>
      </c>
      <c r="BD146" s="165">
        <f t="shared" ca="1" si="80"/>
        <v>-2884910</v>
      </c>
      <c r="BE146" s="165">
        <f t="shared" ca="1" si="80"/>
        <v>-2884910</v>
      </c>
      <c r="BF146" s="165">
        <f t="shared" ca="1" si="80"/>
        <v>-2884910</v>
      </c>
      <c r="BG146" s="165">
        <f t="shared" ca="1" si="80"/>
        <v>-2884910</v>
      </c>
      <c r="BH146" s="165">
        <f t="shared" ca="1" si="80"/>
        <v>-2884910</v>
      </c>
      <c r="BI146" s="165">
        <f t="shared" ca="1" si="80"/>
        <v>-2884910</v>
      </c>
      <c r="BJ146" s="165">
        <f t="shared" ca="1" si="80"/>
        <v>-2884910</v>
      </c>
      <c r="BK146" s="165">
        <f t="shared" ca="1" si="80"/>
        <v>-2884910</v>
      </c>
      <c r="BL146" s="165">
        <f t="shared" ca="1" si="80"/>
        <v>-2884910</v>
      </c>
      <c r="BM146" s="165">
        <f t="shared" ca="1" si="80"/>
        <v>-2884910</v>
      </c>
      <c r="BN146" s="165">
        <f t="shared" ca="1" si="80"/>
        <v>-2884910</v>
      </c>
      <c r="BO146" s="165">
        <f t="shared" ca="1" si="80"/>
        <v>-2884910</v>
      </c>
      <c r="BP146" s="165">
        <f t="shared" ca="1" si="80"/>
        <v>-2884910</v>
      </c>
      <c r="BQ146" s="165">
        <f t="shared" ca="1" si="80"/>
        <v>-2884910</v>
      </c>
      <c r="BR146" s="165">
        <f t="shared" ca="1" si="80"/>
        <v>-2884910</v>
      </c>
      <c r="BS146" s="165">
        <f t="shared" ca="1" si="80"/>
        <v>-2884910</v>
      </c>
      <c r="BT146" s="165">
        <f t="shared" ca="1" si="80"/>
        <v>-2884910</v>
      </c>
      <c r="BU146" s="165">
        <f t="shared" ca="1" si="80"/>
        <v>-2884910</v>
      </c>
      <c r="BV146" s="165">
        <f t="shared" ca="1" si="80"/>
        <v>-2884910</v>
      </c>
      <c r="BW146" s="165">
        <f t="shared" ca="1" si="80"/>
        <v>-2884910</v>
      </c>
    </row>
    <row r="147" spans="1:75" ht="12.75" x14ac:dyDescent="0.2">
      <c r="A147" s="23" t="s">
        <v>382</v>
      </c>
      <c r="B147" s="221"/>
      <c r="D147" s="115">
        <f t="array" aca="1" ref="D147" ca="1">INDEX(INDIRECT("BS_"&amp;TEXT(D$1,"mmm")&amp;"_"&amp;TEXT(D$1,"yyyy")),MATCH(TRIM($A147),BS_Accounts,0))</f>
        <v>-89438</v>
      </c>
      <c r="E147" s="115">
        <f t="array" aca="1" ref="E147" ca="1">INDEX(INDIRECT("BS_"&amp;TEXT(E$1,"mmm")&amp;"_"&amp;TEXT(E$1,"yyyy")),MATCH(TRIM($A147),BS_Accounts,0))</f>
        <v>-177562</v>
      </c>
      <c r="F147" s="115">
        <f t="array" aca="1" ref="F147" ca="1">INDEX(INDIRECT("BS_"&amp;TEXT(F$1,"mmm")&amp;"_"&amp;TEXT(F$1,"yyyy")),MATCH(TRIM($A147),BS_Accounts,0))</f>
        <v>-280518</v>
      </c>
      <c r="G147" s="115">
        <f t="array" aca="1" ref="G147" ca="1">INDEX(INDIRECT("BS_"&amp;TEXT(G$1,"mmm")&amp;"_"&amp;TEXT(G$1,"yyyy")),MATCH(TRIM($A147),BS_Accounts,0))</f>
        <v>-375113</v>
      </c>
      <c r="H147" s="115">
        <f t="array" aca="1" ref="H147" ca="1">INDEX(INDIRECT("BS_"&amp;TEXT(H$1,"mmm")&amp;"_"&amp;TEXT(H$1,"yyyy")),MATCH(TRIM($A147),BS_Accounts,0))</f>
        <v>-457178</v>
      </c>
      <c r="I147" s="115">
        <f t="array" aca="1" ref="I147" ca="1">INDEX(INDIRECT("BS_"&amp;TEXT(I$1,"mmm")&amp;"_"&amp;TEXT(I$1,"yyyy")),MATCH(TRIM($A147),BS_Accounts,0))</f>
        <v>-535310</v>
      </c>
      <c r="J147" s="115">
        <f t="array" aca="1" ref="J147" ca="1">INDEX(INDIRECT("BS_"&amp;TEXT(J$1,"mmm")&amp;"_"&amp;TEXT(J$1,"yyyy")),MATCH(TRIM($A147),BS_Accounts,0))</f>
        <v>-629355</v>
      </c>
      <c r="K147" s="115">
        <f t="array" aca="1" ref="K147" ca="1">INDEX(INDIRECT("BS_"&amp;TEXT(K$1,"mmm")&amp;"_"&amp;TEXT(K$1,"yyyy")),MATCH(TRIM($A147),BS_Accounts,0))</f>
        <v>-719121</v>
      </c>
      <c r="L147" s="115">
        <f t="array" aca="1" ref="L147" ca="1">INDEX(INDIRECT("BS_"&amp;TEXT(L$1,"mmm")&amp;"_"&amp;TEXT(L$1,"yyyy")),MATCH(TRIM($A147),BS_Accounts,0))</f>
        <v>-833566</v>
      </c>
      <c r="M147" s="115">
        <f t="array" aca="1" ref="M147" ca="1">INDEX(INDIRECT("BS_"&amp;TEXT(M$1,"mmm")&amp;"_"&amp;TEXT(M$1,"yyyy")),MATCH(TRIM($A147),BS_Accounts,0))</f>
        <v>-965447</v>
      </c>
      <c r="N147" s="115">
        <f t="array" aca="1" ref="N147" ca="1">INDEX(INDIRECT("BS_"&amp;TEXT(N$1,"mmm")&amp;"_"&amp;TEXT(N$1,"yyyy")),MATCH(TRIM($A147),BS_Accounts,0))</f>
        <v>-1106044</v>
      </c>
      <c r="O147" s="115">
        <f t="array" aca="1" ref="O147" ca="1">INDEX(INDIRECT("BS_"&amp;TEXT(O$1,"mmm")&amp;"_"&amp;TEXT(O$1,"yyyy")),MATCH(TRIM($A147),BS_Accounts,0))</f>
        <v>-1283238</v>
      </c>
      <c r="P147" s="115">
        <f t="array" aca="1" ref="P147" ca="1">INDEX(INDIRECT("BS_"&amp;TEXT(P$1,"mmm")&amp;"_"&amp;TEXT(P$1,"yyyy")),MATCH(TRIM($A147),BS_Accounts,0))</f>
        <v>-177124</v>
      </c>
      <c r="Q147" s="115">
        <f t="array" aca="1" ref="Q147" ca="1">INDEX(INDIRECT("BS_"&amp;TEXT(Q$1,"mmm")&amp;"_"&amp;TEXT(Q$1,"yyyy")),MATCH(TRIM($A147),BS_Accounts,0))</f>
        <v>-366699</v>
      </c>
      <c r="R147" s="115">
        <f t="array" aca="1" ref="R147" ca="1">INDEX(INDIRECT("BS_"&amp;TEXT(R$1,"mmm")&amp;"_"&amp;TEXT(R$1,"yyyy")),MATCH(TRIM($A147),BS_Accounts,0))</f>
        <v>-550830</v>
      </c>
      <c r="S147" s="115">
        <f t="array" aca="1" ref="S147" ca="1">INDEX(INDIRECT("BS_"&amp;TEXT(S$1,"mmm")&amp;"_"&amp;TEXT(S$1,"yyyy")),MATCH(TRIM($A147),BS_Accounts,0))</f>
        <v>-679771</v>
      </c>
      <c r="T147" s="115">
        <f t="array" aca="1" ref="T147" ca="1">INDEX(INDIRECT("BS_"&amp;TEXT(T$1,"mmm")&amp;"_"&amp;TEXT(T$1,"yyyy")),MATCH(TRIM($A147),BS_Accounts,0))</f>
        <v>-831525</v>
      </c>
      <c r="U147" s="115">
        <f t="array" aca="1" ref="U147" ca="1">INDEX(INDIRECT("BS_"&amp;TEXT(U$1,"mmm")&amp;"_"&amp;TEXT(U$1,"yyyy")),MATCH(TRIM($A147),BS_Accounts,0))</f>
        <v>-953808</v>
      </c>
      <c r="V147" s="115">
        <f t="array" aca="1" ref="V147" ca="1">INDEX(INDIRECT("BS_"&amp;TEXT(V$1,"mmm")&amp;"_"&amp;TEXT(V$1,"yyyy")),MATCH(TRIM($A147),BS_Accounts,0))</f>
        <v>-1056282</v>
      </c>
      <c r="W147" s="115">
        <f t="array" aca="1" ref="W147" ca="1">INDEX(INDIRECT("BS_"&amp;TEXT(W$1,"mmm")&amp;"_"&amp;TEXT(W$1,"yyyy")),MATCH(TRIM($A147),BS_Accounts,0))</f>
        <v>-1138777</v>
      </c>
      <c r="X147" s="115">
        <f t="array" aca="1" ref="X147" ca="1">INDEX(INDIRECT("BS_"&amp;TEXT(X$1,"mmm")&amp;"_"&amp;TEXT(X$1,"yyyy")),MATCH(TRIM($A147),BS_Accounts,0))</f>
        <v>-1198815</v>
      </c>
      <c r="Y147" s="115">
        <f t="array" aca="1" ref="Y147" ca="1">INDEX(INDIRECT("BS_"&amp;TEXT(Y$1,"mmm")&amp;"_"&amp;TEXT(Y$1,"yyyy")),MATCH(TRIM($A147),BS_Accounts,0))</f>
        <v>-1226135</v>
      </c>
      <c r="Z147" s="115">
        <f t="array" aca="1" ref="Z147" ca="1">INDEX(INDIRECT("BS_"&amp;TEXT(Z$1,"mmm")&amp;"_"&amp;TEXT(Z$1,"yyyy")),MATCH(TRIM($A147),BS_Accounts,0))</f>
        <v>-1245040</v>
      </c>
      <c r="AA147" s="115">
        <f t="array" aca="1" ref="AA147" ca="1">INDEX(INDIRECT("BS_"&amp;TEXT(AA$1,"mmm")&amp;"_"&amp;TEXT(AA$1,"yyyy")),MATCH(TRIM($A147),BS_Accounts,0))</f>
        <v>-1269251</v>
      </c>
      <c r="AB147" s="115">
        <f t="array" aca="1" ref="AB147" ca="1">INDEX(INDIRECT("BS_"&amp;TEXT(AB$1,"mmm")&amp;"_"&amp;TEXT(AB$1,"yyyy")),MATCH(TRIM($A147),BS_Accounts,0))</f>
        <v>-13824</v>
      </c>
      <c r="AC147" s="115">
        <f t="array" aca="1" ref="AC147" ca="1">INDEX(INDIRECT("BS_"&amp;TEXT(AC$1,"mmm")&amp;"_"&amp;TEXT(AC$1,"yyyy")),MATCH(TRIM($A147),BS_Accounts,0))</f>
        <v>-39993</v>
      </c>
      <c r="AD147" s="115">
        <f t="array" aca="1" ref="AD147" ca="1">INDEX(INDIRECT("BS_"&amp;TEXT(AD$1,"mmm")&amp;"_"&amp;TEXT(AD$1,"yyyy")),MATCH(TRIM($A147),BS_Accounts,0))</f>
        <v>-31585.81</v>
      </c>
      <c r="AE147" s="115">
        <f t="array" aca="1" ref="AE147" ca="1">INDEX(INDIRECT("BS_"&amp;TEXT(AE$1,"mmm")&amp;"_"&amp;TEXT(AE$1,"yyyy")),MATCH(TRIM($A147),BS_Accounts,0))</f>
        <v>-31702.81</v>
      </c>
      <c r="AF147" s="115">
        <f t="shared" ref="AF147:BW147" ca="1" si="81">AE147+AF97</f>
        <v>21645.356337172616</v>
      </c>
      <c r="AG147" s="115">
        <f t="shared" ca="1" si="81"/>
        <v>57011.210790803365</v>
      </c>
      <c r="AH147" s="115">
        <f t="shared" ca="1" si="81"/>
        <v>83721.886470027443</v>
      </c>
      <c r="AI147" s="115">
        <f t="shared" ca="1" si="81"/>
        <v>98642.305930311501</v>
      </c>
      <c r="AJ147" s="115">
        <f t="shared" ca="1" si="81"/>
        <v>112305.45128690923</v>
      </c>
      <c r="AK147" s="115">
        <f t="shared" ca="1" si="81"/>
        <v>63755.721492043987</v>
      </c>
      <c r="AL147" s="115">
        <f t="shared" ca="1" si="81"/>
        <v>14952.167765879713</v>
      </c>
      <c r="AM147" s="115">
        <f t="shared" ca="1" si="81"/>
        <v>-73379.826323959685</v>
      </c>
      <c r="AN147" s="115">
        <f t="shared" ca="1" si="81"/>
        <v>-178174.37614960124</v>
      </c>
      <c r="AO147" s="115">
        <f t="shared" ca="1" si="81"/>
        <v>-321149.0289384863</v>
      </c>
      <c r="AP147" s="115">
        <f t="shared" ca="1" si="81"/>
        <v>-462773.0471057251</v>
      </c>
      <c r="AQ147" s="115">
        <f t="shared" ca="1" si="81"/>
        <v>-650708.22062393394</v>
      </c>
      <c r="AR147" s="115">
        <f t="shared" ca="1" si="81"/>
        <v>-835402.39225425222</v>
      </c>
      <c r="AS147" s="115">
        <f t="shared" ca="1" si="81"/>
        <v>-1016988.7197681536</v>
      </c>
      <c r="AT147" s="115">
        <f t="shared" ca="1" si="81"/>
        <v>-1212172.221417292</v>
      </c>
      <c r="AU147" s="115">
        <f t="shared" ca="1" si="81"/>
        <v>-1403449.6186260418</v>
      </c>
      <c r="AV147" s="115">
        <f t="shared" ca="1" si="81"/>
        <v>-1589895.6258020056</v>
      </c>
      <c r="AW147" s="115">
        <f t="shared" ca="1" si="81"/>
        <v>-1786628.2227880587</v>
      </c>
      <c r="AX147" s="115">
        <f t="shared" ca="1" si="81"/>
        <v>-1977757.491992631</v>
      </c>
      <c r="AY147" s="115">
        <f t="shared" ca="1" si="81"/>
        <v>-2162369.8576771556</v>
      </c>
      <c r="AZ147" s="115">
        <f t="shared" ca="1" si="81"/>
        <v>-2325901.7166991499</v>
      </c>
      <c r="BA147" s="115">
        <f t="shared" ca="1" si="81"/>
        <v>-2471558.3436418138</v>
      </c>
      <c r="BB147" s="115">
        <f t="shared" ca="1" si="81"/>
        <v>-2596942.7974803662</v>
      </c>
      <c r="BC147" s="115">
        <f t="shared" ca="1" si="81"/>
        <v>-2715162.4198081135</v>
      </c>
      <c r="BD147" s="115">
        <f t="shared" ca="1" si="81"/>
        <v>-2806721.8212149488</v>
      </c>
      <c r="BE147" s="115">
        <f t="shared" ca="1" si="81"/>
        <v>-2874324.2453437233</v>
      </c>
      <c r="BF147" s="115">
        <f t="shared" ca="1" si="81"/>
        <v>-2932389.6069779512</v>
      </c>
      <c r="BG147" s="115">
        <f t="shared" ca="1" si="81"/>
        <v>-2963465.5092752082</v>
      </c>
      <c r="BH147" s="115">
        <f t="shared" ca="1" si="81"/>
        <v>-2966531.9297750155</v>
      </c>
      <c r="BI147" s="115">
        <f t="shared" ca="1" si="81"/>
        <v>-2957242.1699414281</v>
      </c>
      <c r="BJ147" s="115">
        <f t="shared" ca="1" si="81"/>
        <v>-2918367.1646838174</v>
      </c>
      <c r="BK147" s="115">
        <f t="shared" ca="1" si="81"/>
        <v>-2848825.6395598594</v>
      </c>
      <c r="BL147" s="115">
        <f t="shared" ca="1" si="81"/>
        <v>-2763659.9478297289</v>
      </c>
      <c r="BM147" s="115">
        <f t="shared" ca="1" si="81"/>
        <v>-2645842.8981606294</v>
      </c>
      <c r="BN147" s="115">
        <f t="shared" ca="1" si="81"/>
        <v>-2494225.5765929893</v>
      </c>
      <c r="BO147" s="115">
        <f t="shared" ca="1" si="81"/>
        <v>-2323706.6039043041</v>
      </c>
      <c r="BP147" s="115">
        <f t="shared" ca="1" si="81"/>
        <v>-2117093.4164757216</v>
      </c>
      <c r="BQ147" s="115">
        <f t="shared" ca="1" si="81"/>
        <v>-1873188.0091054614</v>
      </c>
      <c r="BR147" s="115">
        <f t="shared" ca="1" si="81"/>
        <v>-1606774.2589552698</v>
      </c>
      <c r="BS147" s="115">
        <f t="shared" ca="1" si="81"/>
        <v>-1300532.4500371967</v>
      </c>
      <c r="BT147" s="115">
        <f t="shared" ca="1" si="81"/>
        <v>-953141.64662237559</v>
      </c>
      <c r="BU147" s="115">
        <f t="shared" ca="1" si="81"/>
        <v>-563236.26876222668</v>
      </c>
      <c r="BV147" s="115">
        <f t="shared" ca="1" si="81"/>
        <v>-129405.60797852883</v>
      </c>
      <c r="BW147" s="115">
        <f t="shared" ca="1" si="81"/>
        <v>349803.47385694506</v>
      </c>
    </row>
    <row r="148" spans="1:75" ht="12.75" x14ac:dyDescent="0.2">
      <c r="A148" s="60" t="s">
        <v>383</v>
      </c>
      <c r="B148" s="238"/>
      <c r="C148" s="212"/>
      <c r="D148" s="213">
        <f t="shared" ref="D148:BW148" ca="1" si="82">SUM(D144:D147)</f>
        <v>-89438</v>
      </c>
      <c r="E148" s="213">
        <f t="shared" ca="1" si="82"/>
        <v>-177562</v>
      </c>
      <c r="F148" s="213">
        <f t="shared" ca="1" si="82"/>
        <v>-280518</v>
      </c>
      <c r="G148" s="213">
        <f t="shared" ca="1" si="82"/>
        <v>-375113</v>
      </c>
      <c r="H148" s="213">
        <f t="shared" ca="1" si="82"/>
        <v>-457178</v>
      </c>
      <c r="I148" s="213">
        <f t="shared" ca="1" si="82"/>
        <v>-535310</v>
      </c>
      <c r="J148" s="213">
        <f t="shared" ca="1" si="82"/>
        <v>-629355</v>
      </c>
      <c r="K148" s="213">
        <f t="shared" ca="1" si="82"/>
        <v>-719121</v>
      </c>
      <c r="L148" s="213">
        <f t="shared" ca="1" si="82"/>
        <v>-833566</v>
      </c>
      <c r="M148" s="213">
        <f t="shared" ca="1" si="82"/>
        <v>-965447</v>
      </c>
      <c r="N148" s="213">
        <f t="shared" ca="1" si="82"/>
        <v>-1106044</v>
      </c>
      <c r="O148" s="213">
        <f t="shared" ca="1" si="82"/>
        <v>-1283238</v>
      </c>
      <c r="P148" s="213">
        <f t="shared" ca="1" si="82"/>
        <v>-1460362</v>
      </c>
      <c r="Q148" s="213">
        <f t="shared" ca="1" si="82"/>
        <v>-1649937</v>
      </c>
      <c r="R148" s="213">
        <f t="shared" ca="1" si="82"/>
        <v>-1834068</v>
      </c>
      <c r="S148" s="213">
        <f t="shared" ca="1" si="82"/>
        <v>-1963009</v>
      </c>
      <c r="T148" s="213">
        <f t="shared" ca="1" si="82"/>
        <v>-2114763</v>
      </c>
      <c r="U148" s="213">
        <f t="shared" ca="1" si="82"/>
        <v>-2237046</v>
      </c>
      <c r="V148" s="213">
        <f t="shared" ca="1" si="82"/>
        <v>-2339520</v>
      </c>
      <c r="W148" s="213">
        <f t="shared" ca="1" si="82"/>
        <v>-2422015</v>
      </c>
      <c r="X148" s="213">
        <f t="shared" ca="1" si="82"/>
        <v>-2482053</v>
      </c>
      <c r="Y148" s="213">
        <f t="shared" ca="1" si="82"/>
        <v>-2509373</v>
      </c>
      <c r="Z148" s="213">
        <f t="shared" ca="1" si="82"/>
        <v>-2528278</v>
      </c>
      <c r="AA148" s="213">
        <f t="shared" ca="1" si="82"/>
        <v>-2552489</v>
      </c>
      <c r="AB148" s="213">
        <f t="shared" ca="1" si="82"/>
        <v>-2566313</v>
      </c>
      <c r="AC148" s="213">
        <f t="shared" ca="1" si="82"/>
        <v>-2592482</v>
      </c>
      <c r="AD148" s="213">
        <f t="shared" ca="1" si="82"/>
        <v>-2584074.81</v>
      </c>
      <c r="AE148" s="213">
        <f t="shared" ca="1" si="82"/>
        <v>-2584191.81</v>
      </c>
      <c r="AF148" s="226">
        <f t="shared" ca="1" si="82"/>
        <v>-2530843.6436628276</v>
      </c>
      <c r="AG148" s="226">
        <f t="shared" ca="1" si="82"/>
        <v>-2495477.7892091968</v>
      </c>
      <c r="AH148" s="226">
        <f t="shared" ca="1" si="82"/>
        <v>-2468767.1135299727</v>
      </c>
      <c r="AI148" s="226">
        <f t="shared" ca="1" si="82"/>
        <v>-2453846.6940696887</v>
      </c>
      <c r="AJ148" s="226">
        <f t="shared" ca="1" si="82"/>
        <v>-2440183.5487130908</v>
      </c>
      <c r="AK148" s="226">
        <f t="shared" ca="1" si="82"/>
        <v>-2488733.2785079558</v>
      </c>
      <c r="AL148" s="226">
        <f t="shared" ca="1" si="82"/>
        <v>-2537536.8322341205</v>
      </c>
      <c r="AM148" s="226">
        <f t="shared" ca="1" si="82"/>
        <v>-2625868.8263239595</v>
      </c>
      <c r="AN148" s="226">
        <f t="shared" ca="1" si="82"/>
        <v>-2730663.3761496013</v>
      </c>
      <c r="AO148" s="226">
        <f t="shared" ca="1" si="82"/>
        <v>-2873638.0289384862</v>
      </c>
      <c r="AP148" s="226">
        <f t="shared" ca="1" si="82"/>
        <v>-3015262.0471057249</v>
      </c>
      <c r="AQ148" s="226">
        <f t="shared" ca="1" si="82"/>
        <v>-3203197.2206239337</v>
      </c>
      <c r="AR148" s="226">
        <f t="shared" ca="1" si="82"/>
        <v>-3387891.392254252</v>
      </c>
      <c r="AS148" s="226">
        <f t="shared" ca="1" si="82"/>
        <v>-3569477.7197681535</v>
      </c>
      <c r="AT148" s="226">
        <f t="shared" ca="1" si="82"/>
        <v>-3764661.221417292</v>
      </c>
      <c r="AU148" s="226">
        <f t="shared" ca="1" si="82"/>
        <v>-3955938.6186260418</v>
      </c>
      <c r="AV148" s="226">
        <f t="shared" ca="1" si="82"/>
        <v>-4142384.6258020056</v>
      </c>
      <c r="AW148" s="226">
        <f t="shared" ca="1" si="82"/>
        <v>-4339117.2227880582</v>
      </c>
      <c r="AX148" s="226">
        <f t="shared" ca="1" si="82"/>
        <v>-4530246.491992631</v>
      </c>
      <c r="AY148" s="226">
        <f t="shared" ca="1" si="82"/>
        <v>-4714858.8576771561</v>
      </c>
      <c r="AZ148" s="226">
        <f t="shared" ca="1" si="82"/>
        <v>-4878390.7166991495</v>
      </c>
      <c r="BA148" s="226">
        <f t="shared" ca="1" si="82"/>
        <v>-5024047.3436418138</v>
      </c>
      <c r="BB148" s="226">
        <f t="shared" ca="1" si="82"/>
        <v>-5149431.7974803662</v>
      </c>
      <c r="BC148" s="226">
        <f t="shared" ca="1" si="82"/>
        <v>-5267651.4198081139</v>
      </c>
      <c r="BD148" s="226">
        <f t="shared" ca="1" si="82"/>
        <v>-5359210.8212149488</v>
      </c>
      <c r="BE148" s="226">
        <f t="shared" ca="1" si="82"/>
        <v>-5426813.2453437233</v>
      </c>
      <c r="BF148" s="226">
        <f t="shared" ca="1" si="82"/>
        <v>-5484878.6069779508</v>
      </c>
      <c r="BG148" s="226">
        <f t="shared" ca="1" si="82"/>
        <v>-5515954.5092752082</v>
      </c>
      <c r="BH148" s="226">
        <f t="shared" ca="1" si="82"/>
        <v>-5519020.9297750155</v>
      </c>
      <c r="BI148" s="226">
        <f t="shared" ca="1" si="82"/>
        <v>-5509731.1699414281</v>
      </c>
      <c r="BJ148" s="226">
        <f t="shared" ca="1" si="82"/>
        <v>-5470856.164683817</v>
      </c>
      <c r="BK148" s="226">
        <f t="shared" ca="1" si="82"/>
        <v>-5401314.6395598594</v>
      </c>
      <c r="BL148" s="226">
        <f t="shared" ca="1" si="82"/>
        <v>-5316148.9478297289</v>
      </c>
      <c r="BM148" s="226">
        <f t="shared" ca="1" si="82"/>
        <v>-5198331.898160629</v>
      </c>
      <c r="BN148" s="226">
        <f t="shared" ca="1" si="82"/>
        <v>-5046714.5765929893</v>
      </c>
      <c r="BO148" s="226">
        <f t="shared" ca="1" si="82"/>
        <v>-4876195.6039043041</v>
      </c>
      <c r="BP148" s="226">
        <f t="shared" ca="1" si="82"/>
        <v>-4669582.4164757216</v>
      </c>
      <c r="BQ148" s="226">
        <f t="shared" ca="1" si="82"/>
        <v>-4425677.0091054616</v>
      </c>
      <c r="BR148" s="226">
        <f t="shared" ca="1" si="82"/>
        <v>-4159263.2589552701</v>
      </c>
      <c r="BS148" s="226">
        <f t="shared" ca="1" si="82"/>
        <v>-3853021.4500371967</v>
      </c>
      <c r="BT148" s="226">
        <f t="shared" ca="1" si="82"/>
        <v>-3505630.6466223756</v>
      </c>
      <c r="BU148" s="226">
        <f t="shared" ca="1" si="82"/>
        <v>-3115725.2687622267</v>
      </c>
      <c r="BV148" s="226">
        <f t="shared" ca="1" si="82"/>
        <v>-2681894.6079785288</v>
      </c>
      <c r="BW148" s="226">
        <f t="shared" ca="1" si="82"/>
        <v>-2202685.5261430549</v>
      </c>
    </row>
    <row r="149" spans="1:75" ht="12.75" x14ac:dyDescent="0.2">
      <c r="A149" s="69" t="s">
        <v>244</v>
      </c>
      <c r="B149" s="221"/>
      <c r="D149" s="115">
        <f t="array" aca="1" ref="D149" ca="1">INDEX(INDIRECT("BS_"&amp;TEXT(D$1,"mmm")&amp;"_"&amp;TEXT(D$1,"yyyy")),MATCH(TRIM($A148),BS_Accounts,0))-D148</f>
        <v>0</v>
      </c>
      <c r="E149" s="115">
        <f t="array" aca="1" ref="E149" ca="1">INDEX(INDIRECT("BS_"&amp;TEXT(E$1,"mmm")&amp;"_"&amp;TEXT(E$1,"yyyy")),MATCH(TRIM($A148),BS_Accounts,0))-E148</f>
        <v>0</v>
      </c>
      <c r="F149" s="115">
        <f t="array" aca="1" ref="F149" ca="1">INDEX(INDIRECT("BS_"&amp;TEXT(F$1,"mmm")&amp;"_"&amp;TEXT(F$1,"yyyy")),MATCH(TRIM($A148),BS_Accounts,0))-F148</f>
        <v>0</v>
      </c>
      <c r="G149" s="115">
        <f t="array" aca="1" ref="G149" ca="1">INDEX(INDIRECT("BS_"&amp;TEXT(G$1,"mmm")&amp;"_"&amp;TEXT(G$1,"yyyy")),MATCH(TRIM($A148),BS_Accounts,0))-G148</f>
        <v>0</v>
      </c>
      <c r="H149" s="115">
        <f t="array" aca="1" ref="H149" ca="1">INDEX(INDIRECT("BS_"&amp;TEXT(H$1,"mmm")&amp;"_"&amp;TEXT(H$1,"yyyy")),MATCH(TRIM($A148),BS_Accounts,0))-H148</f>
        <v>0</v>
      </c>
      <c r="I149" s="115">
        <f t="array" aca="1" ref="I149" ca="1">INDEX(INDIRECT("BS_"&amp;TEXT(I$1,"mmm")&amp;"_"&amp;TEXT(I$1,"yyyy")),MATCH(TRIM($A148),BS_Accounts,0))-I148</f>
        <v>0</v>
      </c>
      <c r="J149" s="115">
        <f t="array" aca="1" ref="J149" ca="1">INDEX(INDIRECT("BS_"&amp;TEXT(J$1,"mmm")&amp;"_"&amp;TEXT(J$1,"yyyy")),MATCH(TRIM($A148),BS_Accounts,0))-J148</f>
        <v>0</v>
      </c>
      <c r="K149" s="115">
        <f t="array" aca="1" ref="K149" ca="1">INDEX(INDIRECT("BS_"&amp;TEXT(K$1,"mmm")&amp;"_"&amp;TEXT(K$1,"yyyy")),MATCH(TRIM($A148),BS_Accounts,0))-K148</f>
        <v>0</v>
      </c>
      <c r="L149" s="115">
        <f t="array" aca="1" ref="L149" ca="1">INDEX(INDIRECT("BS_"&amp;TEXT(L$1,"mmm")&amp;"_"&amp;TEXT(L$1,"yyyy")),MATCH(TRIM($A148),BS_Accounts,0))-L148</f>
        <v>0</v>
      </c>
      <c r="M149" s="115">
        <f t="array" aca="1" ref="M149" ca="1">INDEX(INDIRECT("BS_"&amp;TEXT(M$1,"mmm")&amp;"_"&amp;TEXT(M$1,"yyyy")),MATCH(TRIM($A148),BS_Accounts,0))-M148</f>
        <v>0</v>
      </c>
      <c r="N149" s="115">
        <f t="array" aca="1" ref="N149" ca="1">INDEX(INDIRECT("BS_"&amp;TEXT(N$1,"mmm")&amp;"_"&amp;TEXT(N$1,"yyyy")),MATCH(TRIM($A148),BS_Accounts,0))-N148</f>
        <v>0</v>
      </c>
      <c r="O149" s="115">
        <f t="array" aca="1" ref="O149" ca="1">INDEX(INDIRECT("BS_"&amp;TEXT(O$1,"mmm")&amp;"_"&amp;TEXT(O$1,"yyyy")),MATCH(TRIM($A148),BS_Accounts,0))-O148</f>
        <v>0</v>
      </c>
      <c r="P149" s="115">
        <f t="array" aca="1" ref="P149" ca="1">INDEX(INDIRECT("BS_"&amp;TEXT(P$1,"mmm")&amp;"_"&amp;TEXT(P$1,"yyyy")),MATCH(TRIM($A148),BS_Accounts,0))-P148</f>
        <v>0</v>
      </c>
      <c r="Q149" s="115">
        <f t="array" aca="1" ref="Q149" ca="1">INDEX(INDIRECT("BS_"&amp;TEXT(Q$1,"mmm")&amp;"_"&amp;TEXT(Q$1,"yyyy")),MATCH(TRIM($A148),BS_Accounts,0))-Q148</f>
        <v>0</v>
      </c>
      <c r="R149" s="115">
        <f t="array" aca="1" ref="R149" ca="1">INDEX(INDIRECT("BS_"&amp;TEXT(R$1,"mmm")&amp;"_"&amp;TEXT(R$1,"yyyy")),MATCH(TRIM($A148),BS_Accounts,0))-R148</f>
        <v>0</v>
      </c>
      <c r="S149" s="115">
        <f t="array" aca="1" ref="S149" ca="1">INDEX(INDIRECT("BS_"&amp;TEXT(S$1,"mmm")&amp;"_"&amp;TEXT(S$1,"yyyy")),MATCH(TRIM($A148),BS_Accounts,0))-S148</f>
        <v>0</v>
      </c>
      <c r="T149" s="115">
        <f t="array" aca="1" ref="T149" ca="1">INDEX(INDIRECT("BS_"&amp;TEXT(T$1,"mmm")&amp;"_"&amp;TEXT(T$1,"yyyy")),MATCH(TRIM($A148),BS_Accounts,0))-T148</f>
        <v>0</v>
      </c>
      <c r="U149" s="115">
        <f t="array" aca="1" ref="U149" ca="1">INDEX(INDIRECT("BS_"&amp;TEXT(U$1,"mmm")&amp;"_"&amp;TEXT(U$1,"yyyy")),MATCH(TRIM($A148),BS_Accounts,0))-U148</f>
        <v>0</v>
      </c>
      <c r="V149" s="115">
        <f t="array" aca="1" ref="V149" ca="1">INDEX(INDIRECT("BS_"&amp;TEXT(V$1,"mmm")&amp;"_"&amp;TEXT(V$1,"yyyy")),MATCH(TRIM($A148),BS_Accounts,0))-V148</f>
        <v>0</v>
      </c>
      <c r="W149" s="115">
        <f t="array" aca="1" ref="W149" ca="1">INDEX(INDIRECT("BS_"&amp;TEXT(W$1,"mmm")&amp;"_"&amp;TEXT(W$1,"yyyy")),MATCH(TRIM($A148),BS_Accounts,0))-W148</f>
        <v>0</v>
      </c>
      <c r="X149" s="115">
        <f t="array" aca="1" ref="X149" ca="1">INDEX(INDIRECT("BS_"&amp;TEXT(X$1,"mmm")&amp;"_"&amp;TEXT(X$1,"yyyy")),MATCH(TRIM($A148),BS_Accounts,0))-X148</f>
        <v>0</v>
      </c>
      <c r="Y149" s="115">
        <f t="array" aca="1" ref="Y149" ca="1">INDEX(INDIRECT("BS_"&amp;TEXT(Y$1,"mmm")&amp;"_"&amp;TEXT(Y$1,"yyyy")),MATCH(TRIM($A148),BS_Accounts,0))-Y148</f>
        <v>0</v>
      </c>
      <c r="Z149" s="115">
        <f t="array" aca="1" ref="Z149" ca="1">INDEX(INDIRECT("BS_"&amp;TEXT(Z$1,"mmm")&amp;"_"&amp;TEXT(Z$1,"yyyy")),MATCH(TRIM($A148),BS_Accounts,0))-Z148</f>
        <v>0</v>
      </c>
      <c r="AA149" s="115">
        <f t="array" aca="1" ref="AA149" ca="1">INDEX(INDIRECT("BS_"&amp;TEXT(AA$1,"mmm")&amp;"_"&amp;TEXT(AA$1,"yyyy")),MATCH(TRIM($A148),BS_Accounts,0))-AA148</f>
        <v>0</v>
      </c>
      <c r="AB149" s="115">
        <f t="array" aca="1" ref="AB149" ca="1">INDEX(INDIRECT("BS_"&amp;TEXT(AB$1,"mmm")&amp;"_"&amp;TEXT(AB$1,"yyyy")),MATCH(TRIM($A148),BS_Accounts,0))-AB148</f>
        <v>0</v>
      </c>
      <c r="AC149" s="115">
        <f t="array" aca="1" ref="AC149" ca="1">INDEX(INDIRECT("BS_"&amp;TEXT(AC$1,"mmm")&amp;"_"&amp;TEXT(AC$1,"yyyy")),MATCH(TRIM($A148),BS_Accounts,0))-AC148</f>
        <v>0</v>
      </c>
      <c r="AD149" s="115">
        <f t="array" aca="1" ref="AD149" ca="1">INDEX(INDIRECT("BS_"&amp;TEXT(AD$1,"mmm")&amp;"_"&amp;TEXT(AD$1,"yyyy")),MATCH(TRIM($A148),BS_Accounts,0))-AD148</f>
        <v>0</v>
      </c>
      <c r="AE149" s="115">
        <f t="array" aca="1" ref="AE149" ca="1">INDEX(INDIRECT("BS_"&amp;TEXT(AE$1,"mmm")&amp;"_"&amp;TEXT(AE$1,"yyyy")),MATCH(TRIM($A148),BS_Accounts,0))-AE148</f>
        <v>0</v>
      </c>
    </row>
    <row r="150" spans="1:75" ht="12.75" x14ac:dyDescent="0.2">
      <c r="A150" s="60" t="s">
        <v>384</v>
      </c>
      <c r="B150" s="238"/>
      <c r="C150" s="212"/>
      <c r="D150" s="213">
        <f t="shared" ref="D150:BW150" ca="1" si="83">SUM(D148,D141)</f>
        <v>960680</v>
      </c>
      <c r="E150" s="213">
        <f t="shared" ca="1" si="83"/>
        <v>970330</v>
      </c>
      <c r="F150" s="213">
        <f t="shared" ca="1" si="83"/>
        <v>867374</v>
      </c>
      <c r="G150" s="213">
        <f t="shared" ca="1" si="83"/>
        <v>772779</v>
      </c>
      <c r="H150" s="213">
        <f t="shared" ca="1" si="83"/>
        <v>690714</v>
      </c>
      <c r="I150" s="213">
        <f t="shared" ca="1" si="83"/>
        <v>612582</v>
      </c>
      <c r="J150" s="213">
        <f t="shared" ca="1" si="83"/>
        <v>518537</v>
      </c>
      <c r="K150" s="213">
        <f t="shared" ca="1" si="83"/>
        <v>428771</v>
      </c>
      <c r="L150" s="213">
        <f t="shared" ca="1" si="83"/>
        <v>314326</v>
      </c>
      <c r="M150" s="213">
        <f t="shared" ca="1" si="83"/>
        <v>782445</v>
      </c>
      <c r="N150" s="213">
        <f t="shared" ca="1" si="83"/>
        <v>641848</v>
      </c>
      <c r="O150" s="213">
        <f t="shared" ca="1" si="83"/>
        <v>464654</v>
      </c>
      <c r="P150" s="213">
        <f t="shared" ca="1" si="83"/>
        <v>787530</v>
      </c>
      <c r="Q150" s="213">
        <f t="shared" ca="1" si="83"/>
        <v>597955</v>
      </c>
      <c r="R150" s="213">
        <f t="shared" ca="1" si="83"/>
        <v>413824</v>
      </c>
      <c r="S150" s="213">
        <f t="shared" ca="1" si="83"/>
        <v>284883</v>
      </c>
      <c r="T150" s="213">
        <f t="shared" ca="1" si="83"/>
        <v>433129</v>
      </c>
      <c r="U150" s="213">
        <f t="shared" ca="1" si="83"/>
        <v>310846</v>
      </c>
      <c r="V150" s="213">
        <f t="shared" ca="1" si="83"/>
        <v>208372</v>
      </c>
      <c r="W150" s="213">
        <f t="shared" ca="1" si="83"/>
        <v>125877</v>
      </c>
      <c r="X150" s="213">
        <f t="shared" ca="1" si="83"/>
        <v>65839</v>
      </c>
      <c r="Y150" s="213">
        <f t="shared" ca="1" si="83"/>
        <v>338519</v>
      </c>
      <c r="Z150" s="213">
        <f t="shared" ca="1" si="83"/>
        <v>319614</v>
      </c>
      <c r="AA150" s="213">
        <f t="shared" ca="1" si="83"/>
        <v>295403</v>
      </c>
      <c r="AB150" s="213">
        <f t="shared" ca="1" si="83"/>
        <v>281579</v>
      </c>
      <c r="AC150" s="213">
        <f t="shared" ca="1" si="83"/>
        <v>255410</v>
      </c>
      <c r="AD150" s="213">
        <f t="shared" ca="1" si="83"/>
        <v>263817.18999999994</v>
      </c>
      <c r="AE150" s="213">
        <f t="shared" ca="1" si="83"/>
        <v>263700.18999999994</v>
      </c>
      <c r="AF150" s="213">
        <f t="shared" ca="1" si="83"/>
        <v>317048.35633717244</v>
      </c>
      <c r="AG150" s="213">
        <f t="shared" ca="1" si="83"/>
        <v>352414.21079080319</v>
      </c>
      <c r="AH150" s="213">
        <f t="shared" ca="1" si="83"/>
        <v>379124.88647002727</v>
      </c>
      <c r="AI150" s="213">
        <f t="shared" ca="1" si="83"/>
        <v>394045.30593031133</v>
      </c>
      <c r="AJ150" s="213">
        <f t="shared" ca="1" si="83"/>
        <v>407708.45128690917</v>
      </c>
      <c r="AK150" s="213">
        <f t="shared" ca="1" si="83"/>
        <v>359158.72149204416</v>
      </c>
      <c r="AL150" s="213">
        <f t="shared" ca="1" si="83"/>
        <v>310355.16776587954</v>
      </c>
      <c r="AM150" s="213">
        <f t="shared" ca="1" si="83"/>
        <v>222023.17367604049</v>
      </c>
      <c r="AN150" s="213">
        <f t="shared" ca="1" si="83"/>
        <v>117228.6238503987</v>
      </c>
      <c r="AO150" s="213">
        <f t="shared" ca="1" si="83"/>
        <v>-25746.028938486241</v>
      </c>
      <c r="AP150" s="213">
        <f t="shared" ca="1" si="83"/>
        <v>-167370.04710572492</v>
      </c>
      <c r="AQ150" s="213">
        <f t="shared" ca="1" si="83"/>
        <v>-355305.22062393371</v>
      </c>
      <c r="AR150" s="213">
        <f t="shared" ca="1" si="83"/>
        <v>-539999.39225425199</v>
      </c>
      <c r="AS150" s="213">
        <f t="shared" ca="1" si="83"/>
        <v>-721585.7197681535</v>
      </c>
      <c r="AT150" s="213">
        <f t="shared" ca="1" si="83"/>
        <v>-916769.22141729202</v>
      </c>
      <c r="AU150" s="213">
        <f t="shared" ca="1" si="83"/>
        <v>-1108046.6186260418</v>
      </c>
      <c r="AV150" s="213">
        <f t="shared" ca="1" si="83"/>
        <v>-1294492.6258020056</v>
      </c>
      <c r="AW150" s="213">
        <f t="shared" ca="1" si="83"/>
        <v>-1491225.2227880582</v>
      </c>
      <c r="AX150" s="213">
        <f t="shared" ca="1" si="83"/>
        <v>-1682354.491992631</v>
      </c>
      <c r="AY150" s="213">
        <f t="shared" ca="1" si="83"/>
        <v>-1866966.8576771561</v>
      </c>
      <c r="AZ150" s="213">
        <f t="shared" ca="1" si="83"/>
        <v>-2030498.7166991495</v>
      </c>
      <c r="BA150" s="213">
        <f t="shared" ca="1" si="83"/>
        <v>-2176155.3436418138</v>
      </c>
      <c r="BB150" s="213">
        <f t="shared" ca="1" si="83"/>
        <v>-2301539.7974803662</v>
      </c>
      <c r="BC150" s="213">
        <f t="shared" ca="1" si="83"/>
        <v>-2419759.4198081139</v>
      </c>
      <c r="BD150" s="213">
        <f t="shared" ca="1" si="83"/>
        <v>-2511318.8212149488</v>
      </c>
      <c r="BE150" s="213">
        <f t="shared" ca="1" si="83"/>
        <v>-2578921.2453437233</v>
      </c>
      <c r="BF150" s="213">
        <f t="shared" ca="1" si="83"/>
        <v>-2636986.6069779508</v>
      </c>
      <c r="BG150" s="213">
        <f t="shared" ca="1" si="83"/>
        <v>-2668062.5092752082</v>
      </c>
      <c r="BH150" s="213">
        <f t="shared" ca="1" si="83"/>
        <v>-2671128.9297750155</v>
      </c>
      <c r="BI150" s="213">
        <f t="shared" ca="1" si="83"/>
        <v>-2661839.1699414281</v>
      </c>
      <c r="BJ150" s="213">
        <f t="shared" ca="1" si="83"/>
        <v>-2622964.164683817</v>
      </c>
      <c r="BK150" s="213">
        <f t="shared" ca="1" si="83"/>
        <v>-2553422.6395598594</v>
      </c>
      <c r="BL150" s="213">
        <f t="shared" ca="1" si="83"/>
        <v>-2468256.9478297289</v>
      </c>
      <c r="BM150" s="213">
        <f t="shared" ca="1" si="83"/>
        <v>-2350439.898160629</v>
      </c>
      <c r="BN150" s="213">
        <f t="shared" ca="1" si="83"/>
        <v>-2198822.5765929893</v>
      </c>
      <c r="BO150" s="213">
        <f t="shared" ca="1" si="83"/>
        <v>-2028303.6039043041</v>
      </c>
      <c r="BP150" s="213" t="e">
        <f t="shared" ca="1" si="83"/>
        <v>#N/A</v>
      </c>
      <c r="BQ150" s="213" t="e">
        <f t="shared" ca="1" si="83"/>
        <v>#N/A</v>
      </c>
      <c r="BR150" s="213" t="e">
        <f t="shared" ca="1" si="83"/>
        <v>#N/A</v>
      </c>
      <c r="BS150" s="213" t="e">
        <f t="shared" ca="1" si="83"/>
        <v>#N/A</v>
      </c>
      <c r="BT150" s="213" t="e">
        <f t="shared" ca="1" si="83"/>
        <v>#N/A</v>
      </c>
      <c r="BU150" s="213" t="e">
        <f t="shared" ca="1" si="83"/>
        <v>#N/A</v>
      </c>
      <c r="BV150" s="213" t="e">
        <f t="shared" ca="1" si="83"/>
        <v>#N/A</v>
      </c>
      <c r="BW150" s="213" t="e">
        <f t="shared" ca="1" si="83"/>
        <v>#N/A</v>
      </c>
    </row>
    <row r="151" spans="1:75" ht="12.75" x14ac:dyDescent="0.2">
      <c r="A151" s="69" t="s">
        <v>244</v>
      </c>
      <c r="B151" s="221"/>
      <c r="D151" s="115">
        <f t="array" aca="1" ref="D151" ca="1">ROUND(INDEX(INDIRECT("BS_"&amp;TEXT(D$1,"mmm")&amp;"_"&amp;TEXT(D$1,"yyyy")),MATCH(TRIM($A150),BS_Accounts,0))-D150,2)</f>
        <v>0</v>
      </c>
      <c r="E151" s="115">
        <f t="array" aca="1" ref="E151" ca="1">ROUND(INDEX(INDIRECT("BS_"&amp;TEXT(E$1,"mmm")&amp;"_"&amp;TEXT(E$1,"yyyy")),MATCH(TRIM($A150),BS_Accounts,0))-E150,2)</f>
        <v>0</v>
      </c>
      <c r="F151" s="115">
        <f t="array" aca="1" ref="F151" ca="1">ROUND(INDEX(INDIRECT("BS_"&amp;TEXT(F$1,"mmm")&amp;"_"&amp;TEXT(F$1,"yyyy")),MATCH(TRIM($A150),BS_Accounts,0))-F150,2)</f>
        <v>0</v>
      </c>
      <c r="G151" s="115">
        <f t="array" aca="1" ref="G151" ca="1">ROUND(INDEX(INDIRECT("BS_"&amp;TEXT(G$1,"mmm")&amp;"_"&amp;TEXT(G$1,"yyyy")),MATCH(TRIM($A150),BS_Accounts,0))-G150,2)</f>
        <v>0</v>
      </c>
      <c r="H151" s="115">
        <f t="array" aca="1" ref="H151" ca="1">ROUND(INDEX(INDIRECT("BS_"&amp;TEXT(H$1,"mmm")&amp;"_"&amp;TEXT(H$1,"yyyy")),MATCH(TRIM($A150),BS_Accounts,0))-H150,2)</f>
        <v>0</v>
      </c>
      <c r="I151" s="115">
        <f t="array" aca="1" ref="I151" ca="1">ROUND(INDEX(INDIRECT("BS_"&amp;TEXT(I$1,"mmm")&amp;"_"&amp;TEXT(I$1,"yyyy")),MATCH(TRIM($A150),BS_Accounts,0))-I150,2)</f>
        <v>0</v>
      </c>
      <c r="J151" s="115">
        <f t="array" aca="1" ref="J151" ca="1">ROUND(INDEX(INDIRECT("BS_"&amp;TEXT(J$1,"mmm")&amp;"_"&amp;TEXT(J$1,"yyyy")),MATCH(TRIM($A150),BS_Accounts,0))-J150,2)</f>
        <v>0</v>
      </c>
      <c r="K151" s="115">
        <f t="array" aca="1" ref="K151" ca="1">ROUND(INDEX(INDIRECT("BS_"&amp;TEXT(K$1,"mmm")&amp;"_"&amp;TEXT(K$1,"yyyy")),MATCH(TRIM($A150),BS_Accounts,0))-K150,2)</f>
        <v>0</v>
      </c>
      <c r="L151" s="115">
        <f t="array" aca="1" ref="L151" ca="1">ROUND(INDEX(INDIRECT("BS_"&amp;TEXT(L$1,"mmm")&amp;"_"&amp;TEXT(L$1,"yyyy")),MATCH(TRIM($A150),BS_Accounts,0))-L150,2)</f>
        <v>0</v>
      </c>
      <c r="M151" s="115">
        <f t="array" aca="1" ref="M151" ca="1">ROUND(INDEX(INDIRECT("BS_"&amp;TEXT(M$1,"mmm")&amp;"_"&amp;TEXT(M$1,"yyyy")),MATCH(TRIM($A150),BS_Accounts,0))-M150,2)</f>
        <v>0</v>
      </c>
      <c r="N151" s="115">
        <f t="array" aca="1" ref="N151" ca="1">ROUND(INDEX(INDIRECT("BS_"&amp;TEXT(N$1,"mmm")&amp;"_"&amp;TEXT(N$1,"yyyy")),MATCH(TRIM($A150),BS_Accounts,0))-N150,2)</f>
        <v>0</v>
      </c>
      <c r="O151" s="115">
        <f t="array" aca="1" ref="O151" ca="1">ROUND(INDEX(INDIRECT("BS_"&amp;TEXT(O$1,"mmm")&amp;"_"&amp;TEXT(O$1,"yyyy")),MATCH(TRIM($A150),BS_Accounts,0))-O150,2)</f>
        <v>0</v>
      </c>
      <c r="P151" s="115">
        <f t="array" aca="1" ref="P151" ca="1">ROUND(INDEX(INDIRECT("BS_"&amp;TEXT(P$1,"mmm")&amp;"_"&amp;TEXT(P$1,"yyyy")),MATCH(TRIM($A150),BS_Accounts,0))-P150,2)</f>
        <v>0</v>
      </c>
      <c r="Q151" s="115">
        <f t="array" aca="1" ref="Q151" ca="1">ROUND(INDEX(INDIRECT("BS_"&amp;TEXT(Q$1,"mmm")&amp;"_"&amp;TEXT(Q$1,"yyyy")),MATCH(TRIM($A150),BS_Accounts,0))-Q150,2)</f>
        <v>0</v>
      </c>
      <c r="R151" s="115">
        <f t="array" aca="1" ref="R151" ca="1">ROUND(INDEX(INDIRECT("BS_"&amp;TEXT(R$1,"mmm")&amp;"_"&amp;TEXT(R$1,"yyyy")),MATCH(TRIM($A150),BS_Accounts,0))-R150,2)</f>
        <v>0</v>
      </c>
      <c r="S151" s="115">
        <f t="array" aca="1" ref="S151" ca="1">ROUND(INDEX(INDIRECT("BS_"&amp;TEXT(S$1,"mmm")&amp;"_"&amp;TEXT(S$1,"yyyy")),MATCH(TRIM($A150),BS_Accounts,0))-S150,2)</f>
        <v>0</v>
      </c>
      <c r="T151" s="115">
        <f t="array" aca="1" ref="T151" ca="1">ROUND(INDEX(INDIRECT("BS_"&amp;TEXT(T$1,"mmm")&amp;"_"&amp;TEXT(T$1,"yyyy")),MATCH(TRIM($A150),BS_Accounts,0))-T150,2)</f>
        <v>0</v>
      </c>
      <c r="U151" s="115">
        <f t="array" aca="1" ref="U151" ca="1">ROUND(INDEX(INDIRECT("BS_"&amp;TEXT(U$1,"mmm")&amp;"_"&amp;TEXT(U$1,"yyyy")),MATCH(TRIM($A150),BS_Accounts,0))-U150,2)</f>
        <v>0</v>
      </c>
      <c r="V151" s="115">
        <f t="array" aca="1" ref="V151" ca="1">ROUND(INDEX(INDIRECT("BS_"&amp;TEXT(V$1,"mmm")&amp;"_"&amp;TEXT(V$1,"yyyy")),MATCH(TRIM($A150),BS_Accounts,0))-V150,2)</f>
        <v>0</v>
      </c>
      <c r="W151" s="115">
        <f t="array" aca="1" ref="W151" ca="1">ROUND(INDEX(INDIRECT("BS_"&amp;TEXT(W$1,"mmm")&amp;"_"&amp;TEXT(W$1,"yyyy")),MATCH(TRIM($A150),BS_Accounts,0))-W150,2)</f>
        <v>0</v>
      </c>
      <c r="X151" s="115">
        <f t="array" aca="1" ref="X151" ca="1">ROUND(INDEX(INDIRECT("BS_"&amp;TEXT(X$1,"mmm")&amp;"_"&amp;TEXT(X$1,"yyyy")),MATCH(TRIM($A150),BS_Accounts,0))-X150,2)</f>
        <v>0</v>
      </c>
      <c r="Y151" s="115">
        <f t="array" aca="1" ref="Y151" ca="1">ROUND(INDEX(INDIRECT("BS_"&amp;TEXT(Y$1,"mmm")&amp;"_"&amp;TEXT(Y$1,"yyyy")),MATCH(TRIM($A150),BS_Accounts,0))-Y150,2)</f>
        <v>0</v>
      </c>
      <c r="Z151" s="115">
        <f t="array" aca="1" ref="Z151" ca="1">ROUND(INDEX(INDIRECT("BS_"&amp;TEXT(Z$1,"mmm")&amp;"_"&amp;TEXT(Z$1,"yyyy")),MATCH(TRIM($A150),BS_Accounts,0))-Z150,2)</f>
        <v>0</v>
      </c>
      <c r="AA151" s="115">
        <f t="array" aca="1" ref="AA151" ca="1">ROUND(INDEX(INDIRECT("BS_"&amp;TEXT(AA$1,"mmm")&amp;"_"&amp;TEXT(AA$1,"yyyy")),MATCH(TRIM($A150),BS_Accounts,0))-AA150,2)</f>
        <v>0</v>
      </c>
      <c r="AB151" s="115">
        <f t="array" aca="1" ref="AB151" ca="1">ROUND(INDEX(INDIRECT("BS_"&amp;TEXT(AB$1,"mmm")&amp;"_"&amp;TEXT(AB$1,"yyyy")),MATCH(TRIM($A150),BS_Accounts,0))-AB150,2)</f>
        <v>0</v>
      </c>
      <c r="AC151" s="115">
        <f t="array" aca="1" ref="AC151" ca="1">ROUND(INDEX(INDIRECT("BS_"&amp;TEXT(AC$1,"mmm")&amp;"_"&amp;TEXT(AC$1,"yyyy")),MATCH(TRIM($A150),BS_Accounts,0))-AC150,2)</f>
        <v>0</v>
      </c>
      <c r="AD151" s="115">
        <f t="array" aca="1" ref="AD151" ca="1">ROUND(INDEX(INDIRECT("BS_"&amp;TEXT(AD$1,"mmm")&amp;"_"&amp;TEXT(AD$1,"yyyy")),MATCH(TRIM($A150),BS_Accounts,0))-AD150,2)</f>
        <v>0</v>
      </c>
      <c r="AE151" s="115">
        <f t="array" aca="1" ref="AE151" ca="1">ROUND(INDEX(INDIRECT("BS_"&amp;TEXT(AE$1,"mmm")&amp;"_"&amp;TEXT(AE$1,"yyyy")),MATCH(TRIM($A150),BS_Accounts,0))-AE150,2)</f>
        <v>0</v>
      </c>
    </row>
    <row r="152" spans="1:75" ht="12.75" x14ac:dyDescent="0.2">
      <c r="A152" s="69" t="s">
        <v>385</v>
      </c>
      <c r="B152" s="221"/>
      <c r="D152" s="115">
        <f t="shared" ref="D152:BW152" ca="1" si="84">ROUND(D150-D119,2)</f>
        <v>0</v>
      </c>
      <c r="E152" s="115">
        <f t="shared" ca="1" si="84"/>
        <v>0</v>
      </c>
      <c r="F152" s="115">
        <f t="shared" ca="1" si="84"/>
        <v>0</v>
      </c>
      <c r="G152" s="115">
        <f t="shared" ca="1" si="84"/>
        <v>0</v>
      </c>
      <c r="H152" s="115">
        <f t="shared" ca="1" si="84"/>
        <v>0</v>
      </c>
      <c r="I152" s="115">
        <f t="shared" ca="1" si="84"/>
        <v>0</v>
      </c>
      <c r="J152" s="115">
        <f t="shared" ca="1" si="84"/>
        <v>0</v>
      </c>
      <c r="K152" s="115">
        <f t="shared" ca="1" si="84"/>
        <v>0</v>
      </c>
      <c r="L152" s="115">
        <f t="shared" ca="1" si="84"/>
        <v>0</v>
      </c>
      <c r="M152" s="115">
        <f t="shared" ca="1" si="84"/>
        <v>0</v>
      </c>
      <c r="N152" s="115">
        <f t="shared" ca="1" si="84"/>
        <v>0</v>
      </c>
      <c r="O152" s="115">
        <f t="shared" ca="1" si="84"/>
        <v>0</v>
      </c>
      <c r="P152" s="115">
        <f t="shared" ca="1" si="84"/>
        <v>0</v>
      </c>
      <c r="Q152" s="115">
        <f t="shared" ca="1" si="84"/>
        <v>0</v>
      </c>
      <c r="R152" s="115">
        <f t="shared" ca="1" si="84"/>
        <v>0</v>
      </c>
      <c r="S152" s="115">
        <f t="shared" ca="1" si="84"/>
        <v>0</v>
      </c>
      <c r="T152" s="115">
        <f t="shared" ca="1" si="84"/>
        <v>0</v>
      </c>
      <c r="U152" s="115">
        <f t="shared" ca="1" si="84"/>
        <v>0</v>
      </c>
      <c r="V152" s="115">
        <f t="shared" ca="1" si="84"/>
        <v>0</v>
      </c>
      <c r="W152" s="115">
        <f t="shared" ca="1" si="84"/>
        <v>0</v>
      </c>
      <c r="X152" s="115">
        <f t="shared" ca="1" si="84"/>
        <v>0</v>
      </c>
      <c r="Y152" s="115">
        <f t="shared" ca="1" si="84"/>
        <v>0</v>
      </c>
      <c r="Z152" s="115">
        <f t="shared" ca="1" si="84"/>
        <v>0</v>
      </c>
      <c r="AA152" s="115">
        <f t="shared" ca="1" si="84"/>
        <v>0</v>
      </c>
      <c r="AB152" s="115">
        <f t="shared" ca="1" si="84"/>
        <v>0</v>
      </c>
      <c r="AC152" s="115">
        <f t="shared" ca="1" si="84"/>
        <v>0</v>
      </c>
      <c r="AD152" s="115">
        <f t="shared" ca="1" si="84"/>
        <v>0</v>
      </c>
      <c r="AE152" s="115">
        <f t="shared" ca="1" si="84"/>
        <v>0</v>
      </c>
      <c r="AF152" s="115">
        <f t="shared" ca="1" si="84"/>
        <v>0</v>
      </c>
      <c r="AG152" s="115">
        <f t="shared" ca="1" si="84"/>
        <v>0</v>
      </c>
      <c r="AH152" s="115">
        <f t="shared" ca="1" si="84"/>
        <v>0</v>
      </c>
      <c r="AI152" s="115">
        <f t="shared" ca="1" si="84"/>
        <v>0</v>
      </c>
      <c r="AJ152" s="115">
        <f t="shared" ca="1" si="84"/>
        <v>0</v>
      </c>
      <c r="AK152" s="115">
        <f t="shared" ca="1" si="84"/>
        <v>0</v>
      </c>
      <c r="AL152" s="115">
        <f t="shared" ca="1" si="84"/>
        <v>0</v>
      </c>
      <c r="AM152" s="115">
        <f t="shared" ca="1" si="84"/>
        <v>0</v>
      </c>
      <c r="AN152" s="115">
        <f t="shared" ca="1" si="84"/>
        <v>0</v>
      </c>
      <c r="AO152" s="115">
        <f t="shared" ca="1" si="84"/>
        <v>0</v>
      </c>
      <c r="AP152" s="115">
        <f t="shared" ca="1" si="84"/>
        <v>0</v>
      </c>
      <c r="AQ152" s="115">
        <f t="shared" ca="1" si="84"/>
        <v>0</v>
      </c>
      <c r="AR152" s="115">
        <f t="shared" ca="1" si="84"/>
        <v>0</v>
      </c>
      <c r="AS152" s="115">
        <f t="shared" ca="1" si="84"/>
        <v>0</v>
      </c>
      <c r="AT152" s="115">
        <f t="shared" ca="1" si="84"/>
        <v>0</v>
      </c>
      <c r="AU152" s="115">
        <f t="shared" ca="1" si="84"/>
        <v>0</v>
      </c>
      <c r="AV152" s="115">
        <f t="shared" ca="1" si="84"/>
        <v>0</v>
      </c>
      <c r="AW152" s="115">
        <f t="shared" ca="1" si="84"/>
        <v>0</v>
      </c>
      <c r="AX152" s="115">
        <f t="shared" ca="1" si="84"/>
        <v>0</v>
      </c>
      <c r="AY152" s="115">
        <f t="shared" ca="1" si="84"/>
        <v>0</v>
      </c>
      <c r="AZ152" s="115">
        <f t="shared" ca="1" si="84"/>
        <v>0</v>
      </c>
      <c r="BA152" s="115">
        <f t="shared" ca="1" si="84"/>
        <v>0</v>
      </c>
      <c r="BB152" s="115">
        <f t="shared" ca="1" si="84"/>
        <v>0</v>
      </c>
      <c r="BC152" s="115">
        <f t="shared" ca="1" si="84"/>
        <v>0</v>
      </c>
      <c r="BD152" s="115">
        <f t="shared" ca="1" si="84"/>
        <v>0</v>
      </c>
      <c r="BE152" s="115">
        <f t="shared" ca="1" si="84"/>
        <v>0</v>
      </c>
      <c r="BF152" s="115">
        <f t="shared" ca="1" si="84"/>
        <v>0</v>
      </c>
      <c r="BG152" s="115">
        <f t="shared" ca="1" si="84"/>
        <v>0</v>
      </c>
      <c r="BH152" s="115">
        <f t="shared" ca="1" si="84"/>
        <v>0</v>
      </c>
      <c r="BI152" s="115">
        <f t="shared" ca="1" si="84"/>
        <v>0</v>
      </c>
      <c r="BJ152" s="115">
        <f t="shared" ca="1" si="84"/>
        <v>0</v>
      </c>
      <c r="BK152" s="115">
        <f t="shared" ca="1" si="84"/>
        <v>0</v>
      </c>
      <c r="BL152" s="115">
        <f t="shared" ca="1" si="84"/>
        <v>0</v>
      </c>
      <c r="BM152" s="115">
        <f t="shared" ca="1" si="84"/>
        <v>0</v>
      </c>
      <c r="BN152" s="115">
        <f t="shared" ca="1" si="84"/>
        <v>0</v>
      </c>
      <c r="BO152" s="115">
        <f t="shared" ca="1" si="84"/>
        <v>0</v>
      </c>
      <c r="BP152" s="115" t="e">
        <f t="shared" ca="1" si="84"/>
        <v>#N/A</v>
      </c>
      <c r="BQ152" s="115" t="e">
        <f t="shared" ca="1" si="84"/>
        <v>#N/A</v>
      </c>
      <c r="BR152" s="115" t="e">
        <f t="shared" ca="1" si="84"/>
        <v>#N/A</v>
      </c>
      <c r="BS152" s="115" t="e">
        <f t="shared" ca="1" si="84"/>
        <v>#N/A</v>
      </c>
      <c r="BT152" s="115" t="e">
        <f t="shared" ca="1" si="84"/>
        <v>#N/A</v>
      </c>
      <c r="BU152" s="115" t="e">
        <f t="shared" ca="1" si="84"/>
        <v>#N/A</v>
      </c>
      <c r="BV152" s="115" t="e">
        <f t="shared" ca="1" si="84"/>
        <v>#N/A</v>
      </c>
      <c r="BW152" s="115" t="e">
        <f t="shared" ca="1" si="84"/>
        <v>#N/A</v>
      </c>
    </row>
    <row r="153" spans="1:75" ht="12.75" x14ac:dyDescent="0.2">
      <c r="B153" s="221"/>
    </row>
    <row r="154" spans="1:75" ht="12.75" x14ac:dyDescent="0.2">
      <c r="A154" s="21" t="s">
        <v>386</v>
      </c>
      <c r="B154" s="221"/>
    </row>
    <row r="155" spans="1:75" ht="12.75" x14ac:dyDescent="0.2">
      <c r="A155" s="215" t="s">
        <v>387</v>
      </c>
      <c r="B155" s="221"/>
    </row>
    <row r="156" spans="1:75" ht="12.75" x14ac:dyDescent="0.2">
      <c r="A156" s="23" t="s">
        <v>388</v>
      </c>
      <c r="B156" s="221"/>
      <c r="D156" s="165">
        <f t="shared" ref="D156:BW156" ca="1" si="85">D$97</f>
        <v>-89438</v>
      </c>
      <c r="E156" s="165">
        <f t="shared" ca="1" si="85"/>
        <v>-88124</v>
      </c>
      <c r="F156" s="165">
        <f t="shared" ca="1" si="85"/>
        <v>-102956</v>
      </c>
      <c r="G156" s="165">
        <f t="shared" ca="1" si="85"/>
        <v>-94595</v>
      </c>
      <c r="H156" s="165">
        <f t="shared" ca="1" si="85"/>
        <v>-82065</v>
      </c>
      <c r="I156" s="165">
        <f t="shared" ca="1" si="85"/>
        <v>-78132</v>
      </c>
      <c r="J156" s="165">
        <f t="shared" ca="1" si="85"/>
        <v>-94045</v>
      </c>
      <c r="K156" s="165">
        <f t="shared" ca="1" si="85"/>
        <v>-89766</v>
      </c>
      <c r="L156" s="165">
        <f t="shared" ca="1" si="85"/>
        <v>-114445</v>
      </c>
      <c r="M156" s="165">
        <f t="shared" ca="1" si="85"/>
        <v>-131881</v>
      </c>
      <c r="N156" s="165">
        <f t="shared" ca="1" si="85"/>
        <v>-140597</v>
      </c>
      <c r="O156" s="165">
        <f t="shared" ca="1" si="85"/>
        <v>-177194</v>
      </c>
      <c r="P156" s="165">
        <f t="shared" ca="1" si="85"/>
        <v>-177124</v>
      </c>
      <c r="Q156" s="165">
        <f t="shared" ca="1" si="85"/>
        <v>-189575</v>
      </c>
      <c r="R156" s="165">
        <f t="shared" ca="1" si="85"/>
        <v>-184131</v>
      </c>
      <c r="S156" s="165">
        <f t="shared" ca="1" si="85"/>
        <v>-128941</v>
      </c>
      <c r="T156" s="165">
        <f t="shared" ca="1" si="85"/>
        <v>-151754</v>
      </c>
      <c r="U156" s="165">
        <f t="shared" ca="1" si="85"/>
        <v>-122283</v>
      </c>
      <c r="V156" s="165">
        <f t="shared" ca="1" si="85"/>
        <v>-102474</v>
      </c>
      <c r="W156" s="165">
        <f t="shared" ca="1" si="85"/>
        <v>-82495</v>
      </c>
      <c r="X156" s="165">
        <f t="shared" ca="1" si="85"/>
        <v>-60038</v>
      </c>
      <c r="Y156" s="165">
        <f t="shared" ca="1" si="85"/>
        <v>-27320</v>
      </c>
      <c r="Z156" s="165">
        <f t="shared" ca="1" si="85"/>
        <v>-18905</v>
      </c>
      <c r="AA156" s="165">
        <f t="shared" ca="1" si="85"/>
        <v>-24211</v>
      </c>
      <c r="AB156" s="165">
        <f t="shared" ca="1" si="85"/>
        <v>-13824</v>
      </c>
      <c r="AC156" s="165">
        <f t="shared" ca="1" si="85"/>
        <v>-26169</v>
      </c>
      <c r="AD156" s="165">
        <f t="shared" ca="1" si="85"/>
        <v>8407.1899999999441</v>
      </c>
      <c r="AE156" s="165">
        <f t="shared" ca="1" si="85"/>
        <v>-117</v>
      </c>
      <c r="AF156" s="165">
        <f t="shared" ca="1" si="85"/>
        <v>53348.166337172617</v>
      </c>
      <c r="AG156" s="165">
        <f t="shared" ca="1" si="85"/>
        <v>35365.854453630745</v>
      </c>
      <c r="AH156" s="165">
        <f t="shared" ca="1" si="85"/>
        <v>26710.675679224078</v>
      </c>
      <c r="AI156" s="165">
        <f t="shared" ca="1" si="85"/>
        <v>14920.419460284058</v>
      </c>
      <c r="AJ156" s="165">
        <f t="shared" ca="1" si="85"/>
        <v>13663.145356597728</v>
      </c>
      <c r="AK156" s="165">
        <f t="shared" ca="1" si="85"/>
        <v>-48549.729794865241</v>
      </c>
      <c r="AL156" s="165">
        <f t="shared" ca="1" si="85"/>
        <v>-48803.553726164275</v>
      </c>
      <c r="AM156" s="165">
        <f t="shared" ca="1" si="85"/>
        <v>-88331.994089839398</v>
      </c>
      <c r="AN156" s="165">
        <f t="shared" ca="1" si="85"/>
        <v>-104794.54982564156</v>
      </c>
      <c r="AO156" s="165">
        <f t="shared" ca="1" si="85"/>
        <v>-142974.65278888505</v>
      </c>
      <c r="AP156" s="165">
        <f t="shared" ca="1" si="85"/>
        <v>-141624.0181672388</v>
      </c>
      <c r="AQ156" s="165">
        <f t="shared" ca="1" si="85"/>
        <v>-187935.17351820879</v>
      </c>
      <c r="AR156" s="165">
        <f t="shared" ca="1" si="85"/>
        <v>-184694.17163031828</v>
      </c>
      <c r="AS156" s="165">
        <f t="shared" ca="1" si="85"/>
        <v>-181586.3275139014</v>
      </c>
      <c r="AT156" s="165">
        <f t="shared" ca="1" si="85"/>
        <v>-195183.5016491384</v>
      </c>
      <c r="AU156" s="165">
        <f t="shared" ca="1" si="85"/>
        <v>-191277.3972087499</v>
      </c>
      <c r="AV156" s="165">
        <f t="shared" ca="1" si="85"/>
        <v>-186446.00717596372</v>
      </c>
      <c r="AW156" s="165">
        <f t="shared" ca="1" si="85"/>
        <v>-196732.59698605305</v>
      </c>
      <c r="AX156" s="165">
        <f t="shared" ca="1" si="85"/>
        <v>-191129.26920457231</v>
      </c>
      <c r="AY156" s="165">
        <f t="shared" ca="1" si="85"/>
        <v>-184612.36568452464</v>
      </c>
      <c r="AZ156" s="165">
        <f t="shared" ca="1" si="85"/>
        <v>-163531.85902199417</v>
      </c>
      <c r="BA156" s="165">
        <f t="shared" ca="1" si="85"/>
        <v>-145656.62694266392</v>
      </c>
      <c r="BB156" s="165">
        <f t="shared" ca="1" si="85"/>
        <v>-125384.45383855235</v>
      </c>
      <c r="BC156" s="165">
        <f t="shared" ca="1" si="85"/>
        <v>-118219.62232774729</v>
      </c>
      <c r="BD156" s="165">
        <f t="shared" ca="1" si="85"/>
        <v>-91559.401406835299</v>
      </c>
      <c r="BE156" s="165">
        <f t="shared" ca="1" si="85"/>
        <v>-67602.424128774554</v>
      </c>
      <c r="BF156" s="165">
        <f t="shared" ca="1" si="85"/>
        <v>-58065.361634227913</v>
      </c>
      <c r="BG156" s="165">
        <f t="shared" ca="1" si="85"/>
        <v>-31075.902297257213</v>
      </c>
      <c r="BH156" s="165">
        <f t="shared" ca="1" si="85"/>
        <v>-3066.4204998074565</v>
      </c>
      <c r="BI156" s="165">
        <f t="shared" ca="1" si="85"/>
        <v>9289.7598335875664</v>
      </c>
      <c r="BJ156" s="165">
        <f t="shared" ca="1" si="85"/>
        <v>38875.005257610697</v>
      </c>
      <c r="BK156" s="165">
        <f t="shared" ca="1" si="85"/>
        <v>69541.525123957777</v>
      </c>
      <c r="BL156" s="165">
        <f t="shared" ca="1" si="85"/>
        <v>85165.691730130697</v>
      </c>
      <c r="BM156" s="165">
        <f t="shared" ca="1" si="85"/>
        <v>117817.04966909951</v>
      </c>
      <c r="BN156" s="165">
        <f t="shared" ca="1" si="85"/>
        <v>151617.32156764017</v>
      </c>
      <c r="BO156" s="165">
        <f t="shared" ca="1" si="85"/>
        <v>170518.97268868494</v>
      </c>
      <c r="BP156" s="165">
        <f t="shared" ca="1" si="85"/>
        <v>206613.18742858246</v>
      </c>
      <c r="BQ156" s="165">
        <f t="shared" ca="1" si="85"/>
        <v>243905.40737026022</v>
      </c>
      <c r="BR156" s="165">
        <f t="shared" ca="1" si="85"/>
        <v>266413.7501501916</v>
      </c>
      <c r="BS156" s="165">
        <f t="shared" ca="1" si="85"/>
        <v>306241.80891807307</v>
      </c>
      <c r="BT156" s="165">
        <f t="shared" ca="1" si="85"/>
        <v>347390.80341482116</v>
      </c>
      <c r="BU156" s="165">
        <f t="shared" ca="1" si="85"/>
        <v>389905.3778601489</v>
      </c>
      <c r="BV156" s="165">
        <f t="shared" ca="1" si="85"/>
        <v>433830.66078369785</v>
      </c>
      <c r="BW156" s="165">
        <f t="shared" ca="1" si="85"/>
        <v>479209.08183547389</v>
      </c>
    </row>
    <row r="157" spans="1:75" ht="12.75" x14ac:dyDescent="0.2">
      <c r="A157" s="23" t="s">
        <v>389</v>
      </c>
      <c r="B157" s="221"/>
    </row>
    <row r="158" spans="1:75" ht="12.75" x14ac:dyDescent="0.2">
      <c r="A158" s="23" t="s">
        <v>352</v>
      </c>
      <c r="B158" s="221"/>
      <c r="D158" s="165">
        <f t="shared" ref="D158:BW158" ca="1" si="86">-D114+C114</f>
        <v>0</v>
      </c>
      <c r="E158" s="165">
        <f t="shared" ca="1" si="86"/>
        <v>0</v>
      </c>
      <c r="F158" s="165">
        <f t="shared" ca="1" si="86"/>
        <v>0</v>
      </c>
      <c r="G158" s="165">
        <f t="shared" ca="1" si="86"/>
        <v>0</v>
      </c>
      <c r="H158" s="165">
        <f t="shared" ca="1" si="86"/>
        <v>0</v>
      </c>
      <c r="I158" s="165">
        <f t="shared" ca="1" si="86"/>
        <v>0</v>
      </c>
      <c r="J158" s="165">
        <f t="shared" ca="1" si="86"/>
        <v>0</v>
      </c>
      <c r="K158" s="165">
        <f t="shared" ca="1" si="86"/>
        <v>0</v>
      </c>
      <c r="L158" s="165">
        <f t="shared" ca="1" si="86"/>
        <v>0</v>
      </c>
      <c r="M158" s="165">
        <f t="shared" ca="1" si="86"/>
        <v>0</v>
      </c>
      <c r="N158" s="165">
        <f t="shared" ca="1" si="86"/>
        <v>0</v>
      </c>
      <c r="O158" s="165">
        <f t="shared" ca="1" si="86"/>
        <v>0</v>
      </c>
      <c r="P158" s="165">
        <f t="shared" ca="1" si="86"/>
        <v>0</v>
      </c>
      <c r="Q158" s="165">
        <f t="shared" ca="1" si="86"/>
        <v>0</v>
      </c>
      <c r="R158" s="165">
        <f t="shared" ca="1" si="86"/>
        <v>0</v>
      </c>
      <c r="S158" s="165">
        <f t="shared" ca="1" si="86"/>
        <v>0</v>
      </c>
      <c r="T158" s="165">
        <f t="shared" ca="1" si="86"/>
        <v>0</v>
      </c>
      <c r="U158" s="165">
        <f t="shared" ca="1" si="86"/>
        <v>0</v>
      </c>
      <c r="V158" s="165">
        <f t="shared" ca="1" si="86"/>
        <v>0</v>
      </c>
      <c r="W158" s="165">
        <f t="shared" ca="1" si="86"/>
        <v>0</v>
      </c>
      <c r="X158" s="165">
        <f t="shared" ca="1" si="86"/>
        <v>0</v>
      </c>
      <c r="Y158" s="165">
        <f t="shared" ca="1" si="86"/>
        <v>0</v>
      </c>
      <c r="Z158" s="165">
        <f t="shared" ca="1" si="86"/>
        <v>0</v>
      </c>
      <c r="AA158" s="165">
        <f t="shared" ca="1" si="86"/>
        <v>0</v>
      </c>
      <c r="AB158" s="165">
        <f t="shared" ca="1" si="86"/>
        <v>0</v>
      </c>
      <c r="AC158" s="165">
        <f t="shared" ca="1" si="86"/>
        <v>0</v>
      </c>
      <c r="AD158" s="165">
        <f t="shared" ca="1" si="86"/>
        <v>0</v>
      </c>
      <c r="AE158" s="165">
        <f t="shared" ca="1" si="86"/>
        <v>0</v>
      </c>
      <c r="AF158" s="165">
        <f t="shared" ca="1" si="86"/>
        <v>0</v>
      </c>
      <c r="AG158" s="165">
        <f t="shared" ca="1" si="86"/>
        <v>0</v>
      </c>
      <c r="AH158" s="165">
        <f t="shared" ca="1" si="86"/>
        <v>0</v>
      </c>
      <c r="AI158" s="165">
        <f t="shared" ca="1" si="86"/>
        <v>0</v>
      </c>
      <c r="AJ158" s="165">
        <f t="shared" ca="1" si="86"/>
        <v>0</v>
      </c>
      <c r="AK158" s="165">
        <f t="shared" ca="1" si="86"/>
        <v>0</v>
      </c>
      <c r="AL158" s="165">
        <f t="shared" ca="1" si="86"/>
        <v>0</v>
      </c>
      <c r="AM158" s="165">
        <f t="shared" ca="1" si="86"/>
        <v>0</v>
      </c>
      <c r="AN158" s="165">
        <f t="shared" ca="1" si="86"/>
        <v>0</v>
      </c>
      <c r="AO158" s="165">
        <f t="shared" ca="1" si="86"/>
        <v>0</v>
      </c>
      <c r="AP158" s="165">
        <f t="shared" ca="1" si="86"/>
        <v>0</v>
      </c>
      <c r="AQ158" s="165">
        <f t="shared" ca="1" si="86"/>
        <v>0</v>
      </c>
      <c r="AR158" s="165">
        <f t="shared" ca="1" si="86"/>
        <v>0</v>
      </c>
      <c r="AS158" s="165">
        <f t="shared" ca="1" si="86"/>
        <v>0</v>
      </c>
      <c r="AT158" s="165">
        <f t="shared" ca="1" si="86"/>
        <v>0</v>
      </c>
      <c r="AU158" s="165">
        <f t="shared" ca="1" si="86"/>
        <v>0</v>
      </c>
      <c r="AV158" s="165">
        <f t="shared" ca="1" si="86"/>
        <v>0</v>
      </c>
      <c r="AW158" s="165">
        <f t="shared" ca="1" si="86"/>
        <v>0</v>
      </c>
      <c r="AX158" s="165">
        <f t="shared" ca="1" si="86"/>
        <v>0</v>
      </c>
      <c r="AY158" s="165">
        <f t="shared" ca="1" si="86"/>
        <v>0</v>
      </c>
      <c r="AZ158" s="165">
        <f t="shared" ca="1" si="86"/>
        <v>0</v>
      </c>
      <c r="BA158" s="165">
        <f t="shared" ca="1" si="86"/>
        <v>0</v>
      </c>
      <c r="BB158" s="165">
        <f t="shared" ca="1" si="86"/>
        <v>0</v>
      </c>
      <c r="BC158" s="165">
        <f t="shared" ca="1" si="86"/>
        <v>0</v>
      </c>
      <c r="BD158" s="165">
        <f t="shared" ca="1" si="86"/>
        <v>0</v>
      </c>
      <c r="BE158" s="165">
        <f t="shared" ca="1" si="86"/>
        <v>0</v>
      </c>
      <c r="BF158" s="165">
        <f t="shared" ca="1" si="86"/>
        <v>0</v>
      </c>
      <c r="BG158" s="165">
        <f t="shared" ca="1" si="86"/>
        <v>0</v>
      </c>
      <c r="BH158" s="165">
        <f t="shared" ca="1" si="86"/>
        <v>0</v>
      </c>
      <c r="BI158" s="165">
        <f t="shared" ca="1" si="86"/>
        <v>0</v>
      </c>
      <c r="BJ158" s="165">
        <f t="shared" ca="1" si="86"/>
        <v>0</v>
      </c>
      <c r="BK158" s="165">
        <f t="shared" ca="1" si="86"/>
        <v>0</v>
      </c>
      <c r="BL158" s="165">
        <f t="shared" ca="1" si="86"/>
        <v>0</v>
      </c>
      <c r="BM158" s="165">
        <f t="shared" ca="1" si="86"/>
        <v>0</v>
      </c>
      <c r="BN158" s="165">
        <f t="shared" ca="1" si="86"/>
        <v>0</v>
      </c>
      <c r="BO158" s="165">
        <f t="shared" ca="1" si="86"/>
        <v>0</v>
      </c>
      <c r="BP158" s="165">
        <f t="shared" ca="1" si="86"/>
        <v>0</v>
      </c>
      <c r="BQ158" s="165">
        <f t="shared" ca="1" si="86"/>
        <v>0</v>
      </c>
      <c r="BR158" s="165">
        <f t="shared" ca="1" si="86"/>
        <v>0</v>
      </c>
      <c r="BS158" s="165">
        <f t="shared" ca="1" si="86"/>
        <v>0</v>
      </c>
      <c r="BT158" s="165">
        <f t="shared" ca="1" si="86"/>
        <v>0</v>
      </c>
      <c r="BU158" s="165">
        <f t="shared" ca="1" si="86"/>
        <v>0</v>
      </c>
      <c r="BV158" s="165">
        <f t="shared" ca="1" si="86"/>
        <v>0</v>
      </c>
      <c r="BW158" s="165">
        <f t="shared" ca="1" si="86"/>
        <v>0</v>
      </c>
    </row>
    <row r="159" spans="1:75" ht="12.75" x14ac:dyDescent="0.2">
      <c r="A159" s="23" t="s">
        <v>356</v>
      </c>
      <c r="B159" s="221"/>
      <c r="D159" s="165">
        <f t="shared" ref="D159:BW159" ca="1" si="87">-D109+C109</f>
        <v>0</v>
      </c>
      <c r="E159" s="165">
        <f t="shared" ca="1" si="87"/>
        <v>0</v>
      </c>
      <c r="F159" s="165">
        <f t="shared" ca="1" si="87"/>
        <v>0</v>
      </c>
      <c r="G159" s="165">
        <f t="shared" ca="1" si="87"/>
        <v>0</v>
      </c>
      <c r="H159" s="165">
        <f t="shared" ca="1" si="87"/>
        <v>0</v>
      </c>
      <c r="I159" s="165">
        <f t="shared" ca="1" si="87"/>
        <v>0</v>
      </c>
      <c r="J159" s="165">
        <f t="shared" ca="1" si="87"/>
        <v>0</v>
      </c>
      <c r="K159" s="165">
        <f t="shared" ca="1" si="87"/>
        <v>0</v>
      </c>
      <c r="L159" s="165">
        <f t="shared" ca="1" si="87"/>
        <v>0</v>
      </c>
      <c r="M159" s="165">
        <f t="shared" ca="1" si="87"/>
        <v>0</v>
      </c>
      <c r="N159" s="165">
        <f t="shared" ca="1" si="87"/>
        <v>0</v>
      </c>
      <c r="O159" s="165">
        <f t="shared" ca="1" si="87"/>
        <v>0</v>
      </c>
      <c r="P159" s="165">
        <f t="shared" ca="1" si="87"/>
        <v>0</v>
      </c>
      <c r="Q159" s="165">
        <f t="shared" ca="1" si="87"/>
        <v>0</v>
      </c>
      <c r="R159" s="165">
        <f t="shared" ca="1" si="87"/>
        <v>0</v>
      </c>
      <c r="S159" s="165">
        <f t="shared" ca="1" si="87"/>
        <v>0</v>
      </c>
      <c r="T159" s="165">
        <f t="shared" ca="1" si="87"/>
        <v>0</v>
      </c>
      <c r="U159" s="165">
        <f t="shared" ca="1" si="87"/>
        <v>0</v>
      </c>
      <c r="V159" s="165">
        <f t="shared" ca="1" si="87"/>
        <v>0</v>
      </c>
      <c r="W159" s="165">
        <f t="shared" ca="1" si="87"/>
        <v>0</v>
      </c>
      <c r="X159" s="165">
        <f t="shared" ca="1" si="87"/>
        <v>0</v>
      </c>
      <c r="Y159" s="165">
        <f t="shared" ca="1" si="87"/>
        <v>0</v>
      </c>
      <c r="Z159" s="165">
        <f t="shared" ca="1" si="87"/>
        <v>0</v>
      </c>
      <c r="AA159" s="165">
        <f t="shared" ca="1" si="87"/>
        <v>0</v>
      </c>
      <c r="AB159" s="165">
        <f t="shared" ca="1" si="87"/>
        <v>0</v>
      </c>
      <c r="AC159" s="165">
        <f t="shared" ca="1" si="87"/>
        <v>0</v>
      </c>
      <c r="AD159" s="165">
        <f t="shared" ca="1" si="87"/>
        <v>0</v>
      </c>
      <c r="AE159" s="165">
        <f t="shared" ca="1" si="87"/>
        <v>0</v>
      </c>
      <c r="AF159" s="165">
        <f t="shared" ca="1" si="87"/>
        <v>0</v>
      </c>
      <c r="AG159" s="165">
        <f t="shared" ca="1" si="87"/>
        <v>0</v>
      </c>
      <c r="AH159" s="165">
        <f t="shared" ca="1" si="87"/>
        <v>0</v>
      </c>
      <c r="AI159" s="165">
        <f t="shared" ca="1" si="87"/>
        <v>0</v>
      </c>
      <c r="AJ159" s="165">
        <f t="shared" ca="1" si="87"/>
        <v>0</v>
      </c>
      <c r="AK159" s="165">
        <f t="shared" ca="1" si="87"/>
        <v>0</v>
      </c>
      <c r="AL159" s="165">
        <f t="shared" ca="1" si="87"/>
        <v>0</v>
      </c>
      <c r="AM159" s="165">
        <f t="shared" ca="1" si="87"/>
        <v>0</v>
      </c>
      <c r="AN159" s="165">
        <f t="shared" ca="1" si="87"/>
        <v>0</v>
      </c>
      <c r="AO159" s="165">
        <f t="shared" ca="1" si="87"/>
        <v>0</v>
      </c>
      <c r="AP159" s="165">
        <f t="shared" ca="1" si="87"/>
        <v>0</v>
      </c>
      <c r="AQ159" s="165">
        <f t="shared" ca="1" si="87"/>
        <v>0</v>
      </c>
      <c r="AR159" s="165">
        <f t="shared" ca="1" si="87"/>
        <v>0</v>
      </c>
      <c r="AS159" s="165">
        <f t="shared" ca="1" si="87"/>
        <v>0</v>
      </c>
      <c r="AT159" s="165">
        <f t="shared" ca="1" si="87"/>
        <v>0</v>
      </c>
      <c r="AU159" s="165">
        <f t="shared" ca="1" si="87"/>
        <v>0</v>
      </c>
      <c r="AV159" s="165">
        <f t="shared" ca="1" si="87"/>
        <v>0</v>
      </c>
      <c r="AW159" s="165">
        <f t="shared" ca="1" si="87"/>
        <v>0</v>
      </c>
      <c r="AX159" s="165">
        <f t="shared" ca="1" si="87"/>
        <v>0</v>
      </c>
      <c r="AY159" s="165">
        <f t="shared" ca="1" si="87"/>
        <v>0</v>
      </c>
      <c r="AZ159" s="165">
        <f t="shared" ca="1" si="87"/>
        <v>0</v>
      </c>
      <c r="BA159" s="165">
        <f t="shared" ca="1" si="87"/>
        <v>0</v>
      </c>
      <c r="BB159" s="165">
        <f t="shared" ca="1" si="87"/>
        <v>0</v>
      </c>
      <c r="BC159" s="165">
        <f t="shared" ca="1" si="87"/>
        <v>0</v>
      </c>
      <c r="BD159" s="165">
        <f t="shared" ca="1" si="87"/>
        <v>0</v>
      </c>
      <c r="BE159" s="165">
        <f t="shared" ca="1" si="87"/>
        <v>0</v>
      </c>
      <c r="BF159" s="165">
        <f t="shared" ca="1" si="87"/>
        <v>0</v>
      </c>
      <c r="BG159" s="165">
        <f t="shared" ca="1" si="87"/>
        <v>0</v>
      </c>
      <c r="BH159" s="165">
        <f t="shared" ca="1" si="87"/>
        <v>0</v>
      </c>
      <c r="BI159" s="165">
        <f t="shared" ca="1" si="87"/>
        <v>0</v>
      </c>
      <c r="BJ159" s="165">
        <f t="shared" ca="1" si="87"/>
        <v>0</v>
      </c>
      <c r="BK159" s="165">
        <f t="shared" ca="1" si="87"/>
        <v>0</v>
      </c>
      <c r="BL159" s="165">
        <f t="shared" ca="1" si="87"/>
        <v>0</v>
      </c>
      <c r="BM159" s="165">
        <f t="shared" ca="1" si="87"/>
        <v>0</v>
      </c>
      <c r="BN159" s="165">
        <f t="shared" ca="1" si="87"/>
        <v>0</v>
      </c>
      <c r="BO159" s="165">
        <f t="shared" ca="1" si="87"/>
        <v>0</v>
      </c>
      <c r="BP159" s="165">
        <f t="shared" ca="1" si="87"/>
        <v>0</v>
      </c>
      <c r="BQ159" s="165">
        <f t="shared" ca="1" si="87"/>
        <v>0</v>
      </c>
      <c r="BR159" s="165">
        <f t="shared" ca="1" si="87"/>
        <v>0</v>
      </c>
      <c r="BS159" s="165">
        <f t="shared" ca="1" si="87"/>
        <v>0</v>
      </c>
      <c r="BT159" s="165">
        <f t="shared" ca="1" si="87"/>
        <v>0</v>
      </c>
      <c r="BU159" s="165">
        <f t="shared" ca="1" si="87"/>
        <v>0</v>
      </c>
      <c r="BV159" s="165">
        <f t="shared" ca="1" si="87"/>
        <v>0</v>
      </c>
      <c r="BW159" s="165">
        <f t="shared" ca="1" si="87"/>
        <v>0</v>
      </c>
    </row>
    <row r="160" spans="1:75" ht="12.75" x14ac:dyDescent="0.2">
      <c r="A160" s="23" t="s">
        <v>390</v>
      </c>
      <c r="B160" s="221"/>
      <c r="D160" s="165">
        <f t="shared" ref="D160:BW160" ca="1" si="88">D125-C125</f>
        <v>357</v>
      </c>
      <c r="E160" s="165">
        <f t="shared" ca="1" si="88"/>
        <v>-2113</v>
      </c>
      <c r="F160" s="165">
        <f t="shared" ca="1" si="88"/>
        <v>0</v>
      </c>
      <c r="G160" s="165">
        <f t="shared" ca="1" si="88"/>
        <v>0</v>
      </c>
      <c r="H160" s="165">
        <f t="shared" ca="1" si="88"/>
        <v>0</v>
      </c>
      <c r="I160" s="165">
        <f t="shared" ca="1" si="88"/>
        <v>0</v>
      </c>
      <c r="J160" s="165">
        <f t="shared" ca="1" si="88"/>
        <v>0</v>
      </c>
      <c r="K160" s="165">
        <f t="shared" ca="1" si="88"/>
        <v>0</v>
      </c>
      <c r="L160" s="165">
        <f t="shared" ca="1" si="88"/>
        <v>0</v>
      </c>
      <c r="M160" s="165">
        <f t="shared" ca="1" si="88"/>
        <v>0</v>
      </c>
      <c r="N160" s="165">
        <f t="shared" ca="1" si="88"/>
        <v>0</v>
      </c>
      <c r="O160" s="165">
        <f t="shared" ca="1" si="88"/>
        <v>0</v>
      </c>
      <c r="P160" s="165">
        <f t="shared" ca="1" si="88"/>
        <v>0</v>
      </c>
      <c r="Q160" s="165">
        <f t="shared" ca="1" si="88"/>
        <v>0</v>
      </c>
      <c r="R160" s="165">
        <f t="shared" ca="1" si="88"/>
        <v>0</v>
      </c>
      <c r="S160" s="165">
        <f t="shared" ca="1" si="88"/>
        <v>0</v>
      </c>
      <c r="T160" s="165">
        <f t="shared" ca="1" si="88"/>
        <v>0</v>
      </c>
      <c r="U160" s="165">
        <f t="shared" ca="1" si="88"/>
        <v>0</v>
      </c>
      <c r="V160" s="165">
        <f t="shared" ca="1" si="88"/>
        <v>0</v>
      </c>
      <c r="W160" s="165">
        <f t="shared" ca="1" si="88"/>
        <v>0</v>
      </c>
      <c r="X160" s="165">
        <f t="shared" ca="1" si="88"/>
        <v>0</v>
      </c>
      <c r="Y160" s="165">
        <f t="shared" ca="1" si="88"/>
        <v>0</v>
      </c>
      <c r="Z160" s="165">
        <f t="shared" ca="1" si="88"/>
        <v>0</v>
      </c>
      <c r="AA160" s="165">
        <f t="shared" ca="1" si="88"/>
        <v>0</v>
      </c>
      <c r="AB160" s="165">
        <f t="shared" ca="1" si="88"/>
        <v>0</v>
      </c>
      <c r="AC160" s="165">
        <f t="shared" ca="1" si="88"/>
        <v>0</v>
      </c>
      <c r="AD160" s="165">
        <f t="shared" ca="1" si="88"/>
        <v>0</v>
      </c>
      <c r="AE160" s="165">
        <f t="shared" ca="1" si="88"/>
        <v>0</v>
      </c>
      <c r="AF160" s="165">
        <f t="shared" ca="1" si="88"/>
        <v>0</v>
      </c>
      <c r="AG160" s="165">
        <f t="shared" ca="1" si="88"/>
        <v>0</v>
      </c>
      <c r="AH160" s="165">
        <f t="shared" ca="1" si="88"/>
        <v>0</v>
      </c>
      <c r="AI160" s="165">
        <f t="shared" ca="1" si="88"/>
        <v>0</v>
      </c>
      <c r="AJ160" s="165">
        <f t="shared" ca="1" si="88"/>
        <v>0</v>
      </c>
      <c r="AK160" s="165">
        <f t="shared" ca="1" si="88"/>
        <v>0</v>
      </c>
      <c r="AL160" s="165">
        <f t="shared" ca="1" si="88"/>
        <v>0</v>
      </c>
      <c r="AM160" s="165">
        <f t="shared" ca="1" si="88"/>
        <v>0</v>
      </c>
      <c r="AN160" s="165">
        <f t="shared" ca="1" si="88"/>
        <v>0</v>
      </c>
      <c r="AO160" s="165">
        <f t="shared" ca="1" si="88"/>
        <v>0</v>
      </c>
      <c r="AP160" s="165">
        <f t="shared" ca="1" si="88"/>
        <v>0</v>
      </c>
      <c r="AQ160" s="165">
        <f t="shared" ca="1" si="88"/>
        <v>0</v>
      </c>
      <c r="AR160" s="165">
        <f t="shared" ca="1" si="88"/>
        <v>0</v>
      </c>
      <c r="AS160" s="165">
        <f t="shared" ca="1" si="88"/>
        <v>0</v>
      </c>
      <c r="AT160" s="165">
        <f t="shared" ca="1" si="88"/>
        <v>0</v>
      </c>
      <c r="AU160" s="165">
        <f t="shared" ca="1" si="88"/>
        <v>0</v>
      </c>
      <c r="AV160" s="165">
        <f t="shared" ca="1" si="88"/>
        <v>0</v>
      </c>
      <c r="AW160" s="165">
        <f t="shared" ca="1" si="88"/>
        <v>0</v>
      </c>
      <c r="AX160" s="165">
        <f t="shared" ca="1" si="88"/>
        <v>0</v>
      </c>
      <c r="AY160" s="165">
        <f t="shared" ca="1" si="88"/>
        <v>0</v>
      </c>
      <c r="AZ160" s="165">
        <f t="shared" ca="1" si="88"/>
        <v>0</v>
      </c>
      <c r="BA160" s="165">
        <f t="shared" ca="1" si="88"/>
        <v>0</v>
      </c>
      <c r="BB160" s="165">
        <f t="shared" ca="1" si="88"/>
        <v>0</v>
      </c>
      <c r="BC160" s="165">
        <f t="shared" ca="1" si="88"/>
        <v>0</v>
      </c>
      <c r="BD160" s="165">
        <f t="shared" ca="1" si="88"/>
        <v>0</v>
      </c>
      <c r="BE160" s="165">
        <f t="shared" ca="1" si="88"/>
        <v>0</v>
      </c>
      <c r="BF160" s="165">
        <f t="shared" ca="1" si="88"/>
        <v>0</v>
      </c>
      <c r="BG160" s="165">
        <f t="shared" ca="1" si="88"/>
        <v>0</v>
      </c>
      <c r="BH160" s="165">
        <f t="shared" ca="1" si="88"/>
        <v>0</v>
      </c>
      <c r="BI160" s="165">
        <f t="shared" ca="1" si="88"/>
        <v>0</v>
      </c>
      <c r="BJ160" s="165">
        <f t="shared" ca="1" si="88"/>
        <v>0</v>
      </c>
      <c r="BK160" s="165">
        <f t="shared" ca="1" si="88"/>
        <v>0</v>
      </c>
      <c r="BL160" s="165">
        <f t="shared" ca="1" si="88"/>
        <v>0</v>
      </c>
      <c r="BM160" s="165">
        <f t="shared" ca="1" si="88"/>
        <v>0</v>
      </c>
      <c r="BN160" s="165">
        <f t="shared" ca="1" si="88"/>
        <v>0</v>
      </c>
      <c r="BO160" s="165">
        <f t="shared" ca="1" si="88"/>
        <v>0</v>
      </c>
      <c r="BP160" s="165">
        <f t="shared" ca="1" si="88"/>
        <v>0</v>
      </c>
      <c r="BQ160" s="165">
        <f t="shared" ca="1" si="88"/>
        <v>0</v>
      </c>
      <c r="BR160" s="165">
        <f t="shared" ca="1" si="88"/>
        <v>0</v>
      </c>
      <c r="BS160" s="165">
        <f t="shared" ca="1" si="88"/>
        <v>0</v>
      </c>
      <c r="BT160" s="165">
        <f t="shared" ca="1" si="88"/>
        <v>0</v>
      </c>
      <c r="BU160" s="165">
        <f t="shared" ca="1" si="88"/>
        <v>0</v>
      </c>
      <c r="BV160" s="165">
        <f t="shared" ca="1" si="88"/>
        <v>0</v>
      </c>
      <c r="BW160" s="165">
        <f t="shared" ca="1" si="88"/>
        <v>0</v>
      </c>
    </row>
    <row r="161" spans="1:75" ht="12.75" x14ac:dyDescent="0.2">
      <c r="A161" s="23" t="s">
        <v>391</v>
      </c>
      <c r="B161" s="221"/>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f t="shared" ref="AF161:BW161" ca="1" si="89">AF128-AE128</f>
        <v>0</v>
      </c>
      <c r="AG161" s="165">
        <f t="shared" ca="1" si="89"/>
        <v>0</v>
      </c>
      <c r="AH161" s="165">
        <f t="shared" ca="1" si="89"/>
        <v>0</v>
      </c>
      <c r="AI161" s="165">
        <f t="shared" ca="1" si="89"/>
        <v>0</v>
      </c>
      <c r="AJ161" s="165">
        <f t="shared" ca="1" si="89"/>
        <v>0</v>
      </c>
      <c r="AK161" s="165">
        <f t="shared" ca="1" si="89"/>
        <v>0</v>
      </c>
      <c r="AL161" s="165">
        <f t="shared" ca="1" si="89"/>
        <v>0</v>
      </c>
      <c r="AM161" s="165">
        <f t="shared" ca="1" si="89"/>
        <v>0</v>
      </c>
      <c r="AN161" s="165">
        <f t="shared" ca="1" si="89"/>
        <v>0</v>
      </c>
      <c r="AO161" s="165">
        <f t="shared" ca="1" si="89"/>
        <v>0</v>
      </c>
      <c r="AP161" s="165">
        <f t="shared" ca="1" si="89"/>
        <v>0</v>
      </c>
      <c r="AQ161" s="165">
        <f t="shared" ca="1" si="89"/>
        <v>0</v>
      </c>
      <c r="AR161" s="165">
        <f t="shared" ca="1" si="89"/>
        <v>0</v>
      </c>
      <c r="AS161" s="165">
        <f t="shared" ca="1" si="89"/>
        <v>0</v>
      </c>
      <c r="AT161" s="165">
        <f t="shared" ca="1" si="89"/>
        <v>0</v>
      </c>
      <c r="AU161" s="165">
        <f t="shared" ca="1" si="89"/>
        <v>0</v>
      </c>
      <c r="AV161" s="165">
        <f t="shared" ca="1" si="89"/>
        <v>0</v>
      </c>
      <c r="AW161" s="165">
        <f t="shared" ca="1" si="89"/>
        <v>0</v>
      </c>
      <c r="AX161" s="165">
        <f t="shared" ca="1" si="89"/>
        <v>0</v>
      </c>
      <c r="AY161" s="165">
        <f t="shared" ca="1" si="89"/>
        <v>0</v>
      </c>
      <c r="AZ161" s="165">
        <f t="shared" ca="1" si="89"/>
        <v>0</v>
      </c>
      <c r="BA161" s="165">
        <f t="shared" ca="1" si="89"/>
        <v>0</v>
      </c>
      <c r="BB161" s="165">
        <f t="shared" ca="1" si="89"/>
        <v>0</v>
      </c>
      <c r="BC161" s="165">
        <f t="shared" ca="1" si="89"/>
        <v>0</v>
      </c>
      <c r="BD161" s="165">
        <f t="shared" ca="1" si="89"/>
        <v>0</v>
      </c>
      <c r="BE161" s="165">
        <f t="shared" ca="1" si="89"/>
        <v>0</v>
      </c>
      <c r="BF161" s="165">
        <f t="shared" ca="1" si="89"/>
        <v>0</v>
      </c>
      <c r="BG161" s="165">
        <f t="shared" ca="1" si="89"/>
        <v>0</v>
      </c>
      <c r="BH161" s="165">
        <f t="shared" ca="1" si="89"/>
        <v>0</v>
      </c>
      <c r="BI161" s="165">
        <f t="shared" ca="1" si="89"/>
        <v>0</v>
      </c>
      <c r="BJ161" s="165">
        <f t="shared" ca="1" si="89"/>
        <v>0</v>
      </c>
      <c r="BK161" s="165">
        <f t="shared" ca="1" si="89"/>
        <v>0</v>
      </c>
      <c r="BL161" s="165">
        <f t="shared" ca="1" si="89"/>
        <v>0</v>
      </c>
      <c r="BM161" s="165">
        <f t="shared" ca="1" si="89"/>
        <v>0</v>
      </c>
      <c r="BN161" s="165">
        <f t="shared" ca="1" si="89"/>
        <v>0</v>
      </c>
      <c r="BO161" s="165">
        <f t="shared" ca="1" si="89"/>
        <v>0</v>
      </c>
      <c r="BP161" s="165" t="e">
        <f t="shared" ca="1" si="89"/>
        <v>#N/A</v>
      </c>
      <c r="BQ161" s="165" t="e">
        <f t="shared" si="89"/>
        <v>#N/A</v>
      </c>
      <c r="BR161" s="165" t="e">
        <f t="shared" si="89"/>
        <v>#N/A</v>
      </c>
      <c r="BS161" s="165" t="e">
        <f t="shared" si="89"/>
        <v>#N/A</v>
      </c>
      <c r="BT161" s="165" t="e">
        <f t="shared" si="89"/>
        <v>#N/A</v>
      </c>
      <c r="BU161" s="165" t="e">
        <f t="shared" si="89"/>
        <v>#N/A</v>
      </c>
      <c r="BV161" s="165" t="e">
        <f t="shared" si="89"/>
        <v>#N/A</v>
      </c>
      <c r="BW161" s="165" t="e">
        <f t="shared" si="89"/>
        <v>#N/A</v>
      </c>
    </row>
    <row r="162" spans="1:75" ht="12.75" x14ac:dyDescent="0.2">
      <c r="A162" s="23" t="s">
        <v>392</v>
      </c>
      <c r="B162" s="221"/>
      <c r="D162" s="165">
        <f t="shared" ref="D162:BW162" ca="1" si="90">D129-C129</f>
        <v>-239</v>
      </c>
      <c r="E162" s="165">
        <f t="shared" ca="1" si="90"/>
        <v>-113</v>
      </c>
      <c r="F162" s="165">
        <f t="shared" ca="1" si="90"/>
        <v>0</v>
      </c>
      <c r="G162" s="165">
        <f t="shared" ca="1" si="90"/>
        <v>0</v>
      </c>
      <c r="H162" s="165">
        <f t="shared" ca="1" si="90"/>
        <v>0</v>
      </c>
      <c r="I162" s="165">
        <f t="shared" ca="1" si="90"/>
        <v>0</v>
      </c>
      <c r="J162" s="165">
        <f t="shared" ca="1" si="90"/>
        <v>0</v>
      </c>
      <c r="K162" s="165">
        <f t="shared" ca="1" si="90"/>
        <v>0</v>
      </c>
      <c r="L162" s="165">
        <f t="shared" ca="1" si="90"/>
        <v>0</v>
      </c>
      <c r="M162" s="165">
        <f t="shared" ca="1" si="90"/>
        <v>0</v>
      </c>
      <c r="N162" s="165">
        <f t="shared" ca="1" si="90"/>
        <v>0</v>
      </c>
      <c r="O162" s="165">
        <f t="shared" ca="1" si="90"/>
        <v>0</v>
      </c>
      <c r="P162" s="165">
        <f t="shared" ca="1" si="90"/>
        <v>0</v>
      </c>
      <c r="Q162" s="165">
        <f t="shared" ca="1" si="90"/>
        <v>0</v>
      </c>
      <c r="R162" s="165">
        <f t="shared" ca="1" si="90"/>
        <v>0</v>
      </c>
      <c r="S162" s="165">
        <f t="shared" ca="1" si="90"/>
        <v>0</v>
      </c>
      <c r="T162" s="165">
        <f t="shared" ca="1" si="90"/>
        <v>0</v>
      </c>
      <c r="U162" s="165">
        <f t="shared" ca="1" si="90"/>
        <v>0</v>
      </c>
      <c r="V162" s="165">
        <f t="shared" ca="1" si="90"/>
        <v>0</v>
      </c>
      <c r="W162" s="165">
        <f t="shared" ca="1" si="90"/>
        <v>0</v>
      </c>
      <c r="X162" s="165">
        <f t="shared" ca="1" si="90"/>
        <v>0</v>
      </c>
      <c r="Y162" s="165">
        <f t="shared" ca="1" si="90"/>
        <v>0</v>
      </c>
      <c r="Z162" s="165">
        <f t="shared" ca="1" si="90"/>
        <v>0</v>
      </c>
      <c r="AA162" s="165">
        <f t="shared" ca="1" si="90"/>
        <v>0</v>
      </c>
      <c r="AB162" s="165">
        <f t="shared" ca="1" si="90"/>
        <v>0</v>
      </c>
      <c r="AC162" s="165">
        <f t="shared" ca="1" si="90"/>
        <v>0</v>
      </c>
      <c r="AD162" s="165">
        <f t="shared" ca="1" si="90"/>
        <v>0</v>
      </c>
      <c r="AE162" s="165">
        <f t="shared" ca="1" si="90"/>
        <v>0</v>
      </c>
      <c r="AF162" s="165">
        <f t="shared" ca="1" si="90"/>
        <v>0</v>
      </c>
      <c r="AG162" s="165">
        <f t="shared" ca="1" si="90"/>
        <v>0</v>
      </c>
      <c r="AH162" s="165">
        <f t="shared" ca="1" si="90"/>
        <v>0</v>
      </c>
      <c r="AI162" s="165">
        <f t="shared" ca="1" si="90"/>
        <v>0</v>
      </c>
      <c r="AJ162" s="165">
        <f t="shared" ca="1" si="90"/>
        <v>0</v>
      </c>
      <c r="AK162" s="165">
        <f t="shared" ca="1" si="90"/>
        <v>0</v>
      </c>
      <c r="AL162" s="165">
        <f t="shared" ca="1" si="90"/>
        <v>0</v>
      </c>
      <c r="AM162" s="165">
        <f t="shared" ca="1" si="90"/>
        <v>0</v>
      </c>
      <c r="AN162" s="165">
        <f t="shared" ca="1" si="90"/>
        <v>0</v>
      </c>
      <c r="AO162" s="165">
        <f t="shared" ca="1" si="90"/>
        <v>0</v>
      </c>
      <c r="AP162" s="165">
        <f t="shared" ca="1" si="90"/>
        <v>0</v>
      </c>
      <c r="AQ162" s="165">
        <f t="shared" ca="1" si="90"/>
        <v>0</v>
      </c>
      <c r="AR162" s="165">
        <f t="shared" ca="1" si="90"/>
        <v>0</v>
      </c>
      <c r="AS162" s="165">
        <f t="shared" ca="1" si="90"/>
        <v>0</v>
      </c>
      <c r="AT162" s="165">
        <f t="shared" ca="1" si="90"/>
        <v>0</v>
      </c>
      <c r="AU162" s="165">
        <f t="shared" ca="1" si="90"/>
        <v>0</v>
      </c>
      <c r="AV162" s="165">
        <f t="shared" ca="1" si="90"/>
        <v>0</v>
      </c>
      <c r="AW162" s="165">
        <f t="shared" ca="1" si="90"/>
        <v>0</v>
      </c>
      <c r="AX162" s="165">
        <f t="shared" ca="1" si="90"/>
        <v>0</v>
      </c>
      <c r="AY162" s="165">
        <f t="shared" ca="1" si="90"/>
        <v>0</v>
      </c>
      <c r="AZ162" s="165">
        <f t="shared" ca="1" si="90"/>
        <v>0</v>
      </c>
      <c r="BA162" s="165">
        <f t="shared" ca="1" si="90"/>
        <v>0</v>
      </c>
      <c r="BB162" s="165">
        <f t="shared" ca="1" si="90"/>
        <v>0</v>
      </c>
      <c r="BC162" s="165">
        <f t="shared" ca="1" si="90"/>
        <v>0</v>
      </c>
      <c r="BD162" s="165">
        <f t="shared" ca="1" si="90"/>
        <v>0</v>
      </c>
      <c r="BE162" s="165">
        <f t="shared" ca="1" si="90"/>
        <v>0</v>
      </c>
      <c r="BF162" s="165">
        <f t="shared" ca="1" si="90"/>
        <v>0</v>
      </c>
      <c r="BG162" s="165">
        <f t="shared" ca="1" si="90"/>
        <v>0</v>
      </c>
      <c r="BH162" s="165">
        <f t="shared" ca="1" si="90"/>
        <v>0</v>
      </c>
      <c r="BI162" s="165">
        <f t="shared" ca="1" si="90"/>
        <v>0</v>
      </c>
      <c r="BJ162" s="165">
        <f t="shared" ca="1" si="90"/>
        <v>0</v>
      </c>
      <c r="BK162" s="165">
        <f t="shared" ca="1" si="90"/>
        <v>0</v>
      </c>
      <c r="BL162" s="165">
        <f t="shared" ca="1" si="90"/>
        <v>0</v>
      </c>
      <c r="BM162" s="165">
        <f t="shared" ca="1" si="90"/>
        <v>0</v>
      </c>
      <c r="BN162" s="165">
        <f t="shared" ca="1" si="90"/>
        <v>0</v>
      </c>
      <c r="BO162" s="165">
        <f t="shared" ca="1" si="90"/>
        <v>0</v>
      </c>
      <c r="BP162" s="165">
        <f t="shared" ca="1" si="90"/>
        <v>0</v>
      </c>
      <c r="BQ162" s="165">
        <f t="shared" ca="1" si="90"/>
        <v>0</v>
      </c>
      <c r="BR162" s="165">
        <f t="shared" ca="1" si="90"/>
        <v>0</v>
      </c>
      <c r="BS162" s="165">
        <f t="shared" ca="1" si="90"/>
        <v>0</v>
      </c>
      <c r="BT162" s="165">
        <f t="shared" ca="1" si="90"/>
        <v>0</v>
      </c>
      <c r="BU162" s="165">
        <f t="shared" ca="1" si="90"/>
        <v>0</v>
      </c>
      <c r="BV162" s="165">
        <f t="shared" ca="1" si="90"/>
        <v>0</v>
      </c>
      <c r="BW162" s="165">
        <f t="shared" ca="1" si="90"/>
        <v>0</v>
      </c>
    </row>
    <row r="163" spans="1:75" ht="12.75" x14ac:dyDescent="0.2">
      <c r="A163" s="60" t="s">
        <v>393</v>
      </c>
      <c r="B163" s="238"/>
      <c r="C163" s="212"/>
      <c r="D163" s="213">
        <f t="shared" ref="D163:BW163" ca="1" si="91">SUM(D157:D162)</f>
        <v>118</v>
      </c>
      <c r="E163" s="213">
        <f t="shared" ca="1" si="91"/>
        <v>-2226</v>
      </c>
      <c r="F163" s="213">
        <f t="shared" ca="1" si="91"/>
        <v>0</v>
      </c>
      <c r="G163" s="213">
        <f t="shared" ca="1" si="91"/>
        <v>0</v>
      </c>
      <c r="H163" s="213">
        <f t="shared" ca="1" si="91"/>
        <v>0</v>
      </c>
      <c r="I163" s="213">
        <f t="shared" ca="1" si="91"/>
        <v>0</v>
      </c>
      <c r="J163" s="213">
        <f t="shared" ca="1" si="91"/>
        <v>0</v>
      </c>
      <c r="K163" s="213">
        <f t="shared" ca="1" si="91"/>
        <v>0</v>
      </c>
      <c r="L163" s="213">
        <f t="shared" ca="1" si="91"/>
        <v>0</v>
      </c>
      <c r="M163" s="213">
        <f t="shared" ca="1" si="91"/>
        <v>0</v>
      </c>
      <c r="N163" s="213">
        <f t="shared" ca="1" si="91"/>
        <v>0</v>
      </c>
      <c r="O163" s="213">
        <f t="shared" ca="1" si="91"/>
        <v>0</v>
      </c>
      <c r="P163" s="213">
        <f t="shared" ca="1" si="91"/>
        <v>0</v>
      </c>
      <c r="Q163" s="213">
        <f t="shared" ca="1" si="91"/>
        <v>0</v>
      </c>
      <c r="R163" s="213">
        <f t="shared" ca="1" si="91"/>
        <v>0</v>
      </c>
      <c r="S163" s="213">
        <f t="shared" ca="1" si="91"/>
        <v>0</v>
      </c>
      <c r="T163" s="213">
        <f t="shared" ca="1" si="91"/>
        <v>0</v>
      </c>
      <c r="U163" s="213">
        <f t="shared" ca="1" si="91"/>
        <v>0</v>
      </c>
      <c r="V163" s="213">
        <f t="shared" ca="1" si="91"/>
        <v>0</v>
      </c>
      <c r="W163" s="213">
        <f t="shared" ca="1" si="91"/>
        <v>0</v>
      </c>
      <c r="X163" s="213">
        <f t="shared" ca="1" si="91"/>
        <v>0</v>
      </c>
      <c r="Y163" s="213">
        <f t="shared" ca="1" si="91"/>
        <v>0</v>
      </c>
      <c r="Z163" s="213">
        <f t="shared" ca="1" si="91"/>
        <v>0</v>
      </c>
      <c r="AA163" s="213">
        <f t="shared" ca="1" si="91"/>
        <v>0</v>
      </c>
      <c r="AB163" s="213">
        <f t="shared" ca="1" si="91"/>
        <v>0</v>
      </c>
      <c r="AC163" s="213">
        <f t="shared" ca="1" si="91"/>
        <v>0</v>
      </c>
      <c r="AD163" s="213">
        <f t="shared" ca="1" si="91"/>
        <v>0</v>
      </c>
      <c r="AE163" s="213">
        <f t="shared" ca="1" si="91"/>
        <v>0</v>
      </c>
      <c r="AF163" s="213">
        <f t="shared" ca="1" si="91"/>
        <v>0</v>
      </c>
      <c r="AG163" s="213">
        <f t="shared" ca="1" si="91"/>
        <v>0</v>
      </c>
      <c r="AH163" s="213">
        <f t="shared" ca="1" si="91"/>
        <v>0</v>
      </c>
      <c r="AI163" s="213">
        <f t="shared" ca="1" si="91"/>
        <v>0</v>
      </c>
      <c r="AJ163" s="213">
        <f t="shared" ca="1" si="91"/>
        <v>0</v>
      </c>
      <c r="AK163" s="213">
        <f t="shared" ca="1" si="91"/>
        <v>0</v>
      </c>
      <c r="AL163" s="213">
        <f t="shared" ca="1" si="91"/>
        <v>0</v>
      </c>
      <c r="AM163" s="213">
        <f t="shared" ca="1" si="91"/>
        <v>0</v>
      </c>
      <c r="AN163" s="213">
        <f t="shared" ca="1" si="91"/>
        <v>0</v>
      </c>
      <c r="AO163" s="213">
        <f t="shared" ca="1" si="91"/>
        <v>0</v>
      </c>
      <c r="AP163" s="213">
        <f t="shared" ca="1" si="91"/>
        <v>0</v>
      </c>
      <c r="AQ163" s="213">
        <f t="shared" ca="1" si="91"/>
        <v>0</v>
      </c>
      <c r="AR163" s="213">
        <f t="shared" ca="1" si="91"/>
        <v>0</v>
      </c>
      <c r="AS163" s="213">
        <f t="shared" ca="1" si="91"/>
        <v>0</v>
      </c>
      <c r="AT163" s="213">
        <f t="shared" ca="1" si="91"/>
        <v>0</v>
      </c>
      <c r="AU163" s="213">
        <f t="shared" ca="1" si="91"/>
        <v>0</v>
      </c>
      <c r="AV163" s="213">
        <f t="shared" ca="1" si="91"/>
        <v>0</v>
      </c>
      <c r="AW163" s="213">
        <f t="shared" ca="1" si="91"/>
        <v>0</v>
      </c>
      <c r="AX163" s="213">
        <f t="shared" ca="1" si="91"/>
        <v>0</v>
      </c>
      <c r="AY163" s="213">
        <f t="shared" ca="1" si="91"/>
        <v>0</v>
      </c>
      <c r="AZ163" s="213">
        <f t="shared" ca="1" si="91"/>
        <v>0</v>
      </c>
      <c r="BA163" s="213">
        <f t="shared" ca="1" si="91"/>
        <v>0</v>
      </c>
      <c r="BB163" s="213">
        <f t="shared" ca="1" si="91"/>
        <v>0</v>
      </c>
      <c r="BC163" s="213">
        <f t="shared" ca="1" si="91"/>
        <v>0</v>
      </c>
      <c r="BD163" s="213">
        <f t="shared" ca="1" si="91"/>
        <v>0</v>
      </c>
      <c r="BE163" s="213">
        <f t="shared" ca="1" si="91"/>
        <v>0</v>
      </c>
      <c r="BF163" s="213">
        <f t="shared" ca="1" si="91"/>
        <v>0</v>
      </c>
      <c r="BG163" s="213">
        <f t="shared" ca="1" si="91"/>
        <v>0</v>
      </c>
      <c r="BH163" s="213">
        <f t="shared" ca="1" si="91"/>
        <v>0</v>
      </c>
      <c r="BI163" s="213">
        <f t="shared" ca="1" si="91"/>
        <v>0</v>
      </c>
      <c r="BJ163" s="213">
        <f t="shared" ca="1" si="91"/>
        <v>0</v>
      </c>
      <c r="BK163" s="213">
        <f t="shared" ca="1" si="91"/>
        <v>0</v>
      </c>
      <c r="BL163" s="213">
        <f t="shared" ca="1" si="91"/>
        <v>0</v>
      </c>
      <c r="BM163" s="213">
        <f t="shared" ca="1" si="91"/>
        <v>0</v>
      </c>
      <c r="BN163" s="213">
        <f t="shared" ca="1" si="91"/>
        <v>0</v>
      </c>
      <c r="BO163" s="213">
        <f t="shared" ca="1" si="91"/>
        <v>0</v>
      </c>
      <c r="BP163" s="213" t="e">
        <f t="shared" ca="1" si="91"/>
        <v>#N/A</v>
      </c>
      <c r="BQ163" s="213" t="e">
        <f t="shared" ca="1" si="91"/>
        <v>#N/A</v>
      </c>
      <c r="BR163" s="213" t="e">
        <f t="shared" ca="1" si="91"/>
        <v>#N/A</v>
      </c>
      <c r="BS163" s="213" t="e">
        <f t="shared" ca="1" si="91"/>
        <v>#N/A</v>
      </c>
      <c r="BT163" s="213" t="e">
        <f t="shared" ca="1" si="91"/>
        <v>#N/A</v>
      </c>
      <c r="BU163" s="213" t="e">
        <f t="shared" ca="1" si="91"/>
        <v>#N/A</v>
      </c>
      <c r="BV163" s="213" t="e">
        <f t="shared" ca="1" si="91"/>
        <v>#N/A</v>
      </c>
      <c r="BW163" s="213" t="e">
        <f t="shared" ca="1" si="91"/>
        <v>#N/A</v>
      </c>
    </row>
    <row r="164" spans="1:75" ht="12.75" x14ac:dyDescent="0.2">
      <c r="A164" s="256" t="s">
        <v>394</v>
      </c>
      <c r="B164" s="238"/>
      <c r="C164" s="212"/>
      <c r="D164" s="213">
        <f t="shared" ref="D164:BW164" ca="1" si="92">SUM(D163,D156)</f>
        <v>-89320</v>
      </c>
      <c r="E164" s="213">
        <f t="shared" ca="1" si="92"/>
        <v>-90350</v>
      </c>
      <c r="F164" s="213">
        <f t="shared" ca="1" si="92"/>
        <v>-102956</v>
      </c>
      <c r="G164" s="213">
        <f t="shared" ca="1" si="92"/>
        <v>-94595</v>
      </c>
      <c r="H164" s="213">
        <f t="shared" ca="1" si="92"/>
        <v>-82065</v>
      </c>
      <c r="I164" s="213">
        <f t="shared" ca="1" si="92"/>
        <v>-78132</v>
      </c>
      <c r="J164" s="213">
        <f t="shared" ca="1" si="92"/>
        <v>-94045</v>
      </c>
      <c r="K164" s="213">
        <f t="shared" ca="1" si="92"/>
        <v>-89766</v>
      </c>
      <c r="L164" s="213">
        <f t="shared" ca="1" si="92"/>
        <v>-114445</v>
      </c>
      <c r="M164" s="213">
        <f t="shared" ca="1" si="92"/>
        <v>-131881</v>
      </c>
      <c r="N164" s="213">
        <f t="shared" ca="1" si="92"/>
        <v>-140597</v>
      </c>
      <c r="O164" s="213">
        <f t="shared" ca="1" si="92"/>
        <v>-177194</v>
      </c>
      <c r="P164" s="213">
        <f t="shared" ca="1" si="92"/>
        <v>-177124</v>
      </c>
      <c r="Q164" s="213">
        <f t="shared" ca="1" si="92"/>
        <v>-189575</v>
      </c>
      <c r="R164" s="213">
        <f t="shared" ca="1" si="92"/>
        <v>-184131</v>
      </c>
      <c r="S164" s="213">
        <f t="shared" ca="1" si="92"/>
        <v>-128941</v>
      </c>
      <c r="T164" s="213">
        <f t="shared" ca="1" si="92"/>
        <v>-151754</v>
      </c>
      <c r="U164" s="213">
        <f t="shared" ca="1" si="92"/>
        <v>-122283</v>
      </c>
      <c r="V164" s="213">
        <f t="shared" ca="1" si="92"/>
        <v>-102474</v>
      </c>
      <c r="W164" s="213">
        <f t="shared" ca="1" si="92"/>
        <v>-82495</v>
      </c>
      <c r="X164" s="213">
        <f t="shared" ca="1" si="92"/>
        <v>-60038</v>
      </c>
      <c r="Y164" s="213">
        <f t="shared" ca="1" si="92"/>
        <v>-27320</v>
      </c>
      <c r="Z164" s="213">
        <f t="shared" ca="1" si="92"/>
        <v>-18905</v>
      </c>
      <c r="AA164" s="213">
        <f t="shared" ca="1" si="92"/>
        <v>-24211</v>
      </c>
      <c r="AB164" s="213">
        <f t="shared" ca="1" si="92"/>
        <v>-13824</v>
      </c>
      <c r="AC164" s="213">
        <f t="shared" ca="1" si="92"/>
        <v>-26169</v>
      </c>
      <c r="AD164" s="213">
        <f t="shared" ca="1" si="92"/>
        <v>8407.1899999999441</v>
      </c>
      <c r="AE164" s="213">
        <f t="shared" ca="1" si="92"/>
        <v>-117</v>
      </c>
      <c r="AF164" s="213">
        <f t="shared" ca="1" si="92"/>
        <v>53348.166337172617</v>
      </c>
      <c r="AG164" s="213">
        <f t="shared" ca="1" si="92"/>
        <v>35365.854453630745</v>
      </c>
      <c r="AH164" s="213">
        <f t="shared" ca="1" si="92"/>
        <v>26710.675679224078</v>
      </c>
      <c r="AI164" s="213">
        <f t="shared" ca="1" si="92"/>
        <v>14920.419460284058</v>
      </c>
      <c r="AJ164" s="213">
        <f t="shared" ca="1" si="92"/>
        <v>13663.145356597728</v>
      </c>
      <c r="AK164" s="213">
        <f t="shared" ca="1" si="92"/>
        <v>-48549.729794865241</v>
      </c>
      <c r="AL164" s="213">
        <f t="shared" ca="1" si="92"/>
        <v>-48803.553726164275</v>
      </c>
      <c r="AM164" s="213">
        <f t="shared" ca="1" si="92"/>
        <v>-88331.994089839398</v>
      </c>
      <c r="AN164" s="213">
        <f t="shared" ca="1" si="92"/>
        <v>-104794.54982564156</v>
      </c>
      <c r="AO164" s="213">
        <f t="shared" ca="1" si="92"/>
        <v>-142974.65278888505</v>
      </c>
      <c r="AP164" s="213">
        <f t="shared" ca="1" si="92"/>
        <v>-141624.0181672388</v>
      </c>
      <c r="AQ164" s="213">
        <f t="shared" ca="1" si="92"/>
        <v>-187935.17351820879</v>
      </c>
      <c r="AR164" s="213">
        <f t="shared" ca="1" si="92"/>
        <v>-184694.17163031828</v>
      </c>
      <c r="AS164" s="213">
        <f t="shared" ca="1" si="92"/>
        <v>-181586.3275139014</v>
      </c>
      <c r="AT164" s="213">
        <f t="shared" ca="1" si="92"/>
        <v>-195183.5016491384</v>
      </c>
      <c r="AU164" s="213">
        <f t="shared" ca="1" si="92"/>
        <v>-191277.3972087499</v>
      </c>
      <c r="AV164" s="213">
        <f t="shared" ca="1" si="92"/>
        <v>-186446.00717596372</v>
      </c>
      <c r="AW164" s="213">
        <f t="shared" ca="1" si="92"/>
        <v>-196732.59698605305</v>
      </c>
      <c r="AX164" s="213">
        <f t="shared" ca="1" si="92"/>
        <v>-191129.26920457231</v>
      </c>
      <c r="AY164" s="213">
        <f t="shared" ca="1" si="92"/>
        <v>-184612.36568452464</v>
      </c>
      <c r="AZ164" s="213">
        <f t="shared" ca="1" si="92"/>
        <v>-163531.85902199417</v>
      </c>
      <c r="BA164" s="213">
        <f t="shared" ca="1" si="92"/>
        <v>-145656.62694266392</v>
      </c>
      <c r="BB164" s="213">
        <f t="shared" ca="1" si="92"/>
        <v>-125384.45383855235</v>
      </c>
      <c r="BC164" s="213">
        <f t="shared" ca="1" si="92"/>
        <v>-118219.62232774729</v>
      </c>
      <c r="BD164" s="213">
        <f t="shared" ca="1" si="92"/>
        <v>-91559.401406835299</v>
      </c>
      <c r="BE164" s="213">
        <f t="shared" ca="1" si="92"/>
        <v>-67602.424128774554</v>
      </c>
      <c r="BF164" s="213">
        <f t="shared" ca="1" si="92"/>
        <v>-58065.361634227913</v>
      </c>
      <c r="BG164" s="213">
        <f t="shared" ca="1" si="92"/>
        <v>-31075.902297257213</v>
      </c>
      <c r="BH164" s="213">
        <f t="shared" ca="1" si="92"/>
        <v>-3066.4204998074565</v>
      </c>
      <c r="BI164" s="213">
        <f t="shared" ca="1" si="92"/>
        <v>9289.7598335875664</v>
      </c>
      <c r="BJ164" s="213">
        <f t="shared" ca="1" si="92"/>
        <v>38875.005257610697</v>
      </c>
      <c r="BK164" s="213">
        <f t="shared" ca="1" si="92"/>
        <v>69541.525123957777</v>
      </c>
      <c r="BL164" s="213">
        <f t="shared" ca="1" si="92"/>
        <v>85165.691730130697</v>
      </c>
      <c r="BM164" s="213">
        <f t="shared" ca="1" si="92"/>
        <v>117817.04966909951</v>
      </c>
      <c r="BN164" s="213">
        <f t="shared" ca="1" si="92"/>
        <v>151617.32156764017</v>
      </c>
      <c r="BO164" s="213">
        <f t="shared" ca="1" si="92"/>
        <v>170518.97268868494</v>
      </c>
      <c r="BP164" s="212" t="e">
        <f t="shared" ca="1" si="92"/>
        <v>#N/A</v>
      </c>
      <c r="BQ164" s="212" t="e">
        <f t="shared" ca="1" si="92"/>
        <v>#N/A</v>
      </c>
      <c r="BR164" s="212" t="e">
        <f t="shared" ca="1" si="92"/>
        <v>#N/A</v>
      </c>
      <c r="BS164" s="212" t="e">
        <f t="shared" ca="1" si="92"/>
        <v>#N/A</v>
      </c>
      <c r="BT164" s="212" t="e">
        <f t="shared" ca="1" si="92"/>
        <v>#N/A</v>
      </c>
      <c r="BU164" s="212" t="e">
        <f t="shared" ca="1" si="92"/>
        <v>#N/A</v>
      </c>
      <c r="BV164" s="212" t="e">
        <f t="shared" ca="1" si="92"/>
        <v>#N/A</v>
      </c>
      <c r="BW164" s="212" t="e">
        <f t="shared" ca="1" si="92"/>
        <v>#N/A</v>
      </c>
    </row>
    <row r="165" spans="1:75" ht="12.75" x14ac:dyDescent="0.2">
      <c r="A165" s="69" t="s">
        <v>244</v>
      </c>
      <c r="B165" s="221"/>
      <c r="D165" s="115">
        <f t="array" aca="1" ref="D165" ca="1">ROUND(INDEX(INDIRECT("CFS_"&amp;TEXT(D$1,"mmm")&amp;"_"&amp;TEXT(D$1,"yyyy")),MATCH(TRIM($A164),CFS_Accounts,0))-D164,2)</f>
        <v>0</v>
      </c>
      <c r="E165" s="115">
        <f t="array" aca="1" ref="E165" ca="1">ROUND(INDEX(INDIRECT("CFS_"&amp;TEXT(E$1,"mmm")&amp;"_"&amp;TEXT(E$1,"yyyy")),MATCH(TRIM($A164),CFS_Accounts,0))-E164,2)</f>
        <v>0</v>
      </c>
      <c r="F165" s="115">
        <f t="array" aca="1" ref="F165" ca="1">ROUND(INDEX(INDIRECT("CFS_"&amp;TEXT(F$1,"mmm")&amp;"_"&amp;TEXT(F$1,"yyyy")),MATCH(TRIM($A164),CFS_Accounts,0))-F164,2)</f>
        <v>0</v>
      </c>
      <c r="G165" s="115">
        <f t="array" aca="1" ref="G165" ca="1">ROUND(INDEX(INDIRECT("CFS_"&amp;TEXT(G$1,"mmm")&amp;"_"&amp;TEXT(G$1,"yyyy")),MATCH(TRIM($A164),CFS_Accounts,0))-G164,2)</f>
        <v>0</v>
      </c>
      <c r="H165" s="115">
        <f t="array" aca="1" ref="H165" ca="1">ROUND(INDEX(INDIRECT("CFS_"&amp;TEXT(H$1,"mmm")&amp;"_"&amp;TEXT(H$1,"yyyy")),MATCH(TRIM($A164),CFS_Accounts,0))-H164,2)</f>
        <v>0</v>
      </c>
      <c r="I165" s="115">
        <f t="array" aca="1" ref="I165" ca="1">ROUND(INDEX(INDIRECT("CFS_"&amp;TEXT(I$1,"mmm")&amp;"_"&amp;TEXT(I$1,"yyyy")),MATCH(TRIM($A164),CFS_Accounts,0))-I164,2)</f>
        <v>0</v>
      </c>
      <c r="J165" s="115">
        <f t="array" aca="1" ref="J165" ca="1">ROUND(INDEX(INDIRECT("CFS_"&amp;TEXT(J$1,"mmm")&amp;"_"&amp;TEXT(J$1,"yyyy")),MATCH(TRIM($A164),CFS_Accounts,0))-J164,2)</f>
        <v>0</v>
      </c>
      <c r="K165" s="115">
        <f t="array" aca="1" ref="K165" ca="1">ROUND(INDEX(INDIRECT("CFS_"&amp;TEXT(K$1,"mmm")&amp;"_"&amp;TEXT(K$1,"yyyy")),MATCH(TRIM($A164),CFS_Accounts,0))-K164,2)</f>
        <v>0</v>
      </c>
      <c r="L165" s="115">
        <f t="array" aca="1" ref="L165" ca="1">ROUND(INDEX(INDIRECT("CFS_"&amp;TEXT(L$1,"mmm")&amp;"_"&amp;TEXT(L$1,"yyyy")),MATCH(TRIM($A164),CFS_Accounts,0))-L164,2)</f>
        <v>0</v>
      </c>
      <c r="M165" s="115">
        <f t="array" aca="1" ref="M165" ca="1">ROUND(INDEX(INDIRECT("CFS_"&amp;TEXT(M$1,"mmm")&amp;"_"&amp;TEXT(M$1,"yyyy")),MATCH(TRIM($A164),CFS_Accounts,0))-M164,2)</f>
        <v>0</v>
      </c>
      <c r="N165" s="115">
        <f t="array" aca="1" ref="N165" ca="1">ROUND(INDEX(INDIRECT("CFS_"&amp;TEXT(N$1,"mmm")&amp;"_"&amp;TEXT(N$1,"yyyy")),MATCH(TRIM($A164),CFS_Accounts,0))-N164,2)</f>
        <v>0</v>
      </c>
      <c r="O165" s="115">
        <f t="array" aca="1" ref="O165" ca="1">ROUND(INDEX(INDIRECT("CFS_"&amp;TEXT(O$1,"mmm")&amp;"_"&amp;TEXT(O$1,"yyyy")),MATCH(TRIM($A164),CFS_Accounts,0))-O164,2)</f>
        <v>0</v>
      </c>
      <c r="P165" s="115">
        <f t="array" aca="1" ref="P165" ca="1">ROUND(INDEX(INDIRECT("CFS_"&amp;TEXT(P$1,"mmm")&amp;"_"&amp;TEXT(P$1,"yyyy")),MATCH(TRIM($A164),CFS_Accounts,0))-P164,2)</f>
        <v>0</v>
      </c>
      <c r="Q165" s="115">
        <f t="array" aca="1" ref="Q165" ca="1">ROUND(INDEX(INDIRECT("CFS_"&amp;TEXT(Q$1,"mmm")&amp;"_"&amp;TEXT(Q$1,"yyyy")),MATCH(TRIM($A164),CFS_Accounts,0))-Q164,2)</f>
        <v>0</v>
      </c>
      <c r="R165" s="115">
        <f t="array" aca="1" ref="R165" ca="1">ROUND(INDEX(INDIRECT("CFS_"&amp;TEXT(R$1,"mmm")&amp;"_"&amp;TEXT(R$1,"yyyy")),MATCH(TRIM($A164),CFS_Accounts,0))-R164,2)</f>
        <v>0</v>
      </c>
      <c r="S165" s="115">
        <f t="array" aca="1" ref="S165" ca="1">ROUND(INDEX(INDIRECT("CFS_"&amp;TEXT(S$1,"mmm")&amp;"_"&amp;TEXT(S$1,"yyyy")),MATCH(TRIM($A164),CFS_Accounts,0))-S164,2)</f>
        <v>0</v>
      </c>
      <c r="T165" s="115">
        <f t="array" aca="1" ref="T165" ca="1">ROUND(INDEX(INDIRECT("CFS_"&amp;TEXT(T$1,"mmm")&amp;"_"&amp;TEXT(T$1,"yyyy")),MATCH(TRIM($A164),CFS_Accounts,0))-T164,2)</f>
        <v>0</v>
      </c>
      <c r="U165" s="115">
        <f t="array" aca="1" ref="U165" ca="1">ROUND(INDEX(INDIRECT("CFS_"&amp;TEXT(U$1,"mmm")&amp;"_"&amp;TEXT(U$1,"yyyy")),MATCH(TRIM($A164),CFS_Accounts,0))-U164,2)</f>
        <v>0</v>
      </c>
      <c r="V165" s="115">
        <f t="array" aca="1" ref="V165" ca="1">ROUND(INDEX(INDIRECT("CFS_"&amp;TEXT(V$1,"mmm")&amp;"_"&amp;TEXT(V$1,"yyyy")),MATCH(TRIM($A164),CFS_Accounts,0))-V164,2)</f>
        <v>0</v>
      </c>
      <c r="W165" s="115">
        <f t="array" aca="1" ref="W165" ca="1">ROUND(INDEX(INDIRECT("CFS_"&amp;TEXT(W$1,"mmm")&amp;"_"&amp;TEXT(W$1,"yyyy")),MATCH(TRIM($A164),CFS_Accounts,0))-W164,2)</f>
        <v>0</v>
      </c>
      <c r="X165" s="115">
        <f t="array" aca="1" ref="X165" ca="1">ROUND(INDEX(INDIRECT("CFS_"&amp;TEXT(X$1,"mmm")&amp;"_"&amp;TEXT(X$1,"yyyy")),MATCH(TRIM($A164),CFS_Accounts,0))-X164,2)</f>
        <v>0</v>
      </c>
      <c r="Y165" s="115">
        <f t="array" aca="1" ref="Y165" ca="1">ROUND(INDEX(INDIRECT("CFS_"&amp;TEXT(Y$1,"mmm")&amp;"_"&amp;TEXT(Y$1,"yyyy")),MATCH(TRIM($A164),CFS_Accounts,0))-Y164,2)</f>
        <v>0</v>
      </c>
      <c r="Z165" s="115">
        <f t="array" aca="1" ref="Z165" ca="1">ROUND(INDEX(INDIRECT("CFS_"&amp;TEXT(Z$1,"mmm")&amp;"_"&amp;TEXT(Z$1,"yyyy")),MATCH(TRIM($A164),CFS_Accounts,0))-Z164,2)</f>
        <v>0</v>
      </c>
      <c r="AA165" s="115">
        <f t="array" aca="1" ref="AA165" ca="1">ROUND(INDEX(INDIRECT("CFS_"&amp;TEXT(AA$1,"mmm")&amp;"_"&amp;TEXT(AA$1,"yyyy")),MATCH(TRIM($A164),CFS_Accounts,0))-AA164,2)</f>
        <v>0</v>
      </c>
      <c r="AB165" s="115">
        <f t="array" aca="1" ref="AB165" ca="1">ROUND(INDEX(INDIRECT("CFS_"&amp;TEXT(AB$1,"mmm")&amp;"_"&amp;TEXT(AB$1,"yyyy")),MATCH(TRIM($A164),CFS_Accounts,0))-AB164,2)</f>
        <v>0</v>
      </c>
      <c r="AC165" s="115">
        <f t="array" aca="1" ref="AC165" ca="1">ROUND(INDEX(INDIRECT("CFS_"&amp;TEXT(AC$1,"mmm")&amp;"_"&amp;TEXT(AC$1,"yyyy")),MATCH(TRIM($A164),CFS_Accounts,0))-AC164,2)</f>
        <v>0</v>
      </c>
      <c r="AD165" s="115">
        <f t="array" aca="1" ref="AD165" ca="1">ROUND(INDEX(INDIRECT("CFS_"&amp;TEXT(AD$1,"mmm")&amp;"_"&amp;TEXT(AD$1,"yyyy")),MATCH(TRIM($A164),CFS_Accounts,0))-AD164,2)</f>
        <v>0</v>
      </c>
      <c r="AE165" s="115">
        <f t="array" aca="1" ref="AE165" ca="1">ROUND(INDEX(INDIRECT("CFS_"&amp;TEXT(AE$1,"mmm")&amp;"_"&amp;TEXT(AE$1,"yyyy")),MATCH(TRIM($A164),CFS_Accounts,0))-AE164,2)</f>
        <v>0</v>
      </c>
    </row>
    <row r="166" spans="1:75" ht="12.75" x14ac:dyDescent="0.2">
      <c r="A166" s="215" t="s">
        <v>395</v>
      </c>
      <c r="B166" s="221"/>
    </row>
    <row r="167" spans="1:75" ht="12.75" x14ac:dyDescent="0.2">
      <c r="A167" s="23" t="s">
        <v>396</v>
      </c>
      <c r="B167" s="221"/>
      <c r="D167" s="165">
        <f t="shared" ref="D167:BW167" ca="1" si="93">-D110+C110</f>
        <v>0</v>
      </c>
      <c r="E167" s="165">
        <f t="shared" ca="1" si="93"/>
        <v>0</v>
      </c>
      <c r="F167" s="165">
        <f t="shared" ca="1" si="93"/>
        <v>0</v>
      </c>
      <c r="G167" s="165">
        <f t="shared" ca="1" si="93"/>
        <v>0</v>
      </c>
      <c r="H167" s="165">
        <f t="shared" ca="1" si="93"/>
        <v>0</v>
      </c>
      <c r="I167" s="165">
        <f t="shared" ca="1" si="93"/>
        <v>0</v>
      </c>
      <c r="J167" s="165">
        <f t="shared" ca="1" si="93"/>
        <v>0</v>
      </c>
      <c r="K167" s="165">
        <f t="shared" ca="1" si="93"/>
        <v>0</v>
      </c>
      <c r="L167" s="165">
        <f t="shared" ca="1" si="93"/>
        <v>0</v>
      </c>
      <c r="M167" s="165">
        <f t="shared" ca="1" si="93"/>
        <v>0</v>
      </c>
      <c r="N167" s="165">
        <f t="shared" ca="1" si="93"/>
        <v>0</v>
      </c>
      <c r="O167" s="165">
        <f t="shared" ca="1" si="93"/>
        <v>0</v>
      </c>
      <c r="P167" s="165">
        <f t="shared" ca="1" si="93"/>
        <v>0</v>
      </c>
      <c r="Q167" s="165">
        <f t="shared" ca="1" si="93"/>
        <v>0</v>
      </c>
      <c r="R167" s="165">
        <f t="shared" ca="1" si="93"/>
        <v>0</v>
      </c>
      <c r="S167" s="165">
        <f t="shared" ca="1" si="93"/>
        <v>0</v>
      </c>
      <c r="T167" s="165">
        <f t="shared" ca="1" si="93"/>
        <v>0</v>
      </c>
      <c r="U167" s="165">
        <f t="shared" ca="1" si="93"/>
        <v>0</v>
      </c>
      <c r="V167" s="165">
        <f t="shared" ca="1" si="93"/>
        <v>0</v>
      </c>
      <c r="W167" s="165">
        <f t="shared" ca="1" si="93"/>
        <v>0</v>
      </c>
      <c r="X167" s="165">
        <f t="shared" ca="1" si="93"/>
        <v>0</v>
      </c>
      <c r="Y167" s="165">
        <f t="shared" ca="1" si="93"/>
        <v>0</v>
      </c>
      <c r="Z167" s="165">
        <f t="shared" ca="1" si="93"/>
        <v>0</v>
      </c>
      <c r="AA167" s="165">
        <f t="shared" ca="1" si="93"/>
        <v>0</v>
      </c>
      <c r="AB167" s="165">
        <f t="shared" ca="1" si="93"/>
        <v>0</v>
      </c>
      <c r="AC167" s="165">
        <f t="shared" ca="1" si="93"/>
        <v>0</v>
      </c>
      <c r="AD167" s="165">
        <f t="shared" ca="1" si="93"/>
        <v>0</v>
      </c>
      <c r="AE167" s="165">
        <f t="shared" ca="1" si="93"/>
        <v>0</v>
      </c>
      <c r="AF167" s="165">
        <f t="shared" ca="1" si="93"/>
        <v>0</v>
      </c>
      <c r="AG167" s="165">
        <f t="shared" ca="1" si="93"/>
        <v>0</v>
      </c>
      <c r="AH167" s="165">
        <f t="shared" ca="1" si="93"/>
        <v>0</v>
      </c>
      <c r="AI167" s="165">
        <f t="shared" ca="1" si="93"/>
        <v>0</v>
      </c>
      <c r="AJ167" s="165">
        <f t="shared" ca="1" si="93"/>
        <v>0</v>
      </c>
      <c r="AK167" s="165">
        <f t="shared" ca="1" si="93"/>
        <v>0</v>
      </c>
      <c r="AL167" s="165">
        <f t="shared" ca="1" si="93"/>
        <v>0</v>
      </c>
      <c r="AM167" s="165">
        <f t="shared" ca="1" si="93"/>
        <v>0</v>
      </c>
      <c r="AN167" s="165">
        <f t="shared" ca="1" si="93"/>
        <v>0</v>
      </c>
      <c r="AO167" s="165">
        <f t="shared" ca="1" si="93"/>
        <v>0</v>
      </c>
      <c r="AP167" s="165">
        <f t="shared" ca="1" si="93"/>
        <v>0</v>
      </c>
      <c r="AQ167" s="165">
        <f t="shared" ca="1" si="93"/>
        <v>0</v>
      </c>
      <c r="AR167" s="165">
        <f t="shared" ca="1" si="93"/>
        <v>0</v>
      </c>
      <c r="AS167" s="165">
        <f t="shared" ca="1" si="93"/>
        <v>0</v>
      </c>
      <c r="AT167" s="165">
        <f t="shared" ca="1" si="93"/>
        <v>0</v>
      </c>
      <c r="AU167" s="165">
        <f t="shared" ca="1" si="93"/>
        <v>0</v>
      </c>
      <c r="AV167" s="165">
        <f t="shared" ca="1" si="93"/>
        <v>0</v>
      </c>
      <c r="AW167" s="165">
        <f t="shared" ca="1" si="93"/>
        <v>0</v>
      </c>
      <c r="AX167" s="165">
        <f t="shared" ca="1" si="93"/>
        <v>0</v>
      </c>
      <c r="AY167" s="165">
        <f t="shared" ca="1" si="93"/>
        <v>0</v>
      </c>
      <c r="AZ167" s="165">
        <f t="shared" ca="1" si="93"/>
        <v>0</v>
      </c>
      <c r="BA167" s="165">
        <f t="shared" ca="1" si="93"/>
        <v>0</v>
      </c>
      <c r="BB167" s="165">
        <f t="shared" ca="1" si="93"/>
        <v>0</v>
      </c>
      <c r="BC167" s="165">
        <f t="shared" ca="1" si="93"/>
        <v>0</v>
      </c>
      <c r="BD167" s="165">
        <f t="shared" ca="1" si="93"/>
        <v>0</v>
      </c>
      <c r="BE167" s="165">
        <f t="shared" ca="1" si="93"/>
        <v>0</v>
      </c>
      <c r="BF167" s="165">
        <f t="shared" ca="1" si="93"/>
        <v>0</v>
      </c>
      <c r="BG167" s="165">
        <f t="shared" ca="1" si="93"/>
        <v>0</v>
      </c>
      <c r="BH167" s="165">
        <f t="shared" ca="1" si="93"/>
        <v>0</v>
      </c>
      <c r="BI167" s="165">
        <f t="shared" ca="1" si="93"/>
        <v>0</v>
      </c>
      <c r="BJ167" s="165">
        <f t="shared" ca="1" si="93"/>
        <v>0</v>
      </c>
      <c r="BK167" s="165">
        <f t="shared" ca="1" si="93"/>
        <v>0</v>
      </c>
      <c r="BL167" s="165">
        <f t="shared" ca="1" si="93"/>
        <v>0</v>
      </c>
      <c r="BM167" s="165">
        <f t="shared" ca="1" si="93"/>
        <v>0</v>
      </c>
      <c r="BN167" s="165">
        <f t="shared" ca="1" si="93"/>
        <v>0</v>
      </c>
      <c r="BO167" s="165">
        <f t="shared" ca="1" si="93"/>
        <v>0</v>
      </c>
      <c r="BP167" s="165">
        <f t="shared" ca="1" si="93"/>
        <v>0</v>
      </c>
      <c r="BQ167" s="165">
        <f t="shared" ca="1" si="93"/>
        <v>0</v>
      </c>
      <c r="BR167" s="165">
        <f t="shared" ca="1" si="93"/>
        <v>0</v>
      </c>
      <c r="BS167" s="165">
        <f t="shared" ca="1" si="93"/>
        <v>0</v>
      </c>
      <c r="BT167" s="165">
        <f t="shared" ca="1" si="93"/>
        <v>0</v>
      </c>
      <c r="BU167" s="165">
        <f t="shared" ca="1" si="93"/>
        <v>0</v>
      </c>
      <c r="BV167" s="165">
        <f t="shared" ca="1" si="93"/>
        <v>0</v>
      </c>
      <c r="BW167" s="165">
        <f t="shared" ca="1" si="93"/>
        <v>0</v>
      </c>
    </row>
    <row r="168" spans="1:75" ht="12.75" x14ac:dyDescent="0.2">
      <c r="A168" s="23" t="s">
        <v>397</v>
      </c>
      <c r="B168" s="221"/>
      <c r="D168" s="165">
        <f t="shared" ref="D168:BW168" ca="1" si="94">-D115+C115</f>
        <v>0</v>
      </c>
      <c r="E168" s="165">
        <f t="shared" ca="1" si="94"/>
        <v>0</v>
      </c>
      <c r="F168" s="165">
        <f t="shared" ca="1" si="94"/>
        <v>0</v>
      </c>
      <c r="G168" s="165">
        <f t="shared" ca="1" si="94"/>
        <v>0</v>
      </c>
      <c r="H168" s="165">
        <f t="shared" ca="1" si="94"/>
        <v>0</v>
      </c>
      <c r="I168" s="165">
        <f t="shared" ca="1" si="94"/>
        <v>0</v>
      </c>
      <c r="J168" s="165">
        <f t="shared" ca="1" si="94"/>
        <v>0</v>
      </c>
      <c r="K168" s="165">
        <f t="shared" ca="1" si="94"/>
        <v>0</v>
      </c>
      <c r="L168" s="165">
        <f t="shared" ca="1" si="94"/>
        <v>0</v>
      </c>
      <c r="M168" s="165">
        <f t="shared" ca="1" si="94"/>
        <v>0</v>
      </c>
      <c r="N168" s="165">
        <f t="shared" ca="1" si="94"/>
        <v>0</v>
      </c>
      <c r="O168" s="165">
        <f t="shared" ca="1" si="94"/>
        <v>0</v>
      </c>
      <c r="P168" s="165">
        <f t="shared" ca="1" si="94"/>
        <v>0</v>
      </c>
      <c r="Q168" s="165">
        <f t="shared" ca="1" si="94"/>
        <v>0</v>
      </c>
      <c r="R168" s="165">
        <f t="shared" ca="1" si="94"/>
        <v>0</v>
      </c>
      <c r="S168" s="165">
        <f t="shared" ca="1" si="94"/>
        <v>0</v>
      </c>
      <c r="T168" s="165">
        <f t="shared" ca="1" si="94"/>
        <v>0</v>
      </c>
      <c r="U168" s="165">
        <f t="shared" ca="1" si="94"/>
        <v>0</v>
      </c>
      <c r="V168" s="165">
        <f t="shared" ca="1" si="94"/>
        <v>0</v>
      </c>
      <c r="W168" s="165">
        <f t="shared" ca="1" si="94"/>
        <v>0</v>
      </c>
      <c r="X168" s="165">
        <f t="shared" ca="1" si="94"/>
        <v>0</v>
      </c>
      <c r="Y168" s="165">
        <f t="shared" ca="1" si="94"/>
        <v>0</v>
      </c>
      <c r="Z168" s="165">
        <f t="shared" ca="1" si="94"/>
        <v>0</v>
      </c>
      <c r="AA168" s="165">
        <f t="shared" ca="1" si="94"/>
        <v>0</v>
      </c>
      <c r="AB168" s="165">
        <f t="shared" ca="1" si="94"/>
        <v>0</v>
      </c>
      <c r="AC168" s="165">
        <f t="shared" ca="1" si="94"/>
        <v>0</v>
      </c>
      <c r="AD168" s="165">
        <f t="shared" ca="1" si="94"/>
        <v>0</v>
      </c>
      <c r="AE168" s="165">
        <f t="shared" ca="1" si="94"/>
        <v>0</v>
      </c>
      <c r="AF168" s="165">
        <f t="shared" ca="1" si="94"/>
        <v>0</v>
      </c>
      <c r="AG168" s="165">
        <f t="shared" ca="1" si="94"/>
        <v>0</v>
      </c>
      <c r="AH168" s="165">
        <f t="shared" ca="1" si="94"/>
        <v>0</v>
      </c>
      <c r="AI168" s="165">
        <f t="shared" ca="1" si="94"/>
        <v>0</v>
      </c>
      <c r="AJ168" s="165">
        <f t="shared" ca="1" si="94"/>
        <v>0</v>
      </c>
      <c r="AK168" s="165">
        <f t="shared" ca="1" si="94"/>
        <v>0</v>
      </c>
      <c r="AL168" s="165">
        <f t="shared" ca="1" si="94"/>
        <v>0</v>
      </c>
      <c r="AM168" s="165">
        <f t="shared" ca="1" si="94"/>
        <v>0</v>
      </c>
      <c r="AN168" s="165">
        <f t="shared" ca="1" si="94"/>
        <v>0</v>
      </c>
      <c r="AO168" s="165">
        <f t="shared" ca="1" si="94"/>
        <v>0</v>
      </c>
      <c r="AP168" s="165">
        <f t="shared" ca="1" si="94"/>
        <v>0</v>
      </c>
      <c r="AQ168" s="165">
        <f t="shared" ca="1" si="94"/>
        <v>0</v>
      </c>
      <c r="AR168" s="165">
        <f t="shared" ca="1" si="94"/>
        <v>0</v>
      </c>
      <c r="AS168" s="165">
        <f t="shared" ca="1" si="94"/>
        <v>0</v>
      </c>
      <c r="AT168" s="165">
        <f t="shared" ca="1" si="94"/>
        <v>0</v>
      </c>
      <c r="AU168" s="165">
        <f t="shared" ca="1" si="94"/>
        <v>0</v>
      </c>
      <c r="AV168" s="165">
        <f t="shared" ca="1" si="94"/>
        <v>0</v>
      </c>
      <c r="AW168" s="165">
        <f t="shared" ca="1" si="94"/>
        <v>0</v>
      </c>
      <c r="AX168" s="165">
        <f t="shared" ca="1" si="94"/>
        <v>0</v>
      </c>
      <c r="AY168" s="165">
        <f t="shared" ca="1" si="94"/>
        <v>0</v>
      </c>
      <c r="AZ168" s="165">
        <f t="shared" ca="1" si="94"/>
        <v>0</v>
      </c>
      <c r="BA168" s="165">
        <f t="shared" ca="1" si="94"/>
        <v>0</v>
      </c>
      <c r="BB168" s="165">
        <f t="shared" ca="1" si="94"/>
        <v>0</v>
      </c>
      <c r="BC168" s="165">
        <f t="shared" ca="1" si="94"/>
        <v>0</v>
      </c>
      <c r="BD168" s="165">
        <f t="shared" ca="1" si="94"/>
        <v>0</v>
      </c>
      <c r="BE168" s="165">
        <f t="shared" ca="1" si="94"/>
        <v>0</v>
      </c>
      <c r="BF168" s="165">
        <f t="shared" ca="1" si="94"/>
        <v>0</v>
      </c>
      <c r="BG168" s="165">
        <f t="shared" ca="1" si="94"/>
        <v>0</v>
      </c>
      <c r="BH168" s="165">
        <f t="shared" ca="1" si="94"/>
        <v>0</v>
      </c>
      <c r="BI168" s="165">
        <f t="shared" ca="1" si="94"/>
        <v>0</v>
      </c>
      <c r="BJ168" s="165">
        <f t="shared" ca="1" si="94"/>
        <v>0</v>
      </c>
      <c r="BK168" s="165">
        <f t="shared" ca="1" si="94"/>
        <v>0</v>
      </c>
      <c r="BL168" s="165">
        <f t="shared" ca="1" si="94"/>
        <v>0</v>
      </c>
      <c r="BM168" s="165">
        <f t="shared" ca="1" si="94"/>
        <v>0</v>
      </c>
      <c r="BN168" s="165">
        <f t="shared" ca="1" si="94"/>
        <v>0</v>
      </c>
      <c r="BO168" s="165">
        <f t="shared" ca="1" si="94"/>
        <v>0</v>
      </c>
      <c r="BP168" s="165">
        <f t="shared" ca="1" si="94"/>
        <v>0</v>
      </c>
      <c r="BQ168" s="165">
        <f t="shared" ca="1" si="94"/>
        <v>0</v>
      </c>
      <c r="BR168" s="165">
        <f t="shared" ca="1" si="94"/>
        <v>0</v>
      </c>
      <c r="BS168" s="165">
        <f t="shared" ca="1" si="94"/>
        <v>0</v>
      </c>
      <c r="BT168" s="165">
        <f t="shared" ca="1" si="94"/>
        <v>0</v>
      </c>
      <c r="BU168" s="165">
        <f t="shared" ca="1" si="94"/>
        <v>0</v>
      </c>
      <c r="BV168" s="165">
        <f t="shared" ca="1" si="94"/>
        <v>0</v>
      </c>
      <c r="BW168" s="165">
        <f t="shared" ca="1" si="94"/>
        <v>0</v>
      </c>
    </row>
    <row r="169" spans="1:75" ht="12.75" x14ac:dyDescent="0.2">
      <c r="A169" s="23" t="s">
        <v>398</v>
      </c>
      <c r="B169" s="221"/>
      <c r="D169" s="165">
        <f t="shared" ref="D169:BW169" ca="1" si="95">-D116+C116</f>
        <v>0</v>
      </c>
      <c r="E169" s="165">
        <f t="shared" ca="1" si="95"/>
        <v>0</v>
      </c>
      <c r="F169" s="165">
        <f t="shared" ca="1" si="95"/>
        <v>0</v>
      </c>
      <c r="G169" s="165">
        <f t="shared" ca="1" si="95"/>
        <v>0</v>
      </c>
      <c r="H169" s="165">
        <f t="shared" ca="1" si="95"/>
        <v>0</v>
      </c>
      <c r="I169" s="165">
        <f t="shared" ca="1" si="95"/>
        <v>0</v>
      </c>
      <c r="J169" s="165">
        <f t="shared" ca="1" si="95"/>
        <v>0</v>
      </c>
      <c r="K169" s="165">
        <f t="shared" ca="1" si="95"/>
        <v>0</v>
      </c>
      <c r="L169" s="165">
        <f t="shared" ca="1" si="95"/>
        <v>0</v>
      </c>
      <c r="M169" s="165">
        <f t="shared" ca="1" si="95"/>
        <v>0</v>
      </c>
      <c r="N169" s="165">
        <f t="shared" ca="1" si="95"/>
        <v>0</v>
      </c>
      <c r="O169" s="165">
        <f t="shared" ca="1" si="95"/>
        <v>0</v>
      </c>
      <c r="P169" s="165">
        <f t="shared" ca="1" si="95"/>
        <v>0</v>
      </c>
      <c r="Q169" s="165">
        <f t="shared" ca="1" si="95"/>
        <v>0</v>
      </c>
      <c r="R169" s="165">
        <f t="shared" ca="1" si="95"/>
        <v>0</v>
      </c>
      <c r="S169" s="165">
        <f t="shared" ca="1" si="95"/>
        <v>0</v>
      </c>
      <c r="T169" s="165">
        <f t="shared" ca="1" si="95"/>
        <v>0</v>
      </c>
      <c r="U169" s="165">
        <f t="shared" ca="1" si="95"/>
        <v>0</v>
      </c>
      <c r="V169" s="165">
        <f t="shared" ca="1" si="95"/>
        <v>0</v>
      </c>
      <c r="W169" s="165">
        <f t="shared" ca="1" si="95"/>
        <v>0</v>
      </c>
      <c r="X169" s="165">
        <f t="shared" ca="1" si="95"/>
        <v>0</v>
      </c>
      <c r="Y169" s="165">
        <f t="shared" ca="1" si="95"/>
        <v>0</v>
      </c>
      <c r="Z169" s="165">
        <f t="shared" ca="1" si="95"/>
        <v>0</v>
      </c>
      <c r="AA169" s="165">
        <f t="shared" ca="1" si="95"/>
        <v>0</v>
      </c>
      <c r="AB169" s="165">
        <f t="shared" ca="1" si="95"/>
        <v>0</v>
      </c>
      <c r="AC169" s="165">
        <f t="shared" ca="1" si="95"/>
        <v>0</v>
      </c>
      <c r="AD169" s="165">
        <f t="shared" ca="1" si="95"/>
        <v>0</v>
      </c>
      <c r="AE169" s="165">
        <f t="shared" ca="1" si="95"/>
        <v>0</v>
      </c>
      <c r="AF169" s="165">
        <f t="shared" ca="1" si="95"/>
        <v>0</v>
      </c>
      <c r="AG169" s="165">
        <f t="shared" ca="1" si="95"/>
        <v>0</v>
      </c>
      <c r="AH169" s="165">
        <f t="shared" ca="1" si="95"/>
        <v>0</v>
      </c>
      <c r="AI169" s="165">
        <f t="shared" ca="1" si="95"/>
        <v>0</v>
      </c>
      <c r="AJ169" s="165">
        <f t="shared" ca="1" si="95"/>
        <v>0</v>
      </c>
      <c r="AK169" s="165">
        <f t="shared" ca="1" si="95"/>
        <v>0</v>
      </c>
      <c r="AL169" s="165">
        <f t="shared" ca="1" si="95"/>
        <v>0</v>
      </c>
      <c r="AM169" s="165">
        <f t="shared" ca="1" si="95"/>
        <v>0</v>
      </c>
      <c r="AN169" s="165">
        <f t="shared" ca="1" si="95"/>
        <v>0</v>
      </c>
      <c r="AO169" s="165">
        <f t="shared" ca="1" si="95"/>
        <v>0</v>
      </c>
      <c r="AP169" s="165">
        <f t="shared" ca="1" si="95"/>
        <v>0</v>
      </c>
      <c r="AQ169" s="165">
        <f t="shared" ca="1" si="95"/>
        <v>0</v>
      </c>
      <c r="AR169" s="165">
        <f t="shared" ca="1" si="95"/>
        <v>0</v>
      </c>
      <c r="AS169" s="165">
        <f t="shared" ca="1" si="95"/>
        <v>0</v>
      </c>
      <c r="AT169" s="165">
        <f t="shared" ca="1" si="95"/>
        <v>0</v>
      </c>
      <c r="AU169" s="165">
        <f t="shared" ca="1" si="95"/>
        <v>0</v>
      </c>
      <c r="AV169" s="165">
        <f t="shared" ca="1" si="95"/>
        <v>0</v>
      </c>
      <c r="AW169" s="165">
        <f t="shared" ca="1" si="95"/>
        <v>0</v>
      </c>
      <c r="AX169" s="165">
        <f t="shared" ca="1" si="95"/>
        <v>0</v>
      </c>
      <c r="AY169" s="165">
        <f t="shared" ca="1" si="95"/>
        <v>0</v>
      </c>
      <c r="AZ169" s="165">
        <f t="shared" ca="1" si="95"/>
        <v>0</v>
      </c>
      <c r="BA169" s="165">
        <f t="shared" ca="1" si="95"/>
        <v>0</v>
      </c>
      <c r="BB169" s="165">
        <f t="shared" ca="1" si="95"/>
        <v>0</v>
      </c>
      <c r="BC169" s="165">
        <f t="shared" ca="1" si="95"/>
        <v>0</v>
      </c>
      <c r="BD169" s="165">
        <f t="shared" ca="1" si="95"/>
        <v>0</v>
      </c>
      <c r="BE169" s="165">
        <f t="shared" ca="1" si="95"/>
        <v>0</v>
      </c>
      <c r="BF169" s="165">
        <f t="shared" ca="1" si="95"/>
        <v>0</v>
      </c>
      <c r="BG169" s="165">
        <f t="shared" ca="1" si="95"/>
        <v>0</v>
      </c>
      <c r="BH169" s="165">
        <f t="shared" ca="1" si="95"/>
        <v>0</v>
      </c>
      <c r="BI169" s="165">
        <f t="shared" ca="1" si="95"/>
        <v>0</v>
      </c>
      <c r="BJ169" s="165">
        <f t="shared" ca="1" si="95"/>
        <v>0</v>
      </c>
      <c r="BK169" s="165">
        <f t="shared" ca="1" si="95"/>
        <v>0</v>
      </c>
      <c r="BL169" s="165">
        <f t="shared" ca="1" si="95"/>
        <v>0</v>
      </c>
      <c r="BM169" s="165">
        <f t="shared" ca="1" si="95"/>
        <v>0</v>
      </c>
      <c r="BN169" s="165">
        <f t="shared" ca="1" si="95"/>
        <v>0</v>
      </c>
      <c r="BO169" s="165">
        <f t="shared" ca="1" si="95"/>
        <v>0</v>
      </c>
      <c r="BP169" s="165">
        <f t="shared" ca="1" si="95"/>
        <v>0</v>
      </c>
      <c r="BQ169" s="165">
        <f t="shared" ca="1" si="95"/>
        <v>0</v>
      </c>
      <c r="BR169" s="165">
        <f t="shared" ca="1" si="95"/>
        <v>0</v>
      </c>
      <c r="BS169" s="165">
        <f t="shared" ca="1" si="95"/>
        <v>0</v>
      </c>
      <c r="BT169" s="165">
        <f t="shared" ca="1" si="95"/>
        <v>0</v>
      </c>
      <c r="BU169" s="165">
        <f t="shared" ca="1" si="95"/>
        <v>0</v>
      </c>
      <c r="BV169" s="165">
        <f t="shared" ca="1" si="95"/>
        <v>0</v>
      </c>
      <c r="BW169" s="165">
        <f t="shared" ca="1" si="95"/>
        <v>0</v>
      </c>
    </row>
    <row r="170" spans="1:75" ht="12.75" x14ac:dyDescent="0.2">
      <c r="A170" s="256" t="s">
        <v>399</v>
      </c>
      <c r="B170" s="238"/>
      <c r="C170" s="212"/>
      <c r="D170" s="213">
        <f t="shared" ref="D170:BW170" ca="1" si="96">SUM(D167:D169)</f>
        <v>0</v>
      </c>
      <c r="E170" s="213">
        <f t="shared" ca="1" si="96"/>
        <v>0</v>
      </c>
      <c r="F170" s="213">
        <f t="shared" ca="1" si="96"/>
        <v>0</v>
      </c>
      <c r="G170" s="213">
        <f t="shared" ca="1" si="96"/>
        <v>0</v>
      </c>
      <c r="H170" s="213">
        <f t="shared" ca="1" si="96"/>
        <v>0</v>
      </c>
      <c r="I170" s="213">
        <f t="shared" ca="1" si="96"/>
        <v>0</v>
      </c>
      <c r="J170" s="213">
        <f t="shared" ca="1" si="96"/>
        <v>0</v>
      </c>
      <c r="K170" s="213">
        <f t="shared" ca="1" si="96"/>
        <v>0</v>
      </c>
      <c r="L170" s="213">
        <f t="shared" ca="1" si="96"/>
        <v>0</v>
      </c>
      <c r="M170" s="213">
        <f t="shared" ca="1" si="96"/>
        <v>0</v>
      </c>
      <c r="N170" s="213">
        <f t="shared" ca="1" si="96"/>
        <v>0</v>
      </c>
      <c r="O170" s="213">
        <f t="shared" ca="1" si="96"/>
        <v>0</v>
      </c>
      <c r="P170" s="213">
        <f t="shared" ca="1" si="96"/>
        <v>0</v>
      </c>
      <c r="Q170" s="213">
        <f t="shared" ca="1" si="96"/>
        <v>0</v>
      </c>
      <c r="R170" s="213">
        <f t="shared" ca="1" si="96"/>
        <v>0</v>
      </c>
      <c r="S170" s="213">
        <f t="shared" ca="1" si="96"/>
        <v>0</v>
      </c>
      <c r="T170" s="213">
        <f t="shared" ca="1" si="96"/>
        <v>0</v>
      </c>
      <c r="U170" s="213">
        <f t="shared" ca="1" si="96"/>
        <v>0</v>
      </c>
      <c r="V170" s="213">
        <f t="shared" ca="1" si="96"/>
        <v>0</v>
      </c>
      <c r="W170" s="213">
        <f t="shared" ca="1" si="96"/>
        <v>0</v>
      </c>
      <c r="X170" s="213">
        <f t="shared" ca="1" si="96"/>
        <v>0</v>
      </c>
      <c r="Y170" s="213">
        <f t="shared" ca="1" si="96"/>
        <v>0</v>
      </c>
      <c r="Z170" s="213">
        <f t="shared" ca="1" si="96"/>
        <v>0</v>
      </c>
      <c r="AA170" s="213">
        <f t="shared" ca="1" si="96"/>
        <v>0</v>
      </c>
      <c r="AB170" s="213">
        <f t="shared" ca="1" si="96"/>
        <v>0</v>
      </c>
      <c r="AC170" s="213">
        <f t="shared" ca="1" si="96"/>
        <v>0</v>
      </c>
      <c r="AD170" s="213">
        <f t="shared" ca="1" si="96"/>
        <v>0</v>
      </c>
      <c r="AE170" s="213">
        <f t="shared" ca="1" si="96"/>
        <v>0</v>
      </c>
      <c r="AF170" s="213">
        <f t="shared" ca="1" si="96"/>
        <v>0</v>
      </c>
      <c r="AG170" s="213">
        <f t="shared" ca="1" si="96"/>
        <v>0</v>
      </c>
      <c r="AH170" s="213">
        <f t="shared" ca="1" si="96"/>
        <v>0</v>
      </c>
      <c r="AI170" s="213">
        <f t="shared" ca="1" si="96"/>
        <v>0</v>
      </c>
      <c r="AJ170" s="213">
        <f t="shared" ca="1" si="96"/>
        <v>0</v>
      </c>
      <c r="AK170" s="213">
        <f t="shared" ca="1" si="96"/>
        <v>0</v>
      </c>
      <c r="AL170" s="213">
        <f t="shared" ca="1" si="96"/>
        <v>0</v>
      </c>
      <c r="AM170" s="213">
        <f t="shared" ca="1" si="96"/>
        <v>0</v>
      </c>
      <c r="AN170" s="213">
        <f t="shared" ca="1" si="96"/>
        <v>0</v>
      </c>
      <c r="AO170" s="213">
        <f t="shared" ca="1" si="96"/>
        <v>0</v>
      </c>
      <c r="AP170" s="213">
        <f t="shared" ca="1" si="96"/>
        <v>0</v>
      </c>
      <c r="AQ170" s="213">
        <f t="shared" ca="1" si="96"/>
        <v>0</v>
      </c>
      <c r="AR170" s="213">
        <f t="shared" ca="1" si="96"/>
        <v>0</v>
      </c>
      <c r="AS170" s="213">
        <f t="shared" ca="1" si="96"/>
        <v>0</v>
      </c>
      <c r="AT170" s="213">
        <f t="shared" ca="1" si="96"/>
        <v>0</v>
      </c>
      <c r="AU170" s="213">
        <f t="shared" ca="1" si="96"/>
        <v>0</v>
      </c>
      <c r="AV170" s="213">
        <f t="shared" ca="1" si="96"/>
        <v>0</v>
      </c>
      <c r="AW170" s="213">
        <f t="shared" ca="1" si="96"/>
        <v>0</v>
      </c>
      <c r="AX170" s="213">
        <f t="shared" ca="1" si="96"/>
        <v>0</v>
      </c>
      <c r="AY170" s="213">
        <f t="shared" ca="1" si="96"/>
        <v>0</v>
      </c>
      <c r="AZ170" s="213">
        <f t="shared" ca="1" si="96"/>
        <v>0</v>
      </c>
      <c r="BA170" s="213">
        <f t="shared" ca="1" si="96"/>
        <v>0</v>
      </c>
      <c r="BB170" s="213">
        <f t="shared" ca="1" si="96"/>
        <v>0</v>
      </c>
      <c r="BC170" s="213">
        <f t="shared" ca="1" si="96"/>
        <v>0</v>
      </c>
      <c r="BD170" s="213">
        <f t="shared" ca="1" si="96"/>
        <v>0</v>
      </c>
      <c r="BE170" s="213">
        <f t="shared" ca="1" si="96"/>
        <v>0</v>
      </c>
      <c r="BF170" s="213">
        <f t="shared" ca="1" si="96"/>
        <v>0</v>
      </c>
      <c r="BG170" s="213">
        <f t="shared" ca="1" si="96"/>
        <v>0</v>
      </c>
      <c r="BH170" s="213">
        <f t="shared" ca="1" si="96"/>
        <v>0</v>
      </c>
      <c r="BI170" s="213">
        <f t="shared" ca="1" si="96"/>
        <v>0</v>
      </c>
      <c r="BJ170" s="213">
        <f t="shared" ca="1" si="96"/>
        <v>0</v>
      </c>
      <c r="BK170" s="213">
        <f t="shared" ca="1" si="96"/>
        <v>0</v>
      </c>
      <c r="BL170" s="213">
        <f t="shared" ca="1" si="96"/>
        <v>0</v>
      </c>
      <c r="BM170" s="213">
        <f t="shared" ca="1" si="96"/>
        <v>0</v>
      </c>
      <c r="BN170" s="213">
        <f t="shared" ca="1" si="96"/>
        <v>0</v>
      </c>
      <c r="BO170" s="213">
        <f t="shared" ca="1" si="96"/>
        <v>0</v>
      </c>
      <c r="BP170" s="213">
        <f t="shared" ca="1" si="96"/>
        <v>0</v>
      </c>
      <c r="BQ170" s="213">
        <f t="shared" ca="1" si="96"/>
        <v>0</v>
      </c>
      <c r="BR170" s="213">
        <f t="shared" ca="1" si="96"/>
        <v>0</v>
      </c>
      <c r="BS170" s="213">
        <f t="shared" ca="1" si="96"/>
        <v>0</v>
      </c>
      <c r="BT170" s="213">
        <f t="shared" ca="1" si="96"/>
        <v>0</v>
      </c>
      <c r="BU170" s="213">
        <f t="shared" ca="1" si="96"/>
        <v>0</v>
      </c>
      <c r="BV170" s="213">
        <f t="shared" ca="1" si="96"/>
        <v>0</v>
      </c>
      <c r="BW170" s="213">
        <f t="shared" ca="1" si="96"/>
        <v>0</v>
      </c>
    </row>
    <row r="171" spans="1:75" ht="12.75" x14ac:dyDescent="0.2">
      <c r="A171" s="69" t="s">
        <v>244</v>
      </c>
      <c r="B171" s="221"/>
      <c r="D171" s="115">
        <f t="array" aca="1" ref="D171" ca="1">ROUND(INDEX(INDIRECT("CFS_"&amp;TEXT(D$1,"mmm")&amp;"_"&amp;TEXT(D$1,"yyyy")),MATCH(TRIM($A170),CFS_Accounts,0))-D170,2)</f>
        <v>0</v>
      </c>
      <c r="E171" s="115">
        <f t="array" aca="1" ref="E171" ca="1">ROUND(INDEX(INDIRECT("CFS_"&amp;TEXT(E$1,"mmm")&amp;"_"&amp;TEXT(E$1,"yyyy")),MATCH(TRIM($A170),CFS_Accounts,0))-E170,2)</f>
        <v>0</v>
      </c>
      <c r="F171" s="115">
        <f t="array" aca="1" ref="F171" ca="1">ROUND(INDEX(INDIRECT("CFS_"&amp;TEXT(F$1,"mmm")&amp;"_"&amp;TEXT(F$1,"yyyy")),MATCH(TRIM($A170),CFS_Accounts,0))-F170,2)</f>
        <v>0</v>
      </c>
      <c r="G171" s="115">
        <f t="array" aca="1" ref="G171" ca="1">ROUND(INDEX(INDIRECT("CFS_"&amp;TEXT(G$1,"mmm")&amp;"_"&amp;TEXT(G$1,"yyyy")),MATCH(TRIM($A170),CFS_Accounts,0))-G170,2)</f>
        <v>0</v>
      </c>
      <c r="H171" s="115">
        <f t="array" aca="1" ref="H171" ca="1">ROUND(INDEX(INDIRECT("CFS_"&amp;TEXT(H$1,"mmm")&amp;"_"&amp;TEXT(H$1,"yyyy")),MATCH(TRIM($A170),CFS_Accounts,0))-H170,2)</f>
        <v>0</v>
      </c>
      <c r="I171" s="115">
        <f t="array" aca="1" ref="I171" ca="1">ROUND(INDEX(INDIRECT("CFS_"&amp;TEXT(I$1,"mmm")&amp;"_"&amp;TEXT(I$1,"yyyy")),MATCH(TRIM($A170),CFS_Accounts,0))-I170,2)</f>
        <v>0</v>
      </c>
      <c r="J171" s="115">
        <f t="array" aca="1" ref="J171" ca="1">ROUND(INDEX(INDIRECT("CFS_"&amp;TEXT(J$1,"mmm")&amp;"_"&amp;TEXT(J$1,"yyyy")),MATCH(TRIM($A170),CFS_Accounts,0))-J170,2)</f>
        <v>0</v>
      </c>
      <c r="K171" s="115">
        <f t="array" aca="1" ref="K171" ca="1">ROUND(INDEX(INDIRECT("CFS_"&amp;TEXT(K$1,"mmm")&amp;"_"&amp;TEXT(K$1,"yyyy")),MATCH(TRIM($A170),CFS_Accounts,0))-K170,2)</f>
        <v>0</v>
      </c>
      <c r="L171" s="115">
        <f t="array" aca="1" ref="L171" ca="1">ROUND(INDEX(INDIRECT("CFS_"&amp;TEXT(L$1,"mmm")&amp;"_"&amp;TEXT(L$1,"yyyy")),MATCH(TRIM($A170),CFS_Accounts,0))-L170,2)</f>
        <v>0</v>
      </c>
      <c r="M171" s="115">
        <f t="array" aca="1" ref="M171" ca="1">ROUND(INDEX(INDIRECT("CFS_"&amp;TEXT(M$1,"mmm")&amp;"_"&amp;TEXT(M$1,"yyyy")),MATCH(TRIM($A170),CFS_Accounts,0))-M170,2)</f>
        <v>0</v>
      </c>
      <c r="N171" s="115">
        <f t="array" aca="1" ref="N171" ca="1">ROUND(INDEX(INDIRECT("CFS_"&amp;TEXT(N$1,"mmm")&amp;"_"&amp;TEXT(N$1,"yyyy")),MATCH(TRIM($A170),CFS_Accounts,0))-N170,2)</f>
        <v>0</v>
      </c>
      <c r="O171" s="115">
        <f t="array" aca="1" ref="O171" ca="1">ROUND(INDEX(INDIRECT("CFS_"&amp;TEXT(O$1,"mmm")&amp;"_"&amp;TEXT(O$1,"yyyy")),MATCH(TRIM($A170),CFS_Accounts,0))-O170,2)</f>
        <v>0</v>
      </c>
      <c r="P171" s="115">
        <f t="array" aca="1" ref="P171" ca="1">ROUND(INDEX(INDIRECT("CFS_"&amp;TEXT(P$1,"mmm")&amp;"_"&amp;TEXT(P$1,"yyyy")),MATCH(TRIM($A170),CFS_Accounts,0))-P170,2)</f>
        <v>0</v>
      </c>
      <c r="Q171" s="115">
        <f t="array" aca="1" ref="Q171" ca="1">ROUND(INDEX(INDIRECT("CFS_"&amp;TEXT(Q$1,"mmm")&amp;"_"&amp;TEXT(Q$1,"yyyy")),MATCH(TRIM($A170),CFS_Accounts,0))-Q170,2)</f>
        <v>0</v>
      </c>
      <c r="R171" s="115">
        <f t="array" aca="1" ref="R171" ca="1">ROUND(INDEX(INDIRECT("CFS_"&amp;TEXT(R$1,"mmm")&amp;"_"&amp;TEXT(R$1,"yyyy")),MATCH(TRIM($A170),CFS_Accounts,0))-R170,2)</f>
        <v>0</v>
      </c>
      <c r="S171" s="115">
        <f t="array" aca="1" ref="S171" ca="1">ROUND(INDEX(INDIRECT("CFS_"&amp;TEXT(S$1,"mmm")&amp;"_"&amp;TEXT(S$1,"yyyy")),MATCH(TRIM($A170),CFS_Accounts,0))-S170,2)</f>
        <v>0</v>
      </c>
      <c r="T171" s="115">
        <f t="array" aca="1" ref="T171" ca="1">ROUND(INDEX(INDIRECT("CFS_"&amp;TEXT(T$1,"mmm")&amp;"_"&amp;TEXT(T$1,"yyyy")),MATCH(TRIM($A170),CFS_Accounts,0))-T170,2)</f>
        <v>0</v>
      </c>
      <c r="U171" s="115">
        <f t="array" aca="1" ref="U171" ca="1">ROUND(INDEX(INDIRECT("CFS_"&amp;TEXT(U$1,"mmm")&amp;"_"&amp;TEXT(U$1,"yyyy")),MATCH(TRIM($A170),CFS_Accounts,0))-U170,2)</f>
        <v>0</v>
      </c>
      <c r="V171" s="115">
        <f t="array" aca="1" ref="V171" ca="1">ROUND(INDEX(INDIRECT("CFS_"&amp;TEXT(V$1,"mmm")&amp;"_"&amp;TEXT(V$1,"yyyy")),MATCH(TRIM($A170),CFS_Accounts,0))-V170,2)</f>
        <v>0</v>
      </c>
      <c r="W171" s="115">
        <f t="array" aca="1" ref="W171" ca="1">ROUND(INDEX(INDIRECT("CFS_"&amp;TEXT(W$1,"mmm")&amp;"_"&amp;TEXT(W$1,"yyyy")),MATCH(TRIM($A170),CFS_Accounts,0))-W170,2)</f>
        <v>0</v>
      </c>
      <c r="X171" s="115">
        <f t="array" aca="1" ref="X171" ca="1">ROUND(INDEX(INDIRECT("CFS_"&amp;TEXT(X$1,"mmm")&amp;"_"&amp;TEXT(X$1,"yyyy")),MATCH(TRIM($A170),CFS_Accounts,0))-X170,2)</f>
        <v>0</v>
      </c>
      <c r="Y171" s="115">
        <f t="array" aca="1" ref="Y171" ca="1">ROUND(INDEX(INDIRECT("CFS_"&amp;TEXT(Y$1,"mmm")&amp;"_"&amp;TEXT(Y$1,"yyyy")),MATCH(TRIM($A170),CFS_Accounts,0))-Y170,2)</f>
        <v>0</v>
      </c>
      <c r="Z171" s="115">
        <f t="array" aca="1" ref="Z171" ca="1">ROUND(INDEX(INDIRECT("CFS_"&amp;TEXT(Z$1,"mmm")&amp;"_"&amp;TEXT(Z$1,"yyyy")),MATCH(TRIM($A170),CFS_Accounts,0))-Z170,2)</f>
        <v>0</v>
      </c>
      <c r="AA171" s="115">
        <f t="array" aca="1" ref="AA171" ca="1">ROUND(INDEX(INDIRECT("CFS_"&amp;TEXT(AA$1,"mmm")&amp;"_"&amp;TEXT(AA$1,"yyyy")),MATCH(TRIM($A170),CFS_Accounts,0))-AA170,2)</f>
        <v>0</v>
      </c>
      <c r="AB171" s="115">
        <f t="array" aca="1" ref="AB171" ca="1">ROUND(INDEX(INDIRECT("CFS_"&amp;TEXT(AB$1,"mmm")&amp;"_"&amp;TEXT(AB$1,"yyyy")),MATCH(TRIM($A170),CFS_Accounts,0))-AB170,2)</f>
        <v>0</v>
      </c>
      <c r="AC171" s="115">
        <f t="array" aca="1" ref="AC171" ca="1">ROUND(INDEX(INDIRECT("CFS_"&amp;TEXT(AC$1,"mmm")&amp;"_"&amp;TEXT(AC$1,"yyyy")),MATCH(TRIM($A170),CFS_Accounts,0))-AC170,2)</f>
        <v>0</v>
      </c>
      <c r="AD171" s="115">
        <f t="array" aca="1" ref="AD171" ca="1">ROUND(INDEX(INDIRECT("CFS_"&amp;TEXT(AD$1,"mmm")&amp;"_"&amp;TEXT(AD$1,"yyyy")),MATCH(TRIM($A170),CFS_Accounts,0))-AD170,2)</f>
        <v>0</v>
      </c>
      <c r="AE171" s="115">
        <f t="array" aca="1" ref="AE171" ca="1">ROUND(INDEX(INDIRECT("CFS_"&amp;TEXT(AE$1,"mmm")&amp;"_"&amp;TEXT(AE$1,"yyyy")),MATCH(TRIM($A170),CFS_Accounts,0))-AE170,2)</f>
        <v>0</v>
      </c>
    </row>
    <row r="172" spans="1:75" ht="12.75" x14ac:dyDescent="0.2">
      <c r="A172" s="215" t="s">
        <v>400</v>
      </c>
      <c r="B172" s="221"/>
    </row>
    <row r="173" spans="1:75" ht="12.75" x14ac:dyDescent="0.2">
      <c r="A173" s="23" t="s">
        <v>401</v>
      </c>
      <c r="B173" s="221"/>
      <c r="D173" s="165">
        <f t="shared" ref="D173:BW173" ca="1" si="97">D134-C134</f>
        <v>550000</v>
      </c>
      <c r="E173" s="165">
        <f t="shared" ca="1" si="97"/>
        <v>100000</v>
      </c>
      <c r="F173" s="165">
        <f t="shared" ca="1" si="97"/>
        <v>0</v>
      </c>
      <c r="G173" s="165">
        <f t="shared" ca="1" si="97"/>
        <v>0</v>
      </c>
      <c r="H173" s="165">
        <f t="shared" ca="1" si="97"/>
        <v>0</v>
      </c>
      <c r="I173" s="165">
        <f t="shared" ca="1" si="97"/>
        <v>0</v>
      </c>
      <c r="J173" s="165">
        <f t="shared" ca="1" si="97"/>
        <v>0</v>
      </c>
      <c r="K173" s="165">
        <f t="shared" ca="1" si="97"/>
        <v>0</v>
      </c>
      <c r="L173" s="165">
        <f t="shared" ca="1" si="97"/>
        <v>0</v>
      </c>
      <c r="M173" s="165">
        <f t="shared" ca="1" si="97"/>
        <v>600000</v>
      </c>
      <c r="N173" s="165">
        <f t="shared" ca="1" si="97"/>
        <v>0</v>
      </c>
      <c r="O173" s="165">
        <f t="shared" ca="1" si="97"/>
        <v>0</v>
      </c>
      <c r="P173" s="165">
        <f t="shared" ca="1" si="97"/>
        <v>500000</v>
      </c>
      <c r="Q173" s="165">
        <f t="shared" ca="1" si="97"/>
        <v>0</v>
      </c>
      <c r="R173" s="165">
        <f t="shared" ca="1" si="97"/>
        <v>0</v>
      </c>
      <c r="S173" s="165">
        <f t="shared" ca="1" si="97"/>
        <v>0</v>
      </c>
      <c r="T173" s="165">
        <f t="shared" ca="1" si="97"/>
        <v>300000</v>
      </c>
      <c r="U173" s="165">
        <f t="shared" ca="1" si="97"/>
        <v>0</v>
      </c>
      <c r="V173" s="165">
        <f t="shared" ca="1" si="97"/>
        <v>0</v>
      </c>
      <c r="W173" s="165">
        <f t="shared" ca="1" si="97"/>
        <v>0</v>
      </c>
      <c r="X173" s="165">
        <f t="shared" ca="1" si="97"/>
        <v>0</v>
      </c>
      <c r="Y173" s="165">
        <f t="shared" ca="1" si="97"/>
        <v>300000</v>
      </c>
      <c r="Z173" s="165">
        <f t="shared" ca="1" si="97"/>
        <v>0</v>
      </c>
      <c r="AA173" s="165">
        <f t="shared" ca="1" si="97"/>
        <v>0</v>
      </c>
      <c r="AB173" s="165">
        <f t="shared" ca="1" si="97"/>
        <v>0</v>
      </c>
      <c r="AC173" s="165">
        <f t="shared" ca="1" si="97"/>
        <v>0</v>
      </c>
      <c r="AD173" s="165">
        <f t="shared" ca="1" si="97"/>
        <v>0</v>
      </c>
      <c r="AE173" s="165">
        <f t="shared" ca="1" si="97"/>
        <v>0</v>
      </c>
      <c r="AF173" s="165">
        <f t="shared" ca="1" si="97"/>
        <v>0</v>
      </c>
      <c r="AG173" s="165">
        <f t="shared" ca="1" si="97"/>
        <v>0</v>
      </c>
      <c r="AH173" s="165">
        <f t="shared" ca="1" si="97"/>
        <v>0</v>
      </c>
      <c r="AI173" s="165">
        <f t="shared" ca="1" si="97"/>
        <v>0</v>
      </c>
      <c r="AJ173" s="165">
        <f t="shared" ca="1" si="97"/>
        <v>0</v>
      </c>
      <c r="AK173" s="165">
        <f t="shared" ca="1" si="97"/>
        <v>0</v>
      </c>
      <c r="AL173" s="165">
        <f t="shared" ca="1" si="97"/>
        <v>0</v>
      </c>
      <c r="AM173" s="165">
        <f t="shared" ca="1" si="97"/>
        <v>0</v>
      </c>
      <c r="AN173" s="165">
        <f t="shared" ca="1" si="97"/>
        <v>0</v>
      </c>
      <c r="AO173" s="165">
        <f t="shared" ca="1" si="97"/>
        <v>0</v>
      </c>
      <c r="AP173" s="165">
        <f t="shared" ca="1" si="97"/>
        <v>0</v>
      </c>
      <c r="AQ173" s="165">
        <f t="shared" ca="1" si="97"/>
        <v>0</v>
      </c>
      <c r="AR173" s="165">
        <f t="shared" ca="1" si="97"/>
        <v>0</v>
      </c>
      <c r="AS173" s="165">
        <f t="shared" ca="1" si="97"/>
        <v>0</v>
      </c>
      <c r="AT173" s="165">
        <f t="shared" ca="1" si="97"/>
        <v>0</v>
      </c>
      <c r="AU173" s="165">
        <f t="shared" ca="1" si="97"/>
        <v>0</v>
      </c>
      <c r="AV173" s="165">
        <f t="shared" ca="1" si="97"/>
        <v>0</v>
      </c>
      <c r="AW173" s="165">
        <f t="shared" ca="1" si="97"/>
        <v>0</v>
      </c>
      <c r="AX173" s="165">
        <f t="shared" ca="1" si="97"/>
        <v>0</v>
      </c>
      <c r="AY173" s="165">
        <f t="shared" ca="1" si="97"/>
        <v>0</v>
      </c>
      <c r="AZ173" s="165">
        <f t="shared" ca="1" si="97"/>
        <v>0</v>
      </c>
      <c r="BA173" s="165">
        <f t="shared" ca="1" si="97"/>
        <v>0</v>
      </c>
      <c r="BB173" s="165">
        <f t="shared" ca="1" si="97"/>
        <v>0</v>
      </c>
      <c r="BC173" s="165">
        <f t="shared" ca="1" si="97"/>
        <v>0</v>
      </c>
      <c r="BD173" s="165">
        <f t="shared" ca="1" si="97"/>
        <v>0</v>
      </c>
      <c r="BE173" s="165">
        <f t="shared" ca="1" si="97"/>
        <v>0</v>
      </c>
      <c r="BF173" s="165">
        <f t="shared" ca="1" si="97"/>
        <v>0</v>
      </c>
      <c r="BG173" s="165">
        <f t="shared" ca="1" si="97"/>
        <v>0</v>
      </c>
      <c r="BH173" s="165">
        <f t="shared" ca="1" si="97"/>
        <v>0</v>
      </c>
      <c r="BI173" s="165">
        <f t="shared" ca="1" si="97"/>
        <v>0</v>
      </c>
      <c r="BJ173" s="165">
        <f t="shared" ca="1" si="97"/>
        <v>0</v>
      </c>
      <c r="BK173" s="165">
        <f t="shared" ca="1" si="97"/>
        <v>0</v>
      </c>
      <c r="BL173" s="165">
        <f t="shared" ca="1" si="97"/>
        <v>0</v>
      </c>
      <c r="BM173" s="165">
        <f t="shared" ca="1" si="97"/>
        <v>0</v>
      </c>
      <c r="BN173" s="165">
        <f t="shared" ca="1" si="97"/>
        <v>0</v>
      </c>
      <c r="BO173" s="165">
        <f t="shared" ca="1" si="97"/>
        <v>0</v>
      </c>
      <c r="BP173" s="165">
        <f t="shared" ca="1" si="97"/>
        <v>0</v>
      </c>
      <c r="BQ173" s="165">
        <f t="shared" ca="1" si="97"/>
        <v>0</v>
      </c>
      <c r="BR173" s="165">
        <f t="shared" ca="1" si="97"/>
        <v>0</v>
      </c>
      <c r="BS173" s="165">
        <f t="shared" ca="1" si="97"/>
        <v>0</v>
      </c>
      <c r="BT173" s="165">
        <f t="shared" ca="1" si="97"/>
        <v>0</v>
      </c>
      <c r="BU173" s="165">
        <f t="shared" ca="1" si="97"/>
        <v>0</v>
      </c>
      <c r="BV173" s="165">
        <f t="shared" ca="1" si="97"/>
        <v>0</v>
      </c>
      <c r="BW173" s="165">
        <f t="shared" ca="1" si="97"/>
        <v>0</v>
      </c>
    </row>
    <row r="174" spans="1:75" ht="12.75" x14ac:dyDescent="0.2">
      <c r="A174" s="23" t="s">
        <v>402</v>
      </c>
      <c r="B174" s="221"/>
      <c r="D174" s="165">
        <f t="shared" ref="D174:BW174" ca="1" si="98">D135-C135</f>
        <v>500000</v>
      </c>
      <c r="E174" s="165">
        <f t="shared" ca="1" si="98"/>
        <v>0</v>
      </c>
      <c r="F174" s="165">
        <f t="shared" ca="1" si="98"/>
        <v>0</v>
      </c>
      <c r="G174" s="165">
        <f t="shared" ca="1" si="98"/>
        <v>0</v>
      </c>
      <c r="H174" s="165">
        <f t="shared" ca="1" si="98"/>
        <v>0</v>
      </c>
      <c r="I174" s="165">
        <f t="shared" ca="1" si="98"/>
        <v>0</v>
      </c>
      <c r="J174" s="165">
        <f t="shared" ca="1" si="98"/>
        <v>0</v>
      </c>
      <c r="K174" s="165">
        <f t="shared" ca="1" si="98"/>
        <v>0</v>
      </c>
      <c r="L174" s="165">
        <f t="shared" ca="1" si="98"/>
        <v>0</v>
      </c>
      <c r="M174" s="165">
        <f t="shared" ca="1" si="98"/>
        <v>0</v>
      </c>
      <c r="N174" s="165">
        <f t="shared" ca="1" si="98"/>
        <v>0</v>
      </c>
      <c r="O174" s="165">
        <f t="shared" ca="1" si="98"/>
        <v>0</v>
      </c>
      <c r="P174" s="165">
        <f t="shared" ca="1" si="98"/>
        <v>0</v>
      </c>
      <c r="Q174" s="165">
        <f t="shared" ca="1" si="98"/>
        <v>0</v>
      </c>
      <c r="R174" s="165">
        <f t="shared" ca="1" si="98"/>
        <v>0</v>
      </c>
      <c r="S174" s="165">
        <f t="shared" ca="1" si="98"/>
        <v>0</v>
      </c>
      <c r="T174" s="165">
        <f t="shared" ca="1" si="98"/>
        <v>0</v>
      </c>
      <c r="U174" s="165">
        <f t="shared" ca="1" si="98"/>
        <v>0</v>
      </c>
      <c r="V174" s="165">
        <f t="shared" ca="1" si="98"/>
        <v>0</v>
      </c>
      <c r="W174" s="165">
        <f t="shared" ca="1" si="98"/>
        <v>0</v>
      </c>
      <c r="X174" s="165">
        <f t="shared" ca="1" si="98"/>
        <v>0</v>
      </c>
      <c r="Y174" s="165">
        <f t="shared" ca="1" si="98"/>
        <v>0</v>
      </c>
      <c r="Z174" s="165">
        <f t="shared" ca="1" si="98"/>
        <v>0</v>
      </c>
      <c r="AA174" s="165">
        <f t="shared" ca="1" si="98"/>
        <v>0</v>
      </c>
      <c r="AB174" s="165">
        <f t="shared" ca="1" si="98"/>
        <v>0</v>
      </c>
      <c r="AC174" s="165">
        <f t="shared" ca="1" si="98"/>
        <v>0</v>
      </c>
      <c r="AD174" s="165">
        <f t="shared" ca="1" si="98"/>
        <v>0</v>
      </c>
      <c r="AE174" s="165">
        <f t="shared" ca="1" si="98"/>
        <v>0</v>
      </c>
      <c r="AF174" s="165">
        <f t="shared" ca="1" si="98"/>
        <v>0</v>
      </c>
      <c r="AG174" s="165">
        <f t="shared" ca="1" si="98"/>
        <v>0</v>
      </c>
      <c r="AH174" s="165">
        <f t="shared" ca="1" si="98"/>
        <v>0</v>
      </c>
      <c r="AI174" s="165">
        <f t="shared" ca="1" si="98"/>
        <v>0</v>
      </c>
      <c r="AJ174" s="165">
        <f t="shared" ca="1" si="98"/>
        <v>0</v>
      </c>
      <c r="AK174" s="165">
        <f t="shared" ca="1" si="98"/>
        <v>0</v>
      </c>
      <c r="AL174" s="165">
        <f t="shared" ca="1" si="98"/>
        <v>0</v>
      </c>
      <c r="AM174" s="165">
        <f t="shared" ca="1" si="98"/>
        <v>0</v>
      </c>
      <c r="AN174" s="165">
        <f t="shared" ca="1" si="98"/>
        <v>0</v>
      </c>
      <c r="AO174" s="165">
        <f t="shared" ca="1" si="98"/>
        <v>0</v>
      </c>
      <c r="AP174" s="165">
        <f t="shared" ca="1" si="98"/>
        <v>0</v>
      </c>
      <c r="AQ174" s="165">
        <f t="shared" ca="1" si="98"/>
        <v>0</v>
      </c>
      <c r="AR174" s="165">
        <f t="shared" ca="1" si="98"/>
        <v>0</v>
      </c>
      <c r="AS174" s="165">
        <f t="shared" ca="1" si="98"/>
        <v>0</v>
      </c>
      <c r="AT174" s="165">
        <f t="shared" ca="1" si="98"/>
        <v>0</v>
      </c>
      <c r="AU174" s="165">
        <f t="shared" ca="1" si="98"/>
        <v>0</v>
      </c>
      <c r="AV174" s="165">
        <f t="shared" ca="1" si="98"/>
        <v>0</v>
      </c>
      <c r="AW174" s="165">
        <f t="shared" ca="1" si="98"/>
        <v>0</v>
      </c>
      <c r="AX174" s="165">
        <f t="shared" ca="1" si="98"/>
        <v>0</v>
      </c>
      <c r="AY174" s="165">
        <f t="shared" ca="1" si="98"/>
        <v>0</v>
      </c>
      <c r="AZ174" s="165">
        <f t="shared" ca="1" si="98"/>
        <v>0</v>
      </c>
      <c r="BA174" s="165">
        <f t="shared" ca="1" si="98"/>
        <v>0</v>
      </c>
      <c r="BB174" s="165">
        <f t="shared" ca="1" si="98"/>
        <v>0</v>
      </c>
      <c r="BC174" s="165">
        <f t="shared" ca="1" si="98"/>
        <v>0</v>
      </c>
      <c r="BD174" s="165">
        <f t="shared" ca="1" si="98"/>
        <v>0</v>
      </c>
      <c r="BE174" s="165">
        <f t="shared" ca="1" si="98"/>
        <v>0</v>
      </c>
      <c r="BF174" s="165">
        <f t="shared" ca="1" si="98"/>
        <v>0</v>
      </c>
      <c r="BG174" s="165">
        <f t="shared" ca="1" si="98"/>
        <v>0</v>
      </c>
      <c r="BH174" s="165">
        <f t="shared" ca="1" si="98"/>
        <v>0</v>
      </c>
      <c r="BI174" s="165">
        <f t="shared" ca="1" si="98"/>
        <v>0</v>
      </c>
      <c r="BJ174" s="165">
        <f t="shared" ca="1" si="98"/>
        <v>0</v>
      </c>
      <c r="BK174" s="165">
        <f t="shared" ca="1" si="98"/>
        <v>0</v>
      </c>
      <c r="BL174" s="165">
        <f t="shared" ca="1" si="98"/>
        <v>0</v>
      </c>
      <c r="BM174" s="165">
        <f t="shared" ca="1" si="98"/>
        <v>0</v>
      </c>
      <c r="BN174" s="165">
        <f t="shared" ca="1" si="98"/>
        <v>0</v>
      </c>
      <c r="BO174" s="165">
        <f t="shared" ca="1" si="98"/>
        <v>0</v>
      </c>
      <c r="BP174" s="165">
        <f t="shared" ca="1" si="98"/>
        <v>0</v>
      </c>
      <c r="BQ174" s="165">
        <f t="shared" ca="1" si="98"/>
        <v>0</v>
      </c>
      <c r="BR174" s="165">
        <f t="shared" ca="1" si="98"/>
        <v>0</v>
      </c>
      <c r="BS174" s="165">
        <f t="shared" ca="1" si="98"/>
        <v>0</v>
      </c>
      <c r="BT174" s="165">
        <f t="shared" ca="1" si="98"/>
        <v>0</v>
      </c>
      <c r="BU174" s="165">
        <f t="shared" ca="1" si="98"/>
        <v>0</v>
      </c>
      <c r="BV174" s="165">
        <f t="shared" ca="1" si="98"/>
        <v>0</v>
      </c>
      <c r="BW174" s="165">
        <f t="shared" ca="1" si="98"/>
        <v>0</v>
      </c>
    </row>
    <row r="175" spans="1:75" ht="12.75" x14ac:dyDescent="0.2">
      <c r="A175" s="23" t="s">
        <v>403</v>
      </c>
      <c r="B175" s="221"/>
      <c r="D175" s="165">
        <f t="shared" ref="D175:BW175" ca="1" si="99">D136-C136</f>
        <v>0</v>
      </c>
      <c r="E175" s="165">
        <f t="shared" ca="1" si="99"/>
        <v>0</v>
      </c>
      <c r="F175" s="165">
        <f t="shared" ca="1" si="99"/>
        <v>0</v>
      </c>
      <c r="G175" s="165">
        <f t="shared" ca="1" si="99"/>
        <v>0</v>
      </c>
      <c r="H175" s="165">
        <f t="shared" ca="1" si="99"/>
        <v>0</v>
      </c>
      <c r="I175" s="165">
        <f t="shared" ca="1" si="99"/>
        <v>0</v>
      </c>
      <c r="J175" s="165">
        <f t="shared" ca="1" si="99"/>
        <v>0</v>
      </c>
      <c r="K175" s="165">
        <f t="shared" ca="1" si="99"/>
        <v>0</v>
      </c>
      <c r="L175" s="165">
        <f t="shared" ca="1" si="99"/>
        <v>0</v>
      </c>
      <c r="M175" s="165">
        <f t="shared" ca="1" si="99"/>
        <v>0</v>
      </c>
      <c r="N175" s="165">
        <f t="shared" ca="1" si="99"/>
        <v>0</v>
      </c>
      <c r="O175" s="165">
        <f t="shared" ca="1" si="99"/>
        <v>0</v>
      </c>
      <c r="P175" s="165">
        <f t="shared" ca="1" si="99"/>
        <v>0</v>
      </c>
      <c r="Q175" s="165">
        <f t="shared" ca="1" si="99"/>
        <v>0</v>
      </c>
      <c r="R175" s="165">
        <f t="shared" ca="1" si="99"/>
        <v>0</v>
      </c>
      <c r="S175" s="165">
        <f t="shared" ca="1" si="99"/>
        <v>0</v>
      </c>
      <c r="T175" s="165">
        <f t="shared" ca="1" si="99"/>
        <v>0</v>
      </c>
      <c r="U175" s="165">
        <f t="shared" ca="1" si="99"/>
        <v>0</v>
      </c>
      <c r="V175" s="165">
        <f t="shared" ca="1" si="99"/>
        <v>0</v>
      </c>
      <c r="W175" s="165">
        <f t="shared" ca="1" si="99"/>
        <v>0</v>
      </c>
      <c r="X175" s="165">
        <f t="shared" ca="1" si="99"/>
        <v>0</v>
      </c>
      <c r="Y175" s="165">
        <f t="shared" ca="1" si="99"/>
        <v>0</v>
      </c>
      <c r="Z175" s="165">
        <f t="shared" ca="1" si="99"/>
        <v>0</v>
      </c>
      <c r="AA175" s="165">
        <f t="shared" ca="1" si="99"/>
        <v>0</v>
      </c>
      <c r="AB175" s="165">
        <f t="shared" ca="1" si="99"/>
        <v>0</v>
      </c>
      <c r="AC175" s="165">
        <f t="shared" ca="1" si="99"/>
        <v>0</v>
      </c>
      <c r="AD175" s="165">
        <f t="shared" ca="1" si="99"/>
        <v>0</v>
      </c>
      <c r="AE175" s="165">
        <f t="shared" ca="1" si="99"/>
        <v>0</v>
      </c>
      <c r="AF175" s="165">
        <f t="shared" ca="1" si="99"/>
        <v>0</v>
      </c>
      <c r="AG175" s="165">
        <f t="shared" ca="1" si="99"/>
        <v>0</v>
      </c>
      <c r="AH175" s="165">
        <f t="shared" ca="1" si="99"/>
        <v>0</v>
      </c>
      <c r="AI175" s="165">
        <f t="shared" ca="1" si="99"/>
        <v>0</v>
      </c>
      <c r="AJ175" s="165">
        <f t="shared" ca="1" si="99"/>
        <v>0</v>
      </c>
      <c r="AK175" s="165">
        <f t="shared" ca="1" si="99"/>
        <v>0</v>
      </c>
      <c r="AL175" s="165">
        <f t="shared" ca="1" si="99"/>
        <v>0</v>
      </c>
      <c r="AM175" s="165">
        <f t="shared" ca="1" si="99"/>
        <v>0</v>
      </c>
      <c r="AN175" s="165">
        <f t="shared" ca="1" si="99"/>
        <v>0</v>
      </c>
      <c r="AO175" s="165">
        <f t="shared" ca="1" si="99"/>
        <v>0</v>
      </c>
      <c r="AP175" s="165">
        <f t="shared" ca="1" si="99"/>
        <v>0</v>
      </c>
      <c r="AQ175" s="165">
        <f t="shared" ca="1" si="99"/>
        <v>0</v>
      </c>
      <c r="AR175" s="165">
        <f t="shared" ca="1" si="99"/>
        <v>0</v>
      </c>
      <c r="AS175" s="165">
        <f t="shared" ca="1" si="99"/>
        <v>0</v>
      </c>
      <c r="AT175" s="165">
        <f t="shared" ca="1" si="99"/>
        <v>0</v>
      </c>
      <c r="AU175" s="165">
        <f t="shared" ca="1" si="99"/>
        <v>0</v>
      </c>
      <c r="AV175" s="165">
        <f t="shared" ca="1" si="99"/>
        <v>0</v>
      </c>
      <c r="AW175" s="165">
        <f t="shared" ca="1" si="99"/>
        <v>0</v>
      </c>
      <c r="AX175" s="165">
        <f t="shared" ca="1" si="99"/>
        <v>0</v>
      </c>
      <c r="AY175" s="165">
        <f t="shared" ca="1" si="99"/>
        <v>0</v>
      </c>
      <c r="AZ175" s="165">
        <f t="shared" ca="1" si="99"/>
        <v>0</v>
      </c>
      <c r="BA175" s="165">
        <f t="shared" ca="1" si="99"/>
        <v>0</v>
      </c>
      <c r="BB175" s="165">
        <f t="shared" ca="1" si="99"/>
        <v>0</v>
      </c>
      <c r="BC175" s="165">
        <f t="shared" ca="1" si="99"/>
        <v>0</v>
      </c>
      <c r="BD175" s="165">
        <f t="shared" ca="1" si="99"/>
        <v>0</v>
      </c>
      <c r="BE175" s="165">
        <f t="shared" ca="1" si="99"/>
        <v>0</v>
      </c>
      <c r="BF175" s="165">
        <f t="shared" ca="1" si="99"/>
        <v>0</v>
      </c>
      <c r="BG175" s="165">
        <f t="shared" ca="1" si="99"/>
        <v>0</v>
      </c>
      <c r="BH175" s="165">
        <f t="shared" ca="1" si="99"/>
        <v>0</v>
      </c>
      <c r="BI175" s="165">
        <f t="shared" ca="1" si="99"/>
        <v>0</v>
      </c>
      <c r="BJ175" s="165">
        <f t="shared" ca="1" si="99"/>
        <v>0</v>
      </c>
      <c r="BK175" s="165">
        <f t="shared" ca="1" si="99"/>
        <v>0</v>
      </c>
      <c r="BL175" s="165">
        <f t="shared" ca="1" si="99"/>
        <v>0</v>
      </c>
      <c r="BM175" s="165">
        <f t="shared" ca="1" si="99"/>
        <v>0</v>
      </c>
      <c r="BN175" s="165">
        <f t="shared" ca="1" si="99"/>
        <v>0</v>
      </c>
      <c r="BO175" s="165">
        <f t="shared" ca="1" si="99"/>
        <v>0</v>
      </c>
      <c r="BP175" s="165">
        <f t="shared" ca="1" si="99"/>
        <v>0</v>
      </c>
      <c r="BQ175" s="165">
        <f t="shared" ca="1" si="99"/>
        <v>0</v>
      </c>
      <c r="BR175" s="165">
        <f t="shared" ca="1" si="99"/>
        <v>0</v>
      </c>
      <c r="BS175" s="165">
        <f t="shared" ca="1" si="99"/>
        <v>0</v>
      </c>
      <c r="BT175" s="165">
        <f t="shared" ca="1" si="99"/>
        <v>0</v>
      </c>
      <c r="BU175" s="165">
        <f t="shared" ca="1" si="99"/>
        <v>0</v>
      </c>
      <c r="BV175" s="165">
        <f t="shared" ca="1" si="99"/>
        <v>0</v>
      </c>
      <c r="BW175" s="165">
        <f t="shared" ca="1" si="99"/>
        <v>0</v>
      </c>
    </row>
    <row r="176" spans="1:75" ht="12.75" x14ac:dyDescent="0.2">
      <c r="A176" s="23" t="s">
        <v>566</v>
      </c>
      <c r="B176" s="221"/>
      <c r="D176" s="165">
        <f t="shared" ref="D176:BW176" si="100">D137-C137</f>
        <v>0</v>
      </c>
      <c r="E176" s="165">
        <f t="shared" si="100"/>
        <v>0</v>
      </c>
      <c r="F176" s="165">
        <f t="shared" si="100"/>
        <v>0</v>
      </c>
      <c r="G176" s="165">
        <f t="shared" si="100"/>
        <v>0</v>
      </c>
      <c r="H176" s="165">
        <f t="shared" si="100"/>
        <v>0</v>
      </c>
      <c r="I176" s="165">
        <f t="shared" si="100"/>
        <v>0</v>
      </c>
      <c r="J176" s="165">
        <f t="shared" si="100"/>
        <v>0</v>
      </c>
      <c r="K176" s="165">
        <f t="shared" si="100"/>
        <v>0</v>
      </c>
      <c r="L176" s="165">
        <f t="shared" si="100"/>
        <v>0</v>
      </c>
      <c r="M176" s="165">
        <f t="shared" si="100"/>
        <v>0</v>
      </c>
      <c r="N176" s="165">
        <f t="shared" si="100"/>
        <v>0</v>
      </c>
      <c r="O176" s="165">
        <f t="shared" si="100"/>
        <v>0</v>
      </c>
      <c r="P176" s="165">
        <f t="shared" si="100"/>
        <v>0</v>
      </c>
      <c r="Q176" s="165">
        <f t="shared" si="100"/>
        <v>0</v>
      </c>
      <c r="R176" s="165">
        <f t="shared" si="100"/>
        <v>0</v>
      </c>
      <c r="S176" s="165">
        <f t="shared" si="100"/>
        <v>0</v>
      </c>
      <c r="T176" s="165">
        <f t="shared" si="100"/>
        <v>0</v>
      </c>
      <c r="U176" s="165">
        <f t="shared" si="100"/>
        <v>0</v>
      </c>
      <c r="V176" s="165">
        <f t="shared" si="100"/>
        <v>0</v>
      </c>
      <c r="W176" s="165">
        <f t="shared" si="100"/>
        <v>0</v>
      </c>
      <c r="X176" s="165">
        <f t="shared" si="100"/>
        <v>0</v>
      </c>
      <c r="Y176" s="165">
        <f t="shared" si="100"/>
        <v>0</v>
      </c>
      <c r="Z176" s="165">
        <f t="shared" si="100"/>
        <v>0</v>
      </c>
      <c r="AA176" s="165">
        <f t="shared" si="100"/>
        <v>0</v>
      </c>
      <c r="AB176" s="165">
        <f t="shared" si="100"/>
        <v>0</v>
      </c>
      <c r="AC176" s="165">
        <f t="shared" si="100"/>
        <v>0</v>
      </c>
      <c r="AD176" s="165">
        <f t="shared" si="100"/>
        <v>0</v>
      </c>
      <c r="AE176" s="165">
        <f t="shared" si="100"/>
        <v>0</v>
      </c>
      <c r="AF176" s="165">
        <f t="shared" si="100"/>
        <v>0</v>
      </c>
      <c r="AG176" s="165">
        <f t="shared" si="100"/>
        <v>0</v>
      </c>
      <c r="AH176" s="165">
        <f t="shared" si="100"/>
        <v>0</v>
      </c>
      <c r="AI176" s="165">
        <f t="shared" si="100"/>
        <v>0</v>
      </c>
      <c r="AJ176" s="165">
        <f t="shared" si="100"/>
        <v>0</v>
      </c>
      <c r="AK176" s="165">
        <f t="shared" si="100"/>
        <v>0</v>
      </c>
      <c r="AL176" s="165">
        <f t="shared" si="100"/>
        <v>0</v>
      </c>
      <c r="AM176" s="165">
        <f t="shared" si="100"/>
        <v>0</v>
      </c>
      <c r="AN176" s="165">
        <f t="shared" si="100"/>
        <v>0</v>
      </c>
      <c r="AO176" s="165">
        <f t="shared" si="100"/>
        <v>0</v>
      </c>
      <c r="AP176" s="165">
        <f t="shared" si="100"/>
        <v>0</v>
      </c>
      <c r="AQ176" s="165">
        <f t="shared" si="100"/>
        <v>0</v>
      </c>
      <c r="AR176" s="165">
        <f t="shared" si="100"/>
        <v>0</v>
      </c>
      <c r="AS176" s="165">
        <f t="shared" si="100"/>
        <v>0</v>
      </c>
      <c r="AT176" s="165">
        <f t="shared" si="100"/>
        <v>0</v>
      </c>
      <c r="AU176" s="165">
        <f t="shared" si="100"/>
        <v>0</v>
      </c>
      <c r="AV176" s="165">
        <f t="shared" si="100"/>
        <v>0</v>
      </c>
      <c r="AW176" s="165">
        <f t="shared" si="100"/>
        <v>0</v>
      </c>
      <c r="AX176" s="165">
        <f t="shared" si="100"/>
        <v>0</v>
      </c>
      <c r="AY176" s="165">
        <f t="shared" si="100"/>
        <v>0</v>
      </c>
      <c r="AZ176" s="165">
        <f t="shared" si="100"/>
        <v>0</v>
      </c>
      <c r="BA176" s="165">
        <f t="shared" si="100"/>
        <v>0</v>
      </c>
      <c r="BB176" s="165">
        <f t="shared" si="100"/>
        <v>0</v>
      </c>
      <c r="BC176" s="165">
        <f t="shared" si="100"/>
        <v>0</v>
      </c>
      <c r="BD176" s="165">
        <f t="shared" si="100"/>
        <v>0</v>
      </c>
      <c r="BE176" s="165">
        <f t="shared" si="100"/>
        <v>0</v>
      </c>
      <c r="BF176" s="165">
        <f t="shared" si="100"/>
        <v>0</v>
      </c>
      <c r="BG176" s="165">
        <f t="shared" si="100"/>
        <v>0</v>
      </c>
      <c r="BH176" s="165">
        <f t="shared" si="100"/>
        <v>0</v>
      </c>
      <c r="BI176" s="165">
        <f t="shared" si="100"/>
        <v>0</v>
      </c>
      <c r="BJ176" s="165">
        <f t="shared" si="100"/>
        <v>0</v>
      </c>
      <c r="BK176" s="165">
        <f t="shared" si="100"/>
        <v>0</v>
      </c>
      <c r="BL176" s="165">
        <f t="shared" si="100"/>
        <v>0</v>
      </c>
      <c r="BM176" s="165">
        <f t="shared" si="100"/>
        <v>0</v>
      </c>
      <c r="BN176" s="165">
        <f t="shared" si="100"/>
        <v>0</v>
      </c>
      <c r="BO176" s="165">
        <f t="shared" si="100"/>
        <v>0</v>
      </c>
      <c r="BP176" s="165">
        <f t="shared" si="100"/>
        <v>0</v>
      </c>
      <c r="BQ176" s="165">
        <f t="shared" si="100"/>
        <v>0</v>
      </c>
      <c r="BR176" s="165">
        <f t="shared" si="100"/>
        <v>0</v>
      </c>
      <c r="BS176" s="165">
        <f t="shared" si="100"/>
        <v>0</v>
      </c>
      <c r="BT176" s="165">
        <f t="shared" si="100"/>
        <v>0</v>
      </c>
      <c r="BU176" s="165">
        <f t="shared" si="100"/>
        <v>0</v>
      </c>
      <c r="BV176" s="165">
        <f t="shared" si="100"/>
        <v>0</v>
      </c>
      <c r="BW176" s="165">
        <f t="shared" si="100"/>
        <v>0</v>
      </c>
    </row>
    <row r="177" spans="1:75" ht="12.75" x14ac:dyDescent="0.2">
      <c r="A177" s="23" t="s">
        <v>567</v>
      </c>
      <c r="B177" s="221"/>
      <c r="D177" s="165">
        <f t="shared" ref="D177:BW177" si="101">D138-C138</f>
        <v>0</v>
      </c>
      <c r="E177" s="165">
        <f t="shared" si="101"/>
        <v>0</v>
      </c>
      <c r="F177" s="165">
        <f t="shared" si="101"/>
        <v>0</v>
      </c>
      <c r="G177" s="165">
        <f t="shared" si="101"/>
        <v>0</v>
      </c>
      <c r="H177" s="165">
        <f t="shared" si="101"/>
        <v>0</v>
      </c>
      <c r="I177" s="165">
        <f t="shared" si="101"/>
        <v>0</v>
      </c>
      <c r="J177" s="165">
        <f t="shared" si="101"/>
        <v>0</v>
      </c>
      <c r="K177" s="165">
        <f t="shared" si="101"/>
        <v>0</v>
      </c>
      <c r="L177" s="165">
        <f t="shared" si="101"/>
        <v>0</v>
      </c>
      <c r="M177" s="165">
        <f t="shared" si="101"/>
        <v>0</v>
      </c>
      <c r="N177" s="165">
        <f t="shared" si="101"/>
        <v>0</v>
      </c>
      <c r="O177" s="165">
        <f t="shared" si="101"/>
        <v>0</v>
      </c>
      <c r="P177" s="165">
        <f t="shared" si="101"/>
        <v>0</v>
      </c>
      <c r="Q177" s="165">
        <f t="shared" si="101"/>
        <v>0</v>
      </c>
      <c r="R177" s="165">
        <f t="shared" si="101"/>
        <v>0</v>
      </c>
      <c r="S177" s="165">
        <f t="shared" si="101"/>
        <v>0</v>
      </c>
      <c r="T177" s="165">
        <f t="shared" si="101"/>
        <v>0</v>
      </c>
      <c r="U177" s="165">
        <f t="shared" si="101"/>
        <v>0</v>
      </c>
      <c r="V177" s="165">
        <f t="shared" si="101"/>
        <v>0</v>
      </c>
      <c r="W177" s="165">
        <f t="shared" si="101"/>
        <v>0</v>
      </c>
      <c r="X177" s="165">
        <f t="shared" si="101"/>
        <v>0</v>
      </c>
      <c r="Y177" s="165">
        <f t="shared" si="101"/>
        <v>0</v>
      </c>
      <c r="Z177" s="165">
        <f t="shared" si="101"/>
        <v>0</v>
      </c>
      <c r="AA177" s="165">
        <f t="shared" si="101"/>
        <v>0</v>
      </c>
      <c r="AB177" s="165">
        <f t="shared" si="101"/>
        <v>0</v>
      </c>
      <c r="AC177" s="165">
        <f t="shared" si="101"/>
        <v>0</v>
      </c>
      <c r="AD177" s="165">
        <f t="shared" si="101"/>
        <v>0</v>
      </c>
      <c r="AE177" s="165">
        <f t="shared" si="101"/>
        <v>0</v>
      </c>
      <c r="AF177" s="165">
        <f t="shared" si="101"/>
        <v>0</v>
      </c>
      <c r="AG177" s="165">
        <f t="shared" si="101"/>
        <v>0</v>
      </c>
      <c r="AH177" s="165">
        <f t="shared" si="101"/>
        <v>0</v>
      </c>
      <c r="AI177" s="165">
        <f t="shared" si="101"/>
        <v>0</v>
      </c>
      <c r="AJ177" s="165">
        <f t="shared" si="101"/>
        <v>0</v>
      </c>
      <c r="AK177" s="165">
        <f t="shared" si="101"/>
        <v>0</v>
      </c>
      <c r="AL177" s="165">
        <f t="shared" si="101"/>
        <v>0</v>
      </c>
      <c r="AM177" s="165">
        <f t="shared" si="101"/>
        <v>0</v>
      </c>
      <c r="AN177" s="165">
        <f t="shared" si="101"/>
        <v>0</v>
      </c>
      <c r="AO177" s="165">
        <f t="shared" si="101"/>
        <v>0</v>
      </c>
      <c r="AP177" s="165">
        <f t="shared" si="101"/>
        <v>0</v>
      </c>
      <c r="AQ177" s="165">
        <f t="shared" si="101"/>
        <v>0</v>
      </c>
      <c r="AR177" s="165">
        <f t="shared" si="101"/>
        <v>0</v>
      </c>
      <c r="AS177" s="165">
        <f t="shared" si="101"/>
        <v>0</v>
      </c>
      <c r="AT177" s="165">
        <f t="shared" si="101"/>
        <v>0</v>
      </c>
      <c r="AU177" s="165">
        <f t="shared" si="101"/>
        <v>0</v>
      </c>
      <c r="AV177" s="165">
        <f t="shared" si="101"/>
        <v>0</v>
      </c>
      <c r="AW177" s="165">
        <f t="shared" si="101"/>
        <v>0</v>
      </c>
      <c r="AX177" s="165">
        <f t="shared" si="101"/>
        <v>0</v>
      </c>
      <c r="AY177" s="165">
        <f t="shared" si="101"/>
        <v>0</v>
      </c>
      <c r="AZ177" s="165">
        <f t="shared" si="101"/>
        <v>0</v>
      </c>
      <c r="BA177" s="165">
        <f t="shared" si="101"/>
        <v>0</v>
      </c>
      <c r="BB177" s="165">
        <f t="shared" si="101"/>
        <v>0</v>
      </c>
      <c r="BC177" s="165">
        <f t="shared" si="101"/>
        <v>0</v>
      </c>
      <c r="BD177" s="165">
        <f t="shared" si="101"/>
        <v>0</v>
      </c>
      <c r="BE177" s="165">
        <f t="shared" si="101"/>
        <v>0</v>
      </c>
      <c r="BF177" s="165">
        <f t="shared" si="101"/>
        <v>0</v>
      </c>
      <c r="BG177" s="165">
        <f t="shared" si="101"/>
        <v>0</v>
      </c>
      <c r="BH177" s="165">
        <f t="shared" si="101"/>
        <v>0</v>
      </c>
      <c r="BI177" s="165">
        <f t="shared" si="101"/>
        <v>0</v>
      </c>
      <c r="BJ177" s="165">
        <f t="shared" si="101"/>
        <v>0</v>
      </c>
      <c r="BK177" s="165">
        <f t="shared" si="101"/>
        <v>0</v>
      </c>
      <c r="BL177" s="165">
        <f t="shared" si="101"/>
        <v>0</v>
      </c>
      <c r="BM177" s="165">
        <f t="shared" si="101"/>
        <v>0</v>
      </c>
      <c r="BN177" s="165">
        <f t="shared" si="101"/>
        <v>0</v>
      </c>
      <c r="BO177" s="165">
        <f t="shared" si="101"/>
        <v>0</v>
      </c>
      <c r="BP177" s="165">
        <f t="shared" si="101"/>
        <v>0</v>
      </c>
      <c r="BQ177" s="165">
        <f t="shared" si="101"/>
        <v>0</v>
      </c>
      <c r="BR177" s="165">
        <f t="shared" si="101"/>
        <v>0</v>
      </c>
      <c r="BS177" s="165">
        <f t="shared" si="101"/>
        <v>0</v>
      </c>
      <c r="BT177" s="165">
        <f t="shared" si="101"/>
        <v>0</v>
      </c>
      <c r="BU177" s="165">
        <f t="shared" si="101"/>
        <v>0</v>
      </c>
      <c r="BV177" s="165">
        <f t="shared" si="101"/>
        <v>0</v>
      </c>
      <c r="BW177" s="165">
        <f t="shared" si="101"/>
        <v>0</v>
      </c>
    </row>
    <row r="178" spans="1:75" ht="12.75" x14ac:dyDescent="0.2">
      <c r="A178" s="23" t="s">
        <v>404</v>
      </c>
      <c r="B178" s="221"/>
      <c r="D178" s="165">
        <f t="shared" ref="D178:BW178" ca="1" si="102">D136-C136</f>
        <v>0</v>
      </c>
      <c r="E178" s="165">
        <f t="shared" ca="1" si="102"/>
        <v>0</v>
      </c>
      <c r="F178" s="165">
        <f t="shared" ca="1" si="102"/>
        <v>0</v>
      </c>
      <c r="G178" s="165">
        <f t="shared" ca="1" si="102"/>
        <v>0</v>
      </c>
      <c r="H178" s="165">
        <f t="shared" ca="1" si="102"/>
        <v>0</v>
      </c>
      <c r="I178" s="165">
        <f t="shared" ca="1" si="102"/>
        <v>0</v>
      </c>
      <c r="J178" s="165">
        <f t="shared" ca="1" si="102"/>
        <v>0</v>
      </c>
      <c r="K178" s="165">
        <f t="shared" ca="1" si="102"/>
        <v>0</v>
      </c>
      <c r="L178" s="165">
        <f t="shared" ca="1" si="102"/>
        <v>0</v>
      </c>
      <c r="M178" s="165">
        <f t="shared" ca="1" si="102"/>
        <v>0</v>
      </c>
      <c r="N178" s="165">
        <f t="shared" ca="1" si="102"/>
        <v>0</v>
      </c>
      <c r="O178" s="165">
        <f t="shared" ca="1" si="102"/>
        <v>0</v>
      </c>
      <c r="P178" s="165">
        <f t="shared" ca="1" si="102"/>
        <v>0</v>
      </c>
      <c r="Q178" s="165">
        <f t="shared" ca="1" si="102"/>
        <v>0</v>
      </c>
      <c r="R178" s="165">
        <f t="shared" ca="1" si="102"/>
        <v>0</v>
      </c>
      <c r="S178" s="165">
        <f t="shared" ca="1" si="102"/>
        <v>0</v>
      </c>
      <c r="T178" s="165">
        <f t="shared" ca="1" si="102"/>
        <v>0</v>
      </c>
      <c r="U178" s="165">
        <f t="shared" ca="1" si="102"/>
        <v>0</v>
      </c>
      <c r="V178" s="165">
        <f t="shared" ca="1" si="102"/>
        <v>0</v>
      </c>
      <c r="W178" s="165">
        <f t="shared" ca="1" si="102"/>
        <v>0</v>
      </c>
      <c r="X178" s="165">
        <f t="shared" ca="1" si="102"/>
        <v>0</v>
      </c>
      <c r="Y178" s="165">
        <f t="shared" ca="1" si="102"/>
        <v>0</v>
      </c>
      <c r="Z178" s="165">
        <f t="shared" ca="1" si="102"/>
        <v>0</v>
      </c>
      <c r="AA178" s="165">
        <f t="shared" ca="1" si="102"/>
        <v>0</v>
      </c>
      <c r="AB178" s="165">
        <f t="shared" ca="1" si="102"/>
        <v>0</v>
      </c>
      <c r="AC178" s="165">
        <f t="shared" ca="1" si="102"/>
        <v>0</v>
      </c>
      <c r="AD178" s="165">
        <f t="shared" ca="1" si="102"/>
        <v>0</v>
      </c>
      <c r="AE178" s="165">
        <f t="shared" ca="1" si="102"/>
        <v>0</v>
      </c>
      <c r="AF178" s="165">
        <f t="shared" ca="1" si="102"/>
        <v>0</v>
      </c>
      <c r="AG178" s="165">
        <f t="shared" ca="1" si="102"/>
        <v>0</v>
      </c>
      <c r="AH178" s="165">
        <f t="shared" ca="1" si="102"/>
        <v>0</v>
      </c>
      <c r="AI178" s="165">
        <f t="shared" ca="1" si="102"/>
        <v>0</v>
      </c>
      <c r="AJ178" s="165">
        <f t="shared" ca="1" si="102"/>
        <v>0</v>
      </c>
      <c r="AK178" s="165">
        <f t="shared" ca="1" si="102"/>
        <v>0</v>
      </c>
      <c r="AL178" s="165">
        <f t="shared" ca="1" si="102"/>
        <v>0</v>
      </c>
      <c r="AM178" s="165">
        <f t="shared" ca="1" si="102"/>
        <v>0</v>
      </c>
      <c r="AN178" s="165">
        <f t="shared" ca="1" si="102"/>
        <v>0</v>
      </c>
      <c r="AO178" s="165">
        <f t="shared" ca="1" si="102"/>
        <v>0</v>
      </c>
      <c r="AP178" s="165">
        <f t="shared" ca="1" si="102"/>
        <v>0</v>
      </c>
      <c r="AQ178" s="165">
        <f t="shared" ca="1" si="102"/>
        <v>0</v>
      </c>
      <c r="AR178" s="165">
        <f t="shared" ca="1" si="102"/>
        <v>0</v>
      </c>
      <c r="AS178" s="165">
        <f t="shared" ca="1" si="102"/>
        <v>0</v>
      </c>
      <c r="AT178" s="165">
        <f t="shared" ca="1" si="102"/>
        <v>0</v>
      </c>
      <c r="AU178" s="165">
        <f t="shared" ca="1" si="102"/>
        <v>0</v>
      </c>
      <c r="AV178" s="165">
        <f t="shared" ca="1" si="102"/>
        <v>0</v>
      </c>
      <c r="AW178" s="165">
        <f t="shared" ca="1" si="102"/>
        <v>0</v>
      </c>
      <c r="AX178" s="165">
        <f t="shared" ca="1" si="102"/>
        <v>0</v>
      </c>
      <c r="AY178" s="165">
        <f t="shared" ca="1" si="102"/>
        <v>0</v>
      </c>
      <c r="AZ178" s="165">
        <f t="shared" ca="1" si="102"/>
        <v>0</v>
      </c>
      <c r="BA178" s="165">
        <f t="shared" ca="1" si="102"/>
        <v>0</v>
      </c>
      <c r="BB178" s="165">
        <f t="shared" ca="1" si="102"/>
        <v>0</v>
      </c>
      <c r="BC178" s="165">
        <f t="shared" ca="1" si="102"/>
        <v>0</v>
      </c>
      <c r="BD178" s="165">
        <f t="shared" ca="1" si="102"/>
        <v>0</v>
      </c>
      <c r="BE178" s="165">
        <f t="shared" ca="1" si="102"/>
        <v>0</v>
      </c>
      <c r="BF178" s="165">
        <f t="shared" ca="1" si="102"/>
        <v>0</v>
      </c>
      <c r="BG178" s="165">
        <f t="shared" ca="1" si="102"/>
        <v>0</v>
      </c>
      <c r="BH178" s="165">
        <f t="shared" ca="1" si="102"/>
        <v>0</v>
      </c>
      <c r="BI178" s="165">
        <f t="shared" ca="1" si="102"/>
        <v>0</v>
      </c>
      <c r="BJ178" s="165">
        <f t="shared" ca="1" si="102"/>
        <v>0</v>
      </c>
      <c r="BK178" s="165">
        <f t="shared" ca="1" si="102"/>
        <v>0</v>
      </c>
      <c r="BL178" s="165">
        <f t="shared" ca="1" si="102"/>
        <v>0</v>
      </c>
      <c r="BM178" s="165">
        <f t="shared" ca="1" si="102"/>
        <v>0</v>
      </c>
      <c r="BN178" s="165">
        <f t="shared" ca="1" si="102"/>
        <v>0</v>
      </c>
      <c r="BO178" s="165">
        <f t="shared" ca="1" si="102"/>
        <v>0</v>
      </c>
      <c r="BP178" s="165">
        <f t="shared" ca="1" si="102"/>
        <v>0</v>
      </c>
      <c r="BQ178" s="165">
        <f t="shared" ca="1" si="102"/>
        <v>0</v>
      </c>
      <c r="BR178" s="165">
        <f t="shared" ca="1" si="102"/>
        <v>0</v>
      </c>
      <c r="BS178" s="165">
        <f t="shared" ca="1" si="102"/>
        <v>0</v>
      </c>
      <c r="BT178" s="165">
        <f t="shared" ca="1" si="102"/>
        <v>0</v>
      </c>
      <c r="BU178" s="165">
        <f t="shared" ca="1" si="102"/>
        <v>0</v>
      </c>
      <c r="BV178" s="165">
        <f t="shared" ca="1" si="102"/>
        <v>0</v>
      </c>
      <c r="BW178" s="165">
        <f t="shared" ca="1" si="102"/>
        <v>0</v>
      </c>
    </row>
    <row r="179" spans="1:75" ht="12.75" x14ac:dyDescent="0.2">
      <c r="A179" s="256" t="s">
        <v>405</v>
      </c>
      <c r="B179" s="238"/>
      <c r="C179" s="212"/>
      <c r="D179" s="213">
        <f t="shared" ref="D179:BW179" ca="1" si="103">SUM(D173:D178)</f>
        <v>1050000</v>
      </c>
      <c r="E179" s="213">
        <f t="shared" ca="1" si="103"/>
        <v>100000</v>
      </c>
      <c r="F179" s="213">
        <f t="shared" ca="1" si="103"/>
        <v>0</v>
      </c>
      <c r="G179" s="213">
        <f t="shared" ca="1" si="103"/>
        <v>0</v>
      </c>
      <c r="H179" s="213">
        <f t="shared" ca="1" si="103"/>
        <v>0</v>
      </c>
      <c r="I179" s="213">
        <f t="shared" ca="1" si="103"/>
        <v>0</v>
      </c>
      <c r="J179" s="213">
        <f t="shared" ca="1" si="103"/>
        <v>0</v>
      </c>
      <c r="K179" s="213">
        <f t="shared" ca="1" si="103"/>
        <v>0</v>
      </c>
      <c r="L179" s="213">
        <f t="shared" ca="1" si="103"/>
        <v>0</v>
      </c>
      <c r="M179" s="213">
        <f t="shared" ca="1" si="103"/>
        <v>600000</v>
      </c>
      <c r="N179" s="213">
        <f t="shared" ca="1" si="103"/>
        <v>0</v>
      </c>
      <c r="O179" s="213">
        <f t="shared" ca="1" si="103"/>
        <v>0</v>
      </c>
      <c r="P179" s="213">
        <f t="shared" ca="1" si="103"/>
        <v>500000</v>
      </c>
      <c r="Q179" s="213">
        <f t="shared" ca="1" si="103"/>
        <v>0</v>
      </c>
      <c r="R179" s="213">
        <f t="shared" ca="1" si="103"/>
        <v>0</v>
      </c>
      <c r="S179" s="213">
        <f t="shared" ca="1" si="103"/>
        <v>0</v>
      </c>
      <c r="T179" s="213">
        <f t="shared" ca="1" si="103"/>
        <v>300000</v>
      </c>
      <c r="U179" s="213">
        <f t="shared" ca="1" si="103"/>
        <v>0</v>
      </c>
      <c r="V179" s="213">
        <f t="shared" ca="1" si="103"/>
        <v>0</v>
      </c>
      <c r="W179" s="213">
        <f t="shared" ca="1" si="103"/>
        <v>0</v>
      </c>
      <c r="X179" s="213">
        <f t="shared" ca="1" si="103"/>
        <v>0</v>
      </c>
      <c r="Y179" s="213">
        <f t="shared" ca="1" si="103"/>
        <v>300000</v>
      </c>
      <c r="Z179" s="213">
        <f t="shared" ca="1" si="103"/>
        <v>0</v>
      </c>
      <c r="AA179" s="213">
        <f t="shared" ca="1" si="103"/>
        <v>0</v>
      </c>
      <c r="AB179" s="213">
        <f t="shared" ca="1" si="103"/>
        <v>0</v>
      </c>
      <c r="AC179" s="213">
        <f t="shared" ca="1" si="103"/>
        <v>0</v>
      </c>
      <c r="AD179" s="213">
        <f t="shared" ca="1" si="103"/>
        <v>0</v>
      </c>
      <c r="AE179" s="213">
        <f t="shared" ca="1" si="103"/>
        <v>0</v>
      </c>
      <c r="AF179" s="213">
        <f t="shared" ca="1" si="103"/>
        <v>0</v>
      </c>
      <c r="AG179" s="213">
        <f t="shared" ca="1" si="103"/>
        <v>0</v>
      </c>
      <c r="AH179" s="213">
        <f t="shared" ca="1" si="103"/>
        <v>0</v>
      </c>
      <c r="AI179" s="213">
        <f t="shared" ca="1" si="103"/>
        <v>0</v>
      </c>
      <c r="AJ179" s="213">
        <f t="shared" ca="1" si="103"/>
        <v>0</v>
      </c>
      <c r="AK179" s="213">
        <f t="shared" ca="1" si="103"/>
        <v>0</v>
      </c>
      <c r="AL179" s="213">
        <f t="shared" ca="1" si="103"/>
        <v>0</v>
      </c>
      <c r="AM179" s="213">
        <f t="shared" ca="1" si="103"/>
        <v>0</v>
      </c>
      <c r="AN179" s="213">
        <f t="shared" ca="1" si="103"/>
        <v>0</v>
      </c>
      <c r="AO179" s="213">
        <f t="shared" ca="1" si="103"/>
        <v>0</v>
      </c>
      <c r="AP179" s="213">
        <f t="shared" ca="1" si="103"/>
        <v>0</v>
      </c>
      <c r="AQ179" s="213">
        <f t="shared" ca="1" si="103"/>
        <v>0</v>
      </c>
      <c r="AR179" s="213">
        <f t="shared" ca="1" si="103"/>
        <v>0</v>
      </c>
      <c r="AS179" s="213">
        <f t="shared" ca="1" si="103"/>
        <v>0</v>
      </c>
      <c r="AT179" s="213">
        <f t="shared" ca="1" si="103"/>
        <v>0</v>
      </c>
      <c r="AU179" s="213">
        <f t="shared" ca="1" si="103"/>
        <v>0</v>
      </c>
      <c r="AV179" s="213">
        <f t="shared" ca="1" si="103"/>
        <v>0</v>
      </c>
      <c r="AW179" s="213">
        <f t="shared" ca="1" si="103"/>
        <v>0</v>
      </c>
      <c r="AX179" s="213">
        <f t="shared" ca="1" si="103"/>
        <v>0</v>
      </c>
      <c r="AY179" s="213">
        <f t="shared" ca="1" si="103"/>
        <v>0</v>
      </c>
      <c r="AZ179" s="213">
        <f t="shared" ca="1" si="103"/>
        <v>0</v>
      </c>
      <c r="BA179" s="213">
        <f t="shared" ca="1" si="103"/>
        <v>0</v>
      </c>
      <c r="BB179" s="213">
        <f t="shared" ca="1" si="103"/>
        <v>0</v>
      </c>
      <c r="BC179" s="213">
        <f t="shared" ca="1" si="103"/>
        <v>0</v>
      </c>
      <c r="BD179" s="213">
        <f t="shared" ca="1" si="103"/>
        <v>0</v>
      </c>
      <c r="BE179" s="213">
        <f t="shared" ca="1" si="103"/>
        <v>0</v>
      </c>
      <c r="BF179" s="213">
        <f t="shared" ca="1" si="103"/>
        <v>0</v>
      </c>
      <c r="BG179" s="213">
        <f t="shared" ca="1" si="103"/>
        <v>0</v>
      </c>
      <c r="BH179" s="213">
        <f t="shared" ca="1" si="103"/>
        <v>0</v>
      </c>
      <c r="BI179" s="213">
        <f t="shared" ca="1" si="103"/>
        <v>0</v>
      </c>
      <c r="BJ179" s="213">
        <f t="shared" ca="1" si="103"/>
        <v>0</v>
      </c>
      <c r="BK179" s="213">
        <f t="shared" ca="1" si="103"/>
        <v>0</v>
      </c>
      <c r="BL179" s="213">
        <f t="shared" ca="1" si="103"/>
        <v>0</v>
      </c>
      <c r="BM179" s="213">
        <f t="shared" ca="1" si="103"/>
        <v>0</v>
      </c>
      <c r="BN179" s="213">
        <f t="shared" ca="1" si="103"/>
        <v>0</v>
      </c>
      <c r="BO179" s="213">
        <f t="shared" ca="1" si="103"/>
        <v>0</v>
      </c>
      <c r="BP179" s="213">
        <f t="shared" ca="1" si="103"/>
        <v>0</v>
      </c>
      <c r="BQ179" s="213">
        <f t="shared" ca="1" si="103"/>
        <v>0</v>
      </c>
      <c r="BR179" s="213">
        <f t="shared" ca="1" si="103"/>
        <v>0</v>
      </c>
      <c r="BS179" s="213">
        <f t="shared" ca="1" si="103"/>
        <v>0</v>
      </c>
      <c r="BT179" s="213">
        <f t="shared" ca="1" si="103"/>
        <v>0</v>
      </c>
      <c r="BU179" s="213">
        <f t="shared" ca="1" si="103"/>
        <v>0</v>
      </c>
      <c r="BV179" s="213">
        <f t="shared" ca="1" si="103"/>
        <v>0</v>
      </c>
      <c r="BW179" s="213">
        <f t="shared" ca="1" si="103"/>
        <v>0</v>
      </c>
    </row>
    <row r="180" spans="1:75" ht="12.75" x14ac:dyDescent="0.2">
      <c r="A180" s="69" t="s">
        <v>244</v>
      </c>
      <c r="B180" s="221"/>
      <c r="D180" s="115">
        <f t="array" aca="1" ref="D180" ca="1">ROUND(INDEX(INDIRECT("CFS_"&amp;TEXT(D$1,"mmm")&amp;"_"&amp;TEXT(D$1,"yyyy")),MATCH(TRIM($A179),CFS_Accounts,0))-D179,2)</f>
        <v>0</v>
      </c>
      <c r="E180" s="115">
        <f t="array" aca="1" ref="E180" ca="1">ROUND(INDEX(INDIRECT("CFS_"&amp;TEXT(E$1,"mmm")&amp;"_"&amp;TEXT(E$1,"yyyy")),MATCH(TRIM($A179),CFS_Accounts,0))-E179,2)</f>
        <v>0</v>
      </c>
      <c r="F180" s="115">
        <f t="array" aca="1" ref="F180" ca="1">ROUND(INDEX(INDIRECT("CFS_"&amp;TEXT(F$1,"mmm")&amp;"_"&amp;TEXT(F$1,"yyyy")),MATCH(TRIM($A179),CFS_Accounts,0))-F179,2)</f>
        <v>0</v>
      </c>
      <c r="G180" s="115">
        <f t="array" aca="1" ref="G180" ca="1">ROUND(INDEX(INDIRECT("CFS_"&amp;TEXT(G$1,"mmm")&amp;"_"&amp;TEXT(G$1,"yyyy")),MATCH(TRIM($A179),CFS_Accounts,0))-G179,2)</f>
        <v>0</v>
      </c>
      <c r="H180" s="115">
        <f t="array" aca="1" ref="H180" ca="1">ROUND(INDEX(INDIRECT("CFS_"&amp;TEXT(H$1,"mmm")&amp;"_"&amp;TEXT(H$1,"yyyy")),MATCH(TRIM($A179),CFS_Accounts,0))-H179,2)</f>
        <v>0</v>
      </c>
      <c r="I180" s="115">
        <f t="array" aca="1" ref="I180" ca="1">ROUND(INDEX(INDIRECT("CFS_"&amp;TEXT(I$1,"mmm")&amp;"_"&amp;TEXT(I$1,"yyyy")),MATCH(TRIM($A179),CFS_Accounts,0))-I179,2)</f>
        <v>0</v>
      </c>
      <c r="J180" s="115">
        <f t="array" aca="1" ref="J180" ca="1">ROUND(INDEX(INDIRECT("CFS_"&amp;TEXT(J$1,"mmm")&amp;"_"&amp;TEXT(J$1,"yyyy")),MATCH(TRIM($A179),CFS_Accounts,0))-J179,2)</f>
        <v>0</v>
      </c>
      <c r="K180" s="115">
        <f t="array" aca="1" ref="K180" ca="1">ROUND(INDEX(INDIRECT("CFS_"&amp;TEXT(K$1,"mmm")&amp;"_"&amp;TEXT(K$1,"yyyy")),MATCH(TRIM($A179),CFS_Accounts,0))-K179,2)</f>
        <v>0</v>
      </c>
      <c r="L180" s="115">
        <f t="array" aca="1" ref="L180" ca="1">ROUND(INDEX(INDIRECT("CFS_"&amp;TEXT(L$1,"mmm")&amp;"_"&amp;TEXT(L$1,"yyyy")),MATCH(TRIM($A179),CFS_Accounts,0))-L179,2)</f>
        <v>0</v>
      </c>
      <c r="M180" s="115">
        <f t="array" aca="1" ref="M180" ca="1">ROUND(INDEX(INDIRECT("CFS_"&amp;TEXT(M$1,"mmm")&amp;"_"&amp;TEXT(M$1,"yyyy")),MATCH(TRIM($A179),CFS_Accounts,0))-M179,2)</f>
        <v>0</v>
      </c>
      <c r="N180" s="115">
        <f t="array" aca="1" ref="N180" ca="1">ROUND(INDEX(INDIRECT("CFS_"&amp;TEXT(N$1,"mmm")&amp;"_"&amp;TEXT(N$1,"yyyy")),MATCH(TRIM($A179),CFS_Accounts,0))-N179,2)</f>
        <v>0</v>
      </c>
      <c r="O180" s="115">
        <f t="array" aca="1" ref="O180" ca="1">ROUND(INDEX(INDIRECT("CFS_"&amp;TEXT(O$1,"mmm")&amp;"_"&amp;TEXT(O$1,"yyyy")),MATCH(TRIM($A179),CFS_Accounts,0))-O179,2)</f>
        <v>0</v>
      </c>
      <c r="P180" s="115">
        <f t="array" aca="1" ref="P180" ca="1">ROUND(INDEX(INDIRECT("CFS_"&amp;TEXT(P$1,"mmm")&amp;"_"&amp;TEXT(P$1,"yyyy")),MATCH(TRIM($A179),CFS_Accounts,0))-P179,2)</f>
        <v>0</v>
      </c>
      <c r="Q180" s="115">
        <f t="array" aca="1" ref="Q180" ca="1">ROUND(INDEX(INDIRECT("CFS_"&amp;TEXT(Q$1,"mmm")&amp;"_"&amp;TEXT(Q$1,"yyyy")),MATCH(TRIM($A179),CFS_Accounts,0))-Q179,2)</f>
        <v>0</v>
      </c>
      <c r="R180" s="115">
        <f t="array" aca="1" ref="R180" ca="1">ROUND(INDEX(INDIRECT("CFS_"&amp;TEXT(R$1,"mmm")&amp;"_"&amp;TEXT(R$1,"yyyy")),MATCH(TRIM($A179),CFS_Accounts,0))-R179,2)</f>
        <v>0</v>
      </c>
      <c r="S180" s="115">
        <f t="array" aca="1" ref="S180" ca="1">ROUND(INDEX(INDIRECT("CFS_"&amp;TEXT(S$1,"mmm")&amp;"_"&amp;TEXT(S$1,"yyyy")),MATCH(TRIM($A179),CFS_Accounts,0))-S179,2)</f>
        <v>0</v>
      </c>
      <c r="T180" s="115">
        <f t="array" aca="1" ref="T180" ca="1">ROUND(INDEX(INDIRECT("CFS_"&amp;TEXT(T$1,"mmm")&amp;"_"&amp;TEXT(T$1,"yyyy")),MATCH(TRIM($A179),CFS_Accounts,0))-T179,2)</f>
        <v>0</v>
      </c>
      <c r="U180" s="115">
        <f t="array" aca="1" ref="U180" ca="1">ROUND(INDEX(INDIRECT("CFS_"&amp;TEXT(U$1,"mmm")&amp;"_"&amp;TEXT(U$1,"yyyy")),MATCH(TRIM($A179),CFS_Accounts,0))-U179,2)</f>
        <v>0</v>
      </c>
      <c r="V180" s="115">
        <f t="array" aca="1" ref="V180" ca="1">ROUND(INDEX(INDIRECT("CFS_"&amp;TEXT(V$1,"mmm")&amp;"_"&amp;TEXT(V$1,"yyyy")),MATCH(TRIM($A179),CFS_Accounts,0))-V179,2)</f>
        <v>0</v>
      </c>
      <c r="W180" s="115">
        <f t="array" aca="1" ref="W180" ca="1">ROUND(INDEX(INDIRECT("CFS_"&amp;TEXT(W$1,"mmm")&amp;"_"&amp;TEXT(W$1,"yyyy")),MATCH(TRIM($A179),CFS_Accounts,0))-W179,2)</f>
        <v>0</v>
      </c>
      <c r="X180" s="115">
        <f t="array" aca="1" ref="X180" ca="1">ROUND(INDEX(INDIRECT("CFS_"&amp;TEXT(X$1,"mmm")&amp;"_"&amp;TEXT(X$1,"yyyy")),MATCH(TRIM($A179),CFS_Accounts,0))-X179,2)</f>
        <v>0</v>
      </c>
      <c r="Y180" s="115">
        <f t="array" aca="1" ref="Y180" ca="1">ROUND(INDEX(INDIRECT("CFS_"&amp;TEXT(Y$1,"mmm")&amp;"_"&amp;TEXT(Y$1,"yyyy")),MATCH(TRIM($A179),CFS_Accounts,0))-Y179,2)</f>
        <v>0</v>
      </c>
      <c r="Z180" s="115">
        <f t="array" aca="1" ref="Z180" ca="1">ROUND(INDEX(INDIRECT("CFS_"&amp;TEXT(Z$1,"mmm")&amp;"_"&amp;TEXT(Z$1,"yyyy")),MATCH(TRIM($A179),CFS_Accounts,0))-Z179,2)</f>
        <v>0</v>
      </c>
      <c r="AA180" s="115">
        <f t="array" aca="1" ref="AA180" ca="1">ROUND(INDEX(INDIRECT("CFS_"&amp;TEXT(AA$1,"mmm")&amp;"_"&amp;TEXT(AA$1,"yyyy")),MATCH(TRIM($A179),CFS_Accounts,0))-AA179,2)</f>
        <v>0</v>
      </c>
      <c r="AB180" s="115">
        <f t="array" aca="1" ref="AB180" ca="1">ROUND(INDEX(INDIRECT("CFS_"&amp;TEXT(AB$1,"mmm")&amp;"_"&amp;TEXT(AB$1,"yyyy")),MATCH(TRIM($A179),CFS_Accounts,0))-AB179,2)</f>
        <v>0</v>
      </c>
      <c r="AC180" s="115">
        <f t="array" aca="1" ref="AC180" ca="1">ROUND(INDEX(INDIRECT("CFS_"&amp;TEXT(AC$1,"mmm")&amp;"_"&amp;TEXT(AC$1,"yyyy")),MATCH(TRIM($A179),CFS_Accounts,0))-AC179,2)</f>
        <v>0</v>
      </c>
      <c r="AD180" s="115">
        <f t="array" aca="1" ref="AD180" ca="1">ROUND(INDEX(INDIRECT("CFS_"&amp;TEXT(AD$1,"mmm")&amp;"_"&amp;TEXT(AD$1,"yyyy")),MATCH(TRIM($A179),CFS_Accounts,0))-AD179,2)</f>
        <v>0</v>
      </c>
      <c r="AE180" s="115">
        <f t="array" aca="1" ref="AE180" ca="1">ROUND(INDEX(INDIRECT("CFS_"&amp;TEXT(AE$1,"mmm")&amp;"_"&amp;TEXT(AE$1,"yyyy")),MATCH(TRIM($A179),CFS_Accounts,0))-AE179,2)</f>
        <v>0</v>
      </c>
    </row>
    <row r="181" spans="1:75" ht="12.75" x14ac:dyDescent="0.2">
      <c r="A181" s="256" t="s">
        <v>406</v>
      </c>
      <c r="B181" s="238"/>
      <c r="C181" s="212"/>
      <c r="D181" s="213">
        <f t="shared" ref="D181:BW181" ca="1" si="104">SUM(D179,D170,D164)</f>
        <v>960680</v>
      </c>
      <c r="E181" s="213">
        <f t="shared" ca="1" si="104"/>
        <v>9650</v>
      </c>
      <c r="F181" s="213">
        <f t="shared" ca="1" si="104"/>
        <v>-102956</v>
      </c>
      <c r="G181" s="213">
        <f t="shared" ca="1" si="104"/>
        <v>-94595</v>
      </c>
      <c r="H181" s="213">
        <f t="shared" ca="1" si="104"/>
        <v>-82065</v>
      </c>
      <c r="I181" s="213">
        <f t="shared" ca="1" si="104"/>
        <v>-78132</v>
      </c>
      <c r="J181" s="213">
        <f t="shared" ca="1" si="104"/>
        <v>-94045</v>
      </c>
      <c r="K181" s="213">
        <f t="shared" ca="1" si="104"/>
        <v>-89766</v>
      </c>
      <c r="L181" s="213">
        <f t="shared" ca="1" si="104"/>
        <v>-114445</v>
      </c>
      <c r="M181" s="213">
        <f t="shared" ca="1" si="104"/>
        <v>468119</v>
      </c>
      <c r="N181" s="213">
        <f t="shared" ca="1" si="104"/>
        <v>-140597</v>
      </c>
      <c r="O181" s="213">
        <f t="shared" ca="1" si="104"/>
        <v>-177194</v>
      </c>
      <c r="P181" s="213">
        <f t="shared" ca="1" si="104"/>
        <v>322876</v>
      </c>
      <c r="Q181" s="213">
        <f t="shared" ca="1" si="104"/>
        <v>-189575</v>
      </c>
      <c r="R181" s="213">
        <f t="shared" ca="1" si="104"/>
        <v>-184131</v>
      </c>
      <c r="S181" s="213">
        <f t="shared" ca="1" si="104"/>
        <v>-128941</v>
      </c>
      <c r="T181" s="213">
        <f t="shared" ca="1" si="104"/>
        <v>148246</v>
      </c>
      <c r="U181" s="213">
        <f t="shared" ca="1" si="104"/>
        <v>-122283</v>
      </c>
      <c r="V181" s="213">
        <f t="shared" ca="1" si="104"/>
        <v>-102474</v>
      </c>
      <c r="W181" s="213">
        <f t="shared" ca="1" si="104"/>
        <v>-82495</v>
      </c>
      <c r="X181" s="213">
        <f t="shared" ca="1" si="104"/>
        <v>-60038</v>
      </c>
      <c r="Y181" s="213">
        <f t="shared" ca="1" si="104"/>
        <v>272680</v>
      </c>
      <c r="Z181" s="213">
        <f t="shared" ca="1" si="104"/>
        <v>-18905</v>
      </c>
      <c r="AA181" s="213">
        <f t="shared" ca="1" si="104"/>
        <v>-24211</v>
      </c>
      <c r="AB181" s="213">
        <f t="shared" ca="1" si="104"/>
        <v>-13824</v>
      </c>
      <c r="AC181" s="213">
        <f t="shared" ca="1" si="104"/>
        <v>-26169</v>
      </c>
      <c r="AD181" s="213">
        <f t="shared" ca="1" si="104"/>
        <v>8407.1899999999441</v>
      </c>
      <c r="AE181" s="213">
        <f t="shared" ca="1" si="104"/>
        <v>-117</v>
      </c>
      <c r="AF181" s="213">
        <f t="shared" ca="1" si="104"/>
        <v>53348.166337172617</v>
      </c>
      <c r="AG181" s="213">
        <f t="shared" ca="1" si="104"/>
        <v>35365.854453630745</v>
      </c>
      <c r="AH181" s="213">
        <f t="shared" ca="1" si="104"/>
        <v>26710.675679224078</v>
      </c>
      <c r="AI181" s="213">
        <f t="shared" ca="1" si="104"/>
        <v>14920.419460284058</v>
      </c>
      <c r="AJ181" s="213">
        <f t="shared" ca="1" si="104"/>
        <v>13663.145356597728</v>
      </c>
      <c r="AK181" s="213">
        <f t="shared" ca="1" si="104"/>
        <v>-48549.729794865241</v>
      </c>
      <c r="AL181" s="213">
        <f t="shared" ca="1" si="104"/>
        <v>-48803.553726164275</v>
      </c>
      <c r="AM181" s="213">
        <f t="shared" ca="1" si="104"/>
        <v>-88331.994089839398</v>
      </c>
      <c r="AN181" s="213">
        <f t="shared" ca="1" si="104"/>
        <v>-104794.54982564156</v>
      </c>
      <c r="AO181" s="213">
        <f t="shared" ca="1" si="104"/>
        <v>-142974.65278888505</v>
      </c>
      <c r="AP181" s="213">
        <f t="shared" ca="1" si="104"/>
        <v>-141624.0181672388</v>
      </c>
      <c r="AQ181" s="213">
        <f t="shared" ca="1" si="104"/>
        <v>-187935.17351820879</v>
      </c>
      <c r="AR181" s="213">
        <f t="shared" ca="1" si="104"/>
        <v>-184694.17163031828</v>
      </c>
      <c r="AS181" s="213">
        <f t="shared" ca="1" si="104"/>
        <v>-181586.3275139014</v>
      </c>
      <c r="AT181" s="213">
        <f t="shared" ca="1" si="104"/>
        <v>-195183.5016491384</v>
      </c>
      <c r="AU181" s="213">
        <f t="shared" ca="1" si="104"/>
        <v>-191277.3972087499</v>
      </c>
      <c r="AV181" s="213">
        <f t="shared" ca="1" si="104"/>
        <v>-186446.00717596372</v>
      </c>
      <c r="AW181" s="213">
        <f t="shared" ca="1" si="104"/>
        <v>-196732.59698605305</v>
      </c>
      <c r="AX181" s="213">
        <f t="shared" ca="1" si="104"/>
        <v>-191129.26920457231</v>
      </c>
      <c r="AY181" s="213">
        <f t="shared" ca="1" si="104"/>
        <v>-184612.36568452464</v>
      </c>
      <c r="AZ181" s="213">
        <f t="shared" ca="1" si="104"/>
        <v>-163531.85902199417</v>
      </c>
      <c r="BA181" s="213">
        <f t="shared" ca="1" si="104"/>
        <v>-145656.62694266392</v>
      </c>
      <c r="BB181" s="213">
        <f t="shared" ca="1" si="104"/>
        <v>-125384.45383855235</v>
      </c>
      <c r="BC181" s="213">
        <f t="shared" ca="1" si="104"/>
        <v>-118219.62232774729</v>
      </c>
      <c r="BD181" s="213">
        <f t="shared" ca="1" si="104"/>
        <v>-91559.401406835299</v>
      </c>
      <c r="BE181" s="213">
        <f t="shared" ca="1" si="104"/>
        <v>-67602.424128774554</v>
      </c>
      <c r="BF181" s="213">
        <f t="shared" ca="1" si="104"/>
        <v>-58065.361634227913</v>
      </c>
      <c r="BG181" s="213">
        <f t="shared" ca="1" si="104"/>
        <v>-31075.902297257213</v>
      </c>
      <c r="BH181" s="213">
        <f t="shared" ca="1" si="104"/>
        <v>-3066.4204998074565</v>
      </c>
      <c r="BI181" s="213">
        <f t="shared" ca="1" si="104"/>
        <v>9289.7598335875664</v>
      </c>
      <c r="BJ181" s="213">
        <f t="shared" ca="1" si="104"/>
        <v>38875.005257610697</v>
      </c>
      <c r="BK181" s="213">
        <f t="shared" ca="1" si="104"/>
        <v>69541.525123957777</v>
      </c>
      <c r="BL181" s="213">
        <f t="shared" ca="1" si="104"/>
        <v>85165.691730130697</v>
      </c>
      <c r="BM181" s="213">
        <f t="shared" ca="1" si="104"/>
        <v>117817.04966909951</v>
      </c>
      <c r="BN181" s="213">
        <f t="shared" ca="1" si="104"/>
        <v>151617.32156764017</v>
      </c>
      <c r="BO181" s="213">
        <f t="shared" ca="1" si="104"/>
        <v>170518.97268868494</v>
      </c>
      <c r="BP181" s="212" t="e">
        <f t="shared" ca="1" si="104"/>
        <v>#N/A</v>
      </c>
      <c r="BQ181" s="212" t="e">
        <f t="shared" ca="1" si="104"/>
        <v>#N/A</v>
      </c>
      <c r="BR181" s="212" t="e">
        <f t="shared" ca="1" si="104"/>
        <v>#N/A</v>
      </c>
      <c r="BS181" s="212" t="e">
        <f t="shared" ca="1" si="104"/>
        <v>#N/A</v>
      </c>
      <c r="BT181" s="212" t="e">
        <f t="shared" ca="1" si="104"/>
        <v>#N/A</v>
      </c>
      <c r="BU181" s="212" t="e">
        <f t="shared" ca="1" si="104"/>
        <v>#N/A</v>
      </c>
      <c r="BV181" s="212" t="e">
        <f t="shared" ca="1" si="104"/>
        <v>#N/A</v>
      </c>
      <c r="BW181" s="212" t="e">
        <f t="shared" ca="1" si="104"/>
        <v>#N/A</v>
      </c>
    </row>
    <row r="182" spans="1:75" ht="12.75" x14ac:dyDescent="0.2">
      <c r="A182" s="69" t="s">
        <v>244</v>
      </c>
      <c r="B182" s="221"/>
      <c r="D182" s="115">
        <f t="array" aca="1" ref="D182" ca="1">ROUND(INDEX(INDIRECT("CFS_"&amp;TEXT(D$1,"mmm")&amp;"_"&amp;TEXT(D$1,"yyyy")),MATCH(TRIM($A181),CFS_Accounts,0))-D181,2)</f>
        <v>0</v>
      </c>
      <c r="E182" s="115">
        <f t="array" aca="1" ref="E182" ca="1">ROUND(INDEX(INDIRECT("CFS_"&amp;TEXT(E$1,"mmm")&amp;"_"&amp;TEXT(E$1,"yyyy")),MATCH(TRIM($A181),CFS_Accounts,0))-E181,2)</f>
        <v>0</v>
      </c>
      <c r="F182" s="115">
        <f t="array" aca="1" ref="F182" ca="1">ROUND(INDEX(INDIRECT("CFS_"&amp;TEXT(F$1,"mmm")&amp;"_"&amp;TEXT(F$1,"yyyy")),MATCH(TRIM($A181),CFS_Accounts,0))-F181,2)</f>
        <v>0</v>
      </c>
      <c r="G182" s="115">
        <f t="array" aca="1" ref="G182" ca="1">ROUND(INDEX(INDIRECT("CFS_"&amp;TEXT(G$1,"mmm")&amp;"_"&amp;TEXT(G$1,"yyyy")),MATCH(TRIM($A181),CFS_Accounts,0))-G181,2)</f>
        <v>0</v>
      </c>
      <c r="H182" s="115">
        <f t="array" aca="1" ref="H182" ca="1">ROUND(INDEX(INDIRECT("CFS_"&amp;TEXT(H$1,"mmm")&amp;"_"&amp;TEXT(H$1,"yyyy")),MATCH(TRIM($A181),CFS_Accounts,0))-H181,2)</f>
        <v>0</v>
      </c>
      <c r="I182" s="115">
        <f t="array" aca="1" ref="I182" ca="1">ROUND(INDEX(INDIRECT("CFS_"&amp;TEXT(I$1,"mmm")&amp;"_"&amp;TEXT(I$1,"yyyy")),MATCH(TRIM($A181),CFS_Accounts,0))-I181,2)</f>
        <v>0</v>
      </c>
      <c r="J182" s="115">
        <f t="array" aca="1" ref="J182" ca="1">ROUND(INDEX(INDIRECT("CFS_"&amp;TEXT(J$1,"mmm")&amp;"_"&amp;TEXT(J$1,"yyyy")),MATCH(TRIM($A181),CFS_Accounts,0))-J181,2)</f>
        <v>0</v>
      </c>
      <c r="K182" s="115">
        <f t="array" aca="1" ref="K182" ca="1">ROUND(INDEX(INDIRECT("CFS_"&amp;TEXT(K$1,"mmm")&amp;"_"&amp;TEXT(K$1,"yyyy")),MATCH(TRIM($A181),CFS_Accounts,0))-K181,2)</f>
        <v>0</v>
      </c>
      <c r="L182" s="115">
        <f t="array" aca="1" ref="L182" ca="1">ROUND(INDEX(INDIRECT("CFS_"&amp;TEXT(L$1,"mmm")&amp;"_"&amp;TEXT(L$1,"yyyy")),MATCH(TRIM($A181),CFS_Accounts,0))-L181,2)</f>
        <v>0</v>
      </c>
      <c r="M182" s="115">
        <f t="array" aca="1" ref="M182" ca="1">ROUND(INDEX(INDIRECT("CFS_"&amp;TEXT(M$1,"mmm")&amp;"_"&amp;TEXT(M$1,"yyyy")),MATCH(TRIM($A181),CFS_Accounts,0))-M181,2)</f>
        <v>0</v>
      </c>
      <c r="N182" s="115">
        <f t="array" aca="1" ref="N182" ca="1">ROUND(INDEX(INDIRECT("CFS_"&amp;TEXT(N$1,"mmm")&amp;"_"&amp;TEXT(N$1,"yyyy")),MATCH(TRIM($A181),CFS_Accounts,0))-N181,2)</f>
        <v>0</v>
      </c>
      <c r="O182" s="115">
        <f t="array" aca="1" ref="O182" ca="1">ROUND(INDEX(INDIRECT("CFS_"&amp;TEXT(O$1,"mmm")&amp;"_"&amp;TEXT(O$1,"yyyy")),MATCH(TRIM($A181),CFS_Accounts,0))-O181,2)</f>
        <v>0</v>
      </c>
      <c r="P182" s="115">
        <f t="array" aca="1" ref="P182" ca="1">ROUND(INDEX(INDIRECT("CFS_"&amp;TEXT(P$1,"mmm")&amp;"_"&amp;TEXT(P$1,"yyyy")),MATCH(TRIM($A181),CFS_Accounts,0))-P181,2)</f>
        <v>0</v>
      </c>
      <c r="Q182" s="115">
        <f t="array" aca="1" ref="Q182" ca="1">ROUND(INDEX(INDIRECT("CFS_"&amp;TEXT(Q$1,"mmm")&amp;"_"&amp;TEXT(Q$1,"yyyy")),MATCH(TRIM($A181),CFS_Accounts,0))-Q181,2)</f>
        <v>0</v>
      </c>
      <c r="R182" s="115">
        <f t="array" aca="1" ref="R182" ca="1">ROUND(INDEX(INDIRECT("CFS_"&amp;TEXT(R$1,"mmm")&amp;"_"&amp;TEXT(R$1,"yyyy")),MATCH(TRIM($A181),CFS_Accounts,0))-R181,2)</f>
        <v>0</v>
      </c>
      <c r="S182" s="115">
        <f t="array" aca="1" ref="S182" ca="1">ROUND(INDEX(INDIRECT("CFS_"&amp;TEXT(S$1,"mmm")&amp;"_"&amp;TEXT(S$1,"yyyy")),MATCH(TRIM($A181),CFS_Accounts,0))-S181,2)</f>
        <v>0</v>
      </c>
      <c r="T182" s="115">
        <f t="array" aca="1" ref="T182" ca="1">ROUND(INDEX(INDIRECT("CFS_"&amp;TEXT(T$1,"mmm")&amp;"_"&amp;TEXT(T$1,"yyyy")),MATCH(TRIM($A181),CFS_Accounts,0))-T181,2)</f>
        <v>0</v>
      </c>
      <c r="U182" s="115">
        <f t="array" aca="1" ref="U182" ca="1">ROUND(INDEX(INDIRECT("CFS_"&amp;TEXT(U$1,"mmm")&amp;"_"&amp;TEXT(U$1,"yyyy")),MATCH(TRIM($A181),CFS_Accounts,0))-U181,2)</f>
        <v>0</v>
      </c>
      <c r="V182" s="115">
        <f t="array" aca="1" ref="V182" ca="1">ROUND(INDEX(INDIRECT("CFS_"&amp;TEXT(V$1,"mmm")&amp;"_"&amp;TEXT(V$1,"yyyy")),MATCH(TRIM($A181),CFS_Accounts,0))-V181,2)</f>
        <v>0</v>
      </c>
      <c r="W182" s="115">
        <f t="array" aca="1" ref="W182" ca="1">ROUND(INDEX(INDIRECT("CFS_"&amp;TEXT(W$1,"mmm")&amp;"_"&amp;TEXT(W$1,"yyyy")),MATCH(TRIM($A181),CFS_Accounts,0))-W181,2)</f>
        <v>0</v>
      </c>
      <c r="X182" s="115">
        <f t="array" aca="1" ref="X182" ca="1">ROUND(INDEX(INDIRECT("CFS_"&amp;TEXT(X$1,"mmm")&amp;"_"&amp;TEXT(X$1,"yyyy")),MATCH(TRIM($A181),CFS_Accounts,0))-X181,2)</f>
        <v>0</v>
      </c>
      <c r="Y182" s="115">
        <f t="array" aca="1" ref="Y182" ca="1">ROUND(INDEX(INDIRECT("CFS_"&amp;TEXT(Y$1,"mmm")&amp;"_"&amp;TEXT(Y$1,"yyyy")),MATCH(TRIM($A181),CFS_Accounts,0))-Y181,2)</f>
        <v>0</v>
      </c>
      <c r="Z182" s="115">
        <f t="array" aca="1" ref="Z182" ca="1">ROUND(INDEX(INDIRECT("CFS_"&amp;TEXT(Z$1,"mmm")&amp;"_"&amp;TEXT(Z$1,"yyyy")),MATCH(TRIM($A181),CFS_Accounts,0))-Z181,2)</f>
        <v>0</v>
      </c>
      <c r="AA182" s="115">
        <f t="array" aca="1" ref="AA182" ca="1">ROUND(INDEX(INDIRECT("CFS_"&amp;TEXT(AA$1,"mmm")&amp;"_"&amp;TEXT(AA$1,"yyyy")),MATCH(TRIM($A181),CFS_Accounts,0))-AA181,2)</f>
        <v>0</v>
      </c>
      <c r="AB182" s="115">
        <f t="array" aca="1" ref="AB182" ca="1">ROUND(INDEX(INDIRECT("CFS_"&amp;TEXT(AB$1,"mmm")&amp;"_"&amp;TEXT(AB$1,"yyyy")),MATCH(TRIM($A181),CFS_Accounts,0))-AB181,2)</f>
        <v>0</v>
      </c>
      <c r="AC182" s="115">
        <f t="array" aca="1" ref="AC182" ca="1">ROUND(INDEX(INDIRECT("CFS_"&amp;TEXT(AC$1,"mmm")&amp;"_"&amp;TEXT(AC$1,"yyyy")),MATCH(TRIM($A181),CFS_Accounts,0))-AC181,2)</f>
        <v>0</v>
      </c>
      <c r="AD182" s="115">
        <f t="array" aca="1" ref="AD182" ca="1">ROUND(INDEX(INDIRECT("CFS_"&amp;TEXT(AD$1,"mmm")&amp;"_"&amp;TEXT(AD$1,"yyyy")),MATCH(TRIM($A181),CFS_Accounts,0))-AD181,2)</f>
        <v>0</v>
      </c>
      <c r="AE182" s="115">
        <f t="array" aca="1" ref="AE182" ca="1">ROUND(INDEX(INDIRECT("CFS_"&amp;TEXT(AE$1,"mmm")&amp;"_"&amp;TEXT(AE$1,"yyyy")),MATCH(TRIM($A181),CFS_Accounts,0))-AE181,2)</f>
        <v>0</v>
      </c>
    </row>
    <row r="183" spans="1:75" ht="12.75" x14ac:dyDescent="0.2">
      <c r="B183" s="221"/>
    </row>
    <row r="184" spans="1:75" ht="12.75" x14ac:dyDescent="0.2">
      <c r="B184" s="221"/>
    </row>
    <row r="185" spans="1:75" ht="12.75" x14ac:dyDescent="0.2">
      <c r="B185" s="221"/>
    </row>
    <row r="186" spans="1:75" ht="12.75" x14ac:dyDescent="0.2">
      <c r="B186" s="221"/>
    </row>
    <row r="187" spans="1:75" ht="12.75" x14ac:dyDescent="0.2">
      <c r="B187" s="221"/>
    </row>
    <row r="188" spans="1:75" ht="12.75" x14ac:dyDescent="0.2">
      <c r="B188" s="221"/>
    </row>
    <row r="189" spans="1:75" ht="12.75" x14ac:dyDescent="0.2">
      <c r="B189" s="221"/>
    </row>
    <row r="190" spans="1:75" ht="12.75" x14ac:dyDescent="0.2">
      <c r="B190" s="221"/>
    </row>
    <row r="191" spans="1:75" ht="12.75" x14ac:dyDescent="0.2">
      <c r="B191" s="221"/>
    </row>
    <row r="192" spans="1:75" ht="12.75" x14ac:dyDescent="0.2">
      <c r="B192" s="221"/>
    </row>
    <row r="193" spans="2:2" ht="12.75" x14ac:dyDescent="0.2">
      <c r="B193" s="221"/>
    </row>
    <row r="194" spans="2:2" ht="12.75" x14ac:dyDescent="0.2">
      <c r="B194" s="221"/>
    </row>
    <row r="195" spans="2:2" ht="12.75" x14ac:dyDescent="0.2">
      <c r="B195" s="221"/>
    </row>
    <row r="196" spans="2:2" ht="12.75" x14ac:dyDescent="0.2">
      <c r="B196" s="221"/>
    </row>
    <row r="197" spans="2:2" ht="12.75" x14ac:dyDescent="0.2">
      <c r="B197" s="221"/>
    </row>
    <row r="198" spans="2:2" ht="12.75" x14ac:dyDescent="0.2">
      <c r="B198" s="221"/>
    </row>
    <row r="199" spans="2:2" ht="12.75" x14ac:dyDescent="0.2">
      <c r="B199" s="221"/>
    </row>
    <row r="200" spans="2:2" ht="12.75" x14ac:dyDescent="0.2">
      <c r="B200" s="221"/>
    </row>
    <row r="201" spans="2:2" ht="12.75" x14ac:dyDescent="0.2">
      <c r="B201" s="221"/>
    </row>
    <row r="202" spans="2:2" ht="12.75" x14ac:dyDescent="0.2">
      <c r="B202" s="221"/>
    </row>
    <row r="203" spans="2:2" ht="12.75" x14ac:dyDescent="0.2">
      <c r="B203" s="221"/>
    </row>
    <row r="204" spans="2:2" ht="12.75" x14ac:dyDescent="0.2">
      <c r="B204" s="221"/>
    </row>
    <row r="205" spans="2:2" ht="12.75" x14ac:dyDescent="0.2">
      <c r="B205" s="221"/>
    </row>
    <row r="206" spans="2:2" ht="12.75" x14ac:dyDescent="0.2">
      <c r="B206" s="221"/>
    </row>
    <row r="207" spans="2:2" ht="12.75" x14ac:dyDescent="0.2">
      <c r="B207" s="221"/>
    </row>
    <row r="208" spans="2:2" ht="12.75" x14ac:dyDescent="0.2">
      <c r="B208" s="221"/>
    </row>
    <row r="209" spans="2:2" ht="12.75" x14ac:dyDescent="0.2">
      <c r="B209" s="221"/>
    </row>
    <row r="210" spans="2:2" ht="12.75" x14ac:dyDescent="0.2">
      <c r="B210" s="221"/>
    </row>
    <row r="211" spans="2:2" ht="12.75" x14ac:dyDescent="0.2">
      <c r="B211" s="221"/>
    </row>
    <row r="212" spans="2:2" ht="12.75" x14ac:dyDescent="0.2">
      <c r="B212" s="221"/>
    </row>
    <row r="213" spans="2:2" ht="12.75" x14ac:dyDescent="0.2">
      <c r="B213" s="221"/>
    </row>
    <row r="214" spans="2:2" ht="12.75" x14ac:dyDescent="0.2">
      <c r="B214" s="221"/>
    </row>
    <row r="215" spans="2:2" ht="12.75" x14ac:dyDescent="0.2">
      <c r="B215" s="221"/>
    </row>
    <row r="216" spans="2:2" ht="12.75" x14ac:dyDescent="0.2">
      <c r="B216" s="221"/>
    </row>
    <row r="217" spans="2:2" ht="12.75" x14ac:dyDescent="0.2">
      <c r="B217" s="221"/>
    </row>
    <row r="218" spans="2:2" ht="12.75" x14ac:dyDescent="0.2">
      <c r="B218" s="221"/>
    </row>
    <row r="219" spans="2:2" ht="12.75" x14ac:dyDescent="0.2">
      <c r="B219" s="221"/>
    </row>
    <row r="220" spans="2:2" ht="12.75" x14ac:dyDescent="0.2">
      <c r="B220" s="221"/>
    </row>
    <row r="221" spans="2:2" ht="12.75" x14ac:dyDescent="0.2">
      <c r="B221" s="221"/>
    </row>
    <row r="222" spans="2:2" ht="12.75" x14ac:dyDescent="0.2">
      <c r="B222" s="221"/>
    </row>
    <row r="223" spans="2:2" ht="12.75" x14ac:dyDescent="0.2">
      <c r="B223" s="221"/>
    </row>
    <row r="224" spans="2:2" ht="12.75" x14ac:dyDescent="0.2">
      <c r="B224" s="221"/>
    </row>
    <row r="225" spans="2:2" ht="12.75" x14ac:dyDescent="0.2">
      <c r="B225" s="221"/>
    </row>
    <row r="226" spans="2:2" ht="12.75" x14ac:dyDescent="0.2">
      <c r="B226" s="221"/>
    </row>
    <row r="227" spans="2:2" ht="12.75" x14ac:dyDescent="0.2">
      <c r="B227" s="221"/>
    </row>
    <row r="228" spans="2:2" ht="12.75" x14ac:dyDescent="0.2">
      <c r="B228" s="221"/>
    </row>
    <row r="229" spans="2:2" ht="12.75" x14ac:dyDescent="0.2">
      <c r="B229" s="221"/>
    </row>
    <row r="230" spans="2:2" ht="12.75" x14ac:dyDescent="0.2">
      <c r="B230" s="221"/>
    </row>
    <row r="231" spans="2:2" ht="12.75" x14ac:dyDescent="0.2">
      <c r="B231" s="221"/>
    </row>
    <row r="232" spans="2:2" ht="12.75" x14ac:dyDescent="0.2">
      <c r="B232" s="221"/>
    </row>
    <row r="233" spans="2:2" ht="12.75" x14ac:dyDescent="0.2">
      <c r="B233" s="221"/>
    </row>
    <row r="234" spans="2:2" ht="12.75" x14ac:dyDescent="0.2">
      <c r="B234" s="221"/>
    </row>
    <row r="235" spans="2:2" ht="12.75" x14ac:dyDescent="0.2">
      <c r="B235" s="221"/>
    </row>
    <row r="236" spans="2:2" ht="12.75" x14ac:dyDescent="0.2">
      <c r="B236" s="221"/>
    </row>
    <row r="237" spans="2:2" ht="12.75" x14ac:dyDescent="0.2">
      <c r="B237" s="221"/>
    </row>
    <row r="238" spans="2:2" ht="12.75" x14ac:dyDescent="0.2">
      <c r="B238" s="221"/>
    </row>
    <row r="239" spans="2:2" ht="12.75" x14ac:dyDescent="0.2">
      <c r="B239" s="221"/>
    </row>
    <row r="240" spans="2:2" ht="12.75" x14ac:dyDescent="0.2">
      <c r="B240" s="221"/>
    </row>
    <row r="241" spans="2:2" ht="12.75" x14ac:dyDescent="0.2">
      <c r="B241" s="221"/>
    </row>
    <row r="242" spans="2:2" ht="12.75" x14ac:dyDescent="0.2">
      <c r="B242" s="221"/>
    </row>
    <row r="243" spans="2:2" ht="12.75" x14ac:dyDescent="0.2">
      <c r="B243" s="221"/>
    </row>
    <row r="244" spans="2:2" ht="12.75" x14ac:dyDescent="0.2">
      <c r="B244" s="221"/>
    </row>
    <row r="245" spans="2:2" ht="12.75" x14ac:dyDescent="0.2">
      <c r="B245" s="221"/>
    </row>
    <row r="246" spans="2:2" ht="12.75" x14ac:dyDescent="0.2">
      <c r="B246" s="221"/>
    </row>
    <row r="247" spans="2:2" ht="12.75" x14ac:dyDescent="0.2">
      <c r="B247" s="221"/>
    </row>
    <row r="248" spans="2:2" ht="12.75" x14ac:dyDescent="0.2">
      <c r="B248" s="221"/>
    </row>
    <row r="249" spans="2:2" ht="12.75" x14ac:dyDescent="0.2">
      <c r="B249" s="221"/>
    </row>
    <row r="250" spans="2:2" ht="12.75" x14ac:dyDescent="0.2">
      <c r="B250" s="221"/>
    </row>
    <row r="251" spans="2:2" ht="12.75" x14ac:dyDescent="0.2">
      <c r="B251" s="221"/>
    </row>
    <row r="252" spans="2:2" ht="12.75" x14ac:dyDescent="0.2">
      <c r="B252" s="221"/>
    </row>
    <row r="253" spans="2:2" ht="12.75" x14ac:dyDescent="0.2">
      <c r="B253" s="221"/>
    </row>
    <row r="254" spans="2:2" ht="12.75" x14ac:dyDescent="0.2">
      <c r="B254" s="221"/>
    </row>
    <row r="255" spans="2:2" ht="12.75" x14ac:dyDescent="0.2">
      <c r="B255" s="221"/>
    </row>
    <row r="256" spans="2:2" ht="12.75" x14ac:dyDescent="0.2">
      <c r="B256" s="221"/>
    </row>
    <row r="257" spans="2:2" ht="12.75" x14ac:dyDescent="0.2">
      <c r="B257" s="221"/>
    </row>
    <row r="258" spans="2:2" ht="12.75" x14ac:dyDescent="0.2">
      <c r="B258" s="221"/>
    </row>
    <row r="259" spans="2:2" ht="12.75" x14ac:dyDescent="0.2">
      <c r="B259" s="221"/>
    </row>
    <row r="260" spans="2:2" ht="12.75" x14ac:dyDescent="0.2">
      <c r="B260" s="221"/>
    </row>
    <row r="261" spans="2:2" ht="12.75" x14ac:dyDescent="0.2">
      <c r="B261" s="221"/>
    </row>
    <row r="262" spans="2:2" ht="12.75" x14ac:dyDescent="0.2">
      <c r="B262" s="221"/>
    </row>
    <row r="263" spans="2:2" ht="12.75" x14ac:dyDescent="0.2">
      <c r="B263" s="221"/>
    </row>
    <row r="264" spans="2:2" ht="12.75" x14ac:dyDescent="0.2">
      <c r="B264" s="221"/>
    </row>
    <row r="265" spans="2:2" ht="12.75" x14ac:dyDescent="0.2">
      <c r="B265" s="221"/>
    </row>
    <row r="266" spans="2:2" ht="12.75" x14ac:dyDescent="0.2">
      <c r="B266" s="221"/>
    </row>
    <row r="267" spans="2:2" ht="12.75" x14ac:dyDescent="0.2">
      <c r="B267" s="221"/>
    </row>
    <row r="268" spans="2:2" ht="12.75" x14ac:dyDescent="0.2">
      <c r="B268" s="221"/>
    </row>
    <row r="269" spans="2:2" ht="12.75" x14ac:dyDescent="0.2">
      <c r="B269" s="221"/>
    </row>
    <row r="270" spans="2:2" ht="12.75" x14ac:dyDescent="0.2">
      <c r="B270" s="221"/>
    </row>
    <row r="271" spans="2:2" ht="12.75" x14ac:dyDescent="0.2">
      <c r="B271" s="221"/>
    </row>
    <row r="272" spans="2:2" ht="12.75" x14ac:dyDescent="0.2">
      <c r="B272" s="221"/>
    </row>
    <row r="273" spans="2:2" ht="12.75" x14ac:dyDescent="0.2">
      <c r="B273" s="221"/>
    </row>
    <row r="274" spans="2:2" ht="12.75" x14ac:dyDescent="0.2">
      <c r="B274" s="221"/>
    </row>
    <row r="275" spans="2:2" ht="12.75" x14ac:dyDescent="0.2">
      <c r="B275" s="221"/>
    </row>
    <row r="276" spans="2:2" ht="12.75" x14ac:dyDescent="0.2">
      <c r="B276" s="221"/>
    </row>
    <row r="277" spans="2:2" ht="12.75" x14ac:dyDescent="0.2">
      <c r="B277" s="221"/>
    </row>
    <row r="278" spans="2:2" ht="12.75" x14ac:dyDescent="0.2">
      <c r="B278" s="221"/>
    </row>
    <row r="279" spans="2:2" ht="12.75" x14ac:dyDescent="0.2">
      <c r="B279" s="221"/>
    </row>
    <row r="280" spans="2:2" ht="12.75" x14ac:dyDescent="0.2">
      <c r="B280" s="221"/>
    </row>
    <row r="281" spans="2:2" ht="12.75" x14ac:dyDescent="0.2">
      <c r="B281" s="221"/>
    </row>
    <row r="282" spans="2:2" ht="12.75" x14ac:dyDescent="0.2">
      <c r="B282" s="221"/>
    </row>
    <row r="283" spans="2:2" ht="12.75" x14ac:dyDescent="0.2">
      <c r="B283" s="221"/>
    </row>
    <row r="284" spans="2:2" ht="12.75" x14ac:dyDescent="0.2">
      <c r="B284" s="221"/>
    </row>
    <row r="285" spans="2:2" ht="12.75" x14ac:dyDescent="0.2">
      <c r="B285" s="221"/>
    </row>
    <row r="286" spans="2:2" ht="12.75" x14ac:dyDescent="0.2">
      <c r="B286" s="221"/>
    </row>
    <row r="287" spans="2:2" ht="12.75" x14ac:dyDescent="0.2">
      <c r="B287" s="221"/>
    </row>
    <row r="288" spans="2:2" ht="12.75" x14ac:dyDescent="0.2">
      <c r="B288" s="221"/>
    </row>
    <row r="289" spans="2:2" ht="12.75" x14ac:dyDescent="0.2">
      <c r="B289" s="221"/>
    </row>
    <row r="290" spans="2:2" ht="12.75" x14ac:dyDescent="0.2">
      <c r="B290" s="221"/>
    </row>
    <row r="291" spans="2:2" ht="12.75" x14ac:dyDescent="0.2">
      <c r="B291" s="221"/>
    </row>
    <row r="292" spans="2:2" ht="12.75" x14ac:dyDescent="0.2">
      <c r="B292" s="221"/>
    </row>
    <row r="293" spans="2:2" ht="12.75" x14ac:dyDescent="0.2">
      <c r="B293" s="221"/>
    </row>
    <row r="294" spans="2:2" ht="12.75" x14ac:dyDescent="0.2">
      <c r="B294" s="221"/>
    </row>
    <row r="295" spans="2:2" ht="12.75" x14ac:dyDescent="0.2">
      <c r="B295" s="221"/>
    </row>
    <row r="296" spans="2:2" ht="12.75" x14ac:dyDescent="0.2">
      <c r="B296" s="221"/>
    </row>
    <row r="297" spans="2:2" ht="12.75" x14ac:dyDescent="0.2">
      <c r="B297" s="221"/>
    </row>
    <row r="298" spans="2:2" ht="12.75" x14ac:dyDescent="0.2">
      <c r="B298" s="221"/>
    </row>
    <row r="299" spans="2:2" ht="12.75" x14ac:dyDescent="0.2">
      <c r="B299" s="221"/>
    </row>
    <row r="300" spans="2:2" ht="12.75" x14ac:dyDescent="0.2">
      <c r="B300" s="221"/>
    </row>
    <row r="301" spans="2:2" ht="12.75" x14ac:dyDescent="0.2">
      <c r="B301" s="221"/>
    </row>
    <row r="302" spans="2:2" ht="12.75" x14ac:dyDescent="0.2">
      <c r="B302" s="221"/>
    </row>
    <row r="303" spans="2:2" ht="12.75" x14ac:dyDescent="0.2">
      <c r="B303" s="221"/>
    </row>
    <row r="304" spans="2:2" ht="12.75" x14ac:dyDescent="0.2">
      <c r="B304" s="221"/>
    </row>
    <row r="305" spans="2:2" ht="12.75" x14ac:dyDescent="0.2">
      <c r="B305" s="221"/>
    </row>
    <row r="306" spans="2:2" ht="12.75" x14ac:dyDescent="0.2">
      <c r="B306" s="221"/>
    </row>
    <row r="307" spans="2:2" ht="12.75" x14ac:dyDescent="0.2">
      <c r="B307" s="221"/>
    </row>
    <row r="308" spans="2:2" ht="12.75" x14ac:dyDescent="0.2">
      <c r="B308" s="221"/>
    </row>
    <row r="309" spans="2:2" ht="12.75" x14ac:dyDescent="0.2">
      <c r="B309" s="221"/>
    </row>
    <row r="310" spans="2:2" ht="12.75" x14ac:dyDescent="0.2">
      <c r="B310" s="221"/>
    </row>
    <row r="311" spans="2:2" ht="12.75" x14ac:dyDescent="0.2">
      <c r="B311" s="221"/>
    </row>
    <row r="312" spans="2:2" ht="12.75" x14ac:dyDescent="0.2">
      <c r="B312" s="221"/>
    </row>
    <row r="313" spans="2:2" ht="12.75" x14ac:dyDescent="0.2">
      <c r="B313" s="221"/>
    </row>
    <row r="314" spans="2:2" ht="12.75" x14ac:dyDescent="0.2">
      <c r="B314" s="221"/>
    </row>
    <row r="315" spans="2:2" ht="12.75" x14ac:dyDescent="0.2">
      <c r="B315" s="221"/>
    </row>
    <row r="316" spans="2:2" ht="12.75" x14ac:dyDescent="0.2">
      <c r="B316" s="221"/>
    </row>
    <row r="317" spans="2:2" ht="12.75" x14ac:dyDescent="0.2">
      <c r="B317" s="221"/>
    </row>
    <row r="318" spans="2:2" ht="12.75" x14ac:dyDescent="0.2">
      <c r="B318" s="221"/>
    </row>
    <row r="319" spans="2:2" ht="12.75" x14ac:dyDescent="0.2">
      <c r="B319" s="221"/>
    </row>
    <row r="320" spans="2:2" ht="12.75" x14ac:dyDescent="0.2">
      <c r="B320" s="221"/>
    </row>
    <row r="321" spans="2:2" ht="12.75" x14ac:dyDescent="0.2">
      <c r="B321" s="221"/>
    </row>
    <row r="322" spans="2:2" ht="12.75" x14ac:dyDescent="0.2">
      <c r="B322" s="221"/>
    </row>
    <row r="323" spans="2:2" ht="12.75" x14ac:dyDescent="0.2">
      <c r="B323" s="221"/>
    </row>
    <row r="324" spans="2:2" ht="12.75" x14ac:dyDescent="0.2">
      <c r="B324" s="221"/>
    </row>
    <row r="325" spans="2:2" ht="12.75" x14ac:dyDescent="0.2">
      <c r="B325" s="221"/>
    </row>
    <row r="326" spans="2:2" ht="12.75" x14ac:dyDescent="0.2">
      <c r="B326" s="221"/>
    </row>
    <row r="327" spans="2:2" ht="12.75" x14ac:dyDescent="0.2">
      <c r="B327" s="221"/>
    </row>
    <row r="328" spans="2:2" ht="12.75" x14ac:dyDescent="0.2">
      <c r="B328" s="221"/>
    </row>
    <row r="329" spans="2:2" ht="12.75" x14ac:dyDescent="0.2">
      <c r="B329" s="221"/>
    </row>
    <row r="330" spans="2:2" ht="12.75" x14ac:dyDescent="0.2">
      <c r="B330" s="221"/>
    </row>
    <row r="331" spans="2:2" ht="12.75" x14ac:dyDescent="0.2">
      <c r="B331" s="221"/>
    </row>
    <row r="332" spans="2:2" ht="12.75" x14ac:dyDescent="0.2">
      <c r="B332" s="221"/>
    </row>
    <row r="333" spans="2:2" ht="12.75" x14ac:dyDescent="0.2">
      <c r="B333" s="221"/>
    </row>
    <row r="334" spans="2:2" ht="12.75" x14ac:dyDescent="0.2">
      <c r="B334" s="221"/>
    </row>
    <row r="335" spans="2:2" ht="12.75" x14ac:dyDescent="0.2">
      <c r="B335" s="221"/>
    </row>
    <row r="336" spans="2:2" ht="12.75" x14ac:dyDescent="0.2">
      <c r="B336" s="221"/>
    </row>
    <row r="337" spans="2:2" ht="12.75" x14ac:dyDescent="0.2">
      <c r="B337" s="221"/>
    </row>
    <row r="338" spans="2:2" ht="12.75" x14ac:dyDescent="0.2">
      <c r="B338" s="221"/>
    </row>
    <row r="339" spans="2:2" ht="12.75" x14ac:dyDescent="0.2">
      <c r="B339" s="221"/>
    </row>
    <row r="340" spans="2:2" ht="12.75" x14ac:dyDescent="0.2">
      <c r="B340" s="221"/>
    </row>
    <row r="341" spans="2:2" ht="12.75" x14ac:dyDescent="0.2">
      <c r="B341" s="221"/>
    </row>
    <row r="342" spans="2:2" ht="12.75" x14ac:dyDescent="0.2">
      <c r="B342" s="221"/>
    </row>
    <row r="343" spans="2:2" ht="12.75" x14ac:dyDescent="0.2">
      <c r="B343" s="221"/>
    </row>
    <row r="344" spans="2:2" ht="12.75" x14ac:dyDescent="0.2">
      <c r="B344" s="221"/>
    </row>
    <row r="345" spans="2:2" ht="12.75" x14ac:dyDescent="0.2">
      <c r="B345" s="221"/>
    </row>
    <row r="346" spans="2:2" ht="12.75" x14ac:dyDescent="0.2">
      <c r="B346" s="221"/>
    </row>
    <row r="347" spans="2:2" ht="12.75" x14ac:dyDescent="0.2">
      <c r="B347" s="221"/>
    </row>
    <row r="348" spans="2:2" ht="12.75" x14ac:dyDescent="0.2">
      <c r="B348" s="221"/>
    </row>
    <row r="349" spans="2:2" ht="12.75" x14ac:dyDescent="0.2">
      <c r="B349" s="221"/>
    </row>
    <row r="350" spans="2:2" ht="12.75" x14ac:dyDescent="0.2">
      <c r="B350" s="221"/>
    </row>
    <row r="351" spans="2:2" ht="12.75" x14ac:dyDescent="0.2">
      <c r="B351" s="221"/>
    </row>
    <row r="352" spans="2:2" ht="12.75" x14ac:dyDescent="0.2">
      <c r="B352" s="221"/>
    </row>
    <row r="353" spans="2:2" ht="12.75" x14ac:dyDescent="0.2">
      <c r="B353" s="221"/>
    </row>
    <row r="354" spans="2:2" ht="12.75" x14ac:dyDescent="0.2">
      <c r="B354" s="221"/>
    </row>
    <row r="355" spans="2:2" ht="12.75" x14ac:dyDescent="0.2">
      <c r="B355" s="221"/>
    </row>
    <row r="356" spans="2:2" ht="12.75" x14ac:dyDescent="0.2">
      <c r="B356" s="221"/>
    </row>
    <row r="357" spans="2:2" ht="12.75" x14ac:dyDescent="0.2">
      <c r="B357" s="221"/>
    </row>
    <row r="358" spans="2:2" ht="12.75" x14ac:dyDescent="0.2">
      <c r="B358" s="221"/>
    </row>
    <row r="359" spans="2:2" ht="12.75" x14ac:dyDescent="0.2">
      <c r="B359" s="221"/>
    </row>
    <row r="360" spans="2:2" ht="12.75" x14ac:dyDescent="0.2">
      <c r="B360" s="221"/>
    </row>
    <row r="361" spans="2:2" ht="12.75" x14ac:dyDescent="0.2">
      <c r="B361" s="221"/>
    </row>
    <row r="362" spans="2:2" ht="12.75" x14ac:dyDescent="0.2">
      <c r="B362" s="221"/>
    </row>
    <row r="363" spans="2:2" ht="12.75" x14ac:dyDescent="0.2">
      <c r="B363" s="221"/>
    </row>
    <row r="364" spans="2:2" ht="12.75" x14ac:dyDescent="0.2">
      <c r="B364" s="221"/>
    </row>
    <row r="365" spans="2:2" ht="12.75" x14ac:dyDescent="0.2">
      <c r="B365" s="221"/>
    </row>
    <row r="366" spans="2:2" ht="12.75" x14ac:dyDescent="0.2">
      <c r="B366" s="221"/>
    </row>
    <row r="367" spans="2:2" ht="12.75" x14ac:dyDescent="0.2">
      <c r="B367" s="221"/>
    </row>
    <row r="368" spans="2:2" ht="12.75" x14ac:dyDescent="0.2">
      <c r="B368" s="221"/>
    </row>
    <row r="369" spans="2:2" ht="12.75" x14ac:dyDescent="0.2">
      <c r="B369" s="221"/>
    </row>
    <row r="370" spans="2:2" ht="12.75" x14ac:dyDescent="0.2">
      <c r="B370" s="221"/>
    </row>
    <row r="371" spans="2:2" ht="12.75" x14ac:dyDescent="0.2">
      <c r="B371" s="221"/>
    </row>
    <row r="372" spans="2:2" ht="12.75" x14ac:dyDescent="0.2">
      <c r="B372" s="221"/>
    </row>
    <row r="373" spans="2:2" ht="12.75" x14ac:dyDescent="0.2">
      <c r="B373" s="221"/>
    </row>
    <row r="374" spans="2:2" ht="12.75" x14ac:dyDescent="0.2">
      <c r="B374" s="221"/>
    </row>
    <row r="375" spans="2:2" ht="12.75" x14ac:dyDescent="0.2">
      <c r="B375" s="221"/>
    </row>
    <row r="376" spans="2:2" ht="12.75" x14ac:dyDescent="0.2">
      <c r="B376" s="221"/>
    </row>
    <row r="377" spans="2:2" ht="12.75" x14ac:dyDescent="0.2">
      <c r="B377" s="221"/>
    </row>
    <row r="378" spans="2:2" ht="12.75" x14ac:dyDescent="0.2">
      <c r="B378" s="221"/>
    </row>
    <row r="379" spans="2:2" ht="12.75" x14ac:dyDescent="0.2">
      <c r="B379" s="221"/>
    </row>
    <row r="380" spans="2:2" ht="12.75" x14ac:dyDescent="0.2">
      <c r="B380" s="221"/>
    </row>
    <row r="381" spans="2:2" ht="12.75" x14ac:dyDescent="0.2">
      <c r="B381" s="221"/>
    </row>
    <row r="382" spans="2:2" ht="12.75" x14ac:dyDescent="0.2">
      <c r="B382" s="221"/>
    </row>
    <row r="383" spans="2:2" ht="12.75" x14ac:dyDescent="0.2">
      <c r="B383" s="221"/>
    </row>
    <row r="384" spans="2:2" ht="12.75" x14ac:dyDescent="0.2">
      <c r="B384" s="221"/>
    </row>
    <row r="385" spans="2:2" ht="12.75" x14ac:dyDescent="0.2">
      <c r="B385" s="221"/>
    </row>
    <row r="386" spans="2:2" ht="12.75" x14ac:dyDescent="0.2">
      <c r="B386" s="221"/>
    </row>
    <row r="387" spans="2:2" ht="12.75" x14ac:dyDescent="0.2">
      <c r="B387" s="221"/>
    </row>
    <row r="388" spans="2:2" ht="12.75" x14ac:dyDescent="0.2">
      <c r="B388" s="221"/>
    </row>
    <row r="389" spans="2:2" ht="12.75" x14ac:dyDescent="0.2">
      <c r="B389" s="221"/>
    </row>
    <row r="390" spans="2:2" ht="12.75" x14ac:dyDescent="0.2">
      <c r="B390" s="221"/>
    </row>
    <row r="391" spans="2:2" ht="12.75" x14ac:dyDescent="0.2">
      <c r="B391" s="221"/>
    </row>
    <row r="392" spans="2:2" ht="12.75" x14ac:dyDescent="0.2">
      <c r="B392" s="221"/>
    </row>
    <row r="393" spans="2:2" ht="12.75" x14ac:dyDescent="0.2">
      <c r="B393" s="221"/>
    </row>
    <row r="394" spans="2:2" ht="12.75" x14ac:dyDescent="0.2">
      <c r="B394" s="221"/>
    </row>
    <row r="395" spans="2:2" ht="12.75" x14ac:dyDescent="0.2">
      <c r="B395" s="221"/>
    </row>
    <row r="396" spans="2:2" ht="12.75" x14ac:dyDescent="0.2">
      <c r="B396" s="221"/>
    </row>
    <row r="397" spans="2:2" ht="12.75" x14ac:dyDescent="0.2">
      <c r="B397" s="221"/>
    </row>
    <row r="398" spans="2:2" ht="12.75" x14ac:dyDescent="0.2">
      <c r="B398" s="221"/>
    </row>
    <row r="399" spans="2:2" ht="12.75" x14ac:dyDescent="0.2">
      <c r="B399" s="221"/>
    </row>
    <row r="400" spans="2:2" ht="12.75" x14ac:dyDescent="0.2">
      <c r="B400" s="221"/>
    </row>
    <row r="401" spans="2:2" ht="12.75" x14ac:dyDescent="0.2">
      <c r="B401" s="221"/>
    </row>
    <row r="402" spans="2:2" ht="12.75" x14ac:dyDescent="0.2">
      <c r="B402" s="221"/>
    </row>
    <row r="403" spans="2:2" ht="12.75" x14ac:dyDescent="0.2">
      <c r="B403" s="221"/>
    </row>
    <row r="404" spans="2:2" ht="12.75" x14ac:dyDescent="0.2">
      <c r="B404" s="221"/>
    </row>
    <row r="405" spans="2:2" ht="12.75" x14ac:dyDescent="0.2">
      <c r="B405" s="221"/>
    </row>
    <row r="406" spans="2:2" ht="12.75" x14ac:dyDescent="0.2">
      <c r="B406" s="221"/>
    </row>
    <row r="407" spans="2:2" ht="12.75" x14ac:dyDescent="0.2">
      <c r="B407" s="221"/>
    </row>
    <row r="408" spans="2:2" ht="12.75" x14ac:dyDescent="0.2">
      <c r="B408" s="221"/>
    </row>
    <row r="409" spans="2:2" ht="12.75" x14ac:dyDescent="0.2">
      <c r="B409" s="221"/>
    </row>
    <row r="410" spans="2:2" ht="12.75" x14ac:dyDescent="0.2">
      <c r="B410" s="221"/>
    </row>
    <row r="411" spans="2:2" ht="12.75" x14ac:dyDescent="0.2">
      <c r="B411" s="221"/>
    </row>
    <row r="412" spans="2:2" ht="12.75" x14ac:dyDescent="0.2">
      <c r="B412" s="221"/>
    </row>
    <row r="413" spans="2:2" ht="12.75" x14ac:dyDescent="0.2">
      <c r="B413" s="221"/>
    </row>
    <row r="414" spans="2:2" ht="12.75" x14ac:dyDescent="0.2">
      <c r="B414" s="221"/>
    </row>
    <row r="415" spans="2:2" ht="12.75" x14ac:dyDescent="0.2">
      <c r="B415" s="221"/>
    </row>
    <row r="416" spans="2:2" ht="12.75" x14ac:dyDescent="0.2">
      <c r="B416" s="221"/>
    </row>
    <row r="417" spans="2:2" ht="12.75" x14ac:dyDescent="0.2">
      <c r="B417" s="221"/>
    </row>
    <row r="418" spans="2:2" ht="12.75" x14ac:dyDescent="0.2">
      <c r="B418" s="221"/>
    </row>
    <row r="419" spans="2:2" ht="12.75" x14ac:dyDescent="0.2">
      <c r="B419" s="221"/>
    </row>
    <row r="420" spans="2:2" ht="12.75" x14ac:dyDescent="0.2">
      <c r="B420" s="221"/>
    </row>
    <row r="421" spans="2:2" ht="12.75" x14ac:dyDescent="0.2">
      <c r="B421" s="221"/>
    </row>
    <row r="422" spans="2:2" ht="12.75" x14ac:dyDescent="0.2">
      <c r="B422" s="221"/>
    </row>
    <row r="423" spans="2:2" ht="12.75" x14ac:dyDescent="0.2">
      <c r="B423" s="221"/>
    </row>
    <row r="424" spans="2:2" ht="12.75" x14ac:dyDescent="0.2">
      <c r="B424" s="221"/>
    </row>
    <row r="425" spans="2:2" ht="12.75" x14ac:dyDescent="0.2">
      <c r="B425" s="221"/>
    </row>
    <row r="426" spans="2:2" ht="12.75" x14ac:dyDescent="0.2">
      <c r="B426" s="221"/>
    </row>
    <row r="427" spans="2:2" ht="12.75" x14ac:dyDescent="0.2">
      <c r="B427" s="221"/>
    </row>
    <row r="428" spans="2:2" ht="12.75" x14ac:dyDescent="0.2">
      <c r="B428" s="221"/>
    </row>
    <row r="429" spans="2:2" ht="12.75" x14ac:dyDescent="0.2">
      <c r="B429" s="221"/>
    </row>
    <row r="430" spans="2:2" ht="12.75" x14ac:dyDescent="0.2">
      <c r="B430" s="221"/>
    </row>
    <row r="431" spans="2:2" ht="12.75" x14ac:dyDescent="0.2">
      <c r="B431" s="221"/>
    </row>
    <row r="432" spans="2:2" ht="12.75" x14ac:dyDescent="0.2">
      <c r="B432" s="221"/>
    </row>
    <row r="433" spans="2:2" ht="12.75" x14ac:dyDescent="0.2">
      <c r="B433" s="221"/>
    </row>
    <row r="434" spans="2:2" ht="12.75" x14ac:dyDescent="0.2">
      <c r="B434" s="221"/>
    </row>
    <row r="435" spans="2:2" ht="12.75" x14ac:dyDescent="0.2">
      <c r="B435" s="221"/>
    </row>
    <row r="436" spans="2:2" ht="12.75" x14ac:dyDescent="0.2">
      <c r="B436" s="221"/>
    </row>
    <row r="437" spans="2:2" ht="12.75" x14ac:dyDescent="0.2">
      <c r="B437" s="221"/>
    </row>
    <row r="438" spans="2:2" ht="12.75" x14ac:dyDescent="0.2">
      <c r="B438" s="221"/>
    </row>
    <row r="439" spans="2:2" ht="12.75" x14ac:dyDescent="0.2">
      <c r="B439" s="221"/>
    </row>
    <row r="440" spans="2:2" ht="12.75" x14ac:dyDescent="0.2">
      <c r="B440" s="221"/>
    </row>
    <row r="441" spans="2:2" ht="12.75" x14ac:dyDescent="0.2">
      <c r="B441" s="221"/>
    </row>
    <row r="442" spans="2:2" ht="12.75" x14ac:dyDescent="0.2">
      <c r="B442" s="221"/>
    </row>
    <row r="443" spans="2:2" ht="12.75" x14ac:dyDescent="0.2">
      <c r="B443" s="221"/>
    </row>
    <row r="444" spans="2:2" ht="12.75" x14ac:dyDescent="0.2">
      <c r="B444" s="221"/>
    </row>
    <row r="445" spans="2:2" ht="12.75" x14ac:dyDescent="0.2">
      <c r="B445" s="221"/>
    </row>
    <row r="446" spans="2:2" ht="12.75" x14ac:dyDescent="0.2">
      <c r="B446" s="221"/>
    </row>
    <row r="447" spans="2:2" ht="12.75" x14ac:dyDescent="0.2">
      <c r="B447" s="221"/>
    </row>
    <row r="448" spans="2:2" ht="12.75" x14ac:dyDescent="0.2">
      <c r="B448" s="221"/>
    </row>
    <row r="449" spans="2:2" ht="12.75" x14ac:dyDescent="0.2">
      <c r="B449" s="221"/>
    </row>
    <row r="450" spans="2:2" ht="12.75" x14ac:dyDescent="0.2">
      <c r="B450" s="221"/>
    </row>
    <row r="451" spans="2:2" ht="12.75" x14ac:dyDescent="0.2">
      <c r="B451" s="221"/>
    </row>
    <row r="452" spans="2:2" ht="12.75" x14ac:dyDescent="0.2">
      <c r="B452" s="221"/>
    </row>
    <row r="453" spans="2:2" ht="12.75" x14ac:dyDescent="0.2">
      <c r="B453" s="221"/>
    </row>
    <row r="454" spans="2:2" ht="12.75" x14ac:dyDescent="0.2">
      <c r="B454" s="221"/>
    </row>
    <row r="455" spans="2:2" ht="12.75" x14ac:dyDescent="0.2">
      <c r="B455" s="221"/>
    </row>
    <row r="456" spans="2:2" ht="12.75" x14ac:dyDescent="0.2">
      <c r="B456" s="221"/>
    </row>
    <row r="457" spans="2:2" ht="12.75" x14ac:dyDescent="0.2">
      <c r="B457" s="221"/>
    </row>
    <row r="458" spans="2:2" ht="12.75" x14ac:dyDescent="0.2">
      <c r="B458" s="221"/>
    </row>
    <row r="459" spans="2:2" ht="12.75" x14ac:dyDescent="0.2">
      <c r="B459" s="221"/>
    </row>
    <row r="460" spans="2:2" ht="12.75" x14ac:dyDescent="0.2">
      <c r="B460" s="221"/>
    </row>
    <row r="461" spans="2:2" ht="12.75" x14ac:dyDescent="0.2">
      <c r="B461" s="221"/>
    </row>
    <row r="462" spans="2:2" ht="12.75" x14ac:dyDescent="0.2">
      <c r="B462" s="221"/>
    </row>
    <row r="463" spans="2:2" ht="12.75" x14ac:dyDescent="0.2">
      <c r="B463" s="221"/>
    </row>
    <row r="464" spans="2:2" ht="12.75" x14ac:dyDescent="0.2">
      <c r="B464" s="221"/>
    </row>
    <row r="465" spans="2:2" ht="12.75" x14ac:dyDescent="0.2">
      <c r="B465" s="221"/>
    </row>
    <row r="466" spans="2:2" ht="12.75" x14ac:dyDescent="0.2">
      <c r="B466" s="221"/>
    </row>
    <row r="467" spans="2:2" ht="12.75" x14ac:dyDescent="0.2">
      <c r="B467" s="221"/>
    </row>
    <row r="468" spans="2:2" ht="12.75" x14ac:dyDescent="0.2">
      <c r="B468" s="221"/>
    </row>
    <row r="469" spans="2:2" ht="12.75" x14ac:dyDescent="0.2">
      <c r="B469" s="221"/>
    </row>
    <row r="470" spans="2:2" ht="12.75" x14ac:dyDescent="0.2">
      <c r="B470" s="221"/>
    </row>
    <row r="471" spans="2:2" ht="12.75" x14ac:dyDescent="0.2">
      <c r="B471" s="221"/>
    </row>
    <row r="472" spans="2:2" ht="12.75" x14ac:dyDescent="0.2">
      <c r="B472" s="221"/>
    </row>
    <row r="473" spans="2:2" ht="12.75" x14ac:dyDescent="0.2">
      <c r="B473" s="221"/>
    </row>
    <row r="474" spans="2:2" ht="12.75" x14ac:dyDescent="0.2">
      <c r="B474" s="221"/>
    </row>
    <row r="475" spans="2:2" ht="12.75" x14ac:dyDescent="0.2">
      <c r="B475" s="221"/>
    </row>
    <row r="476" spans="2:2" ht="12.75" x14ac:dyDescent="0.2">
      <c r="B476" s="221"/>
    </row>
    <row r="477" spans="2:2" ht="12.75" x14ac:dyDescent="0.2">
      <c r="B477" s="221"/>
    </row>
    <row r="478" spans="2:2" ht="12.75" x14ac:dyDescent="0.2">
      <c r="B478" s="221"/>
    </row>
    <row r="479" spans="2:2" ht="12.75" x14ac:dyDescent="0.2">
      <c r="B479" s="221"/>
    </row>
    <row r="480" spans="2:2" ht="12.75" x14ac:dyDescent="0.2">
      <c r="B480" s="221"/>
    </row>
    <row r="481" spans="2:2" ht="12.75" x14ac:dyDescent="0.2">
      <c r="B481" s="221"/>
    </row>
    <row r="482" spans="2:2" ht="12.75" x14ac:dyDescent="0.2">
      <c r="B482" s="221"/>
    </row>
    <row r="483" spans="2:2" ht="12.75" x14ac:dyDescent="0.2">
      <c r="B483" s="221"/>
    </row>
    <row r="484" spans="2:2" ht="12.75" x14ac:dyDescent="0.2">
      <c r="B484" s="221"/>
    </row>
    <row r="485" spans="2:2" ht="12.75" x14ac:dyDescent="0.2">
      <c r="B485" s="221"/>
    </row>
    <row r="486" spans="2:2" ht="12.75" x14ac:dyDescent="0.2">
      <c r="B486" s="221"/>
    </row>
    <row r="487" spans="2:2" ht="12.75" x14ac:dyDescent="0.2">
      <c r="B487" s="221"/>
    </row>
    <row r="488" spans="2:2" ht="12.75" x14ac:dyDescent="0.2">
      <c r="B488" s="221"/>
    </row>
    <row r="489" spans="2:2" ht="12.75" x14ac:dyDescent="0.2">
      <c r="B489" s="221"/>
    </row>
    <row r="490" spans="2:2" ht="12.75" x14ac:dyDescent="0.2">
      <c r="B490" s="221"/>
    </row>
    <row r="491" spans="2:2" ht="12.75" x14ac:dyDescent="0.2">
      <c r="B491" s="221"/>
    </row>
    <row r="492" spans="2:2" ht="12.75" x14ac:dyDescent="0.2">
      <c r="B492" s="221"/>
    </row>
    <row r="493" spans="2:2" ht="12.75" x14ac:dyDescent="0.2">
      <c r="B493" s="221"/>
    </row>
    <row r="494" spans="2:2" ht="12.75" x14ac:dyDescent="0.2">
      <c r="B494" s="221"/>
    </row>
    <row r="495" spans="2:2" ht="12.75" x14ac:dyDescent="0.2">
      <c r="B495" s="221"/>
    </row>
    <row r="496" spans="2:2" ht="12.75" x14ac:dyDescent="0.2">
      <c r="B496" s="221"/>
    </row>
    <row r="497" spans="2:2" ht="12.75" x14ac:dyDescent="0.2">
      <c r="B497" s="221"/>
    </row>
    <row r="498" spans="2:2" ht="12.75" x14ac:dyDescent="0.2">
      <c r="B498" s="221"/>
    </row>
    <row r="499" spans="2:2" ht="12.75" x14ac:dyDescent="0.2">
      <c r="B499" s="221"/>
    </row>
    <row r="500" spans="2:2" ht="12.75" x14ac:dyDescent="0.2">
      <c r="B500" s="221"/>
    </row>
    <row r="501" spans="2:2" ht="12.75" x14ac:dyDescent="0.2">
      <c r="B501" s="221"/>
    </row>
    <row r="502" spans="2:2" ht="12.75" x14ac:dyDescent="0.2">
      <c r="B502" s="221"/>
    </row>
    <row r="503" spans="2:2" ht="12.75" x14ac:dyDescent="0.2">
      <c r="B503" s="221"/>
    </row>
    <row r="504" spans="2:2" ht="12.75" x14ac:dyDescent="0.2">
      <c r="B504" s="221"/>
    </row>
    <row r="505" spans="2:2" ht="12.75" x14ac:dyDescent="0.2">
      <c r="B505" s="221"/>
    </row>
    <row r="506" spans="2:2" ht="12.75" x14ac:dyDescent="0.2">
      <c r="B506" s="221"/>
    </row>
    <row r="507" spans="2:2" ht="12.75" x14ac:dyDescent="0.2">
      <c r="B507" s="221"/>
    </row>
    <row r="508" spans="2:2" ht="12.75" x14ac:dyDescent="0.2">
      <c r="B508" s="221"/>
    </row>
    <row r="509" spans="2:2" ht="12.75" x14ac:dyDescent="0.2">
      <c r="B509" s="221"/>
    </row>
    <row r="510" spans="2:2" ht="12.75" x14ac:dyDescent="0.2">
      <c r="B510" s="221"/>
    </row>
    <row r="511" spans="2:2" ht="12.75" x14ac:dyDescent="0.2">
      <c r="B511" s="221"/>
    </row>
    <row r="512" spans="2:2" ht="12.75" x14ac:dyDescent="0.2">
      <c r="B512" s="221"/>
    </row>
    <row r="513" spans="2:2" ht="12.75" x14ac:dyDescent="0.2">
      <c r="B513" s="221"/>
    </row>
    <row r="514" spans="2:2" ht="12.75" x14ac:dyDescent="0.2">
      <c r="B514" s="221"/>
    </row>
    <row r="515" spans="2:2" ht="12.75" x14ac:dyDescent="0.2">
      <c r="B515" s="221"/>
    </row>
    <row r="516" spans="2:2" ht="12.75" x14ac:dyDescent="0.2">
      <c r="B516" s="221"/>
    </row>
    <row r="517" spans="2:2" ht="12.75" x14ac:dyDescent="0.2">
      <c r="B517" s="221"/>
    </row>
    <row r="518" spans="2:2" ht="12.75" x14ac:dyDescent="0.2">
      <c r="B518" s="221"/>
    </row>
    <row r="519" spans="2:2" ht="12.75" x14ac:dyDescent="0.2">
      <c r="B519" s="221"/>
    </row>
    <row r="520" spans="2:2" ht="12.75" x14ac:dyDescent="0.2">
      <c r="B520" s="221"/>
    </row>
    <row r="521" spans="2:2" ht="12.75" x14ac:dyDescent="0.2">
      <c r="B521" s="221"/>
    </row>
    <row r="522" spans="2:2" ht="12.75" x14ac:dyDescent="0.2">
      <c r="B522" s="221"/>
    </row>
    <row r="523" spans="2:2" ht="12.75" x14ac:dyDescent="0.2">
      <c r="B523" s="221"/>
    </row>
    <row r="524" spans="2:2" ht="12.75" x14ac:dyDescent="0.2">
      <c r="B524" s="221"/>
    </row>
    <row r="525" spans="2:2" ht="12.75" x14ac:dyDescent="0.2">
      <c r="B525" s="221"/>
    </row>
    <row r="526" spans="2:2" ht="12.75" x14ac:dyDescent="0.2">
      <c r="B526" s="221"/>
    </row>
    <row r="527" spans="2:2" ht="12.75" x14ac:dyDescent="0.2">
      <c r="B527" s="221"/>
    </row>
    <row r="528" spans="2:2" ht="12.75" x14ac:dyDescent="0.2">
      <c r="B528" s="221"/>
    </row>
    <row r="529" spans="2:2" ht="12.75" x14ac:dyDescent="0.2">
      <c r="B529" s="221"/>
    </row>
    <row r="530" spans="2:2" ht="12.75" x14ac:dyDescent="0.2">
      <c r="B530" s="221"/>
    </row>
    <row r="531" spans="2:2" ht="12.75" x14ac:dyDescent="0.2">
      <c r="B531" s="221"/>
    </row>
    <row r="532" spans="2:2" ht="12.75" x14ac:dyDescent="0.2">
      <c r="B532" s="221"/>
    </row>
    <row r="533" spans="2:2" ht="12.75" x14ac:dyDescent="0.2">
      <c r="B533" s="221"/>
    </row>
    <row r="534" spans="2:2" ht="12.75" x14ac:dyDescent="0.2">
      <c r="B534" s="221"/>
    </row>
    <row r="535" spans="2:2" ht="12.75" x14ac:dyDescent="0.2">
      <c r="B535" s="221"/>
    </row>
    <row r="536" spans="2:2" ht="12.75" x14ac:dyDescent="0.2">
      <c r="B536" s="221"/>
    </row>
    <row r="537" spans="2:2" ht="12.75" x14ac:dyDescent="0.2">
      <c r="B537" s="221"/>
    </row>
    <row r="538" spans="2:2" ht="12.75" x14ac:dyDescent="0.2">
      <c r="B538" s="221"/>
    </row>
    <row r="539" spans="2:2" ht="12.75" x14ac:dyDescent="0.2">
      <c r="B539" s="221"/>
    </row>
    <row r="540" spans="2:2" ht="12.75" x14ac:dyDescent="0.2">
      <c r="B540" s="221"/>
    </row>
    <row r="541" spans="2:2" ht="12.75" x14ac:dyDescent="0.2">
      <c r="B541" s="221"/>
    </row>
    <row r="542" spans="2:2" ht="12.75" x14ac:dyDescent="0.2">
      <c r="B542" s="221"/>
    </row>
    <row r="543" spans="2:2" ht="12.75" x14ac:dyDescent="0.2">
      <c r="B543" s="221"/>
    </row>
    <row r="544" spans="2:2" ht="12.75" x14ac:dyDescent="0.2">
      <c r="B544" s="221"/>
    </row>
    <row r="545" spans="2:2" ht="12.75" x14ac:dyDescent="0.2">
      <c r="B545" s="221"/>
    </row>
    <row r="546" spans="2:2" ht="12.75" x14ac:dyDescent="0.2">
      <c r="B546" s="221"/>
    </row>
    <row r="547" spans="2:2" ht="12.75" x14ac:dyDescent="0.2">
      <c r="B547" s="221"/>
    </row>
    <row r="548" spans="2:2" ht="12.75" x14ac:dyDescent="0.2">
      <c r="B548" s="221"/>
    </row>
    <row r="549" spans="2:2" ht="12.75" x14ac:dyDescent="0.2">
      <c r="B549" s="221"/>
    </row>
    <row r="550" spans="2:2" ht="12.75" x14ac:dyDescent="0.2">
      <c r="B550" s="221"/>
    </row>
    <row r="551" spans="2:2" ht="12.75" x14ac:dyDescent="0.2">
      <c r="B551" s="221"/>
    </row>
    <row r="552" spans="2:2" ht="12.75" x14ac:dyDescent="0.2">
      <c r="B552" s="221"/>
    </row>
    <row r="553" spans="2:2" ht="12.75" x14ac:dyDescent="0.2">
      <c r="B553" s="221"/>
    </row>
    <row r="554" spans="2:2" ht="12.75" x14ac:dyDescent="0.2">
      <c r="B554" s="221"/>
    </row>
    <row r="555" spans="2:2" ht="12.75" x14ac:dyDescent="0.2">
      <c r="B555" s="221"/>
    </row>
    <row r="556" spans="2:2" ht="12.75" x14ac:dyDescent="0.2">
      <c r="B556" s="221"/>
    </row>
    <row r="557" spans="2:2" ht="12.75" x14ac:dyDescent="0.2">
      <c r="B557" s="221"/>
    </row>
    <row r="558" spans="2:2" ht="12.75" x14ac:dyDescent="0.2">
      <c r="B558" s="221"/>
    </row>
    <row r="559" spans="2:2" ht="12.75" x14ac:dyDescent="0.2">
      <c r="B559" s="221"/>
    </row>
    <row r="560" spans="2:2" ht="12.75" x14ac:dyDescent="0.2">
      <c r="B560" s="221"/>
    </row>
    <row r="561" spans="2:2" ht="12.75" x14ac:dyDescent="0.2">
      <c r="B561" s="221"/>
    </row>
    <row r="562" spans="2:2" ht="12.75" x14ac:dyDescent="0.2">
      <c r="B562" s="221"/>
    </row>
    <row r="563" spans="2:2" ht="12.75" x14ac:dyDescent="0.2">
      <c r="B563" s="221"/>
    </row>
    <row r="564" spans="2:2" ht="12.75" x14ac:dyDescent="0.2">
      <c r="B564" s="221"/>
    </row>
    <row r="565" spans="2:2" ht="12.75" x14ac:dyDescent="0.2">
      <c r="B565" s="221"/>
    </row>
    <row r="566" spans="2:2" ht="12.75" x14ac:dyDescent="0.2">
      <c r="B566" s="221"/>
    </row>
    <row r="567" spans="2:2" ht="12.75" x14ac:dyDescent="0.2">
      <c r="B567" s="221"/>
    </row>
    <row r="568" spans="2:2" ht="12.75" x14ac:dyDescent="0.2">
      <c r="B568" s="221"/>
    </row>
    <row r="569" spans="2:2" ht="12.75" x14ac:dyDescent="0.2">
      <c r="B569" s="221"/>
    </row>
    <row r="570" spans="2:2" ht="12.75" x14ac:dyDescent="0.2">
      <c r="B570" s="221"/>
    </row>
    <row r="571" spans="2:2" ht="12.75" x14ac:dyDescent="0.2">
      <c r="B571" s="221"/>
    </row>
    <row r="572" spans="2:2" ht="12.75" x14ac:dyDescent="0.2">
      <c r="B572" s="221"/>
    </row>
    <row r="573" spans="2:2" ht="12.75" x14ac:dyDescent="0.2">
      <c r="B573" s="221"/>
    </row>
    <row r="574" spans="2:2" ht="12.75" x14ac:dyDescent="0.2">
      <c r="B574" s="221"/>
    </row>
    <row r="575" spans="2:2" ht="12.75" x14ac:dyDescent="0.2">
      <c r="B575" s="221"/>
    </row>
    <row r="576" spans="2:2" ht="12.75" x14ac:dyDescent="0.2">
      <c r="B576" s="221"/>
    </row>
    <row r="577" spans="2:2" ht="12.75" x14ac:dyDescent="0.2">
      <c r="B577" s="221"/>
    </row>
    <row r="578" spans="2:2" ht="12.75" x14ac:dyDescent="0.2">
      <c r="B578" s="221"/>
    </row>
    <row r="579" spans="2:2" ht="12.75" x14ac:dyDescent="0.2">
      <c r="B579" s="221"/>
    </row>
    <row r="580" spans="2:2" ht="12.75" x14ac:dyDescent="0.2">
      <c r="B580" s="221"/>
    </row>
    <row r="581" spans="2:2" ht="12.75" x14ac:dyDescent="0.2">
      <c r="B581" s="221"/>
    </row>
    <row r="582" spans="2:2" ht="12.75" x14ac:dyDescent="0.2">
      <c r="B582" s="221"/>
    </row>
    <row r="583" spans="2:2" ht="12.75" x14ac:dyDescent="0.2">
      <c r="B583" s="221"/>
    </row>
    <row r="584" spans="2:2" ht="12.75" x14ac:dyDescent="0.2">
      <c r="B584" s="221"/>
    </row>
    <row r="585" spans="2:2" ht="12.75" x14ac:dyDescent="0.2">
      <c r="B585" s="221"/>
    </row>
    <row r="586" spans="2:2" ht="12.75" x14ac:dyDescent="0.2">
      <c r="B586" s="221"/>
    </row>
    <row r="587" spans="2:2" ht="12.75" x14ac:dyDescent="0.2">
      <c r="B587" s="221"/>
    </row>
    <row r="588" spans="2:2" ht="12.75" x14ac:dyDescent="0.2">
      <c r="B588" s="221"/>
    </row>
    <row r="589" spans="2:2" ht="12.75" x14ac:dyDescent="0.2">
      <c r="B589" s="221"/>
    </row>
    <row r="590" spans="2:2" ht="12.75" x14ac:dyDescent="0.2">
      <c r="B590" s="221"/>
    </row>
    <row r="591" spans="2:2" ht="12.75" x14ac:dyDescent="0.2">
      <c r="B591" s="221"/>
    </row>
    <row r="592" spans="2:2" ht="12.75" x14ac:dyDescent="0.2">
      <c r="B592" s="221"/>
    </row>
    <row r="593" spans="2:2" ht="12.75" x14ac:dyDescent="0.2">
      <c r="B593" s="221"/>
    </row>
    <row r="594" spans="2:2" ht="12.75" x14ac:dyDescent="0.2">
      <c r="B594" s="221"/>
    </row>
    <row r="595" spans="2:2" ht="12.75" x14ac:dyDescent="0.2">
      <c r="B595" s="221"/>
    </row>
    <row r="596" spans="2:2" ht="12.75" x14ac:dyDescent="0.2">
      <c r="B596" s="221"/>
    </row>
    <row r="597" spans="2:2" ht="12.75" x14ac:dyDescent="0.2">
      <c r="B597" s="221"/>
    </row>
    <row r="598" spans="2:2" ht="12.75" x14ac:dyDescent="0.2">
      <c r="B598" s="221"/>
    </row>
    <row r="599" spans="2:2" ht="12.75" x14ac:dyDescent="0.2">
      <c r="B599" s="221"/>
    </row>
    <row r="600" spans="2:2" ht="12.75" x14ac:dyDescent="0.2">
      <c r="B600" s="221"/>
    </row>
    <row r="601" spans="2:2" ht="12.75" x14ac:dyDescent="0.2">
      <c r="B601" s="221"/>
    </row>
    <row r="602" spans="2:2" ht="12.75" x14ac:dyDescent="0.2">
      <c r="B602" s="221"/>
    </row>
    <row r="603" spans="2:2" ht="12.75" x14ac:dyDescent="0.2">
      <c r="B603" s="221"/>
    </row>
    <row r="604" spans="2:2" ht="12.75" x14ac:dyDescent="0.2">
      <c r="B604" s="221"/>
    </row>
    <row r="605" spans="2:2" ht="12.75" x14ac:dyDescent="0.2">
      <c r="B605" s="221"/>
    </row>
    <row r="606" spans="2:2" ht="12.75" x14ac:dyDescent="0.2">
      <c r="B606" s="221"/>
    </row>
    <row r="607" spans="2:2" ht="12.75" x14ac:dyDescent="0.2">
      <c r="B607" s="221"/>
    </row>
    <row r="608" spans="2:2" ht="12.75" x14ac:dyDescent="0.2">
      <c r="B608" s="221"/>
    </row>
    <row r="609" spans="2:2" ht="12.75" x14ac:dyDescent="0.2">
      <c r="B609" s="221"/>
    </row>
    <row r="610" spans="2:2" ht="12.75" x14ac:dyDescent="0.2">
      <c r="B610" s="221"/>
    </row>
    <row r="611" spans="2:2" ht="12.75" x14ac:dyDescent="0.2">
      <c r="B611" s="221"/>
    </row>
    <row r="612" spans="2:2" ht="12.75" x14ac:dyDescent="0.2">
      <c r="B612" s="221"/>
    </row>
    <row r="613" spans="2:2" ht="12.75" x14ac:dyDescent="0.2">
      <c r="B613" s="221"/>
    </row>
    <row r="614" spans="2:2" ht="12.75" x14ac:dyDescent="0.2">
      <c r="B614" s="221"/>
    </row>
    <row r="615" spans="2:2" ht="12.75" x14ac:dyDescent="0.2">
      <c r="B615" s="221"/>
    </row>
    <row r="616" spans="2:2" ht="12.75" x14ac:dyDescent="0.2">
      <c r="B616" s="221"/>
    </row>
    <row r="617" spans="2:2" ht="12.75" x14ac:dyDescent="0.2">
      <c r="B617" s="221"/>
    </row>
    <row r="618" spans="2:2" ht="12.75" x14ac:dyDescent="0.2">
      <c r="B618" s="221"/>
    </row>
    <row r="619" spans="2:2" ht="12.75" x14ac:dyDescent="0.2">
      <c r="B619" s="221"/>
    </row>
    <row r="620" spans="2:2" ht="12.75" x14ac:dyDescent="0.2">
      <c r="B620" s="221"/>
    </row>
    <row r="621" spans="2:2" ht="12.75" x14ac:dyDescent="0.2">
      <c r="B621" s="221"/>
    </row>
    <row r="622" spans="2:2" ht="12.75" x14ac:dyDescent="0.2">
      <c r="B622" s="221"/>
    </row>
    <row r="623" spans="2:2" ht="12.75" x14ac:dyDescent="0.2">
      <c r="B623" s="221"/>
    </row>
    <row r="624" spans="2:2" ht="12.75" x14ac:dyDescent="0.2">
      <c r="B624" s="221"/>
    </row>
    <row r="625" spans="2:2" ht="12.75" x14ac:dyDescent="0.2">
      <c r="B625" s="221"/>
    </row>
    <row r="626" spans="2:2" ht="12.75" x14ac:dyDescent="0.2">
      <c r="B626" s="221"/>
    </row>
    <row r="627" spans="2:2" ht="12.75" x14ac:dyDescent="0.2">
      <c r="B627" s="221"/>
    </row>
    <row r="628" spans="2:2" ht="12.75" x14ac:dyDescent="0.2">
      <c r="B628" s="221"/>
    </row>
    <row r="629" spans="2:2" ht="12.75" x14ac:dyDescent="0.2">
      <c r="B629" s="221"/>
    </row>
    <row r="630" spans="2:2" ht="12.75" x14ac:dyDescent="0.2">
      <c r="B630" s="221"/>
    </row>
    <row r="631" spans="2:2" ht="12.75" x14ac:dyDescent="0.2">
      <c r="B631" s="221"/>
    </row>
    <row r="632" spans="2:2" ht="12.75" x14ac:dyDescent="0.2">
      <c r="B632" s="221"/>
    </row>
    <row r="633" spans="2:2" ht="12.75" x14ac:dyDescent="0.2">
      <c r="B633" s="221"/>
    </row>
    <row r="634" spans="2:2" ht="12.75" x14ac:dyDescent="0.2">
      <c r="B634" s="221"/>
    </row>
    <row r="635" spans="2:2" ht="12.75" x14ac:dyDescent="0.2">
      <c r="B635" s="221"/>
    </row>
    <row r="636" spans="2:2" ht="12.75" x14ac:dyDescent="0.2">
      <c r="B636" s="221"/>
    </row>
    <row r="637" spans="2:2" ht="12.75" x14ac:dyDescent="0.2">
      <c r="B637" s="221"/>
    </row>
    <row r="638" spans="2:2" ht="12.75" x14ac:dyDescent="0.2">
      <c r="B638" s="221"/>
    </row>
    <row r="639" spans="2:2" ht="12.75" x14ac:dyDescent="0.2">
      <c r="B639" s="221"/>
    </row>
    <row r="640" spans="2:2" ht="12.75" x14ac:dyDescent="0.2">
      <c r="B640" s="221"/>
    </row>
    <row r="641" spans="2:2" ht="12.75" x14ac:dyDescent="0.2">
      <c r="B641" s="221"/>
    </row>
    <row r="642" spans="2:2" ht="12.75" x14ac:dyDescent="0.2">
      <c r="B642" s="221"/>
    </row>
    <row r="643" spans="2:2" ht="12.75" x14ac:dyDescent="0.2">
      <c r="B643" s="221"/>
    </row>
    <row r="644" spans="2:2" ht="12.75" x14ac:dyDescent="0.2">
      <c r="B644" s="221"/>
    </row>
    <row r="645" spans="2:2" ht="12.75" x14ac:dyDescent="0.2">
      <c r="B645" s="221"/>
    </row>
    <row r="646" spans="2:2" ht="12.75" x14ac:dyDescent="0.2">
      <c r="B646" s="221"/>
    </row>
    <row r="647" spans="2:2" ht="12.75" x14ac:dyDescent="0.2">
      <c r="B647" s="221"/>
    </row>
    <row r="648" spans="2:2" ht="12.75" x14ac:dyDescent="0.2">
      <c r="B648" s="221"/>
    </row>
    <row r="649" spans="2:2" ht="12.75" x14ac:dyDescent="0.2">
      <c r="B649" s="221"/>
    </row>
    <row r="650" spans="2:2" ht="12.75" x14ac:dyDescent="0.2">
      <c r="B650" s="221"/>
    </row>
    <row r="651" spans="2:2" ht="12.75" x14ac:dyDescent="0.2">
      <c r="B651" s="221"/>
    </row>
    <row r="652" spans="2:2" ht="12.75" x14ac:dyDescent="0.2">
      <c r="B652" s="221"/>
    </row>
    <row r="653" spans="2:2" ht="12.75" x14ac:dyDescent="0.2">
      <c r="B653" s="221"/>
    </row>
    <row r="654" spans="2:2" ht="12.75" x14ac:dyDescent="0.2">
      <c r="B654" s="221"/>
    </row>
    <row r="655" spans="2:2" ht="12.75" x14ac:dyDescent="0.2">
      <c r="B655" s="221"/>
    </row>
    <row r="656" spans="2:2" ht="12.75" x14ac:dyDescent="0.2">
      <c r="B656" s="221"/>
    </row>
    <row r="657" spans="2:2" ht="12.75" x14ac:dyDescent="0.2">
      <c r="B657" s="221"/>
    </row>
    <row r="658" spans="2:2" ht="12.75" x14ac:dyDescent="0.2">
      <c r="B658" s="221"/>
    </row>
    <row r="659" spans="2:2" ht="12.75" x14ac:dyDescent="0.2">
      <c r="B659" s="221"/>
    </row>
    <row r="660" spans="2:2" ht="12.75" x14ac:dyDescent="0.2">
      <c r="B660" s="221"/>
    </row>
    <row r="661" spans="2:2" ht="12.75" x14ac:dyDescent="0.2">
      <c r="B661" s="221"/>
    </row>
    <row r="662" spans="2:2" ht="12.75" x14ac:dyDescent="0.2">
      <c r="B662" s="221"/>
    </row>
    <row r="663" spans="2:2" ht="12.75" x14ac:dyDescent="0.2">
      <c r="B663" s="221"/>
    </row>
    <row r="664" spans="2:2" ht="12.75" x14ac:dyDescent="0.2">
      <c r="B664" s="221"/>
    </row>
    <row r="665" spans="2:2" ht="12.75" x14ac:dyDescent="0.2">
      <c r="B665" s="221"/>
    </row>
    <row r="666" spans="2:2" ht="12.75" x14ac:dyDescent="0.2">
      <c r="B666" s="221"/>
    </row>
    <row r="667" spans="2:2" ht="12.75" x14ac:dyDescent="0.2">
      <c r="B667" s="221"/>
    </row>
    <row r="668" spans="2:2" ht="12.75" x14ac:dyDescent="0.2">
      <c r="B668" s="221"/>
    </row>
    <row r="669" spans="2:2" ht="12.75" x14ac:dyDescent="0.2">
      <c r="B669" s="221"/>
    </row>
    <row r="670" spans="2:2" ht="12.75" x14ac:dyDescent="0.2">
      <c r="B670" s="221"/>
    </row>
    <row r="671" spans="2:2" ht="12.75" x14ac:dyDescent="0.2">
      <c r="B671" s="221"/>
    </row>
    <row r="672" spans="2:2" ht="12.75" x14ac:dyDescent="0.2">
      <c r="B672" s="221"/>
    </row>
    <row r="673" spans="2:2" ht="12.75" x14ac:dyDescent="0.2">
      <c r="B673" s="221"/>
    </row>
    <row r="674" spans="2:2" ht="12.75" x14ac:dyDescent="0.2">
      <c r="B674" s="221"/>
    </row>
    <row r="675" spans="2:2" ht="12.75" x14ac:dyDescent="0.2">
      <c r="B675" s="221"/>
    </row>
    <row r="676" spans="2:2" ht="12.75" x14ac:dyDescent="0.2">
      <c r="B676" s="221"/>
    </row>
    <row r="677" spans="2:2" ht="12.75" x14ac:dyDescent="0.2">
      <c r="B677" s="221"/>
    </row>
    <row r="678" spans="2:2" ht="12.75" x14ac:dyDescent="0.2">
      <c r="B678" s="221"/>
    </row>
    <row r="679" spans="2:2" ht="12.75" x14ac:dyDescent="0.2">
      <c r="B679" s="221"/>
    </row>
    <row r="680" spans="2:2" ht="12.75" x14ac:dyDescent="0.2">
      <c r="B680" s="221"/>
    </row>
    <row r="681" spans="2:2" ht="12.75" x14ac:dyDescent="0.2">
      <c r="B681" s="221"/>
    </row>
    <row r="682" spans="2:2" ht="12.75" x14ac:dyDescent="0.2">
      <c r="B682" s="221"/>
    </row>
    <row r="683" spans="2:2" ht="12.75" x14ac:dyDescent="0.2">
      <c r="B683" s="221"/>
    </row>
    <row r="684" spans="2:2" ht="12.75" x14ac:dyDescent="0.2">
      <c r="B684" s="221"/>
    </row>
    <row r="685" spans="2:2" ht="12.75" x14ac:dyDescent="0.2">
      <c r="B685" s="221"/>
    </row>
    <row r="686" spans="2:2" ht="12.75" x14ac:dyDescent="0.2">
      <c r="B686" s="221"/>
    </row>
    <row r="687" spans="2:2" ht="12.75" x14ac:dyDescent="0.2">
      <c r="B687" s="221"/>
    </row>
    <row r="688" spans="2:2" ht="12.75" x14ac:dyDescent="0.2">
      <c r="B688" s="221"/>
    </row>
    <row r="689" spans="2:2" ht="12.75" x14ac:dyDescent="0.2">
      <c r="B689" s="221"/>
    </row>
    <row r="690" spans="2:2" ht="12.75" x14ac:dyDescent="0.2">
      <c r="B690" s="221"/>
    </row>
    <row r="691" spans="2:2" ht="12.75" x14ac:dyDescent="0.2">
      <c r="B691" s="221"/>
    </row>
    <row r="692" spans="2:2" ht="12.75" x14ac:dyDescent="0.2">
      <c r="B692" s="221"/>
    </row>
    <row r="693" spans="2:2" ht="12.75" x14ac:dyDescent="0.2">
      <c r="B693" s="221"/>
    </row>
    <row r="694" spans="2:2" ht="12.75" x14ac:dyDescent="0.2">
      <c r="B694" s="221"/>
    </row>
    <row r="695" spans="2:2" ht="12.75" x14ac:dyDescent="0.2">
      <c r="B695" s="221"/>
    </row>
    <row r="696" spans="2:2" ht="12.75" x14ac:dyDescent="0.2">
      <c r="B696" s="221"/>
    </row>
    <row r="697" spans="2:2" ht="12.75" x14ac:dyDescent="0.2">
      <c r="B697" s="221"/>
    </row>
    <row r="698" spans="2:2" ht="12.75" x14ac:dyDescent="0.2">
      <c r="B698" s="221"/>
    </row>
    <row r="699" spans="2:2" ht="12.75" x14ac:dyDescent="0.2">
      <c r="B699" s="221"/>
    </row>
    <row r="700" spans="2:2" ht="12.75" x14ac:dyDescent="0.2">
      <c r="B700" s="221"/>
    </row>
    <row r="701" spans="2:2" ht="12.75" x14ac:dyDescent="0.2">
      <c r="B701" s="221"/>
    </row>
    <row r="702" spans="2:2" ht="12.75" x14ac:dyDescent="0.2">
      <c r="B702" s="221"/>
    </row>
    <row r="703" spans="2:2" ht="12.75" x14ac:dyDescent="0.2">
      <c r="B703" s="221"/>
    </row>
    <row r="704" spans="2:2" ht="12.75" x14ac:dyDescent="0.2">
      <c r="B704" s="221"/>
    </row>
    <row r="705" spans="2:2" ht="12.75" x14ac:dyDescent="0.2">
      <c r="B705" s="221"/>
    </row>
    <row r="706" spans="2:2" ht="12.75" x14ac:dyDescent="0.2">
      <c r="B706" s="221"/>
    </row>
    <row r="707" spans="2:2" ht="12.75" x14ac:dyDescent="0.2">
      <c r="B707" s="221"/>
    </row>
    <row r="708" spans="2:2" ht="12.75" x14ac:dyDescent="0.2">
      <c r="B708" s="221"/>
    </row>
    <row r="709" spans="2:2" ht="12.75" x14ac:dyDescent="0.2">
      <c r="B709" s="221"/>
    </row>
    <row r="710" spans="2:2" ht="12.75" x14ac:dyDescent="0.2">
      <c r="B710" s="221"/>
    </row>
    <row r="711" spans="2:2" ht="12.75" x14ac:dyDescent="0.2">
      <c r="B711" s="221"/>
    </row>
    <row r="712" spans="2:2" ht="12.75" x14ac:dyDescent="0.2">
      <c r="B712" s="221"/>
    </row>
    <row r="713" spans="2:2" ht="12.75" x14ac:dyDescent="0.2">
      <c r="B713" s="221"/>
    </row>
    <row r="714" spans="2:2" ht="12.75" x14ac:dyDescent="0.2">
      <c r="B714" s="221"/>
    </row>
    <row r="715" spans="2:2" ht="12.75" x14ac:dyDescent="0.2">
      <c r="B715" s="221"/>
    </row>
    <row r="716" spans="2:2" ht="12.75" x14ac:dyDescent="0.2">
      <c r="B716" s="221"/>
    </row>
    <row r="717" spans="2:2" ht="12.75" x14ac:dyDescent="0.2">
      <c r="B717" s="221"/>
    </row>
    <row r="718" spans="2:2" ht="12.75" x14ac:dyDescent="0.2">
      <c r="B718" s="221"/>
    </row>
    <row r="719" spans="2:2" ht="12.75" x14ac:dyDescent="0.2">
      <c r="B719" s="221"/>
    </row>
    <row r="720" spans="2:2" ht="12.75" x14ac:dyDescent="0.2">
      <c r="B720" s="221"/>
    </row>
    <row r="721" spans="2:2" ht="12.75" x14ac:dyDescent="0.2">
      <c r="B721" s="221"/>
    </row>
    <row r="722" spans="2:2" ht="12.75" x14ac:dyDescent="0.2">
      <c r="B722" s="221"/>
    </row>
    <row r="723" spans="2:2" ht="12.75" x14ac:dyDescent="0.2">
      <c r="B723" s="221"/>
    </row>
    <row r="724" spans="2:2" ht="12.75" x14ac:dyDescent="0.2">
      <c r="B724" s="221"/>
    </row>
    <row r="725" spans="2:2" ht="12.75" x14ac:dyDescent="0.2">
      <c r="B725" s="221"/>
    </row>
    <row r="726" spans="2:2" ht="12.75" x14ac:dyDescent="0.2">
      <c r="B726" s="221"/>
    </row>
    <row r="727" spans="2:2" ht="12.75" x14ac:dyDescent="0.2">
      <c r="B727" s="221"/>
    </row>
    <row r="728" spans="2:2" ht="12.75" x14ac:dyDescent="0.2">
      <c r="B728" s="221"/>
    </row>
    <row r="729" spans="2:2" ht="12.75" x14ac:dyDescent="0.2">
      <c r="B729" s="221"/>
    </row>
    <row r="730" spans="2:2" ht="12.75" x14ac:dyDescent="0.2">
      <c r="B730" s="221"/>
    </row>
    <row r="731" spans="2:2" ht="12.75" x14ac:dyDescent="0.2">
      <c r="B731" s="221"/>
    </row>
    <row r="732" spans="2:2" ht="12.75" x14ac:dyDescent="0.2">
      <c r="B732" s="221"/>
    </row>
    <row r="733" spans="2:2" ht="12.75" x14ac:dyDescent="0.2">
      <c r="B733" s="221"/>
    </row>
    <row r="734" spans="2:2" ht="12.75" x14ac:dyDescent="0.2">
      <c r="B734" s="221"/>
    </row>
    <row r="735" spans="2:2" ht="12.75" x14ac:dyDescent="0.2">
      <c r="B735" s="221"/>
    </row>
    <row r="736" spans="2:2" ht="12.75" x14ac:dyDescent="0.2">
      <c r="B736" s="221"/>
    </row>
    <row r="737" spans="2:2" ht="12.75" x14ac:dyDescent="0.2">
      <c r="B737" s="221"/>
    </row>
    <row r="738" spans="2:2" ht="12.75" x14ac:dyDescent="0.2">
      <c r="B738" s="221"/>
    </row>
    <row r="739" spans="2:2" ht="12.75" x14ac:dyDescent="0.2">
      <c r="B739" s="221"/>
    </row>
    <row r="740" spans="2:2" ht="12.75" x14ac:dyDescent="0.2">
      <c r="B740" s="221"/>
    </row>
    <row r="741" spans="2:2" ht="12.75" x14ac:dyDescent="0.2">
      <c r="B741" s="221"/>
    </row>
    <row r="742" spans="2:2" ht="12.75" x14ac:dyDescent="0.2">
      <c r="B742" s="221"/>
    </row>
    <row r="743" spans="2:2" ht="12.75" x14ac:dyDescent="0.2">
      <c r="B743" s="221"/>
    </row>
    <row r="744" spans="2:2" ht="12.75" x14ac:dyDescent="0.2">
      <c r="B744" s="221"/>
    </row>
    <row r="745" spans="2:2" ht="12.75" x14ac:dyDescent="0.2">
      <c r="B745" s="221"/>
    </row>
    <row r="746" spans="2:2" ht="12.75" x14ac:dyDescent="0.2">
      <c r="B746" s="221"/>
    </row>
    <row r="747" spans="2:2" ht="12.75" x14ac:dyDescent="0.2">
      <c r="B747" s="221"/>
    </row>
    <row r="748" spans="2:2" ht="12.75" x14ac:dyDescent="0.2">
      <c r="B748" s="221"/>
    </row>
    <row r="749" spans="2:2" ht="12.75" x14ac:dyDescent="0.2">
      <c r="B749" s="221"/>
    </row>
    <row r="750" spans="2:2" ht="12.75" x14ac:dyDescent="0.2">
      <c r="B750" s="221"/>
    </row>
    <row r="751" spans="2:2" ht="12.75" x14ac:dyDescent="0.2">
      <c r="B751" s="221"/>
    </row>
    <row r="752" spans="2:2" ht="12.75" x14ac:dyDescent="0.2">
      <c r="B752" s="221"/>
    </row>
    <row r="753" spans="2:2" ht="12.75" x14ac:dyDescent="0.2">
      <c r="B753" s="221"/>
    </row>
    <row r="754" spans="2:2" ht="12.75" x14ac:dyDescent="0.2">
      <c r="B754" s="221"/>
    </row>
    <row r="755" spans="2:2" ht="12.75" x14ac:dyDescent="0.2">
      <c r="B755" s="221"/>
    </row>
    <row r="756" spans="2:2" ht="12.75" x14ac:dyDescent="0.2">
      <c r="B756" s="221"/>
    </row>
    <row r="757" spans="2:2" ht="12.75" x14ac:dyDescent="0.2">
      <c r="B757" s="221"/>
    </row>
    <row r="758" spans="2:2" ht="12.75" x14ac:dyDescent="0.2">
      <c r="B758" s="221"/>
    </row>
    <row r="759" spans="2:2" ht="12.75" x14ac:dyDescent="0.2">
      <c r="B759" s="221"/>
    </row>
    <row r="760" spans="2:2" ht="12.75" x14ac:dyDescent="0.2">
      <c r="B760" s="221"/>
    </row>
    <row r="761" spans="2:2" ht="12.75" x14ac:dyDescent="0.2">
      <c r="B761" s="221"/>
    </row>
    <row r="762" spans="2:2" ht="12.75" x14ac:dyDescent="0.2">
      <c r="B762" s="221"/>
    </row>
    <row r="763" spans="2:2" ht="12.75" x14ac:dyDescent="0.2">
      <c r="B763" s="221"/>
    </row>
    <row r="764" spans="2:2" ht="12.75" x14ac:dyDescent="0.2">
      <c r="B764" s="221"/>
    </row>
    <row r="765" spans="2:2" ht="12.75" x14ac:dyDescent="0.2">
      <c r="B765" s="221"/>
    </row>
    <row r="766" spans="2:2" ht="12.75" x14ac:dyDescent="0.2">
      <c r="B766" s="221"/>
    </row>
    <row r="767" spans="2:2" ht="12.75" x14ac:dyDescent="0.2">
      <c r="B767" s="221"/>
    </row>
    <row r="768" spans="2:2" ht="12.75" x14ac:dyDescent="0.2">
      <c r="B768" s="221"/>
    </row>
    <row r="769" spans="2:2" ht="12.75" x14ac:dyDescent="0.2">
      <c r="B769" s="221"/>
    </row>
    <row r="770" spans="2:2" ht="12.75" x14ac:dyDescent="0.2">
      <c r="B770" s="221"/>
    </row>
    <row r="771" spans="2:2" ht="12.75" x14ac:dyDescent="0.2">
      <c r="B771" s="221"/>
    </row>
    <row r="772" spans="2:2" ht="12.75" x14ac:dyDescent="0.2">
      <c r="B772" s="221"/>
    </row>
    <row r="773" spans="2:2" ht="12.75" x14ac:dyDescent="0.2">
      <c r="B773" s="221"/>
    </row>
    <row r="774" spans="2:2" ht="12.75" x14ac:dyDescent="0.2">
      <c r="B774" s="221"/>
    </row>
    <row r="775" spans="2:2" ht="12.75" x14ac:dyDescent="0.2">
      <c r="B775" s="221"/>
    </row>
    <row r="776" spans="2:2" ht="12.75" x14ac:dyDescent="0.2">
      <c r="B776" s="221"/>
    </row>
    <row r="777" spans="2:2" ht="12.75" x14ac:dyDescent="0.2">
      <c r="B777" s="221"/>
    </row>
    <row r="778" spans="2:2" ht="12.75" x14ac:dyDescent="0.2">
      <c r="B778" s="221"/>
    </row>
    <row r="779" spans="2:2" ht="12.75" x14ac:dyDescent="0.2">
      <c r="B779" s="221"/>
    </row>
    <row r="780" spans="2:2" ht="12.75" x14ac:dyDescent="0.2">
      <c r="B780" s="221"/>
    </row>
    <row r="781" spans="2:2" ht="12.75" x14ac:dyDescent="0.2">
      <c r="B781" s="221"/>
    </row>
    <row r="782" spans="2:2" ht="12.75" x14ac:dyDescent="0.2">
      <c r="B782" s="221"/>
    </row>
    <row r="783" spans="2:2" ht="12.75" x14ac:dyDescent="0.2">
      <c r="B783" s="221"/>
    </row>
    <row r="784" spans="2:2" ht="12.75" x14ac:dyDescent="0.2">
      <c r="B784" s="221"/>
    </row>
    <row r="785" spans="2:2" ht="12.75" x14ac:dyDescent="0.2">
      <c r="B785" s="221"/>
    </row>
    <row r="786" spans="2:2" ht="12.75" x14ac:dyDescent="0.2">
      <c r="B786" s="221"/>
    </row>
    <row r="787" spans="2:2" ht="12.75" x14ac:dyDescent="0.2">
      <c r="B787" s="221"/>
    </row>
    <row r="788" spans="2:2" ht="12.75" x14ac:dyDescent="0.2">
      <c r="B788" s="221"/>
    </row>
    <row r="789" spans="2:2" ht="12.75" x14ac:dyDescent="0.2">
      <c r="B789" s="221"/>
    </row>
    <row r="790" spans="2:2" ht="12.75" x14ac:dyDescent="0.2">
      <c r="B790" s="221"/>
    </row>
    <row r="791" spans="2:2" ht="12.75" x14ac:dyDescent="0.2">
      <c r="B791" s="221"/>
    </row>
    <row r="792" spans="2:2" ht="12.75" x14ac:dyDescent="0.2">
      <c r="B792" s="221"/>
    </row>
    <row r="793" spans="2:2" ht="12.75" x14ac:dyDescent="0.2">
      <c r="B793" s="221"/>
    </row>
    <row r="794" spans="2:2" ht="12.75" x14ac:dyDescent="0.2">
      <c r="B794" s="221"/>
    </row>
    <row r="795" spans="2:2" ht="12.75" x14ac:dyDescent="0.2">
      <c r="B795" s="221"/>
    </row>
    <row r="796" spans="2:2" ht="12.75" x14ac:dyDescent="0.2">
      <c r="B796" s="221"/>
    </row>
    <row r="797" spans="2:2" ht="12.75" x14ac:dyDescent="0.2">
      <c r="B797" s="221"/>
    </row>
    <row r="798" spans="2:2" ht="12.75" x14ac:dyDescent="0.2">
      <c r="B798" s="221"/>
    </row>
    <row r="799" spans="2:2" ht="12.75" x14ac:dyDescent="0.2">
      <c r="B799" s="221"/>
    </row>
    <row r="800" spans="2:2" ht="12.75" x14ac:dyDescent="0.2">
      <c r="B800" s="221"/>
    </row>
    <row r="801" spans="2:2" ht="12.75" x14ac:dyDescent="0.2">
      <c r="B801" s="221"/>
    </row>
    <row r="802" spans="2:2" ht="12.75" x14ac:dyDescent="0.2">
      <c r="B802" s="221"/>
    </row>
    <row r="803" spans="2:2" ht="12.75" x14ac:dyDescent="0.2">
      <c r="B803" s="221"/>
    </row>
    <row r="804" spans="2:2" ht="12.75" x14ac:dyDescent="0.2">
      <c r="B804" s="221"/>
    </row>
    <row r="805" spans="2:2" ht="12.75" x14ac:dyDescent="0.2">
      <c r="B805" s="221"/>
    </row>
    <row r="806" spans="2:2" ht="12.75" x14ac:dyDescent="0.2">
      <c r="B806" s="221"/>
    </row>
    <row r="807" spans="2:2" ht="12.75" x14ac:dyDescent="0.2">
      <c r="B807" s="221"/>
    </row>
    <row r="808" spans="2:2" ht="12.75" x14ac:dyDescent="0.2">
      <c r="B808" s="221"/>
    </row>
    <row r="809" spans="2:2" ht="12.75" x14ac:dyDescent="0.2">
      <c r="B809" s="221"/>
    </row>
    <row r="810" spans="2:2" ht="12.75" x14ac:dyDescent="0.2">
      <c r="B810" s="221"/>
    </row>
    <row r="811" spans="2:2" ht="12.75" x14ac:dyDescent="0.2">
      <c r="B811" s="221"/>
    </row>
    <row r="812" spans="2:2" ht="12.75" x14ac:dyDescent="0.2">
      <c r="B812" s="221"/>
    </row>
    <row r="813" spans="2:2" ht="12.75" x14ac:dyDescent="0.2">
      <c r="B813" s="221"/>
    </row>
    <row r="814" spans="2:2" ht="12.75" x14ac:dyDescent="0.2">
      <c r="B814" s="221"/>
    </row>
    <row r="815" spans="2:2" ht="12.75" x14ac:dyDescent="0.2">
      <c r="B815" s="221"/>
    </row>
    <row r="816" spans="2:2" ht="12.75" x14ac:dyDescent="0.2">
      <c r="B816" s="221"/>
    </row>
    <row r="817" spans="2:2" ht="12.75" x14ac:dyDescent="0.2">
      <c r="B817" s="221"/>
    </row>
    <row r="818" spans="2:2" ht="12.75" x14ac:dyDescent="0.2">
      <c r="B818" s="221"/>
    </row>
    <row r="819" spans="2:2" ht="12.75" x14ac:dyDescent="0.2">
      <c r="B819" s="221"/>
    </row>
    <row r="820" spans="2:2" ht="12.75" x14ac:dyDescent="0.2">
      <c r="B820" s="221"/>
    </row>
    <row r="821" spans="2:2" ht="12.75" x14ac:dyDescent="0.2">
      <c r="B821" s="221"/>
    </row>
    <row r="822" spans="2:2" ht="12.75" x14ac:dyDescent="0.2">
      <c r="B822" s="221"/>
    </row>
    <row r="823" spans="2:2" ht="12.75" x14ac:dyDescent="0.2">
      <c r="B823" s="221"/>
    </row>
    <row r="824" spans="2:2" ht="12.75" x14ac:dyDescent="0.2">
      <c r="B824" s="221"/>
    </row>
    <row r="825" spans="2:2" ht="12.75" x14ac:dyDescent="0.2">
      <c r="B825" s="221"/>
    </row>
    <row r="826" spans="2:2" ht="12.75" x14ac:dyDescent="0.2">
      <c r="B826" s="221"/>
    </row>
    <row r="827" spans="2:2" ht="12.75" x14ac:dyDescent="0.2">
      <c r="B827" s="221"/>
    </row>
    <row r="828" spans="2:2" ht="12.75" x14ac:dyDescent="0.2">
      <c r="B828" s="221"/>
    </row>
    <row r="829" spans="2:2" ht="12.75" x14ac:dyDescent="0.2">
      <c r="B829" s="221"/>
    </row>
    <row r="830" spans="2:2" ht="12.75" x14ac:dyDescent="0.2">
      <c r="B830" s="221"/>
    </row>
    <row r="831" spans="2:2" ht="12.75" x14ac:dyDescent="0.2">
      <c r="B831" s="221"/>
    </row>
    <row r="832" spans="2:2" ht="12.75" x14ac:dyDescent="0.2">
      <c r="B832" s="221"/>
    </row>
    <row r="833" spans="2:2" ht="12.75" x14ac:dyDescent="0.2">
      <c r="B833" s="221"/>
    </row>
    <row r="834" spans="2:2" ht="12.75" x14ac:dyDescent="0.2">
      <c r="B834" s="221"/>
    </row>
    <row r="835" spans="2:2" ht="12.75" x14ac:dyDescent="0.2">
      <c r="B835" s="221"/>
    </row>
    <row r="836" spans="2:2" ht="12.75" x14ac:dyDescent="0.2">
      <c r="B836" s="221"/>
    </row>
    <row r="837" spans="2:2" ht="12.75" x14ac:dyDescent="0.2">
      <c r="B837" s="221"/>
    </row>
    <row r="838" spans="2:2" ht="12.75" x14ac:dyDescent="0.2">
      <c r="B838" s="221"/>
    </row>
    <row r="839" spans="2:2" ht="12.75" x14ac:dyDescent="0.2">
      <c r="B839" s="221"/>
    </row>
    <row r="840" spans="2:2" ht="12.75" x14ac:dyDescent="0.2">
      <c r="B840" s="221"/>
    </row>
    <row r="841" spans="2:2" ht="12.75" x14ac:dyDescent="0.2">
      <c r="B841" s="221"/>
    </row>
    <row r="842" spans="2:2" ht="12.75" x14ac:dyDescent="0.2">
      <c r="B842" s="221"/>
    </row>
    <row r="843" spans="2:2" ht="12.75" x14ac:dyDescent="0.2">
      <c r="B843" s="221"/>
    </row>
    <row r="844" spans="2:2" ht="12.75" x14ac:dyDescent="0.2">
      <c r="B844" s="221"/>
    </row>
    <row r="845" spans="2:2" ht="12.75" x14ac:dyDescent="0.2">
      <c r="B845" s="221"/>
    </row>
    <row r="846" spans="2:2" ht="12.75" x14ac:dyDescent="0.2">
      <c r="B846" s="221"/>
    </row>
    <row r="847" spans="2:2" ht="12.75" x14ac:dyDescent="0.2">
      <c r="B847" s="221"/>
    </row>
    <row r="848" spans="2:2" ht="12.75" x14ac:dyDescent="0.2">
      <c r="B848" s="221"/>
    </row>
    <row r="849" spans="2:2" ht="12.75" x14ac:dyDescent="0.2">
      <c r="B849" s="221"/>
    </row>
    <row r="850" spans="2:2" ht="12.75" x14ac:dyDescent="0.2">
      <c r="B850" s="221"/>
    </row>
    <row r="851" spans="2:2" ht="12.75" x14ac:dyDescent="0.2">
      <c r="B851" s="221"/>
    </row>
    <row r="852" spans="2:2" ht="12.75" x14ac:dyDescent="0.2">
      <c r="B852" s="221"/>
    </row>
    <row r="853" spans="2:2" ht="12.75" x14ac:dyDescent="0.2">
      <c r="B853" s="221"/>
    </row>
    <row r="854" spans="2:2" ht="12.75" x14ac:dyDescent="0.2">
      <c r="B854" s="221"/>
    </row>
    <row r="855" spans="2:2" ht="12.75" x14ac:dyDescent="0.2">
      <c r="B855" s="221"/>
    </row>
    <row r="856" spans="2:2" ht="12.75" x14ac:dyDescent="0.2">
      <c r="B856" s="221"/>
    </row>
    <row r="857" spans="2:2" ht="12.75" x14ac:dyDescent="0.2">
      <c r="B857" s="221"/>
    </row>
    <row r="858" spans="2:2" ht="12.75" x14ac:dyDescent="0.2">
      <c r="B858" s="221"/>
    </row>
    <row r="859" spans="2:2" ht="12.75" x14ac:dyDescent="0.2">
      <c r="B859" s="221"/>
    </row>
    <row r="860" spans="2:2" ht="12.75" x14ac:dyDescent="0.2">
      <c r="B860" s="221"/>
    </row>
    <row r="861" spans="2:2" ht="12.75" x14ac:dyDescent="0.2">
      <c r="B861" s="221"/>
    </row>
    <row r="862" spans="2:2" ht="12.75" x14ac:dyDescent="0.2">
      <c r="B862" s="221"/>
    </row>
    <row r="863" spans="2:2" ht="12.75" x14ac:dyDescent="0.2">
      <c r="B863" s="221"/>
    </row>
    <row r="864" spans="2:2" ht="12.75" x14ac:dyDescent="0.2">
      <c r="B864" s="221"/>
    </row>
    <row r="865" spans="2:2" ht="12.75" x14ac:dyDescent="0.2">
      <c r="B865" s="221"/>
    </row>
    <row r="866" spans="2:2" ht="12.75" x14ac:dyDescent="0.2">
      <c r="B866" s="221"/>
    </row>
    <row r="867" spans="2:2" ht="12.75" x14ac:dyDescent="0.2">
      <c r="B867" s="221"/>
    </row>
    <row r="868" spans="2:2" ht="12.75" x14ac:dyDescent="0.2">
      <c r="B868" s="221"/>
    </row>
    <row r="869" spans="2:2" ht="12.75" x14ac:dyDescent="0.2">
      <c r="B869" s="221"/>
    </row>
    <row r="870" spans="2:2" ht="12.75" x14ac:dyDescent="0.2">
      <c r="B870" s="221"/>
    </row>
    <row r="871" spans="2:2" ht="12.75" x14ac:dyDescent="0.2">
      <c r="B871" s="221"/>
    </row>
    <row r="872" spans="2:2" ht="12.75" x14ac:dyDescent="0.2">
      <c r="B872" s="221"/>
    </row>
    <row r="873" spans="2:2" ht="12.75" x14ac:dyDescent="0.2">
      <c r="B873" s="221"/>
    </row>
    <row r="874" spans="2:2" ht="12.75" x14ac:dyDescent="0.2">
      <c r="B874" s="221"/>
    </row>
    <row r="875" spans="2:2" ht="12.75" x14ac:dyDescent="0.2">
      <c r="B875" s="221"/>
    </row>
    <row r="876" spans="2:2" ht="12.75" x14ac:dyDescent="0.2">
      <c r="B876" s="221"/>
    </row>
    <row r="877" spans="2:2" ht="12.75" x14ac:dyDescent="0.2">
      <c r="B877" s="221"/>
    </row>
    <row r="878" spans="2:2" ht="12.75" x14ac:dyDescent="0.2">
      <c r="B878" s="221"/>
    </row>
    <row r="879" spans="2:2" ht="12.75" x14ac:dyDescent="0.2">
      <c r="B879" s="221"/>
    </row>
    <row r="880" spans="2:2" ht="12.75" x14ac:dyDescent="0.2">
      <c r="B880" s="221"/>
    </row>
    <row r="881" spans="2:2" ht="12.75" x14ac:dyDescent="0.2">
      <c r="B881" s="221"/>
    </row>
    <row r="882" spans="2:2" ht="12.75" x14ac:dyDescent="0.2">
      <c r="B882" s="221"/>
    </row>
    <row r="883" spans="2:2" ht="12.75" x14ac:dyDescent="0.2">
      <c r="B883" s="221"/>
    </row>
    <row r="884" spans="2:2" ht="12.75" x14ac:dyDescent="0.2">
      <c r="B884" s="221"/>
    </row>
    <row r="885" spans="2:2" ht="12.75" x14ac:dyDescent="0.2">
      <c r="B885" s="221"/>
    </row>
    <row r="886" spans="2:2" ht="12.75" x14ac:dyDescent="0.2">
      <c r="B886" s="221"/>
    </row>
    <row r="887" spans="2:2" ht="12.75" x14ac:dyDescent="0.2">
      <c r="B887" s="221"/>
    </row>
    <row r="888" spans="2:2" ht="12.75" x14ac:dyDescent="0.2">
      <c r="B888" s="221"/>
    </row>
    <row r="889" spans="2:2" ht="12.75" x14ac:dyDescent="0.2">
      <c r="B889" s="221"/>
    </row>
    <row r="890" spans="2:2" ht="12.75" x14ac:dyDescent="0.2">
      <c r="B890" s="221"/>
    </row>
    <row r="891" spans="2:2" ht="12.75" x14ac:dyDescent="0.2">
      <c r="B891" s="221"/>
    </row>
    <row r="892" spans="2:2" ht="12.75" x14ac:dyDescent="0.2">
      <c r="B892" s="221"/>
    </row>
    <row r="893" spans="2:2" ht="12.75" x14ac:dyDescent="0.2">
      <c r="B893" s="221"/>
    </row>
    <row r="894" spans="2:2" ht="12.75" x14ac:dyDescent="0.2">
      <c r="B894" s="221"/>
    </row>
    <row r="895" spans="2:2" ht="12.75" x14ac:dyDescent="0.2">
      <c r="B895" s="221"/>
    </row>
    <row r="896" spans="2:2" ht="12.75" x14ac:dyDescent="0.2">
      <c r="B896" s="221"/>
    </row>
    <row r="897" spans="2:2" ht="12.75" x14ac:dyDescent="0.2">
      <c r="B897" s="221"/>
    </row>
    <row r="898" spans="2:2" ht="12.75" x14ac:dyDescent="0.2">
      <c r="B898" s="221"/>
    </row>
    <row r="899" spans="2:2" ht="12.75" x14ac:dyDescent="0.2">
      <c r="B899" s="221"/>
    </row>
    <row r="900" spans="2:2" ht="12.75" x14ac:dyDescent="0.2">
      <c r="B900" s="221"/>
    </row>
    <row r="901" spans="2:2" ht="12.75" x14ac:dyDescent="0.2">
      <c r="B901" s="221"/>
    </row>
    <row r="902" spans="2:2" ht="12.75" x14ac:dyDescent="0.2">
      <c r="B902" s="221"/>
    </row>
    <row r="903" spans="2:2" ht="12.75" x14ac:dyDescent="0.2">
      <c r="B903" s="221"/>
    </row>
    <row r="904" spans="2:2" ht="12.75" x14ac:dyDescent="0.2">
      <c r="B904" s="221"/>
    </row>
    <row r="905" spans="2:2" ht="12.75" x14ac:dyDescent="0.2">
      <c r="B905" s="221"/>
    </row>
    <row r="906" spans="2:2" ht="12.75" x14ac:dyDescent="0.2">
      <c r="B906" s="221"/>
    </row>
    <row r="907" spans="2:2" ht="12.75" x14ac:dyDescent="0.2">
      <c r="B907" s="221"/>
    </row>
    <row r="908" spans="2:2" ht="12.75" x14ac:dyDescent="0.2">
      <c r="B908" s="221"/>
    </row>
    <row r="909" spans="2:2" ht="12.75" x14ac:dyDescent="0.2">
      <c r="B909" s="221"/>
    </row>
    <row r="910" spans="2:2" ht="12.75" x14ac:dyDescent="0.2">
      <c r="B910" s="221"/>
    </row>
    <row r="911" spans="2:2" ht="12.75" x14ac:dyDescent="0.2">
      <c r="B911" s="221"/>
    </row>
    <row r="912" spans="2:2" ht="12.75" x14ac:dyDescent="0.2">
      <c r="B912" s="221"/>
    </row>
    <row r="913" spans="2:2" ht="12.75" x14ac:dyDescent="0.2">
      <c r="B913" s="221"/>
    </row>
    <row r="914" spans="2:2" ht="12.75" x14ac:dyDescent="0.2">
      <c r="B914" s="221"/>
    </row>
    <row r="915" spans="2:2" ht="12.75" x14ac:dyDescent="0.2">
      <c r="B915" s="221"/>
    </row>
    <row r="916" spans="2:2" ht="12.75" x14ac:dyDescent="0.2">
      <c r="B916" s="221"/>
    </row>
    <row r="917" spans="2:2" ht="12.75" x14ac:dyDescent="0.2">
      <c r="B917" s="221"/>
    </row>
    <row r="918" spans="2:2" ht="12.75" x14ac:dyDescent="0.2">
      <c r="B918" s="221"/>
    </row>
    <row r="919" spans="2:2" ht="12.75" x14ac:dyDescent="0.2">
      <c r="B919" s="221"/>
    </row>
    <row r="920" spans="2:2" ht="12.75" x14ac:dyDescent="0.2">
      <c r="B920" s="221"/>
    </row>
    <row r="921" spans="2:2" ht="12.75" x14ac:dyDescent="0.2">
      <c r="B921" s="221"/>
    </row>
    <row r="922" spans="2:2" ht="12.75" x14ac:dyDescent="0.2">
      <c r="B922" s="221"/>
    </row>
    <row r="923" spans="2:2" ht="12.75" x14ac:dyDescent="0.2">
      <c r="B923" s="221"/>
    </row>
    <row r="924" spans="2:2" ht="12.75" x14ac:dyDescent="0.2">
      <c r="B924" s="221"/>
    </row>
    <row r="925" spans="2:2" ht="12.75" x14ac:dyDescent="0.2">
      <c r="B925" s="221"/>
    </row>
    <row r="926" spans="2:2" ht="12.75" x14ac:dyDescent="0.2">
      <c r="B926" s="221"/>
    </row>
    <row r="927" spans="2:2" ht="12.75" x14ac:dyDescent="0.2">
      <c r="B927" s="221"/>
    </row>
    <row r="928" spans="2:2" ht="12.75" x14ac:dyDescent="0.2">
      <c r="B928" s="221"/>
    </row>
    <row r="929" spans="2:2" ht="12.75" x14ac:dyDescent="0.2">
      <c r="B929" s="221"/>
    </row>
    <row r="930" spans="2:2" ht="12.75" x14ac:dyDescent="0.2">
      <c r="B930" s="221"/>
    </row>
    <row r="931" spans="2:2" ht="12.75" x14ac:dyDescent="0.2">
      <c r="B931" s="221"/>
    </row>
    <row r="932" spans="2:2" ht="12.75" x14ac:dyDescent="0.2">
      <c r="B932" s="221"/>
    </row>
    <row r="933" spans="2:2" ht="12.75" x14ac:dyDescent="0.2">
      <c r="B933" s="221"/>
    </row>
    <row r="934" spans="2:2" ht="12.75" x14ac:dyDescent="0.2">
      <c r="B934" s="221"/>
    </row>
    <row r="935" spans="2:2" ht="12.75" x14ac:dyDescent="0.2">
      <c r="B935" s="221"/>
    </row>
    <row r="936" spans="2:2" ht="12.75" x14ac:dyDescent="0.2">
      <c r="B936" s="221"/>
    </row>
    <row r="937" spans="2:2" ht="12.75" x14ac:dyDescent="0.2">
      <c r="B937" s="221"/>
    </row>
    <row r="938" spans="2:2" ht="12.75" x14ac:dyDescent="0.2">
      <c r="B938" s="221"/>
    </row>
    <row r="939" spans="2:2" ht="12.75" x14ac:dyDescent="0.2">
      <c r="B939" s="221"/>
    </row>
    <row r="940" spans="2:2" ht="12.75" x14ac:dyDescent="0.2">
      <c r="B940" s="221"/>
    </row>
    <row r="941" spans="2:2" ht="12.75" x14ac:dyDescent="0.2">
      <c r="B941" s="221"/>
    </row>
    <row r="942" spans="2:2" ht="12.75" x14ac:dyDescent="0.2">
      <c r="B942" s="221"/>
    </row>
    <row r="943" spans="2:2" ht="12.75" x14ac:dyDescent="0.2">
      <c r="B943" s="221"/>
    </row>
    <row r="944" spans="2:2" ht="12.75" x14ac:dyDescent="0.2">
      <c r="B944" s="221"/>
    </row>
    <row r="945" spans="2:2" ht="12.75" x14ac:dyDescent="0.2">
      <c r="B945" s="221"/>
    </row>
    <row r="946" spans="2:2" ht="12.75" x14ac:dyDescent="0.2">
      <c r="B946" s="221"/>
    </row>
    <row r="947" spans="2:2" ht="12.75" x14ac:dyDescent="0.2">
      <c r="B947" s="221"/>
    </row>
    <row r="948" spans="2:2" ht="12.75" x14ac:dyDescent="0.2">
      <c r="B948" s="221"/>
    </row>
    <row r="949" spans="2:2" ht="12.75" x14ac:dyDescent="0.2">
      <c r="B949" s="221"/>
    </row>
    <row r="950" spans="2:2" ht="12.75" x14ac:dyDescent="0.2">
      <c r="B950" s="221"/>
    </row>
    <row r="951" spans="2:2" ht="12.75" x14ac:dyDescent="0.2">
      <c r="B951" s="221"/>
    </row>
    <row r="952" spans="2:2" ht="12.75" x14ac:dyDescent="0.2">
      <c r="B952" s="221"/>
    </row>
    <row r="953" spans="2:2" ht="12.75" x14ac:dyDescent="0.2">
      <c r="B953" s="221"/>
    </row>
    <row r="954" spans="2:2" ht="12.75" x14ac:dyDescent="0.2">
      <c r="B954" s="221"/>
    </row>
    <row r="955" spans="2:2" ht="12.75" x14ac:dyDescent="0.2">
      <c r="B955" s="221"/>
    </row>
    <row r="956" spans="2:2" ht="12.75" x14ac:dyDescent="0.2">
      <c r="B956" s="221"/>
    </row>
    <row r="957" spans="2:2" ht="12.75" x14ac:dyDescent="0.2">
      <c r="B957" s="221"/>
    </row>
    <row r="958" spans="2:2" ht="12.75" x14ac:dyDescent="0.2">
      <c r="B958" s="221"/>
    </row>
    <row r="959" spans="2:2" ht="12.75" x14ac:dyDescent="0.2">
      <c r="B959" s="221"/>
    </row>
    <row r="960" spans="2:2" ht="12.75" x14ac:dyDescent="0.2">
      <c r="B960" s="221"/>
    </row>
    <row r="961" spans="2:2" ht="12.75" x14ac:dyDescent="0.2">
      <c r="B961" s="221"/>
    </row>
    <row r="962" spans="2:2" ht="12.75" x14ac:dyDescent="0.2">
      <c r="B962" s="221"/>
    </row>
    <row r="963" spans="2:2" ht="12.75" x14ac:dyDescent="0.2">
      <c r="B963" s="221"/>
    </row>
    <row r="964" spans="2:2" ht="12.75" x14ac:dyDescent="0.2">
      <c r="B964" s="221"/>
    </row>
    <row r="965" spans="2:2" ht="12.75" x14ac:dyDescent="0.2">
      <c r="B965" s="221"/>
    </row>
    <row r="966" spans="2:2" ht="12.75" x14ac:dyDescent="0.2">
      <c r="B966" s="221"/>
    </row>
    <row r="967" spans="2:2" ht="12.75" x14ac:dyDescent="0.2">
      <c r="B967" s="221"/>
    </row>
    <row r="968" spans="2:2" ht="12.75" x14ac:dyDescent="0.2">
      <c r="B968" s="221"/>
    </row>
    <row r="969" spans="2:2" ht="12.75" x14ac:dyDescent="0.2">
      <c r="B969" s="221"/>
    </row>
    <row r="970" spans="2:2" ht="12.75" x14ac:dyDescent="0.2">
      <c r="B970" s="221"/>
    </row>
    <row r="971" spans="2:2" ht="12.75" x14ac:dyDescent="0.2">
      <c r="B971" s="221"/>
    </row>
    <row r="972" spans="2:2" ht="12.75" x14ac:dyDescent="0.2">
      <c r="B972" s="221"/>
    </row>
    <row r="973" spans="2:2" ht="12.75" x14ac:dyDescent="0.2">
      <c r="B973" s="221"/>
    </row>
    <row r="974" spans="2:2" ht="12.75" x14ac:dyDescent="0.2">
      <c r="B974" s="221"/>
    </row>
    <row r="975" spans="2:2" ht="12.75" x14ac:dyDescent="0.2">
      <c r="B975" s="221"/>
    </row>
    <row r="976" spans="2:2" ht="12.75" x14ac:dyDescent="0.2">
      <c r="B976" s="221"/>
    </row>
    <row r="977" spans="2:2" ht="12.75" x14ac:dyDescent="0.2">
      <c r="B977" s="221"/>
    </row>
    <row r="978" spans="2:2" ht="12.75" x14ac:dyDescent="0.2">
      <c r="B978" s="221"/>
    </row>
    <row r="979" spans="2:2" ht="12.75" x14ac:dyDescent="0.2">
      <c r="B979" s="221"/>
    </row>
    <row r="980" spans="2:2" ht="12.75" x14ac:dyDescent="0.2">
      <c r="B980" s="221"/>
    </row>
    <row r="981" spans="2:2" ht="12.75" x14ac:dyDescent="0.2">
      <c r="B981" s="221"/>
    </row>
    <row r="982" spans="2:2" ht="12.75" x14ac:dyDescent="0.2">
      <c r="B982" s="221"/>
    </row>
    <row r="983" spans="2:2" ht="12.75" x14ac:dyDescent="0.2">
      <c r="B983" s="221"/>
    </row>
    <row r="984" spans="2:2" ht="12.75" x14ac:dyDescent="0.2">
      <c r="B984" s="221"/>
    </row>
    <row r="985" spans="2:2" ht="12.75" x14ac:dyDescent="0.2">
      <c r="B985" s="221"/>
    </row>
    <row r="986" spans="2:2" ht="12.75" x14ac:dyDescent="0.2">
      <c r="B986" s="221"/>
    </row>
    <row r="987" spans="2:2" ht="12.75" x14ac:dyDescent="0.2">
      <c r="B987" s="221"/>
    </row>
    <row r="988" spans="2:2" ht="12.75" x14ac:dyDescent="0.2">
      <c r="B988" s="221"/>
    </row>
    <row r="989" spans="2:2" ht="12.75" x14ac:dyDescent="0.2">
      <c r="B989" s="221"/>
    </row>
    <row r="990" spans="2:2" ht="12.75" x14ac:dyDescent="0.2">
      <c r="B990" s="221"/>
    </row>
    <row r="991" spans="2:2" ht="12.75" x14ac:dyDescent="0.2">
      <c r="B991" s="221"/>
    </row>
    <row r="992" spans="2:2" ht="12.75" x14ac:dyDescent="0.2">
      <c r="B992" s="221"/>
    </row>
    <row r="993" spans="2:2" ht="12.75" x14ac:dyDescent="0.2">
      <c r="B993" s="221"/>
    </row>
    <row r="994" spans="2:2" ht="12.75" x14ac:dyDescent="0.2">
      <c r="B994" s="221"/>
    </row>
    <row r="995" spans="2:2" ht="12.75" x14ac:dyDescent="0.2">
      <c r="B995" s="221"/>
    </row>
    <row r="996" spans="2:2" ht="12.75" x14ac:dyDescent="0.2">
      <c r="B996" s="221"/>
    </row>
    <row r="997" spans="2:2" ht="12.75" x14ac:dyDescent="0.2">
      <c r="B997" s="221"/>
    </row>
    <row r="998" spans="2:2" ht="12.75" x14ac:dyDescent="0.2">
      <c r="B998" s="221"/>
    </row>
    <row r="999" spans="2:2" ht="12.75" x14ac:dyDescent="0.2">
      <c r="B999" s="221"/>
    </row>
    <row r="1000" spans="2:2" ht="12.75" x14ac:dyDescent="0.2">
      <c r="B1000" s="221"/>
    </row>
    <row r="1001" spans="2:2" ht="12.75" x14ac:dyDescent="0.2">
      <c r="B1001" s="221"/>
    </row>
    <row r="1002" spans="2:2" ht="12.75" x14ac:dyDescent="0.2">
      <c r="B1002" s="221"/>
    </row>
    <row r="1003" spans="2:2" ht="12.75" x14ac:dyDescent="0.2">
      <c r="B1003" s="221"/>
    </row>
    <row r="1004" spans="2:2" ht="12.75" x14ac:dyDescent="0.2">
      <c r="B1004" s="221"/>
    </row>
    <row r="1005" spans="2:2" ht="12.75" x14ac:dyDescent="0.2">
      <c r="B1005" s="221"/>
    </row>
    <row r="1006" spans="2:2" ht="12.75" x14ac:dyDescent="0.2">
      <c r="B1006" s="221"/>
    </row>
    <row r="1007" spans="2:2" ht="12.75" x14ac:dyDescent="0.2">
      <c r="B1007" s="221"/>
    </row>
    <row r="1008" spans="2:2" ht="12.75" x14ac:dyDescent="0.2">
      <c r="B1008" s="221"/>
    </row>
    <row r="1009" spans="2:2" ht="12.75" x14ac:dyDescent="0.2">
      <c r="B1009" s="221"/>
    </row>
    <row r="1010" spans="2:2" ht="12.75" x14ac:dyDescent="0.2">
      <c r="B1010" s="221"/>
    </row>
    <row r="1011" spans="2:2" ht="12.75" x14ac:dyDescent="0.2">
      <c r="B1011" s="221"/>
    </row>
    <row r="1012" spans="2:2" ht="12.75" x14ac:dyDescent="0.2">
      <c r="B1012" s="221"/>
    </row>
    <row r="1013" spans="2:2" ht="12.75" x14ac:dyDescent="0.2">
      <c r="B1013" s="221"/>
    </row>
    <row r="1014" spans="2:2" ht="12.75" x14ac:dyDescent="0.2">
      <c r="B1014" s="221"/>
    </row>
    <row r="1015" spans="2:2" ht="12.75" x14ac:dyDescent="0.2">
      <c r="B1015" s="221"/>
    </row>
    <row r="1016" spans="2:2" ht="12.75" x14ac:dyDescent="0.2">
      <c r="B1016" s="221"/>
    </row>
    <row r="1017" spans="2:2" ht="12.75" x14ac:dyDescent="0.2">
      <c r="B1017" s="221"/>
    </row>
    <row r="1018" spans="2:2" ht="12.75" x14ac:dyDescent="0.2">
      <c r="B1018" s="221"/>
    </row>
    <row r="1019" spans="2:2" ht="12.75" x14ac:dyDescent="0.2">
      <c r="B1019" s="221"/>
    </row>
    <row r="1020" spans="2:2" ht="12.75" x14ac:dyDescent="0.2">
      <c r="B1020" s="221"/>
    </row>
    <row r="1021" spans="2:2" ht="12.75" x14ac:dyDescent="0.2">
      <c r="B1021" s="221"/>
    </row>
    <row r="1022" spans="2:2" ht="12.75" x14ac:dyDescent="0.2">
      <c r="B1022" s="221"/>
    </row>
    <row r="1023" spans="2:2" ht="12.75" x14ac:dyDescent="0.2">
      <c r="B1023" s="221"/>
    </row>
    <row r="1024" spans="2:2" ht="12.75" x14ac:dyDescent="0.2">
      <c r="B1024" s="221"/>
    </row>
    <row r="1025" spans="2:2" ht="12.75" x14ac:dyDescent="0.2">
      <c r="B1025" s="221"/>
    </row>
    <row r="1026" spans="2:2" ht="12.75" x14ac:dyDescent="0.2">
      <c r="B1026" s="221"/>
    </row>
    <row r="1027" spans="2:2" ht="12.75" x14ac:dyDescent="0.2">
      <c r="B1027" s="221"/>
    </row>
    <row r="1028" spans="2:2" ht="12.75" x14ac:dyDescent="0.2">
      <c r="B1028" s="221"/>
    </row>
    <row r="1029" spans="2:2" ht="12.75" x14ac:dyDescent="0.2">
      <c r="B1029" s="221"/>
    </row>
    <row r="1030" spans="2:2" ht="12.75" x14ac:dyDescent="0.2">
      <c r="B1030" s="221"/>
    </row>
    <row r="1031" spans="2:2" ht="12.75" x14ac:dyDescent="0.2">
      <c r="B1031" s="221"/>
    </row>
    <row r="1032" spans="2:2" ht="12.75" x14ac:dyDescent="0.2">
      <c r="B1032" s="221"/>
    </row>
    <row r="1033" spans="2:2" ht="12.75" x14ac:dyDescent="0.2">
      <c r="B1033" s="221"/>
    </row>
    <row r="1034" spans="2:2" ht="12.75" x14ac:dyDescent="0.2">
      <c r="B1034" s="221"/>
    </row>
    <row r="1035" spans="2:2" ht="12.75" x14ac:dyDescent="0.2">
      <c r="B1035" s="221"/>
    </row>
    <row r="1036" spans="2:2" ht="12.75" x14ac:dyDescent="0.2">
      <c r="B1036" s="221"/>
    </row>
    <row r="1037" spans="2:2" ht="12.75" x14ac:dyDescent="0.2">
      <c r="B1037" s="221"/>
    </row>
    <row r="1038" spans="2:2" ht="12.75" x14ac:dyDescent="0.2">
      <c r="B1038" s="221"/>
    </row>
    <row r="1039" spans="2:2" ht="12.75" x14ac:dyDescent="0.2">
      <c r="B1039" s="221"/>
    </row>
    <row r="1040" spans="2:2" ht="12.75" x14ac:dyDescent="0.2">
      <c r="B1040" s="221"/>
    </row>
    <row r="1041" spans="2:2" ht="12.75" x14ac:dyDescent="0.2">
      <c r="B1041" s="221"/>
    </row>
    <row r="1042" spans="2:2" ht="12.75" x14ac:dyDescent="0.2">
      <c r="B1042" s="221"/>
    </row>
    <row r="1043" spans="2:2" ht="12.75" x14ac:dyDescent="0.2">
      <c r="B1043" s="221"/>
    </row>
    <row r="1044" spans="2:2" ht="12.75" x14ac:dyDescent="0.2">
      <c r="B1044" s="221"/>
    </row>
    <row r="1045" spans="2:2" ht="12.75" x14ac:dyDescent="0.2">
      <c r="B1045" s="221"/>
    </row>
    <row r="1046" spans="2:2" ht="12.75" x14ac:dyDescent="0.2">
      <c r="B1046" s="221"/>
    </row>
    <row r="1047" spans="2:2" ht="12.75" x14ac:dyDescent="0.2">
      <c r="B1047" s="221"/>
    </row>
    <row r="1048" spans="2:2" ht="12.75" x14ac:dyDescent="0.2">
      <c r="B1048" s="221"/>
    </row>
    <row r="1049" spans="2:2" ht="12.75" x14ac:dyDescent="0.2">
      <c r="B1049" s="221"/>
    </row>
    <row r="1050" spans="2:2" ht="12.75" x14ac:dyDescent="0.2">
      <c r="B1050" s="221"/>
    </row>
    <row r="1051" spans="2:2" ht="12.75" x14ac:dyDescent="0.2">
      <c r="B1051" s="221"/>
    </row>
    <row r="1052" spans="2:2" ht="12.75" x14ac:dyDescent="0.2">
      <c r="B1052" s="221"/>
    </row>
    <row r="1053" spans="2:2" ht="12.75" x14ac:dyDescent="0.2">
      <c r="B1053" s="221"/>
    </row>
    <row r="1054" spans="2:2" ht="12.75" x14ac:dyDescent="0.2">
      <c r="B1054" s="221"/>
    </row>
    <row r="1055" spans="2:2" ht="12.75" x14ac:dyDescent="0.2">
      <c r="B1055" s="221"/>
    </row>
    <row r="1056" spans="2:2" ht="12.75" x14ac:dyDescent="0.2">
      <c r="B1056" s="221"/>
    </row>
    <row r="1057" spans="2:2" ht="12.75" x14ac:dyDescent="0.2">
      <c r="B1057" s="221"/>
    </row>
    <row r="1058" spans="2:2" ht="12.75" x14ac:dyDescent="0.2">
      <c r="B1058" s="221"/>
    </row>
    <row r="1059" spans="2:2" ht="12.75" x14ac:dyDescent="0.2">
      <c r="B1059" s="221"/>
    </row>
    <row r="1060" spans="2:2" ht="12.75" x14ac:dyDescent="0.2">
      <c r="B1060" s="221"/>
    </row>
    <row r="1061" spans="2:2" ht="12.75" x14ac:dyDescent="0.2">
      <c r="B1061" s="221"/>
    </row>
    <row r="1062" spans="2:2" ht="12.75" x14ac:dyDescent="0.2">
      <c r="B1062" s="221"/>
    </row>
    <row r="1063" spans="2:2" ht="12.75" x14ac:dyDescent="0.2">
      <c r="B1063" s="221"/>
    </row>
    <row r="1064" spans="2:2" ht="12.75" x14ac:dyDescent="0.2">
      <c r="B1064" s="221"/>
    </row>
    <row r="1065" spans="2:2" ht="12.75" x14ac:dyDescent="0.2">
      <c r="B1065" s="221"/>
    </row>
    <row r="1066" spans="2:2" ht="12.75" x14ac:dyDescent="0.2">
      <c r="B1066" s="221"/>
    </row>
    <row r="1067" spans="2:2" ht="12.75" x14ac:dyDescent="0.2">
      <c r="B1067" s="221"/>
    </row>
    <row r="1068" spans="2:2" ht="12.75" x14ac:dyDescent="0.2">
      <c r="B1068" s="221"/>
    </row>
    <row r="1069" spans="2:2" ht="12.75" x14ac:dyDescent="0.2">
      <c r="B1069" s="221"/>
    </row>
    <row r="1070" spans="2:2" ht="12.75" x14ac:dyDescent="0.2">
      <c r="B1070" s="221"/>
    </row>
    <row r="1071" spans="2:2" ht="12.75" x14ac:dyDescent="0.2">
      <c r="B1071" s="221"/>
    </row>
    <row r="1072" spans="2:2" ht="12.75" x14ac:dyDescent="0.2">
      <c r="B1072" s="221"/>
    </row>
    <row r="1073" spans="2:2" ht="12.75" x14ac:dyDescent="0.2">
      <c r="B1073" s="221"/>
    </row>
    <row r="1074" spans="2:2" ht="12.75" x14ac:dyDescent="0.2">
      <c r="B1074" s="221"/>
    </row>
    <row r="1075" spans="2:2" ht="12.75" x14ac:dyDescent="0.2">
      <c r="B1075" s="221"/>
    </row>
    <row r="1076" spans="2:2" ht="12.75" x14ac:dyDescent="0.2">
      <c r="B1076" s="221"/>
    </row>
    <row r="1077" spans="2:2" ht="12.75" x14ac:dyDescent="0.2">
      <c r="B1077" s="221"/>
    </row>
    <row r="1078" spans="2:2" ht="12.75" x14ac:dyDescent="0.2">
      <c r="B1078" s="221"/>
    </row>
    <row r="1079" spans="2:2" ht="12.75" x14ac:dyDescent="0.2">
      <c r="B1079" s="221"/>
    </row>
    <row r="1080" spans="2:2" ht="12.75" x14ac:dyDescent="0.2">
      <c r="B1080" s="221"/>
    </row>
    <row r="1081" spans="2:2" ht="12.75" x14ac:dyDescent="0.2">
      <c r="B1081" s="221"/>
    </row>
    <row r="1082" spans="2:2" ht="12.75" x14ac:dyDescent="0.2">
      <c r="B1082" s="221"/>
    </row>
    <row r="1083" spans="2:2" ht="12.75" x14ac:dyDescent="0.2">
      <c r="B1083" s="221"/>
    </row>
    <row r="1084" spans="2:2" ht="12.75" x14ac:dyDescent="0.2">
      <c r="B1084" s="221"/>
    </row>
    <row r="1085" spans="2:2" ht="12.75" x14ac:dyDescent="0.2">
      <c r="B1085" s="221"/>
    </row>
    <row r="1086" spans="2:2" ht="12.75" x14ac:dyDescent="0.2">
      <c r="B1086" s="221"/>
    </row>
    <row r="1087" spans="2:2" ht="12.75" x14ac:dyDescent="0.2">
      <c r="B1087" s="221"/>
    </row>
    <row r="1088" spans="2:2" ht="12.75" x14ac:dyDescent="0.2">
      <c r="B1088" s="221"/>
    </row>
    <row r="1089" spans="2:2" ht="12.75" x14ac:dyDescent="0.2">
      <c r="B1089" s="221"/>
    </row>
    <row r="1090" spans="2:2" ht="12.75" x14ac:dyDescent="0.2">
      <c r="B1090" s="221"/>
    </row>
    <row r="1091" spans="2:2" ht="12.75" x14ac:dyDescent="0.2">
      <c r="B1091" s="221"/>
    </row>
    <row r="1092" spans="2:2" ht="12.75" x14ac:dyDescent="0.2">
      <c r="B1092" s="221"/>
    </row>
    <row r="1093" spans="2:2" ht="12.75" x14ac:dyDescent="0.2">
      <c r="B1093" s="221"/>
    </row>
    <row r="1094" spans="2:2" ht="12.75" x14ac:dyDescent="0.2">
      <c r="B1094" s="221"/>
    </row>
    <row r="1095" spans="2:2" ht="12.75" x14ac:dyDescent="0.2">
      <c r="B1095" s="221"/>
    </row>
    <row r="1096" spans="2:2" ht="12.75" x14ac:dyDescent="0.2">
      <c r="B1096" s="221"/>
    </row>
    <row r="1097" spans="2:2" ht="12.75" x14ac:dyDescent="0.2">
      <c r="B1097" s="221"/>
    </row>
    <row r="1098" spans="2:2" ht="12.75" x14ac:dyDescent="0.2">
      <c r="B1098" s="221"/>
    </row>
    <row r="1099" spans="2:2" ht="12.75" x14ac:dyDescent="0.2">
      <c r="B1099" s="221"/>
    </row>
    <row r="1100" spans="2:2" ht="12.75" x14ac:dyDescent="0.2">
      <c r="B1100" s="221"/>
    </row>
    <row r="1101" spans="2:2" ht="12.75" x14ac:dyDescent="0.2">
      <c r="B1101" s="221"/>
    </row>
    <row r="1102" spans="2:2" ht="12.75" x14ac:dyDescent="0.2">
      <c r="B1102" s="221"/>
    </row>
    <row r="1103" spans="2:2" ht="12.75" x14ac:dyDescent="0.2">
      <c r="B1103" s="221"/>
    </row>
    <row r="1104" spans="2:2" ht="12.75" x14ac:dyDescent="0.2">
      <c r="B1104" s="221"/>
    </row>
    <row r="1105" spans="2:2" ht="12.75" x14ac:dyDescent="0.2">
      <c r="B1105" s="221"/>
    </row>
    <row r="1106" spans="2:2" ht="12.75" x14ac:dyDescent="0.2">
      <c r="B1106" s="221"/>
    </row>
    <row r="1107" spans="2:2" ht="12.75" x14ac:dyDescent="0.2">
      <c r="B1107" s="221"/>
    </row>
    <row r="1108" spans="2:2" ht="12.75" x14ac:dyDescent="0.2">
      <c r="B1108" s="221"/>
    </row>
    <row r="1109" spans="2:2" ht="12.75" x14ac:dyDescent="0.2">
      <c r="B1109" s="221"/>
    </row>
    <row r="1110" spans="2:2" ht="12.75" x14ac:dyDescent="0.2">
      <c r="B1110" s="221"/>
    </row>
    <row r="1111" spans="2:2" ht="12.75" x14ac:dyDescent="0.2">
      <c r="B1111" s="221"/>
    </row>
    <row r="1112" spans="2:2" ht="12.75" x14ac:dyDescent="0.2">
      <c r="B1112" s="221"/>
    </row>
    <row r="1113" spans="2:2" ht="12.75" x14ac:dyDescent="0.2">
      <c r="B1113" s="221"/>
    </row>
    <row r="1114" spans="2:2" ht="12.75" x14ac:dyDescent="0.2">
      <c r="B1114" s="221"/>
    </row>
    <row r="1115" spans="2:2" ht="12.75" x14ac:dyDescent="0.2">
      <c r="B1115" s="221"/>
    </row>
  </sheetData>
  <conditionalFormatting sqref="D6:AE6 D21:AE21 D31:AE31 D63:AE63 D85:AE85 D88:AE88 D98:AE98 D107:AE107 D112:AE112 D118:AE118 D120:AE120 D132:AE132 D140:AE140 D142:AE142 D149:AE149 D151:AE152 AF152:BW152 D165:AE165 D171:AE171 D180:AE180 D182:AE182">
    <cfRule type="cellIs" dxfId="5" priority="1" operator="equal">
      <formula>0</formula>
    </cfRule>
  </conditionalFormatting>
  <conditionalFormatting sqref="D6:AE6 D21:AE21 D31:AE31 D63:AE63 D85:AE85 D88:AE88 D98:AE98 D107:AE107 D112:AE112 D118:AE118 D120:AE120 D132:AE132 D140:AE140 D142:AE142 D149:AE149 D151:AE152 AF152:BW152 D165:AE165 D171:AE171 D180:AE180 D182:AE182">
    <cfRule type="cellIs" dxfId="4" priority="2" operator="notEqual">
      <formula>0</formula>
    </cfRule>
  </conditionalFormatting>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E598"/>
    <outlinePr summaryBelow="0" summaryRight="0"/>
  </sheetPr>
  <dimension ref="A1:BW1115"/>
  <sheetViews>
    <sheetView showGridLines="0" workbookViewId="0">
      <pane xSplit="2" ySplit="1" topLeftCell="AE2" activePane="bottomRight" state="frozen"/>
      <selection pane="topRight" activeCell="C1" sqref="C1"/>
      <selection pane="bottomLeft" activeCell="A2" sqref="A2"/>
      <selection pane="bottomRight" activeCell="AF26" sqref="AF26"/>
    </sheetView>
  </sheetViews>
  <sheetFormatPr defaultColWidth="14.42578125" defaultRowHeight="15.75" customHeight="1" x14ac:dyDescent="0.2"/>
  <cols>
    <col min="1" max="1" width="36" customWidth="1"/>
    <col min="3" max="3" width="2.5703125" customWidth="1"/>
  </cols>
  <sheetData>
    <row r="1" spans="1:75" ht="22.5" customHeight="1" x14ac:dyDescent="0.2">
      <c r="A1" s="5" t="s">
        <v>243</v>
      </c>
      <c r="B1" s="184" t="s">
        <v>237</v>
      </c>
      <c r="C1" s="184"/>
      <c r="D1" s="20">
        <v>43101</v>
      </c>
      <c r="E1" s="20">
        <f t="shared" ref="E1:BW1" si="0">EDATE(D1,1)</f>
        <v>43132</v>
      </c>
      <c r="F1" s="20">
        <f t="shared" si="0"/>
        <v>43160</v>
      </c>
      <c r="G1" s="20">
        <f t="shared" si="0"/>
        <v>43191</v>
      </c>
      <c r="H1" s="20">
        <f t="shared" si="0"/>
        <v>43221</v>
      </c>
      <c r="I1" s="20">
        <f t="shared" si="0"/>
        <v>43252</v>
      </c>
      <c r="J1" s="20">
        <f t="shared" si="0"/>
        <v>43282</v>
      </c>
      <c r="K1" s="20">
        <f t="shared" si="0"/>
        <v>43313</v>
      </c>
      <c r="L1" s="20">
        <f t="shared" si="0"/>
        <v>43344</v>
      </c>
      <c r="M1" s="20">
        <f t="shared" si="0"/>
        <v>43374</v>
      </c>
      <c r="N1" s="20">
        <f t="shared" si="0"/>
        <v>43405</v>
      </c>
      <c r="O1" s="20">
        <f t="shared" si="0"/>
        <v>43435</v>
      </c>
      <c r="P1" s="20">
        <f t="shared" si="0"/>
        <v>43466</v>
      </c>
      <c r="Q1" s="20">
        <f t="shared" si="0"/>
        <v>43497</v>
      </c>
      <c r="R1" s="20">
        <f t="shared" si="0"/>
        <v>43525</v>
      </c>
      <c r="S1" s="20">
        <f t="shared" si="0"/>
        <v>43556</v>
      </c>
      <c r="T1" s="20">
        <f t="shared" si="0"/>
        <v>43586</v>
      </c>
      <c r="U1" s="20">
        <f t="shared" si="0"/>
        <v>43617</v>
      </c>
      <c r="V1" s="20">
        <f t="shared" si="0"/>
        <v>43647</v>
      </c>
      <c r="W1" s="20">
        <f t="shared" si="0"/>
        <v>43678</v>
      </c>
      <c r="X1" s="20">
        <f t="shared" si="0"/>
        <v>43709</v>
      </c>
      <c r="Y1" s="20">
        <f t="shared" si="0"/>
        <v>43739</v>
      </c>
      <c r="Z1" s="20">
        <f t="shared" si="0"/>
        <v>43770</v>
      </c>
      <c r="AA1" s="20">
        <f t="shared" si="0"/>
        <v>43800</v>
      </c>
      <c r="AB1" s="20">
        <f t="shared" si="0"/>
        <v>43831</v>
      </c>
      <c r="AC1" s="20">
        <f t="shared" si="0"/>
        <v>43862</v>
      </c>
      <c r="AD1" s="20">
        <f t="shared" si="0"/>
        <v>43891</v>
      </c>
      <c r="AE1" s="20">
        <f t="shared" si="0"/>
        <v>43922</v>
      </c>
      <c r="AF1" s="20">
        <f t="shared" si="0"/>
        <v>43952</v>
      </c>
      <c r="AG1" s="20">
        <f t="shared" si="0"/>
        <v>43983</v>
      </c>
      <c r="AH1" s="20">
        <f t="shared" si="0"/>
        <v>44013</v>
      </c>
      <c r="AI1" s="20">
        <f t="shared" si="0"/>
        <v>44044</v>
      </c>
      <c r="AJ1" s="20">
        <f t="shared" si="0"/>
        <v>44075</v>
      </c>
      <c r="AK1" s="20">
        <f t="shared" si="0"/>
        <v>44105</v>
      </c>
      <c r="AL1" s="20">
        <f t="shared" si="0"/>
        <v>44136</v>
      </c>
      <c r="AM1" s="20">
        <f t="shared" si="0"/>
        <v>44166</v>
      </c>
      <c r="AN1" s="20">
        <f t="shared" si="0"/>
        <v>44197</v>
      </c>
      <c r="AO1" s="20">
        <f t="shared" si="0"/>
        <v>44228</v>
      </c>
      <c r="AP1" s="20">
        <f t="shared" si="0"/>
        <v>44256</v>
      </c>
      <c r="AQ1" s="20">
        <f t="shared" si="0"/>
        <v>44287</v>
      </c>
      <c r="AR1" s="20">
        <f t="shared" si="0"/>
        <v>44317</v>
      </c>
      <c r="AS1" s="20">
        <f t="shared" si="0"/>
        <v>44348</v>
      </c>
      <c r="AT1" s="20">
        <f t="shared" si="0"/>
        <v>44378</v>
      </c>
      <c r="AU1" s="20">
        <f t="shared" si="0"/>
        <v>44409</v>
      </c>
      <c r="AV1" s="20">
        <f t="shared" si="0"/>
        <v>44440</v>
      </c>
      <c r="AW1" s="20">
        <f t="shared" si="0"/>
        <v>44470</v>
      </c>
      <c r="AX1" s="20">
        <f t="shared" si="0"/>
        <v>44501</v>
      </c>
      <c r="AY1" s="20">
        <f t="shared" si="0"/>
        <v>44531</v>
      </c>
      <c r="AZ1" s="20">
        <f t="shared" si="0"/>
        <v>44562</v>
      </c>
      <c r="BA1" s="20">
        <f t="shared" si="0"/>
        <v>44593</v>
      </c>
      <c r="BB1" s="20">
        <f t="shared" si="0"/>
        <v>44621</v>
      </c>
      <c r="BC1" s="20">
        <f t="shared" si="0"/>
        <v>44652</v>
      </c>
      <c r="BD1" s="20">
        <f t="shared" si="0"/>
        <v>44682</v>
      </c>
      <c r="BE1" s="20">
        <f t="shared" si="0"/>
        <v>44713</v>
      </c>
      <c r="BF1" s="20">
        <f t="shared" si="0"/>
        <v>44743</v>
      </c>
      <c r="BG1" s="20">
        <f t="shared" si="0"/>
        <v>44774</v>
      </c>
      <c r="BH1" s="20">
        <f t="shared" si="0"/>
        <v>44805</v>
      </c>
      <c r="BI1" s="20">
        <f t="shared" si="0"/>
        <v>44835</v>
      </c>
      <c r="BJ1" s="20">
        <f t="shared" si="0"/>
        <v>44866</v>
      </c>
      <c r="BK1" s="20">
        <f t="shared" si="0"/>
        <v>44896</v>
      </c>
      <c r="BL1" s="20">
        <f t="shared" si="0"/>
        <v>44927</v>
      </c>
      <c r="BM1" s="20">
        <f t="shared" si="0"/>
        <v>44958</v>
      </c>
      <c r="BN1" s="20">
        <f t="shared" si="0"/>
        <v>44986</v>
      </c>
      <c r="BO1" s="20">
        <f t="shared" si="0"/>
        <v>45017</v>
      </c>
      <c r="BP1" s="20">
        <f t="shared" si="0"/>
        <v>45047</v>
      </c>
      <c r="BQ1" s="20">
        <f t="shared" si="0"/>
        <v>45078</v>
      </c>
      <c r="BR1" s="20">
        <f t="shared" si="0"/>
        <v>45108</v>
      </c>
      <c r="BS1" s="20">
        <f t="shared" si="0"/>
        <v>45139</v>
      </c>
      <c r="BT1" s="20">
        <f t="shared" si="0"/>
        <v>45170</v>
      </c>
      <c r="BU1" s="20">
        <f t="shared" si="0"/>
        <v>45200</v>
      </c>
      <c r="BV1" s="20">
        <f t="shared" si="0"/>
        <v>45231</v>
      </c>
      <c r="BW1" s="20">
        <f t="shared" si="0"/>
        <v>45261</v>
      </c>
    </row>
    <row r="2" spans="1:75" ht="12.75" x14ac:dyDescent="0.2">
      <c r="A2" s="21" t="s">
        <v>238</v>
      </c>
      <c r="B2" s="221"/>
    </row>
    <row r="3" spans="1:75" ht="12.75" x14ac:dyDescent="0.2">
      <c r="A3" s="69" t="s">
        <v>240</v>
      </c>
      <c r="B3" s="221"/>
    </row>
    <row r="4" spans="1:75" ht="12.75" x14ac:dyDescent="0.2">
      <c r="A4" s="23" t="s">
        <v>241</v>
      </c>
      <c r="B4" s="224">
        <f ca="1">AVERAGEIFS(4:4,$1:$1,"&gt;="&amp;DATE(YEAR(Current_Month),MONTH(Current_Month)-2,DAY(Current_Month)),$1:$1,"&lt;="&amp;EOMONTH(Current_Month,0))</f>
        <v>820098.39666666661</v>
      </c>
      <c r="D4" s="115">
        <f t="array" aca="1" ref="D4" ca="1">INDEX(INDIRECT("PnL_"&amp;TEXT(D$1,"mmm")&amp;"_"&amp;TEXT(D$1,"yyyy")),MATCH(TRIM($A4),PnL_Accounts,0))</f>
        <v>303373</v>
      </c>
      <c r="E4" s="115">
        <f t="array" aca="1" ref="E4" ca="1">INDEX(INDIRECT("PnL_"&amp;TEXT(E$1,"mmm")&amp;"_"&amp;TEXT(E$1,"yyyy")),MATCH(TRIM($A4),PnL_Accounts,0))</f>
        <v>321057</v>
      </c>
      <c r="F4" s="115">
        <f t="array" aca="1" ref="F4" ca="1">INDEX(INDIRECT("PnL_"&amp;TEXT(F$1,"mmm")&amp;"_"&amp;TEXT(F$1,"yyyy")),MATCH(TRIM($A4),PnL_Accounts,0))</f>
        <v>340521</v>
      </c>
      <c r="G4" s="115">
        <f t="array" aca="1" ref="G4" ca="1">INDEX(INDIRECT("PnL_"&amp;TEXT(G$1,"mmm")&amp;"_"&amp;TEXT(G$1,"yyyy")),MATCH(TRIM($A4),PnL_Accounts,0))</f>
        <v>360770</v>
      </c>
      <c r="H4" s="115">
        <f t="array" aca="1" ref="H4" ca="1">INDEX(INDIRECT("PnL_"&amp;TEXT(H$1,"mmm")&amp;"_"&amp;TEXT(H$1,"yyyy")),MATCH(TRIM($A4),PnL_Accounts,0))</f>
        <v>386024</v>
      </c>
      <c r="I4" s="115">
        <f t="array" aca="1" ref="I4" ca="1">INDEX(INDIRECT("PnL_"&amp;TEXT(I$1,"mmm")&amp;"_"&amp;TEXT(I$1,"yyyy")),MATCH(TRIM($A4),PnL_Accounts,0))</f>
        <v>401465</v>
      </c>
      <c r="J4" s="115">
        <f t="array" aca="1" ref="J4" ca="1">INDEX(INDIRECT("PnL_"&amp;TEXT(J$1,"mmm")&amp;"_"&amp;TEXT(J$1,"yyyy")),MATCH(TRIM($A4),PnL_Accounts,0))</f>
        <v>424939</v>
      </c>
      <c r="K4" s="115">
        <f t="array" aca="1" ref="K4" ca="1">INDEX(INDIRECT("PnL_"&amp;TEXT(K$1,"mmm")&amp;"_"&amp;TEXT(K$1,"yyyy")),MATCH(TRIM($A4),PnL_Accounts,0))</f>
        <v>438925</v>
      </c>
      <c r="L4" s="115">
        <f t="array" aca="1" ref="L4" ca="1">INDEX(INDIRECT("PnL_"&amp;TEXT(L$1,"mmm")&amp;"_"&amp;TEXT(L$1,"yyyy")),MATCH(TRIM($A4),PnL_Accounts,0))</f>
        <v>452768</v>
      </c>
      <c r="M4" s="115">
        <f t="array" aca="1" ref="M4" ca="1">INDEX(INDIRECT("PnL_"&amp;TEXT(M$1,"mmm")&amp;"_"&amp;TEXT(M$1,"yyyy")),MATCH(TRIM($A4),PnL_Accounts,0))</f>
        <v>465957</v>
      </c>
      <c r="N4" s="115">
        <f t="array" aca="1" ref="N4" ca="1">INDEX(INDIRECT("PnL_"&amp;TEXT(N$1,"mmm")&amp;"_"&amp;TEXT(N$1,"yyyy")),MATCH(TRIM($A4),PnL_Accounts,0))</f>
        <v>479118</v>
      </c>
      <c r="O4" s="115">
        <f t="array" aca="1" ref="O4" ca="1">INDEX(INDIRECT("PnL_"&amp;TEXT(O$1,"mmm")&amp;"_"&amp;TEXT(O$1,"yyyy")),MATCH(TRIM($A4),PnL_Accounts,0))</f>
        <v>491501</v>
      </c>
      <c r="P4" s="115">
        <f t="array" aca="1" ref="P4" ca="1">INDEX(INDIRECT("PnL_"&amp;TEXT(P$1,"mmm")&amp;"_"&amp;TEXT(P$1,"yyyy")),MATCH(TRIM($A4),PnL_Accounts,0))</f>
        <v>505058</v>
      </c>
      <c r="Q4" s="115">
        <f t="array" aca="1" ref="Q4" ca="1">INDEX(INDIRECT("PnL_"&amp;TEXT(Q$1,"mmm")&amp;"_"&amp;TEXT(Q$1,"yyyy")),MATCH(TRIM($A4),PnL_Accounts,0))</f>
        <v>525437</v>
      </c>
      <c r="R4" s="115">
        <f t="array" aca="1" ref="R4" ca="1">INDEX(INDIRECT("PnL_"&amp;TEXT(R$1,"mmm")&amp;"_"&amp;TEXT(R$1,"yyyy")),MATCH(TRIM($A4),PnL_Accounts,0))</f>
        <v>542733</v>
      </c>
      <c r="S4" s="115">
        <f t="array" aca="1" ref="S4" ca="1">INDEX(INDIRECT("PnL_"&amp;TEXT(S$1,"mmm")&amp;"_"&amp;TEXT(S$1,"yyyy")),MATCH(TRIM($A4),PnL_Accounts,0))</f>
        <v>598887</v>
      </c>
      <c r="T4" s="115">
        <f t="array" aca="1" ref="T4" ca="1">INDEX(INDIRECT("PnL_"&amp;TEXT(T$1,"mmm")&amp;"_"&amp;TEXT(T$1,"yyyy")),MATCH(TRIM($A4),PnL_Accounts,0))</f>
        <v>614053</v>
      </c>
      <c r="U4" s="115">
        <f t="array" aca="1" ref="U4" ca="1">INDEX(INDIRECT("PnL_"&amp;TEXT(U$1,"mmm")&amp;"_"&amp;TEXT(U$1,"yyyy")),MATCH(TRIM($A4),PnL_Accounts,0))</f>
        <v>637488</v>
      </c>
      <c r="V4" s="115">
        <f t="array" aca="1" ref="V4" ca="1">INDEX(INDIRECT("PnL_"&amp;TEXT(V$1,"mmm")&amp;"_"&amp;TEXT(V$1,"yyyy")),MATCH(TRIM($A4),PnL_Accounts,0))</f>
        <v>657516</v>
      </c>
      <c r="W4" s="115">
        <f t="array" aca="1" ref="W4" ca="1">INDEX(INDIRECT("PnL_"&amp;TEXT(W$1,"mmm")&amp;"_"&amp;TEXT(W$1,"yyyy")),MATCH(TRIM($A4),PnL_Accounts,0))</f>
        <v>685483</v>
      </c>
      <c r="X4" s="115">
        <f t="array" aca="1" ref="X4" ca="1">INDEX(INDIRECT("PnL_"&amp;TEXT(X$1,"mmm")&amp;"_"&amp;TEXT(X$1,"yyyy")),MATCH(TRIM($A4),PnL_Accounts,0))</f>
        <v>718774</v>
      </c>
      <c r="Y4" s="115">
        <f t="array" aca="1" ref="Y4" ca="1">INDEX(INDIRECT("PnL_"&amp;TEXT(Y$1,"mmm")&amp;"_"&amp;TEXT(Y$1,"yyyy")),MATCH(TRIM($A4),PnL_Accounts,0))</f>
        <v>754542</v>
      </c>
      <c r="Z4" s="115">
        <f t="array" aca="1" ref="Z4" ca="1">INDEX(INDIRECT("PnL_"&amp;TEXT(Z$1,"mmm")&amp;"_"&amp;TEXT(Z$1,"yyyy")),MATCH(TRIM($A4),PnL_Accounts,0))</f>
        <v>787554</v>
      </c>
      <c r="AA4" s="115">
        <f t="array" aca="1" ref="AA4" ca="1">INDEX(INDIRECT("PnL_"&amp;TEXT(AA$1,"mmm")&amp;"_"&amp;TEXT(AA$1,"yyyy")),MATCH(TRIM($A4),PnL_Accounts,0))</f>
        <v>808046</v>
      </c>
      <c r="AB4" s="115">
        <f t="array" aca="1" ref="AB4" ca="1">INDEX(INDIRECT("PnL_"&amp;TEXT(AB$1,"mmm")&amp;"_"&amp;TEXT(AB$1,"yyyy")),MATCH(TRIM($A4),PnL_Accounts,0))</f>
        <v>824529</v>
      </c>
      <c r="AC4" s="115">
        <f t="array" aca="1" ref="AC4" ca="1">INDEX(INDIRECT("PnL_"&amp;TEXT(AC$1,"mmm")&amp;"_"&amp;TEXT(AC$1,"yyyy")),MATCH(TRIM($A4),PnL_Accounts,0))</f>
        <v>844626</v>
      </c>
      <c r="AD4" s="115">
        <f t="array" aca="1" ref="AD4" ca="1">INDEX(INDIRECT("PnL_"&amp;TEXT(AD$1,"mmm")&amp;"_"&amp;TEXT(AD$1,"yyyy")),MATCH(TRIM($A4),PnL_Accounts,0))</f>
        <v>819162.19</v>
      </c>
      <c r="AE4" s="115">
        <f t="array" aca="1" ref="AE4" ca="1">INDEX(INDIRECT("PnL_"&amp;TEXT(AE$1,"mmm")&amp;"_"&amp;TEXT(AE$1,"yyyy")),MATCH(TRIM($A4),PnL_Accounts,0))</f>
        <v>796507</v>
      </c>
      <c r="AF4" s="25">
        <f t="array" aca="1" ref="AF4" ca="1">INDEX(Revenue_Model_MRR_Worst_Case,MATCH(AF$1,Revenue_Model_Months_Worst_Case,0))</f>
        <v>751351.16885860101</v>
      </c>
      <c r="AG4" s="25">
        <f t="array" aca="1" ref="AG4" ca="1">INDEX(Revenue_Model_MRR_Worst_Case,MATCH(AG$1,Revenue_Model_Months_Worst_Case,0))</f>
        <v>719265.39062811132</v>
      </c>
      <c r="AH4" s="25">
        <f t="array" aca="1" ref="AH4" ca="1">INDEX(Revenue_Model_MRR_Worst_Case,MATCH(AH$1,Revenue_Model_Months_Worst_Case,0))</f>
        <v>698975.91400852578</v>
      </c>
      <c r="AI4" s="25">
        <f t="array" aca="1" ref="AI4" ca="1">INDEX(Revenue_Model_MRR_Worst_Case,MATCH(AI$1,Revenue_Model_Months_Worst_Case,0))</f>
        <v>695909.30456361966</v>
      </c>
      <c r="AJ4" s="25">
        <f t="array" aca="1" ref="AJ4" ca="1">INDEX(Revenue_Model_MRR_Worst_Case,MATCH(AJ$1,Revenue_Model_Months_Worst_Case,0))</f>
        <v>701273.89020084555</v>
      </c>
      <c r="AK4" s="25">
        <f t="array" aca="1" ref="AK4" ca="1">INDEX(Revenue_Model_MRR_Worst_Case,MATCH(AK$1,Revenue_Model_Months_Worst_Case,0))</f>
        <v>708129.55985148565</v>
      </c>
      <c r="AL4" s="25">
        <f t="array" aca="1" ref="AL4" ca="1">INDEX(Revenue_Model_MRR_Worst_Case,MATCH(AL$1,Revenue_Model_Months_Worst_Case,0))</f>
        <v>714263.80053653591</v>
      </c>
      <c r="AM4" s="25">
        <f t="array" aca="1" ref="AM4" ca="1">INDEX(Revenue_Model_MRR_Worst_Case,MATCH(AM$1,Revenue_Model_Months_Worst_Case,0))</f>
        <v>721233.14561187453</v>
      </c>
      <c r="AN4" s="25">
        <f t="array" aca="1" ref="AN4" ca="1">INDEX(Revenue_Model_MRR_Worst_Case,MATCH(AN$1,Revenue_Model_Months_Worst_Case,0))</f>
        <v>727877.02338234847</v>
      </c>
      <c r="AO4" s="25">
        <f t="array" aca="1" ref="AO4" ca="1">INDEX(Revenue_Model_MRR_Worst_Case,MATCH(AO$1,Revenue_Model_Months_Worst_Case,0))</f>
        <v>735442.10067946767</v>
      </c>
      <c r="AP4" s="25">
        <f t="array" aca="1" ref="AP4" ca="1">INDEX(Revenue_Model_MRR_Worst_Case,MATCH(AP$1,Revenue_Model_Months_Worst_Case,0))</f>
        <v>742622.70214428508</v>
      </c>
      <c r="AQ4" s="25">
        <f t="array" aca="1" ref="AQ4" ca="1">INDEX(Revenue_Model_MRR_Worst_Case,MATCH(AQ$1,Revenue_Model_Months_Worst_Case,0))</f>
        <v>750695.62397888908</v>
      </c>
      <c r="AR4" s="25">
        <f t="array" aca="1" ref="AR4" ca="1">INDEX(Revenue_Model_MRR_Worst_Case,MATCH(AR$1,Revenue_Model_Months_Worst_Case,0))</f>
        <v>759632.58809963847</v>
      </c>
      <c r="AS4" s="25">
        <f t="array" aca="1" ref="AS4" ca="1">INDEX(Revenue_Model_MRR_Worst_Case,MATCH(AS$1,Revenue_Model_Months_Worst_Case,0))</f>
        <v>768157.62047631107</v>
      </c>
      <c r="AT4" s="25">
        <f t="array" aca="1" ref="AT4" ca="1">INDEX(Revenue_Model_MRR_Worst_Case,MATCH(AT$1,Revenue_Model_Months_Worst_Case,0))</f>
        <v>777528.285152831</v>
      </c>
      <c r="AU4" s="25">
        <f t="array" aca="1" ref="AU4" ca="1">INDEX(Revenue_Model_MRR_Worst_Case,MATCH(AU$1,Revenue_Model_Months_Worst_Case,0))</f>
        <v>786472.11503278383</v>
      </c>
      <c r="AV4" s="25">
        <f t="array" aca="1" ref="AV4" ca="1">INDEX(Revenue_Model_MRR_Worst_Case,MATCH(AV$1,Revenue_Model_Months_Worst_Case,0))</f>
        <v>796241.2033009585</v>
      </c>
      <c r="AW4" s="25">
        <f t="array" aca="1" ref="AW4" ca="1">INDEX(Revenue_Model_MRR_Worst_Case,MATCH(AW$1,Revenue_Model_Months_Worst_Case,0))</f>
        <v>806813.94729227631</v>
      </c>
      <c r="AX4" s="25">
        <f t="array" aca="1" ref="AX4" ca="1">INDEX(Revenue_Model_MRR_Worst_Case,MATCH(AX$1,Revenue_Model_Months_Worst_Case,0))</f>
        <v>816919.59096423793</v>
      </c>
      <c r="AY4" s="25">
        <f t="array" aca="1" ref="AY4" ca="1">INDEX(Revenue_Model_MRR_Worst_Case,MATCH(AY$1,Revenue_Model_Months_Worst_Case,0))</f>
        <v>827811.22185742576</v>
      </c>
      <c r="AZ4" s="25">
        <f t="array" aca="1" ref="AZ4" ca="1">INDEX(Revenue_Model_MRR_Worst_Case,MATCH(AZ$1,Revenue_Model_Months_Worst_Case,0))</f>
        <v>852645.55851314857</v>
      </c>
      <c r="BA4" s="25">
        <f t="array" aca="1" ref="BA4" ca="1">INDEX(Revenue_Model_MRR_Worst_Case,MATCH(BA$1,Revenue_Model_Months_Worst_Case,0))</f>
        <v>878224.92526854307</v>
      </c>
      <c r="BB4" s="25">
        <f t="array" aca="1" ref="BB4" ca="1">INDEX(Revenue_Model_MRR_Worst_Case,MATCH(BB$1,Revenue_Model_Months_Worst_Case,0))</f>
        <v>904571.67302659934</v>
      </c>
      <c r="BC4" s="25">
        <f t="array" aca="1" ref="BC4" ca="1">INDEX(Revenue_Model_MRR_Worst_Case,MATCH(BC$1,Revenue_Model_Months_Worst_Case,0))</f>
        <v>931708.82321739732</v>
      </c>
      <c r="BD4" s="25">
        <f t="array" aca="1" ref="BD4" ca="1">INDEX(Revenue_Model_MRR_Worst_Case,MATCH(BD$1,Revenue_Model_Months_Worst_Case,0))</f>
        <v>959660.08791391924</v>
      </c>
      <c r="BE4" s="25">
        <f t="array" aca="1" ref="BE4" ca="1">INDEX(Revenue_Model_MRR_Worst_Case,MATCH(BE$1,Revenue_Model_Months_Worst_Case,0))</f>
        <v>988449.89055133681</v>
      </c>
      <c r="BF4" s="25">
        <f t="array" aca="1" ref="BF4" ca="1">INDEX(Revenue_Model_MRR_Worst_Case,MATCH(BF$1,Revenue_Model_Months_Worst_Case,0))</f>
        <v>1018103.3872678769</v>
      </c>
      <c r="BG4" s="25">
        <f t="array" aca="1" ref="BG4" ca="1">INDEX(Revenue_Model_MRR_Worst_Case,MATCH(BG$1,Revenue_Model_Months_Worst_Case,0))</f>
        <v>1048646.4888859133</v>
      </c>
      <c r="BH4" s="25">
        <f t="array" aca="1" ref="BH4" ca="1">INDEX(Revenue_Model_MRR_Worst_Case,MATCH(BH$1,Revenue_Model_Months_Worst_Case,0))</f>
        <v>1080105.8835524907</v>
      </c>
      <c r="BI4" s="25">
        <f t="array" aca="1" ref="BI4" ca="1">INDEX(Revenue_Model_MRR_Worst_Case,MATCH(BI$1,Revenue_Model_Months_Worst_Case,0))</f>
        <v>1112509.0600590655</v>
      </c>
      <c r="BJ4" s="25">
        <f t="array" aca="1" ref="BJ4" ca="1">INDEX(Revenue_Model_MRR_Worst_Case,MATCH(BJ$1,Revenue_Model_Months_Worst_Case,0))</f>
        <v>1145884.3318608375</v>
      </c>
      <c r="BK4" s="25">
        <f t="array" aca="1" ref="BK4" ca="1">INDEX(Revenue_Model_MRR_Worst_Case,MATCH(BK$1,Revenue_Model_Months_Worst_Case,0))</f>
        <v>1180260.8618166626</v>
      </c>
      <c r="BL4" s="25">
        <f t="array" aca="1" ref="BL4" ca="1">INDEX(Revenue_Model_MRR_Worst_Case,MATCH(BL$1,Revenue_Model_Months_Worst_Case,0))</f>
        <v>1215668.6876711624</v>
      </c>
      <c r="BM4" s="25">
        <f t="array" aca="1" ref="BM4" ca="1">INDEX(Revenue_Model_MRR_Worst_Case,MATCH(BM$1,Revenue_Model_Months_Worst_Case,0))</f>
        <v>1252138.7483012972</v>
      </c>
      <c r="BN4" s="25">
        <f t="array" aca="1" ref="BN4" ca="1">INDEX(Revenue_Model_MRR_Worst_Case,MATCH(BN$1,Revenue_Model_Months_Worst_Case,0))</f>
        <v>1289702.910750336</v>
      </c>
      <c r="BO4" s="25">
        <f t="array" aca="1" ref="BO4" ca="1">INDEX(Revenue_Model_MRR_Worst_Case,MATCH(BO$1,Revenue_Model_Months_Worst_Case,0))</f>
        <v>1328393.9980728461</v>
      </c>
      <c r="BP4" s="25">
        <f t="array" aca="1" ref="BP4" ca="1">INDEX(Revenue_Model_MRR_Worst_Case,MATCH(BP$1,Revenue_Model_Months_Worst_Case,0))</f>
        <v>1368245.8180150315</v>
      </c>
      <c r="BQ4" s="25">
        <f t="array" aca="1" ref="BQ4" ca="1">INDEX(Revenue_Model_MRR_Worst_Case,MATCH(BQ$1,Revenue_Model_Months_Worst_Case,0))</f>
        <v>1409293.1925554825</v>
      </c>
      <c r="BR4" s="25">
        <f t="array" aca="1" ref="BR4" ca="1">INDEX(Revenue_Model_MRR_Worst_Case,MATCH(BR$1,Revenue_Model_Months_Worst_Case,0))</f>
        <v>1451571.988332147</v>
      </c>
      <c r="BS4" s="25">
        <f t="array" aca="1" ref="BS4" ca="1">INDEX(Revenue_Model_MRR_Worst_Case,MATCH(BS$1,Revenue_Model_Months_Worst_Case,0))</f>
        <v>1495119.1479821114</v>
      </c>
      <c r="BT4" s="25">
        <f t="array" aca="1" ref="BT4" ca="1">INDEX(Revenue_Model_MRR_Worst_Case,MATCH(BT$1,Revenue_Model_Months_Worst_Case,0))</f>
        <v>1539972.7224215749</v>
      </c>
      <c r="BU4" s="25">
        <f t="array" aca="1" ref="BU4" ca="1">INDEX(Revenue_Model_MRR_Worst_Case,MATCH(BU$1,Revenue_Model_Months_Worst_Case,0))</f>
        <v>1586171.904094222</v>
      </c>
      <c r="BV4" s="25">
        <f t="array" aca="1" ref="BV4" ca="1">INDEX(Revenue_Model_MRR_Worst_Case,MATCH(BV$1,Revenue_Model_Months_Worst_Case,0))</f>
        <v>1633757.0612170487</v>
      </c>
      <c r="BW4" s="25">
        <f t="array" aca="1" ref="BW4" ca="1">INDEX(Revenue_Model_MRR_Worst_Case,MATCH(BW$1,Revenue_Model_Months_Worst_Case,0))</f>
        <v>1682769.7730535602</v>
      </c>
    </row>
    <row r="5" spans="1:75" ht="12.75" x14ac:dyDescent="0.2">
      <c r="A5" s="60" t="s">
        <v>242</v>
      </c>
      <c r="B5" s="225"/>
      <c r="C5" s="226"/>
      <c r="D5" s="226">
        <f t="shared" ref="D5:BW5" ca="1" si="1">SUM(D3:D4)</f>
        <v>303373</v>
      </c>
      <c r="E5" s="226">
        <f t="shared" ca="1" si="1"/>
        <v>321057</v>
      </c>
      <c r="F5" s="226">
        <f t="shared" ca="1" si="1"/>
        <v>340521</v>
      </c>
      <c r="G5" s="226">
        <f t="shared" ca="1" si="1"/>
        <v>360770</v>
      </c>
      <c r="H5" s="226">
        <f t="shared" ca="1" si="1"/>
        <v>386024</v>
      </c>
      <c r="I5" s="226">
        <f t="shared" ca="1" si="1"/>
        <v>401465</v>
      </c>
      <c r="J5" s="226">
        <f t="shared" ca="1" si="1"/>
        <v>424939</v>
      </c>
      <c r="K5" s="226">
        <f t="shared" ca="1" si="1"/>
        <v>438925</v>
      </c>
      <c r="L5" s="226">
        <f t="shared" ca="1" si="1"/>
        <v>452768</v>
      </c>
      <c r="M5" s="226">
        <f t="shared" ca="1" si="1"/>
        <v>465957</v>
      </c>
      <c r="N5" s="226">
        <f t="shared" ca="1" si="1"/>
        <v>479118</v>
      </c>
      <c r="O5" s="226">
        <f t="shared" ca="1" si="1"/>
        <v>491501</v>
      </c>
      <c r="P5" s="226">
        <f t="shared" ca="1" si="1"/>
        <v>505058</v>
      </c>
      <c r="Q5" s="226">
        <f t="shared" ca="1" si="1"/>
        <v>525437</v>
      </c>
      <c r="R5" s="226">
        <f t="shared" ca="1" si="1"/>
        <v>542733</v>
      </c>
      <c r="S5" s="226">
        <f t="shared" ca="1" si="1"/>
        <v>598887</v>
      </c>
      <c r="T5" s="226">
        <f t="shared" ca="1" si="1"/>
        <v>614053</v>
      </c>
      <c r="U5" s="226">
        <f t="shared" ca="1" si="1"/>
        <v>637488</v>
      </c>
      <c r="V5" s="226">
        <f t="shared" ca="1" si="1"/>
        <v>657516</v>
      </c>
      <c r="W5" s="226">
        <f t="shared" ca="1" si="1"/>
        <v>685483</v>
      </c>
      <c r="X5" s="226">
        <f t="shared" ca="1" si="1"/>
        <v>718774</v>
      </c>
      <c r="Y5" s="226">
        <f t="shared" ca="1" si="1"/>
        <v>754542</v>
      </c>
      <c r="Z5" s="226">
        <f t="shared" ca="1" si="1"/>
        <v>787554</v>
      </c>
      <c r="AA5" s="226">
        <f t="shared" ca="1" si="1"/>
        <v>808046</v>
      </c>
      <c r="AB5" s="226">
        <f t="shared" ca="1" si="1"/>
        <v>824529</v>
      </c>
      <c r="AC5" s="226">
        <f t="shared" ca="1" si="1"/>
        <v>844626</v>
      </c>
      <c r="AD5" s="226">
        <f t="shared" ca="1" si="1"/>
        <v>819162.19</v>
      </c>
      <c r="AE5" s="226">
        <f t="shared" ca="1" si="1"/>
        <v>796507</v>
      </c>
      <c r="AF5" s="226">
        <f t="shared" ca="1" si="1"/>
        <v>751351.16885860101</v>
      </c>
      <c r="AG5" s="226">
        <f t="shared" ca="1" si="1"/>
        <v>719265.39062811132</v>
      </c>
      <c r="AH5" s="226">
        <f t="shared" ca="1" si="1"/>
        <v>698975.91400852578</v>
      </c>
      <c r="AI5" s="226">
        <f t="shared" ca="1" si="1"/>
        <v>695909.30456361966</v>
      </c>
      <c r="AJ5" s="226">
        <f t="shared" ca="1" si="1"/>
        <v>701273.89020084555</v>
      </c>
      <c r="AK5" s="226">
        <f t="shared" ca="1" si="1"/>
        <v>708129.55985148565</v>
      </c>
      <c r="AL5" s="226">
        <f t="shared" ca="1" si="1"/>
        <v>714263.80053653591</v>
      </c>
      <c r="AM5" s="226">
        <f t="shared" ca="1" si="1"/>
        <v>721233.14561187453</v>
      </c>
      <c r="AN5" s="226">
        <f t="shared" ca="1" si="1"/>
        <v>727877.02338234847</v>
      </c>
      <c r="AO5" s="226">
        <f t="shared" ca="1" si="1"/>
        <v>735442.10067946767</v>
      </c>
      <c r="AP5" s="226">
        <f t="shared" ca="1" si="1"/>
        <v>742622.70214428508</v>
      </c>
      <c r="AQ5" s="226">
        <f t="shared" ca="1" si="1"/>
        <v>750695.62397888908</v>
      </c>
      <c r="AR5" s="226">
        <f t="shared" ca="1" si="1"/>
        <v>759632.58809963847</v>
      </c>
      <c r="AS5" s="226">
        <f t="shared" ca="1" si="1"/>
        <v>768157.62047631107</v>
      </c>
      <c r="AT5" s="226">
        <f t="shared" ca="1" si="1"/>
        <v>777528.285152831</v>
      </c>
      <c r="AU5" s="226">
        <f t="shared" ca="1" si="1"/>
        <v>786472.11503278383</v>
      </c>
      <c r="AV5" s="226">
        <f t="shared" ca="1" si="1"/>
        <v>796241.2033009585</v>
      </c>
      <c r="AW5" s="226">
        <f t="shared" ca="1" si="1"/>
        <v>806813.94729227631</v>
      </c>
      <c r="AX5" s="226">
        <f t="shared" ca="1" si="1"/>
        <v>816919.59096423793</v>
      </c>
      <c r="AY5" s="226">
        <f t="shared" ca="1" si="1"/>
        <v>827811.22185742576</v>
      </c>
      <c r="AZ5" s="226">
        <f t="shared" ca="1" si="1"/>
        <v>852645.55851314857</v>
      </c>
      <c r="BA5" s="226">
        <f t="shared" ca="1" si="1"/>
        <v>878224.92526854307</v>
      </c>
      <c r="BB5" s="226">
        <f t="shared" ca="1" si="1"/>
        <v>904571.67302659934</v>
      </c>
      <c r="BC5" s="226">
        <f t="shared" ca="1" si="1"/>
        <v>931708.82321739732</v>
      </c>
      <c r="BD5" s="226">
        <f t="shared" ca="1" si="1"/>
        <v>959660.08791391924</v>
      </c>
      <c r="BE5" s="226">
        <f t="shared" ca="1" si="1"/>
        <v>988449.89055133681</v>
      </c>
      <c r="BF5" s="226">
        <f t="shared" ca="1" si="1"/>
        <v>1018103.3872678769</v>
      </c>
      <c r="BG5" s="226">
        <f t="shared" ca="1" si="1"/>
        <v>1048646.4888859133</v>
      </c>
      <c r="BH5" s="226">
        <f t="shared" ca="1" si="1"/>
        <v>1080105.8835524907</v>
      </c>
      <c r="BI5" s="226">
        <f t="shared" ca="1" si="1"/>
        <v>1112509.0600590655</v>
      </c>
      <c r="BJ5" s="226">
        <f t="shared" ca="1" si="1"/>
        <v>1145884.3318608375</v>
      </c>
      <c r="BK5" s="226">
        <f t="shared" ca="1" si="1"/>
        <v>1180260.8618166626</v>
      </c>
      <c r="BL5" s="226">
        <f t="shared" ca="1" si="1"/>
        <v>1215668.6876711624</v>
      </c>
      <c r="BM5" s="226">
        <f t="shared" ca="1" si="1"/>
        <v>1252138.7483012972</v>
      </c>
      <c r="BN5" s="226">
        <f t="shared" ca="1" si="1"/>
        <v>1289702.910750336</v>
      </c>
      <c r="BO5" s="226">
        <f t="shared" ca="1" si="1"/>
        <v>1328393.9980728461</v>
      </c>
      <c r="BP5" s="226">
        <f t="shared" ca="1" si="1"/>
        <v>1368245.8180150315</v>
      </c>
      <c r="BQ5" s="226">
        <f t="shared" ca="1" si="1"/>
        <v>1409293.1925554825</v>
      </c>
      <c r="BR5" s="226">
        <f t="shared" ca="1" si="1"/>
        <v>1451571.988332147</v>
      </c>
      <c r="BS5" s="226">
        <f t="shared" ca="1" si="1"/>
        <v>1495119.1479821114</v>
      </c>
      <c r="BT5" s="226">
        <f t="shared" ca="1" si="1"/>
        <v>1539972.7224215749</v>
      </c>
      <c r="BU5" s="226">
        <f t="shared" ca="1" si="1"/>
        <v>1586171.904094222</v>
      </c>
      <c r="BV5" s="226">
        <f t="shared" ca="1" si="1"/>
        <v>1633757.0612170487</v>
      </c>
      <c r="BW5" s="226">
        <f t="shared" ca="1" si="1"/>
        <v>1682769.7730535602</v>
      </c>
    </row>
    <row r="6" spans="1:75" ht="12.75" x14ac:dyDescent="0.2">
      <c r="A6" s="69" t="s">
        <v>244</v>
      </c>
      <c r="B6" s="221"/>
      <c r="D6" s="115">
        <f t="array" aca="1" ref="D6" ca="1">INDEX(INDIRECT("PnL_"&amp;TEXT(D$1,"mmm")&amp;"_"&amp;TEXT(D$1,"yyyy")),MATCH(TRIM($A5),PnL_Accounts,0))-D5</f>
        <v>0</v>
      </c>
      <c r="E6" s="115">
        <f t="array" aca="1" ref="E6" ca="1">INDEX(INDIRECT("PnL_"&amp;TEXT(E$1,"mmm")&amp;"_"&amp;TEXT(E$1,"yyyy")),MATCH(TRIM($A5),PnL_Accounts,0))-E5</f>
        <v>0</v>
      </c>
      <c r="F6" s="115">
        <f t="array" aca="1" ref="F6" ca="1">INDEX(INDIRECT("PnL_"&amp;TEXT(F$1,"mmm")&amp;"_"&amp;TEXT(F$1,"yyyy")),MATCH(TRIM($A5),PnL_Accounts,0))-F5</f>
        <v>0</v>
      </c>
      <c r="G6" s="115">
        <f t="array" aca="1" ref="G6" ca="1">INDEX(INDIRECT("PnL_"&amp;TEXT(G$1,"mmm")&amp;"_"&amp;TEXT(G$1,"yyyy")),MATCH(TRIM($A5),PnL_Accounts,0))-G5</f>
        <v>0</v>
      </c>
      <c r="H6" s="115">
        <f t="array" aca="1" ref="H6" ca="1">INDEX(INDIRECT("PnL_"&amp;TEXT(H$1,"mmm")&amp;"_"&amp;TEXT(H$1,"yyyy")),MATCH(TRIM($A5),PnL_Accounts,0))-H5</f>
        <v>0</v>
      </c>
      <c r="I6" s="115">
        <f t="array" aca="1" ref="I6" ca="1">INDEX(INDIRECT("PnL_"&amp;TEXT(I$1,"mmm")&amp;"_"&amp;TEXT(I$1,"yyyy")),MATCH(TRIM($A5),PnL_Accounts,0))-I5</f>
        <v>0</v>
      </c>
      <c r="J6" s="115">
        <f t="array" aca="1" ref="J6" ca="1">INDEX(INDIRECT("PnL_"&amp;TEXT(J$1,"mmm")&amp;"_"&amp;TEXT(J$1,"yyyy")),MATCH(TRIM($A5),PnL_Accounts,0))-J5</f>
        <v>0</v>
      </c>
      <c r="K6" s="115">
        <f t="array" aca="1" ref="K6" ca="1">INDEX(INDIRECT("PnL_"&amp;TEXT(K$1,"mmm")&amp;"_"&amp;TEXT(K$1,"yyyy")),MATCH(TRIM($A5),PnL_Accounts,0))-K5</f>
        <v>0</v>
      </c>
      <c r="L6" s="115">
        <f t="array" aca="1" ref="L6" ca="1">INDEX(INDIRECT("PnL_"&amp;TEXT(L$1,"mmm")&amp;"_"&amp;TEXT(L$1,"yyyy")),MATCH(TRIM($A5),PnL_Accounts,0))-L5</f>
        <v>0</v>
      </c>
      <c r="M6" s="115">
        <f t="array" aca="1" ref="M6" ca="1">INDEX(INDIRECT("PnL_"&amp;TEXT(M$1,"mmm")&amp;"_"&amp;TEXT(M$1,"yyyy")),MATCH(TRIM($A5),PnL_Accounts,0))-M5</f>
        <v>0</v>
      </c>
      <c r="N6" s="115">
        <f t="array" aca="1" ref="N6" ca="1">INDEX(INDIRECT("PnL_"&amp;TEXT(N$1,"mmm")&amp;"_"&amp;TEXT(N$1,"yyyy")),MATCH(TRIM($A5),PnL_Accounts,0))-N5</f>
        <v>0</v>
      </c>
      <c r="O6" s="115">
        <f t="array" aca="1" ref="O6" ca="1">INDEX(INDIRECT("PnL_"&amp;TEXT(O$1,"mmm")&amp;"_"&amp;TEXT(O$1,"yyyy")),MATCH(TRIM($A5),PnL_Accounts,0))-O5</f>
        <v>0</v>
      </c>
      <c r="P6" s="115">
        <f t="array" aca="1" ref="P6" ca="1">INDEX(INDIRECT("PnL_"&amp;TEXT(P$1,"mmm")&amp;"_"&amp;TEXT(P$1,"yyyy")),MATCH(TRIM($A5),PnL_Accounts,0))-P5</f>
        <v>0</v>
      </c>
      <c r="Q6" s="115">
        <f t="array" aca="1" ref="Q6" ca="1">INDEX(INDIRECT("PnL_"&amp;TEXT(Q$1,"mmm")&amp;"_"&amp;TEXT(Q$1,"yyyy")),MATCH(TRIM($A5),PnL_Accounts,0))-Q5</f>
        <v>0</v>
      </c>
      <c r="R6" s="115">
        <f t="array" aca="1" ref="R6" ca="1">INDEX(INDIRECT("PnL_"&amp;TEXT(R$1,"mmm")&amp;"_"&amp;TEXT(R$1,"yyyy")),MATCH(TRIM($A5),PnL_Accounts,0))-R5</f>
        <v>0</v>
      </c>
      <c r="S6" s="115">
        <f t="array" aca="1" ref="S6" ca="1">INDEX(INDIRECT("PnL_"&amp;TEXT(S$1,"mmm")&amp;"_"&amp;TEXT(S$1,"yyyy")),MATCH(TRIM($A5),PnL_Accounts,0))-S5</f>
        <v>0</v>
      </c>
      <c r="T6" s="115">
        <f t="array" aca="1" ref="T6" ca="1">INDEX(INDIRECT("PnL_"&amp;TEXT(T$1,"mmm")&amp;"_"&amp;TEXT(T$1,"yyyy")),MATCH(TRIM($A5),PnL_Accounts,0))-T5</f>
        <v>0</v>
      </c>
      <c r="U6" s="115">
        <f t="array" aca="1" ref="U6" ca="1">INDEX(INDIRECT("PnL_"&amp;TEXT(U$1,"mmm")&amp;"_"&amp;TEXT(U$1,"yyyy")),MATCH(TRIM($A5),PnL_Accounts,0))-U5</f>
        <v>0</v>
      </c>
      <c r="V6" s="115">
        <f t="array" aca="1" ref="V6" ca="1">INDEX(INDIRECT("PnL_"&amp;TEXT(V$1,"mmm")&amp;"_"&amp;TEXT(V$1,"yyyy")),MATCH(TRIM($A5),PnL_Accounts,0))-V5</f>
        <v>0</v>
      </c>
      <c r="W6" s="115">
        <f t="array" aca="1" ref="W6" ca="1">INDEX(INDIRECT("PnL_"&amp;TEXT(W$1,"mmm")&amp;"_"&amp;TEXT(W$1,"yyyy")),MATCH(TRIM($A5),PnL_Accounts,0))-W5</f>
        <v>0</v>
      </c>
      <c r="X6" s="115">
        <f t="array" aca="1" ref="X6" ca="1">INDEX(INDIRECT("PnL_"&amp;TEXT(X$1,"mmm")&amp;"_"&amp;TEXT(X$1,"yyyy")),MATCH(TRIM($A5),PnL_Accounts,0))-X5</f>
        <v>0</v>
      </c>
      <c r="Y6" s="115">
        <f t="array" aca="1" ref="Y6" ca="1">INDEX(INDIRECT("PnL_"&amp;TEXT(Y$1,"mmm")&amp;"_"&amp;TEXT(Y$1,"yyyy")),MATCH(TRIM($A5),PnL_Accounts,0))-Y5</f>
        <v>0</v>
      </c>
      <c r="Z6" s="115">
        <f t="array" aca="1" ref="Z6" ca="1">INDEX(INDIRECT("PnL_"&amp;TEXT(Z$1,"mmm")&amp;"_"&amp;TEXT(Z$1,"yyyy")),MATCH(TRIM($A5),PnL_Accounts,0))-Z5</f>
        <v>0</v>
      </c>
      <c r="AA6" s="115">
        <f t="array" aca="1" ref="AA6" ca="1">INDEX(INDIRECT("PnL_"&amp;TEXT(AA$1,"mmm")&amp;"_"&amp;TEXT(AA$1,"yyyy")),MATCH(TRIM($A5),PnL_Accounts,0))-AA5</f>
        <v>0</v>
      </c>
      <c r="AB6" s="115">
        <f t="array" aca="1" ref="AB6" ca="1">INDEX(INDIRECT("PnL_"&amp;TEXT(AB$1,"mmm")&amp;"_"&amp;TEXT(AB$1,"yyyy")),MATCH(TRIM($A5),PnL_Accounts,0))-AB5</f>
        <v>0</v>
      </c>
      <c r="AC6" s="115">
        <f t="array" aca="1" ref="AC6" ca="1">INDEX(INDIRECT("PnL_"&amp;TEXT(AC$1,"mmm")&amp;"_"&amp;TEXT(AC$1,"yyyy")),MATCH(TRIM($A5),PnL_Accounts,0))-AC5</f>
        <v>0</v>
      </c>
      <c r="AD6" s="115">
        <f t="array" aca="1" ref="AD6" ca="1">INDEX(INDIRECT("PnL_"&amp;TEXT(AD$1,"mmm")&amp;"_"&amp;TEXT(AD$1,"yyyy")),MATCH(TRIM($A5),PnL_Accounts,0))-AD5</f>
        <v>0</v>
      </c>
      <c r="AE6" s="115">
        <f t="array" aca="1" ref="AE6" ca="1">INDEX(INDIRECT("PnL_"&amp;TEXT(AE$1,"mmm")&amp;"_"&amp;TEXT(AE$1,"yyyy")),MATCH(TRIM($A5),PnL_Accounts,0))-AE5</f>
        <v>0</v>
      </c>
    </row>
    <row r="7" spans="1:75" ht="12.75" x14ac:dyDescent="0.2">
      <c r="A7" s="69" t="s">
        <v>245</v>
      </c>
      <c r="B7" s="221"/>
    </row>
    <row r="8" spans="1:75" ht="12.75" x14ac:dyDescent="0.2">
      <c r="A8" s="23" t="s">
        <v>246</v>
      </c>
      <c r="B8" s="221"/>
      <c r="D8" s="115">
        <f t="array" aca="1" ref="D8" ca="1">INDEX(INDIRECT("PnL_"&amp;TEXT(D$1,"mmm")&amp;"_"&amp;TEXT(D$1,"yyyy")),MATCH(TRIM($A8),PnL_Accounts,0))</f>
        <v>0</v>
      </c>
      <c r="E8" s="115">
        <f t="array" aca="1" ref="E8" ca="1">INDEX(INDIRECT("PnL_"&amp;TEXT(E$1,"mmm")&amp;"_"&amp;TEXT(E$1,"yyyy")),MATCH(TRIM($A8),PnL_Accounts,0))</f>
        <v>0</v>
      </c>
      <c r="F8" s="115">
        <f t="array" aca="1" ref="F8" ca="1">INDEX(INDIRECT("PnL_"&amp;TEXT(F$1,"mmm")&amp;"_"&amp;TEXT(F$1,"yyyy")),MATCH(TRIM($A8),PnL_Accounts,0))</f>
        <v>0</v>
      </c>
      <c r="G8" s="115">
        <f t="array" aca="1" ref="G8" ca="1">INDEX(INDIRECT("PnL_"&amp;TEXT(G$1,"mmm")&amp;"_"&amp;TEXT(G$1,"yyyy")),MATCH(TRIM($A8),PnL_Accounts,0))</f>
        <v>0</v>
      </c>
      <c r="H8" s="115">
        <f t="array" aca="1" ref="H8" ca="1">INDEX(INDIRECT("PnL_"&amp;TEXT(H$1,"mmm")&amp;"_"&amp;TEXT(H$1,"yyyy")),MATCH(TRIM($A8),PnL_Accounts,0))</f>
        <v>0</v>
      </c>
      <c r="I8" s="115">
        <f t="array" aca="1" ref="I8" ca="1">INDEX(INDIRECT("PnL_"&amp;TEXT(I$1,"mmm")&amp;"_"&amp;TEXT(I$1,"yyyy")),MATCH(TRIM($A8),PnL_Accounts,0))</f>
        <v>0</v>
      </c>
      <c r="J8" s="115">
        <f t="array" aca="1" ref="J8" ca="1">INDEX(INDIRECT("PnL_"&amp;TEXT(J$1,"mmm")&amp;"_"&amp;TEXT(J$1,"yyyy")),MATCH(TRIM($A8),PnL_Accounts,0))</f>
        <v>0</v>
      </c>
      <c r="K8" s="115">
        <f t="array" aca="1" ref="K8" ca="1">INDEX(INDIRECT("PnL_"&amp;TEXT(K$1,"mmm")&amp;"_"&amp;TEXT(K$1,"yyyy")),MATCH(TRIM($A8),PnL_Accounts,0))</f>
        <v>0</v>
      </c>
      <c r="L8" s="115">
        <f t="array" aca="1" ref="L8" ca="1">INDEX(INDIRECT("PnL_"&amp;TEXT(L$1,"mmm")&amp;"_"&amp;TEXT(L$1,"yyyy")),MATCH(TRIM($A8),PnL_Accounts,0))</f>
        <v>0</v>
      </c>
      <c r="M8" s="115">
        <f t="array" aca="1" ref="M8" ca="1">INDEX(INDIRECT("PnL_"&amp;TEXT(M$1,"mmm")&amp;"_"&amp;TEXT(M$1,"yyyy")),MATCH(TRIM($A8),PnL_Accounts,0))</f>
        <v>0</v>
      </c>
      <c r="N8" s="115">
        <f t="array" aca="1" ref="N8" ca="1">INDEX(INDIRECT("PnL_"&amp;TEXT(N$1,"mmm")&amp;"_"&amp;TEXT(N$1,"yyyy")),MATCH(TRIM($A8),PnL_Accounts,0))</f>
        <v>0</v>
      </c>
      <c r="O8" s="115">
        <f t="array" aca="1" ref="O8" ca="1">INDEX(INDIRECT("PnL_"&amp;TEXT(O$1,"mmm")&amp;"_"&amp;TEXT(O$1,"yyyy")),MATCH(TRIM($A8),PnL_Accounts,0))</f>
        <v>0</v>
      </c>
      <c r="P8" s="115">
        <f t="array" aca="1" ref="P8" ca="1">INDEX(INDIRECT("PnL_"&amp;TEXT(P$1,"mmm")&amp;"_"&amp;TEXT(P$1,"yyyy")),MATCH(TRIM($A8),PnL_Accounts,0))</f>
        <v>0</v>
      </c>
      <c r="Q8" s="115">
        <f t="array" aca="1" ref="Q8" ca="1">INDEX(INDIRECT("PnL_"&amp;TEXT(Q$1,"mmm")&amp;"_"&amp;TEXT(Q$1,"yyyy")),MATCH(TRIM($A8),PnL_Accounts,0))</f>
        <v>0</v>
      </c>
      <c r="R8" s="115">
        <f t="array" aca="1" ref="R8" ca="1">INDEX(INDIRECT("PnL_"&amp;TEXT(R$1,"mmm")&amp;"_"&amp;TEXT(R$1,"yyyy")),MATCH(TRIM($A8),PnL_Accounts,0))</f>
        <v>0</v>
      </c>
      <c r="S8" s="115">
        <f t="array" aca="1" ref="S8" ca="1">INDEX(INDIRECT("PnL_"&amp;TEXT(S$1,"mmm")&amp;"_"&amp;TEXT(S$1,"yyyy")),MATCH(TRIM($A8),PnL_Accounts,0))</f>
        <v>0</v>
      </c>
      <c r="T8" s="115">
        <f t="array" aca="1" ref="T8" ca="1">INDEX(INDIRECT("PnL_"&amp;TEXT(T$1,"mmm")&amp;"_"&amp;TEXT(T$1,"yyyy")),MATCH(TRIM($A8),PnL_Accounts,0))</f>
        <v>0</v>
      </c>
      <c r="U8" s="115">
        <f t="array" aca="1" ref="U8" ca="1">INDEX(INDIRECT("PnL_"&amp;TEXT(U$1,"mmm")&amp;"_"&amp;TEXT(U$1,"yyyy")),MATCH(TRIM($A8),PnL_Accounts,0))</f>
        <v>0</v>
      </c>
      <c r="V8" s="115">
        <f t="array" aca="1" ref="V8" ca="1">INDEX(INDIRECT("PnL_"&amp;TEXT(V$1,"mmm")&amp;"_"&amp;TEXT(V$1,"yyyy")),MATCH(TRIM($A8),PnL_Accounts,0))</f>
        <v>0</v>
      </c>
      <c r="W8" s="115">
        <f t="array" aca="1" ref="W8" ca="1">INDEX(INDIRECT("PnL_"&amp;TEXT(W$1,"mmm")&amp;"_"&amp;TEXT(W$1,"yyyy")),MATCH(TRIM($A8),PnL_Accounts,0))</f>
        <v>0</v>
      </c>
      <c r="X8" s="115">
        <f t="array" aca="1" ref="X8" ca="1">INDEX(INDIRECT("PnL_"&amp;TEXT(X$1,"mmm")&amp;"_"&amp;TEXT(X$1,"yyyy")),MATCH(TRIM($A8),PnL_Accounts,0))</f>
        <v>0</v>
      </c>
      <c r="Y8" s="115">
        <f t="array" aca="1" ref="Y8" ca="1">INDEX(INDIRECT("PnL_"&amp;TEXT(Y$1,"mmm")&amp;"_"&amp;TEXT(Y$1,"yyyy")),MATCH(TRIM($A8),PnL_Accounts,0))</f>
        <v>0</v>
      </c>
      <c r="Z8" s="115">
        <f t="array" aca="1" ref="Z8" ca="1">INDEX(INDIRECT("PnL_"&amp;TEXT(Z$1,"mmm")&amp;"_"&amp;TEXT(Z$1,"yyyy")),MATCH(TRIM($A8),PnL_Accounts,0))</f>
        <v>0</v>
      </c>
      <c r="AA8" s="115">
        <f t="array" aca="1" ref="AA8" ca="1">INDEX(INDIRECT("PnL_"&amp;TEXT(AA$1,"mmm")&amp;"_"&amp;TEXT(AA$1,"yyyy")),MATCH(TRIM($A8),PnL_Accounts,0))</f>
        <v>0</v>
      </c>
      <c r="AB8" s="115">
        <f t="array" aca="1" ref="AB8" ca="1">INDEX(INDIRECT("PnL_"&amp;TEXT(AB$1,"mmm")&amp;"_"&amp;TEXT(AB$1,"yyyy")),MATCH(TRIM($A8),PnL_Accounts,0))</f>
        <v>0</v>
      </c>
      <c r="AC8" s="115">
        <f t="array" aca="1" ref="AC8" ca="1">INDEX(INDIRECT("PnL_"&amp;TEXT(AC$1,"mmm")&amp;"_"&amp;TEXT(AC$1,"yyyy")),MATCH(TRIM($A8),PnL_Accounts,0))</f>
        <v>0</v>
      </c>
      <c r="AD8" s="115">
        <f t="array" aca="1" ref="AD8" ca="1">INDEX(INDIRECT("PnL_"&amp;TEXT(AD$1,"mmm")&amp;"_"&amp;TEXT(AD$1,"yyyy")),MATCH(TRIM($A8),PnL_Accounts,0))</f>
        <v>0</v>
      </c>
      <c r="AE8" s="115">
        <f t="array" aca="1" ref="AE8" ca="1">INDEX(INDIRECT("PnL_"&amp;TEXT(AE$1,"mmm")&amp;"_"&amp;TEXT(AE$1,"yyyy")),MATCH(TRIM($A8),PnL_Accounts,0))</f>
        <v>0</v>
      </c>
    </row>
    <row r="9" spans="1:75" ht="12.75" x14ac:dyDescent="0.2">
      <c r="A9" s="23" t="s">
        <v>247</v>
      </c>
      <c r="B9" s="221"/>
      <c r="D9" s="115">
        <f t="array" aca="1" ref="D9" ca="1">INDEX(INDIRECT("PnL_"&amp;TEXT(D$1,"mmm")&amp;"_"&amp;TEXT(D$1,"yyyy")),MATCH(TRIM($A9),PnL_Accounts,0))</f>
        <v>0</v>
      </c>
      <c r="E9" s="115">
        <f t="array" aca="1" ref="E9" ca="1">INDEX(INDIRECT("PnL_"&amp;TEXT(E$1,"mmm")&amp;"_"&amp;TEXT(E$1,"yyyy")),MATCH(TRIM($A9),PnL_Accounts,0))</f>
        <v>0</v>
      </c>
      <c r="F9" s="115">
        <f t="array" aca="1" ref="F9" ca="1">INDEX(INDIRECT("PnL_"&amp;TEXT(F$1,"mmm")&amp;"_"&amp;TEXT(F$1,"yyyy")),MATCH(TRIM($A9),PnL_Accounts,0))</f>
        <v>0</v>
      </c>
      <c r="G9" s="115">
        <f t="array" aca="1" ref="G9" ca="1">INDEX(INDIRECT("PnL_"&amp;TEXT(G$1,"mmm")&amp;"_"&amp;TEXT(G$1,"yyyy")),MATCH(TRIM($A9),PnL_Accounts,0))</f>
        <v>0</v>
      </c>
      <c r="H9" s="115">
        <f t="array" aca="1" ref="H9" ca="1">INDEX(INDIRECT("PnL_"&amp;TEXT(H$1,"mmm")&amp;"_"&amp;TEXT(H$1,"yyyy")),MATCH(TRIM($A9),PnL_Accounts,0))</f>
        <v>0</v>
      </c>
      <c r="I9" s="115">
        <f t="array" aca="1" ref="I9" ca="1">INDEX(INDIRECT("PnL_"&amp;TEXT(I$1,"mmm")&amp;"_"&amp;TEXT(I$1,"yyyy")),MATCH(TRIM($A9),PnL_Accounts,0))</f>
        <v>0</v>
      </c>
      <c r="J9" s="115">
        <f t="array" aca="1" ref="J9" ca="1">INDEX(INDIRECT("PnL_"&amp;TEXT(J$1,"mmm")&amp;"_"&amp;TEXT(J$1,"yyyy")),MATCH(TRIM($A9),PnL_Accounts,0))</f>
        <v>0</v>
      </c>
      <c r="K9" s="115">
        <f t="array" aca="1" ref="K9" ca="1">INDEX(INDIRECT("PnL_"&amp;TEXT(K$1,"mmm")&amp;"_"&amp;TEXT(K$1,"yyyy")),MATCH(TRIM($A9),PnL_Accounts,0))</f>
        <v>0</v>
      </c>
      <c r="L9" s="115">
        <f t="array" aca="1" ref="L9" ca="1">INDEX(INDIRECT("PnL_"&amp;TEXT(L$1,"mmm")&amp;"_"&amp;TEXT(L$1,"yyyy")),MATCH(TRIM($A9),PnL_Accounts,0))</f>
        <v>0</v>
      </c>
      <c r="M9" s="115">
        <f t="array" aca="1" ref="M9" ca="1">INDEX(INDIRECT("PnL_"&amp;TEXT(M$1,"mmm")&amp;"_"&amp;TEXT(M$1,"yyyy")),MATCH(TRIM($A9),PnL_Accounts,0))</f>
        <v>0</v>
      </c>
      <c r="N9" s="115">
        <f t="array" aca="1" ref="N9" ca="1">INDEX(INDIRECT("PnL_"&amp;TEXT(N$1,"mmm")&amp;"_"&amp;TEXT(N$1,"yyyy")),MATCH(TRIM($A9),PnL_Accounts,0))</f>
        <v>0</v>
      </c>
      <c r="O9" s="115">
        <f t="array" aca="1" ref="O9" ca="1">INDEX(INDIRECT("PnL_"&amp;TEXT(O$1,"mmm")&amp;"_"&amp;TEXT(O$1,"yyyy")),MATCH(TRIM($A9),PnL_Accounts,0))</f>
        <v>0</v>
      </c>
      <c r="P9" s="115">
        <f t="array" aca="1" ref="P9" ca="1">INDEX(INDIRECT("PnL_"&amp;TEXT(P$1,"mmm")&amp;"_"&amp;TEXT(P$1,"yyyy")),MATCH(TRIM($A9),PnL_Accounts,0))</f>
        <v>0</v>
      </c>
      <c r="Q9" s="115">
        <f t="array" aca="1" ref="Q9" ca="1">INDEX(INDIRECT("PnL_"&amp;TEXT(Q$1,"mmm")&amp;"_"&amp;TEXT(Q$1,"yyyy")),MATCH(TRIM($A9),PnL_Accounts,0))</f>
        <v>0</v>
      </c>
      <c r="R9" s="115">
        <f t="array" aca="1" ref="R9" ca="1">INDEX(INDIRECT("PnL_"&amp;TEXT(R$1,"mmm")&amp;"_"&amp;TEXT(R$1,"yyyy")),MATCH(TRIM($A9),PnL_Accounts,0))</f>
        <v>0</v>
      </c>
      <c r="S9" s="115">
        <f t="array" aca="1" ref="S9" ca="1">INDEX(INDIRECT("PnL_"&amp;TEXT(S$1,"mmm")&amp;"_"&amp;TEXT(S$1,"yyyy")),MATCH(TRIM($A9),PnL_Accounts,0))</f>
        <v>0</v>
      </c>
      <c r="T9" s="115">
        <f t="array" aca="1" ref="T9" ca="1">INDEX(INDIRECT("PnL_"&amp;TEXT(T$1,"mmm")&amp;"_"&amp;TEXT(T$1,"yyyy")),MATCH(TRIM($A9),PnL_Accounts,0))</f>
        <v>0</v>
      </c>
      <c r="U9" s="115">
        <f t="array" aca="1" ref="U9" ca="1">INDEX(INDIRECT("PnL_"&amp;TEXT(U$1,"mmm")&amp;"_"&amp;TEXT(U$1,"yyyy")),MATCH(TRIM($A9),PnL_Accounts,0))</f>
        <v>0</v>
      </c>
      <c r="V9" s="115">
        <f t="array" aca="1" ref="V9" ca="1">INDEX(INDIRECT("PnL_"&amp;TEXT(V$1,"mmm")&amp;"_"&amp;TEXT(V$1,"yyyy")),MATCH(TRIM($A9),PnL_Accounts,0))</f>
        <v>0</v>
      </c>
      <c r="W9" s="115">
        <f t="array" aca="1" ref="W9" ca="1">INDEX(INDIRECT("PnL_"&amp;TEXT(W$1,"mmm")&amp;"_"&amp;TEXT(W$1,"yyyy")),MATCH(TRIM($A9),PnL_Accounts,0))</f>
        <v>0</v>
      </c>
      <c r="X9" s="115">
        <f t="array" aca="1" ref="X9" ca="1">INDEX(INDIRECT("PnL_"&amp;TEXT(X$1,"mmm")&amp;"_"&amp;TEXT(X$1,"yyyy")),MATCH(TRIM($A9),PnL_Accounts,0))</f>
        <v>0</v>
      </c>
      <c r="Y9" s="115">
        <f t="array" aca="1" ref="Y9" ca="1">INDEX(INDIRECT("PnL_"&amp;TEXT(Y$1,"mmm")&amp;"_"&amp;TEXT(Y$1,"yyyy")),MATCH(TRIM($A9),PnL_Accounts,0))</f>
        <v>0</v>
      </c>
      <c r="Z9" s="115">
        <f t="array" aca="1" ref="Z9" ca="1">INDEX(INDIRECT("PnL_"&amp;TEXT(Z$1,"mmm")&amp;"_"&amp;TEXT(Z$1,"yyyy")),MATCH(TRIM($A9),PnL_Accounts,0))</f>
        <v>0</v>
      </c>
      <c r="AA9" s="115">
        <f t="array" aca="1" ref="AA9" ca="1">INDEX(INDIRECT("PnL_"&amp;TEXT(AA$1,"mmm")&amp;"_"&amp;TEXT(AA$1,"yyyy")),MATCH(TRIM($A9),PnL_Accounts,0))</f>
        <v>0</v>
      </c>
      <c r="AB9" s="115">
        <f t="array" aca="1" ref="AB9" ca="1">INDEX(INDIRECT("PnL_"&amp;TEXT(AB$1,"mmm")&amp;"_"&amp;TEXT(AB$1,"yyyy")),MATCH(TRIM($A9),PnL_Accounts,0))</f>
        <v>0</v>
      </c>
      <c r="AC9" s="115">
        <f t="array" aca="1" ref="AC9" ca="1">INDEX(INDIRECT("PnL_"&amp;TEXT(AC$1,"mmm")&amp;"_"&amp;TEXT(AC$1,"yyyy")),MATCH(TRIM($A9),PnL_Accounts,0))</f>
        <v>0</v>
      </c>
      <c r="AD9" s="115">
        <f t="array" aca="1" ref="AD9" ca="1">INDEX(INDIRECT("PnL_"&amp;TEXT(AD$1,"mmm")&amp;"_"&amp;TEXT(AD$1,"yyyy")),MATCH(TRIM($A9),PnL_Accounts,0))</f>
        <v>0</v>
      </c>
      <c r="AE9" s="115">
        <f t="array" aca="1" ref="AE9" ca="1">INDEX(INDIRECT("PnL_"&amp;TEXT(AE$1,"mmm")&amp;"_"&amp;TEXT(AE$1,"yyyy")),MATCH(TRIM($A9),PnL_Accounts,0))</f>
        <v>0</v>
      </c>
    </row>
    <row r="10" spans="1:75" ht="12.75" x14ac:dyDescent="0.2">
      <c r="A10" s="23" t="s">
        <v>248</v>
      </c>
      <c r="B10" s="224">
        <f ca="1">AVERAGEIFS(10:10,$1:$1,"&gt;="&amp;DATE(YEAR(Current_Month),MONTH(Current_Month)-2,DAY(Current_Month)),$1:$1,"&lt;="&amp;EOMONTH(Current_Month,0))</f>
        <v>2973</v>
      </c>
      <c r="D10" s="115">
        <f t="array" aca="1" ref="D10" ca="1">INDEX(INDIRECT("PnL_"&amp;TEXT(D$1,"mmm")&amp;"_"&amp;TEXT(D$1,"yyyy")),MATCH(TRIM($A10),PnL_Accounts,0))</f>
        <v>985</v>
      </c>
      <c r="E10" s="115">
        <f t="array" aca="1" ref="E10" ca="1">INDEX(INDIRECT("PnL_"&amp;TEXT(E$1,"mmm")&amp;"_"&amp;TEXT(E$1,"yyyy")),MATCH(TRIM($A10),PnL_Accounts,0))</f>
        <v>985</v>
      </c>
      <c r="F10" s="115">
        <f t="array" aca="1" ref="F10" ca="1">INDEX(INDIRECT("PnL_"&amp;TEXT(F$1,"mmm")&amp;"_"&amp;TEXT(F$1,"yyyy")),MATCH(TRIM($A10),PnL_Accounts,0))</f>
        <v>985</v>
      </c>
      <c r="G10" s="115">
        <f t="array" aca="1" ref="G10" ca="1">INDEX(INDIRECT("PnL_"&amp;TEXT(G$1,"mmm")&amp;"_"&amp;TEXT(G$1,"yyyy")),MATCH(TRIM($A10),PnL_Accounts,0))</f>
        <v>1182</v>
      </c>
      <c r="H10" s="115">
        <f t="array" aca="1" ref="H10" ca="1">INDEX(INDIRECT("PnL_"&amp;TEXT(H$1,"mmm")&amp;"_"&amp;TEXT(H$1,"yyyy")),MATCH(TRIM($A10),PnL_Accounts,0))</f>
        <v>1182</v>
      </c>
      <c r="I10" s="115">
        <f t="array" aca="1" ref="I10" ca="1">INDEX(INDIRECT("PnL_"&amp;TEXT(I$1,"mmm")&amp;"_"&amp;TEXT(I$1,"yyyy")),MATCH(TRIM($A10),PnL_Accounts,0))</f>
        <v>1182</v>
      </c>
      <c r="J10" s="115">
        <f t="array" aca="1" ref="J10" ca="1">INDEX(INDIRECT("PnL_"&amp;TEXT(J$1,"mmm")&amp;"_"&amp;TEXT(J$1,"yyyy")),MATCH(TRIM($A10),PnL_Accounts,0))</f>
        <v>1379</v>
      </c>
      <c r="K10" s="115">
        <f t="array" aca="1" ref="K10" ca="1">INDEX(INDIRECT("PnL_"&amp;TEXT(K$1,"mmm")&amp;"_"&amp;TEXT(K$1,"yyyy")),MATCH(TRIM($A10),PnL_Accounts,0))</f>
        <v>1379</v>
      </c>
      <c r="L10" s="115">
        <f t="array" aca="1" ref="L10" ca="1">INDEX(INDIRECT("PnL_"&amp;TEXT(L$1,"mmm")&amp;"_"&amp;TEXT(L$1,"yyyy")),MATCH(TRIM($A10),PnL_Accounts,0))</f>
        <v>1576</v>
      </c>
      <c r="M10" s="115">
        <f t="array" aca="1" ref="M10" ca="1">INDEX(INDIRECT("PnL_"&amp;TEXT(M$1,"mmm")&amp;"_"&amp;TEXT(M$1,"yyyy")),MATCH(TRIM($A10),PnL_Accounts,0))</f>
        <v>1576</v>
      </c>
      <c r="N10" s="115">
        <f t="array" aca="1" ref="N10" ca="1">INDEX(INDIRECT("PnL_"&amp;TEXT(N$1,"mmm")&amp;"_"&amp;TEXT(N$1,"yyyy")),MATCH(TRIM($A10),PnL_Accounts,0))</f>
        <v>1576</v>
      </c>
      <c r="O10" s="115">
        <f t="array" aca="1" ref="O10" ca="1">INDEX(INDIRECT("PnL_"&amp;TEXT(O$1,"mmm")&amp;"_"&amp;TEXT(O$1,"yyyy")),MATCH(TRIM($A10),PnL_Accounts,0))</f>
        <v>1773</v>
      </c>
      <c r="P10" s="115">
        <f t="array" aca="1" ref="P10" ca="1">INDEX(INDIRECT("PnL_"&amp;TEXT(P$1,"mmm")&amp;"_"&amp;TEXT(P$1,"yyyy")),MATCH(TRIM($A10),PnL_Accounts,0))</f>
        <v>1773</v>
      </c>
      <c r="Q10" s="115">
        <f t="array" aca="1" ref="Q10" ca="1">INDEX(INDIRECT("PnL_"&amp;TEXT(Q$1,"mmm")&amp;"_"&amp;TEXT(Q$1,"yyyy")),MATCH(TRIM($A10),PnL_Accounts,0))</f>
        <v>1773</v>
      </c>
      <c r="R10" s="115">
        <f t="array" aca="1" ref="R10" ca="1">INDEX(INDIRECT("PnL_"&amp;TEXT(R$1,"mmm")&amp;"_"&amp;TEXT(R$1,"yyyy")),MATCH(TRIM($A10),PnL_Accounts,0))</f>
        <v>1773</v>
      </c>
      <c r="S10" s="115">
        <f t="array" aca="1" ref="S10" ca="1">INDEX(INDIRECT("PnL_"&amp;TEXT(S$1,"mmm")&amp;"_"&amp;TEXT(S$1,"yyyy")),MATCH(TRIM($A10),PnL_Accounts,0))</f>
        <v>2773</v>
      </c>
      <c r="T10" s="115">
        <f t="array" aca="1" ref="T10" ca="1">INDEX(INDIRECT("PnL_"&amp;TEXT(T$1,"mmm")&amp;"_"&amp;TEXT(T$1,"yyyy")),MATCH(TRIM($A10),PnL_Accounts,0))</f>
        <v>2973</v>
      </c>
      <c r="U10" s="115">
        <f t="array" aca="1" ref="U10" ca="1">INDEX(INDIRECT("PnL_"&amp;TEXT(U$1,"mmm")&amp;"_"&amp;TEXT(U$1,"yyyy")),MATCH(TRIM($A10),PnL_Accounts,0))</f>
        <v>2973</v>
      </c>
      <c r="V10" s="115">
        <f t="array" aca="1" ref="V10" ca="1">INDEX(INDIRECT("PnL_"&amp;TEXT(V$1,"mmm")&amp;"_"&amp;TEXT(V$1,"yyyy")),MATCH(TRIM($A10),PnL_Accounts,0))</f>
        <v>2973</v>
      </c>
      <c r="W10" s="115">
        <f t="array" aca="1" ref="W10" ca="1">INDEX(INDIRECT("PnL_"&amp;TEXT(W$1,"mmm")&amp;"_"&amp;TEXT(W$1,"yyyy")),MATCH(TRIM($A10),PnL_Accounts,0))</f>
        <v>2973</v>
      </c>
      <c r="X10" s="115">
        <f t="array" aca="1" ref="X10" ca="1">INDEX(INDIRECT("PnL_"&amp;TEXT(X$1,"mmm")&amp;"_"&amp;TEXT(X$1,"yyyy")),MATCH(TRIM($A10),PnL_Accounts,0))</f>
        <v>2973</v>
      </c>
      <c r="Y10" s="115">
        <f t="array" aca="1" ref="Y10" ca="1">INDEX(INDIRECT("PnL_"&amp;TEXT(Y$1,"mmm")&amp;"_"&amp;TEXT(Y$1,"yyyy")),MATCH(TRIM($A10),PnL_Accounts,0))</f>
        <v>2973</v>
      </c>
      <c r="Z10" s="115">
        <f t="array" aca="1" ref="Z10" ca="1">INDEX(INDIRECT("PnL_"&amp;TEXT(Z$1,"mmm")&amp;"_"&amp;TEXT(Z$1,"yyyy")),MATCH(TRIM($A10),PnL_Accounts,0))</f>
        <v>2973</v>
      </c>
      <c r="AA10" s="115">
        <f t="array" aca="1" ref="AA10" ca="1">INDEX(INDIRECT("PnL_"&amp;TEXT(AA$1,"mmm")&amp;"_"&amp;TEXT(AA$1,"yyyy")),MATCH(TRIM($A10),PnL_Accounts,0))</f>
        <v>2973</v>
      </c>
      <c r="AB10" s="115">
        <f t="array" aca="1" ref="AB10" ca="1">INDEX(INDIRECT("PnL_"&amp;TEXT(AB$1,"mmm")&amp;"_"&amp;TEXT(AB$1,"yyyy")),MATCH(TRIM($A10),PnL_Accounts,0))</f>
        <v>2973</v>
      </c>
      <c r="AC10" s="115">
        <f t="array" aca="1" ref="AC10" ca="1">INDEX(INDIRECT("PnL_"&amp;TEXT(AC$1,"mmm")&amp;"_"&amp;TEXT(AC$1,"yyyy")),MATCH(TRIM($A10),PnL_Accounts,0))</f>
        <v>2973</v>
      </c>
      <c r="AD10" s="115">
        <f t="array" aca="1" ref="AD10" ca="1">INDEX(INDIRECT("PnL_"&amp;TEXT(AD$1,"mmm")&amp;"_"&amp;TEXT(AD$1,"yyyy")),MATCH(TRIM($A10),PnL_Accounts,0))</f>
        <v>2973</v>
      </c>
      <c r="AE10" s="115">
        <f t="array" aca="1" ref="AE10" ca="1">INDEX(INDIRECT("PnL_"&amp;TEXT(AE$1,"mmm")&amp;"_"&amp;TEXT(AE$1,"yyyy")),MATCH(TRIM($A10),PnL_Accounts,0))</f>
        <v>2973</v>
      </c>
      <c r="AF10" s="25">
        <f t="array" ref="AF10">INDEX(Hiring_Plan_Benefits_Support_Worst_Case,MATCH(AF$1,Hiring_Plan_Months_Worst_Case,0))</f>
        <v>5315</v>
      </c>
      <c r="AG10" s="25">
        <f t="array" ref="AG10">INDEX(Hiring_Plan_Benefits_Support_Worst_Case,MATCH(AG$1,Hiring_Plan_Months_Worst_Case,0))</f>
        <v>5315</v>
      </c>
      <c r="AH10" s="25">
        <f t="array" ref="AH10">INDEX(Hiring_Plan_Benefits_Support_Worst_Case,MATCH(AH$1,Hiring_Plan_Months_Worst_Case,0))</f>
        <v>5315</v>
      </c>
      <c r="AI10" s="25">
        <f t="array" ref="AI10">INDEX(Hiring_Plan_Benefits_Support_Worst_Case,MATCH(AI$1,Hiring_Plan_Months_Worst_Case,0))</f>
        <v>5315</v>
      </c>
      <c r="AJ10" s="25">
        <f t="array" ref="AJ10">INDEX(Hiring_Plan_Benefits_Support_Worst_Case,MATCH(AJ$1,Hiring_Plan_Months_Worst_Case,0))</f>
        <v>5315</v>
      </c>
      <c r="AK10" s="25">
        <f t="array" ref="AK10">INDEX(Hiring_Plan_Benefits_Support_Worst_Case,MATCH(AK$1,Hiring_Plan_Months_Worst_Case,0))</f>
        <v>5315</v>
      </c>
      <c r="AL10" s="25">
        <f t="array" ref="AL10">INDEX(Hiring_Plan_Benefits_Support_Worst_Case,MATCH(AL$1,Hiring_Plan_Months_Worst_Case,0))</f>
        <v>5315</v>
      </c>
      <c r="AM10" s="25">
        <f t="array" ref="AM10">INDEX(Hiring_Plan_Benefits_Support_Worst_Case,MATCH(AM$1,Hiring_Plan_Months_Worst_Case,0))</f>
        <v>5315</v>
      </c>
      <c r="AN10" s="25">
        <f t="array" ref="AN10">INDEX(Hiring_Plan_Benefits_Support_Worst_Case,MATCH(AN$1,Hiring_Plan_Months_Worst_Case,0))</f>
        <v>5315</v>
      </c>
      <c r="AO10" s="25">
        <f t="array" ref="AO10">INDEX(Hiring_Plan_Benefits_Support_Worst_Case,MATCH(AO$1,Hiring_Plan_Months_Worst_Case,0))</f>
        <v>5315</v>
      </c>
      <c r="AP10" s="25">
        <f t="array" ref="AP10">INDEX(Hiring_Plan_Benefits_Support_Worst_Case,MATCH(AP$1,Hiring_Plan_Months_Worst_Case,0))</f>
        <v>5315</v>
      </c>
      <c r="AQ10" s="25">
        <f t="array" ref="AQ10">INDEX(Hiring_Plan_Benefits_Support_Worst_Case,MATCH(AQ$1,Hiring_Plan_Months_Worst_Case,0))</f>
        <v>5315</v>
      </c>
      <c r="AR10" s="25">
        <f t="array" ref="AR10">INDEX(Hiring_Plan_Benefits_Support_Worst_Case,MATCH(AR$1,Hiring_Plan_Months_Worst_Case,0))</f>
        <v>5315</v>
      </c>
      <c r="AS10" s="25">
        <f t="array" ref="AS10">INDEX(Hiring_Plan_Benefits_Support_Worst_Case,MATCH(AS$1,Hiring_Plan_Months_Worst_Case,0))</f>
        <v>5315</v>
      </c>
      <c r="AT10" s="25">
        <f t="array" ref="AT10">INDEX(Hiring_Plan_Benefits_Support_Worst_Case,MATCH(AT$1,Hiring_Plan_Months_Worst_Case,0))</f>
        <v>5315</v>
      </c>
      <c r="AU10" s="25">
        <f t="array" ref="AU10">INDEX(Hiring_Plan_Benefits_Support_Worst_Case,MATCH(AU$1,Hiring_Plan_Months_Worst_Case,0))</f>
        <v>5315</v>
      </c>
      <c r="AV10" s="25">
        <f t="array" ref="AV10">INDEX(Hiring_Plan_Benefits_Support_Worst_Case,MATCH(AV$1,Hiring_Plan_Months_Worst_Case,0))</f>
        <v>5315</v>
      </c>
      <c r="AW10" s="25">
        <f t="array" ref="AW10">INDEX(Hiring_Plan_Benefits_Support_Worst_Case,MATCH(AW$1,Hiring_Plan_Months_Worst_Case,0))</f>
        <v>5315</v>
      </c>
      <c r="AX10" s="25">
        <f t="array" ref="AX10">INDEX(Hiring_Plan_Benefits_Support_Worst_Case,MATCH(AX$1,Hiring_Plan_Months_Worst_Case,0))</f>
        <v>5315</v>
      </c>
      <c r="AY10" s="25">
        <f t="array" ref="AY10">INDEX(Hiring_Plan_Benefits_Support_Worst_Case,MATCH(AY$1,Hiring_Plan_Months_Worst_Case,0))</f>
        <v>5315</v>
      </c>
      <c r="AZ10" s="25">
        <f t="array" ref="AZ10">INDEX(Hiring_Plan_Benefits_Support_Worst_Case,MATCH(AZ$1,Hiring_Plan_Months_Worst_Case,0))</f>
        <v>5315</v>
      </c>
      <c r="BA10" s="25">
        <f t="array" ref="BA10">INDEX(Hiring_Plan_Benefits_Support_Worst_Case,MATCH(BA$1,Hiring_Plan_Months_Worst_Case,0))</f>
        <v>5315</v>
      </c>
      <c r="BB10" s="25">
        <f t="array" ref="BB10">INDEX(Hiring_Plan_Benefits_Support_Worst_Case,MATCH(BB$1,Hiring_Plan_Months_Worst_Case,0))</f>
        <v>5315</v>
      </c>
      <c r="BC10" s="25">
        <f t="array" ref="BC10">INDEX(Hiring_Plan_Benefits_Support_Worst_Case,MATCH(BC$1,Hiring_Plan_Months_Worst_Case,0))</f>
        <v>5315</v>
      </c>
      <c r="BD10" s="25">
        <f t="array" ref="BD10">INDEX(Hiring_Plan_Benefits_Support_Worst_Case,MATCH(BD$1,Hiring_Plan_Months_Worst_Case,0))</f>
        <v>5315</v>
      </c>
      <c r="BE10" s="25">
        <f t="array" ref="BE10">INDEX(Hiring_Plan_Benefits_Support_Worst_Case,MATCH(BE$1,Hiring_Plan_Months_Worst_Case,0))</f>
        <v>5315</v>
      </c>
      <c r="BF10" s="25">
        <f t="array" ref="BF10">INDEX(Hiring_Plan_Benefits_Support_Worst_Case,MATCH(BF$1,Hiring_Plan_Months_Worst_Case,0))</f>
        <v>5315</v>
      </c>
      <c r="BG10" s="25">
        <f t="array" ref="BG10">INDEX(Hiring_Plan_Benefits_Support_Worst_Case,MATCH(BG$1,Hiring_Plan_Months_Worst_Case,0))</f>
        <v>5315</v>
      </c>
      <c r="BH10" s="25">
        <f t="array" ref="BH10">INDEX(Hiring_Plan_Benefits_Support_Worst_Case,MATCH(BH$1,Hiring_Plan_Months_Worst_Case,0))</f>
        <v>5315</v>
      </c>
      <c r="BI10" s="25">
        <f t="array" ref="BI10">INDEX(Hiring_Plan_Benefits_Support_Worst_Case,MATCH(BI$1,Hiring_Plan_Months_Worst_Case,0))</f>
        <v>5315</v>
      </c>
      <c r="BJ10" s="25">
        <f t="array" ref="BJ10">INDEX(Hiring_Plan_Benefits_Support_Worst_Case,MATCH(BJ$1,Hiring_Plan_Months_Worst_Case,0))</f>
        <v>5315</v>
      </c>
      <c r="BK10" s="25">
        <f t="array" ref="BK10">INDEX(Hiring_Plan_Benefits_Support_Worst_Case,MATCH(BK$1,Hiring_Plan_Months_Worst_Case,0))</f>
        <v>5315</v>
      </c>
      <c r="BL10" s="25">
        <f t="array" ref="BL10">INDEX(Hiring_Plan_Benefits_Support_Worst_Case,MATCH(BL$1,Hiring_Plan_Months_Worst_Case,0))</f>
        <v>5315</v>
      </c>
      <c r="BM10" s="25">
        <f t="array" ref="BM10">INDEX(Hiring_Plan_Benefits_Support_Worst_Case,MATCH(BM$1,Hiring_Plan_Months_Worst_Case,0))</f>
        <v>5315</v>
      </c>
      <c r="BN10" s="25">
        <f t="array" ref="BN10">INDEX(Hiring_Plan_Benefits_Support_Worst_Case,MATCH(BN$1,Hiring_Plan_Months_Worst_Case,0))</f>
        <v>5315</v>
      </c>
      <c r="BO10" s="25">
        <f t="array" ref="BO10">INDEX(Hiring_Plan_Benefits_Support_Worst_Case,MATCH(BO$1,Hiring_Plan_Months_Worst_Case,0))</f>
        <v>5315</v>
      </c>
      <c r="BP10" s="25">
        <f t="array" ref="BP10">INDEX(Hiring_Plan_Benefits_Support_Worst_Case,MATCH(BP$1,Hiring_Plan_Months_Worst_Case,0))</f>
        <v>5315</v>
      </c>
      <c r="BQ10" s="25">
        <f t="array" ref="BQ10">INDEX(Hiring_Plan_Benefits_Support_Worst_Case,MATCH(BQ$1,Hiring_Plan_Months_Worst_Case,0))</f>
        <v>5315</v>
      </c>
      <c r="BR10" s="25">
        <f t="array" ref="BR10">INDEX(Hiring_Plan_Benefits_Support_Worst_Case,MATCH(BR$1,Hiring_Plan_Months_Worst_Case,0))</f>
        <v>5315</v>
      </c>
      <c r="BS10" s="25">
        <f t="array" ref="BS10">INDEX(Hiring_Plan_Benefits_Support_Worst_Case,MATCH(BS$1,Hiring_Plan_Months_Worst_Case,0))</f>
        <v>5315</v>
      </c>
      <c r="BT10" s="25">
        <f t="array" ref="BT10">INDEX(Hiring_Plan_Benefits_Support_Worst_Case,MATCH(BT$1,Hiring_Plan_Months_Worst_Case,0))</f>
        <v>5315</v>
      </c>
      <c r="BU10" s="25">
        <f t="array" ref="BU10">INDEX(Hiring_Plan_Benefits_Support_Worst_Case,MATCH(BU$1,Hiring_Plan_Months_Worst_Case,0))</f>
        <v>5315</v>
      </c>
      <c r="BV10" s="25">
        <f t="array" ref="BV10">INDEX(Hiring_Plan_Benefits_Support_Worst_Case,MATCH(BV$1,Hiring_Plan_Months_Worst_Case,0))</f>
        <v>5315</v>
      </c>
      <c r="BW10" s="25">
        <f t="array" ref="BW10">INDEX(Hiring_Plan_Benefits_Support_Worst_Case,MATCH(BW$1,Hiring_Plan_Months_Worst_Case,0))</f>
        <v>5315</v>
      </c>
    </row>
    <row r="11" spans="1:75" ht="12.75" x14ac:dyDescent="0.2">
      <c r="A11" s="23" t="s">
        <v>249</v>
      </c>
      <c r="B11" s="224">
        <f ca="1">AVERAGEIFS(11:11,$1:$1,"&gt;="&amp;DATE(YEAR(Current_Month),MONTH(Current_Month)-2,DAY(Current_Month)),$1:$1,"&lt;="&amp;EOMONTH(Current_Month,0))</f>
        <v>5567</v>
      </c>
      <c r="D11" s="115">
        <f t="array" aca="1" ref="D11" ca="1">INDEX(INDIRECT("PnL_"&amp;TEXT(D$1,"mmm")&amp;"_"&amp;TEXT(D$1,"yyyy")),MATCH(TRIM($A11),PnL_Accounts,0))</f>
        <v>2340</v>
      </c>
      <c r="E11" s="115">
        <f t="array" aca="1" ref="E11" ca="1">INDEX(INDIRECT("PnL_"&amp;TEXT(E$1,"mmm")&amp;"_"&amp;TEXT(E$1,"yyyy")),MATCH(TRIM($A11),PnL_Accounts,0))</f>
        <v>2340</v>
      </c>
      <c r="F11" s="115">
        <f t="array" aca="1" ref="F11" ca="1">INDEX(INDIRECT("PnL_"&amp;TEXT(F$1,"mmm")&amp;"_"&amp;TEXT(F$1,"yyyy")),MATCH(TRIM($A11),PnL_Accounts,0))</f>
        <v>2340</v>
      </c>
      <c r="G11" s="115">
        <f t="array" aca="1" ref="G11" ca="1">INDEX(INDIRECT("PnL_"&amp;TEXT(G$1,"mmm")&amp;"_"&amp;TEXT(G$1,"yyyy")),MATCH(TRIM($A11),PnL_Accounts,0))</f>
        <v>2808</v>
      </c>
      <c r="H11" s="115">
        <f t="array" aca="1" ref="H11" ca="1">INDEX(INDIRECT("PnL_"&amp;TEXT(H$1,"mmm")&amp;"_"&amp;TEXT(H$1,"yyyy")),MATCH(TRIM($A11),PnL_Accounts,0))</f>
        <v>2808</v>
      </c>
      <c r="I11" s="115">
        <f t="array" aca="1" ref="I11" ca="1">INDEX(INDIRECT("PnL_"&amp;TEXT(I$1,"mmm")&amp;"_"&amp;TEXT(I$1,"yyyy")),MATCH(TRIM($A11),PnL_Accounts,0))</f>
        <v>2808</v>
      </c>
      <c r="J11" s="115">
        <f t="array" aca="1" ref="J11" ca="1">INDEX(INDIRECT("PnL_"&amp;TEXT(J$1,"mmm")&amp;"_"&amp;TEXT(J$1,"yyyy")),MATCH(TRIM($A11),PnL_Accounts,0))</f>
        <v>3258</v>
      </c>
      <c r="K11" s="115">
        <f t="array" aca="1" ref="K11" ca="1">INDEX(INDIRECT("PnL_"&amp;TEXT(K$1,"mmm")&amp;"_"&amp;TEXT(K$1,"yyyy")),MATCH(TRIM($A11),PnL_Accounts,0))</f>
        <v>3258</v>
      </c>
      <c r="L11" s="115">
        <f t="array" aca="1" ref="L11" ca="1">INDEX(INDIRECT("PnL_"&amp;TEXT(L$1,"mmm")&amp;"_"&amp;TEXT(L$1,"yyyy")),MATCH(TRIM($A11),PnL_Accounts,0))</f>
        <v>3699</v>
      </c>
      <c r="M11" s="115">
        <f t="array" aca="1" ref="M11" ca="1">INDEX(INDIRECT("PnL_"&amp;TEXT(M$1,"mmm")&amp;"_"&amp;TEXT(M$1,"yyyy")),MATCH(TRIM($A11),PnL_Accounts,0))</f>
        <v>3699</v>
      </c>
      <c r="N11" s="115">
        <f t="array" aca="1" ref="N11" ca="1">INDEX(INDIRECT("PnL_"&amp;TEXT(N$1,"mmm")&amp;"_"&amp;TEXT(N$1,"yyyy")),MATCH(TRIM($A11),PnL_Accounts,0))</f>
        <v>3699</v>
      </c>
      <c r="O11" s="115">
        <f t="array" aca="1" ref="O11" ca="1">INDEX(INDIRECT("PnL_"&amp;TEXT(O$1,"mmm")&amp;"_"&amp;TEXT(O$1,"yyyy")),MATCH(TRIM($A11),PnL_Accounts,0))</f>
        <v>5067</v>
      </c>
      <c r="P11" s="115">
        <f t="array" aca="1" ref="P11" ca="1">INDEX(INDIRECT("PnL_"&amp;TEXT(P$1,"mmm")&amp;"_"&amp;TEXT(P$1,"yyyy")),MATCH(TRIM($A11),PnL_Accounts,0))</f>
        <v>5067</v>
      </c>
      <c r="Q11" s="115">
        <f t="array" aca="1" ref="Q11" ca="1">INDEX(INDIRECT("PnL_"&amp;TEXT(Q$1,"mmm")&amp;"_"&amp;TEXT(Q$1,"yyyy")),MATCH(TRIM($A11),PnL_Accounts,0))</f>
        <v>5067</v>
      </c>
      <c r="R11" s="115">
        <f t="array" aca="1" ref="R11" ca="1">INDEX(INDIRECT("PnL_"&amp;TEXT(R$1,"mmm")&amp;"_"&amp;TEXT(R$1,"yyyy")),MATCH(TRIM($A11),PnL_Accounts,0))</f>
        <v>5067</v>
      </c>
      <c r="S11" s="115">
        <f t="array" aca="1" ref="S11" ca="1">INDEX(INDIRECT("PnL_"&amp;TEXT(S$1,"mmm")&amp;"_"&amp;TEXT(S$1,"yyyy")),MATCH(TRIM($A11),PnL_Accounts,0))</f>
        <v>5067</v>
      </c>
      <c r="T11" s="115">
        <f t="array" aca="1" ref="T11" ca="1">INDEX(INDIRECT("PnL_"&amp;TEXT(T$1,"mmm")&amp;"_"&amp;TEXT(T$1,"yyyy")),MATCH(TRIM($A11),PnL_Accounts,0))</f>
        <v>5567</v>
      </c>
      <c r="U11" s="115">
        <f t="array" aca="1" ref="U11" ca="1">INDEX(INDIRECT("PnL_"&amp;TEXT(U$1,"mmm")&amp;"_"&amp;TEXT(U$1,"yyyy")),MATCH(TRIM($A11),PnL_Accounts,0))</f>
        <v>5567</v>
      </c>
      <c r="V11" s="115">
        <f t="array" aca="1" ref="V11" ca="1">INDEX(INDIRECT("PnL_"&amp;TEXT(V$1,"mmm")&amp;"_"&amp;TEXT(V$1,"yyyy")),MATCH(TRIM($A11),PnL_Accounts,0))</f>
        <v>5567</v>
      </c>
      <c r="W11" s="115">
        <f t="array" aca="1" ref="W11" ca="1">INDEX(INDIRECT("PnL_"&amp;TEXT(W$1,"mmm")&amp;"_"&amp;TEXT(W$1,"yyyy")),MATCH(TRIM($A11),PnL_Accounts,0))</f>
        <v>5567</v>
      </c>
      <c r="X11" s="115">
        <f t="array" aca="1" ref="X11" ca="1">INDEX(INDIRECT("PnL_"&amp;TEXT(X$1,"mmm")&amp;"_"&amp;TEXT(X$1,"yyyy")),MATCH(TRIM($A11),PnL_Accounts,0))</f>
        <v>5567</v>
      </c>
      <c r="Y11" s="115">
        <f t="array" aca="1" ref="Y11" ca="1">INDEX(INDIRECT("PnL_"&amp;TEXT(Y$1,"mmm")&amp;"_"&amp;TEXT(Y$1,"yyyy")),MATCH(TRIM($A11),PnL_Accounts,0))</f>
        <v>5567</v>
      </c>
      <c r="Z11" s="115">
        <f t="array" aca="1" ref="Z11" ca="1">INDEX(INDIRECT("PnL_"&amp;TEXT(Z$1,"mmm")&amp;"_"&amp;TEXT(Z$1,"yyyy")),MATCH(TRIM($A11),PnL_Accounts,0))</f>
        <v>5567</v>
      </c>
      <c r="AA11" s="115">
        <f t="array" aca="1" ref="AA11" ca="1">INDEX(INDIRECT("PnL_"&amp;TEXT(AA$1,"mmm")&amp;"_"&amp;TEXT(AA$1,"yyyy")),MATCH(TRIM($A11),PnL_Accounts,0))</f>
        <v>5567</v>
      </c>
      <c r="AB11" s="115">
        <f t="array" aca="1" ref="AB11" ca="1">INDEX(INDIRECT("PnL_"&amp;TEXT(AB$1,"mmm")&amp;"_"&amp;TEXT(AB$1,"yyyy")),MATCH(TRIM($A11),PnL_Accounts,0))</f>
        <v>5567</v>
      </c>
      <c r="AC11" s="115">
        <f t="array" aca="1" ref="AC11" ca="1">INDEX(INDIRECT("PnL_"&amp;TEXT(AC$1,"mmm")&amp;"_"&amp;TEXT(AC$1,"yyyy")),MATCH(TRIM($A11),PnL_Accounts,0))</f>
        <v>5567</v>
      </c>
      <c r="AD11" s="115">
        <f t="array" aca="1" ref="AD11" ca="1">INDEX(INDIRECT("PnL_"&amp;TEXT(AD$1,"mmm")&amp;"_"&amp;TEXT(AD$1,"yyyy")),MATCH(TRIM($A11),PnL_Accounts,0))</f>
        <v>5567</v>
      </c>
      <c r="AE11" s="115">
        <f t="array" aca="1" ref="AE11" ca="1">INDEX(INDIRECT("PnL_"&amp;TEXT(AE$1,"mmm")&amp;"_"&amp;TEXT(AE$1,"yyyy")),MATCH(TRIM($A11),PnL_Accounts,0))</f>
        <v>5567</v>
      </c>
      <c r="AF11" s="25">
        <f t="array" ref="AF11">INDEX(Hiring_Plan_Payroll_Taxes_Support_Worst_Case,MATCH(AF$1,Hiring_Plan_Months_Worst_Case,0))</f>
        <v>4083.75</v>
      </c>
      <c r="AG11" s="25">
        <f t="array" ref="AG11">INDEX(Hiring_Plan_Payroll_Taxes_Support_Worst_Case,MATCH(AG$1,Hiring_Plan_Months_Worst_Case,0))</f>
        <v>4083.75</v>
      </c>
      <c r="AH11" s="25">
        <f t="array" ref="AH11">INDEX(Hiring_Plan_Payroll_Taxes_Support_Worst_Case,MATCH(AH$1,Hiring_Plan_Months_Worst_Case,0))</f>
        <v>4083.75</v>
      </c>
      <c r="AI11" s="25">
        <f t="array" ref="AI11">INDEX(Hiring_Plan_Payroll_Taxes_Support_Worst_Case,MATCH(AI$1,Hiring_Plan_Months_Worst_Case,0))</f>
        <v>4083.75</v>
      </c>
      <c r="AJ11" s="25">
        <f t="array" ref="AJ11">INDEX(Hiring_Plan_Payroll_Taxes_Support_Worst_Case,MATCH(AJ$1,Hiring_Plan_Months_Worst_Case,0))</f>
        <v>4083.75</v>
      </c>
      <c r="AK11" s="25">
        <f t="array" ref="AK11">INDEX(Hiring_Plan_Payroll_Taxes_Support_Worst_Case,MATCH(AK$1,Hiring_Plan_Months_Worst_Case,0))</f>
        <v>4083.75</v>
      </c>
      <c r="AL11" s="25">
        <f t="array" ref="AL11">INDEX(Hiring_Plan_Payroll_Taxes_Support_Worst_Case,MATCH(AL$1,Hiring_Plan_Months_Worst_Case,0))</f>
        <v>4083.75</v>
      </c>
      <c r="AM11" s="25">
        <f t="array" ref="AM11">INDEX(Hiring_Plan_Payroll_Taxes_Support_Worst_Case,MATCH(AM$1,Hiring_Plan_Months_Worst_Case,0))</f>
        <v>4083.75</v>
      </c>
      <c r="AN11" s="25">
        <f t="array" ref="AN11">INDEX(Hiring_Plan_Payroll_Taxes_Support_Worst_Case,MATCH(AN$1,Hiring_Plan_Months_Worst_Case,0))</f>
        <v>4083.75</v>
      </c>
      <c r="AO11" s="25">
        <f t="array" ref="AO11">INDEX(Hiring_Plan_Payroll_Taxes_Support_Worst_Case,MATCH(AO$1,Hiring_Plan_Months_Worst_Case,0))</f>
        <v>4083.75</v>
      </c>
      <c r="AP11" s="25">
        <f t="array" ref="AP11">INDEX(Hiring_Plan_Payroll_Taxes_Support_Worst_Case,MATCH(AP$1,Hiring_Plan_Months_Worst_Case,0))</f>
        <v>4083.75</v>
      </c>
      <c r="AQ11" s="25">
        <f t="array" ref="AQ11">INDEX(Hiring_Plan_Payroll_Taxes_Support_Worst_Case,MATCH(AQ$1,Hiring_Plan_Months_Worst_Case,0))</f>
        <v>4083.75</v>
      </c>
      <c r="AR11" s="25">
        <f t="array" ref="AR11">INDEX(Hiring_Plan_Payroll_Taxes_Support_Worst_Case,MATCH(AR$1,Hiring_Plan_Months_Worst_Case,0))</f>
        <v>4083.75</v>
      </c>
      <c r="AS11" s="25">
        <f t="array" ref="AS11">INDEX(Hiring_Plan_Payroll_Taxes_Support_Worst_Case,MATCH(AS$1,Hiring_Plan_Months_Worst_Case,0))</f>
        <v>4083.75</v>
      </c>
      <c r="AT11" s="25">
        <f t="array" ref="AT11">INDEX(Hiring_Plan_Payroll_Taxes_Support_Worst_Case,MATCH(AT$1,Hiring_Plan_Months_Worst_Case,0))</f>
        <v>4083.75</v>
      </c>
      <c r="AU11" s="25">
        <f t="array" ref="AU11">INDEX(Hiring_Plan_Payroll_Taxes_Support_Worst_Case,MATCH(AU$1,Hiring_Plan_Months_Worst_Case,0))</f>
        <v>4083.75</v>
      </c>
      <c r="AV11" s="25">
        <f t="array" ref="AV11">INDEX(Hiring_Plan_Payroll_Taxes_Support_Worst_Case,MATCH(AV$1,Hiring_Plan_Months_Worst_Case,0))</f>
        <v>4083.75</v>
      </c>
      <c r="AW11" s="25">
        <f t="array" ref="AW11">INDEX(Hiring_Plan_Payroll_Taxes_Support_Worst_Case,MATCH(AW$1,Hiring_Plan_Months_Worst_Case,0))</f>
        <v>4083.75</v>
      </c>
      <c r="AX11" s="25">
        <f t="array" ref="AX11">INDEX(Hiring_Plan_Payroll_Taxes_Support_Worst_Case,MATCH(AX$1,Hiring_Plan_Months_Worst_Case,0))</f>
        <v>4083.75</v>
      </c>
      <c r="AY11" s="25">
        <f t="array" ref="AY11">INDEX(Hiring_Plan_Payroll_Taxes_Support_Worst_Case,MATCH(AY$1,Hiring_Plan_Months_Worst_Case,0))</f>
        <v>4083.75</v>
      </c>
      <c r="AZ11" s="25">
        <f t="array" ref="AZ11">INDEX(Hiring_Plan_Payroll_Taxes_Support_Worst_Case,MATCH(AZ$1,Hiring_Plan_Months_Worst_Case,0))</f>
        <v>4083.75</v>
      </c>
      <c r="BA11" s="25">
        <f t="array" ref="BA11">INDEX(Hiring_Plan_Payroll_Taxes_Support_Worst_Case,MATCH(BA$1,Hiring_Plan_Months_Worst_Case,0))</f>
        <v>4083.75</v>
      </c>
      <c r="BB11" s="25">
        <f t="array" ref="BB11">INDEX(Hiring_Plan_Payroll_Taxes_Support_Worst_Case,MATCH(BB$1,Hiring_Plan_Months_Worst_Case,0))</f>
        <v>4083.75</v>
      </c>
      <c r="BC11" s="25">
        <f t="array" ref="BC11">INDEX(Hiring_Plan_Payroll_Taxes_Support_Worst_Case,MATCH(BC$1,Hiring_Plan_Months_Worst_Case,0))</f>
        <v>4083.75</v>
      </c>
      <c r="BD11" s="25">
        <f t="array" ref="BD11">INDEX(Hiring_Plan_Payroll_Taxes_Support_Worst_Case,MATCH(BD$1,Hiring_Plan_Months_Worst_Case,0))</f>
        <v>4083.75</v>
      </c>
      <c r="BE11" s="25">
        <f t="array" ref="BE11">INDEX(Hiring_Plan_Payroll_Taxes_Support_Worst_Case,MATCH(BE$1,Hiring_Plan_Months_Worst_Case,0))</f>
        <v>4083.75</v>
      </c>
      <c r="BF11" s="25">
        <f t="array" ref="BF11">INDEX(Hiring_Plan_Payroll_Taxes_Support_Worst_Case,MATCH(BF$1,Hiring_Plan_Months_Worst_Case,0))</f>
        <v>4083.75</v>
      </c>
      <c r="BG11" s="25">
        <f t="array" ref="BG11">INDEX(Hiring_Plan_Payroll_Taxes_Support_Worst_Case,MATCH(BG$1,Hiring_Plan_Months_Worst_Case,0))</f>
        <v>4083.75</v>
      </c>
      <c r="BH11" s="25">
        <f t="array" ref="BH11">INDEX(Hiring_Plan_Payroll_Taxes_Support_Worst_Case,MATCH(BH$1,Hiring_Plan_Months_Worst_Case,0))</f>
        <v>4083.75</v>
      </c>
      <c r="BI11" s="25">
        <f t="array" ref="BI11">INDEX(Hiring_Plan_Payroll_Taxes_Support_Worst_Case,MATCH(BI$1,Hiring_Plan_Months_Worst_Case,0))</f>
        <v>4083.75</v>
      </c>
      <c r="BJ11" s="25">
        <f t="array" ref="BJ11">INDEX(Hiring_Plan_Payroll_Taxes_Support_Worst_Case,MATCH(BJ$1,Hiring_Plan_Months_Worst_Case,0))</f>
        <v>4083.75</v>
      </c>
      <c r="BK11" s="25">
        <f t="array" ref="BK11">INDEX(Hiring_Plan_Payroll_Taxes_Support_Worst_Case,MATCH(BK$1,Hiring_Plan_Months_Worst_Case,0))</f>
        <v>4083.75</v>
      </c>
      <c r="BL11" s="25">
        <f t="array" ref="BL11">INDEX(Hiring_Plan_Payroll_Taxes_Support_Worst_Case,MATCH(BL$1,Hiring_Plan_Months_Worst_Case,0))</f>
        <v>4083.75</v>
      </c>
      <c r="BM11" s="25">
        <f t="array" ref="BM11">INDEX(Hiring_Plan_Payroll_Taxes_Support_Worst_Case,MATCH(BM$1,Hiring_Plan_Months_Worst_Case,0))</f>
        <v>4083.75</v>
      </c>
      <c r="BN11" s="25">
        <f t="array" ref="BN11">INDEX(Hiring_Plan_Payroll_Taxes_Support_Worst_Case,MATCH(BN$1,Hiring_Plan_Months_Worst_Case,0))</f>
        <v>4083.75</v>
      </c>
      <c r="BO11" s="25">
        <f t="array" ref="BO11">INDEX(Hiring_Plan_Payroll_Taxes_Support_Worst_Case,MATCH(BO$1,Hiring_Plan_Months_Worst_Case,0))</f>
        <v>4083.75</v>
      </c>
      <c r="BP11" s="25">
        <f t="array" ref="BP11">INDEX(Hiring_Plan_Payroll_Taxes_Support_Worst_Case,MATCH(BP$1,Hiring_Plan_Months_Worst_Case,0))</f>
        <v>4083.75</v>
      </c>
      <c r="BQ11" s="25">
        <f t="array" ref="BQ11">INDEX(Hiring_Plan_Payroll_Taxes_Support_Worst_Case,MATCH(BQ$1,Hiring_Plan_Months_Worst_Case,0))</f>
        <v>4083.75</v>
      </c>
      <c r="BR11" s="25">
        <f t="array" ref="BR11">INDEX(Hiring_Plan_Payroll_Taxes_Support_Worst_Case,MATCH(BR$1,Hiring_Plan_Months_Worst_Case,0))</f>
        <v>4083.75</v>
      </c>
      <c r="BS11" s="25">
        <f t="array" ref="BS11">INDEX(Hiring_Plan_Payroll_Taxes_Support_Worst_Case,MATCH(BS$1,Hiring_Plan_Months_Worst_Case,0))</f>
        <v>4083.75</v>
      </c>
      <c r="BT11" s="25">
        <f t="array" ref="BT11">INDEX(Hiring_Plan_Payroll_Taxes_Support_Worst_Case,MATCH(BT$1,Hiring_Plan_Months_Worst_Case,0))</f>
        <v>4083.75</v>
      </c>
      <c r="BU11" s="25">
        <f t="array" ref="BU11">INDEX(Hiring_Plan_Payroll_Taxes_Support_Worst_Case,MATCH(BU$1,Hiring_Plan_Months_Worst_Case,0))</f>
        <v>4083.75</v>
      </c>
      <c r="BV11" s="25">
        <f t="array" ref="BV11">INDEX(Hiring_Plan_Payroll_Taxes_Support_Worst_Case,MATCH(BV$1,Hiring_Plan_Months_Worst_Case,0))</f>
        <v>4083.75</v>
      </c>
      <c r="BW11" s="25">
        <f t="array" ref="BW11">INDEX(Hiring_Plan_Payroll_Taxes_Support_Worst_Case,MATCH(BW$1,Hiring_Plan_Months_Worst_Case,0))</f>
        <v>4083.75</v>
      </c>
    </row>
    <row r="12" spans="1:75" ht="12.75" x14ac:dyDescent="0.2">
      <c r="A12" s="23" t="s">
        <v>254</v>
      </c>
      <c r="B12" s="224">
        <f ca="1">AVERAGEIFS(12:12,$1:$1,"&gt;="&amp;DATE(YEAR(Current_Month),MONTH(Current_Month)-2,DAY(Current_Month)),$1:$1,"&lt;="&amp;EOMONTH(Current_Month,0))</f>
        <v>59501</v>
      </c>
      <c r="D12" s="115">
        <f t="array" aca="1" ref="D12" ca="1">INDEX(INDIRECT("PnL_"&amp;TEXT(D$1,"mmm")&amp;"_"&amp;TEXT(D$1,"yyyy")),MATCH(TRIM($A12),PnL_Accounts,0))</f>
        <v>26000</v>
      </c>
      <c r="E12" s="115">
        <f t="array" aca="1" ref="E12" ca="1">INDEX(INDIRECT("PnL_"&amp;TEXT(E$1,"mmm")&amp;"_"&amp;TEXT(E$1,"yyyy")),MATCH(TRIM($A12),PnL_Accounts,0))</f>
        <v>26000</v>
      </c>
      <c r="F12" s="115">
        <f t="array" aca="1" ref="F12" ca="1">INDEX(INDIRECT("PnL_"&amp;TEXT(F$1,"mmm")&amp;"_"&amp;TEXT(F$1,"yyyy")),MATCH(TRIM($A12),PnL_Accounts,0))</f>
        <v>26000</v>
      </c>
      <c r="G12" s="115">
        <f t="array" aca="1" ref="G12" ca="1">INDEX(INDIRECT("PnL_"&amp;TEXT(G$1,"mmm")&amp;"_"&amp;TEXT(G$1,"yyyy")),MATCH(TRIM($A12),PnL_Accounts,0))</f>
        <v>31200</v>
      </c>
      <c r="H12" s="115">
        <f t="array" aca="1" ref="H12" ca="1">INDEX(INDIRECT("PnL_"&amp;TEXT(H$1,"mmm")&amp;"_"&amp;TEXT(H$1,"yyyy")),MATCH(TRIM($A12),PnL_Accounts,0))</f>
        <v>31200</v>
      </c>
      <c r="I12" s="115">
        <f t="array" aca="1" ref="I12" ca="1">INDEX(INDIRECT("PnL_"&amp;TEXT(I$1,"mmm")&amp;"_"&amp;TEXT(I$1,"yyyy")),MATCH(TRIM($A12),PnL_Accounts,0))</f>
        <v>31200</v>
      </c>
      <c r="J12" s="115">
        <f t="array" aca="1" ref="J12" ca="1">INDEX(INDIRECT("PnL_"&amp;TEXT(J$1,"mmm")&amp;"_"&amp;TEXT(J$1,"yyyy")),MATCH(TRIM($A12),PnL_Accounts,0))</f>
        <v>36200</v>
      </c>
      <c r="K12" s="115">
        <f t="array" aca="1" ref="K12" ca="1">INDEX(INDIRECT("PnL_"&amp;TEXT(K$1,"mmm")&amp;"_"&amp;TEXT(K$1,"yyyy")),MATCH(TRIM($A12),PnL_Accounts,0))</f>
        <v>36200</v>
      </c>
      <c r="L12" s="115">
        <f t="array" aca="1" ref="L12" ca="1">INDEX(INDIRECT("PnL_"&amp;TEXT(L$1,"mmm")&amp;"_"&amp;TEXT(L$1,"yyyy")),MATCH(TRIM($A12),PnL_Accounts,0))</f>
        <v>41100</v>
      </c>
      <c r="M12" s="115">
        <f t="array" aca="1" ref="M12" ca="1">INDEX(INDIRECT("PnL_"&amp;TEXT(M$1,"mmm")&amp;"_"&amp;TEXT(M$1,"yyyy")),MATCH(TRIM($A12),PnL_Accounts,0))</f>
        <v>41100</v>
      </c>
      <c r="N12" s="115">
        <f t="array" aca="1" ref="N12" ca="1">INDEX(INDIRECT("PnL_"&amp;TEXT(N$1,"mmm")&amp;"_"&amp;TEXT(N$1,"yyyy")),MATCH(TRIM($A12),PnL_Accounts,0))</f>
        <v>41100</v>
      </c>
      <c r="O12" s="115">
        <f t="array" aca="1" ref="O12" ca="1">INDEX(INDIRECT("PnL_"&amp;TEXT(O$1,"mmm")&amp;"_"&amp;TEXT(O$1,"yyyy")),MATCH(TRIM($A12),PnL_Accounts,0))</f>
        <v>56300</v>
      </c>
      <c r="P12" s="115">
        <f t="array" aca="1" ref="P12" ca="1">INDEX(INDIRECT("PnL_"&amp;TEXT(P$1,"mmm")&amp;"_"&amp;TEXT(P$1,"yyyy")),MATCH(TRIM($A12),PnL_Accounts,0))</f>
        <v>56300</v>
      </c>
      <c r="Q12" s="115">
        <f t="array" aca="1" ref="Q12" ca="1">INDEX(INDIRECT("PnL_"&amp;TEXT(Q$1,"mmm")&amp;"_"&amp;TEXT(Q$1,"yyyy")),MATCH(TRIM($A12),PnL_Accounts,0))</f>
        <v>56500</v>
      </c>
      <c r="R12" s="115">
        <f t="array" aca="1" ref="R12" ca="1">INDEX(INDIRECT("PnL_"&amp;TEXT(R$1,"mmm")&amp;"_"&amp;TEXT(R$1,"yyyy")),MATCH(TRIM($A12),PnL_Accounts,0))</f>
        <v>56500</v>
      </c>
      <c r="S12" s="115">
        <f t="array" aca="1" ref="S12" ca="1">INDEX(INDIRECT("PnL_"&amp;TEXT(S$1,"mmm")&amp;"_"&amp;TEXT(S$1,"yyyy")),MATCH(TRIM($A12),PnL_Accounts,0))</f>
        <v>56500</v>
      </c>
      <c r="T12" s="115">
        <f t="array" aca="1" ref="T12" ca="1">INDEX(INDIRECT("PnL_"&amp;TEXT(T$1,"mmm")&amp;"_"&amp;TEXT(T$1,"yyyy")),MATCH(TRIM($A12),PnL_Accounts,0))</f>
        <v>59501</v>
      </c>
      <c r="U12" s="115">
        <f t="array" aca="1" ref="U12" ca="1">INDEX(INDIRECT("PnL_"&amp;TEXT(U$1,"mmm")&amp;"_"&amp;TEXT(U$1,"yyyy")),MATCH(TRIM($A12),PnL_Accounts,0))</f>
        <v>59501</v>
      </c>
      <c r="V12" s="115">
        <f t="array" aca="1" ref="V12" ca="1">INDEX(INDIRECT("PnL_"&amp;TEXT(V$1,"mmm")&amp;"_"&amp;TEXT(V$1,"yyyy")),MATCH(TRIM($A12),PnL_Accounts,0))</f>
        <v>59501</v>
      </c>
      <c r="W12" s="115">
        <f t="array" aca="1" ref="W12" ca="1">INDEX(INDIRECT("PnL_"&amp;TEXT(W$1,"mmm")&amp;"_"&amp;TEXT(W$1,"yyyy")),MATCH(TRIM($A12),PnL_Accounts,0))</f>
        <v>59501</v>
      </c>
      <c r="X12" s="115">
        <f t="array" aca="1" ref="X12" ca="1">INDEX(INDIRECT("PnL_"&amp;TEXT(X$1,"mmm")&amp;"_"&amp;TEXT(X$1,"yyyy")),MATCH(TRIM($A12),PnL_Accounts,0))</f>
        <v>59501</v>
      </c>
      <c r="Y12" s="115">
        <f t="array" aca="1" ref="Y12" ca="1">INDEX(INDIRECT("PnL_"&amp;TEXT(Y$1,"mmm")&amp;"_"&amp;TEXT(Y$1,"yyyy")),MATCH(TRIM($A12),PnL_Accounts,0))</f>
        <v>59501</v>
      </c>
      <c r="Z12" s="115">
        <f t="array" aca="1" ref="Z12" ca="1">INDEX(INDIRECT("PnL_"&amp;TEXT(Z$1,"mmm")&amp;"_"&amp;TEXT(Z$1,"yyyy")),MATCH(TRIM($A12),PnL_Accounts,0))</f>
        <v>59501</v>
      </c>
      <c r="AA12" s="115">
        <f t="array" aca="1" ref="AA12" ca="1">INDEX(INDIRECT("PnL_"&amp;TEXT(AA$1,"mmm")&amp;"_"&amp;TEXT(AA$1,"yyyy")),MATCH(TRIM($A12),PnL_Accounts,0))</f>
        <v>59501</v>
      </c>
      <c r="AB12" s="115">
        <f t="array" aca="1" ref="AB12" ca="1">INDEX(INDIRECT("PnL_"&amp;TEXT(AB$1,"mmm")&amp;"_"&amp;TEXT(AB$1,"yyyy")),MATCH(TRIM($A12),PnL_Accounts,0))</f>
        <v>59501</v>
      </c>
      <c r="AC12" s="115">
        <f t="array" aca="1" ref="AC12" ca="1">INDEX(INDIRECT("PnL_"&amp;TEXT(AC$1,"mmm")&amp;"_"&amp;TEXT(AC$1,"yyyy")),MATCH(TRIM($A12),PnL_Accounts,0))</f>
        <v>59501</v>
      </c>
      <c r="AD12" s="115">
        <f t="array" aca="1" ref="AD12" ca="1">INDEX(INDIRECT("PnL_"&amp;TEXT(AD$1,"mmm")&amp;"_"&amp;TEXT(AD$1,"yyyy")),MATCH(TRIM($A12),PnL_Accounts,0))</f>
        <v>59501</v>
      </c>
      <c r="AE12" s="115">
        <f t="array" aca="1" ref="AE12" ca="1">INDEX(INDIRECT("PnL_"&amp;TEXT(AE$1,"mmm")&amp;"_"&amp;TEXT(AE$1,"yyyy")),MATCH(TRIM($A12),PnL_Accounts,0))</f>
        <v>59501</v>
      </c>
      <c r="AF12" s="25">
        <f t="array" ref="AF12">INDEX(Hiring_Plan_Salaries_Support_Worst_Case,MATCH(AF$1,Hiring_Plan_Months_Worst_Case,0))</f>
        <v>45375</v>
      </c>
      <c r="AG12" s="25">
        <f t="array" ref="AG12">INDEX(Hiring_Plan_Salaries_Support_Worst_Case,MATCH(AG$1,Hiring_Plan_Months_Worst_Case,0))</f>
        <v>45375</v>
      </c>
      <c r="AH12" s="25">
        <f t="array" ref="AH12">INDEX(Hiring_Plan_Salaries_Support_Worst_Case,MATCH(AH$1,Hiring_Plan_Months_Worst_Case,0))</f>
        <v>45375</v>
      </c>
      <c r="AI12" s="25">
        <f t="array" ref="AI12">INDEX(Hiring_Plan_Salaries_Support_Worst_Case,MATCH(AI$1,Hiring_Plan_Months_Worst_Case,0))</f>
        <v>45375</v>
      </c>
      <c r="AJ12" s="25">
        <f t="array" ref="AJ12">INDEX(Hiring_Plan_Salaries_Support_Worst_Case,MATCH(AJ$1,Hiring_Plan_Months_Worst_Case,0))</f>
        <v>45375</v>
      </c>
      <c r="AK12" s="25">
        <f t="array" ref="AK12">INDEX(Hiring_Plan_Salaries_Support_Worst_Case,MATCH(AK$1,Hiring_Plan_Months_Worst_Case,0))</f>
        <v>45375</v>
      </c>
      <c r="AL12" s="25">
        <f t="array" ref="AL12">INDEX(Hiring_Plan_Salaries_Support_Worst_Case,MATCH(AL$1,Hiring_Plan_Months_Worst_Case,0))</f>
        <v>45375</v>
      </c>
      <c r="AM12" s="25">
        <f t="array" ref="AM12">INDEX(Hiring_Plan_Salaries_Support_Worst_Case,MATCH(AM$1,Hiring_Plan_Months_Worst_Case,0))</f>
        <v>45375</v>
      </c>
      <c r="AN12" s="25">
        <f t="array" ref="AN12">INDEX(Hiring_Plan_Salaries_Support_Worst_Case,MATCH(AN$1,Hiring_Plan_Months_Worst_Case,0))</f>
        <v>45375</v>
      </c>
      <c r="AO12" s="25">
        <f t="array" ref="AO12">INDEX(Hiring_Plan_Salaries_Support_Worst_Case,MATCH(AO$1,Hiring_Plan_Months_Worst_Case,0))</f>
        <v>45375</v>
      </c>
      <c r="AP12" s="25">
        <f t="array" ref="AP12">INDEX(Hiring_Plan_Salaries_Support_Worst_Case,MATCH(AP$1,Hiring_Plan_Months_Worst_Case,0))</f>
        <v>45375</v>
      </c>
      <c r="AQ12" s="25">
        <f t="array" ref="AQ12">INDEX(Hiring_Plan_Salaries_Support_Worst_Case,MATCH(AQ$1,Hiring_Plan_Months_Worst_Case,0))</f>
        <v>45375</v>
      </c>
      <c r="AR12" s="25">
        <f t="array" ref="AR12">INDEX(Hiring_Plan_Salaries_Support_Worst_Case,MATCH(AR$1,Hiring_Plan_Months_Worst_Case,0))</f>
        <v>45375</v>
      </c>
      <c r="AS12" s="25">
        <f t="array" ref="AS12">INDEX(Hiring_Plan_Salaries_Support_Worst_Case,MATCH(AS$1,Hiring_Plan_Months_Worst_Case,0))</f>
        <v>45375</v>
      </c>
      <c r="AT12" s="25">
        <f t="array" ref="AT12">INDEX(Hiring_Plan_Salaries_Support_Worst_Case,MATCH(AT$1,Hiring_Plan_Months_Worst_Case,0))</f>
        <v>45375</v>
      </c>
      <c r="AU12" s="25">
        <f t="array" ref="AU12">INDEX(Hiring_Plan_Salaries_Support_Worst_Case,MATCH(AU$1,Hiring_Plan_Months_Worst_Case,0))</f>
        <v>45375</v>
      </c>
      <c r="AV12" s="25">
        <f t="array" ref="AV12">INDEX(Hiring_Plan_Salaries_Support_Worst_Case,MATCH(AV$1,Hiring_Plan_Months_Worst_Case,0))</f>
        <v>45375</v>
      </c>
      <c r="AW12" s="25">
        <f t="array" ref="AW12">INDEX(Hiring_Plan_Salaries_Support_Worst_Case,MATCH(AW$1,Hiring_Plan_Months_Worst_Case,0))</f>
        <v>45375</v>
      </c>
      <c r="AX12" s="25">
        <f t="array" ref="AX12">INDEX(Hiring_Plan_Salaries_Support_Worst_Case,MATCH(AX$1,Hiring_Plan_Months_Worst_Case,0))</f>
        <v>45375</v>
      </c>
      <c r="AY12" s="25">
        <f t="array" ref="AY12">INDEX(Hiring_Plan_Salaries_Support_Worst_Case,MATCH(AY$1,Hiring_Plan_Months_Worst_Case,0))</f>
        <v>45375</v>
      </c>
      <c r="AZ12" s="25">
        <f t="array" ref="AZ12">INDEX(Hiring_Plan_Salaries_Support_Worst_Case,MATCH(AZ$1,Hiring_Plan_Months_Worst_Case,0))</f>
        <v>45375</v>
      </c>
      <c r="BA12" s="25">
        <f t="array" ref="BA12">INDEX(Hiring_Plan_Salaries_Support_Worst_Case,MATCH(BA$1,Hiring_Plan_Months_Worst_Case,0))</f>
        <v>45375</v>
      </c>
      <c r="BB12" s="25">
        <f t="array" ref="BB12">INDEX(Hiring_Plan_Salaries_Support_Worst_Case,MATCH(BB$1,Hiring_Plan_Months_Worst_Case,0))</f>
        <v>45375</v>
      </c>
      <c r="BC12" s="25">
        <f t="array" ref="BC12">INDEX(Hiring_Plan_Salaries_Support_Worst_Case,MATCH(BC$1,Hiring_Plan_Months_Worst_Case,0))</f>
        <v>45375</v>
      </c>
      <c r="BD12" s="25">
        <f t="array" ref="BD12">INDEX(Hiring_Plan_Salaries_Support_Worst_Case,MATCH(BD$1,Hiring_Plan_Months_Worst_Case,0))</f>
        <v>45375</v>
      </c>
      <c r="BE12" s="25">
        <f t="array" ref="BE12">INDEX(Hiring_Plan_Salaries_Support_Worst_Case,MATCH(BE$1,Hiring_Plan_Months_Worst_Case,0))</f>
        <v>45375</v>
      </c>
      <c r="BF12" s="25">
        <f t="array" ref="BF12">INDEX(Hiring_Plan_Salaries_Support_Worst_Case,MATCH(BF$1,Hiring_Plan_Months_Worst_Case,0))</f>
        <v>45375</v>
      </c>
      <c r="BG12" s="25">
        <f t="array" ref="BG12">INDEX(Hiring_Plan_Salaries_Support_Worst_Case,MATCH(BG$1,Hiring_Plan_Months_Worst_Case,0))</f>
        <v>45375</v>
      </c>
      <c r="BH12" s="25">
        <f t="array" ref="BH12">INDEX(Hiring_Plan_Salaries_Support_Worst_Case,MATCH(BH$1,Hiring_Plan_Months_Worst_Case,0))</f>
        <v>45375</v>
      </c>
      <c r="BI12" s="25">
        <f t="array" ref="BI12">INDEX(Hiring_Plan_Salaries_Support_Worst_Case,MATCH(BI$1,Hiring_Plan_Months_Worst_Case,0))</f>
        <v>45375</v>
      </c>
      <c r="BJ12" s="25">
        <f t="array" ref="BJ12">INDEX(Hiring_Plan_Salaries_Support_Worst_Case,MATCH(BJ$1,Hiring_Plan_Months_Worst_Case,0))</f>
        <v>45375</v>
      </c>
      <c r="BK12" s="25">
        <f t="array" ref="BK12">INDEX(Hiring_Plan_Salaries_Support_Worst_Case,MATCH(BK$1,Hiring_Plan_Months_Worst_Case,0))</f>
        <v>45375</v>
      </c>
      <c r="BL12" s="25">
        <f t="array" ref="BL12">INDEX(Hiring_Plan_Salaries_Support_Worst_Case,MATCH(BL$1,Hiring_Plan_Months_Worst_Case,0))</f>
        <v>45375</v>
      </c>
      <c r="BM12" s="25">
        <f t="array" ref="BM12">INDEX(Hiring_Plan_Salaries_Support_Worst_Case,MATCH(BM$1,Hiring_Plan_Months_Worst_Case,0))</f>
        <v>45375</v>
      </c>
      <c r="BN12" s="25">
        <f t="array" ref="BN12">INDEX(Hiring_Plan_Salaries_Support_Worst_Case,MATCH(BN$1,Hiring_Plan_Months_Worst_Case,0))</f>
        <v>45375</v>
      </c>
      <c r="BO12" s="25">
        <f t="array" ref="BO12">INDEX(Hiring_Plan_Salaries_Support_Worst_Case,MATCH(BO$1,Hiring_Plan_Months_Worst_Case,0))</f>
        <v>45375</v>
      </c>
      <c r="BP12" s="25">
        <f t="array" ref="BP12">INDEX(Hiring_Plan_Salaries_Support_Worst_Case,MATCH(BP$1,Hiring_Plan_Months_Worst_Case,0))</f>
        <v>45375</v>
      </c>
      <c r="BQ12" s="25">
        <f t="array" ref="BQ12">INDEX(Hiring_Plan_Salaries_Support_Worst_Case,MATCH(BQ$1,Hiring_Plan_Months_Worst_Case,0))</f>
        <v>45375</v>
      </c>
      <c r="BR12" s="25">
        <f t="array" ref="BR12">INDEX(Hiring_Plan_Salaries_Support_Worst_Case,MATCH(BR$1,Hiring_Plan_Months_Worst_Case,0))</f>
        <v>45375</v>
      </c>
      <c r="BS12" s="25">
        <f t="array" ref="BS12">INDEX(Hiring_Plan_Salaries_Support_Worst_Case,MATCH(BS$1,Hiring_Plan_Months_Worst_Case,0))</f>
        <v>45375</v>
      </c>
      <c r="BT12" s="25">
        <f t="array" ref="BT12">INDEX(Hiring_Plan_Salaries_Support_Worst_Case,MATCH(BT$1,Hiring_Plan_Months_Worst_Case,0))</f>
        <v>45375</v>
      </c>
      <c r="BU12" s="25">
        <f t="array" ref="BU12">INDEX(Hiring_Plan_Salaries_Support_Worst_Case,MATCH(BU$1,Hiring_Plan_Months_Worst_Case,0))</f>
        <v>45375</v>
      </c>
      <c r="BV12" s="25">
        <f t="array" ref="BV12">INDEX(Hiring_Plan_Salaries_Support_Worst_Case,MATCH(BV$1,Hiring_Plan_Months_Worst_Case,0))</f>
        <v>45375</v>
      </c>
      <c r="BW12" s="25">
        <f t="array" ref="BW12">INDEX(Hiring_Plan_Salaries_Support_Worst_Case,MATCH(BW$1,Hiring_Plan_Months_Worst_Case,0))</f>
        <v>45375</v>
      </c>
    </row>
    <row r="13" spans="1:75" ht="12.75" x14ac:dyDescent="0.2">
      <c r="A13" s="60" t="s">
        <v>257</v>
      </c>
      <c r="B13" s="238"/>
      <c r="C13" s="212"/>
      <c r="D13" s="226">
        <f t="shared" ref="D13:BW13" ca="1" si="2">SUM(D9:D12)</f>
        <v>29325</v>
      </c>
      <c r="E13" s="226">
        <f t="shared" ca="1" si="2"/>
        <v>29325</v>
      </c>
      <c r="F13" s="226">
        <f t="shared" ca="1" si="2"/>
        <v>29325</v>
      </c>
      <c r="G13" s="226">
        <f t="shared" ca="1" si="2"/>
        <v>35190</v>
      </c>
      <c r="H13" s="226">
        <f t="shared" ca="1" si="2"/>
        <v>35190</v>
      </c>
      <c r="I13" s="226">
        <f t="shared" ca="1" si="2"/>
        <v>35190</v>
      </c>
      <c r="J13" s="226">
        <f t="shared" ca="1" si="2"/>
        <v>40837</v>
      </c>
      <c r="K13" s="226">
        <f t="shared" ca="1" si="2"/>
        <v>40837</v>
      </c>
      <c r="L13" s="226">
        <f t="shared" ca="1" si="2"/>
        <v>46375</v>
      </c>
      <c r="M13" s="226">
        <f t="shared" ca="1" si="2"/>
        <v>46375</v>
      </c>
      <c r="N13" s="226">
        <f t="shared" ca="1" si="2"/>
        <v>46375</v>
      </c>
      <c r="O13" s="226">
        <f t="shared" ca="1" si="2"/>
        <v>63140</v>
      </c>
      <c r="P13" s="226">
        <f t="shared" ca="1" si="2"/>
        <v>63140</v>
      </c>
      <c r="Q13" s="226">
        <f t="shared" ca="1" si="2"/>
        <v>63340</v>
      </c>
      <c r="R13" s="226">
        <f t="shared" ca="1" si="2"/>
        <v>63340</v>
      </c>
      <c r="S13" s="226">
        <f t="shared" ca="1" si="2"/>
        <v>64340</v>
      </c>
      <c r="T13" s="226">
        <f t="shared" ca="1" si="2"/>
        <v>68041</v>
      </c>
      <c r="U13" s="226">
        <f t="shared" ca="1" si="2"/>
        <v>68041</v>
      </c>
      <c r="V13" s="226">
        <f t="shared" ca="1" si="2"/>
        <v>68041</v>
      </c>
      <c r="W13" s="226">
        <f t="shared" ca="1" si="2"/>
        <v>68041</v>
      </c>
      <c r="X13" s="226">
        <f t="shared" ca="1" si="2"/>
        <v>68041</v>
      </c>
      <c r="Y13" s="226">
        <f t="shared" ca="1" si="2"/>
        <v>68041</v>
      </c>
      <c r="Z13" s="226">
        <f t="shared" ca="1" si="2"/>
        <v>68041</v>
      </c>
      <c r="AA13" s="226">
        <f t="shared" ca="1" si="2"/>
        <v>68041</v>
      </c>
      <c r="AB13" s="226">
        <f t="shared" ca="1" si="2"/>
        <v>68041</v>
      </c>
      <c r="AC13" s="226">
        <f t="shared" ca="1" si="2"/>
        <v>68041</v>
      </c>
      <c r="AD13" s="226">
        <f t="shared" ca="1" si="2"/>
        <v>68041</v>
      </c>
      <c r="AE13" s="226">
        <f t="shared" ca="1" si="2"/>
        <v>68041</v>
      </c>
      <c r="AF13" s="226">
        <f t="shared" si="2"/>
        <v>54773.75</v>
      </c>
      <c r="AG13" s="226">
        <f t="shared" si="2"/>
        <v>54773.75</v>
      </c>
      <c r="AH13" s="226">
        <f t="shared" si="2"/>
        <v>54773.75</v>
      </c>
      <c r="AI13" s="226">
        <f t="shared" si="2"/>
        <v>54773.75</v>
      </c>
      <c r="AJ13" s="226">
        <f t="shared" si="2"/>
        <v>54773.75</v>
      </c>
      <c r="AK13" s="226">
        <f t="shared" si="2"/>
        <v>54773.75</v>
      </c>
      <c r="AL13" s="226">
        <f t="shared" si="2"/>
        <v>54773.75</v>
      </c>
      <c r="AM13" s="226">
        <f t="shared" si="2"/>
        <v>54773.75</v>
      </c>
      <c r="AN13" s="226">
        <f t="shared" si="2"/>
        <v>54773.75</v>
      </c>
      <c r="AO13" s="226">
        <f t="shared" si="2"/>
        <v>54773.75</v>
      </c>
      <c r="AP13" s="226">
        <f t="shared" si="2"/>
        <v>54773.75</v>
      </c>
      <c r="AQ13" s="226">
        <f t="shared" si="2"/>
        <v>54773.75</v>
      </c>
      <c r="AR13" s="226">
        <f t="shared" si="2"/>
        <v>54773.75</v>
      </c>
      <c r="AS13" s="226">
        <f t="shared" si="2"/>
        <v>54773.75</v>
      </c>
      <c r="AT13" s="226">
        <f t="shared" si="2"/>
        <v>54773.75</v>
      </c>
      <c r="AU13" s="226">
        <f t="shared" si="2"/>
        <v>54773.75</v>
      </c>
      <c r="AV13" s="226">
        <f t="shared" si="2"/>
        <v>54773.75</v>
      </c>
      <c r="AW13" s="226">
        <f t="shared" si="2"/>
        <v>54773.75</v>
      </c>
      <c r="AX13" s="226">
        <f t="shared" si="2"/>
        <v>54773.75</v>
      </c>
      <c r="AY13" s="226">
        <f t="shared" si="2"/>
        <v>54773.75</v>
      </c>
      <c r="AZ13" s="226">
        <f t="shared" si="2"/>
        <v>54773.75</v>
      </c>
      <c r="BA13" s="226">
        <f t="shared" si="2"/>
        <v>54773.75</v>
      </c>
      <c r="BB13" s="226">
        <f t="shared" si="2"/>
        <v>54773.75</v>
      </c>
      <c r="BC13" s="226">
        <f t="shared" si="2"/>
        <v>54773.75</v>
      </c>
      <c r="BD13" s="226">
        <f t="shared" si="2"/>
        <v>54773.75</v>
      </c>
      <c r="BE13" s="226">
        <f t="shared" si="2"/>
        <v>54773.75</v>
      </c>
      <c r="BF13" s="226">
        <f t="shared" si="2"/>
        <v>54773.75</v>
      </c>
      <c r="BG13" s="226">
        <f t="shared" si="2"/>
        <v>54773.75</v>
      </c>
      <c r="BH13" s="226">
        <f t="shared" si="2"/>
        <v>54773.75</v>
      </c>
      <c r="BI13" s="226">
        <f t="shared" si="2"/>
        <v>54773.75</v>
      </c>
      <c r="BJ13" s="226">
        <f t="shared" si="2"/>
        <v>54773.75</v>
      </c>
      <c r="BK13" s="226">
        <f t="shared" si="2"/>
        <v>54773.75</v>
      </c>
      <c r="BL13" s="226">
        <f t="shared" si="2"/>
        <v>54773.75</v>
      </c>
      <c r="BM13" s="226">
        <f t="shared" si="2"/>
        <v>54773.75</v>
      </c>
      <c r="BN13" s="226">
        <f t="shared" si="2"/>
        <v>54773.75</v>
      </c>
      <c r="BO13" s="226">
        <f t="shared" si="2"/>
        <v>54773.75</v>
      </c>
      <c r="BP13" s="226">
        <f t="shared" si="2"/>
        <v>54773.75</v>
      </c>
      <c r="BQ13" s="226">
        <f t="shared" si="2"/>
        <v>54773.75</v>
      </c>
      <c r="BR13" s="226">
        <f t="shared" si="2"/>
        <v>54773.75</v>
      </c>
      <c r="BS13" s="226">
        <f t="shared" si="2"/>
        <v>54773.75</v>
      </c>
      <c r="BT13" s="226">
        <f t="shared" si="2"/>
        <v>54773.75</v>
      </c>
      <c r="BU13" s="226">
        <f t="shared" si="2"/>
        <v>54773.75</v>
      </c>
      <c r="BV13" s="226">
        <f t="shared" si="2"/>
        <v>54773.75</v>
      </c>
      <c r="BW13" s="226">
        <f t="shared" si="2"/>
        <v>54773.75</v>
      </c>
    </row>
    <row r="14" spans="1:75" ht="12.75" x14ac:dyDescent="0.2">
      <c r="A14" s="23" t="s">
        <v>259</v>
      </c>
      <c r="B14" s="240">
        <f ca="1">AVERAGEIFS(14:14,$1:$1,"&gt;="&amp;DATE(YEAR(Current_Month),MONTH(Current_Month)-2,DAY(Current_Month)),$1:$1,"&lt;="&amp;EOMONTH(Current_Month,0))/AVERAGEIFS(Oper_Model_Revenue,$1:$1,"&gt;="&amp;DATE(YEAR(Current_Month),MONTH(Current_Month)-2,DAY(Current_Month)),$1:$1,"&lt;="&amp;EOMONTH(Current_Month,0))</f>
        <v>9.0574497282173688E-3</v>
      </c>
      <c r="D14" s="115">
        <f t="array" aca="1" ref="D14" ca="1">INDEX(INDIRECT("PnL_"&amp;TEXT(D$1,"mmm")&amp;"_"&amp;TEXT(D$1,"yyyy")),MATCH(TRIM($A14),PnL_Accounts,0))</f>
        <v>4958</v>
      </c>
      <c r="E14" s="115">
        <f t="array" aca="1" ref="E14" ca="1">INDEX(INDIRECT("PnL_"&amp;TEXT(E$1,"mmm")&amp;"_"&amp;TEXT(E$1,"yyyy")),MATCH(TRIM($A14),PnL_Accounts,0))</f>
        <v>5068</v>
      </c>
      <c r="F14" s="115">
        <f t="array" aca="1" ref="F14" ca="1">INDEX(INDIRECT("PnL_"&amp;TEXT(F$1,"mmm")&amp;"_"&amp;TEXT(F$1,"yyyy")),MATCH(TRIM($A14),PnL_Accounts,0))</f>
        <v>5152</v>
      </c>
      <c r="G14" s="115">
        <f t="array" aca="1" ref="G14" ca="1">INDEX(INDIRECT("PnL_"&amp;TEXT(G$1,"mmm")&amp;"_"&amp;TEXT(G$1,"yyyy")),MATCH(TRIM($A14),PnL_Accounts,0))</f>
        <v>5195</v>
      </c>
      <c r="H14" s="115">
        <f t="array" aca="1" ref="H14" ca="1">INDEX(INDIRECT("PnL_"&amp;TEXT(H$1,"mmm")&amp;"_"&amp;TEXT(H$1,"yyyy")),MATCH(TRIM($A14),PnL_Accounts,0))</f>
        <v>5317</v>
      </c>
      <c r="I14" s="115">
        <f t="array" aca="1" ref="I14" ca="1">INDEX(INDIRECT("PnL_"&amp;TEXT(I$1,"mmm")&amp;"_"&amp;TEXT(I$1,"yyyy")),MATCH(TRIM($A14),PnL_Accounts,0))</f>
        <v>5443</v>
      </c>
      <c r="J14" s="115">
        <f t="array" aca="1" ref="J14" ca="1">INDEX(INDIRECT("PnL_"&amp;TEXT(J$1,"mmm")&amp;"_"&amp;TEXT(J$1,"yyyy")),MATCH(TRIM($A14),PnL_Accounts,0))</f>
        <v>5525</v>
      </c>
      <c r="K14" s="115">
        <f t="array" aca="1" ref="K14" ca="1">INDEX(INDIRECT("PnL_"&amp;TEXT(K$1,"mmm")&amp;"_"&amp;TEXT(K$1,"yyyy")),MATCH(TRIM($A14),PnL_Accounts,0))</f>
        <v>5460</v>
      </c>
      <c r="L14" s="115">
        <f t="array" aca="1" ref="L14" ca="1">INDEX(INDIRECT("PnL_"&amp;TEXT(L$1,"mmm")&amp;"_"&amp;TEXT(L$1,"yyyy")),MATCH(TRIM($A14),PnL_Accounts,0))</f>
        <v>5320</v>
      </c>
      <c r="M14" s="115">
        <f t="array" aca="1" ref="M14" ca="1">INDEX(INDIRECT("PnL_"&amp;TEXT(M$1,"mmm")&amp;"_"&amp;TEXT(M$1,"yyyy")),MATCH(TRIM($A14),PnL_Accounts,0))</f>
        <v>5497</v>
      </c>
      <c r="N14" s="115">
        <f t="array" aca="1" ref="N14" ca="1">INDEX(INDIRECT("PnL_"&amp;TEXT(N$1,"mmm")&amp;"_"&amp;TEXT(N$1,"yyyy")),MATCH(TRIM($A14),PnL_Accounts,0))</f>
        <v>5687</v>
      </c>
      <c r="O14" s="115">
        <f t="array" aca="1" ref="O14" ca="1">INDEX(INDIRECT("PnL_"&amp;TEXT(O$1,"mmm")&amp;"_"&amp;TEXT(O$1,"yyyy")),MATCH(TRIM($A14),PnL_Accounts,0))</f>
        <v>5824</v>
      </c>
      <c r="P14" s="115">
        <f t="array" aca="1" ref="P14" ca="1">INDEX(INDIRECT("PnL_"&amp;TEXT(P$1,"mmm")&amp;"_"&amp;TEXT(P$1,"yyyy")),MATCH(TRIM($A14),PnL_Accounts,0))</f>
        <v>4830</v>
      </c>
      <c r="Q14" s="115">
        <f t="array" aca="1" ref="Q14" ca="1">INDEX(INDIRECT("PnL_"&amp;TEXT(Q$1,"mmm")&amp;"_"&amp;TEXT(Q$1,"yyyy")),MATCH(TRIM($A14),PnL_Accounts,0))</f>
        <v>6476</v>
      </c>
      <c r="R14" s="115">
        <f t="array" aca="1" ref="R14" ca="1">INDEX(INDIRECT("PnL_"&amp;TEXT(R$1,"mmm")&amp;"_"&amp;TEXT(R$1,"yyyy")),MATCH(TRIM($A14),PnL_Accounts,0))</f>
        <v>6788</v>
      </c>
      <c r="S14" s="115">
        <f t="array" aca="1" ref="S14" ca="1">INDEX(INDIRECT("PnL_"&amp;TEXT(S$1,"mmm")&amp;"_"&amp;TEXT(S$1,"yyyy")),MATCH(TRIM($A14),PnL_Accounts,0))</f>
        <v>6788</v>
      </c>
      <c r="T14" s="115">
        <f t="array" aca="1" ref="T14" ca="1">INDEX(INDIRECT("PnL_"&amp;TEXT(T$1,"mmm")&amp;"_"&amp;TEXT(T$1,"yyyy")),MATCH(TRIM($A14),PnL_Accounts,0))</f>
        <v>7214</v>
      </c>
      <c r="U14" s="115">
        <f t="array" aca="1" ref="U14" ca="1">INDEX(INDIRECT("PnL_"&amp;TEXT(U$1,"mmm")&amp;"_"&amp;TEXT(U$1,"yyyy")),MATCH(TRIM($A14),PnL_Accounts,0))</f>
        <v>7433</v>
      </c>
      <c r="V14" s="115">
        <f t="array" aca="1" ref="V14" ca="1">INDEX(INDIRECT("PnL_"&amp;TEXT(V$1,"mmm")&amp;"_"&amp;TEXT(V$1,"yyyy")),MATCH(TRIM($A14),PnL_Accounts,0))</f>
        <v>7296</v>
      </c>
      <c r="W14" s="115">
        <f t="array" aca="1" ref="W14" ca="1">INDEX(INDIRECT("PnL_"&amp;TEXT(W$1,"mmm")&amp;"_"&amp;TEXT(W$1,"yyyy")),MATCH(TRIM($A14),PnL_Accounts,0))</f>
        <v>7521</v>
      </c>
      <c r="X14" s="115">
        <f t="array" aca="1" ref="X14" ca="1">INDEX(INDIRECT("PnL_"&amp;TEXT(X$1,"mmm")&amp;"_"&amp;TEXT(X$1,"yyyy")),MATCH(TRIM($A14),PnL_Accounts,0))</f>
        <v>7521</v>
      </c>
      <c r="Y14" s="115">
        <f t="array" aca="1" ref="Y14" ca="1">INDEX(INDIRECT("PnL_"&amp;TEXT(Y$1,"mmm")&amp;"_"&amp;TEXT(Y$1,"yyyy")),MATCH(TRIM($A14),PnL_Accounts,0))</f>
        <v>7521</v>
      </c>
      <c r="Z14" s="115">
        <f t="array" aca="1" ref="Z14" ca="1">INDEX(INDIRECT("PnL_"&amp;TEXT(Z$1,"mmm")&amp;"_"&amp;TEXT(Z$1,"yyyy")),MATCH(TRIM($A14),PnL_Accounts,0))</f>
        <v>7599</v>
      </c>
      <c r="AA14" s="115">
        <f t="array" aca="1" ref="AA14" ca="1">INDEX(INDIRECT("PnL_"&amp;TEXT(AA$1,"mmm")&amp;"_"&amp;TEXT(AA$1,"yyyy")),MATCH(TRIM($A14),PnL_Accounts,0))</f>
        <v>8976</v>
      </c>
      <c r="AB14" s="115">
        <f t="array" aca="1" ref="AB14" ca="1">INDEX(INDIRECT("PnL_"&amp;TEXT(AB$1,"mmm")&amp;"_"&amp;TEXT(AB$1,"yyyy")),MATCH(TRIM($A14),PnL_Accounts,0))</f>
        <v>8976</v>
      </c>
      <c r="AC14" s="115">
        <f t="array" aca="1" ref="AC14" ca="1">INDEX(INDIRECT("PnL_"&amp;TEXT(AC$1,"mmm")&amp;"_"&amp;TEXT(AC$1,"yyyy")),MATCH(TRIM($A14),PnL_Accounts,0))</f>
        <v>8155</v>
      </c>
      <c r="AD14" s="115">
        <f t="array" aca="1" ref="AD14" ca="1">INDEX(INDIRECT("PnL_"&amp;TEXT(AD$1,"mmm")&amp;"_"&amp;TEXT(AD$1,"yyyy")),MATCH(TRIM($A14),PnL_Accounts,0))</f>
        <v>7155</v>
      </c>
      <c r="AE14" s="115">
        <f t="array" aca="1" ref="AE14" ca="1">INDEX(INDIRECT("PnL_"&amp;TEXT(AE$1,"mmm")&amp;"_"&amp;TEXT(AE$1,"yyyy")),MATCH(TRIM($A14),PnL_Accounts,0))</f>
        <v>6974</v>
      </c>
      <c r="AF14" s="115">
        <f t="shared" ref="AF14:BW14" ca="1" si="3">$B14*AF$5</f>
        <v>6805.3254401741378</v>
      </c>
      <c r="AG14" s="115">
        <f t="shared" ca="1" si="3"/>
        <v>6514.710116860746</v>
      </c>
      <c r="AH14" s="115">
        <f t="shared" ca="1" si="3"/>
        <v>6330.9392023670089</v>
      </c>
      <c r="AI14" s="115">
        <f t="shared" ca="1" si="3"/>
        <v>6303.1635414836946</v>
      </c>
      <c r="AJ14" s="115">
        <f t="shared" ca="1" si="3"/>
        <v>6351.7530062055857</v>
      </c>
      <c r="AK14" s="115">
        <f t="shared" ca="1" si="3"/>
        <v>6413.8478894195241</v>
      </c>
      <c r="AL14" s="115">
        <f t="shared" ca="1" si="3"/>
        <v>6469.4084660451517</v>
      </c>
      <c r="AM14" s="115">
        <f t="shared" ca="1" si="3"/>
        <v>6532.5329587036313</v>
      </c>
      <c r="AN14" s="115">
        <f t="shared" ca="1" si="3"/>
        <v>6592.7095476101194</v>
      </c>
      <c r="AO14" s="115">
        <f t="shared" ca="1" si="3"/>
        <v>6661.2298549188554</v>
      </c>
      <c r="AP14" s="115">
        <f t="shared" ca="1" si="3"/>
        <v>6726.2677917048031</v>
      </c>
      <c r="AQ14" s="115">
        <f t="shared" ca="1" si="3"/>
        <v>6799.387875381557</v>
      </c>
      <c r="AR14" s="115">
        <f t="shared" ca="1" si="3"/>
        <v>6880.3339786281267</v>
      </c>
      <c r="AS14" s="115">
        <f t="shared" ca="1" si="3"/>
        <v>6957.5490308112649</v>
      </c>
      <c r="AT14" s="115">
        <f t="shared" ca="1" si="3"/>
        <v>7042.4233550388262</v>
      </c>
      <c r="AU14" s="115">
        <f t="shared" ca="1" si="3"/>
        <v>7123.4316445542272</v>
      </c>
      <c r="AV14" s="115">
        <f t="shared" ca="1" si="3"/>
        <v>7211.9146704337372</v>
      </c>
      <c r="AW14" s="115">
        <f t="shared" ca="1" si="3"/>
        <v>7307.6767676244108</v>
      </c>
      <c r="AX14" s="115">
        <f t="shared" ca="1" si="3"/>
        <v>7399.2081271544812</v>
      </c>
      <c r="AY14" s="115">
        <f t="shared" ca="1" si="3"/>
        <v>7497.858526427829</v>
      </c>
      <c r="AZ14" s="115">
        <f t="shared" ca="1" si="3"/>
        <v>7722.7942822206642</v>
      </c>
      <c r="BA14" s="115">
        <f t="shared" ca="1" si="3"/>
        <v>7954.4781106872842</v>
      </c>
      <c r="BB14" s="115">
        <f t="shared" ca="1" si="3"/>
        <v>8193.1124540079036</v>
      </c>
      <c r="BC14" s="115">
        <f t="shared" ca="1" si="3"/>
        <v>8438.9058276281394</v>
      </c>
      <c r="BD14" s="115">
        <f t="shared" ca="1" si="3"/>
        <v>8692.0730024569839</v>
      </c>
      <c r="BE14" s="115">
        <f t="shared" ca="1" si="3"/>
        <v>8952.8351925306943</v>
      </c>
      <c r="BF14" s="115">
        <f t="shared" ca="1" si="3"/>
        <v>9221.4202483066147</v>
      </c>
      <c r="BG14" s="115">
        <f t="shared" ca="1" si="3"/>
        <v>9498.0628557558139</v>
      </c>
      <c r="BH14" s="115">
        <f t="shared" ca="1" si="3"/>
        <v>9783.0047414284873</v>
      </c>
      <c r="BI14" s="115">
        <f t="shared" ca="1" si="3"/>
        <v>10076.494883671343</v>
      </c>
      <c r="BJ14" s="115">
        <f t="shared" ca="1" si="3"/>
        <v>10378.789730181485</v>
      </c>
      <c r="BK14" s="115">
        <f t="shared" ca="1" si="3"/>
        <v>10690.153422086929</v>
      </c>
      <c r="BL14" s="115">
        <f t="shared" ca="1" si="3"/>
        <v>11010.858024749536</v>
      </c>
      <c r="BM14" s="115">
        <f t="shared" ca="1" si="3"/>
        <v>11341.18376549202</v>
      </c>
      <c r="BN14" s="115">
        <f t="shared" ca="1" si="3"/>
        <v>11681.41927845678</v>
      </c>
      <c r="BO14" s="115">
        <f t="shared" ca="1" si="3"/>
        <v>12031.861856810483</v>
      </c>
      <c r="BP14" s="115">
        <f t="shared" ca="1" si="3"/>
        <v>12392.817712514799</v>
      </c>
      <c r="BQ14" s="115">
        <f t="shared" ca="1" si="3"/>
        <v>12764.602243890244</v>
      </c>
      <c r="BR14" s="115">
        <f t="shared" ca="1" si="3"/>
        <v>13147.540311206951</v>
      </c>
      <c r="BS14" s="115">
        <f t="shared" ca="1" si="3"/>
        <v>13541.966520543159</v>
      </c>
      <c r="BT14" s="115">
        <f t="shared" ca="1" si="3"/>
        <v>13948.225516159455</v>
      </c>
      <c r="BU14" s="115">
        <f t="shared" ca="1" si="3"/>
        <v>14366.672281644238</v>
      </c>
      <c r="BV14" s="115">
        <f t="shared" ca="1" si="3"/>
        <v>14797.672450093565</v>
      </c>
      <c r="BW14" s="115">
        <f t="shared" ca="1" si="3"/>
        <v>15241.602623596373</v>
      </c>
    </row>
    <row r="15" spans="1:75" ht="12.75" x14ac:dyDescent="0.2">
      <c r="A15" s="60" t="s">
        <v>262</v>
      </c>
      <c r="B15" s="238"/>
      <c r="C15" s="212"/>
      <c r="D15" s="226">
        <f t="shared" ref="D15:BW15" ca="1" si="4">SUM(D14,D13)</f>
        <v>34283</v>
      </c>
      <c r="E15" s="226">
        <f t="shared" ca="1" si="4"/>
        <v>34393</v>
      </c>
      <c r="F15" s="226">
        <f t="shared" ca="1" si="4"/>
        <v>34477</v>
      </c>
      <c r="G15" s="226">
        <f t="shared" ca="1" si="4"/>
        <v>40385</v>
      </c>
      <c r="H15" s="226">
        <f t="shared" ca="1" si="4"/>
        <v>40507</v>
      </c>
      <c r="I15" s="226">
        <f t="shared" ca="1" si="4"/>
        <v>40633</v>
      </c>
      <c r="J15" s="226">
        <f t="shared" ca="1" si="4"/>
        <v>46362</v>
      </c>
      <c r="K15" s="226">
        <f t="shared" ca="1" si="4"/>
        <v>46297</v>
      </c>
      <c r="L15" s="226">
        <f t="shared" ca="1" si="4"/>
        <v>51695</v>
      </c>
      <c r="M15" s="226">
        <f t="shared" ca="1" si="4"/>
        <v>51872</v>
      </c>
      <c r="N15" s="226">
        <f t="shared" ca="1" si="4"/>
        <v>52062</v>
      </c>
      <c r="O15" s="226">
        <f t="shared" ca="1" si="4"/>
        <v>68964</v>
      </c>
      <c r="P15" s="226">
        <f t="shared" ca="1" si="4"/>
        <v>67970</v>
      </c>
      <c r="Q15" s="226">
        <f t="shared" ca="1" si="4"/>
        <v>69816</v>
      </c>
      <c r="R15" s="226">
        <f t="shared" ca="1" si="4"/>
        <v>70128</v>
      </c>
      <c r="S15" s="226">
        <f t="shared" ca="1" si="4"/>
        <v>71128</v>
      </c>
      <c r="T15" s="226">
        <f t="shared" ca="1" si="4"/>
        <v>75255</v>
      </c>
      <c r="U15" s="226">
        <f t="shared" ca="1" si="4"/>
        <v>75474</v>
      </c>
      <c r="V15" s="226">
        <f t="shared" ca="1" si="4"/>
        <v>75337</v>
      </c>
      <c r="W15" s="226">
        <f t="shared" ca="1" si="4"/>
        <v>75562</v>
      </c>
      <c r="X15" s="226">
        <f t="shared" ca="1" si="4"/>
        <v>75562</v>
      </c>
      <c r="Y15" s="226">
        <f t="shared" ca="1" si="4"/>
        <v>75562</v>
      </c>
      <c r="Z15" s="226">
        <f t="shared" ca="1" si="4"/>
        <v>75640</v>
      </c>
      <c r="AA15" s="226">
        <f t="shared" ca="1" si="4"/>
        <v>77017</v>
      </c>
      <c r="AB15" s="226">
        <f t="shared" ca="1" si="4"/>
        <v>77017</v>
      </c>
      <c r="AC15" s="226">
        <f t="shared" ca="1" si="4"/>
        <v>76196</v>
      </c>
      <c r="AD15" s="226">
        <f t="shared" ca="1" si="4"/>
        <v>75196</v>
      </c>
      <c r="AE15" s="226">
        <f t="shared" ca="1" si="4"/>
        <v>75015</v>
      </c>
      <c r="AF15" s="226">
        <f t="shared" ca="1" si="4"/>
        <v>61579.075440174136</v>
      </c>
      <c r="AG15" s="226">
        <f t="shared" ca="1" si="4"/>
        <v>61288.460116860748</v>
      </c>
      <c r="AH15" s="226">
        <f t="shared" ca="1" si="4"/>
        <v>61104.689202367008</v>
      </c>
      <c r="AI15" s="226">
        <f t="shared" ca="1" si="4"/>
        <v>61076.913541483693</v>
      </c>
      <c r="AJ15" s="226">
        <f t="shared" ca="1" si="4"/>
        <v>61125.503006205588</v>
      </c>
      <c r="AK15" s="226">
        <f t="shared" ca="1" si="4"/>
        <v>61187.597889419521</v>
      </c>
      <c r="AL15" s="226">
        <f t="shared" ca="1" si="4"/>
        <v>61243.158466045148</v>
      </c>
      <c r="AM15" s="226">
        <f t="shared" ca="1" si="4"/>
        <v>61306.282958703632</v>
      </c>
      <c r="AN15" s="226">
        <f t="shared" ca="1" si="4"/>
        <v>61366.459547610117</v>
      </c>
      <c r="AO15" s="226">
        <f t="shared" ca="1" si="4"/>
        <v>61434.979854918856</v>
      </c>
      <c r="AP15" s="226">
        <f t="shared" ca="1" si="4"/>
        <v>61500.017791704806</v>
      </c>
      <c r="AQ15" s="226">
        <f t="shared" ca="1" si="4"/>
        <v>61573.137875381559</v>
      </c>
      <c r="AR15" s="226">
        <f t="shared" ca="1" si="4"/>
        <v>61654.083978628129</v>
      </c>
      <c r="AS15" s="226">
        <f t="shared" ca="1" si="4"/>
        <v>61731.299030811264</v>
      </c>
      <c r="AT15" s="226">
        <f t="shared" ca="1" si="4"/>
        <v>61816.173355038824</v>
      </c>
      <c r="AU15" s="226">
        <f t="shared" ca="1" si="4"/>
        <v>61897.181644554228</v>
      </c>
      <c r="AV15" s="226">
        <f t="shared" ca="1" si="4"/>
        <v>61985.66467043374</v>
      </c>
      <c r="AW15" s="226">
        <f t="shared" ca="1" si="4"/>
        <v>62081.426767624413</v>
      </c>
      <c r="AX15" s="226">
        <f t="shared" ca="1" si="4"/>
        <v>62172.958127154481</v>
      </c>
      <c r="AY15" s="226">
        <f t="shared" ca="1" si="4"/>
        <v>62271.60852642783</v>
      </c>
      <c r="AZ15" s="226">
        <f t="shared" ca="1" si="4"/>
        <v>62496.544282220668</v>
      </c>
      <c r="BA15" s="226">
        <f t="shared" ca="1" si="4"/>
        <v>62728.228110687283</v>
      </c>
      <c r="BB15" s="226">
        <f t="shared" ca="1" si="4"/>
        <v>62966.862454007904</v>
      </c>
      <c r="BC15" s="226">
        <f t="shared" ca="1" si="4"/>
        <v>63212.655827628143</v>
      </c>
      <c r="BD15" s="226">
        <f t="shared" ca="1" si="4"/>
        <v>63465.823002456986</v>
      </c>
      <c r="BE15" s="226">
        <f t="shared" ca="1" si="4"/>
        <v>63726.585192530692</v>
      </c>
      <c r="BF15" s="226">
        <f t="shared" ca="1" si="4"/>
        <v>63995.170248306618</v>
      </c>
      <c r="BG15" s="226">
        <f t="shared" ca="1" si="4"/>
        <v>64271.812855755816</v>
      </c>
      <c r="BH15" s="226">
        <f t="shared" ca="1" si="4"/>
        <v>64556.754741428485</v>
      </c>
      <c r="BI15" s="226">
        <f t="shared" ca="1" si="4"/>
        <v>64850.244883671345</v>
      </c>
      <c r="BJ15" s="226">
        <f t="shared" ca="1" si="4"/>
        <v>65152.539730181481</v>
      </c>
      <c r="BK15" s="226">
        <f t="shared" ca="1" si="4"/>
        <v>65463.903422086929</v>
      </c>
      <c r="BL15" s="226">
        <f t="shared" ca="1" si="4"/>
        <v>65784.608024749541</v>
      </c>
      <c r="BM15" s="226">
        <f t="shared" ca="1" si="4"/>
        <v>66114.933765492024</v>
      </c>
      <c r="BN15" s="226">
        <f t="shared" ca="1" si="4"/>
        <v>66455.169278456786</v>
      </c>
      <c r="BO15" s="226">
        <f t="shared" ca="1" si="4"/>
        <v>66805.611856810487</v>
      </c>
      <c r="BP15" s="226">
        <f t="shared" ca="1" si="4"/>
        <v>67166.567712514807</v>
      </c>
      <c r="BQ15" s="226">
        <f t="shared" ca="1" si="4"/>
        <v>67538.352243890244</v>
      </c>
      <c r="BR15" s="226">
        <f t="shared" ca="1" si="4"/>
        <v>67921.290311206947</v>
      </c>
      <c r="BS15" s="226">
        <f t="shared" ca="1" si="4"/>
        <v>68315.716520543152</v>
      </c>
      <c r="BT15" s="226">
        <f t="shared" ca="1" si="4"/>
        <v>68721.975516159451</v>
      </c>
      <c r="BU15" s="226">
        <f t="shared" ca="1" si="4"/>
        <v>69140.422281644234</v>
      </c>
      <c r="BV15" s="226">
        <f t="shared" ca="1" si="4"/>
        <v>69571.422450093567</v>
      </c>
      <c r="BW15" s="226">
        <f t="shared" ca="1" si="4"/>
        <v>70015.35262359638</v>
      </c>
    </row>
    <row r="16" spans="1:75" ht="12.75" x14ac:dyDescent="0.2">
      <c r="A16" s="23" t="s">
        <v>263</v>
      </c>
      <c r="B16" s="221"/>
      <c r="D16" s="115">
        <f t="array" aca="1" ref="D16" ca="1">INDEX(INDIRECT("PnL_"&amp;TEXT(D$1,"mmm")&amp;"_"&amp;TEXT(D$1,"yyyy")),MATCH(TRIM($A16),PnL_Accounts,0))</f>
        <v>0</v>
      </c>
      <c r="E16" s="115">
        <f t="array" aca="1" ref="E16" ca="1">INDEX(INDIRECT("PnL_"&amp;TEXT(E$1,"mmm")&amp;"_"&amp;TEXT(E$1,"yyyy")),MATCH(TRIM($A16),PnL_Accounts,0))</f>
        <v>0</v>
      </c>
      <c r="F16" s="115">
        <f t="array" aca="1" ref="F16" ca="1">INDEX(INDIRECT("PnL_"&amp;TEXT(F$1,"mmm")&amp;"_"&amp;TEXT(F$1,"yyyy")),MATCH(TRIM($A16),PnL_Accounts,0))</f>
        <v>0</v>
      </c>
      <c r="G16" s="115">
        <f t="array" aca="1" ref="G16" ca="1">INDEX(INDIRECT("PnL_"&amp;TEXT(G$1,"mmm")&amp;"_"&amp;TEXT(G$1,"yyyy")),MATCH(TRIM($A16),PnL_Accounts,0))</f>
        <v>0</v>
      </c>
      <c r="H16" s="115">
        <f t="array" aca="1" ref="H16" ca="1">INDEX(INDIRECT("PnL_"&amp;TEXT(H$1,"mmm")&amp;"_"&amp;TEXT(H$1,"yyyy")),MATCH(TRIM($A16),PnL_Accounts,0))</f>
        <v>0</v>
      </c>
      <c r="I16" s="115">
        <f t="array" aca="1" ref="I16" ca="1">INDEX(INDIRECT("PnL_"&amp;TEXT(I$1,"mmm")&amp;"_"&amp;TEXT(I$1,"yyyy")),MATCH(TRIM($A16),PnL_Accounts,0))</f>
        <v>0</v>
      </c>
      <c r="J16" s="115">
        <f t="array" aca="1" ref="J16" ca="1">INDEX(INDIRECT("PnL_"&amp;TEXT(J$1,"mmm")&amp;"_"&amp;TEXT(J$1,"yyyy")),MATCH(TRIM($A16),PnL_Accounts,0))</f>
        <v>0</v>
      </c>
      <c r="K16" s="115">
        <f t="array" aca="1" ref="K16" ca="1">INDEX(INDIRECT("PnL_"&amp;TEXT(K$1,"mmm")&amp;"_"&amp;TEXT(K$1,"yyyy")),MATCH(TRIM($A16),PnL_Accounts,0))</f>
        <v>0</v>
      </c>
      <c r="L16" s="115">
        <f t="array" aca="1" ref="L16" ca="1">INDEX(INDIRECT("PnL_"&amp;TEXT(L$1,"mmm")&amp;"_"&amp;TEXT(L$1,"yyyy")),MATCH(TRIM($A16),PnL_Accounts,0))</f>
        <v>0</v>
      </c>
      <c r="M16" s="115">
        <f t="array" aca="1" ref="M16" ca="1">INDEX(INDIRECT("PnL_"&amp;TEXT(M$1,"mmm")&amp;"_"&amp;TEXT(M$1,"yyyy")),MATCH(TRIM($A16),PnL_Accounts,0))</f>
        <v>0</v>
      </c>
      <c r="N16" s="115">
        <f t="array" aca="1" ref="N16" ca="1">INDEX(INDIRECT("PnL_"&amp;TEXT(N$1,"mmm")&amp;"_"&amp;TEXT(N$1,"yyyy")),MATCH(TRIM($A16),PnL_Accounts,0))</f>
        <v>0</v>
      </c>
      <c r="O16" s="115">
        <f t="array" aca="1" ref="O16" ca="1">INDEX(INDIRECT("PnL_"&amp;TEXT(O$1,"mmm")&amp;"_"&amp;TEXT(O$1,"yyyy")),MATCH(TRIM($A16),PnL_Accounts,0))</f>
        <v>0</v>
      </c>
      <c r="P16" s="115">
        <f t="array" aca="1" ref="P16" ca="1">INDEX(INDIRECT("PnL_"&amp;TEXT(P$1,"mmm")&amp;"_"&amp;TEXT(P$1,"yyyy")),MATCH(TRIM($A16),PnL_Accounts,0))</f>
        <v>0</v>
      </c>
      <c r="Q16" s="115">
        <f t="array" aca="1" ref="Q16" ca="1">INDEX(INDIRECT("PnL_"&amp;TEXT(Q$1,"mmm")&amp;"_"&amp;TEXT(Q$1,"yyyy")),MATCH(TRIM($A16),PnL_Accounts,0))</f>
        <v>0</v>
      </c>
      <c r="R16" s="115">
        <f t="array" aca="1" ref="R16" ca="1">INDEX(INDIRECT("PnL_"&amp;TEXT(R$1,"mmm")&amp;"_"&amp;TEXT(R$1,"yyyy")),MATCH(TRIM($A16),PnL_Accounts,0))</f>
        <v>0</v>
      </c>
      <c r="S16" s="115">
        <f t="array" aca="1" ref="S16" ca="1">INDEX(INDIRECT("PnL_"&amp;TEXT(S$1,"mmm")&amp;"_"&amp;TEXT(S$1,"yyyy")),MATCH(TRIM($A16),PnL_Accounts,0))</f>
        <v>0</v>
      </c>
      <c r="T16" s="115">
        <f t="array" aca="1" ref="T16" ca="1">INDEX(INDIRECT("PnL_"&amp;TEXT(T$1,"mmm")&amp;"_"&amp;TEXT(T$1,"yyyy")),MATCH(TRIM($A16),PnL_Accounts,0))</f>
        <v>0</v>
      </c>
      <c r="U16" s="115">
        <f t="array" aca="1" ref="U16" ca="1">INDEX(INDIRECT("PnL_"&amp;TEXT(U$1,"mmm")&amp;"_"&amp;TEXT(U$1,"yyyy")),MATCH(TRIM($A16),PnL_Accounts,0))</f>
        <v>0</v>
      </c>
      <c r="V16" s="115">
        <f t="array" aca="1" ref="V16" ca="1">INDEX(INDIRECT("PnL_"&amp;TEXT(V$1,"mmm")&amp;"_"&amp;TEXT(V$1,"yyyy")),MATCH(TRIM($A16),PnL_Accounts,0))</f>
        <v>0</v>
      </c>
      <c r="W16" s="115">
        <f t="array" aca="1" ref="W16" ca="1">INDEX(INDIRECT("PnL_"&amp;TEXT(W$1,"mmm")&amp;"_"&amp;TEXT(W$1,"yyyy")),MATCH(TRIM($A16),PnL_Accounts,0))</f>
        <v>0</v>
      </c>
      <c r="X16" s="115">
        <f t="array" aca="1" ref="X16" ca="1">INDEX(INDIRECT("PnL_"&amp;TEXT(X$1,"mmm")&amp;"_"&amp;TEXT(X$1,"yyyy")),MATCH(TRIM($A16),PnL_Accounts,0))</f>
        <v>0</v>
      </c>
      <c r="Y16" s="115">
        <f t="array" aca="1" ref="Y16" ca="1">INDEX(INDIRECT("PnL_"&amp;TEXT(Y$1,"mmm")&amp;"_"&amp;TEXT(Y$1,"yyyy")),MATCH(TRIM($A16),PnL_Accounts,0))</f>
        <v>0</v>
      </c>
      <c r="Z16" s="115">
        <f t="array" aca="1" ref="Z16" ca="1">INDEX(INDIRECT("PnL_"&amp;TEXT(Z$1,"mmm")&amp;"_"&amp;TEXT(Z$1,"yyyy")),MATCH(TRIM($A16),PnL_Accounts,0))</f>
        <v>0</v>
      </c>
      <c r="AA16" s="115">
        <f t="array" aca="1" ref="AA16" ca="1">INDEX(INDIRECT("PnL_"&amp;TEXT(AA$1,"mmm")&amp;"_"&amp;TEXT(AA$1,"yyyy")),MATCH(TRIM($A16),PnL_Accounts,0))</f>
        <v>0</v>
      </c>
      <c r="AB16" s="115">
        <f t="array" aca="1" ref="AB16" ca="1">INDEX(INDIRECT("PnL_"&amp;TEXT(AB$1,"mmm")&amp;"_"&amp;TEXT(AB$1,"yyyy")),MATCH(TRIM($A16),PnL_Accounts,0))</f>
        <v>0</v>
      </c>
      <c r="AC16" s="115">
        <f t="array" aca="1" ref="AC16" ca="1">INDEX(INDIRECT("PnL_"&amp;TEXT(AC$1,"mmm")&amp;"_"&amp;TEXT(AC$1,"yyyy")),MATCH(TRIM($A16),PnL_Accounts,0))</f>
        <v>0</v>
      </c>
      <c r="AD16" s="115">
        <f t="array" aca="1" ref="AD16" ca="1">INDEX(INDIRECT("PnL_"&amp;TEXT(AD$1,"mmm")&amp;"_"&amp;TEXT(AD$1,"yyyy")),MATCH(TRIM($A16),PnL_Accounts,0))</f>
        <v>0</v>
      </c>
      <c r="AE16" s="115">
        <f t="array" aca="1" ref="AE16" ca="1">INDEX(INDIRECT("PnL_"&amp;TEXT(AE$1,"mmm")&amp;"_"&amp;TEXT(AE$1,"yyyy")),MATCH(TRIM($A16),PnL_Accounts,0))</f>
        <v>0</v>
      </c>
    </row>
    <row r="17" spans="1:75" ht="12.75" x14ac:dyDescent="0.2">
      <c r="A17" s="23" t="s">
        <v>273</v>
      </c>
      <c r="B17" s="240">
        <f ca="1">AVERAGEIFS(17:17,$1:$1,"&gt;="&amp;DATE(YEAR(Current_Month),MONTH(Current_Month)-2,DAY(Current_Month)),$1:$1,"&lt;="&amp;EOMONTH(Current_Month,0))/AVERAGEIFS(Oper_Model_Revenue,$1:$1,"&gt;="&amp;DATE(YEAR(Current_Month),MONTH(Current_Month)-2,DAY(Current_Month)),$1:$1,"&lt;="&amp;EOMONTH(Current_Month,0))</f>
        <v>8.6850960351631631E-2</v>
      </c>
      <c r="D17" s="115">
        <f t="array" aca="1" ref="D17" ca="1">INDEX(INDIRECT("PnL_"&amp;TEXT(D$1,"mmm")&amp;"_"&amp;TEXT(D$1,"yyyy")),MATCH(TRIM($A17),PnL_Accounts,0))</f>
        <v>30517</v>
      </c>
      <c r="E17" s="115">
        <f t="array" aca="1" ref="E17" ca="1">INDEX(INDIRECT("PnL_"&amp;TEXT(E$1,"mmm")&amp;"_"&amp;TEXT(E$1,"yyyy")),MATCH(TRIM($A17),PnL_Accounts,0))</f>
        <v>32284</v>
      </c>
      <c r="F17" s="115">
        <f t="array" aca="1" ref="F17" ca="1">INDEX(INDIRECT("PnL_"&amp;TEXT(F$1,"mmm")&amp;"_"&amp;TEXT(F$1,"yyyy")),MATCH(TRIM($A17),PnL_Accounts,0))</f>
        <v>35963</v>
      </c>
      <c r="G17" s="115">
        <f t="array" aca="1" ref="G17" ca="1">INDEX(INDIRECT("PnL_"&amp;TEXT(G$1,"mmm")&amp;"_"&amp;TEXT(G$1,"yyyy")),MATCH(TRIM($A17),PnL_Accounts,0))</f>
        <v>36287</v>
      </c>
      <c r="H17" s="115">
        <f t="array" aca="1" ref="H17" ca="1">INDEX(INDIRECT("PnL_"&amp;TEXT(H$1,"mmm")&amp;"_"&amp;TEXT(H$1,"yyyy")),MATCH(TRIM($A17),PnL_Accounts,0))</f>
        <v>38013</v>
      </c>
      <c r="I17" s="115">
        <f t="array" aca="1" ref="I17" ca="1">INDEX(INDIRECT("PnL_"&amp;TEXT(I$1,"mmm")&amp;"_"&amp;TEXT(I$1,"yyyy")),MATCH(TRIM($A17),PnL_Accounts,0))</f>
        <v>38336</v>
      </c>
      <c r="J17" s="115">
        <f t="array" aca="1" ref="J17" ca="1">INDEX(INDIRECT("PnL_"&amp;TEXT(J$1,"mmm")&amp;"_"&amp;TEXT(J$1,"yyyy")),MATCH(TRIM($A17),PnL_Accounts,0))</f>
        <v>39177</v>
      </c>
      <c r="K17" s="115">
        <f t="array" aca="1" ref="K17" ca="1">INDEX(INDIRECT("PnL_"&amp;TEXT(K$1,"mmm")&amp;"_"&amp;TEXT(K$1,"yyyy")),MATCH(TRIM($A17),PnL_Accounts,0))</f>
        <v>40408</v>
      </c>
      <c r="L17" s="115">
        <f t="array" aca="1" ref="L17" ca="1">INDEX(INDIRECT("PnL_"&amp;TEXT(L$1,"mmm")&amp;"_"&amp;TEXT(L$1,"yyyy")),MATCH(TRIM($A17),PnL_Accounts,0))</f>
        <v>38739</v>
      </c>
      <c r="M17" s="115">
        <f t="array" aca="1" ref="M17" ca="1">INDEX(INDIRECT("PnL_"&amp;TEXT(M$1,"mmm")&amp;"_"&amp;TEXT(M$1,"yyyy")),MATCH(TRIM($A17),PnL_Accounts,0))</f>
        <v>44005</v>
      </c>
      <c r="N17" s="115">
        <f t="array" aca="1" ref="N17" ca="1">INDEX(INDIRECT("PnL_"&amp;TEXT(N$1,"mmm")&amp;"_"&amp;TEXT(N$1,"yyyy")),MATCH(TRIM($A17),PnL_Accounts,0))</f>
        <v>44227</v>
      </c>
      <c r="O17" s="115">
        <f t="array" aca="1" ref="O17" ca="1">INDEX(INDIRECT("PnL_"&amp;TEXT(O$1,"mmm")&amp;"_"&amp;TEXT(O$1,"yyyy")),MATCH(TRIM($A17),PnL_Accounts,0))</f>
        <v>44405</v>
      </c>
      <c r="P17" s="115">
        <f t="array" aca="1" ref="P17" ca="1">INDEX(INDIRECT("PnL_"&amp;TEXT(P$1,"mmm")&amp;"_"&amp;TEXT(P$1,"yyyy")),MATCH(TRIM($A17),PnL_Accounts,0))</f>
        <v>43894</v>
      </c>
      <c r="Q17" s="115">
        <f t="array" aca="1" ref="Q17" ca="1">INDEX(INDIRECT("PnL_"&amp;TEXT(Q$1,"mmm")&amp;"_"&amp;TEXT(Q$1,"yyyy")),MATCH(TRIM($A17),PnL_Accounts,0))</f>
        <v>41517</v>
      </c>
      <c r="R17" s="115">
        <f t="array" aca="1" ref="R17" ca="1">INDEX(INDIRECT("PnL_"&amp;TEXT(R$1,"mmm")&amp;"_"&amp;TEXT(R$1,"yyyy")),MATCH(TRIM($A17),PnL_Accounts,0))</f>
        <v>44678</v>
      </c>
      <c r="S17" s="115">
        <f t="array" aca="1" ref="S17" ca="1">INDEX(INDIRECT("PnL_"&amp;TEXT(S$1,"mmm")&amp;"_"&amp;TEXT(S$1,"yyyy")),MATCH(TRIM($A17),PnL_Accounts,0))</f>
        <v>44685</v>
      </c>
      <c r="T17" s="115">
        <f t="array" aca="1" ref="T17" ca="1">INDEX(INDIRECT("PnL_"&amp;TEXT(T$1,"mmm")&amp;"_"&amp;TEXT(T$1,"yyyy")),MATCH(TRIM($A17),PnL_Accounts,0))</f>
        <v>48061</v>
      </c>
      <c r="U17" s="115">
        <f t="array" aca="1" ref="U17" ca="1">INDEX(INDIRECT("PnL_"&amp;TEXT(U$1,"mmm")&amp;"_"&amp;TEXT(U$1,"yyyy")),MATCH(TRIM($A17),PnL_Accounts,0))</f>
        <v>46218</v>
      </c>
      <c r="V17" s="115">
        <f t="array" aca="1" ref="V17" ca="1">INDEX(INDIRECT("PnL_"&amp;TEXT(V$1,"mmm")&amp;"_"&amp;TEXT(V$1,"yyyy")),MATCH(TRIM($A17),PnL_Accounts,0))</f>
        <v>47477</v>
      </c>
      <c r="W17" s="115">
        <f t="array" aca="1" ref="W17" ca="1">INDEX(INDIRECT("PnL_"&amp;TEXT(W$1,"mmm")&amp;"_"&amp;TEXT(W$1,"yyyy")),MATCH(TRIM($A17),PnL_Accounts,0))</f>
        <v>49233</v>
      </c>
      <c r="X17" s="115">
        <f t="array" aca="1" ref="X17" ca="1">INDEX(INDIRECT("PnL_"&amp;TEXT(X$1,"mmm")&amp;"_"&amp;TEXT(X$1,"yyyy")),MATCH(TRIM($A17),PnL_Accounts,0))</f>
        <v>51225</v>
      </c>
      <c r="Y17" s="115">
        <f t="array" aca="1" ref="Y17" ca="1">INDEX(INDIRECT("PnL_"&amp;TEXT(Y$1,"mmm")&amp;"_"&amp;TEXT(Y$1,"yyyy")),MATCH(TRIM($A17),PnL_Accounts,0))</f>
        <v>57243</v>
      </c>
      <c r="Z17" s="115">
        <f t="array" aca="1" ref="Z17" ca="1">INDEX(INDIRECT("PnL_"&amp;TEXT(Z$1,"mmm")&amp;"_"&amp;TEXT(Z$1,"yyyy")),MATCH(TRIM($A17),PnL_Accounts,0))</f>
        <v>62451</v>
      </c>
      <c r="AA17" s="115">
        <f t="array" aca="1" ref="AA17" ca="1">INDEX(INDIRECT("PnL_"&amp;TEXT(AA$1,"mmm")&amp;"_"&amp;TEXT(AA$1,"yyyy")),MATCH(TRIM($A17),PnL_Accounts,0))</f>
        <v>65739</v>
      </c>
      <c r="AB17" s="115">
        <f t="array" aca="1" ref="AB17" ca="1">INDEX(INDIRECT("PnL_"&amp;TEXT(AB$1,"mmm")&amp;"_"&amp;TEXT(AB$1,"yyyy")),MATCH(TRIM($A17),PnL_Accounts,0))</f>
        <v>67542</v>
      </c>
      <c r="AC17" s="115">
        <f t="array" aca="1" ref="AC17" ca="1">INDEX(INDIRECT("PnL_"&amp;TEXT(AC$1,"mmm")&amp;"_"&amp;TEXT(AC$1,"yyyy")),MATCH(TRIM($A17),PnL_Accounts,0))</f>
        <v>71275</v>
      </c>
      <c r="AD17" s="115">
        <f t="array" aca="1" ref="AD17" ca="1">INDEX(INDIRECT("PnL_"&amp;TEXT(AD$1,"mmm")&amp;"_"&amp;TEXT(AD$1,"yyyy")),MATCH(TRIM($A17),PnL_Accounts,0))</f>
        <v>71648</v>
      </c>
      <c r="AE17" s="115">
        <f t="array" aca="1" ref="AE17" ca="1">INDEX(INDIRECT("PnL_"&amp;TEXT(AE$1,"mmm")&amp;"_"&amp;TEXT(AE$1,"yyyy")),MATCH(TRIM($A17),PnL_Accounts,0))</f>
        <v>70756</v>
      </c>
      <c r="AF17" s="115">
        <f t="shared" ref="AF17:BW17" ca="1" si="5">$B17*AF$5</f>
        <v>65255.570576690443</v>
      </c>
      <c r="AG17" s="115">
        <f t="shared" ca="1" si="5"/>
        <v>62468.889923742936</v>
      </c>
      <c r="AH17" s="115">
        <f t="shared" ca="1" si="5"/>
        <v>60706.729394299953</v>
      </c>
      <c r="AI17" s="115">
        <f t="shared" ca="1" si="5"/>
        <v>60440.391418986474</v>
      </c>
      <c r="AJ17" s="115">
        <f t="shared" ca="1" si="5"/>
        <v>60906.310833468109</v>
      </c>
      <c r="AK17" s="115">
        <f t="shared" ca="1" si="5"/>
        <v>61501.732326479738</v>
      </c>
      <c r="AL17" s="115">
        <f t="shared" ca="1" si="5"/>
        <v>62034.497021004405</v>
      </c>
      <c r="AM17" s="115">
        <f t="shared" ca="1" si="5"/>
        <v>62639.791333819478</v>
      </c>
      <c r="AN17" s="115">
        <f t="shared" ca="1" si="5"/>
        <v>63216.818498643996</v>
      </c>
      <c r="AO17" s="115">
        <f t="shared" ca="1" si="5"/>
        <v>63873.852727033125</v>
      </c>
      <c r="AP17" s="115">
        <f t="shared" ca="1" si="5"/>
        <v>64497.494860154853</v>
      </c>
      <c r="AQ17" s="115">
        <f t="shared" ca="1" si="5"/>
        <v>65198.635874333864</v>
      </c>
      <c r="AR17" s="115">
        <f t="shared" ca="1" si="5"/>
        <v>65974.819790849026</v>
      </c>
      <c r="AS17" s="115">
        <f t="shared" ca="1" si="5"/>
        <v>66715.227039791789</v>
      </c>
      <c r="AT17" s="115">
        <f t="shared" ca="1" si="5"/>
        <v>67529.078266080658</v>
      </c>
      <c r="AU17" s="115">
        <f t="shared" ca="1" si="5"/>
        <v>68305.858480376177</v>
      </c>
      <c r="AV17" s="115">
        <f t="shared" ca="1" si="5"/>
        <v>69154.313178227007</v>
      </c>
      <c r="AW17" s="115">
        <f t="shared" ca="1" si="5"/>
        <v>70072.566147424906</v>
      </c>
      <c r="AX17" s="115">
        <f t="shared" ca="1" si="5"/>
        <v>70950.251005306156</v>
      </c>
      <c r="AY17" s="115">
        <f t="shared" ca="1" si="5"/>
        <v>71896.199608175026</v>
      </c>
      <c r="AZ17" s="115">
        <f t="shared" ca="1" si="5"/>
        <v>74053.085596420278</v>
      </c>
      <c r="BA17" s="115">
        <f t="shared" ca="1" si="5"/>
        <v>76274.678164312892</v>
      </c>
      <c r="BB17" s="115">
        <f t="shared" ca="1" si="5"/>
        <v>78562.91850924227</v>
      </c>
      <c r="BC17" s="115">
        <f t="shared" ca="1" si="5"/>
        <v>80919.806064519536</v>
      </c>
      <c r="BD17" s="115">
        <f t="shared" ca="1" si="5"/>
        <v>83347.40024645513</v>
      </c>
      <c r="BE17" s="115">
        <f t="shared" ca="1" si="5"/>
        <v>85847.822253848775</v>
      </c>
      <c r="BF17" s="115">
        <f t="shared" ca="1" si="5"/>
        <v>88423.256921464243</v>
      </c>
      <c r="BG17" s="115">
        <f t="shared" ca="1" si="5"/>
        <v>91075.954629108179</v>
      </c>
      <c r="BH17" s="115">
        <f t="shared" ca="1" si="5"/>
        <v>93808.233267981428</v>
      </c>
      <c r="BI17" s="115">
        <f t="shared" ca="1" si="5"/>
        <v>96622.480266020866</v>
      </c>
      <c r="BJ17" s="115">
        <f t="shared" ca="1" si="5"/>
        <v>99521.154674001504</v>
      </c>
      <c r="BK17" s="115">
        <f t="shared" ca="1" si="5"/>
        <v>102506.78931422155</v>
      </c>
      <c r="BL17" s="115">
        <f t="shared" ca="1" si="5"/>
        <v>105581.99299364818</v>
      </c>
      <c r="BM17" s="115">
        <f t="shared" ca="1" si="5"/>
        <v>108749.45278345761</v>
      </c>
      <c r="BN17" s="115">
        <f t="shared" ca="1" si="5"/>
        <v>112011.93636696134</v>
      </c>
      <c r="BO17" s="115">
        <f t="shared" ca="1" si="5"/>
        <v>115372.29445797019</v>
      </c>
      <c r="BP17" s="115">
        <f t="shared" ca="1" si="5"/>
        <v>118833.4632917093</v>
      </c>
      <c r="BQ17" s="115">
        <f t="shared" ca="1" si="5"/>
        <v>122398.46719046058</v>
      </c>
      <c r="BR17" s="115">
        <f t="shared" ca="1" si="5"/>
        <v>126070.42120617439</v>
      </c>
      <c r="BS17" s="115">
        <f t="shared" ca="1" si="5"/>
        <v>129852.53384235963</v>
      </c>
      <c r="BT17" s="115">
        <f t="shared" ca="1" si="5"/>
        <v>133748.10985763042</v>
      </c>
      <c r="BU17" s="115">
        <f t="shared" ca="1" si="5"/>
        <v>137760.55315335933</v>
      </c>
      <c r="BV17" s="115">
        <f t="shared" ca="1" si="5"/>
        <v>141893.3697479601</v>
      </c>
      <c r="BW17" s="115">
        <f t="shared" ca="1" si="5"/>
        <v>146150.1708403989</v>
      </c>
    </row>
    <row r="18" spans="1:75" ht="12.75" x14ac:dyDescent="0.2">
      <c r="A18" s="60" t="s">
        <v>276</v>
      </c>
      <c r="B18" s="238"/>
      <c r="C18" s="212"/>
      <c r="D18" s="226">
        <f t="shared" ref="D18:BW18" ca="1" si="6">SUM(D16:D17)</f>
        <v>30517</v>
      </c>
      <c r="E18" s="226">
        <f t="shared" ca="1" si="6"/>
        <v>32284</v>
      </c>
      <c r="F18" s="226">
        <f t="shared" ca="1" si="6"/>
        <v>35963</v>
      </c>
      <c r="G18" s="226">
        <f t="shared" ca="1" si="6"/>
        <v>36287</v>
      </c>
      <c r="H18" s="226">
        <f t="shared" ca="1" si="6"/>
        <v>38013</v>
      </c>
      <c r="I18" s="226">
        <f t="shared" ca="1" si="6"/>
        <v>38336</v>
      </c>
      <c r="J18" s="226">
        <f t="shared" ca="1" si="6"/>
        <v>39177</v>
      </c>
      <c r="K18" s="226">
        <f t="shared" ca="1" si="6"/>
        <v>40408</v>
      </c>
      <c r="L18" s="226">
        <f t="shared" ca="1" si="6"/>
        <v>38739</v>
      </c>
      <c r="M18" s="226">
        <f t="shared" ca="1" si="6"/>
        <v>44005</v>
      </c>
      <c r="N18" s="226">
        <f t="shared" ca="1" si="6"/>
        <v>44227</v>
      </c>
      <c r="O18" s="226">
        <f t="shared" ca="1" si="6"/>
        <v>44405</v>
      </c>
      <c r="P18" s="226">
        <f t="shared" ca="1" si="6"/>
        <v>43894</v>
      </c>
      <c r="Q18" s="226">
        <f t="shared" ca="1" si="6"/>
        <v>41517</v>
      </c>
      <c r="R18" s="226">
        <f t="shared" ca="1" si="6"/>
        <v>44678</v>
      </c>
      <c r="S18" s="226">
        <f t="shared" ca="1" si="6"/>
        <v>44685</v>
      </c>
      <c r="T18" s="226">
        <f t="shared" ca="1" si="6"/>
        <v>48061</v>
      </c>
      <c r="U18" s="226">
        <f t="shared" ca="1" si="6"/>
        <v>46218</v>
      </c>
      <c r="V18" s="226">
        <f t="shared" ca="1" si="6"/>
        <v>47477</v>
      </c>
      <c r="W18" s="226">
        <f t="shared" ca="1" si="6"/>
        <v>49233</v>
      </c>
      <c r="X18" s="226">
        <f t="shared" ca="1" si="6"/>
        <v>51225</v>
      </c>
      <c r="Y18" s="226">
        <f t="shared" ca="1" si="6"/>
        <v>57243</v>
      </c>
      <c r="Z18" s="226">
        <f t="shared" ca="1" si="6"/>
        <v>62451</v>
      </c>
      <c r="AA18" s="226">
        <f t="shared" ca="1" si="6"/>
        <v>65739</v>
      </c>
      <c r="AB18" s="226">
        <f t="shared" ca="1" si="6"/>
        <v>67542</v>
      </c>
      <c r="AC18" s="226">
        <f t="shared" ca="1" si="6"/>
        <v>71275</v>
      </c>
      <c r="AD18" s="226">
        <f t="shared" ca="1" si="6"/>
        <v>71648</v>
      </c>
      <c r="AE18" s="226">
        <f t="shared" ca="1" si="6"/>
        <v>70756</v>
      </c>
      <c r="AF18" s="226">
        <f t="shared" ca="1" si="6"/>
        <v>65255.570576690443</v>
      </c>
      <c r="AG18" s="226">
        <f t="shared" ca="1" si="6"/>
        <v>62468.889923742936</v>
      </c>
      <c r="AH18" s="226">
        <f t="shared" ca="1" si="6"/>
        <v>60706.729394299953</v>
      </c>
      <c r="AI18" s="226">
        <f t="shared" ca="1" si="6"/>
        <v>60440.391418986474</v>
      </c>
      <c r="AJ18" s="226">
        <f t="shared" ca="1" si="6"/>
        <v>60906.310833468109</v>
      </c>
      <c r="AK18" s="226">
        <f t="shared" ca="1" si="6"/>
        <v>61501.732326479738</v>
      </c>
      <c r="AL18" s="226">
        <f t="shared" ca="1" si="6"/>
        <v>62034.497021004405</v>
      </c>
      <c r="AM18" s="226">
        <f t="shared" ca="1" si="6"/>
        <v>62639.791333819478</v>
      </c>
      <c r="AN18" s="226">
        <f t="shared" ca="1" si="6"/>
        <v>63216.818498643996</v>
      </c>
      <c r="AO18" s="226">
        <f t="shared" ca="1" si="6"/>
        <v>63873.852727033125</v>
      </c>
      <c r="AP18" s="226">
        <f t="shared" ca="1" si="6"/>
        <v>64497.494860154853</v>
      </c>
      <c r="AQ18" s="226">
        <f t="shared" ca="1" si="6"/>
        <v>65198.635874333864</v>
      </c>
      <c r="AR18" s="226">
        <f t="shared" ca="1" si="6"/>
        <v>65974.819790849026</v>
      </c>
      <c r="AS18" s="226">
        <f t="shared" ca="1" si="6"/>
        <v>66715.227039791789</v>
      </c>
      <c r="AT18" s="226">
        <f t="shared" ca="1" si="6"/>
        <v>67529.078266080658</v>
      </c>
      <c r="AU18" s="226">
        <f t="shared" ca="1" si="6"/>
        <v>68305.858480376177</v>
      </c>
      <c r="AV18" s="226">
        <f t="shared" ca="1" si="6"/>
        <v>69154.313178227007</v>
      </c>
      <c r="AW18" s="226">
        <f t="shared" ca="1" si="6"/>
        <v>70072.566147424906</v>
      </c>
      <c r="AX18" s="226">
        <f t="shared" ca="1" si="6"/>
        <v>70950.251005306156</v>
      </c>
      <c r="AY18" s="226">
        <f t="shared" ca="1" si="6"/>
        <v>71896.199608175026</v>
      </c>
      <c r="AZ18" s="226">
        <f t="shared" ca="1" si="6"/>
        <v>74053.085596420278</v>
      </c>
      <c r="BA18" s="226">
        <f t="shared" ca="1" si="6"/>
        <v>76274.678164312892</v>
      </c>
      <c r="BB18" s="226">
        <f t="shared" ca="1" si="6"/>
        <v>78562.91850924227</v>
      </c>
      <c r="BC18" s="226">
        <f t="shared" ca="1" si="6"/>
        <v>80919.806064519536</v>
      </c>
      <c r="BD18" s="226">
        <f t="shared" ca="1" si="6"/>
        <v>83347.40024645513</v>
      </c>
      <c r="BE18" s="226">
        <f t="shared" ca="1" si="6"/>
        <v>85847.822253848775</v>
      </c>
      <c r="BF18" s="226">
        <f t="shared" ca="1" si="6"/>
        <v>88423.256921464243</v>
      </c>
      <c r="BG18" s="226">
        <f t="shared" ca="1" si="6"/>
        <v>91075.954629108179</v>
      </c>
      <c r="BH18" s="226">
        <f t="shared" ca="1" si="6"/>
        <v>93808.233267981428</v>
      </c>
      <c r="BI18" s="226">
        <f t="shared" ca="1" si="6"/>
        <v>96622.480266020866</v>
      </c>
      <c r="BJ18" s="226">
        <f t="shared" ca="1" si="6"/>
        <v>99521.154674001504</v>
      </c>
      <c r="BK18" s="226">
        <f t="shared" ca="1" si="6"/>
        <v>102506.78931422155</v>
      </c>
      <c r="BL18" s="226">
        <f t="shared" ca="1" si="6"/>
        <v>105581.99299364818</v>
      </c>
      <c r="BM18" s="226">
        <f t="shared" ca="1" si="6"/>
        <v>108749.45278345761</v>
      </c>
      <c r="BN18" s="226">
        <f t="shared" ca="1" si="6"/>
        <v>112011.93636696134</v>
      </c>
      <c r="BO18" s="226">
        <f t="shared" ca="1" si="6"/>
        <v>115372.29445797019</v>
      </c>
      <c r="BP18" s="226">
        <f t="shared" ca="1" si="6"/>
        <v>118833.4632917093</v>
      </c>
      <c r="BQ18" s="226">
        <f t="shared" ca="1" si="6"/>
        <v>122398.46719046058</v>
      </c>
      <c r="BR18" s="226">
        <f t="shared" ca="1" si="6"/>
        <v>126070.42120617439</v>
      </c>
      <c r="BS18" s="226">
        <f t="shared" ca="1" si="6"/>
        <v>129852.53384235963</v>
      </c>
      <c r="BT18" s="226">
        <f t="shared" ca="1" si="6"/>
        <v>133748.10985763042</v>
      </c>
      <c r="BU18" s="226">
        <f t="shared" ca="1" si="6"/>
        <v>137760.55315335933</v>
      </c>
      <c r="BV18" s="226">
        <f t="shared" ca="1" si="6"/>
        <v>141893.3697479601</v>
      </c>
      <c r="BW18" s="226">
        <f t="shared" ca="1" si="6"/>
        <v>146150.1708403989</v>
      </c>
    </row>
    <row r="19" spans="1:75" ht="12.75" x14ac:dyDescent="0.2">
      <c r="A19" s="60" t="s">
        <v>277</v>
      </c>
      <c r="B19" s="225"/>
      <c r="C19" s="226"/>
      <c r="D19" s="226">
        <f t="shared" ref="D19:BW19" ca="1" si="7">SUM(D18,D15)</f>
        <v>64800</v>
      </c>
      <c r="E19" s="226">
        <f t="shared" ca="1" si="7"/>
        <v>66677</v>
      </c>
      <c r="F19" s="226">
        <f t="shared" ca="1" si="7"/>
        <v>70440</v>
      </c>
      <c r="G19" s="226">
        <f t="shared" ca="1" si="7"/>
        <v>76672</v>
      </c>
      <c r="H19" s="226">
        <f t="shared" ca="1" si="7"/>
        <v>78520</v>
      </c>
      <c r="I19" s="226">
        <f t="shared" ca="1" si="7"/>
        <v>78969</v>
      </c>
      <c r="J19" s="226">
        <f t="shared" ca="1" si="7"/>
        <v>85539</v>
      </c>
      <c r="K19" s="226">
        <f t="shared" ca="1" si="7"/>
        <v>86705</v>
      </c>
      <c r="L19" s="226">
        <f t="shared" ca="1" si="7"/>
        <v>90434</v>
      </c>
      <c r="M19" s="226">
        <f t="shared" ca="1" si="7"/>
        <v>95877</v>
      </c>
      <c r="N19" s="226">
        <f t="shared" ca="1" si="7"/>
        <v>96289</v>
      </c>
      <c r="O19" s="226">
        <f t="shared" ca="1" si="7"/>
        <v>113369</v>
      </c>
      <c r="P19" s="226">
        <f t="shared" ca="1" si="7"/>
        <v>111864</v>
      </c>
      <c r="Q19" s="226">
        <f t="shared" ca="1" si="7"/>
        <v>111333</v>
      </c>
      <c r="R19" s="226">
        <f t="shared" ca="1" si="7"/>
        <v>114806</v>
      </c>
      <c r="S19" s="226">
        <f t="shared" ca="1" si="7"/>
        <v>115813</v>
      </c>
      <c r="T19" s="226">
        <f t="shared" ca="1" si="7"/>
        <v>123316</v>
      </c>
      <c r="U19" s="226">
        <f t="shared" ca="1" si="7"/>
        <v>121692</v>
      </c>
      <c r="V19" s="226">
        <f t="shared" ca="1" si="7"/>
        <v>122814</v>
      </c>
      <c r="W19" s="226">
        <f t="shared" ca="1" si="7"/>
        <v>124795</v>
      </c>
      <c r="X19" s="226">
        <f t="shared" ca="1" si="7"/>
        <v>126787</v>
      </c>
      <c r="Y19" s="226">
        <f t="shared" ca="1" si="7"/>
        <v>132805</v>
      </c>
      <c r="Z19" s="226">
        <f t="shared" ca="1" si="7"/>
        <v>138091</v>
      </c>
      <c r="AA19" s="226">
        <f t="shared" ca="1" si="7"/>
        <v>142756</v>
      </c>
      <c r="AB19" s="226">
        <f t="shared" ca="1" si="7"/>
        <v>144559</v>
      </c>
      <c r="AC19" s="226">
        <f t="shared" ca="1" si="7"/>
        <v>147471</v>
      </c>
      <c r="AD19" s="226">
        <f t="shared" ca="1" si="7"/>
        <v>146844</v>
      </c>
      <c r="AE19" s="226">
        <f t="shared" ca="1" si="7"/>
        <v>145771</v>
      </c>
      <c r="AF19" s="226">
        <f t="shared" ca="1" si="7"/>
        <v>126834.64601686457</v>
      </c>
      <c r="AG19" s="226">
        <f t="shared" ca="1" si="7"/>
        <v>123757.35004060369</v>
      </c>
      <c r="AH19" s="226">
        <f t="shared" ca="1" si="7"/>
        <v>121811.41859666696</v>
      </c>
      <c r="AI19" s="226">
        <f t="shared" ca="1" si="7"/>
        <v>121517.30496047017</v>
      </c>
      <c r="AJ19" s="226">
        <f t="shared" ca="1" si="7"/>
        <v>122031.8138396737</v>
      </c>
      <c r="AK19" s="226">
        <f t="shared" ca="1" si="7"/>
        <v>122689.33021589926</v>
      </c>
      <c r="AL19" s="226">
        <f t="shared" ca="1" si="7"/>
        <v>123277.65548704955</v>
      </c>
      <c r="AM19" s="226">
        <f t="shared" ca="1" si="7"/>
        <v>123946.07429252312</v>
      </c>
      <c r="AN19" s="226">
        <f t="shared" ca="1" si="7"/>
        <v>124583.27804625411</v>
      </c>
      <c r="AO19" s="226">
        <f t="shared" ca="1" si="7"/>
        <v>125308.83258195198</v>
      </c>
      <c r="AP19" s="226">
        <f t="shared" ca="1" si="7"/>
        <v>125997.51265185967</v>
      </c>
      <c r="AQ19" s="226">
        <f t="shared" ca="1" si="7"/>
        <v>126771.77374971542</v>
      </c>
      <c r="AR19" s="226">
        <f t="shared" ca="1" si="7"/>
        <v>127628.90376947715</v>
      </c>
      <c r="AS19" s="226">
        <f t="shared" ca="1" si="7"/>
        <v>128446.52607060305</v>
      </c>
      <c r="AT19" s="226">
        <f t="shared" ca="1" si="7"/>
        <v>129345.25162111947</v>
      </c>
      <c r="AU19" s="226">
        <f t="shared" ca="1" si="7"/>
        <v>130203.04012493041</v>
      </c>
      <c r="AV19" s="226">
        <f t="shared" ca="1" si="7"/>
        <v>131139.97784866075</v>
      </c>
      <c r="AW19" s="226">
        <f t="shared" ca="1" si="7"/>
        <v>132153.99291504931</v>
      </c>
      <c r="AX19" s="226">
        <f t="shared" ca="1" si="7"/>
        <v>133123.20913246064</v>
      </c>
      <c r="AY19" s="226">
        <f t="shared" ca="1" si="7"/>
        <v>134167.80813460285</v>
      </c>
      <c r="AZ19" s="226">
        <f t="shared" ca="1" si="7"/>
        <v>136549.62987864093</v>
      </c>
      <c r="BA19" s="226">
        <f t="shared" ca="1" si="7"/>
        <v>139002.90627500019</v>
      </c>
      <c r="BB19" s="226">
        <f t="shared" ca="1" si="7"/>
        <v>141529.78096325017</v>
      </c>
      <c r="BC19" s="226">
        <f t="shared" ca="1" si="7"/>
        <v>144132.46189214766</v>
      </c>
      <c r="BD19" s="226">
        <f t="shared" ca="1" si="7"/>
        <v>146813.22324891211</v>
      </c>
      <c r="BE19" s="226">
        <f t="shared" ca="1" si="7"/>
        <v>149574.40744637948</v>
      </c>
      <c r="BF19" s="226">
        <f t="shared" ca="1" si="7"/>
        <v>152418.42716977088</v>
      </c>
      <c r="BG19" s="226">
        <f t="shared" ca="1" si="7"/>
        <v>155347.76748486399</v>
      </c>
      <c r="BH19" s="226">
        <f t="shared" ca="1" si="7"/>
        <v>158364.98800940992</v>
      </c>
      <c r="BI19" s="226">
        <f t="shared" ca="1" si="7"/>
        <v>161472.72514969221</v>
      </c>
      <c r="BJ19" s="226">
        <f t="shared" ca="1" si="7"/>
        <v>164673.69440418298</v>
      </c>
      <c r="BK19" s="226">
        <f t="shared" ca="1" si="7"/>
        <v>167970.69273630847</v>
      </c>
      <c r="BL19" s="226">
        <f t="shared" ca="1" si="7"/>
        <v>171366.60101839772</v>
      </c>
      <c r="BM19" s="226">
        <f t="shared" ca="1" si="7"/>
        <v>174864.38654894964</v>
      </c>
      <c r="BN19" s="226">
        <f t="shared" ca="1" si="7"/>
        <v>178467.10564541811</v>
      </c>
      <c r="BO19" s="226">
        <f t="shared" ca="1" si="7"/>
        <v>182177.90631478067</v>
      </c>
      <c r="BP19" s="226">
        <f t="shared" ca="1" si="7"/>
        <v>186000.03100422409</v>
      </c>
      <c r="BQ19" s="226">
        <f t="shared" ca="1" si="7"/>
        <v>189936.81943435082</v>
      </c>
      <c r="BR19" s="226">
        <f t="shared" ca="1" si="7"/>
        <v>193991.71151738134</v>
      </c>
      <c r="BS19" s="226">
        <f t="shared" ca="1" si="7"/>
        <v>198168.25036290276</v>
      </c>
      <c r="BT19" s="226">
        <f t="shared" ca="1" si="7"/>
        <v>202470.08537378989</v>
      </c>
      <c r="BU19" s="226">
        <f t="shared" ca="1" si="7"/>
        <v>206900.97543500358</v>
      </c>
      <c r="BV19" s="226">
        <f t="shared" ca="1" si="7"/>
        <v>211464.79219805368</v>
      </c>
      <c r="BW19" s="226">
        <f t="shared" ca="1" si="7"/>
        <v>216165.52346399528</v>
      </c>
    </row>
    <row r="20" spans="1:75" ht="12.75" x14ac:dyDescent="0.2">
      <c r="A20" s="60" t="s">
        <v>16</v>
      </c>
      <c r="B20" s="225"/>
      <c r="C20" s="226"/>
      <c r="D20" s="226">
        <f t="shared" ref="D20:BW20" ca="1" si="8">D5-D19</f>
        <v>238573</v>
      </c>
      <c r="E20" s="226">
        <f t="shared" ca="1" si="8"/>
        <v>254380</v>
      </c>
      <c r="F20" s="226">
        <f t="shared" ca="1" si="8"/>
        <v>270081</v>
      </c>
      <c r="G20" s="226">
        <f t="shared" ca="1" si="8"/>
        <v>284098</v>
      </c>
      <c r="H20" s="226">
        <f t="shared" ca="1" si="8"/>
        <v>307504</v>
      </c>
      <c r="I20" s="226">
        <f t="shared" ca="1" si="8"/>
        <v>322496</v>
      </c>
      <c r="J20" s="226">
        <f t="shared" ca="1" si="8"/>
        <v>339400</v>
      </c>
      <c r="K20" s="226">
        <f t="shared" ca="1" si="8"/>
        <v>352220</v>
      </c>
      <c r="L20" s="226">
        <f t="shared" ca="1" si="8"/>
        <v>362334</v>
      </c>
      <c r="M20" s="226">
        <f t="shared" ca="1" si="8"/>
        <v>370080</v>
      </c>
      <c r="N20" s="226">
        <f t="shared" ca="1" si="8"/>
        <v>382829</v>
      </c>
      <c r="O20" s="226">
        <f t="shared" ca="1" si="8"/>
        <v>378132</v>
      </c>
      <c r="P20" s="226">
        <f t="shared" ca="1" si="8"/>
        <v>393194</v>
      </c>
      <c r="Q20" s="226">
        <f t="shared" ca="1" si="8"/>
        <v>414104</v>
      </c>
      <c r="R20" s="226">
        <f t="shared" ca="1" si="8"/>
        <v>427927</v>
      </c>
      <c r="S20" s="226">
        <f t="shared" ca="1" si="8"/>
        <v>483074</v>
      </c>
      <c r="T20" s="226">
        <f t="shared" ca="1" si="8"/>
        <v>490737</v>
      </c>
      <c r="U20" s="226">
        <f t="shared" ca="1" si="8"/>
        <v>515796</v>
      </c>
      <c r="V20" s="226">
        <f t="shared" ca="1" si="8"/>
        <v>534702</v>
      </c>
      <c r="W20" s="226">
        <f t="shared" ca="1" si="8"/>
        <v>560688</v>
      </c>
      <c r="X20" s="226">
        <f t="shared" ca="1" si="8"/>
        <v>591987</v>
      </c>
      <c r="Y20" s="226">
        <f t="shared" ca="1" si="8"/>
        <v>621737</v>
      </c>
      <c r="Z20" s="226">
        <f t="shared" ca="1" si="8"/>
        <v>649463</v>
      </c>
      <c r="AA20" s="226">
        <f t="shared" ca="1" si="8"/>
        <v>665290</v>
      </c>
      <c r="AB20" s="226">
        <f t="shared" ca="1" si="8"/>
        <v>679970</v>
      </c>
      <c r="AC20" s="226">
        <f t="shared" ca="1" si="8"/>
        <v>697155</v>
      </c>
      <c r="AD20" s="226">
        <f t="shared" ca="1" si="8"/>
        <v>672318.19</v>
      </c>
      <c r="AE20" s="226">
        <f t="shared" ca="1" si="8"/>
        <v>650736</v>
      </c>
      <c r="AF20" s="226">
        <f t="shared" ca="1" si="8"/>
        <v>624516.52284173644</v>
      </c>
      <c r="AG20" s="226">
        <f t="shared" ca="1" si="8"/>
        <v>595508.04058750765</v>
      </c>
      <c r="AH20" s="226">
        <f t="shared" ca="1" si="8"/>
        <v>577164.49541185878</v>
      </c>
      <c r="AI20" s="226">
        <f t="shared" ca="1" si="8"/>
        <v>574391.99960314948</v>
      </c>
      <c r="AJ20" s="226">
        <f t="shared" ca="1" si="8"/>
        <v>579242.0763611719</v>
      </c>
      <c r="AK20" s="226">
        <f t="shared" ca="1" si="8"/>
        <v>585440.22963558638</v>
      </c>
      <c r="AL20" s="226">
        <f t="shared" ca="1" si="8"/>
        <v>590986.14504948631</v>
      </c>
      <c r="AM20" s="226">
        <f t="shared" ca="1" si="8"/>
        <v>597287.07131935144</v>
      </c>
      <c r="AN20" s="226">
        <f t="shared" ca="1" si="8"/>
        <v>603293.74533609441</v>
      </c>
      <c r="AO20" s="226">
        <f t="shared" ca="1" si="8"/>
        <v>610133.26809751568</v>
      </c>
      <c r="AP20" s="226">
        <f t="shared" ca="1" si="8"/>
        <v>616625.18949242542</v>
      </c>
      <c r="AQ20" s="226">
        <f t="shared" ca="1" si="8"/>
        <v>623923.85022917367</v>
      </c>
      <c r="AR20" s="226">
        <f t="shared" ca="1" si="8"/>
        <v>632003.68433016131</v>
      </c>
      <c r="AS20" s="226">
        <f t="shared" ca="1" si="8"/>
        <v>639711.09440570802</v>
      </c>
      <c r="AT20" s="226">
        <f t="shared" ca="1" si="8"/>
        <v>648183.03353171155</v>
      </c>
      <c r="AU20" s="226">
        <f t="shared" ca="1" si="8"/>
        <v>656269.07490785338</v>
      </c>
      <c r="AV20" s="226">
        <f t="shared" ca="1" si="8"/>
        <v>665101.22545229772</v>
      </c>
      <c r="AW20" s="226">
        <f t="shared" ca="1" si="8"/>
        <v>674659.954377227</v>
      </c>
      <c r="AX20" s="226">
        <f t="shared" ca="1" si="8"/>
        <v>683796.38183177728</v>
      </c>
      <c r="AY20" s="226">
        <f t="shared" ca="1" si="8"/>
        <v>693643.41372282291</v>
      </c>
      <c r="AZ20" s="226">
        <f t="shared" ca="1" si="8"/>
        <v>716095.92863450758</v>
      </c>
      <c r="BA20" s="226">
        <f t="shared" ca="1" si="8"/>
        <v>739222.01899354288</v>
      </c>
      <c r="BB20" s="226">
        <f t="shared" ca="1" si="8"/>
        <v>763041.89206334914</v>
      </c>
      <c r="BC20" s="226">
        <f t="shared" ca="1" si="8"/>
        <v>787576.36132524966</v>
      </c>
      <c r="BD20" s="226">
        <f t="shared" ca="1" si="8"/>
        <v>812846.8646650071</v>
      </c>
      <c r="BE20" s="226">
        <f t="shared" ca="1" si="8"/>
        <v>838875.48310495727</v>
      </c>
      <c r="BF20" s="226">
        <f t="shared" ca="1" si="8"/>
        <v>865684.96009810595</v>
      </c>
      <c r="BG20" s="226">
        <f t="shared" ca="1" si="8"/>
        <v>893298.72140104929</v>
      </c>
      <c r="BH20" s="226">
        <f t="shared" ca="1" si="8"/>
        <v>921740.89554308075</v>
      </c>
      <c r="BI20" s="226">
        <f t="shared" ca="1" si="8"/>
        <v>951036.3349093732</v>
      </c>
      <c r="BJ20" s="226">
        <f t="shared" ca="1" si="8"/>
        <v>981210.63745665457</v>
      </c>
      <c r="BK20" s="226">
        <f t="shared" ca="1" si="8"/>
        <v>1012290.1690803542</v>
      </c>
      <c r="BL20" s="226">
        <f t="shared" ca="1" si="8"/>
        <v>1044302.0866527647</v>
      </c>
      <c r="BM20" s="226">
        <f t="shared" ca="1" si="8"/>
        <v>1077274.3617523476</v>
      </c>
      <c r="BN20" s="226">
        <f t="shared" ca="1" si="8"/>
        <v>1111235.8051049178</v>
      </c>
      <c r="BO20" s="226">
        <f t="shared" ca="1" si="8"/>
        <v>1146216.0917580654</v>
      </c>
      <c r="BP20" s="226">
        <f t="shared" ca="1" si="8"/>
        <v>1182245.7870108075</v>
      </c>
      <c r="BQ20" s="226">
        <f t="shared" ca="1" si="8"/>
        <v>1219356.3731211317</v>
      </c>
      <c r="BR20" s="226">
        <f t="shared" ca="1" si="8"/>
        <v>1257580.2768147658</v>
      </c>
      <c r="BS20" s="226">
        <f t="shared" ca="1" si="8"/>
        <v>1296950.8976192088</v>
      </c>
      <c r="BT20" s="226">
        <f t="shared" ca="1" si="8"/>
        <v>1337502.6370477849</v>
      </c>
      <c r="BU20" s="226">
        <f t="shared" ca="1" si="8"/>
        <v>1379270.9286592184</v>
      </c>
      <c r="BV20" s="226">
        <f t="shared" ca="1" si="8"/>
        <v>1422292.2690189951</v>
      </c>
      <c r="BW20" s="226">
        <f t="shared" ca="1" si="8"/>
        <v>1466604.249589565</v>
      </c>
    </row>
    <row r="21" spans="1:75" ht="12.75" x14ac:dyDescent="0.2">
      <c r="A21" s="69" t="s">
        <v>244</v>
      </c>
      <c r="B21" s="221"/>
      <c r="D21" s="115">
        <f t="array" aca="1" ref="D21" ca="1">INDEX(INDIRECT("PnL_"&amp;TEXT(D$1,"mmm")&amp;"_"&amp;TEXT(D$1,"yyyy")),MATCH(TRIM($A20),PnL_Accounts,0))-D20</f>
        <v>0</v>
      </c>
      <c r="E21" s="115">
        <f t="array" aca="1" ref="E21" ca="1">INDEX(INDIRECT("PnL_"&amp;TEXT(E$1,"mmm")&amp;"_"&amp;TEXT(E$1,"yyyy")),MATCH(TRIM($A20),PnL_Accounts,0))-E20</f>
        <v>0</v>
      </c>
      <c r="F21" s="115">
        <f t="array" aca="1" ref="F21" ca="1">INDEX(INDIRECT("PnL_"&amp;TEXT(F$1,"mmm")&amp;"_"&amp;TEXT(F$1,"yyyy")),MATCH(TRIM($A20),PnL_Accounts,0))-F20</f>
        <v>0</v>
      </c>
      <c r="G21" s="115">
        <f t="array" aca="1" ref="G21" ca="1">INDEX(INDIRECT("PnL_"&amp;TEXT(G$1,"mmm")&amp;"_"&amp;TEXT(G$1,"yyyy")),MATCH(TRIM($A20),PnL_Accounts,0))-G20</f>
        <v>0</v>
      </c>
      <c r="H21" s="115">
        <f t="array" aca="1" ref="H21" ca="1">INDEX(INDIRECT("PnL_"&amp;TEXT(H$1,"mmm")&amp;"_"&amp;TEXT(H$1,"yyyy")),MATCH(TRIM($A20),PnL_Accounts,0))-H20</f>
        <v>0</v>
      </c>
      <c r="I21" s="115">
        <f t="array" aca="1" ref="I21" ca="1">INDEX(INDIRECT("PnL_"&amp;TEXT(I$1,"mmm")&amp;"_"&amp;TEXT(I$1,"yyyy")),MATCH(TRIM($A20),PnL_Accounts,0))-I20</f>
        <v>0</v>
      </c>
      <c r="J21" s="115">
        <f t="array" aca="1" ref="J21" ca="1">INDEX(INDIRECT("PnL_"&amp;TEXT(J$1,"mmm")&amp;"_"&amp;TEXT(J$1,"yyyy")),MATCH(TRIM($A20),PnL_Accounts,0))-J20</f>
        <v>0</v>
      </c>
      <c r="K21" s="115">
        <f t="array" aca="1" ref="K21" ca="1">INDEX(INDIRECT("PnL_"&amp;TEXT(K$1,"mmm")&amp;"_"&amp;TEXT(K$1,"yyyy")),MATCH(TRIM($A20),PnL_Accounts,0))-K20</f>
        <v>0</v>
      </c>
      <c r="L21" s="115">
        <f t="array" aca="1" ref="L21" ca="1">INDEX(INDIRECT("PnL_"&amp;TEXT(L$1,"mmm")&amp;"_"&amp;TEXT(L$1,"yyyy")),MATCH(TRIM($A20),PnL_Accounts,0))-L20</f>
        <v>0</v>
      </c>
      <c r="M21" s="115">
        <f t="array" aca="1" ref="M21" ca="1">INDEX(INDIRECT("PnL_"&amp;TEXT(M$1,"mmm")&amp;"_"&amp;TEXT(M$1,"yyyy")),MATCH(TRIM($A20),PnL_Accounts,0))-M20</f>
        <v>0</v>
      </c>
      <c r="N21" s="115">
        <f t="array" aca="1" ref="N21" ca="1">INDEX(INDIRECT("PnL_"&amp;TEXT(N$1,"mmm")&amp;"_"&amp;TEXT(N$1,"yyyy")),MATCH(TRIM($A20),PnL_Accounts,0))-N20</f>
        <v>0</v>
      </c>
      <c r="O21" s="115">
        <f t="array" aca="1" ref="O21" ca="1">INDEX(INDIRECT("PnL_"&amp;TEXT(O$1,"mmm")&amp;"_"&amp;TEXT(O$1,"yyyy")),MATCH(TRIM($A20),PnL_Accounts,0))-O20</f>
        <v>0</v>
      </c>
      <c r="P21" s="115">
        <f t="array" aca="1" ref="P21" ca="1">INDEX(INDIRECT("PnL_"&amp;TEXT(P$1,"mmm")&amp;"_"&amp;TEXT(P$1,"yyyy")),MATCH(TRIM($A20),PnL_Accounts,0))-P20</f>
        <v>0</v>
      </c>
      <c r="Q21" s="115">
        <f t="array" aca="1" ref="Q21" ca="1">INDEX(INDIRECT("PnL_"&amp;TEXT(Q$1,"mmm")&amp;"_"&amp;TEXT(Q$1,"yyyy")),MATCH(TRIM($A20),PnL_Accounts,0))-Q20</f>
        <v>0</v>
      </c>
      <c r="R21" s="115">
        <f t="array" aca="1" ref="R21" ca="1">INDEX(INDIRECT("PnL_"&amp;TEXT(R$1,"mmm")&amp;"_"&amp;TEXT(R$1,"yyyy")),MATCH(TRIM($A20),PnL_Accounts,0))-R20</f>
        <v>0</v>
      </c>
      <c r="S21" s="115">
        <f t="array" aca="1" ref="S21" ca="1">INDEX(INDIRECT("PnL_"&amp;TEXT(S$1,"mmm")&amp;"_"&amp;TEXT(S$1,"yyyy")),MATCH(TRIM($A20),PnL_Accounts,0))-S20</f>
        <v>0</v>
      </c>
      <c r="T21" s="115">
        <f t="array" aca="1" ref="T21" ca="1">INDEX(INDIRECT("PnL_"&amp;TEXT(T$1,"mmm")&amp;"_"&amp;TEXT(T$1,"yyyy")),MATCH(TRIM($A20),PnL_Accounts,0))-T20</f>
        <v>0</v>
      </c>
      <c r="U21" s="115">
        <f t="array" aca="1" ref="U21" ca="1">INDEX(INDIRECT("PnL_"&amp;TEXT(U$1,"mmm")&amp;"_"&amp;TEXT(U$1,"yyyy")),MATCH(TRIM($A20),PnL_Accounts,0))-U20</f>
        <v>0</v>
      </c>
      <c r="V21" s="115">
        <f t="array" aca="1" ref="V21" ca="1">INDEX(INDIRECT("PnL_"&amp;TEXT(V$1,"mmm")&amp;"_"&amp;TEXT(V$1,"yyyy")),MATCH(TRIM($A20),PnL_Accounts,0))-V20</f>
        <v>0</v>
      </c>
      <c r="W21" s="115">
        <f t="array" aca="1" ref="W21" ca="1">INDEX(INDIRECT("PnL_"&amp;TEXT(W$1,"mmm")&amp;"_"&amp;TEXT(W$1,"yyyy")),MATCH(TRIM($A20),PnL_Accounts,0))-W20</f>
        <v>0</v>
      </c>
      <c r="X21" s="115">
        <f t="array" aca="1" ref="X21" ca="1">INDEX(INDIRECT("PnL_"&amp;TEXT(X$1,"mmm")&amp;"_"&amp;TEXT(X$1,"yyyy")),MATCH(TRIM($A20),PnL_Accounts,0))-X20</f>
        <v>0</v>
      </c>
      <c r="Y21" s="115">
        <f t="array" aca="1" ref="Y21" ca="1">INDEX(INDIRECT("PnL_"&amp;TEXT(Y$1,"mmm")&amp;"_"&amp;TEXT(Y$1,"yyyy")),MATCH(TRIM($A20),PnL_Accounts,0))-Y20</f>
        <v>0</v>
      </c>
      <c r="Z21" s="115">
        <f t="array" aca="1" ref="Z21" ca="1">INDEX(INDIRECT("PnL_"&amp;TEXT(Z$1,"mmm")&amp;"_"&amp;TEXT(Z$1,"yyyy")),MATCH(TRIM($A20),PnL_Accounts,0))-Z20</f>
        <v>0</v>
      </c>
      <c r="AA21" s="115">
        <f t="array" aca="1" ref="AA21" ca="1">INDEX(INDIRECT("PnL_"&amp;TEXT(AA$1,"mmm")&amp;"_"&amp;TEXT(AA$1,"yyyy")),MATCH(TRIM($A20),PnL_Accounts,0))-AA20</f>
        <v>0</v>
      </c>
      <c r="AB21" s="115">
        <f t="array" aca="1" ref="AB21" ca="1">INDEX(INDIRECT("PnL_"&amp;TEXT(AB$1,"mmm")&amp;"_"&amp;TEXT(AB$1,"yyyy")),MATCH(TRIM($A20),PnL_Accounts,0))-AB20</f>
        <v>0</v>
      </c>
      <c r="AC21" s="115">
        <f t="array" aca="1" ref="AC21" ca="1">INDEX(INDIRECT("PnL_"&amp;TEXT(AC$1,"mmm")&amp;"_"&amp;TEXT(AC$1,"yyyy")),MATCH(TRIM($A20),PnL_Accounts,0))-AC20</f>
        <v>0</v>
      </c>
      <c r="AD21" s="115">
        <f t="array" aca="1" ref="AD21" ca="1">INDEX(INDIRECT("PnL_"&amp;TEXT(AD$1,"mmm")&amp;"_"&amp;TEXT(AD$1,"yyyy")),MATCH(TRIM($A20),PnL_Accounts,0))-AD20</f>
        <v>0</v>
      </c>
      <c r="AE21" s="115">
        <f t="array" aca="1" ref="AE21" ca="1">INDEX(INDIRECT("PnL_"&amp;TEXT(AE$1,"mmm")&amp;"_"&amp;TEXT(AE$1,"yyyy")),MATCH(TRIM($A20),PnL_Accounts,0))-AE20</f>
        <v>0</v>
      </c>
    </row>
    <row r="22" spans="1:75" ht="12.75" x14ac:dyDescent="0.2">
      <c r="A22" s="69" t="s">
        <v>18</v>
      </c>
      <c r="B22" s="221"/>
    </row>
    <row r="23" spans="1:75" ht="12.75" x14ac:dyDescent="0.2">
      <c r="A23" s="23" t="s">
        <v>278</v>
      </c>
      <c r="B23" s="221"/>
    </row>
    <row r="24" spans="1:75" ht="12.75" x14ac:dyDescent="0.2">
      <c r="A24" s="23" t="s">
        <v>279</v>
      </c>
      <c r="B24" s="224">
        <f ca="1">AVERAGEIFS(24:24,$1:$1,"&gt;="&amp;DATE(YEAR(Current_Month),MONTH(Current_Month)-2,DAY(Current_Month)),$1:$1,"&lt;="&amp;EOMONTH(Current_Month,0))</f>
        <v>32396.333333333332</v>
      </c>
      <c r="D24" s="251">
        <f t="array" aca="1" ref="D24" ca="1">INDEX(INDIRECT("PnL_"&amp;TEXT(D$1,"mmm")&amp;"_"&amp;TEXT(D$1,"yyyy")),MATCH(TRIM($A24),PnL_Accounts,0))</f>
        <v>20800</v>
      </c>
      <c r="E24" s="251">
        <f t="array" aca="1" ref="E24" ca="1">INDEX(INDIRECT("PnL_"&amp;TEXT(E$1,"mmm")&amp;"_"&amp;TEXT(E$1,"yyyy")),MATCH(TRIM($A24),PnL_Accounts,0))</f>
        <v>21162</v>
      </c>
      <c r="F24" s="251">
        <f t="array" aca="1" ref="F24" ca="1">INDEX(INDIRECT("PnL_"&amp;TEXT(F$1,"mmm")&amp;"_"&amp;TEXT(F$1,"yyyy")),MATCH(TRIM($A24),PnL_Accounts,0))</f>
        <v>24016</v>
      </c>
      <c r="G24" s="251">
        <f t="array" aca="1" ref="G24" ca="1">INDEX(INDIRECT("PnL_"&amp;TEXT(G$1,"mmm")&amp;"_"&amp;TEXT(G$1,"yyyy")),MATCH(TRIM($A24),PnL_Accounts,0))</f>
        <v>24060</v>
      </c>
      <c r="H24" s="251">
        <f t="array" aca="1" ref="H24" ca="1">INDEX(INDIRECT("PnL_"&amp;TEXT(H$1,"mmm")&amp;"_"&amp;TEXT(H$1,"yyyy")),MATCH(TRIM($A24),PnL_Accounts,0))</f>
        <v>23821</v>
      </c>
      <c r="I24" s="251">
        <f t="array" aca="1" ref="I24" ca="1">INDEX(INDIRECT("PnL_"&amp;TEXT(I$1,"mmm")&amp;"_"&amp;TEXT(I$1,"yyyy")),MATCH(TRIM($A24),PnL_Accounts,0))</f>
        <v>23226</v>
      </c>
      <c r="J24" s="251">
        <f t="array" aca="1" ref="J24" ca="1">INDEX(INDIRECT("PnL_"&amp;TEXT(J$1,"mmm")&amp;"_"&amp;TEXT(J$1,"yyyy")),MATCH(TRIM($A24),PnL_Accounts,0))</f>
        <v>24060</v>
      </c>
      <c r="K24" s="251">
        <f t="array" aca="1" ref="K24" ca="1">INDEX(INDIRECT("PnL_"&amp;TEXT(K$1,"mmm")&amp;"_"&amp;TEXT(K$1,"yyyy")),MATCH(TRIM($A24),PnL_Accounts,0))</f>
        <v>26430</v>
      </c>
      <c r="L24" s="251">
        <f t="array" aca="1" ref="L24" ca="1">INDEX(INDIRECT("PnL_"&amp;TEXT(L$1,"mmm")&amp;"_"&amp;TEXT(L$1,"yyyy")),MATCH(TRIM($A24),PnL_Accounts,0))</f>
        <v>23500</v>
      </c>
      <c r="M24" s="251">
        <f t="array" aca="1" ref="M24" ca="1">INDEX(INDIRECT("PnL_"&amp;TEXT(M$1,"mmm")&amp;"_"&amp;TEXT(M$1,"yyyy")),MATCH(TRIM($A24),PnL_Accounts,0))</f>
        <v>27820</v>
      </c>
      <c r="N24" s="251">
        <f t="array" aca="1" ref="N24" ca="1">INDEX(INDIRECT("PnL_"&amp;TEXT(N$1,"mmm")&amp;"_"&amp;TEXT(N$1,"yyyy")),MATCH(TRIM($A24),PnL_Accounts,0))</f>
        <v>29340</v>
      </c>
      <c r="O24" s="251">
        <f t="array" aca="1" ref="O24" ca="1">INDEX(INDIRECT("PnL_"&amp;TEXT(O$1,"mmm")&amp;"_"&amp;TEXT(O$1,"yyyy")),MATCH(TRIM($A24),PnL_Accounts,0))</f>
        <v>27420</v>
      </c>
      <c r="P24" s="251">
        <f t="array" aca="1" ref="P24" ca="1">INDEX(INDIRECT("PnL_"&amp;TEXT(P$1,"mmm")&amp;"_"&amp;TEXT(P$1,"yyyy")),MATCH(TRIM($A24),PnL_Accounts,0))</f>
        <v>26920</v>
      </c>
      <c r="Q24" s="251">
        <f t="array" aca="1" ref="Q24" ca="1">INDEX(INDIRECT("PnL_"&amp;TEXT(Q$1,"mmm")&amp;"_"&amp;TEXT(Q$1,"yyyy")),MATCH(TRIM($A24),PnL_Accounts,0))</f>
        <v>27893</v>
      </c>
      <c r="R24" s="251">
        <f t="array" aca="1" ref="R24" ca="1">INDEX(INDIRECT("PnL_"&amp;TEXT(R$1,"mmm")&amp;"_"&amp;TEXT(R$1,"yyyy")),MATCH(TRIM($A24),PnL_Accounts,0))</f>
        <v>27893</v>
      </c>
      <c r="S24" s="251">
        <f t="array" aca="1" ref="S24" ca="1">INDEX(INDIRECT("PnL_"&amp;TEXT(S$1,"mmm")&amp;"_"&amp;TEXT(S$1,"yyyy")),MATCH(TRIM($A24),PnL_Accounts,0))</f>
        <v>29881</v>
      </c>
      <c r="T24" s="251">
        <f t="array" aca="1" ref="T24" ca="1">INDEX(INDIRECT("PnL_"&amp;TEXT(T$1,"mmm")&amp;"_"&amp;TEXT(T$1,"yyyy")),MATCH(TRIM($A24),PnL_Accounts,0))</f>
        <v>28893</v>
      </c>
      <c r="U24" s="251">
        <f t="array" aca="1" ref="U24" ca="1">INDEX(INDIRECT("PnL_"&amp;TEXT(U$1,"mmm")&amp;"_"&amp;TEXT(U$1,"yyyy")),MATCH(TRIM($A24),PnL_Accounts,0))</f>
        <v>27658</v>
      </c>
      <c r="V24" s="251">
        <f t="array" aca="1" ref="V24" ca="1">INDEX(INDIRECT("PnL_"&amp;TEXT(V$1,"mmm")&amp;"_"&amp;TEXT(V$1,"yyyy")),MATCH(TRIM($A24),PnL_Accounts,0))</f>
        <v>27287</v>
      </c>
      <c r="W24" s="251">
        <f t="array" aca="1" ref="W24" ca="1">INDEX(INDIRECT("PnL_"&amp;TEXT(W$1,"mmm")&amp;"_"&amp;TEXT(W$1,"yyyy")),MATCH(TRIM($A24),PnL_Accounts,0))</f>
        <v>29822</v>
      </c>
      <c r="X24" s="251">
        <f t="array" aca="1" ref="X24" ca="1">INDEX(INDIRECT("PnL_"&amp;TEXT(X$1,"mmm")&amp;"_"&amp;TEXT(X$1,"yyyy")),MATCH(TRIM($A24),PnL_Accounts,0))</f>
        <v>29822</v>
      </c>
      <c r="Y24" s="251">
        <f t="array" aca="1" ref="Y24" ca="1">INDEX(INDIRECT("PnL_"&amp;TEXT(Y$1,"mmm")&amp;"_"&amp;TEXT(Y$1,"yyyy")),MATCH(TRIM($A24),PnL_Accounts,0))</f>
        <v>29822</v>
      </c>
      <c r="Z24" s="251">
        <f t="array" aca="1" ref="Z24" ca="1">INDEX(INDIRECT("PnL_"&amp;TEXT(Z$1,"mmm")&amp;"_"&amp;TEXT(Z$1,"yyyy")),MATCH(TRIM($A24),PnL_Accounts,0))</f>
        <v>29822</v>
      </c>
      <c r="AA24" s="251">
        <f t="array" aca="1" ref="AA24" ca="1">INDEX(INDIRECT("PnL_"&amp;TEXT(AA$1,"mmm")&amp;"_"&amp;TEXT(AA$1,"yyyy")),MATCH(TRIM($A24),PnL_Accounts,0))</f>
        <v>29822</v>
      </c>
      <c r="AB24" s="251">
        <f t="array" aca="1" ref="AB24" ca="1">INDEX(INDIRECT("PnL_"&amp;TEXT(AB$1,"mmm")&amp;"_"&amp;TEXT(AB$1,"yyyy")),MATCH(TRIM($A24),PnL_Accounts,0))</f>
        <v>29822</v>
      </c>
      <c r="AC24" s="251">
        <f t="array" aca="1" ref="AC24" ca="1">INDEX(INDIRECT("PnL_"&amp;TEXT(AC$1,"mmm")&amp;"_"&amp;TEXT(AC$1,"yyyy")),MATCH(TRIM($A24),PnL_Accounts,0))</f>
        <v>35789</v>
      </c>
      <c r="AD24" s="251">
        <f t="array" aca="1" ref="AD24" ca="1">INDEX(INDIRECT("PnL_"&amp;TEXT(AD$1,"mmm")&amp;"_"&amp;TEXT(AD$1,"yyyy")),MATCH(TRIM($A24),PnL_Accounts,0))</f>
        <v>32000</v>
      </c>
      <c r="AE24" s="251">
        <f t="array" aca="1" ref="AE24" ca="1">INDEX(INDIRECT("PnL_"&amp;TEXT(AE$1,"mmm")&amp;"_"&amp;TEXT(AE$1,"yyyy")),MATCH(TRIM($A24),PnL_Accounts,0))</f>
        <v>29400</v>
      </c>
      <c r="AF24" s="25">
        <f t="array" ref="AF24">INDEX(Hiring_Plan_Contractors_Engineering_Worst_Case,MATCH(AF$1,Hiring_Plan_Months_Worst_Case,0))</f>
        <v>0</v>
      </c>
      <c r="AG24" s="25">
        <f t="array" ref="AG24">INDEX(Hiring_Plan_Contractors_Engineering_Worst_Case,MATCH(AG$1,Hiring_Plan_Months_Worst_Case,0))</f>
        <v>0</v>
      </c>
      <c r="AH24" s="25">
        <f t="array" ref="AH24">INDEX(Hiring_Plan_Contractors_Engineering_Worst_Case,MATCH(AH$1,Hiring_Plan_Months_Worst_Case,0))</f>
        <v>0</v>
      </c>
      <c r="AI24" s="25">
        <f t="array" ref="AI24">INDEX(Hiring_Plan_Contractors_Engineering_Worst_Case,MATCH(AI$1,Hiring_Plan_Months_Worst_Case,0))</f>
        <v>0</v>
      </c>
      <c r="AJ24" s="25">
        <f t="array" ref="AJ24">INDEX(Hiring_Plan_Contractors_Engineering_Worst_Case,MATCH(AJ$1,Hiring_Plan_Months_Worst_Case,0))</f>
        <v>0</v>
      </c>
      <c r="AK24" s="25">
        <f t="array" ref="AK24">INDEX(Hiring_Plan_Contractors_Engineering_Worst_Case,MATCH(AK$1,Hiring_Plan_Months_Worst_Case,0))</f>
        <v>0</v>
      </c>
      <c r="AL24" s="25">
        <f t="array" ref="AL24">INDEX(Hiring_Plan_Contractors_Engineering_Worst_Case,MATCH(AL$1,Hiring_Plan_Months_Worst_Case,0))</f>
        <v>0</v>
      </c>
      <c r="AM24" s="25">
        <f t="array" ref="AM24">INDEX(Hiring_Plan_Contractors_Engineering_Worst_Case,MATCH(AM$1,Hiring_Plan_Months_Worst_Case,0))</f>
        <v>0</v>
      </c>
      <c r="AN24" s="25">
        <f t="array" ref="AN24">INDEX(Hiring_Plan_Contractors_Engineering_Worst_Case,MATCH(AN$1,Hiring_Plan_Months_Worst_Case,0))</f>
        <v>0</v>
      </c>
      <c r="AO24" s="25">
        <f t="array" ref="AO24">INDEX(Hiring_Plan_Contractors_Engineering_Worst_Case,MATCH(AO$1,Hiring_Plan_Months_Worst_Case,0))</f>
        <v>0</v>
      </c>
      <c r="AP24" s="25">
        <f t="array" ref="AP24">INDEX(Hiring_Plan_Contractors_Engineering_Worst_Case,MATCH(AP$1,Hiring_Plan_Months_Worst_Case,0))</f>
        <v>0</v>
      </c>
      <c r="AQ24" s="25">
        <f t="array" ref="AQ24">INDEX(Hiring_Plan_Contractors_Engineering_Worst_Case,MATCH(AQ$1,Hiring_Plan_Months_Worst_Case,0))</f>
        <v>0</v>
      </c>
      <c r="AR24" s="25">
        <f t="array" ref="AR24">INDEX(Hiring_Plan_Contractors_Engineering_Worst_Case,MATCH(AR$1,Hiring_Plan_Months_Worst_Case,0))</f>
        <v>0</v>
      </c>
      <c r="AS24" s="25">
        <f t="array" ref="AS24">INDEX(Hiring_Plan_Contractors_Engineering_Worst_Case,MATCH(AS$1,Hiring_Plan_Months_Worst_Case,0))</f>
        <v>0</v>
      </c>
      <c r="AT24" s="25">
        <f t="array" ref="AT24">INDEX(Hiring_Plan_Contractors_Engineering_Worst_Case,MATCH(AT$1,Hiring_Plan_Months_Worst_Case,0))</f>
        <v>0</v>
      </c>
      <c r="AU24" s="25">
        <f t="array" ref="AU24">INDEX(Hiring_Plan_Contractors_Engineering_Worst_Case,MATCH(AU$1,Hiring_Plan_Months_Worst_Case,0))</f>
        <v>0</v>
      </c>
      <c r="AV24" s="25">
        <f t="array" ref="AV24">INDEX(Hiring_Plan_Contractors_Engineering_Worst_Case,MATCH(AV$1,Hiring_Plan_Months_Worst_Case,0))</f>
        <v>0</v>
      </c>
      <c r="AW24" s="25">
        <f t="array" ref="AW24">INDEX(Hiring_Plan_Contractors_Engineering_Worst_Case,MATCH(AW$1,Hiring_Plan_Months_Worst_Case,0))</f>
        <v>0</v>
      </c>
      <c r="AX24" s="25">
        <f t="array" ref="AX24">INDEX(Hiring_Plan_Contractors_Engineering_Worst_Case,MATCH(AX$1,Hiring_Plan_Months_Worst_Case,0))</f>
        <v>0</v>
      </c>
      <c r="AY24" s="25">
        <f t="array" ref="AY24">INDEX(Hiring_Plan_Contractors_Engineering_Worst_Case,MATCH(AY$1,Hiring_Plan_Months_Worst_Case,0))</f>
        <v>0</v>
      </c>
      <c r="AZ24" s="25">
        <f t="array" ref="AZ24">INDEX(Hiring_Plan_Contractors_Engineering_Worst_Case,MATCH(AZ$1,Hiring_Plan_Months_Worst_Case,0))</f>
        <v>0</v>
      </c>
      <c r="BA24" s="25">
        <f t="array" ref="BA24">INDEX(Hiring_Plan_Contractors_Engineering_Worst_Case,MATCH(BA$1,Hiring_Plan_Months_Worst_Case,0))</f>
        <v>0</v>
      </c>
      <c r="BB24" s="25">
        <f t="array" ref="BB24">INDEX(Hiring_Plan_Contractors_Engineering_Worst_Case,MATCH(BB$1,Hiring_Plan_Months_Worst_Case,0))</f>
        <v>0</v>
      </c>
      <c r="BC24" s="25">
        <f t="array" ref="BC24">INDEX(Hiring_Plan_Contractors_Engineering_Worst_Case,MATCH(BC$1,Hiring_Plan_Months_Worst_Case,0))</f>
        <v>0</v>
      </c>
      <c r="BD24" s="25">
        <f t="array" ref="BD24">INDEX(Hiring_Plan_Contractors_Engineering_Worst_Case,MATCH(BD$1,Hiring_Plan_Months_Worst_Case,0))</f>
        <v>0</v>
      </c>
      <c r="BE24" s="25">
        <f t="array" ref="BE24">INDEX(Hiring_Plan_Contractors_Engineering_Worst_Case,MATCH(BE$1,Hiring_Plan_Months_Worst_Case,0))</f>
        <v>0</v>
      </c>
      <c r="BF24" s="25">
        <f t="array" ref="BF24">INDEX(Hiring_Plan_Contractors_Engineering_Worst_Case,MATCH(BF$1,Hiring_Plan_Months_Worst_Case,0))</f>
        <v>0</v>
      </c>
      <c r="BG24" s="25">
        <f t="array" ref="BG24">INDEX(Hiring_Plan_Contractors_Engineering_Worst_Case,MATCH(BG$1,Hiring_Plan_Months_Worst_Case,0))</f>
        <v>0</v>
      </c>
      <c r="BH24" s="25">
        <f t="array" ref="BH24">INDEX(Hiring_Plan_Contractors_Engineering_Worst_Case,MATCH(BH$1,Hiring_Plan_Months_Worst_Case,0))</f>
        <v>0</v>
      </c>
      <c r="BI24" s="25">
        <f t="array" ref="BI24">INDEX(Hiring_Plan_Contractors_Engineering_Worst_Case,MATCH(BI$1,Hiring_Plan_Months_Worst_Case,0))</f>
        <v>0</v>
      </c>
      <c r="BJ24" s="25">
        <f t="array" ref="BJ24">INDEX(Hiring_Plan_Contractors_Engineering_Worst_Case,MATCH(BJ$1,Hiring_Plan_Months_Worst_Case,0))</f>
        <v>0</v>
      </c>
      <c r="BK24" s="25">
        <f t="array" ref="BK24">INDEX(Hiring_Plan_Contractors_Engineering_Worst_Case,MATCH(BK$1,Hiring_Plan_Months_Worst_Case,0))</f>
        <v>0</v>
      </c>
      <c r="BL24" s="25">
        <f t="array" ref="BL24">INDEX(Hiring_Plan_Contractors_Engineering_Worst_Case,MATCH(BL$1,Hiring_Plan_Months_Worst_Case,0))</f>
        <v>0</v>
      </c>
      <c r="BM24" s="25">
        <f t="array" ref="BM24">INDEX(Hiring_Plan_Contractors_Engineering_Worst_Case,MATCH(BM$1,Hiring_Plan_Months_Worst_Case,0))</f>
        <v>0</v>
      </c>
      <c r="BN24" s="25">
        <f t="array" ref="BN24">INDEX(Hiring_Plan_Contractors_Engineering_Worst_Case,MATCH(BN$1,Hiring_Plan_Months_Worst_Case,0))</f>
        <v>0</v>
      </c>
      <c r="BO24" s="25">
        <f t="array" ref="BO24">INDEX(Hiring_Plan_Contractors_Engineering_Worst_Case,MATCH(BO$1,Hiring_Plan_Months_Worst_Case,0))</f>
        <v>0</v>
      </c>
      <c r="BP24" s="25">
        <f t="array" ref="BP24">INDEX(Hiring_Plan_Contractors_Engineering_Worst_Case,MATCH(BP$1,Hiring_Plan_Months_Worst_Case,0))</f>
        <v>0</v>
      </c>
      <c r="BQ24" s="25">
        <f t="array" ref="BQ24">INDEX(Hiring_Plan_Contractors_Engineering_Worst_Case,MATCH(BQ$1,Hiring_Plan_Months_Worst_Case,0))</f>
        <v>0</v>
      </c>
      <c r="BR24" s="25">
        <f t="array" ref="BR24">INDEX(Hiring_Plan_Contractors_Engineering_Worst_Case,MATCH(BR$1,Hiring_Plan_Months_Worst_Case,0))</f>
        <v>0</v>
      </c>
      <c r="BS24" s="25">
        <f t="array" ref="BS24">INDEX(Hiring_Plan_Contractors_Engineering_Worst_Case,MATCH(BS$1,Hiring_Plan_Months_Worst_Case,0))</f>
        <v>0</v>
      </c>
      <c r="BT24" s="25">
        <f t="array" ref="BT24">INDEX(Hiring_Plan_Contractors_Engineering_Worst_Case,MATCH(BT$1,Hiring_Plan_Months_Worst_Case,0))</f>
        <v>0</v>
      </c>
      <c r="BU24" s="25">
        <f t="array" ref="BU24">INDEX(Hiring_Plan_Contractors_Engineering_Worst_Case,MATCH(BU$1,Hiring_Plan_Months_Worst_Case,0))</f>
        <v>0</v>
      </c>
      <c r="BV24" s="25">
        <f t="array" ref="BV24">INDEX(Hiring_Plan_Contractors_Engineering_Worst_Case,MATCH(BV$1,Hiring_Plan_Months_Worst_Case,0))</f>
        <v>0</v>
      </c>
      <c r="BW24" s="25">
        <f t="array" ref="BW24">INDEX(Hiring_Plan_Contractors_Engineering_Worst_Case,MATCH(BW$1,Hiring_Plan_Months_Worst_Case,0))</f>
        <v>0</v>
      </c>
    </row>
    <row r="25" spans="1:75" ht="12.75" x14ac:dyDescent="0.2">
      <c r="A25" s="23" t="s">
        <v>281</v>
      </c>
      <c r="B25" s="221"/>
      <c r="D25" s="115">
        <f t="array" aca="1" ref="D25" ca="1">INDEX(INDIRECT("PnL_"&amp;TEXT(D$1,"mmm")&amp;"_"&amp;TEXT(D$1,"yyyy")),MATCH(TRIM($A25),PnL_Accounts,0))</f>
        <v>0</v>
      </c>
      <c r="E25" s="115">
        <f t="array" aca="1" ref="E25" ca="1">INDEX(INDIRECT("PnL_"&amp;TEXT(E$1,"mmm")&amp;"_"&amp;TEXT(E$1,"yyyy")),MATCH(TRIM($A25),PnL_Accounts,0))</f>
        <v>0</v>
      </c>
      <c r="F25" s="115">
        <f t="array" aca="1" ref="F25" ca="1">INDEX(INDIRECT("PnL_"&amp;TEXT(F$1,"mmm")&amp;"_"&amp;TEXT(F$1,"yyyy")),MATCH(TRIM($A25),PnL_Accounts,0))</f>
        <v>0</v>
      </c>
      <c r="G25" s="115">
        <f t="array" aca="1" ref="G25" ca="1">INDEX(INDIRECT("PnL_"&amp;TEXT(G$1,"mmm")&amp;"_"&amp;TEXT(G$1,"yyyy")),MATCH(TRIM($A25),PnL_Accounts,0))</f>
        <v>0</v>
      </c>
      <c r="H25" s="115">
        <f t="array" aca="1" ref="H25" ca="1">INDEX(INDIRECT("PnL_"&amp;TEXT(H$1,"mmm")&amp;"_"&amp;TEXT(H$1,"yyyy")),MATCH(TRIM($A25),PnL_Accounts,0))</f>
        <v>0</v>
      </c>
      <c r="I25" s="115">
        <f t="array" aca="1" ref="I25" ca="1">INDEX(INDIRECT("PnL_"&amp;TEXT(I$1,"mmm")&amp;"_"&amp;TEXT(I$1,"yyyy")),MATCH(TRIM($A25),PnL_Accounts,0))</f>
        <v>0</v>
      </c>
      <c r="J25" s="115">
        <f t="array" aca="1" ref="J25" ca="1">INDEX(INDIRECT("PnL_"&amp;TEXT(J$1,"mmm")&amp;"_"&amp;TEXT(J$1,"yyyy")),MATCH(TRIM($A25),PnL_Accounts,0))</f>
        <v>0</v>
      </c>
      <c r="K25" s="115">
        <f t="array" aca="1" ref="K25" ca="1">INDEX(INDIRECT("PnL_"&amp;TEXT(K$1,"mmm")&amp;"_"&amp;TEXT(K$1,"yyyy")),MATCH(TRIM($A25),PnL_Accounts,0))</f>
        <v>0</v>
      </c>
      <c r="L25" s="115">
        <f t="array" aca="1" ref="L25" ca="1">INDEX(INDIRECT("PnL_"&amp;TEXT(L$1,"mmm")&amp;"_"&amp;TEXT(L$1,"yyyy")),MATCH(TRIM($A25),PnL_Accounts,0))</f>
        <v>0</v>
      </c>
      <c r="M25" s="115">
        <f t="array" aca="1" ref="M25" ca="1">INDEX(INDIRECT("PnL_"&amp;TEXT(M$1,"mmm")&amp;"_"&amp;TEXT(M$1,"yyyy")),MATCH(TRIM($A25),PnL_Accounts,0))</f>
        <v>0</v>
      </c>
      <c r="N25" s="115">
        <f t="array" aca="1" ref="N25" ca="1">INDEX(INDIRECT("PnL_"&amp;TEXT(N$1,"mmm")&amp;"_"&amp;TEXT(N$1,"yyyy")),MATCH(TRIM($A25),PnL_Accounts,0))</f>
        <v>0</v>
      </c>
      <c r="O25" s="115">
        <f t="array" aca="1" ref="O25" ca="1">INDEX(INDIRECT("PnL_"&amp;TEXT(O$1,"mmm")&amp;"_"&amp;TEXT(O$1,"yyyy")),MATCH(TRIM($A25),PnL_Accounts,0))</f>
        <v>0</v>
      </c>
      <c r="P25" s="115">
        <f t="array" aca="1" ref="P25" ca="1">INDEX(INDIRECT("PnL_"&amp;TEXT(P$1,"mmm")&amp;"_"&amp;TEXT(P$1,"yyyy")),MATCH(TRIM($A25),PnL_Accounts,0))</f>
        <v>0</v>
      </c>
      <c r="Q25" s="115">
        <f t="array" aca="1" ref="Q25" ca="1">INDEX(INDIRECT("PnL_"&amp;TEXT(Q$1,"mmm")&amp;"_"&amp;TEXT(Q$1,"yyyy")),MATCH(TRIM($A25),PnL_Accounts,0))</f>
        <v>0</v>
      </c>
      <c r="R25" s="115">
        <f t="array" aca="1" ref="R25" ca="1">INDEX(INDIRECT("PnL_"&amp;TEXT(R$1,"mmm")&amp;"_"&amp;TEXT(R$1,"yyyy")),MATCH(TRIM($A25),PnL_Accounts,0))</f>
        <v>0</v>
      </c>
      <c r="S25" s="115">
        <f t="array" aca="1" ref="S25" ca="1">INDEX(INDIRECT("PnL_"&amp;TEXT(S$1,"mmm")&amp;"_"&amp;TEXT(S$1,"yyyy")),MATCH(TRIM($A25),PnL_Accounts,0))</f>
        <v>0</v>
      </c>
      <c r="T25" s="115">
        <f t="array" aca="1" ref="T25" ca="1">INDEX(INDIRECT("PnL_"&amp;TEXT(T$1,"mmm")&amp;"_"&amp;TEXT(T$1,"yyyy")),MATCH(TRIM($A25),PnL_Accounts,0))</f>
        <v>0</v>
      </c>
      <c r="U25" s="115">
        <f t="array" aca="1" ref="U25" ca="1">INDEX(INDIRECT("PnL_"&amp;TEXT(U$1,"mmm")&amp;"_"&amp;TEXT(U$1,"yyyy")),MATCH(TRIM($A25),PnL_Accounts,0))</f>
        <v>0</v>
      </c>
      <c r="V25" s="115">
        <f t="array" aca="1" ref="V25" ca="1">INDEX(INDIRECT("PnL_"&amp;TEXT(V$1,"mmm")&amp;"_"&amp;TEXT(V$1,"yyyy")),MATCH(TRIM($A25),PnL_Accounts,0))</f>
        <v>0</v>
      </c>
      <c r="W25" s="115">
        <f t="array" aca="1" ref="W25" ca="1">INDEX(INDIRECT("PnL_"&amp;TEXT(W$1,"mmm")&amp;"_"&amp;TEXT(W$1,"yyyy")),MATCH(TRIM($A25),PnL_Accounts,0))</f>
        <v>0</v>
      </c>
      <c r="X25" s="115">
        <f t="array" aca="1" ref="X25" ca="1">INDEX(INDIRECT("PnL_"&amp;TEXT(X$1,"mmm")&amp;"_"&amp;TEXT(X$1,"yyyy")),MATCH(TRIM($A25),PnL_Accounts,0))</f>
        <v>0</v>
      </c>
      <c r="Y25" s="115">
        <f t="array" aca="1" ref="Y25" ca="1">INDEX(INDIRECT("PnL_"&amp;TEXT(Y$1,"mmm")&amp;"_"&amp;TEXT(Y$1,"yyyy")),MATCH(TRIM($A25),PnL_Accounts,0))</f>
        <v>0</v>
      </c>
      <c r="Z25" s="115">
        <f t="array" aca="1" ref="Z25" ca="1">INDEX(INDIRECT("PnL_"&amp;TEXT(Z$1,"mmm")&amp;"_"&amp;TEXT(Z$1,"yyyy")),MATCH(TRIM($A25),PnL_Accounts,0))</f>
        <v>0</v>
      </c>
      <c r="AA25" s="115">
        <f t="array" aca="1" ref="AA25" ca="1">INDEX(INDIRECT("PnL_"&amp;TEXT(AA$1,"mmm")&amp;"_"&amp;TEXT(AA$1,"yyyy")),MATCH(TRIM($A25),PnL_Accounts,0))</f>
        <v>0</v>
      </c>
      <c r="AB25" s="115">
        <f t="array" aca="1" ref="AB25" ca="1">INDEX(INDIRECT("PnL_"&amp;TEXT(AB$1,"mmm")&amp;"_"&amp;TEXT(AB$1,"yyyy")),MATCH(TRIM($A25),PnL_Accounts,0))</f>
        <v>0</v>
      </c>
      <c r="AC25" s="115">
        <f t="array" aca="1" ref="AC25" ca="1">INDEX(INDIRECT("PnL_"&amp;TEXT(AC$1,"mmm")&amp;"_"&amp;TEXT(AC$1,"yyyy")),MATCH(TRIM($A25),PnL_Accounts,0))</f>
        <v>0</v>
      </c>
      <c r="AD25" s="115">
        <f t="array" aca="1" ref="AD25" ca="1">INDEX(INDIRECT("PnL_"&amp;TEXT(AD$1,"mmm")&amp;"_"&amp;TEXT(AD$1,"yyyy")),MATCH(TRIM($A25),PnL_Accounts,0))</f>
        <v>0</v>
      </c>
      <c r="AE25" s="115">
        <f t="array" aca="1" ref="AE25" ca="1">INDEX(INDIRECT("PnL_"&amp;TEXT(AE$1,"mmm")&amp;"_"&amp;TEXT(AE$1,"yyyy")),MATCH(TRIM($A25),PnL_Accounts,0))</f>
        <v>0</v>
      </c>
    </row>
    <row r="26" spans="1:75" ht="12.75" x14ac:dyDescent="0.2">
      <c r="A26" s="23" t="s">
        <v>282</v>
      </c>
      <c r="B26" s="224">
        <f ca="1">AVERAGEIFS(26:26,$1:$1,"&gt;="&amp;DATE(YEAR(Current_Month),MONTH(Current_Month)-2,DAY(Current_Month)),$1:$1,"&lt;="&amp;EOMONTH(Current_Month,0))</f>
        <v>4450</v>
      </c>
      <c r="D26" s="115">
        <f t="array" aca="1" ref="D26" ca="1">INDEX(INDIRECT("PnL_"&amp;TEXT(D$1,"mmm")&amp;"_"&amp;TEXT(D$1,"yyyy")),MATCH(TRIM($A26),PnL_Accounts,0))</f>
        <v>2966</v>
      </c>
      <c r="E26" s="115">
        <f t="array" aca="1" ref="E26" ca="1">INDEX(INDIRECT("PnL_"&amp;TEXT(E$1,"mmm")&amp;"_"&amp;TEXT(E$1,"yyyy")),MATCH(TRIM($A26),PnL_Accounts,0))</f>
        <v>3164</v>
      </c>
      <c r="F26" s="115">
        <f t="array" aca="1" ref="F26" ca="1">INDEX(INDIRECT("PnL_"&amp;TEXT(F$1,"mmm")&amp;"_"&amp;TEXT(F$1,"yyyy")),MATCH(TRIM($A26),PnL_Accounts,0))</f>
        <v>3361</v>
      </c>
      <c r="G26" s="115">
        <f t="array" aca="1" ref="G26" ca="1">INDEX(INDIRECT("PnL_"&amp;TEXT(G$1,"mmm")&amp;"_"&amp;TEXT(G$1,"yyyy")),MATCH(TRIM($A26),PnL_Accounts,0))</f>
        <v>3361</v>
      </c>
      <c r="H26" s="115">
        <f t="array" aca="1" ref="H26" ca="1">INDEX(INDIRECT("PnL_"&amp;TEXT(H$1,"mmm")&amp;"_"&amp;TEXT(H$1,"yyyy")),MATCH(TRIM($A26),PnL_Accounts,0))</f>
        <v>3361</v>
      </c>
      <c r="I26" s="115">
        <f t="array" aca="1" ref="I26" ca="1">INDEX(INDIRECT("PnL_"&amp;TEXT(I$1,"mmm")&amp;"_"&amp;TEXT(I$1,"yyyy")),MATCH(TRIM($A26),PnL_Accounts,0))</f>
        <v>3559</v>
      </c>
      <c r="J26" s="115">
        <f t="array" aca="1" ref="J26" ca="1">INDEX(INDIRECT("PnL_"&amp;TEXT(J$1,"mmm")&amp;"_"&amp;TEXT(J$1,"yyyy")),MATCH(TRIM($A26),PnL_Accounts,0))</f>
        <v>3559</v>
      </c>
      <c r="K26" s="115">
        <f t="array" aca="1" ref="K26" ca="1">INDEX(INDIRECT("PnL_"&amp;TEXT(K$1,"mmm")&amp;"_"&amp;TEXT(K$1,"yyyy")),MATCH(TRIM($A26),PnL_Accounts,0))</f>
        <v>3559</v>
      </c>
      <c r="L26" s="115">
        <f t="array" aca="1" ref="L26" ca="1">INDEX(INDIRECT("PnL_"&amp;TEXT(L$1,"mmm")&amp;"_"&amp;TEXT(L$1,"yyyy")),MATCH(TRIM($A26),PnL_Accounts,0))</f>
        <v>3756</v>
      </c>
      <c r="M26" s="115">
        <f t="array" aca="1" ref="M26" ca="1">INDEX(INDIRECT("PnL_"&amp;TEXT(M$1,"mmm")&amp;"_"&amp;TEXT(M$1,"yyyy")),MATCH(TRIM($A26),PnL_Accounts,0))</f>
        <v>3756</v>
      </c>
      <c r="N26" s="115">
        <f t="array" aca="1" ref="N26" ca="1">INDEX(INDIRECT("PnL_"&amp;TEXT(N$1,"mmm")&amp;"_"&amp;TEXT(N$1,"yyyy")),MATCH(TRIM($A26),PnL_Accounts,0))</f>
        <v>3756</v>
      </c>
      <c r="O26" s="115">
        <f t="array" aca="1" ref="O26" ca="1">INDEX(INDIRECT("PnL_"&amp;TEXT(O$1,"mmm")&amp;"_"&amp;TEXT(O$1,"yyyy")),MATCH(TRIM($A26),PnL_Accounts,0))</f>
        <v>4150</v>
      </c>
      <c r="P26" s="115">
        <f t="array" aca="1" ref="P26" ca="1">INDEX(INDIRECT("PnL_"&amp;TEXT(P$1,"mmm")&amp;"_"&amp;TEXT(P$1,"yyyy")),MATCH(TRIM($A26),PnL_Accounts,0))</f>
        <v>4150</v>
      </c>
      <c r="Q26" s="115">
        <f t="array" aca="1" ref="Q26" ca="1">INDEX(INDIRECT("PnL_"&amp;TEXT(Q$1,"mmm")&amp;"_"&amp;TEXT(Q$1,"yyyy")),MATCH(TRIM($A26),PnL_Accounts,0))</f>
        <v>4150</v>
      </c>
      <c r="R26" s="115">
        <f t="array" aca="1" ref="R26" ca="1">INDEX(INDIRECT("PnL_"&amp;TEXT(R$1,"mmm")&amp;"_"&amp;TEXT(R$1,"yyyy")),MATCH(TRIM($A26),PnL_Accounts,0))</f>
        <v>4150</v>
      </c>
      <c r="S26" s="115">
        <f t="array" aca="1" ref="S26" ca="1">INDEX(INDIRECT("PnL_"&amp;TEXT(S$1,"mmm")&amp;"_"&amp;TEXT(S$1,"yyyy")),MATCH(TRIM($A26),PnL_Accounts,0))</f>
        <v>4150</v>
      </c>
      <c r="T26" s="115">
        <f t="array" aca="1" ref="T26" ca="1">INDEX(INDIRECT("PnL_"&amp;TEXT(T$1,"mmm")&amp;"_"&amp;TEXT(T$1,"yyyy")),MATCH(TRIM($A26),PnL_Accounts,0))</f>
        <v>4450</v>
      </c>
      <c r="U26" s="115">
        <f t="array" aca="1" ref="U26" ca="1">INDEX(INDIRECT("PnL_"&amp;TEXT(U$1,"mmm")&amp;"_"&amp;TEXT(U$1,"yyyy")),MATCH(TRIM($A26),PnL_Accounts,0))</f>
        <v>4450</v>
      </c>
      <c r="V26" s="115">
        <f t="array" aca="1" ref="V26" ca="1">INDEX(INDIRECT("PnL_"&amp;TEXT(V$1,"mmm")&amp;"_"&amp;TEXT(V$1,"yyyy")),MATCH(TRIM($A26),PnL_Accounts,0))</f>
        <v>4450</v>
      </c>
      <c r="W26" s="115">
        <f t="array" aca="1" ref="W26" ca="1">INDEX(INDIRECT("PnL_"&amp;TEXT(W$1,"mmm")&amp;"_"&amp;TEXT(W$1,"yyyy")),MATCH(TRIM($A26),PnL_Accounts,0))</f>
        <v>4450</v>
      </c>
      <c r="X26" s="115">
        <f t="array" aca="1" ref="X26" ca="1">INDEX(INDIRECT("PnL_"&amp;TEXT(X$1,"mmm")&amp;"_"&amp;TEXT(X$1,"yyyy")),MATCH(TRIM($A26),PnL_Accounts,0))</f>
        <v>4450</v>
      </c>
      <c r="Y26" s="115">
        <f t="array" aca="1" ref="Y26" ca="1">INDEX(INDIRECT("PnL_"&amp;TEXT(Y$1,"mmm")&amp;"_"&amp;TEXT(Y$1,"yyyy")),MATCH(TRIM($A26),PnL_Accounts,0))</f>
        <v>4450</v>
      </c>
      <c r="Z26" s="115">
        <f t="array" aca="1" ref="Z26" ca="1">INDEX(INDIRECT("PnL_"&amp;TEXT(Z$1,"mmm")&amp;"_"&amp;TEXT(Z$1,"yyyy")),MATCH(TRIM($A26),PnL_Accounts,0))</f>
        <v>4450</v>
      </c>
      <c r="AA26" s="115">
        <f t="array" aca="1" ref="AA26" ca="1">INDEX(INDIRECT("PnL_"&amp;TEXT(AA$1,"mmm")&amp;"_"&amp;TEXT(AA$1,"yyyy")),MATCH(TRIM($A26),PnL_Accounts,0))</f>
        <v>4450</v>
      </c>
      <c r="AB26" s="115">
        <f t="array" aca="1" ref="AB26" ca="1">INDEX(INDIRECT("PnL_"&amp;TEXT(AB$1,"mmm")&amp;"_"&amp;TEXT(AB$1,"yyyy")),MATCH(TRIM($A26),PnL_Accounts,0))</f>
        <v>4450</v>
      </c>
      <c r="AC26" s="115">
        <f t="array" aca="1" ref="AC26" ca="1">INDEX(INDIRECT("PnL_"&amp;TEXT(AC$1,"mmm")&amp;"_"&amp;TEXT(AC$1,"yyyy")),MATCH(TRIM($A26),PnL_Accounts,0))</f>
        <v>4450</v>
      </c>
      <c r="AD26" s="115">
        <f t="array" aca="1" ref="AD26" ca="1">INDEX(INDIRECT("PnL_"&amp;TEXT(AD$1,"mmm")&amp;"_"&amp;TEXT(AD$1,"yyyy")),MATCH(TRIM($A26),PnL_Accounts,0))</f>
        <v>4450</v>
      </c>
      <c r="AE26" s="115">
        <f t="array" aca="1" ref="AE26" ca="1">INDEX(INDIRECT("PnL_"&amp;TEXT(AE$1,"mmm")&amp;"_"&amp;TEXT(AE$1,"yyyy")),MATCH(TRIM($A26),PnL_Accounts,0))</f>
        <v>4450</v>
      </c>
      <c r="AF26" s="25">
        <f t="array" ref="AF26">INDEX(Hiring_Plan_Benefits_Engineering_Worst_Case,MATCH(AF$1,Hiring_Plan_Months_Worst_Case,0))</f>
        <v>13265</v>
      </c>
      <c r="AG26" s="25">
        <f t="array" ref="AG26">INDEX(Hiring_Plan_Benefits_Engineering_Worst_Case,MATCH(AG$1,Hiring_Plan_Months_Worst_Case,0))</f>
        <v>13265</v>
      </c>
      <c r="AH26" s="25">
        <f t="array" ref="AH26">INDEX(Hiring_Plan_Benefits_Engineering_Worst_Case,MATCH(AH$1,Hiring_Plan_Months_Worst_Case,0))</f>
        <v>13265</v>
      </c>
      <c r="AI26" s="25">
        <f t="array" ref="AI26">INDEX(Hiring_Plan_Benefits_Engineering_Worst_Case,MATCH(AI$1,Hiring_Plan_Months_Worst_Case,0))</f>
        <v>13265</v>
      </c>
      <c r="AJ26" s="25">
        <f t="array" ref="AJ26">INDEX(Hiring_Plan_Benefits_Engineering_Worst_Case,MATCH(AJ$1,Hiring_Plan_Months_Worst_Case,0))</f>
        <v>13265</v>
      </c>
      <c r="AK26" s="25">
        <f t="array" ref="AK26">INDEX(Hiring_Plan_Benefits_Engineering_Worst_Case,MATCH(AK$1,Hiring_Plan_Months_Worst_Case,0))</f>
        <v>13265</v>
      </c>
      <c r="AL26" s="25">
        <f t="array" ref="AL26">INDEX(Hiring_Plan_Benefits_Engineering_Worst_Case,MATCH(AL$1,Hiring_Plan_Months_Worst_Case,0))</f>
        <v>13265</v>
      </c>
      <c r="AM26" s="25">
        <f t="array" ref="AM26">INDEX(Hiring_Plan_Benefits_Engineering_Worst_Case,MATCH(AM$1,Hiring_Plan_Months_Worst_Case,0))</f>
        <v>13265</v>
      </c>
      <c r="AN26" s="25">
        <f t="array" ref="AN26">INDEX(Hiring_Plan_Benefits_Engineering_Worst_Case,MATCH(AN$1,Hiring_Plan_Months_Worst_Case,0))</f>
        <v>13265</v>
      </c>
      <c r="AO26" s="25">
        <f t="array" ref="AO26">INDEX(Hiring_Plan_Benefits_Engineering_Worst_Case,MATCH(AO$1,Hiring_Plan_Months_Worst_Case,0))</f>
        <v>13265</v>
      </c>
      <c r="AP26" s="25">
        <f t="array" ref="AP26">INDEX(Hiring_Plan_Benefits_Engineering_Worst_Case,MATCH(AP$1,Hiring_Plan_Months_Worst_Case,0))</f>
        <v>13265</v>
      </c>
      <c r="AQ26" s="25">
        <f t="array" ref="AQ26">INDEX(Hiring_Plan_Benefits_Engineering_Worst_Case,MATCH(AQ$1,Hiring_Plan_Months_Worst_Case,0))</f>
        <v>13265</v>
      </c>
      <c r="AR26" s="25">
        <f t="array" ref="AR26">INDEX(Hiring_Plan_Benefits_Engineering_Worst_Case,MATCH(AR$1,Hiring_Plan_Months_Worst_Case,0))</f>
        <v>13265</v>
      </c>
      <c r="AS26" s="25">
        <f t="array" ref="AS26">INDEX(Hiring_Plan_Benefits_Engineering_Worst_Case,MATCH(AS$1,Hiring_Plan_Months_Worst_Case,0))</f>
        <v>13265</v>
      </c>
      <c r="AT26" s="25">
        <f t="array" ref="AT26">INDEX(Hiring_Plan_Benefits_Engineering_Worst_Case,MATCH(AT$1,Hiring_Plan_Months_Worst_Case,0))</f>
        <v>13265</v>
      </c>
      <c r="AU26" s="25">
        <f t="array" ref="AU26">INDEX(Hiring_Plan_Benefits_Engineering_Worst_Case,MATCH(AU$1,Hiring_Plan_Months_Worst_Case,0))</f>
        <v>13265</v>
      </c>
      <c r="AV26" s="25">
        <f t="array" ref="AV26">INDEX(Hiring_Plan_Benefits_Engineering_Worst_Case,MATCH(AV$1,Hiring_Plan_Months_Worst_Case,0))</f>
        <v>13265</v>
      </c>
      <c r="AW26" s="25">
        <f t="array" ref="AW26">INDEX(Hiring_Plan_Benefits_Engineering_Worst_Case,MATCH(AW$1,Hiring_Plan_Months_Worst_Case,0))</f>
        <v>13265</v>
      </c>
      <c r="AX26" s="25">
        <f t="array" ref="AX26">INDEX(Hiring_Plan_Benefits_Engineering_Worst_Case,MATCH(AX$1,Hiring_Plan_Months_Worst_Case,0))</f>
        <v>13265</v>
      </c>
      <c r="AY26" s="25">
        <f t="array" ref="AY26">INDEX(Hiring_Plan_Benefits_Engineering_Worst_Case,MATCH(AY$1,Hiring_Plan_Months_Worst_Case,0))</f>
        <v>13265</v>
      </c>
      <c r="AZ26" s="25">
        <f t="array" ref="AZ26">INDEX(Hiring_Plan_Benefits_Engineering_Worst_Case,MATCH(AZ$1,Hiring_Plan_Months_Worst_Case,0))</f>
        <v>13265</v>
      </c>
      <c r="BA26" s="25">
        <f t="array" ref="BA26">INDEX(Hiring_Plan_Benefits_Engineering_Worst_Case,MATCH(BA$1,Hiring_Plan_Months_Worst_Case,0))</f>
        <v>13265</v>
      </c>
      <c r="BB26" s="25">
        <f t="array" ref="BB26">INDEX(Hiring_Plan_Benefits_Engineering_Worst_Case,MATCH(BB$1,Hiring_Plan_Months_Worst_Case,0))</f>
        <v>13265</v>
      </c>
      <c r="BC26" s="25">
        <f t="array" ref="BC26">INDEX(Hiring_Plan_Benefits_Engineering_Worst_Case,MATCH(BC$1,Hiring_Plan_Months_Worst_Case,0))</f>
        <v>13265</v>
      </c>
      <c r="BD26" s="25">
        <f t="array" ref="BD26">INDEX(Hiring_Plan_Benefits_Engineering_Worst_Case,MATCH(BD$1,Hiring_Plan_Months_Worst_Case,0))</f>
        <v>13265</v>
      </c>
      <c r="BE26" s="25">
        <f t="array" ref="BE26">INDEX(Hiring_Plan_Benefits_Engineering_Worst_Case,MATCH(BE$1,Hiring_Plan_Months_Worst_Case,0))</f>
        <v>13265</v>
      </c>
      <c r="BF26" s="25">
        <f t="array" ref="BF26">INDEX(Hiring_Plan_Benefits_Engineering_Worst_Case,MATCH(BF$1,Hiring_Plan_Months_Worst_Case,0))</f>
        <v>13265</v>
      </c>
      <c r="BG26" s="25">
        <f t="array" ref="BG26">INDEX(Hiring_Plan_Benefits_Engineering_Worst_Case,MATCH(BG$1,Hiring_Plan_Months_Worst_Case,0))</f>
        <v>13265</v>
      </c>
      <c r="BH26" s="25">
        <f t="array" ref="BH26">INDEX(Hiring_Plan_Benefits_Engineering_Worst_Case,MATCH(BH$1,Hiring_Plan_Months_Worst_Case,0))</f>
        <v>13265</v>
      </c>
      <c r="BI26" s="25">
        <f t="array" ref="BI26">INDEX(Hiring_Plan_Benefits_Engineering_Worst_Case,MATCH(BI$1,Hiring_Plan_Months_Worst_Case,0))</f>
        <v>13265</v>
      </c>
      <c r="BJ26" s="25">
        <f t="array" ref="BJ26">INDEX(Hiring_Plan_Benefits_Engineering_Worst_Case,MATCH(BJ$1,Hiring_Plan_Months_Worst_Case,0))</f>
        <v>13265</v>
      </c>
      <c r="BK26" s="25">
        <f t="array" ref="BK26">INDEX(Hiring_Plan_Benefits_Engineering_Worst_Case,MATCH(BK$1,Hiring_Plan_Months_Worst_Case,0))</f>
        <v>13265</v>
      </c>
      <c r="BL26" s="25">
        <f t="array" ref="BL26">INDEX(Hiring_Plan_Benefits_Engineering_Worst_Case,MATCH(BL$1,Hiring_Plan_Months_Worst_Case,0))</f>
        <v>13265</v>
      </c>
      <c r="BM26" s="25">
        <f t="array" ref="BM26">INDEX(Hiring_Plan_Benefits_Engineering_Worst_Case,MATCH(BM$1,Hiring_Plan_Months_Worst_Case,0))</f>
        <v>13265</v>
      </c>
      <c r="BN26" s="25">
        <f t="array" ref="BN26">INDEX(Hiring_Plan_Benefits_Engineering_Worst_Case,MATCH(BN$1,Hiring_Plan_Months_Worst_Case,0))</f>
        <v>13265</v>
      </c>
      <c r="BO26" s="25">
        <f t="array" ref="BO26">INDEX(Hiring_Plan_Benefits_Engineering_Worst_Case,MATCH(BO$1,Hiring_Plan_Months_Worst_Case,0))</f>
        <v>13265</v>
      </c>
      <c r="BP26" s="25">
        <f t="array" ref="BP26">INDEX(Hiring_Plan_Benefits_Engineering_Worst_Case,MATCH(BP$1,Hiring_Plan_Months_Worst_Case,0))</f>
        <v>13265</v>
      </c>
      <c r="BQ26" s="25">
        <f t="array" ref="BQ26">INDEX(Hiring_Plan_Benefits_Engineering_Worst_Case,MATCH(BQ$1,Hiring_Plan_Months_Worst_Case,0))</f>
        <v>13265</v>
      </c>
      <c r="BR26" s="25">
        <f t="array" ref="BR26">INDEX(Hiring_Plan_Benefits_Engineering_Worst_Case,MATCH(BR$1,Hiring_Plan_Months_Worst_Case,0))</f>
        <v>13265</v>
      </c>
      <c r="BS26" s="25">
        <f t="array" ref="BS26">INDEX(Hiring_Plan_Benefits_Engineering_Worst_Case,MATCH(BS$1,Hiring_Plan_Months_Worst_Case,0))</f>
        <v>13265</v>
      </c>
      <c r="BT26" s="25">
        <f t="array" ref="BT26">INDEX(Hiring_Plan_Benefits_Engineering_Worst_Case,MATCH(BT$1,Hiring_Plan_Months_Worst_Case,0))</f>
        <v>13265</v>
      </c>
      <c r="BU26" s="25">
        <f t="array" ref="BU26">INDEX(Hiring_Plan_Benefits_Engineering_Worst_Case,MATCH(BU$1,Hiring_Plan_Months_Worst_Case,0))</f>
        <v>13265</v>
      </c>
      <c r="BV26" s="25">
        <f t="array" ref="BV26">INDEX(Hiring_Plan_Benefits_Engineering_Worst_Case,MATCH(BV$1,Hiring_Plan_Months_Worst_Case,0))</f>
        <v>13265</v>
      </c>
      <c r="BW26" s="25">
        <f t="array" ref="BW26">INDEX(Hiring_Plan_Benefits_Engineering_Worst_Case,MATCH(BW$1,Hiring_Plan_Months_Worst_Case,0))</f>
        <v>13265</v>
      </c>
    </row>
    <row r="27" spans="1:75" ht="12.75" x14ac:dyDescent="0.2">
      <c r="A27" s="23" t="s">
        <v>283</v>
      </c>
      <c r="B27" s="224">
        <f ca="1">AVERAGEIFS(27:27,$1:$1,"&gt;="&amp;DATE(YEAR(Current_Month),MONTH(Current_Month)-2,DAY(Current_Month)),$1:$1,"&lt;="&amp;EOMONTH(Current_Month,0))</f>
        <v>19450</v>
      </c>
      <c r="D27" s="115">
        <f t="array" aca="1" ref="D27" ca="1">INDEX(INDIRECT("PnL_"&amp;TEXT(D$1,"mmm")&amp;"_"&amp;TEXT(D$1,"yyyy")),MATCH(TRIM($A27),PnL_Accounts,0))</f>
        <v>14850</v>
      </c>
      <c r="E27" s="115">
        <f t="array" aca="1" ref="E27" ca="1">INDEX(INDIRECT("PnL_"&amp;TEXT(E$1,"mmm")&amp;"_"&amp;TEXT(E$1,"yyyy")),MATCH(TRIM($A27),PnL_Accounts,0))</f>
        <v>15600</v>
      </c>
      <c r="F27" s="115">
        <f t="array" aca="1" ref="F27" ca="1">INDEX(INDIRECT("PnL_"&amp;TEXT(F$1,"mmm")&amp;"_"&amp;TEXT(F$1,"yyyy")),MATCH(TRIM($A27),PnL_Accounts,0))</f>
        <v>16574</v>
      </c>
      <c r="G27" s="115">
        <f t="array" aca="1" ref="G27" ca="1">INDEX(INDIRECT("PnL_"&amp;TEXT(G$1,"mmm")&amp;"_"&amp;TEXT(G$1,"yyyy")),MATCH(TRIM($A27),PnL_Accounts,0))</f>
        <v>16574</v>
      </c>
      <c r="H27" s="115">
        <f t="array" aca="1" ref="H27" ca="1">INDEX(INDIRECT("PnL_"&amp;TEXT(H$1,"mmm")&amp;"_"&amp;TEXT(H$1,"yyyy")),MATCH(TRIM($A27),PnL_Accounts,0))</f>
        <v>16574</v>
      </c>
      <c r="I27" s="115">
        <f t="array" aca="1" ref="I27" ca="1">INDEX(INDIRECT("PnL_"&amp;TEXT(I$1,"mmm")&amp;"_"&amp;TEXT(I$1,"yyyy")),MATCH(TRIM($A27),PnL_Accounts,0))</f>
        <v>17549</v>
      </c>
      <c r="J27" s="115">
        <f t="array" aca="1" ref="J27" ca="1">INDEX(INDIRECT("PnL_"&amp;TEXT(J$1,"mmm")&amp;"_"&amp;TEXT(J$1,"yyyy")),MATCH(TRIM($A27),PnL_Accounts,0))</f>
        <v>17549</v>
      </c>
      <c r="K27" s="115">
        <f t="array" aca="1" ref="K27" ca="1">INDEX(INDIRECT("PnL_"&amp;TEXT(K$1,"mmm")&amp;"_"&amp;TEXT(K$1,"yyyy")),MATCH(TRIM($A27),PnL_Accounts,0))</f>
        <v>17549</v>
      </c>
      <c r="L27" s="115">
        <f t="array" aca="1" ref="L27" ca="1">INDEX(INDIRECT("PnL_"&amp;TEXT(L$1,"mmm")&amp;"_"&amp;TEXT(L$1,"yyyy")),MATCH(TRIM($A27),PnL_Accounts,0))</f>
        <v>18017</v>
      </c>
      <c r="M27" s="115">
        <f t="array" aca="1" ref="M27" ca="1">INDEX(INDIRECT("PnL_"&amp;TEXT(M$1,"mmm")&amp;"_"&amp;TEXT(M$1,"yyyy")),MATCH(TRIM($A27),PnL_Accounts,0))</f>
        <v>18017</v>
      </c>
      <c r="N27" s="115">
        <f t="array" aca="1" ref="N27" ca="1">INDEX(INDIRECT("PnL_"&amp;TEXT(N$1,"mmm")&amp;"_"&amp;TEXT(N$1,"yyyy")),MATCH(TRIM($A27),PnL_Accounts,0))</f>
        <v>18017</v>
      </c>
      <c r="O27" s="115">
        <f t="array" aca="1" ref="O27" ca="1">INDEX(INDIRECT("PnL_"&amp;TEXT(O$1,"mmm")&amp;"_"&amp;TEXT(O$1,"yyyy")),MATCH(TRIM($A27),PnL_Accounts,0))</f>
        <v>18962</v>
      </c>
      <c r="P27" s="115">
        <f t="array" aca="1" ref="P27" ca="1">INDEX(INDIRECT("PnL_"&amp;TEXT(P$1,"mmm")&amp;"_"&amp;TEXT(P$1,"yyyy")),MATCH(TRIM($A27),PnL_Accounts,0))</f>
        <v>18962</v>
      </c>
      <c r="Q27" s="115">
        <f t="array" aca="1" ref="Q27" ca="1">INDEX(INDIRECT("PnL_"&amp;TEXT(Q$1,"mmm")&amp;"_"&amp;TEXT(Q$1,"yyyy")),MATCH(TRIM($A27),PnL_Accounts,0))</f>
        <v>18962</v>
      </c>
      <c r="R27" s="115">
        <f t="array" aca="1" ref="R27" ca="1">INDEX(INDIRECT("PnL_"&amp;TEXT(R$1,"mmm")&amp;"_"&amp;TEXT(R$1,"yyyy")),MATCH(TRIM($A27),PnL_Accounts,0))</f>
        <v>18962</v>
      </c>
      <c r="S27" s="115">
        <f t="array" aca="1" ref="S27" ca="1">INDEX(INDIRECT("PnL_"&amp;TEXT(S$1,"mmm")&amp;"_"&amp;TEXT(S$1,"yyyy")),MATCH(TRIM($A27),PnL_Accounts,0))</f>
        <v>18962</v>
      </c>
      <c r="T27" s="115">
        <f t="array" aca="1" ref="T27" ca="1">INDEX(INDIRECT("PnL_"&amp;TEXT(T$1,"mmm")&amp;"_"&amp;TEXT(T$1,"yyyy")),MATCH(TRIM($A27),PnL_Accounts,0))</f>
        <v>19450</v>
      </c>
      <c r="U27" s="115">
        <f t="array" aca="1" ref="U27" ca="1">INDEX(INDIRECT("PnL_"&amp;TEXT(U$1,"mmm")&amp;"_"&amp;TEXT(U$1,"yyyy")),MATCH(TRIM($A27),PnL_Accounts,0))</f>
        <v>19450</v>
      </c>
      <c r="V27" s="115">
        <f t="array" aca="1" ref="V27" ca="1">INDEX(INDIRECT("PnL_"&amp;TEXT(V$1,"mmm")&amp;"_"&amp;TEXT(V$1,"yyyy")),MATCH(TRIM($A27),PnL_Accounts,0))</f>
        <v>19450</v>
      </c>
      <c r="W27" s="115">
        <f t="array" aca="1" ref="W27" ca="1">INDEX(INDIRECT("PnL_"&amp;TEXT(W$1,"mmm")&amp;"_"&amp;TEXT(W$1,"yyyy")),MATCH(TRIM($A27),PnL_Accounts,0))</f>
        <v>19450</v>
      </c>
      <c r="X27" s="115">
        <f t="array" aca="1" ref="X27" ca="1">INDEX(INDIRECT("PnL_"&amp;TEXT(X$1,"mmm")&amp;"_"&amp;TEXT(X$1,"yyyy")),MATCH(TRIM($A27),PnL_Accounts,0))</f>
        <v>19450</v>
      </c>
      <c r="Y27" s="115">
        <f t="array" aca="1" ref="Y27" ca="1">INDEX(INDIRECT("PnL_"&amp;TEXT(Y$1,"mmm")&amp;"_"&amp;TEXT(Y$1,"yyyy")),MATCH(TRIM($A27),PnL_Accounts,0))</f>
        <v>19450</v>
      </c>
      <c r="Z27" s="115">
        <f t="array" aca="1" ref="Z27" ca="1">INDEX(INDIRECT("PnL_"&amp;TEXT(Z$1,"mmm")&amp;"_"&amp;TEXT(Z$1,"yyyy")),MATCH(TRIM($A27),PnL_Accounts,0))</f>
        <v>19450</v>
      </c>
      <c r="AA27" s="115">
        <f t="array" aca="1" ref="AA27" ca="1">INDEX(INDIRECT("PnL_"&amp;TEXT(AA$1,"mmm")&amp;"_"&amp;TEXT(AA$1,"yyyy")),MATCH(TRIM($A27),PnL_Accounts,0))</f>
        <v>19450</v>
      </c>
      <c r="AB27" s="115">
        <f t="array" aca="1" ref="AB27" ca="1">INDEX(INDIRECT("PnL_"&amp;TEXT(AB$1,"mmm")&amp;"_"&amp;TEXT(AB$1,"yyyy")),MATCH(TRIM($A27),PnL_Accounts,0))</f>
        <v>19450</v>
      </c>
      <c r="AC27" s="115">
        <f t="array" aca="1" ref="AC27" ca="1">INDEX(INDIRECT("PnL_"&amp;TEXT(AC$1,"mmm")&amp;"_"&amp;TEXT(AC$1,"yyyy")),MATCH(TRIM($A27),PnL_Accounts,0))</f>
        <v>19450</v>
      </c>
      <c r="AD27" s="115">
        <f t="array" aca="1" ref="AD27" ca="1">INDEX(INDIRECT("PnL_"&amp;TEXT(AD$1,"mmm")&amp;"_"&amp;TEXT(AD$1,"yyyy")),MATCH(TRIM($A27),PnL_Accounts,0))</f>
        <v>19450</v>
      </c>
      <c r="AE27" s="115">
        <f t="array" aca="1" ref="AE27" ca="1">INDEX(INDIRECT("PnL_"&amp;TEXT(AE$1,"mmm")&amp;"_"&amp;TEXT(AE$1,"yyyy")),MATCH(TRIM($A27),PnL_Accounts,0))</f>
        <v>19450</v>
      </c>
      <c r="AF27" s="25">
        <f t="array" ref="AF27">INDEX(Hiring_Plan_Payroll_Taxes_Engineering_Worst_Case,MATCH(AF$1,Hiring_Plan_Months_Worst_Case,0))</f>
        <v>16346.25</v>
      </c>
      <c r="AG27" s="25">
        <f t="array" ref="AG27">INDEX(Hiring_Plan_Payroll_Taxes_Engineering_Worst_Case,MATCH(AG$1,Hiring_Plan_Months_Worst_Case,0))</f>
        <v>16346.25</v>
      </c>
      <c r="AH27" s="25">
        <f t="array" ref="AH27">INDEX(Hiring_Plan_Payroll_Taxes_Engineering_Worst_Case,MATCH(AH$1,Hiring_Plan_Months_Worst_Case,0))</f>
        <v>16346.25</v>
      </c>
      <c r="AI27" s="25">
        <f t="array" ref="AI27">INDEX(Hiring_Plan_Payroll_Taxes_Engineering_Worst_Case,MATCH(AI$1,Hiring_Plan_Months_Worst_Case,0))</f>
        <v>16346.25</v>
      </c>
      <c r="AJ27" s="25">
        <f t="array" ref="AJ27">INDEX(Hiring_Plan_Payroll_Taxes_Engineering_Worst_Case,MATCH(AJ$1,Hiring_Plan_Months_Worst_Case,0))</f>
        <v>16346.25</v>
      </c>
      <c r="AK27" s="25">
        <f t="array" ref="AK27">INDEX(Hiring_Plan_Payroll_Taxes_Engineering_Worst_Case,MATCH(AK$1,Hiring_Plan_Months_Worst_Case,0))</f>
        <v>16346.25</v>
      </c>
      <c r="AL27" s="25">
        <f t="array" ref="AL27">INDEX(Hiring_Plan_Payroll_Taxes_Engineering_Worst_Case,MATCH(AL$1,Hiring_Plan_Months_Worst_Case,0))</f>
        <v>16346.25</v>
      </c>
      <c r="AM27" s="25">
        <f t="array" ref="AM27">INDEX(Hiring_Plan_Payroll_Taxes_Engineering_Worst_Case,MATCH(AM$1,Hiring_Plan_Months_Worst_Case,0))</f>
        <v>16346.25</v>
      </c>
      <c r="AN27" s="25">
        <f t="array" ref="AN27">INDEX(Hiring_Plan_Payroll_Taxes_Engineering_Worst_Case,MATCH(AN$1,Hiring_Plan_Months_Worst_Case,0))</f>
        <v>16346.25</v>
      </c>
      <c r="AO27" s="25">
        <f t="array" ref="AO27">INDEX(Hiring_Plan_Payroll_Taxes_Engineering_Worst_Case,MATCH(AO$1,Hiring_Plan_Months_Worst_Case,0))</f>
        <v>16346.25</v>
      </c>
      <c r="AP27" s="25">
        <f t="array" ref="AP27">INDEX(Hiring_Plan_Payroll_Taxes_Engineering_Worst_Case,MATCH(AP$1,Hiring_Plan_Months_Worst_Case,0))</f>
        <v>16346.25</v>
      </c>
      <c r="AQ27" s="25">
        <f t="array" ref="AQ27">INDEX(Hiring_Plan_Payroll_Taxes_Engineering_Worst_Case,MATCH(AQ$1,Hiring_Plan_Months_Worst_Case,0))</f>
        <v>16346.25</v>
      </c>
      <c r="AR27" s="25">
        <f t="array" ref="AR27">INDEX(Hiring_Plan_Payroll_Taxes_Engineering_Worst_Case,MATCH(AR$1,Hiring_Plan_Months_Worst_Case,0))</f>
        <v>16346.25</v>
      </c>
      <c r="AS27" s="25">
        <f t="array" ref="AS27">INDEX(Hiring_Plan_Payroll_Taxes_Engineering_Worst_Case,MATCH(AS$1,Hiring_Plan_Months_Worst_Case,0))</f>
        <v>16346.25</v>
      </c>
      <c r="AT27" s="25">
        <f t="array" ref="AT27">INDEX(Hiring_Plan_Payroll_Taxes_Engineering_Worst_Case,MATCH(AT$1,Hiring_Plan_Months_Worst_Case,0))</f>
        <v>16346.25</v>
      </c>
      <c r="AU27" s="25">
        <f t="array" ref="AU27">INDEX(Hiring_Plan_Payroll_Taxes_Engineering_Worst_Case,MATCH(AU$1,Hiring_Plan_Months_Worst_Case,0))</f>
        <v>16346.25</v>
      </c>
      <c r="AV27" s="25">
        <f t="array" ref="AV27">INDEX(Hiring_Plan_Payroll_Taxes_Engineering_Worst_Case,MATCH(AV$1,Hiring_Plan_Months_Worst_Case,0))</f>
        <v>16346.25</v>
      </c>
      <c r="AW27" s="25">
        <f t="array" ref="AW27">INDEX(Hiring_Plan_Payroll_Taxes_Engineering_Worst_Case,MATCH(AW$1,Hiring_Plan_Months_Worst_Case,0))</f>
        <v>16346.25</v>
      </c>
      <c r="AX27" s="25">
        <f t="array" ref="AX27">INDEX(Hiring_Plan_Payroll_Taxes_Engineering_Worst_Case,MATCH(AX$1,Hiring_Plan_Months_Worst_Case,0))</f>
        <v>16346.25</v>
      </c>
      <c r="AY27" s="25">
        <f t="array" ref="AY27">INDEX(Hiring_Plan_Payroll_Taxes_Engineering_Worst_Case,MATCH(AY$1,Hiring_Plan_Months_Worst_Case,0))</f>
        <v>16346.25</v>
      </c>
      <c r="AZ27" s="25">
        <f t="array" ref="AZ27">INDEX(Hiring_Plan_Payroll_Taxes_Engineering_Worst_Case,MATCH(AZ$1,Hiring_Plan_Months_Worst_Case,0))</f>
        <v>16346.25</v>
      </c>
      <c r="BA27" s="25">
        <f t="array" ref="BA27">INDEX(Hiring_Plan_Payroll_Taxes_Engineering_Worst_Case,MATCH(BA$1,Hiring_Plan_Months_Worst_Case,0))</f>
        <v>16346.25</v>
      </c>
      <c r="BB27" s="25">
        <f t="array" ref="BB27">INDEX(Hiring_Plan_Payroll_Taxes_Engineering_Worst_Case,MATCH(BB$1,Hiring_Plan_Months_Worst_Case,0))</f>
        <v>16346.25</v>
      </c>
      <c r="BC27" s="25">
        <f t="array" ref="BC27">INDEX(Hiring_Plan_Payroll_Taxes_Engineering_Worst_Case,MATCH(BC$1,Hiring_Plan_Months_Worst_Case,0))</f>
        <v>16346.25</v>
      </c>
      <c r="BD27" s="25">
        <f t="array" ref="BD27">INDEX(Hiring_Plan_Payroll_Taxes_Engineering_Worst_Case,MATCH(BD$1,Hiring_Plan_Months_Worst_Case,0))</f>
        <v>16346.25</v>
      </c>
      <c r="BE27" s="25">
        <f t="array" ref="BE27">INDEX(Hiring_Plan_Payroll_Taxes_Engineering_Worst_Case,MATCH(BE$1,Hiring_Plan_Months_Worst_Case,0))</f>
        <v>16346.25</v>
      </c>
      <c r="BF27" s="25">
        <f t="array" ref="BF27">INDEX(Hiring_Plan_Payroll_Taxes_Engineering_Worst_Case,MATCH(BF$1,Hiring_Plan_Months_Worst_Case,0))</f>
        <v>16346.25</v>
      </c>
      <c r="BG27" s="25">
        <f t="array" ref="BG27">INDEX(Hiring_Plan_Payroll_Taxes_Engineering_Worst_Case,MATCH(BG$1,Hiring_Plan_Months_Worst_Case,0))</f>
        <v>16346.25</v>
      </c>
      <c r="BH27" s="25">
        <f t="array" ref="BH27">INDEX(Hiring_Plan_Payroll_Taxes_Engineering_Worst_Case,MATCH(BH$1,Hiring_Plan_Months_Worst_Case,0))</f>
        <v>16346.25</v>
      </c>
      <c r="BI27" s="25">
        <f t="array" ref="BI27">INDEX(Hiring_Plan_Payroll_Taxes_Engineering_Worst_Case,MATCH(BI$1,Hiring_Plan_Months_Worst_Case,0))</f>
        <v>16346.25</v>
      </c>
      <c r="BJ27" s="25">
        <f t="array" ref="BJ27">INDEX(Hiring_Plan_Payroll_Taxes_Engineering_Worst_Case,MATCH(BJ$1,Hiring_Plan_Months_Worst_Case,0))</f>
        <v>16346.25</v>
      </c>
      <c r="BK27" s="25">
        <f t="array" ref="BK27">INDEX(Hiring_Plan_Payroll_Taxes_Engineering_Worst_Case,MATCH(BK$1,Hiring_Plan_Months_Worst_Case,0))</f>
        <v>16346.25</v>
      </c>
      <c r="BL27" s="25">
        <f t="array" ref="BL27">INDEX(Hiring_Plan_Payroll_Taxes_Engineering_Worst_Case,MATCH(BL$1,Hiring_Plan_Months_Worst_Case,0))</f>
        <v>16346.25</v>
      </c>
      <c r="BM27" s="25">
        <f t="array" ref="BM27">INDEX(Hiring_Plan_Payroll_Taxes_Engineering_Worst_Case,MATCH(BM$1,Hiring_Plan_Months_Worst_Case,0))</f>
        <v>16346.25</v>
      </c>
      <c r="BN27" s="25">
        <f t="array" ref="BN27">INDEX(Hiring_Plan_Payroll_Taxes_Engineering_Worst_Case,MATCH(BN$1,Hiring_Plan_Months_Worst_Case,0))</f>
        <v>16346.25</v>
      </c>
      <c r="BO27" s="25">
        <f t="array" ref="BO27">INDEX(Hiring_Plan_Payroll_Taxes_Engineering_Worst_Case,MATCH(BO$1,Hiring_Plan_Months_Worst_Case,0))</f>
        <v>16346.25</v>
      </c>
      <c r="BP27" s="25">
        <f t="array" ref="BP27">INDEX(Hiring_Plan_Payroll_Taxes_Engineering_Worst_Case,MATCH(BP$1,Hiring_Plan_Months_Worst_Case,0))</f>
        <v>16346.25</v>
      </c>
      <c r="BQ27" s="25">
        <f t="array" ref="BQ27">INDEX(Hiring_Plan_Payroll_Taxes_Engineering_Worst_Case,MATCH(BQ$1,Hiring_Plan_Months_Worst_Case,0))</f>
        <v>16346.25</v>
      </c>
      <c r="BR27" s="25">
        <f t="array" ref="BR27">INDEX(Hiring_Plan_Payroll_Taxes_Engineering_Worst_Case,MATCH(BR$1,Hiring_Plan_Months_Worst_Case,0))</f>
        <v>16346.25</v>
      </c>
      <c r="BS27" s="25">
        <f t="array" ref="BS27">INDEX(Hiring_Plan_Payroll_Taxes_Engineering_Worst_Case,MATCH(BS$1,Hiring_Plan_Months_Worst_Case,0))</f>
        <v>16346.25</v>
      </c>
      <c r="BT27" s="25">
        <f t="array" ref="BT27">INDEX(Hiring_Plan_Payroll_Taxes_Engineering_Worst_Case,MATCH(BT$1,Hiring_Plan_Months_Worst_Case,0))</f>
        <v>16346.25</v>
      </c>
      <c r="BU27" s="25">
        <f t="array" ref="BU27">INDEX(Hiring_Plan_Payroll_Taxes_Engineering_Worst_Case,MATCH(BU$1,Hiring_Plan_Months_Worst_Case,0))</f>
        <v>16346.25</v>
      </c>
      <c r="BV27" s="25">
        <f t="array" ref="BV27">INDEX(Hiring_Plan_Payroll_Taxes_Engineering_Worst_Case,MATCH(BV$1,Hiring_Plan_Months_Worst_Case,0))</f>
        <v>16346.25</v>
      </c>
      <c r="BW27" s="25">
        <f t="array" ref="BW27">INDEX(Hiring_Plan_Payroll_Taxes_Engineering_Worst_Case,MATCH(BW$1,Hiring_Plan_Months_Worst_Case,0))</f>
        <v>16346.25</v>
      </c>
    </row>
    <row r="28" spans="1:75" ht="12.75" x14ac:dyDescent="0.2">
      <c r="A28" s="23" t="s">
        <v>284</v>
      </c>
      <c r="B28" s="224">
        <f ca="1">AVERAGEIFS(28:28,$1:$1,"&gt;="&amp;DATE(YEAR(Current_Month),MONTH(Current_Month)-2,DAY(Current_Month)),$1:$1,"&lt;="&amp;EOMONTH(Current_Month,0))</f>
        <v>225052</v>
      </c>
      <c r="D28" s="115">
        <f t="array" aca="1" ref="D28" ca="1">INDEX(INDIRECT("PnL_"&amp;TEXT(D$1,"mmm")&amp;"_"&amp;TEXT(D$1,"yyyy")),MATCH(TRIM($A28),PnL_Accounts,0))</f>
        <v>165000</v>
      </c>
      <c r="E28" s="115">
        <f t="array" aca="1" ref="E28" ca="1">INDEX(INDIRECT("PnL_"&amp;TEXT(E$1,"mmm")&amp;"_"&amp;TEXT(E$1,"yyyy")),MATCH(TRIM($A28),PnL_Accounts,0))</f>
        <v>173328</v>
      </c>
      <c r="F28" s="115">
        <f t="array" aca="1" ref="F28" ca="1">INDEX(INDIRECT("PnL_"&amp;TEXT(F$1,"mmm")&amp;"_"&amp;TEXT(F$1,"yyyy")),MATCH(TRIM($A28),PnL_Accounts,0))</f>
        <v>184161</v>
      </c>
      <c r="G28" s="115">
        <f t="array" aca="1" ref="G28" ca="1">INDEX(INDIRECT("PnL_"&amp;TEXT(G$1,"mmm")&amp;"_"&amp;TEXT(G$1,"yyyy")),MATCH(TRIM($A28),PnL_Accounts,0))</f>
        <v>184161</v>
      </c>
      <c r="H28" s="115">
        <f t="array" aca="1" ref="H28" ca="1">INDEX(INDIRECT("PnL_"&amp;TEXT(H$1,"mmm")&amp;"_"&amp;TEXT(H$1,"yyyy")),MATCH(TRIM($A28),PnL_Accounts,0))</f>
        <v>184161</v>
      </c>
      <c r="I28" s="115">
        <f t="array" aca="1" ref="I28" ca="1">INDEX(INDIRECT("PnL_"&amp;TEXT(I$1,"mmm")&amp;"_"&amp;TEXT(I$1,"yyyy")),MATCH(TRIM($A28),PnL_Accounts,0))</f>
        <v>194994</v>
      </c>
      <c r="J28" s="115">
        <f t="array" aca="1" ref="J28" ca="1">INDEX(INDIRECT("PnL_"&amp;TEXT(J$1,"mmm")&amp;"_"&amp;TEXT(J$1,"yyyy")),MATCH(TRIM($A28),PnL_Accounts,0))</f>
        <v>194994</v>
      </c>
      <c r="K28" s="115">
        <f t="array" aca="1" ref="K28" ca="1">INDEX(INDIRECT("PnL_"&amp;TEXT(K$1,"mmm")&amp;"_"&amp;TEXT(K$1,"yyyy")),MATCH(TRIM($A28),PnL_Accounts,0))</f>
        <v>194994</v>
      </c>
      <c r="L28" s="115">
        <f t="array" aca="1" ref="L28" ca="1">INDEX(INDIRECT("PnL_"&amp;TEXT(L$1,"mmm")&amp;"_"&amp;TEXT(L$1,"yyyy")),MATCH(TRIM($A28),PnL_Accounts,0))</f>
        <v>200194</v>
      </c>
      <c r="M28" s="115">
        <f t="array" aca="1" ref="M28" ca="1">INDEX(INDIRECT("PnL_"&amp;TEXT(M$1,"mmm")&amp;"_"&amp;TEXT(M$1,"yyyy")),MATCH(TRIM($A28),PnL_Accounts,0))</f>
        <v>200194</v>
      </c>
      <c r="N28" s="115">
        <f t="array" aca="1" ref="N28" ca="1">INDEX(INDIRECT("PnL_"&amp;TEXT(N$1,"mmm")&amp;"_"&amp;TEXT(N$1,"yyyy")),MATCH(TRIM($A28),PnL_Accounts,0))</f>
        <v>200194</v>
      </c>
      <c r="O28" s="115">
        <f t="array" aca="1" ref="O28" ca="1">INDEX(INDIRECT("PnL_"&amp;TEXT(O$1,"mmm")&amp;"_"&amp;TEXT(O$1,"yyyy")),MATCH(TRIM($A28),PnL_Accounts,0))</f>
        <v>210694</v>
      </c>
      <c r="P28" s="115">
        <f t="array" aca="1" ref="P28" ca="1">INDEX(INDIRECT("PnL_"&amp;TEXT(P$1,"mmm")&amp;"_"&amp;TEXT(P$1,"yyyy")),MATCH(TRIM($A28),PnL_Accounts,0))</f>
        <v>210694</v>
      </c>
      <c r="Q28" s="115">
        <f t="array" aca="1" ref="Q28" ca="1">INDEX(INDIRECT("PnL_"&amp;TEXT(Q$1,"mmm")&amp;"_"&amp;TEXT(Q$1,"yyyy")),MATCH(TRIM($A28),PnL_Accounts,0))</f>
        <v>210694</v>
      </c>
      <c r="R28" s="115">
        <f t="array" aca="1" ref="R28" ca="1">INDEX(INDIRECT("PnL_"&amp;TEXT(R$1,"mmm")&amp;"_"&amp;TEXT(R$1,"yyyy")),MATCH(TRIM($A28),PnL_Accounts,0))</f>
        <v>210694</v>
      </c>
      <c r="S28" s="115">
        <f t="array" aca="1" ref="S28" ca="1">INDEX(INDIRECT("PnL_"&amp;TEXT(S$1,"mmm")&amp;"_"&amp;TEXT(S$1,"yyyy")),MATCH(TRIM($A28),PnL_Accounts,0))</f>
        <v>210694</v>
      </c>
      <c r="T28" s="115">
        <f t="array" aca="1" ref="T28" ca="1">INDEX(INDIRECT("PnL_"&amp;TEXT(T$1,"mmm")&amp;"_"&amp;TEXT(T$1,"yyyy")),MATCH(TRIM($A28),PnL_Accounts,0))</f>
        <v>215694</v>
      </c>
      <c r="U28" s="115">
        <f t="array" aca="1" ref="U28" ca="1">INDEX(INDIRECT("PnL_"&amp;TEXT(U$1,"mmm")&amp;"_"&amp;TEXT(U$1,"yyyy")),MATCH(TRIM($A28),PnL_Accounts,0))</f>
        <v>215694</v>
      </c>
      <c r="V28" s="115">
        <f t="array" aca="1" ref="V28" ca="1">INDEX(INDIRECT("PnL_"&amp;TEXT(V$1,"mmm")&amp;"_"&amp;TEXT(V$1,"yyyy")),MATCH(TRIM($A28),PnL_Accounts,0))</f>
        <v>215694</v>
      </c>
      <c r="W28" s="115">
        <f t="array" aca="1" ref="W28" ca="1">INDEX(INDIRECT("PnL_"&amp;TEXT(W$1,"mmm")&amp;"_"&amp;TEXT(W$1,"yyyy")),MATCH(TRIM($A28),PnL_Accounts,0))</f>
        <v>215694</v>
      </c>
      <c r="X28" s="115">
        <f t="array" aca="1" ref="X28" ca="1">INDEX(INDIRECT("PnL_"&amp;TEXT(X$1,"mmm")&amp;"_"&amp;TEXT(X$1,"yyyy")),MATCH(TRIM($A28),PnL_Accounts,0))</f>
        <v>215694</v>
      </c>
      <c r="Y28" s="115">
        <f t="array" aca="1" ref="Y28" ca="1">INDEX(INDIRECT("PnL_"&amp;TEXT(Y$1,"mmm")&amp;"_"&amp;TEXT(Y$1,"yyyy")),MATCH(TRIM($A28),PnL_Accounts,0))</f>
        <v>225052</v>
      </c>
      <c r="Z28" s="115">
        <f t="array" aca="1" ref="Z28" ca="1">INDEX(INDIRECT("PnL_"&amp;TEXT(Z$1,"mmm")&amp;"_"&amp;TEXT(Z$1,"yyyy")),MATCH(TRIM($A28),PnL_Accounts,0))</f>
        <v>225052</v>
      </c>
      <c r="AA28" s="115">
        <f t="array" aca="1" ref="AA28" ca="1">INDEX(INDIRECT("PnL_"&amp;TEXT(AA$1,"mmm")&amp;"_"&amp;TEXT(AA$1,"yyyy")),MATCH(TRIM($A28),PnL_Accounts,0))</f>
        <v>225052</v>
      </c>
      <c r="AB28" s="115">
        <f t="array" aca="1" ref="AB28" ca="1">INDEX(INDIRECT("PnL_"&amp;TEXT(AB$1,"mmm")&amp;"_"&amp;TEXT(AB$1,"yyyy")),MATCH(TRIM($A28),PnL_Accounts,0))</f>
        <v>225052</v>
      </c>
      <c r="AC28" s="115">
        <f t="array" aca="1" ref="AC28" ca="1">INDEX(INDIRECT("PnL_"&amp;TEXT(AC$1,"mmm")&amp;"_"&amp;TEXT(AC$1,"yyyy")),MATCH(TRIM($A28),PnL_Accounts,0))</f>
        <v>225052</v>
      </c>
      <c r="AD28" s="115">
        <f t="array" aca="1" ref="AD28" ca="1">INDEX(INDIRECT("PnL_"&amp;TEXT(AD$1,"mmm")&amp;"_"&amp;TEXT(AD$1,"yyyy")),MATCH(TRIM($A28),PnL_Accounts,0))</f>
        <v>225052</v>
      </c>
      <c r="AE28" s="115">
        <f t="array" aca="1" ref="AE28" ca="1">INDEX(INDIRECT("PnL_"&amp;TEXT(AE$1,"mmm")&amp;"_"&amp;TEXT(AE$1,"yyyy")),MATCH(TRIM($A28),PnL_Accounts,0))</f>
        <v>225052</v>
      </c>
      <c r="AF28" s="25">
        <f t="array" ref="AF28">INDEX(Hiring_Plan_Salaries_Engineering_Worst_Case,MATCH(AF$1,Hiring_Plan_Months_Worst_Case,0))</f>
        <v>181625</v>
      </c>
      <c r="AG28" s="25">
        <f t="array" ref="AG28">INDEX(Hiring_Plan_Salaries_Engineering_Worst_Case,MATCH(AG$1,Hiring_Plan_Months_Worst_Case,0))</f>
        <v>181625</v>
      </c>
      <c r="AH28" s="25">
        <f t="array" ref="AH28">INDEX(Hiring_Plan_Salaries_Engineering_Worst_Case,MATCH(AH$1,Hiring_Plan_Months_Worst_Case,0))</f>
        <v>181625</v>
      </c>
      <c r="AI28" s="25">
        <f t="array" ref="AI28">INDEX(Hiring_Plan_Salaries_Engineering_Worst_Case,MATCH(AI$1,Hiring_Plan_Months_Worst_Case,0))</f>
        <v>181625</v>
      </c>
      <c r="AJ28" s="25">
        <f t="array" ref="AJ28">INDEX(Hiring_Plan_Salaries_Engineering_Worst_Case,MATCH(AJ$1,Hiring_Plan_Months_Worst_Case,0))</f>
        <v>181625</v>
      </c>
      <c r="AK28" s="25">
        <f t="array" ref="AK28">INDEX(Hiring_Plan_Salaries_Engineering_Worst_Case,MATCH(AK$1,Hiring_Plan_Months_Worst_Case,0))</f>
        <v>181625</v>
      </c>
      <c r="AL28" s="25">
        <f t="array" ref="AL28">INDEX(Hiring_Plan_Salaries_Engineering_Worst_Case,MATCH(AL$1,Hiring_Plan_Months_Worst_Case,0))</f>
        <v>181625</v>
      </c>
      <c r="AM28" s="25">
        <f t="array" ref="AM28">INDEX(Hiring_Plan_Salaries_Engineering_Worst_Case,MATCH(AM$1,Hiring_Plan_Months_Worst_Case,0))</f>
        <v>181625</v>
      </c>
      <c r="AN28" s="25">
        <f t="array" ref="AN28">INDEX(Hiring_Plan_Salaries_Engineering_Worst_Case,MATCH(AN$1,Hiring_Plan_Months_Worst_Case,0))</f>
        <v>181625</v>
      </c>
      <c r="AO28" s="25">
        <f t="array" ref="AO28">INDEX(Hiring_Plan_Salaries_Engineering_Worst_Case,MATCH(AO$1,Hiring_Plan_Months_Worst_Case,0))</f>
        <v>181625</v>
      </c>
      <c r="AP28" s="25">
        <f t="array" ref="AP28">INDEX(Hiring_Plan_Salaries_Engineering_Worst_Case,MATCH(AP$1,Hiring_Plan_Months_Worst_Case,0))</f>
        <v>181625</v>
      </c>
      <c r="AQ28" s="25">
        <f t="array" ref="AQ28">INDEX(Hiring_Plan_Salaries_Engineering_Worst_Case,MATCH(AQ$1,Hiring_Plan_Months_Worst_Case,0))</f>
        <v>181625</v>
      </c>
      <c r="AR28" s="25">
        <f t="array" ref="AR28">INDEX(Hiring_Plan_Salaries_Engineering_Worst_Case,MATCH(AR$1,Hiring_Plan_Months_Worst_Case,0))</f>
        <v>181625</v>
      </c>
      <c r="AS28" s="25">
        <f t="array" ref="AS28">INDEX(Hiring_Plan_Salaries_Engineering_Worst_Case,MATCH(AS$1,Hiring_Plan_Months_Worst_Case,0))</f>
        <v>181625</v>
      </c>
      <c r="AT28" s="25">
        <f t="array" ref="AT28">INDEX(Hiring_Plan_Salaries_Engineering_Worst_Case,MATCH(AT$1,Hiring_Plan_Months_Worst_Case,0))</f>
        <v>181625</v>
      </c>
      <c r="AU28" s="25">
        <f t="array" ref="AU28">INDEX(Hiring_Plan_Salaries_Engineering_Worst_Case,MATCH(AU$1,Hiring_Plan_Months_Worst_Case,0))</f>
        <v>181625</v>
      </c>
      <c r="AV28" s="25">
        <f t="array" ref="AV28">INDEX(Hiring_Plan_Salaries_Engineering_Worst_Case,MATCH(AV$1,Hiring_Plan_Months_Worst_Case,0))</f>
        <v>181625</v>
      </c>
      <c r="AW28" s="25">
        <f t="array" ref="AW28">INDEX(Hiring_Plan_Salaries_Engineering_Worst_Case,MATCH(AW$1,Hiring_Plan_Months_Worst_Case,0))</f>
        <v>181625</v>
      </c>
      <c r="AX28" s="25">
        <f t="array" ref="AX28">INDEX(Hiring_Plan_Salaries_Engineering_Worst_Case,MATCH(AX$1,Hiring_Plan_Months_Worst_Case,0))</f>
        <v>181625</v>
      </c>
      <c r="AY28" s="25">
        <f t="array" ref="AY28">INDEX(Hiring_Plan_Salaries_Engineering_Worst_Case,MATCH(AY$1,Hiring_Plan_Months_Worst_Case,0))</f>
        <v>181625</v>
      </c>
      <c r="AZ28" s="25">
        <f t="array" ref="AZ28">INDEX(Hiring_Plan_Salaries_Engineering_Worst_Case,MATCH(AZ$1,Hiring_Plan_Months_Worst_Case,0))</f>
        <v>181625</v>
      </c>
      <c r="BA28" s="25">
        <f t="array" ref="BA28">INDEX(Hiring_Plan_Salaries_Engineering_Worst_Case,MATCH(BA$1,Hiring_Plan_Months_Worst_Case,0))</f>
        <v>181625</v>
      </c>
      <c r="BB28" s="25">
        <f t="array" ref="BB28">INDEX(Hiring_Plan_Salaries_Engineering_Worst_Case,MATCH(BB$1,Hiring_Plan_Months_Worst_Case,0))</f>
        <v>181625</v>
      </c>
      <c r="BC28" s="25">
        <f t="array" ref="BC28">INDEX(Hiring_Plan_Salaries_Engineering_Worst_Case,MATCH(BC$1,Hiring_Plan_Months_Worst_Case,0))</f>
        <v>181625</v>
      </c>
      <c r="BD28" s="25">
        <f t="array" ref="BD28">INDEX(Hiring_Plan_Salaries_Engineering_Worst_Case,MATCH(BD$1,Hiring_Plan_Months_Worst_Case,0))</f>
        <v>181625</v>
      </c>
      <c r="BE28" s="25">
        <f t="array" ref="BE28">INDEX(Hiring_Plan_Salaries_Engineering_Worst_Case,MATCH(BE$1,Hiring_Plan_Months_Worst_Case,0))</f>
        <v>181625</v>
      </c>
      <c r="BF28" s="25">
        <f t="array" ref="BF28">INDEX(Hiring_Plan_Salaries_Engineering_Worst_Case,MATCH(BF$1,Hiring_Plan_Months_Worst_Case,0))</f>
        <v>181625</v>
      </c>
      <c r="BG28" s="25">
        <f t="array" ref="BG28">INDEX(Hiring_Plan_Salaries_Engineering_Worst_Case,MATCH(BG$1,Hiring_Plan_Months_Worst_Case,0))</f>
        <v>181625</v>
      </c>
      <c r="BH28" s="25">
        <f t="array" ref="BH28">INDEX(Hiring_Plan_Salaries_Engineering_Worst_Case,MATCH(BH$1,Hiring_Plan_Months_Worst_Case,0))</f>
        <v>181625</v>
      </c>
      <c r="BI28" s="25">
        <f t="array" ref="BI28">INDEX(Hiring_Plan_Salaries_Engineering_Worst_Case,MATCH(BI$1,Hiring_Plan_Months_Worst_Case,0))</f>
        <v>181625</v>
      </c>
      <c r="BJ28" s="25">
        <f t="array" ref="BJ28">INDEX(Hiring_Plan_Salaries_Engineering_Worst_Case,MATCH(BJ$1,Hiring_Plan_Months_Worst_Case,0))</f>
        <v>181625</v>
      </c>
      <c r="BK28" s="25">
        <f t="array" ref="BK28">INDEX(Hiring_Plan_Salaries_Engineering_Worst_Case,MATCH(BK$1,Hiring_Plan_Months_Worst_Case,0))</f>
        <v>181625</v>
      </c>
      <c r="BL28" s="25">
        <f t="array" ref="BL28">INDEX(Hiring_Plan_Salaries_Engineering_Worst_Case,MATCH(BL$1,Hiring_Plan_Months_Worst_Case,0))</f>
        <v>181625</v>
      </c>
      <c r="BM28" s="25">
        <f t="array" ref="BM28">INDEX(Hiring_Plan_Salaries_Engineering_Worst_Case,MATCH(BM$1,Hiring_Plan_Months_Worst_Case,0))</f>
        <v>181625</v>
      </c>
      <c r="BN28" s="25">
        <f t="array" ref="BN28">INDEX(Hiring_Plan_Salaries_Engineering_Worst_Case,MATCH(BN$1,Hiring_Plan_Months_Worst_Case,0))</f>
        <v>181625</v>
      </c>
      <c r="BO28" s="25">
        <f t="array" ref="BO28">INDEX(Hiring_Plan_Salaries_Engineering_Worst_Case,MATCH(BO$1,Hiring_Plan_Months_Worst_Case,0))</f>
        <v>181625</v>
      </c>
      <c r="BP28" s="25">
        <f t="array" ref="BP28">INDEX(Hiring_Plan_Salaries_Engineering_Worst_Case,MATCH(BP$1,Hiring_Plan_Months_Worst_Case,0))</f>
        <v>181625</v>
      </c>
      <c r="BQ28" s="25">
        <f t="array" ref="BQ28">INDEX(Hiring_Plan_Salaries_Engineering_Worst_Case,MATCH(BQ$1,Hiring_Plan_Months_Worst_Case,0))</f>
        <v>181625</v>
      </c>
      <c r="BR28" s="25">
        <f t="array" ref="BR28">INDEX(Hiring_Plan_Salaries_Engineering_Worst_Case,MATCH(BR$1,Hiring_Plan_Months_Worst_Case,0))</f>
        <v>181625</v>
      </c>
      <c r="BS28" s="25">
        <f t="array" ref="BS28">INDEX(Hiring_Plan_Salaries_Engineering_Worst_Case,MATCH(BS$1,Hiring_Plan_Months_Worst_Case,0))</f>
        <v>181625</v>
      </c>
      <c r="BT28" s="25">
        <f t="array" ref="BT28">INDEX(Hiring_Plan_Salaries_Engineering_Worst_Case,MATCH(BT$1,Hiring_Plan_Months_Worst_Case,0))</f>
        <v>181625</v>
      </c>
      <c r="BU28" s="25">
        <f t="array" ref="BU28">INDEX(Hiring_Plan_Salaries_Engineering_Worst_Case,MATCH(BU$1,Hiring_Plan_Months_Worst_Case,0))</f>
        <v>181625</v>
      </c>
      <c r="BV28" s="25">
        <f t="array" ref="BV28">INDEX(Hiring_Plan_Salaries_Engineering_Worst_Case,MATCH(BV$1,Hiring_Plan_Months_Worst_Case,0))</f>
        <v>181625</v>
      </c>
      <c r="BW28" s="25">
        <f t="array" ref="BW28">INDEX(Hiring_Plan_Salaries_Engineering_Worst_Case,MATCH(BW$1,Hiring_Plan_Months_Worst_Case,0))</f>
        <v>181625</v>
      </c>
    </row>
    <row r="29" spans="1:75" ht="12.75" x14ac:dyDescent="0.2">
      <c r="A29" s="60" t="s">
        <v>285</v>
      </c>
      <c r="B29" s="238"/>
      <c r="C29" s="212"/>
      <c r="D29" s="226">
        <f t="shared" ref="D29:BW29" ca="1" si="9">SUM(D25:D28)</f>
        <v>182816</v>
      </c>
      <c r="E29" s="226">
        <f t="shared" ca="1" si="9"/>
        <v>192092</v>
      </c>
      <c r="F29" s="226">
        <f t="shared" ca="1" si="9"/>
        <v>204096</v>
      </c>
      <c r="G29" s="226">
        <f t="shared" ca="1" si="9"/>
        <v>204096</v>
      </c>
      <c r="H29" s="226">
        <f t="shared" ca="1" si="9"/>
        <v>204096</v>
      </c>
      <c r="I29" s="226">
        <f t="shared" ca="1" si="9"/>
        <v>216102</v>
      </c>
      <c r="J29" s="226">
        <f t="shared" ca="1" si="9"/>
        <v>216102</v>
      </c>
      <c r="K29" s="226">
        <f t="shared" ca="1" si="9"/>
        <v>216102</v>
      </c>
      <c r="L29" s="226">
        <f t="shared" ca="1" si="9"/>
        <v>221967</v>
      </c>
      <c r="M29" s="226">
        <f t="shared" ca="1" si="9"/>
        <v>221967</v>
      </c>
      <c r="N29" s="226">
        <f t="shared" ca="1" si="9"/>
        <v>221967</v>
      </c>
      <c r="O29" s="226">
        <f t="shared" ca="1" si="9"/>
        <v>233806</v>
      </c>
      <c r="P29" s="226">
        <f t="shared" ca="1" si="9"/>
        <v>233806</v>
      </c>
      <c r="Q29" s="226">
        <f t="shared" ca="1" si="9"/>
        <v>233806</v>
      </c>
      <c r="R29" s="226">
        <f t="shared" ca="1" si="9"/>
        <v>233806</v>
      </c>
      <c r="S29" s="226">
        <f t="shared" ca="1" si="9"/>
        <v>233806</v>
      </c>
      <c r="T29" s="226">
        <f t="shared" ca="1" si="9"/>
        <v>239594</v>
      </c>
      <c r="U29" s="226">
        <f t="shared" ca="1" si="9"/>
        <v>239594</v>
      </c>
      <c r="V29" s="226">
        <f t="shared" ca="1" si="9"/>
        <v>239594</v>
      </c>
      <c r="W29" s="226">
        <f t="shared" ca="1" si="9"/>
        <v>239594</v>
      </c>
      <c r="X29" s="226">
        <f t="shared" ca="1" si="9"/>
        <v>239594</v>
      </c>
      <c r="Y29" s="226">
        <f t="shared" ca="1" si="9"/>
        <v>248952</v>
      </c>
      <c r="Z29" s="226">
        <f t="shared" ca="1" si="9"/>
        <v>248952</v>
      </c>
      <c r="AA29" s="226">
        <f t="shared" ca="1" si="9"/>
        <v>248952</v>
      </c>
      <c r="AB29" s="226">
        <f t="shared" ca="1" si="9"/>
        <v>248952</v>
      </c>
      <c r="AC29" s="226">
        <f t="shared" ca="1" si="9"/>
        <v>248952</v>
      </c>
      <c r="AD29" s="226">
        <f t="shared" ca="1" si="9"/>
        <v>248952</v>
      </c>
      <c r="AE29" s="226">
        <f t="shared" ca="1" si="9"/>
        <v>248952</v>
      </c>
      <c r="AF29" s="226">
        <f t="shared" si="9"/>
        <v>211236.25</v>
      </c>
      <c r="AG29" s="226">
        <f t="shared" si="9"/>
        <v>211236.25</v>
      </c>
      <c r="AH29" s="226">
        <f t="shared" si="9"/>
        <v>211236.25</v>
      </c>
      <c r="AI29" s="226">
        <f t="shared" si="9"/>
        <v>211236.25</v>
      </c>
      <c r="AJ29" s="226">
        <f t="shared" si="9"/>
        <v>211236.25</v>
      </c>
      <c r="AK29" s="226">
        <f t="shared" si="9"/>
        <v>211236.25</v>
      </c>
      <c r="AL29" s="226">
        <f t="shared" si="9"/>
        <v>211236.25</v>
      </c>
      <c r="AM29" s="226">
        <f t="shared" si="9"/>
        <v>211236.25</v>
      </c>
      <c r="AN29" s="226">
        <f t="shared" si="9"/>
        <v>211236.25</v>
      </c>
      <c r="AO29" s="226">
        <f t="shared" si="9"/>
        <v>211236.25</v>
      </c>
      <c r="AP29" s="226">
        <f t="shared" si="9"/>
        <v>211236.25</v>
      </c>
      <c r="AQ29" s="226">
        <f t="shared" si="9"/>
        <v>211236.25</v>
      </c>
      <c r="AR29" s="226">
        <f t="shared" si="9"/>
        <v>211236.25</v>
      </c>
      <c r="AS29" s="226">
        <f t="shared" si="9"/>
        <v>211236.25</v>
      </c>
      <c r="AT29" s="226">
        <f t="shared" si="9"/>
        <v>211236.25</v>
      </c>
      <c r="AU29" s="226">
        <f t="shared" si="9"/>
        <v>211236.25</v>
      </c>
      <c r="AV29" s="226">
        <f t="shared" si="9"/>
        <v>211236.25</v>
      </c>
      <c r="AW29" s="226">
        <f t="shared" si="9"/>
        <v>211236.25</v>
      </c>
      <c r="AX29" s="226">
        <f t="shared" si="9"/>
        <v>211236.25</v>
      </c>
      <c r="AY29" s="226">
        <f t="shared" si="9"/>
        <v>211236.25</v>
      </c>
      <c r="AZ29" s="226">
        <f t="shared" si="9"/>
        <v>211236.25</v>
      </c>
      <c r="BA29" s="226">
        <f t="shared" si="9"/>
        <v>211236.25</v>
      </c>
      <c r="BB29" s="226">
        <f t="shared" si="9"/>
        <v>211236.25</v>
      </c>
      <c r="BC29" s="226">
        <f t="shared" si="9"/>
        <v>211236.25</v>
      </c>
      <c r="BD29" s="226">
        <f t="shared" si="9"/>
        <v>211236.25</v>
      </c>
      <c r="BE29" s="226">
        <f t="shared" si="9"/>
        <v>211236.25</v>
      </c>
      <c r="BF29" s="226">
        <f t="shared" si="9"/>
        <v>211236.25</v>
      </c>
      <c r="BG29" s="226">
        <f t="shared" si="9"/>
        <v>211236.25</v>
      </c>
      <c r="BH29" s="226">
        <f t="shared" si="9"/>
        <v>211236.25</v>
      </c>
      <c r="BI29" s="226">
        <f t="shared" si="9"/>
        <v>211236.25</v>
      </c>
      <c r="BJ29" s="226">
        <f t="shared" si="9"/>
        <v>211236.25</v>
      </c>
      <c r="BK29" s="226">
        <f t="shared" si="9"/>
        <v>211236.25</v>
      </c>
      <c r="BL29" s="226">
        <f t="shared" si="9"/>
        <v>211236.25</v>
      </c>
      <c r="BM29" s="226">
        <f t="shared" si="9"/>
        <v>211236.25</v>
      </c>
      <c r="BN29" s="226">
        <f t="shared" si="9"/>
        <v>211236.25</v>
      </c>
      <c r="BO29" s="226">
        <f t="shared" si="9"/>
        <v>211236.25</v>
      </c>
      <c r="BP29" s="226">
        <f t="shared" si="9"/>
        <v>211236.25</v>
      </c>
      <c r="BQ29" s="226">
        <f t="shared" si="9"/>
        <v>211236.25</v>
      </c>
      <c r="BR29" s="226">
        <f t="shared" si="9"/>
        <v>211236.25</v>
      </c>
      <c r="BS29" s="226">
        <f t="shared" si="9"/>
        <v>211236.25</v>
      </c>
      <c r="BT29" s="226">
        <f t="shared" si="9"/>
        <v>211236.25</v>
      </c>
      <c r="BU29" s="226">
        <f t="shared" si="9"/>
        <v>211236.25</v>
      </c>
      <c r="BV29" s="226">
        <f t="shared" si="9"/>
        <v>211236.25</v>
      </c>
      <c r="BW29" s="226">
        <f t="shared" si="9"/>
        <v>211236.25</v>
      </c>
    </row>
    <row r="30" spans="1:75" ht="12.75" x14ac:dyDescent="0.2">
      <c r="A30" s="60" t="s">
        <v>286</v>
      </c>
      <c r="B30" s="238"/>
      <c r="C30" s="212"/>
      <c r="D30" s="226">
        <f t="shared" ref="D30:BW30" ca="1" si="10">SUM(D29,D24)</f>
        <v>203616</v>
      </c>
      <c r="E30" s="226">
        <f t="shared" ca="1" si="10"/>
        <v>213254</v>
      </c>
      <c r="F30" s="226">
        <f t="shared" ca="1" si="10"/>
        <v>228112</v>
      </c>
      <c r="G30" s="226">
        <f t="shared" ca="1" si="10"/>
        <v>228156</v>
      </c>
      <c r="H30" s="226">
        <f t="shared" ca="1" si="10"/>
        <v>227917</v>
      </c>
      <c r="I30" s="226">
        <f t="shared" ca="1" si="10"/>
        <v>239328</v>
      </c>
      <c r="J30" s="226">
        <f t="shared" ca="1" si="10"/>
        <v>240162</v>
      </c>
      <c r="K30" s="226">
        <f t="shared" ca="1" si="10"/>
        <v>242532</v>
      </c>
      <c r="L30" s="226">
        <f t="shared" ca="1" si="10"/>
        <v>245467</v>
      </c>
      <c r="M30" s="226">
        <f t="shared" ca="1" si="10"/>
        <v>249787</v>
      </c>
      <c r="N30" s="226">
        <f t="shared" ca="1" si="10"/>
        <v>251307</v>
      </c>
      <c r="O30" s="226">
        <f t="shared" ca="1" si="10"/>
        <v>261226</v>
      </c>
      <c r="P30" s="226">
        <f t="shared" ca="1" si="10"/>
        <v>260726</v>
      </c>
      <c r="Q30" s="226">
        <f t="shared" ca="1" si="10"/>
        <v>261699</v>
      </c>
      <c r="R30" s="226">
        <f t="shared" ca="1" si="10"/>
        <v>261699</v>
      </c>
      <c r="S30" s="226">
        <f t="shared" ca="1" si="10"/>
        <v>263687</v>
      </c>
      <c r="T30" s="226">
        <f t="shared" ca="1" si="10"/>
        <v>268487</v>
      </c>
      <c r="U30" s="226">
        <f t="shared" ca="1" si="10"/>
        <v>267252</v>
      </c>
      <c r="V30" s="226">
        <f t="shared" ca="1" si="10"/>
        <v>266881</v>
      </c>
      <c r="W30" s="226">
        <f t="shared" ca="1" si="10"/>
        <v>269416</v>
      </c>
      <c r="X30" s="226">
        <f t="shared" ca="1" si="10"/>
        <v>269416</v>
      </c>
      <c r="Y30" s="226">
        <f t="shared" ca="1" si="10"/>
        <v>278774</v>
      </c>
      <c r="Z30" s="226">
        <f t="shared" ca="1" si="10"/>
        <v>278774</v>
      </c>
      <c r="AA30" s="226">
        <f t="shared" ca="1" si="10"/>
        <v>278774</v>
      </c>
      <c r="AB30" s="226">
        <f t="shared" ca="1" si="10"/>
        <v>278774</v>
      </c>
      <c r="AC30" s="226">
        <f t="shared" ca="1" si="10"/>
        <v>284741</v>
      </c>
      <c r="AD30" s="226">
        <f t="shared" ca="1" si="10"/>
        <v>280952</v>
      </c>
      <c r="AE30" s="226">
        <f t="shared" ca="1" si="10"/>
        <v>278352</v>
      </c>
      <c r="AF30" s="226">
        <f t="shared" si="10"/>
        <v>211236.25</v>
      </c>
      <c r="AG30" s="226">
        <f t="shared" si="10"/>
        <v>211236.25</v>
      </c>
      <c r="AH30" s="226">
        <f t="shared" si="10"/>
        <v>211236.25</v>
      </c>
      <c r="AI30" s="226">
        <f t="shared" si="10"/>
        <v>211236.25</v>
      </c>
      <c r="AJ30" s="226">
        <f t="shared" si="10"/>
        <v>211236.25</v>
      </c>
      <c r="AK30" s="226">
        <f t="shared" si="10"/>
        <v>211236.25</v>
      </c>
      <c r="AL30" s="226">
        <f t="shared" si="10"/>
        <v>211236.25</v>
      </c>
      <c r="AM30" s="226">
        <f t="shared" si="10"/>
        <v>211236.25</v>
      </c>
      <c r="AN30" s="226">
        <f t="shared" si="10"/>
        <v>211236.25</v>
      </c>
      <c r="AO30" s="226">
        <f t="shared" si="10"/>
        <v>211236.25</v>
      </c>
      <c r="AP30" s="226">
        <f t="shared" si="10"/>
        <v>211236.25</v>
      </c>
      <c r="AQ30" s="226">
        <f t="shared" si="10"/>
        <v>211236.25</v>
      </c>
      <c r="AR30" s="226">
        <f t="shared" si="10"/>
        <v>211236.25</v>
      </c>
      <c r="AS30" s="226">
        <f t="shared" si="10"/>
        <v>211236.25</v>
      </c>
      <c r="AT30" s="226">
        <f t="shared" si="10"/>
        <v>211236.25</v>
      </c>
      <c r="AU30" s="226">
        <f t="shared" si="10"/>
        <v>211236.25</v>
      </c>
      <c r="AV30" s="226">
        <f t="shared" si="10"/>
        <v>211236.25</v>
      </c>
      <c r="AW30" s="226">
        <f t="shared" si="10"/>
        <v>211236.25</v>
      </c>
      <c r="AX30" s="226">
        <f t="shared" si="10"/>
        <v>211236.25</v>
      </c>
      <c r="AY30" s="226">
        <f t="shared" si="10"/>
        <v>211236.25</v>
      </c>
      <c r="AZ30" s="226">
        <f t="shared" si="10"/>
        <v>211236.25</v>
      </c>
      <c r="BA30" s="226">
        <f t="shared" si="10"/>
        <v>211236.25</v>
      </c>
      <c r="BB30" s="226">
        <f t="shared" si="10"/>
        <v>211236.25</v>
      </c>
      <c r="BC30" s="226">
        <f t="shared" si="10"/>
        <v>211236.25</v>
      </c>
      <c r="BD30" s="226">
        <f t="shared" si="10"/>
        <v>211236.25</v>
      </c>
      <c r="BE30" s="226">
        <f t="shared" si="10"/>
        <v>211236.25</v>
      </c>
      <c r="BF30" s="226">
        <f t="shared" si="10"/>
        <v>211236.25</v>
      </c>
      <c r="BG30" s="226">
        <f t="shared" si="10"/>
        <v>211236.25</v>
      </c>
      <c r="BH30" s="226">
        <f t="shared" si="10"/>
        <v>211236.25</v>
      </c>
      <c r="BI30" s="226">
        <f t="shared" si="10"/>
        <v>211236.25</v>
      </c>
      <c r="BJ30" s="226">
        <f t="shared" si="10"/>
        <v>211236.25</v>
      </c>
      <c r="BK30" s="226">
        <f t="shared" si="10"/>
        <v>211236.25</v>
      </c>
      <c r="BL30" s="226">
        <f t="shared" si="10"/>
        <v>211236.25</v>
      </c>
      <c r="BM30" s="226">
        <f t="shared" si="10"/>
        <v>211236.25</v>
      </c>
      <c r="BN30" s="226">
        <f t="shared" si="10"/>
        <v>211236.25</v>
      </c>
      <c r="BO30" s="226">
        <f t="shared" si="10"/>
        <v>211236.25</v>
      </c>
      <c r="BP30" s="226">
        <f t="shared" si="10"/>
        <v>211236.25</v>
      </c>
      <c r="BQ30" s="226">
        <f t="shared" si="10"/>
        <v>211236.25</v>
      </c>
      <c r="BR30" s="226">
        <f t="shared" si="10"/>
        <v>211236.25</v>
      </c>
      <c r="BS30" s="226">
        <f t="shared" si="10"/>
        <v>211236.25</v>
      </c>
      <c r="BT30" s="226">
        <f t="shared" si="10"/>
        <v>211236.25</v>
      </c>
      <c r="BU30" s="226">
        <f t="shared" si="10"/>
        <v>211236.25</v>
      </c>
      <c r="BV30" s="226">
        <f t="shared" si="10"/>
        <v>211236.25</v>
      </c>
      <c r="BW30" s="226">
        <f t="shared" si="10"/>
        <v>211236.25</v>
      </c>
    </row>
    <row r="31" spans="1:75" ht="12.75" x14ac:dyDescent="0.2">
      <c r="A31" s="69" t="s">
        <v>244</v>
      </c>
      <c r="B31" s="221"/>
      <c r="D31" s="115">
        <f t="array" aca="1" ref="D31" ca="1">INDEX(INDIRECT("PnL_"&amp;TEXT(D$1,"mmm")&amp;"_"&amp;TEXT(D$1,"yyyy")),MATCH(TRIM($A30),PnL_Accounts,0))-D30</f>
        <v>0</v>
      </c>
      <c r="E31" s="115">
        <f t="array" aca="1" ref="E31" ca="1">INDEX(INDIRECT("PnL_"&amp;TEXT(E$1,"mmm")&amp;"_"&amp;TEXT(E$1,"yyyy")),MATCH(TRIM($A30),PnL_Accounts,0))-E30</f>
        <v>0</v>
      </c>
      <c r="F31" s="115">
        <f t="array" aca="1" ref="F31" ca="1">INDEX(INDIRECT("PnL_"&amp;TEXT(F$1,"mmm")&amp;"_"&amp;TEXT(F$1,"yyyy")),MATCH(TRIM($A30),PnL_Accounts,0))-F30</f>
        <v>0</v>
      </c>
      <c r="G31" s="115">
        <f t="array" aca="1" ref="G31" ca="1">INDEX(INDIRECT("PnL_"&amp;TEXT(G$1,"mmm")&amp;"_"&amp;TEXT(G$1,"yyyy")),MATCH(TRIM($A30),PnL_Accounts,0))-G30</f>
        <v>0</v>
      </c>
      <c r="H31" s="115">
        <f t="array" aca="1" ref="H31" ca="1">INDEX(INDIRECT("PnL_"&amp;TEXT(H$1,"mmm")&amp;"_"&amp;TEXT(H$1,"yyyy")),MATCH(TRIM($A30),PnL_Accounts,0))-H30</f>
        <v>0</v>
      </c>
      <c r="I31" s="115">
        <f t="array" aca="1" ref="I31" ca="1">INDEX(INDIRECT("PnL_"&amp;TEXT(I$1,"mmm")&amp;"_"&amp;TEXT(I$1,"yyyy")),MATCH(TRIM($A30),PnL_Accounts,0))-I30</f>
        <v>0</v>
      </c>
      <c r="J31" s="115">
        <f t="array" aca="1" ref="J31" ca="1">INDEX(INDIRECT("PnL_"&amp;TEXT(J$1,"mmm")&amp;"_"&amp;TEXT(J$1,"yyyy")),MATCH(TRIM($A30),PnL_Accounts,0))-J30</f>
        <v>0</v>
      </c>
      <c r="K31" s="115">
        <f t="array" aca="1" ref="K31" ca="1">INDEX(INDIRECT("PnL_"&amp;TEXT(K$1,"mmm")&amp;"_"&amp;TEXT(K$1,"yyyy")),MATCH(TRIM($A30),PnL_Accounts,0))-K30</f>
        <v>0</v>
      </c>
      <c r="L31" s="115">
        <f t="array" aca="1" ref="L31" ca="1">INDEX(INDIRECT("PnL_"&amp;TEXT(L$1,"mmm")&amp;"_"&amp;TEXT(L$1,"yyyy")),MATCH(TRIM($A30),PnL_Accounts,0))-L30</f>
        <v>0</v>
      </c>
      <c r="M31" s="115">
        <f t="array" aca="1" ref="M31" ca="1">INDEX(INDIRECT("PnL_"&amp;TEXT(M$1,"mmm")&amp;"_"&amp;TEXT(M$1,"yyyy")),MATCH(TRIM($A30),PnL_Accounts,0))-M30</f>
        <v>0</v>
      </c>
      <c r="N31" s="115">
        <f t="array" aca="1" ref="N31" ca="1">INDEX(INDIRECT("PnL_"&amp;TEXT(N$1,"mmm")&amp;"_"&amp;TEXT(N$1,"yyyy")),MATCH(TRIM($A30),PnL_Accounts,0))-N30</f>
        <v>0</v>
      </c>
      <c r="O31" s="115">
        <f t="array" aca="1" ref="O31" ca="1">INDEX(INDIRECT("PnL_"&amp;TEXT(O$1,"mmm")&amp;"_"&amp;TEXT(O$1,"yyyy")),MATCH(TRIM($A30),PnL_Accounts,0))-O30</f>
        <v>0</v>
      </c>
      <c r="P31" s="115">
        <f t="array" aca="1" ref="P31" ca="1">INDEX(INDIRECT("PnL_"&amp;TEXT(P$1,"mmm")&amp;"_"&amp;TEXT(P$1,"yyyy")),MATCH(TRIM($A30),PnL_Accounts,0))-P30</f>
        <v>0</v>
      </c>
      <c r="Q31" s="115">
        <f t="array" aca="1" ref="Q31" ca="1">INDEX(INDIRECT("PnL_"&amp;TEXT(Q$1,"mmm")&amp;"_"&amp;TEXT(Q$1,"yyyy")),MATCH(TRIM($A30),PnL_Accounts,0))-Q30</f>
        <v>0</v>
      </c>
      <c r="R31" s="115">
        <f t="array" aca="1" ref="R31" ca="1">INDEX(INDIRECT("PnL_"&amp;TEXT(R$1,"mmm")&amp;"_"&amp;TEXT(R$1,"yyyy")),MATCH(TRIM($A30),PnL_Accounts,0))-R30</f>
        <v>0</v>
      </c>
      <c r="S31" s="115">
        <f t="array" aca="1" ref="S31" ca="1">INDEX(INDIRECT("PnL_"&amp;TEXT(S$1,"mmm")&amp;"_"&amp;TEXT(S$1,"yyyy")),MATCH(TRIM($A30),PnL_Accounts,0))-S30</f>
        <v>0</v>
      </c>
      <c r="T31" s="115">
        <f t="array" aca="1" ref="T31" ca="1">INDEX(INDIRECT("PnL_"&amp;TEXT(T$1,"mmm")&amp;"_"&amp;TEXT(T$1,"yyyy")),MATCH(TRIM($A30),PnL_Accounts,0))-T30</f>
        <v>0</v>
      </c>
      <c r="U31" s="115">
        <f t="array" aca="1" ref="U31" ca="1">INDEX(INDIRECT("PnL_"&amp;TEXT(U$1,"mmm")&amp;"_"&amp;TEXT(U$1,"yyyy")),MATCH(TRIM($A30),PnL_Accounts,0))-U30</f>
        <v>0</v>
      </c>
      <c r="V31" s="115">
        <f t="array" aca="1" ref="V31" ca="1">INDEX(INDIRECT("PnL_"&amp;TEXT(V$1,"mmm")&amp;"_"&amp;TEXT(V$1,"yyyy")),MATCH(TRIM($A30),PnL_Accounts,0))-V30</f>
        <v>0</v>
      </c>
      <c r="W31" s="115">
        <f t="array" aca="1" ref="W31" ca="1">INDEX(INDIRECT("PnL_"&amp;TEXT(W$1,"mmm")&amp;"_"&amp;TEXT(W$1,"yyyy")),MATCH(TRIM($A30),PnL_Accounts,0))-W30</f>
        <v>0</v>
      </c>
      <c r="X31" s="115">
        <f t="array" aca="1" ref="X31" ca="1">INDEX(INDIRECT("PnL_"&amp;TEXT(X$1,"mmm")&amp;"_"&amp;TEXT(X$1,"yyyy")),MATCH(TRIM($A30),PnL_Accounts,0))-X30</f>
        <v>0</v>
      </c>
      <c r="Y31" s="115">
        <f t="array" aca="1" ref="Y31" ca="1">INDEX(INDIRECT("PnL_"&amp;TEXT(Y$1,"mmm")&amp;"_"&amp;TEXT(Y$1,"yyyy")),MATCH(TRIM($A30),PnL_Accounts,0))-Y30</f>
        <v>0</v>
      </c>
      <c r="Z31" s="115">
        <f t="array" aca="1" ref="Z31" ca="1">INDEX(INDIRECT("PnL_"&amp;TEXT(Z$1,"mmm")&amp;"_"&amp;TEXT(Z$1,"yyyy")),MATCH(TRIM($A30),PnL_Accounts,0))-Z30</f>
        <v>0</v>
      </c>
      <c r="AA31" s="115">
        <f t="array" aca="1" ref="AA31" ca="1">INDEX(INDIRECT("PnL_"&amp;TEXT(AA$1,"mmm")&amp;"_"&amp;TEXT(AA$1,"yyyy")),MATCH(TRIM($A30),PnL_Accounts,0))-AA30</f>
        <v>0</v>
      </c>
      <c r="AB31" s="115">
        <f t="array" aca="1" ref="AB31" ca="1">INDEX(INDIRECT("PnL_"&amp;TEXT(AB$1,"mmm")&amp;"_"&amp;TEXT(AB$1,"yyyy")),MATCH(TRIM($A30),PnL_Accounts,0))-AB30</f>
        <v>0</v>
      </c>
      <c r="AC31" s="115">
        <f t="array" aca="1" ref="AC31" ca="1">INDEX(INDIRECT("PnL_"&amp;TEXT(AC$1,"mmm")&amp;"_"&amp;TEXT(AC$1,"yyyy")),MATCH(TRIM($A30),PnL_Accounts,0))-AC30</f>
        <v>0</v>
      </c>
      <c r="AD31" s="115">
        <f t="array" aca="1" ref="AD31" ca="1">INDEX(INDIRECT("PnL_"&amp;TEXT(AD$1,"mmm")&amp;"_"&amp;TEXT(AD$1,"yyyy")),MATCH(TRIM($A30),PnL_Accounts,0))-AD30</f>
        <v>0</v>
      </c>
      <c r="AE31" s="115">
        <f t="array" aca="1" ref="AE31" ca="1">INDEX(INDIRECT("PnL_"&amp;TEXT(AE$1,"mmm")&amp;"_"&amp;TEXT(AE$1,"yyyy")),MATCH(TRIM($A30),PnL_Accounts,0))-AE30</f>
        <v>0</v>
      </c>
    </row>
    <row r="32" spans="1:75" ht="12.75" x14ac:dyDescent="0.2">
      <c r="A32" s="23" t="s">
        <v>21</v>
      </c>
      <c r="B32" s="221"/>
    </row>
    <row r="33" spans="1:75" ht="12.75" x14ac:dyDescent="0.2">
      <c r="A33" s="23" t="s">
        <v>287</v>
      </c>
      <c r="B33" s="224">
        <f ca="1">AVERAGEIFS(33:33,$1:$1,"&gt;="&amp;DATE(YEAR(Current_Month),MONTH(Current_Month)-2,DAY(Current_Month)),$1:$1,"&lt;="&amp;EOMONTH(Current_Month,0))</f>
        <v>119.66666666666667</v>
      </c>
      <c r="D33" s="115">
        <f t="array" aca="1" ref="D33" ca="1">INDEX(INDIRECT("PnL_"&amp;TEXT(D$1,"mmm")&amp;"_"&amp;TEXT(D$1,"yyyy")),MATCH(TRIM($A33),PnL_Accounts,0))</f>
        <v>0</v>
      </c>
      <c r="E33" s="115">
        <f t="array" aca="1" ref="E33" ca="1">INDEX(INDIRECT("PnL_"&amp;TEXT(E$1,"mmm")&amp;"_"&amp;TEXT(E$1,"yyyy")),MATCH(TRIM($A33),PnL_Accounts,0))</f>
        <v>0</v>
      </c>
      <c r="F33" s="115">
        <f t="array" aca="1" ref="F33" ca="1">INDEX(INDIRECT("PnL_"&amp;TEXT(F$1,"mmm")&amp;"_"&amp;TEXT(F$1,"yyyy")),MATCH(TRIM($A33),PnL_Accounts,0))</f>
        <v>0</v>
      </c>
      <c r="G33" s="115">
        <f t="array" aca="1" ref="G33" ca="1">INDEX(INDIRECT("PnL_"&amp;TEXT(G$1,"mmm")&amp;"_"&amp;TEXT(G$1,"yyyy")),MATCH(TRIM($A33),PnL_Accounts,0))</f>
        <v>0</v>
      </c>
      <c r="H33" s="115">
        <f t="array" aca="1" ref="H33" ca="1">INDEX(INDIRECT("PnL_"&amp;TEXT(H$1,"mmm")&amp;"_"&amp;TEXT(H$1,"yyyy")),MATCH(TRIM($A33),PnL_Accounts,0))</f>
        <v>0</v>
      </c>
      <c r="I33" s="115">
        <f t="array" aca="1" ref="I33" ca="1">INDEX(INDIRECT("PnL_"&amp;TEXT(I$1,"mmm")&amp;"_"&amp;TEXT(I$1,"yyyy")),MATCH(TRIM($A33),PnL_Accounts,0))</f>
        <v>0</v>
      </c>
      <c r="J33" s="115">
        <f t="array" aca="1" ref="J33" ca="1">INDEX(INDIRECT("PnL_"&amp;TEXT(J$1,"mmm")&amp;"_"&amp;TEXT(J$1,"yyyy")),MATCH(TRIM($A33),PnL_Accounts,0))</f>
        <v>0</v>
      </c>
      <c r="K33" s="115">
        <f t="array" aca="1" ref="K33" ca="1">INDEX(INDIRECT("PnL_"&amp;TEXT(K$1,"mmm")&amp;"_"&amp;TEXT(K$1,"yyyy")),MATCH(TRIM($A33),PnL_Accounts,0))</f>
        <v>0</v>
      </c>
      <c r="L33" s="115">
        <f t="array" aca="1" ref="L33" ca="1">INDEX(INDIRECT("PnL_"&amp;TEXT(L$1,"mmm")&amp;"_"&amp;TEXT(L$1,"yyyy")),MATCH(TRIM($A33),PnL_Accounts,0))</f>
        <v>0</v>
      </c>
      <c r="M33" s="115">
        <f t="array" aca="1" ref="M33" ca="1">INDEX(INDIRECT("PnL_"&amp;TEXT(M$1,"mmm")&amp;"_"&amp;TEXT(M$1,"yyyy")),MATCH(TRIM($A33),PnL_Accounts,0))</f>
        <v>0</v>
      </c>
      <c r="N33" s="115">
        <f t="array" aca="1" ref="N33" ca="1">INDEX(INDIRECT("PnL_"&amp;TEXT(N$1,"mmm")&amp;"_"&amp;TEXT(N$1,"yyyy")),MATCH(TRIM($A33),PnL_Accounts,0))</f>
        <v>0</v>
      </c>
      <c r="O33" s="115">
        <f t="array" aca="1" ref="O33" ca="1">INDEX(INDIRECT("PnL_"&amp;TEXT(O$1,"mmm")&amp;"_"&amp;TEXT(O$1,"yyyy")),MATCH(TRIM($A33),PnL_Accounts,0))</f>
        <v>0</v>
      </c>
      <c r="P33" s="115">
        <f t="array" aca="1" ref="P33" ca="1">INDEX(INDIRECT("PnL_"&amp;TEXT(P$1,"mmm")&amp;"_"&amp;TEXT(P$1,"yyyy")),MATCH(TRIM($A33),PnL_Accounts,0))</f>
        <v>0</v>
      </c>
      <c r="Q33" s="115">
        <f t="array" aca="1" ref="Q33" ca="1">INDEX(INDIRECT("PnL_"&amp;TEXT(Q$1,"mmm")&amp;"_"&amp;TEXT(Q$1,"yyyy")),MATCH(TRIM($A33),PnL_Accounts,0))</f>
        <v>0</v>
      </c>
      <c r="R33" s="115">
        <f t="array" aca="1" ref="R33" ca="1">INDEX(INDIRECT("PnL_"&amp;TEXT(R$1,"mmm")&amp;"_"&amp;TEXT(R$1,"yyyy")),MATCH(TRIM($A33),PnL_Accounts,0))</f>
        <v>0</v>
      </c>
      <c r="S33" s="115">
        <f t="array" aca="1" ref="S33" ca="1">INDEX(INDIRECT("PnL_"&amp;TEXT(S$1,"mmm")&amp;"_"&amp;TEXT(S$1,"yyyy")),MATCH(TRIM($A33),PnL_Accounts,0))</f>
        <v>0</v>
      </c>
      <c r="T33" s="115">
        <f t="array" aca="1" ref="T33" ca="1">INDEX(INDIRECT("PnL_"&amp;TEXT(T$1,"mmm")&amp;"_"&amp;TEXT(T$1,"yyyy")),MATCH(TRIM($A33),PnL_Accounts,0))</f>
        <v>0</v>
      </c>
      <c r="U33" s="115">
        <f t="array" aca="1" ref="U33" ca="1">INDEX(INDIRECT("PnL_"&amp;TEXT(U$1,"mmm")&amp;"_"&amp;TEXT(U$1,"yyyy")),MATCH(TRIM($A33),PnL_Accounts,0))</f>
        <v>0</v>
      </c>
      <c r="V33" s="115">
        <f t="array" aca="1" ref="V33" ca="1">INDEX(INDIRECT("PnL_"&amp;TEXT(V$1,"mmm")&amp;"_"&amp;TEXT(V$1,"yyyy")),MATCH(TRIM($A33),PnL_Accounts,0))</f>
        <v>154</v>
      </c>
      <c r="W33" s="115">
        <f t="array" aca="1" ref="W33" ca="1">INDEX(INDIRECT("PnL_"&amp;TEXT(W$1,"mmm")&amp;"_"&amp;TEXT(W$1,"yyyy")),MATCH(TRIM($A33),PnL_Accounts,0))</f>
        <v>143</v>
      </c>
      <c r="X33" s="115">
        <f t="array" aca="1" ref="X33" ca="1">INDEX(INDIRECT("PnL_"&amp;TEXT(X$1,"mmm")&amp;"_"&amp;TEXT(X$1,"yyyy")),MATCH(TRIM($A33),PnL_Accounts,0))</f>
        <v>195</v>
      </c>
      <c r="Y33" s="115">
        <f t="array" aca="1" ref="Y33" ca="1">INDEX(INDIRECT("PnL_"&amp;TEXT(Y$1,"mmm")&amp;"_"&amp;TEXT(Y$1,"yyyy")),MATCH(TRIM($A33),PnL_Accounts,0))</f>
        <v>123</v>
      </c>
      <c r="Z33" s="115">
        <f t="array" aca="1" ref="Z33" ca="1">INDEX(INDIRECT("PnL_"&amp;TEXT(Z$1,"mmm")&amp;"_"&amp;TEXT(Z$1,"yyyy")),MATCH(TRIM($A33),PnL_Accounts,0))</f>
        <v>164</v>
      </c>
      <c r="AA33" s="115">
        <f t="array" aca="1" ref="AA33" ca="1">INDEX(INDIRECT("PnL_"&amp;TEXT(AA$1,"mmm")&amp;"_"&amp;TEXT(AA$1,"yyyy")),MATCH(TRIM($A33),PnL_Accounts,0))</f>
        <v>153</v>
      </c>
      <c r="AB33" s="115">
        <f t="array" aca="1" ref="AB33" ca="1">INDEX(INDIRECT("PnL_"&amp;TEXT(AB$1,"mmm")&amp;"_"&amp;TEXT(AB$1,"yyyy")),MATCH(TRIM($A33),PnL_Accounts,0))</f>
        <v>149</v>
      </c>
      <c r="AC33" s="115">
        <f t="array" aca="1" ref="AC33" ca="1">INDEX(INDIRECT("PnL_"&amp;TEXT(AC$1,"mmm")&amp;"_"&amp;TEXT(AC$1,"yyyy")),MATCH(TRIM($A33),PnL_Accounts,0))</f>
        <v>124</v>
      </c>
      <c r="AD33" s="115">
        <f t="array" aca="1" ref="AD33" ca="1">INDEX(INDIRECT("PnL_"&amp;TEXT(AD$1,"mmm")&amp;"_"&amp;TEXT(AD$1,"yyyy")),MATCH(TRIM($A33),PnL_Accounts,0))</f>
        <v>124</v>
      </c>
      <c r="AE33" s="115">
        <f t="array" aca="1" ref="AE33" ca="1">INDEX(INDIRECT("PnL_"&amp;TEXT(AE$1,"mmm")&amp;"_"&amp;TEXT(AE$1,"yyyy")),MATCH(TRIM($A33),PnL_Accounts,0))</f>
        <v>111</v>
      </c>
      <c r="AF33" s="165">
        <f t="shared" ref="AF33:BW33" ca="1" si="11">$B33</f>
        <v>119.66666666666667</v>
      </c>
      <c r="AG33" s="165">
        <f t="shared" ca="1" si="11"/>
        <v>119.66666666666667</v>
      </c>
      <c r="AH33" s="165">
        <f t="shared" ca="1" si="11"/>
        <v>119.66666666666667</v>
      </c>
      <c r="AI33" s="165">
        <f t="shared" ca="1" si="11"/>
        <v>119.66666666666667</v>
      </c>
      <c r="AJ33" s="165">
        <f t="shared" ca="1" si="11"/>
        <v>119.66666666666667</v>
      </c>
      <c r="AK33" s="165">
        <f t="shared" ca="1" si="11"/>
        <v>119.66666666666667</v>
      </c>
      <c r="AL33" s="165">
        <f t="shared" ca="1" si="11"/>
        <v>119.66666666666667</v>
      </c>
      <c r="AM33" s="165">
        <f t="shared" ca="1" si="11"/>
        <v>119.66666666666667</v>
      </c>
      <c r="AN33" s="165">
        <f t="shared" ca="1" si="11"/>
        <v>119.66666666666667</v>
      </c>
      <c r="AO33" s="165">
        <f t="shared" ca="1" si="11"/>
        <v>119.66666666666667</v>
      </c>
      <c r="AP33" s="165">
        <f t="shared" ca="1" si="11"/>
        <v>119.66666666666667</v>
      </c>
      <c r="AQ33" s="165">
        <f t="shared" ca="1" si="11"/>
        <v>119.66666666666667</v>
      </c>
      <c r="AR33" s="165">
        <f t="shared" ca="1" si="11"/>
        <v>119.66666666666667</v>
      </c>
      <c r="AS33" s="165">
        <f t="shared" ca="1" si="11"/>
        <v>119.66666666666667</v>
      </c>
      <c r="AT33" s="165">
        <f t="shared" ca="1" si="11"/>
        <v>119.66666666666667</v>
      </c>
      <c r="AU33" s="165">
        <f t="shared" ca="1" si="11"/>
        <v>119.66666666666667</v>
      </c>
      <c r="AV33" s="165">
        <f t="shared" ca="1" si="11"/>
        <v>119.66666666666667</v>
      </c>
      <c r="AW33" s="165">
        <f t="shared" ca="1" si="11"/>
        <v>119.66666666666667</v>
      </c>
      <c r="AX33" s="165">
        <f t="shared" ca="1" si="11"/>
        <v>119.66666666666667</v>
      </c>
      <c r="AY33" s="165">
        <f t="shared" ca="1" si="11"/>
        <v>119.66666666666667</v>
      </c>
      <c r="AZ33" s="165">
        <f t="shared" ca="1" si="11"/>
        <v>119.66666666666667</v>
      </c>
      <c r="BA33" s="165">
        <f t="shared" ca="1" si="11"/>
        <v>119.66666666666667</v>
      </c>
      <c r="BB33" s="165">
        <f t="shared" ca="1" si="11"/>
        <v>119.66666666666667</v>
      </c>
      <c r="BC33" s="165">
        <f t="shared" ca="1" si="11"/>
        <v>119.66666666666667</v>
      </c>
      <c r="BD33" s="165">
        <f t="shared" ca="1" si="11"/>
        <v>119.66666666666667</v>
      </c>
      <c r="BE33" s="165">
        <f t="shared" ca="1" si="11"/>
        <v>119.66666666666667</v>
      </c>
      <c r="BF33" s="165">
        <f t="shared" ca="1" si="11"/>
        <v>119.66666666666667</v>
      </c>
      <c r="BG33" s="165">
        <f t="shared" ca="1" si="11"/>
        <v>119.66666666666667</v>
      </c>
      <c r="BH33" s="165">
        <f t="shared" ca="1" si="11"/>
        <v>119.66666666666667</v>
      </c>
      <c r="BI33" s="165">
        <f t="shared" ca="1" si="11"/>
        <v>119.66666666666667</v>
      </c>
      <c r="BJ33" s="165">
        <f t="shared" ca="1" si="11"/>
        <v>119.66666666666667</v>
      </c>
      <c r="BK33" s="165">
        <f t="shared" ca="1" si="11"/>
        <v>119.66666666666667</v>
      </c>
      <c r="BL33" s="165">
        <f t="shared" ca="1" si="11"/>
        <v>119.66666666666667</v>
      </c>
      <c r="BM33" s="165">
        <f t="shared" ca="1" si="11"/>
        <v>119.66666666666667</v>
      </c>
      <c r="BN33" s="165">
        <f t="shared" ca="1" si="11"/>
        <v>119.66666666666667</v>
      </c>
      <c r="BO33" s="165">
        <f t="shared" ca="1" si="11"/>
        <v>119.66666666666667</v>
      </c>
      <c r="BP33" s="165">
        <f t="shared" ca="1" si="11"/>
        <v>119.66666666666667</v>
      </c>
      <c r="BQ33" s="165">
        <f t="shared" ca="1" si="11"/>
        <v>119.66666666666667</v>
      </c>
      <c r="BR33" s="165">
        <f t="shared" ca="1" si="11"/>
        <v>119.66666666666667</v>
      </c>
      <c r="BS33" s="165">
        <f t="shared" ca="1" si="11"/>
        <v>119.66666666666667</v>
      </c>
      <c r="BT33" s="165">
        <f t="shared" ca="1" si="11"/>
        <v>119.66666666666667</v>
      </c>
      <c r="BU33" s="165">
        <f t="shared" ca="1" si="11"/>
        <v>119.66666666666667</v>
      </c>
      <c r="BV33" s="165">
        <f t="shared" ca="1" si="11"/>
        <v>119.66666666666667</v>
      </c>
      <c r="BW33" s="165">
        <f t="shared" ca="1" si="11"/>
        <v>119.66666666666667</v>
      </c>
    </row>
    <row r="34" spans="1:75" ht="12.75" x14ac:dyDescent="0.2">
      <c r="A34" s="23" t="s">
        <v>288</v>
      </c>
      <c r="B34" s="224">
        <f ca="1">AVERAGEIFS(34:34,$1:$1,"&gt;="&amp;DATE(YEAR(Current_Month),MONTH(Current_Month)-2,DAY(Current_Month)),$1:$1,"&lt;="&amp;EOMONTH(Current_Month,0))</f>
        <v>8689.3333333333339</v>
      </c>
      <c r="D34" s="115">
        <f t="array" aca="1" ref="D34" ca="1">INDEX(INDIRECT("PnL_"&amp;TEXT(D$1,"mmm")&amp;"_"&amp;TEXT(D$1,"yyyy")),MATCH(TRIM($A34),PnL_Accounts,0))</f>
        <v>770</v>
      </c>
      <c r="E34" s="115">
        <f t="array" aca="1" ref="E34" ca="1">INDEX(INDIRECT("PnL_"&amp;TEXT(E$1,"mmm")&amp;"_"&amp;TEXT(E$1,"yyyy")),MATCH(TRIM($A34),PnL_Accounts,0))</f>
        <v>947</v>
      </c>
      <c r="F34" s="115">
        <f t="array" aca="1" ref="F34" ca="1">INDEX(INDIRECT("PnL_"&amp;TEXT(F$1,"mmm")&amp;"_"&amp;TEXT(F$1,"yyyy")),MATCH(TRIM($A34),PnL_Accounts,0))</f>
        <v>574</v>
      </c>
      <c r="G34" s="115">
        <f t="array" aca="1" ref="G34" ca="1">INDEX(INDIRECT("PnL_"&amp;TEXT(G$1,"mmm")&amp;"_"&amp;TEXT(G$1,"yyyy")),MATCH(TRIM($A34),PnL_Accounts,0))</f>
        <v>761</v>
      </c>
      <c r="H34" s="115">
        <f t="array" aca="1" ref="H34" ca="1">INDEX(INDIRECT("PnL_"&amp;TEXT(H$1,"mmm")&amp;"_"&amp;TEXT(H$1,"yyyy")),MATCH(TRIM($A34),PnL_Accounts,0))</f>
        <v>823</v>
      </c>
      <c r="I34" s="115">
        <f t="array" aca="1" ref="I34" ca="1">INDEX(INDIRECT("PnL_"&amp;TEXT(I$1,"mmm")&amp;"_"&amp;TEXT(I$1,"yyyy")),MATCH(TRIM($A34),PnL_Accounts,0))</f>
        <v>712</v>
      </c>
      <c r="J34" s="115">
        <f t="array" aca="1" ref="J34" ca="1">INDEX(INDIRECT("PnL_"&amp;TEXT(J$1,"mmm")&amp;"_"&amp;TEXT(J$1,"yyyy")),MATCH(TRIM($A34),PnL_Accounts,0))</f>
        <v>788</v>
      </c>
      <c r="K34" s="115">
        <f t="array" aca="1" ref="K34" ca="1">INDEX(INDIRECT("PnL_"&amp;TEXT(K$1,"mmm")&amp;"_"&amp;TEXT(K$1,"yyyy")),MATCH(TRIM($A34),PnL_Accounts,0))</f>
        <v>830</v>
      </c>
      <c r="L34" s="115">
        <f t="array" aca="1" ref="L34" ca="1">INDEX(INDIRECT("PnL_"&amp;TEXT(L$1,"mmm")&amp;"_"&amp;TEXT(L$1,"yyyy")),MATCH(TRIM($A34),PnL_Accounts,0))</f>
        <v>893</v>
      </c>
      <c r="M34" s="115">
        <f t="array" aca="1" ref="M34" ca="1">INDEX(INDIRECT("PnL_"&amp;TEXT(M$1,"mmm")&amp;"_"&amp;TEXT(M$1,"yyyy")),MATCH(TRIM($A34),PnL_Accounts,0))</f>
        <v>840</v>
      </c>
      <c r="N34" s="115">
        <f t="array" aca="1" ref="N34" ca="1">INDEX(INDIRECT("PnL_"&amp;TEXT(N$1,"mmm")&amp;"_"&amp;TEXT(N$1,"yyyy")),MATCH(TRIM($A34),PnL_Accounts,0))</f>
        <v>815</v>
      </c>
      <c r="O34" s="115">
        <f t="array" aca="1" ref="O34" ca="1">INDEX(INDIRECT("PnL_"&amp;TEXT(O$1,"mmm")&amp;"_"&amp;TEXT(O$1,"yyyy")),MATCH(TRIM($A34),PnL_Accounts,0))</f>
        <v>924</v>
      </c>
      <c r="P34" s="115">
        <f t="array" aca="1" ref="P34" ca="1">INDEX(INDIRECT("PnL_"&amp;TEXT(P$1,"mmm")&amp;"_"&amp;TEXT(P$1,"yyyy")),MATCH(TRIM($A34),PnL_Accounts,0))</f>
        <v>871</v>
      </c>
      <c r="Q34" s="115">
        <f t="array" aca="1" ref="Q34" ca="1">INDEX(INDIRECT("PnL_"&amp;TEXT(Q$1,"mmm")&amp;"_"&amp;TEXT(Q$1,"yyyy")),MATCH(TRIM($A34),PnL_Accounts,0))</f>
        <v>445</v>
      </c>
      <c r="R34" s="115">
        <f t="array" aca="1" ref="R34" ca="1">INDEX(INDIRECT("PnL_"&amp;TEXT(R$1,"mmm")&amp;"_"&amp;TEXT(R$1,"yyyy")),MATCH(TRIM($A34),PnL_Accounts,0))</f>
        <v>755</v>
      </c>
      <c r="S34" s="115">
        <f t="array" aca="1" ref="S34" ca="1">INDEX(INDIRECT("PnL_"&amp;TEXT(S$1,"mmm")&amp;"_"&amp;TEXT(S$1,"yyyy")),MATCH(TRIM($A34),PnL_Accounts,0))</f>
        <v>730</v>
      </c>
      <c r="T34" s="115">
        <f t="array" aca="1" ref="T34" ca="1">INDEX(INDIRECT("PnL_"&amp;TEXT(T$1,"mmm")&amp;"_"&amp;TEXT(T$1,"yyyy")),MATCH(TRIM($A34),PnL_Accounts,0))</f>
        <v>655</v>
      </c>
      <c r="U34" s="115">
        <f t="array" aca="1" ref="U34" ca="1">INDEX(INDIRECT("PnL_"&amp;TEXT(U$1,"mmm")&amp;"_"&amp;TEXT(U$1,"yyyy")),MATCH(TRIM($A34),PnL_Accounts,0))</f>
        <v>680</v>
      </c>
      <c r="V34" s="115">
        <f t="array" aca="1" ref="V34" ca="1">INDEX(INDIRECT("PnL_"&amp;TEXT(V$1,"mmm")&amp;"_"&amp;TEXT(V$1,"yyyy")),MATCH(TRIM($A34),PnL_Accounts,0))</f>
        <v>709</v>
      </c>
      <c r="W34" s="115">
        <f t="array" aca="1" ref="W34" ca="1">INDEX(INDIRECT("PnL_"&amp;TEXT(W$1,"mmm")&amp;"_"&amp;TEXT(W$1,"yyyy")),MATCH(TRIM($A34),PnL_Accounts,0))</f>
        <v>731</v>
      </c>
      <c r="X34" s="115">
        <f t="array" aca="1" ref="X34" ca="1">INDEX(INDIRECT("PnL_"&amp;TEXT(X$1,"mmm")&amp;"_"&amp;TEXT(X$1,"yyyy")),MATCH(TRIM($A34),PnL_Accounts,0))</f>
        <v>755</v>
      </c>
      <c r="Y34" s="115">
        <f t="array" aca="1" ref="Y34" ca="1">INDEX(INDIRECT("PnL_"&amp;TEXT(Y$1,"mmm")&amp;"_"&amp;TEXT(Y$1,"yyyy")),MATCH(TRIM($A34),PnL_Accounts,0))</f>
        <v>756</v>
      </c>
      <c r="Z34" s="115">
        <f t="array" aca="1" ref="Z34" ca="1">INDEX(INDIRECT("PnL_"&amp;TEXT(Z$1,"mmm")&amp;"_"&amp;TEXT(Z$1,"yyyy")),MATCH(TRIM($A34),PnL_Accounts,0))</f>
        <v>842</v>
      </c>
      <c r="AA34" s="115">
        <f t="array" aca="1" ref="AA34" ca="1">INDEX(INDIRECT("PnL_"&amp;TEXT(AA$1,"mmm")&amp;"_"&amp;TEXT(AA$1,"yyyy")),MATCH(TRIM($A34),PnL_Accounts,0))</f>
        <v>764</v>
      </c>
      <c r="AB34" s="115">
        <f t="array" aca="1" ref="AB34" ca="1">INDEX(INDIRECT("PnL_"&amp;TEXT(AB$1,"mmm")&amp;"_"&amp;TEXT(AB$1,"yyyy")),MATCH(TRIM($A34),PnL_Accounts,0))</f>
        <v>877</v>
      </c>
      <c r="AC34" s="115">
        <f t="array" aca="1" ref="AC34" ca="1">INDEX(INDIRECT("PnL_"&amp;TEXT(AC$1,"mmm")&amp;"_"&amp;TEXT(AC$1,"yyyy")),MATCH(TRIM($A34),PnL_Accounts,0))</f>
        <v>9123</v>
      </c>
      <c r="AD34" s="115">
        <f t="array" aca="1" ref="AD34" ca="1">INDEX(INDIRECT("PnL_"&amp;TEXT(AD$1,"mmm")&amp;"_"&amp;TEXT(AD$1,"yyyy")),MATCH(TRIM($A34),PnL_Accounts,0))</f>
        <v>8700</v>
      </c>
      <c r="AE34" s="115">
        <f t="array" aca="1" ref="AE34" ca="1">INDEX(INDIRECT("PnL_"&amp;TEXT(AE$1,"mmm")&amp;"_"&amp;TEXT(AE$1,"yyyy")),MATCH(TRIM($A34),PnL_Accounts,0))</f>
        <v>8245</v>
      </c>
      <c r="AF34" s="165">
        <f t="shared" ref="AF34:BW34" ca="1" si="12">$B34</f>
        <v>8689.3333333333339</v>
      </c>
      <c r="AG34" s="165">
        <f t="shared" ca="1" si="12"/>
        <v>8689.3333333333339</v>
      </c>
      <c r="AH34" s="165">
        <f t="shared" ca="1" si="12"/>
        <v>8689.3333333333339</v>
      </c>
      <c r="AI34" s="165">
        <f t="shared" ca="1" si="12"/>
        <v>8689.3333333333339</v>
      </c>
      <c r="AJ34" s="165">
        <f t="shared" ca="1" si="12"/>
        <v>8689.3333333333339</v>
      </c>
      <c r="AK34" s="165">
        <f t="shared" ca="1" si="12"/>
        <v>8689.3333333333339</v>
      </c>
      <c r="AL34" s="165">
        <f t="shared" ca="1" si="12"/>
        <v>8689.3333333333339</v>
      </c>
      <c r="AM34" s="165">
        <f t="shared" ca="1" si="12"/>
        <v>8689.3333333333339</v>
      </c>
      <c r="AN34" s="165">
        <f t="shared" ca="1" si="12"/>
        <v>8689.3333333333339</v>
      </c>
      <c r="AO34" s="165">
        <f t="shared" ca="1" si="12"/>
        <v>8689.3333333333339</v>
      </c>
      <c r="AP34" s="165">
        <f t="shared" ca="1" si="12"/>
        <v>8689.3333333333339</v>
      </c>
      <c r="AQ34" s="165">
        <f t="shared" ca="1" si="12"/>
        <v>8689.3333333333339</v>
      </c>
      <c r="AR34" s="165">
        <f t="shared" ca="1" si="12"/>
        <v>8689.3333333333339</v>
      </c>
      <c r="AS34" s="165">
        <f t="shared" ca="1" si="12"/>
        <v>8689.3333333333339</v>
      </c>
      <c r="AT34" s="165">
        <f t="shared" ca="1" si="12"/>
        <v>8689.3333333333339</v>
      </c>
      <c r="AU34" s="165">
        <f t="shared" ca="1" si="12"/>
        <v>8689.3333333333339</v>
      </c>
      <c r="AV34" s="165">
        <f t="shared" ca="1" si="12"/>
        <v>8689.3333333333339</v>
      </c>
      <c r="AW34" s="165">
        <f t="shared" ca="1" si="12"/>
        <v>8689.3333333333339</v>
      </c>
      <c r="AX34" s="165">
        <f t="shared" ca="1" si="12"/>
        <v>8689.3333333333339</v>
      </c>
      <c r="AY34" s="165">
        <f t="shared" ca="1" si="12"/>
        <v>8689.3333333333339</v>
      </c>
      <c r="AZ34" s="165">
        <f t="shared" ca="1" si="12"/>
        <v>8689.3333333333339</v>
      </c>
      <c r="BA34" s="165">
        <f t="shared" ca="1" si="12"/>
        <v>8689.3333333333339</v>
      </c>
      <c r="BB34" s="165">
        <f t="shared" ca="1" si="12"/>
        <v>8689.3333333333339</v>
      </c>
      <c r="BC34" s="165">
        <f t="shared" ca="1" si="12"/>
        <v>8689.3333333333339</v>
      </c>
      <c r="BD34" s="165">
        <f t="shared" ca="1" si="12"/>
        <v>8689.3333333333339</v>
      </c>
      <c r="BE34" s="165">
        <f t="shared" ca="1" si="12"/>
        <v>8689.3333333333339</v>
      </c>
      <c r="BF34" s="165">
        <f t="shared" ca="1" si="12"/>
        <v>8689.3333333333339</v>
      </c>
      <c r="BG34" s="165">
        <f t="shared" ca="1" si="12"/>
        <v>8689.3333333333339</v>
      </c>
      <c r="BH34" s="165">
        <f t="shared" ca="1" si="12"/>
        <v>8689.3333333333339</v>
      </c>
      <c r="BI34" s="165">
        <f t="shared" ca="1" si="12"/>
        <v>8689.3333333333339</v>
      </c>
      <c r="BJ34" s="165">
        <f t="shared" ca="1" si="12"/>
        <v>8689.3333333333339</v>
      </c>
      <c r="BK34" s="165">
        <f t="shared" ca="1" si="12"/>
        <v>8689.3333333333339</v>
      </c>
      <c r="BL34" s="165">
        <f t="shared" ca="1" si="12"/>
        <v>8689.3333333333339</v>
      </c>
      <c r="BM34" s="165">
        <f t="shared" ca="1" si="12"/>
        <v>8689.3333333333339</v>
      </c>
      <c r="BN34" s="165">
        <f t="shared" ca="1" si="12"/>
        <v>8689.3333333333339</v>
      </c>
      <c r="BO34" s="165">
        <f t="shared" ca="1" si="12"/>
        <v>8689.3333333333339</v>
      </c>
      <c r="BP34" s="165">
        <f t="shared" ca="1" si="12"/>
        <v>8689.3333333333339</v>
      </c>
      <c r="BQ34" s="165">
        <f t="shared" ca="1" si="12"/>
        <v>8689.3333333333339</v>
      </c>
      <c r="BR34" s="165">
        <f t="shared" ca="1" si="12"/>
        <v>8689.3333333333339</v>
      </c>
      <c r="BS34" s="165">
        <f t="shared" ca="1" si="12"/>
        <v>8689.3333333333339</v>
      </c>
      <c r="BT34" s="165">
        <f t="shared" ca="1" si="12"/>
        <v>8689.3333333333339</v>
      </c>
      <c r="BU34" s="165">
        <f t="shared" ca="1" si="12"/>
        <v>8689.3333333333339</v>
      </c>
      <c r="BV34" s="165">
        <f t="shared" ca="1" si="12"/>
        <v>8689.3333333333339</v>
      </c>
      <c r="BW34" s="165">
        <f t="shared" ca="1" si="12"/>
        <v>8689.3333333333339</v>
      </c>
    </row>
    <row r="35" spans="1:75" ht="12.75" x14ac:dyDescent="0.2">
      <c r="A35" s="23" t="s">
        <v>289</v>
      </c>
      <c r="B35" s="224">
        <f ca="1">AVERAGEIFS(35:35,$1:$1,"&gt;="&amp;DATE(YEAR(Current_Month),MONTH(Current_Month)-2,DAY(Current_Month)),$1:$1,"&lt;="&amp;EOMONTH(Current_Month,0))</f>
        <v>3559.6666666666665</v>
      </c>
      <c r="D35" s="115">
        <f t="array" aca="1" ref="D35" ca="1">INDEX(INDIRECT("PnL_"&amp;TEXT(D$1,"mmm")&amp;"_"&amp;TEXT(D$1,"yyyy")),MATCH(TRIM($A35),PnL_Accounts,0))</f>
        <v>1774</v>
      </c>
      <c r="E35" s="115">
        <f t="array" aca="1" ref="E35" ca="1">INDEX(INDIRECT("PnL_"&amp;TEXT(E$1,"mmm")&amp;"_"&amp;TEXT(E$1,"yyyy")),MATCH(TRIM($A35),PnL_Accounts,0))</f>
        <v>1642</v>
      </c>
      <c r="F35" s="115">
        <f t="array" aca="1" ref="F35" ca="1">INDEX(INDIRECT("PnL_"&amp;TEXT(F$1,"mmm")&amp;"_"&amp;TEXT(F$1,"yyyy")),MATCH(TRIM($A35),PnL_Accounts,0))</f>
        <v>1544</v>
      </c>
      <c r="G35" s="115">
        <f t="array" aca="1" ref="G35" ca="1">INDEX(INDIRECT("PnL_"&amp;TEXT(G$1,"mmm")&amp;"_"&amp;TEXT(G$1,"yyyy")),MATCH(TRIM($A35),PnL_Accounts,0))</f>
        <v>1737</v>
      </c>
      <c r="H35" s="115">
        <f t="array" aca="1" ref="H35" ca="1">INDEX(INDIRECT("PnL_"&amp;TEXT(H$1,"mmm")&amp;"_"&amp;TEXT(H$1,"yyyy")),MATCH(TRIM($A35),PnL_Accounts,0))</f>
        <v>1912</v>
      </c>
      <c r="I35" s="115">
        <f t="array" aca="1" ref="I35" ca="1">INDEX(INDIRECT("PnL_"&amp;TEXT(I$1,"mmm")&amp;"_"&amp;TEXT(I$1,"yyyy")),MATCH(TRIM($A35),PnL_Accounts,0))</f>
        <v>1989</v>
      </c>
      <c r="J35" s="115">
        <f t="array" aca="1" ref="J35" ca="1">INDEX(INDIRECT("PnL_"&amp;TEXT(J$1,"mmm")&amp;"_"&amp;TEXT(J$1,"yyyy")),MATCH(TRIM($A35),PnL_Accounts,0))</f>
        <v>2153</v>
      </c>
      <c r="K35" s="115">
        <f t="array" aca="1" ref="K35" ca="1">INDEX(INDIRECT("PnL_"&amp;TEXT(K$1,"mmm")&amp;"_"&amp;TEXT(K$1,"yyyy")),MATCH(TRIM($A35),PnL_Accounts,0))</f>
        <v>1890</v>
      </c>
      <c r="L35" s="115">
        <f t="array" aca="1" ref="L35" ca="1">INDEX(INDIRECT("PnL_"&amp;TEXT(L$1,"mmm")&amp;"_"&amp;TEXT(L$1,"yyyy")),MATCH(TRIM($A35),PnL_Accounts,0))</f>
        <v>2040</v>
      </c>
      <c r="M35" s="115">
        <f t="array" aca="1" ref="M35" ca="1">INDEX(INDIRECT("PnL_"&amp;TEXT(M$1,"mmm")&amp;"_"&amp;TEXT(M$1,"yyyy")),MATCH(TRIM($A35),PnL_Accounts,0))</f>
        <v>2285</v>
      </c>
      <c r="N35" s="115">
        <f t="array" aca="1" ref="N35" ca="1">INDEX(INDIRECT("PnL_"&amp;TEXT(N$1,"mmm")&amp;"_"&amp;TEXT(N$1,"yyyy")),MATCH(TRIM($A35),PnL_Accounts,0))</f>
        <v>2327</v>
      </c>
      <c r="O35" s="115">
        <f t="array" aca="1" ref="O35" ca="1">INDEX(INDIRECT("PnL_"&amp;TEXT(O$1,"mmm")&amp;"_"&amp;TEXT(O$1,"yyyy")),MATCH(TRIM($A35),PnL_Accounts,0))</f>
        <v>2358</v>
      </c>
      <c r="P35" s="115">
        <f t="array" aca="1" ref="P35" ca="1">INDEX(INDIRECT("PnL_"&amp;TEXT(P$1,"mmm")&amp;"_"&amp;TEXT(P$1,"yyyy")),MATCH(TRIM($A35),PnL_Accounts,0))</f>
        <v>2288</v>
      </c>
      <c r="Q35" s="115">
        <f t="array" aca="1" ref="Q35" ca="1">INDEX(INDIRECT("PnL_"&amp;TEXT(Q$1,"mmm")&amp;"_"&amp;TEXT(Q$1,"yyyy")),MATCH(TRIM($A35),PnL_Accounts,0))</f>
        <v>3455</v>
      </c>
      <c r="R35" s="115">
        <f t="array" aca="1" ref="R35" ca="1">INDEX(INDIRECT("PnL_"&amp;TEXT(R$1,"mmm")&amp;"_"&amp;TEXT(R$1,"yyyy")),MATCH(TRIM($A35),PnL_Accounts,0))</f>
        <v>3571</v>
      </c>
      <c r="S35" s="115">
        <f t="array" aca="1" ref="S35" ca="1">INDEX(INDIRECT("PnL_"&amp;TEXT(S$1,"mmm")&amp;"_"&amp;TEXT(S$1,"yyyy")),MATCH(TRIM($A35),PnL_Accounts,0))</f>
        <v>3571</v>
      </c>
      <c r="T35" s="115">
        <f t="array" aca="1" ref="T35" ca="1">INDEX(INDIRECT("PnL_"&amp;TEXT(T$1,"mmm")&amp;"_"&amp;TEXT(T$1,"yyyy")),MATCH(TRIM($A35),PnL_Accounts,0))</f>
        <v>2910</v>
      </c>
      <c r="U35" s="115">
        <f t="array" aca="1" ref="U35" ca="1">INDEX(INDIRECT("PnL_"&amp;TEXT(U$1,"mmm")&amp;"_"&amp;TEXT(U$1,"yyyy")),MATCH(TRIM($A35),PnL_Accounts,0))</f>
        <v>3387</v>
      </c>
      <c r="V35" s="115">
        <f t="array" aca="1" ref="V35" ca="1">INDEX(INDIRECT("PnL_"&amp;TEXT(V$1,"mmm")&amp;"_"&amp;TEXT(V$1,"yyyy")),MATCH(TRIM($A35),PnL_Accounts,0))</f>
        <v>3266</v>
      </c>
      <c r="W35" s="115">
        <f t="array" aca="1" ref="W35" ca="1">INDEX(INDIRECT("PnL_"&amp;TEXT(W$1,"mmm")&amp;"_"&amp;TEXT(W$1,"yyyy")),MATCH(TRIM($A35),PnL_Accounts,0))</f>
        <v>3197</v>
      </c>
      <c r="X35" s="115">
        <f t="array" aca="1" ref="X35" ca="1">INDEX(INDIRECT("PnL_"&amp;TEXT(X$1,"mmm")&amp;"_"&amp;TEXT(X$1,"yyyy")),MATCH(TRIM($A35),PnL_Accounts,0))</f>
        <v>2907</v>
      </c>
      <c r="Y35" s="115">
        <f t="array" aca="1" ref="Y35" ca="1">INDEX(INDIRECT("PnL_"&amp;TEXT(Y$1,"mmm")&amp;"_"&amp;TEXT(Y$1,"yyyy")),MATCH(TRIM($A35),PnL_Accounts,0))</f>
        <v>2467</v>
      </c>
      <c r="Z35" s="115">
        <f t="array" aca="1" ref="Z35" ca="1">INDEX(INDIRECT("PnL_"&amp;TEXT(Z$1,"mmm")&amp;"_"&amp;TEXT(Z$1,"yyyy")),MATCH(TRIM($A35),PnL_Accounts,0))</f>
        <v>2463</v>
      </c>
      <c r="AA35" s="115">
        <f t="array" aca="1" ref="AA35" ca="1">INDEX(INDIRECT("PnL_"&amp;TEXT(AA$1,"mmm")&amp;"_"&amp;TEXT(AA$1,"yyyy")),MATCH(TRIM($A35),PnL_Accounts,0))</f>
        <v>3759</v>
      </c>
      <c r="AB35" s="115">
        <f t="array" aca="1" ref="AB35" ca="1">INDEX(INDIRECT("PnL_"&amp;TEXT(AB$1,"mmm")&amp;"_"&amp;TEXT(AB$1,"yyyy")),MATCH(TRIM($A35),PnL_Accounts,0))</f>
        <v>4212</v>
      </c>
      <c r="AC35" s="115">
        <f t="array" aca="1" ref="AC35" ca="1">INDEX(INDIRECT("PnL_"&amp;TEXT(AC$1,"mmm")&amp;"_"&amp;TEXT(AC$1,"yyyy")),MATCH(TRIM($A35),PnL_Accounts,0))</f>
        <v>3795</v>
      </c>
      <c r="AD35" s="115">
        <f t="array" aca="1" ref="AD35" ca="1">INDEX(INDIRECT("PnL_"&amp;TEXT(AD$1,"mmm")&amp;"_"&amp;TEXT(AD$1,"yyyy")),MATCH(TRIM($A35),PnL_Accounts,0))</f>
        <v>3674</v>
      </c>
      <c r="AE35" s="115">
        <f t="array" aca="1" ref="AE35" ca="1">INDEX(INDIRECT("PnL_"&amp;TEXT(AE$1,"mmm")&amp;"_"&amp;TEXT(AE$1,"yyyy")),MATCH(TRIM($A35),PnL_Accounts,0))</f>
        <v>3210</v>
      </c>
      <c r="AF35" s="165">
        <f t="shared" ref="AF35:BW35" ca="1" si="13">$B35</f>
        <v>3559.6666666666665</v>
      </c>
      <c r="AG35" s="165">
        <f t="shared" ca="1" si="13"/>
        <v>3559.6666666666665</v>
      </c>
      <c r="AH35" s="165">
        <f t="shared" ca="1" si="13"/>
        <v>3559.6666666666665</v>
      </c>
      <c r="AI35" s="165">
        <f t="shared" ca="1" si="13"/>
        <v>3559.6666666666665</v>
      </c>
      <c r="AJ35" s="165">
        <f t="shared" ca="1" si="13"/>
        <v>3559.6666666666665</v>
      </c>
      <c r="AK35" s="165">
        <f t="shared" ca="1" si="13"/>
        <v>3559.6666666666665</v>
      </c>
      <c r="AL35" s="165">
        <f t="shared" ca="1" si="13"/>
        <v>3559.6666666666665</v>
      </c>
      <c r="AM35" s="165">
        <f t="shared" ca="1" si="13"/>
        <v>3559.6666666666665</v>
      </c>
      <c r="AN35" s="165">
        <f t="shared" ca="1" si="13"/>
        <v>3559.6666666666665</v>
      </c>
      <c r="AO35" s="165">
        <f t="shared" ca="1" si="13"/>
        <v>3559.6666666666665</v>
      </c>
      <c r="AP35" s="165">
        <f t="shared" ca="1" si="13"/>
        <v>3559.6666666666665</v>
      </c>
      <c r="AQ35" s="165">
        <f t="shared" ca="1" si="13"/>
        <v>3559.6666666666665</v>
      </c>
      <c r="AR35" s="165">
        <f t="shared" ca="1" si="13"/>
        <v>3559.6666666666665</v>
      </c>
      <c r="AS35" s="165">
        <f t="shared" ca="1" si="13"/>
        <v>3559.6666666666665</v>
      </c>
      <c r="AT35" s="165">
        <f t="shared" ca="1" si="13"/>
        <v>3559.6666666666665</v>
      </c>
      <c r="AU35" s="165">
        <f t="shared" ca="1" si="13"/>
        <v>3559.6666666666665</v>
      </c>
      <c r="AV35" s="165">
        <f t="shared" ca="1" si="13"/>
        <v>3559.6666666666665</v>
      </c>
      <c r="AW35" s="165">
        <f t="shared" ca="1" si="13"/>
        <v>3559.6666666666665</v>
      </c>
      <c r="AX35" s="165">
        <f t="shared" ca="1" si="13"/>
        <v>3559.6666666666665</v>
      </c>
      <c r="AY35" s="165">
        <f t="shared" ca="1" si="13"/>
        <v>3559.6666666666665</v>
      </c>
      <c r="AZ35" s="165">
        <f t="shared" ca="1" si="13"/>
        <v>3559.6666666666665</v>
      </c>
      <c r="BA35" s="165">
        <f t="shared" ca="1" si="13"/>
        <v>3559.6666666666665</v>
      </c>
      <c r="BB35" s="165">
        <f t="shared" ca="1" si="13"/>
        <v>3559.6666666666665</v>
      </c>
      <c r="BC35" s="165">
        <f t="shared" ca="1" si="13"/>
        <v>3559.6666666666665</v>
      </c>
      <c r="BD35" s="165">
        <f t="shared" ca="1" si="13"/>
        <v>3559.6666666666665</v>
      </c>
      <c r="BE35" s="165">
        <f t="shared" ca="1" si="13"/>
        <v>3559.6666666666665</v>
      </c>
      <c r="BF35" s="165">
        <f t="shared" ca="1" si="13"/>
        <v>3559.6666666666665</v>
      </c>
      <c r="BG35" s="165">
        <f t="shared" ca="1" si="13"/>
        <v>3559.6666666666665</v>
      </c>
      <c r="BH35" s="165">
        <f t="shared" ca="1" si="13"/>
        <v>3559.6666666666665</v>
      </c>
      <c r="BI35" s="165">
        <f t="shared" ca="1" si="13"/>
        <v>3559.6666666666665</v>
      </c>
      <c r="BJ35" s="165">
        <f t="shared" ca="1" si="13"/>
        <v>3559.6666666666665</v>
      </c>
      <c r="BK35" s="165">
        <f t="shared" ca="1" si="13"/>
        <v>3559.6666666666665</v>
      </c>
      <c r="BL35" s="165">
        <f t="shared" ca="1" si="13"/>
        <v>3559.6666666666665</v>
      </c>
      <c r="BM35" s="165">
        <f t="shared" ca="1" si="13"/>
        <v>3559.6666666666665</v>
      </c>
      <c r="BN35" s="165">
        <f t="shared" ca="1" si="13"/>
        <v>3559.6666666666665</v>
      </c>
      <c r="BO35" s="165">
        <f t="shared" ca="1" si="13"/>
        <v>3559.6666666666665</v>
      </c>
      <c r="BP35" s="165">
        <f t="shared" ca="1" si="13"/>
        <v>3559.6666666666665</v>
      </c>
      <c r="BQ35" s="165">
        <f t="shared" ca="1" si="13"/>
        <v>3559.6666666666665</v>
      </c>
      <c r="BR35" s="165">
        <f t="shared" ca="1" si="13"/>
        <v>3559.6666666666665</v>
      </c>
      <c r="BS35" s="165">
        <f t="shared" ca="1" si="13"/>
        <v>3559.6666666666665</v>
      </c>
      <c r="BT35" s="165">
        <f t="shared" ca="1" si="13"/>
        <v>3559.6666666666665</v>
      </c>
      <c r="BU35" s="165">
        <f t="shared" ca="1" si="13"/>
        <v>3559.6666666666665</v>
      </c>
      <c r="BV35" s="165">
        <f t="shared" ca="1" si="13"/>
        <v>3559.6666666666665</v>
      </c>
      <c r="BW35" s="165">
        <f t="shared" ca="1" si="13"/>
        <v>3559.6666666666665</v>
      </c>
    </row>
    <row r="36" spans="1:75" ht="12.75" x14ac:dyDescent="0.2">
      <c r="A36" s="23" t="s">
        <v>290</v>
      </c>
      <c r="B36" s="224">
        <f ca="1">AVERAGEIFS(36:36,$1:$1,"&gt;="&amp;DATE(YEAR(Current_Month),MONTH(Current_Month)-2,DAY(Current_Month)),$1:$1,"&lt;="&amp;EOMONTH(Current_Month,0))</f>
        <v>800</v>
      </c>
      <c r="D36" s="115">
        <f t="array" aca="1" ref="D36" ca="1">INDEX(INDIRECT("PnL_"&amp;TEXT(D$1,"mmm")&amp;"_"&amp;TEXT(D$1,"yyyy")),MATCH(TRIM($A36),PnL_Accounts,0))</f>
        <v>663</v>
      </c>
      <c r="E36" s="115">
        <f t="array" aca="1" ref="E36" ca="1">INDEX(INDIRECT("PnL_"&amp;TEXT(E$1,"mmm")&amp;"_"&amp;TEXT(E$1,"yyyy")),MATCH(TRIM($A36),PnL_Accounts,0))</f>
        <v>663</v>
      </c>
      <c r="F36" s="115">
        <f t="array" aca="1" ref="F36" ca="1">INDEX(INDIRECT("PnL_"&amp;TEXT(F$1,"mmm")&amp;"_"&amp;TEXT(F$1,"yyyy")),MATCH(TRIM($A36),PnL_Accounts,0))</f>
        <v>663</v>
      </c>
      <c r="G36" s="115">
        <f t="array" aca="1" ref="G36" ca="1">INDEX(INDIRECT("PnL_"&amp;TEXT(G$1,"mmm")&amp;"_"&amp;TEXT(G$1,"yyyy")),MATCH(TRIM($A36),PnL_Accounts,0))</f>
        <v>663</v>
      </c>
      <c r="H36" s="115">
        <f t="array" aca="1" ref="H36" ca="1">INDEX(INDIRECT("PnL_"&amp;TEXT(H$1,"mmm")&amp;"_"&amp;TEXT(H$1,"yyyy")),MATCH(TRIM($A36),PnL_Accounts,0))</f>
        <v>663</v>
      </c>
      <c r="I36" s="115">
        <f t="array" aca="1" ref="I36" ca="1">INDEX(INDIRECT("PnL_"&amp;TEXT(I$1,"mmm")&amp;"_"&amp;TEXT(I$1,"yyyy")),MATCH(TRIM($A36),PnL_Accounts,0))</f>
        <v>663</v>
      </c>
      <c r="J36" s="115">
        <f t="array" aca="1" ref="J36" ca="1">INDEX(INDIRECT("PnL_"&amp;TEXT(J$1,"mmm")&amp;"_"&amp;TEXT(J$1,"yyyy")),MATCH(TRIM($A36),PnL_Accounts,0))</f>
        <v>663</v>
      </c>
      <c r="K36" s="115">
        <f t="array" aca="1" ref="K36" ca="1">INDEX(INDIRECT("PnL_"&amp;TEXT(K$1,"mmm")&amp;"_"&amp;TEXT(K$1,"yyyy")),MATCH(TRIM($A36),PnL_Accounts,0))</f>
        <v>700</v>
      </c>
      <c r="L36" s="115">
        <f t="array" aca="1" ref="L36" ca="1">INDEX(INDIRECT("PnL_"&amp;TEXT(L$1,"mmm")&amp;"_"&amp;TEXT(L$1,"yyyy")),MATCH(TRIM($A36),PnL_Accounts,0))</f>
        <v>700</v>
      </c>
      <c r="M36" s="115">
        <f t="array" aca="1" ref="M36" ca="1">INDEX(INDIRECT("PnL_"&amp;TEXT(M$1,"mmm")&amp;"_"&amp;TEXT(M$1,"yyyy")),MATCH(TRIM($A36),PnL_Accounts,0))</f>
        <v>700</v>
      </c>
      <c r="N36" s="115">
        <f t="array" aca="1" ref="N36" ca="1">INDEX(INDIRECT("PnL_"&amp;TEXT(N$1,"mmm")&amp;"_"&amp;TEXT(N$1,"yyyy")),MATCH(TRIM($A36),PnL_Accounts,0))</f>
        <v>700</v>
      </c>
      <c r="O36" s="115">
        <f t="array" aca="1" ref="O36" ca="1">INDEX(INDIRECT("PnL_"&amp;TEXT(O$1,"mmm")&amp;"_"&amp;TEXT(O$1,"yyyy")),MATCH(TRIM($A36),PnL_Accounts,0))</f>
        <v>700</v>
      </c>
      <c r="P36" s="115">
        <f t="array" aca="1" ref="P36" ca="1">INDEX(INDIRECT("PnL_"&amp;TEXT(P$1,"mmm")&amp;"_"&amp;TEXT(P$1,"yyyy")),MATCH(TRIM($A36),PnL_Accounts,0))</f>
        <v>750</v>
      </c>
      <c r="Q36" s="115">
        <f t="array" aca="1" ref="Q36" ca="1">INDEX(INDIRECT("PnL_"&amp;TEXT(Q$1,"mmm")&amp;"_"&amp;TEXT(Q$1,"yyyy")),MATCH(TRIM($A36),PnL_Accounts,0))</f>
        <v>750</v>
      </c>
      <c r="R36" s="115">
        <f t="array" aca="1" ref="R36" ca="1">INDEX(INDIRECT("PnL_"&amp;TEXT(R$1,"mmm")&amp;"_"&amp;TEXT(R$1,"yyyy")),MATCH(TRIM($A36),PnL_Accounts,0))</f>
        <v>750</v>
      </c>
      <c r="S36" s="115">
        <f t="array" aca="1" ref="S36" ca="1">INDEX(INDIRECT("PnL_"&amp;TEXT(S$1,"mmm")&amp;"_"&amp;TEXT(S$1,"yyyy")),MATCH(TRIM($A36),PnL_Accounts,0))</f>
        <v>750</v>
      </c>
      <c r="T36" s="115">
        <f t="array" aca="1" ref="T36" ca="1">INDEX(INDIRECT("PnL_"&amp;TEXT(T$1,"mmm")&amp;"_"&amp;TEXT(T$1,"yyyy")),MATCH(TRIM($A36),PnL_Accounts,0))</f>
        <v>750</v>
      </c>
      <c r="U36" s="115">
        <f t="array" aca="1" ref="U36" ca="1">INDEX(INDIRECT("PnL_"&amp;TEXT(U$1,"mmm")&amp;"_"&amp;TEXT(U$1,"yyyy")),MATCH(TRIM($A36),PnL_Accounts,0))</f>
        <v>750</v>
      </c>
      <c r="V36" s="115">
        <f t="array" aca="1" ref="V36" ca="1">INDEX(INDIRECT("PnL_"&amp;TEXT(V$1,"mmm")&amp;"_"&amp;TEXT(V$1,"yyyy")),MATCH(TRIM($A36),PnL_Accounts,0))</f>
        <v>750</v>
      </c>
      <c r="W36" s="115">
        <f t="array" aca="1" ref="W36" ca="1">INDEX(INDIRECT("PnL_"&amp;TEXT(W$1,"mmm")&amp;"_"&amp;TEXT(W$1,"yyyy")),MATCH(TRIM($A36),PnL_Accounts,0))</f>
        <v>800</v>
      </c>
      <c r="X36" s="115">
        <f t="array" aca="1" ref="X36" ca="1">INDEX(INDIRECT("PnL_"&amp;TEXT(X$1,"mmm")&amp;"_"&amp;TEXT(X$1,"yyyy")),MATCH(TRIM($A36),PnL_Accounts,0))</f>
        <v>800</v>
      </c>
      <c r="Y36" s="115">
        <f t="array" aca="1" ref="Y36" ca="1">INDEX(INDIRECT("PnL_"&amp;TEXT(Y$1,"mmm")&amp;"_"&amp;TEXT(Y$1,"yyyy")),MATCH(TRIM($A36),PnL_Accounts,0))</f>
        <v>800</v>
      </c>
      <c r="Z36" s="115">
        <f t="array" aca="1" ref="Z36" ca="1">INDEX(INDIRECT("PnL_"&amp;TEXT(Z$1,"mmm")&amp;"_"&amp;TEXT(Z$1,"yyyy")),MATCH(TRIM($A36),PnL_Accounts,0))</f>
        <v>800</v>
      </c>
      <c r="AA36" s="115">
        <f t="array" aca="1" ref="AA36" ca="1">INDEX(INDIRECT("PnL_"&amp;TEXT(AA$1,"mmm")&amp;"_"&amp;TEXT(AA$1,"yyyy")),MATCH(TRIM($A36),PnL_Accounts,0))</f>
        <v>800</v>
      </c>
      <c r="AB36" s="115">
        <f t="array" aca="1" ref="AB36" ca="1">INDEX(INDIRECT("PnL_"&amp;TEXT(AB$1,"mmm")&amp;"_"&amp;TEXT(AB$1,"yyyy")),MATCH(TRIM($A36),PnL_Accounts,0))</f>
        <v>800</v>
      </c>
      <c r="AC36" s="115">
        <f t="array" aca="1" ref="AC36" ca="1">INDEX(INDIRECT("PnL_"&amp;TEXT(AC$1,"mmm")&amp;"_"&amp;TEXT(AC$1,"yyyy")),MATCH(TRIM($A36),PnL_Accounts,0))</f>
        <v>800</v>
      </c>
      <c r="AD36" s="115">
        <f t="array" aca="1" ref="AD36" ca="1">INDEX(INDIRECT("PnL_"&amp;TEXT(AD$1,"mmm")&amp;"_"&amp;TEXT(AD$1,"yyyy")),MATCH(TRIM($A36),PnL_Accounts,0))</f>
        <v>800</v>
      </c>
      <c r="AE36" s="115">
        <f t="array" aca="1" ref="AE36" ca="1">INDEX(INDIRECT("PnL_"&amp;TEXT(AE$1,"mmm")&amp;"_"&amp;TEXT(AE$1,"yyyy")),MATCH(TRIM($A36),PnL_Accounts,0))</f>
        <v>800</v>
      </c>
      <c r="AF36" s="165">
        <f t="shared" ref="AF36:BW36" ca="1" si="14">$B36</f>
        <v>800</v>
      </c>
      <c r="AG36" s="165">
        <f t="shared" ca="1" si="14"/>
        <v>800</v>
      </c>
      <c r="AH36" s="165">
        <f t="shared" ca="1" si="14"/>
        <v>800</v>
      </c>
      <c r="AI36" s="165">
        <f t="shared" ca="1" si="14"/>
        <v>800</v>
      </c>
      <c r="AJ36" s="165">
        <f t="shared" ca="1" si="14"/>
        <v>800</v>
      </c>
      <c r="AK36" s="165">
        <f t="shared" ca="1" si="14"/>
        <v>800</v>
      </c>
      <c r="AL36" s="165">
        <f t="shared" ca="1" si="14"/>
        <v>800</v>
      </c>
      <c r="AM36" s="165">
        <f t="shared" ca="1" si="14"/>
        <v>800</v>
      </c>
      <c r="AN36" s="165">
        <f t="shared" ca="1" si="14"/>
        <v>800</v>
      </c>
      <c r="AO36" s="165">
        <f t="shared" ca="1" si="14"/>
        <v>800</v>
      </c>
      <c r="AP36" s="165">
        <f t="shared" ca="1" si="14"/>
        <v>800</v>
      </c>
      <c r="AQ36" s="165">
        <f t="shared" ca="1" si="14"/>
        <v>800</v>
      </c>
      <c r="AR36" s="165">
        <f t="shared" ca="1" si="14"/>
        <v>800</v>
      </c>
      <c r="AS36" s="165">
        <f t="shared" ca="1" si="14"/>
        <v>800</v>
      </c>
      <c r="AT36" s="165">
        <f t="shared" ca="1" si="14"/>
        <v>800</v>
      </c>
      <c r="AU36" s="165">
        <f t="shared" ca="1" si="14"/>
        <v>800</v>
      </c>
      <c r="AV36" s="165">
        <f t="shared" ca="1" si="14"/>
        <v>800</v>
      </c>
      <c r="AW36" s="165">
        <f t="shared" ca="1" si="14"/>
        <v>800</v>
      </c>
      <c r="AX36" s="165">
        <f t="shared" ca="1" si="14"/>
        <v>800</v>
      </c>
      <c r="AY36" s="165">
        <f t="shared" ca="1" si="14"/>
        <v>800</v>
      </c>
      <c r="AZ36" s="165">
        <f t="shared" ca="1" si="14"/>
        <v>800</v>
      </c>
      <c r="BA36" s="165">
        <f t="shared" ca="1" si="14"/>
        <v>800</v>
      </c>
      <c r="BB36" s="165">
        <f t="shared" ca="1" si="14"/>
        <v>800</v>
      </c>
      <c r="BC36" s="165">
        <f t="shared" ca="1" si="14"/>
        <v>800</v>
      </c>
      <c r="BD36" s="165">
        <f t="shared" ca="1" si="14"/>
        <v>800</v>
      </c>
      <c r="BE36" s="165">
        <f t="shared" ca="1" si="14"/>
        <v>800</v>
      </c>
      <c r="BF36" s="165">
        <f t="shared" ca="1" si="14"/>
        <v>800</v>
      </c>
      <c r="BG36" s="165">
        <f t="shared" ca="1" si="14"/>
        <v>800</v>
      </c>
      <c r="BH36" s="165">
        <f t="shared" ca="1" si="14"/>
        <v>800</v>
      </c>
      <c r="BI36" s="165">
        <f t="shared" ca="1" si="14"/>
        <v>800</v>
      </c>
      <c r="BJ36" s="165">
        <f t="shared" ca="1" si="14"/>
        <v>800</v>
      </c>
      <c r="BK36" s="165">
        <f t="shared" ca="1" si="14"/>
        <v>800</v>
      </c>
      <c r="BL36" s="165">
        <f t="shared" ca="1" si="14"/>
        <v>800</v>
      </c>
      <c r="BM36" s="165">
        <f t="shared" ca="1" si="14"/>
        <v>800</v>
      </c>
      <c r="BN36" s="165">
        <f t="shared" ca="1" si="14"/>
        <v>800</v>
      </c>
      <c r="BO36" s="165">
        <f t="shared" ca="1" si="14"/>
        <v>800</v>
      </c>
      <c r="BP36" s="165">
        <f t="shared" ca="1" si="14"/>
        <v>800</v>
      </c>
      <c r="BQ36" s="165">
        <f t="shared" ca="1" si="14"/>
        <v>800</v>
      </c>
      <c r="BR36" s="165">
        <f t="shared" ca="1" si="14"/>
        <v>800</v>
      </c>
      <c r="BS36" s="165">
        <f t="shared" ca="1" si="14"/>
        <v>800</v>
      </c>
      <c r="BT36" s="165">
        <f t="shared" ca="1" si="14"/>
        <v>800</v>
      </c>
      <c r="BU36" s="165">
        <f t="shared" ca="1" si="14"/>
        <v>800</v>
      </c>
      <c r="BV36" s="165">
        <f t="shared" ca="1" si="14"/>
        <v>800</v>
      </c>
      <c r="BW36" s="165">
        <f t="shared" ca="1" si="14"/>
        <v>800</v>
      </c>
    </row>
    <row r="37" spans="1:75" ht="12.75" x14ac:dyDescent="0.2">
      <c r="A37" s="23" t="s">
        <v>291</v>
      </c>
      <c r="B37" s="221"/>
      <c r="D37" s="115">
        <f t="array" aca="1" ref="D37" ca="1">INDEX(INDIRECT("PnL_"&amp;TEXT(D$1,"mmm")&amp;"_"&amp;TEXT(D$1,"yyyy")),MATCH(TRIM($A37),PnL_Accounts,0))</f>
        <v>0</v>
      </c>
      <c r="E37" s="115">
        <f t="array" aca="1" ref="E37" ca="1">INDEX(INDIRECT("PnL_"&amp;TEXT(E$1,"mmm")&amp;"_"&amp;TEXT(E$1,"yyyy")),MATCH(TRIM($A37),PnL_Accounts,0))</f>
        <v>0</v>
      </c>
      <c r="F37" s="115">
        <f t="array" aca="1" ref="F37" ca="1">INDEX(INDIRECT("PnL_"&amp;TEXT(F$1,"mmm")&amp;"_"&amp;TEXT(F$1,"yyyy")),MATCH(TRIM($A37),PnL_Accounts,0))</f>
        <v>0</v>
      </c>
      <c r="G37" s="115">
        <f t="array" aca="1" ref="G37" ca="1">INDEX(INDIRECT("PnL_"&amp;TEXT(G$1,"mmm")&amp;"_"&amp;TEXT(G$1,"yyyy")),MATCH(TRIM($A37),PnL_Accounts,0))</f>
        <v>0</v>
      </c>
      <c r="H37" s="115">
        <f t="array" aca="1" ref="H37" ca="1">INDEX(INDIRECT("PnL_"&amp;TEXT(H$1,"mmm")&amp;"_"&amp;TEXT(H$1,"yyyy")),MATCH(TRIM($A37),PnL_Accounts,0))</f>
        <v>0</v>
      </c>
      <c r="I37" s="115">
        <f t="array" aca="1" ref="I37" ca="1">INDEX(INDIRECT("PnL_"&amp;TEXT(I$1,"mmm")&amp;"_"&amp;TEXT(I$1,"yyyy")),MATCH(TRIM($A37),PnL_Accounts,0))</f>
        <v>0</v>
      </c>
      <c r="J37" s="115">
        <f t="array" aca="1" ref="J37" ca="1">INDEX(INDIRECT("PnL_"&amp;TEXT(J$1,"mmm")&amp;"_"&amp;TEXT(J$1,"yyyy")),MATCH(TRIM($A37),PnL_Accounts,0))</f>
        <v>0</v>
      </c>
      <c r="K37" s="115">
        <f t="array" aca="1" ref="K37" ca="1">INDEX(INDIRECT("PnL_"&amp;TEXT(K$1,"mmm")&amp;"_"&amp;TEXT(K$1,"yyyy")),MATCH(TRIM($A37),PnL_Accounts,0))</f>
        <v>0</v>
      </c>
      <c r="L37" s="115">
        <f t="array" aca="1" ref="L37" ca="1">INDEX(INDIRECT("PnL_"&amp;TEXT(L$1,"mmm")&amp;"_"&amp;TEXT(L$1,"yyyy")),MATCH(TRIM($A37),PnL_Accounts,0))</f>
        <v>0</v>
      </c>
      <c r="M37" s="115">
        <f t="array" aca="1" ref="M37" ca="1">INDEX(INDIRECT("PnL_"&amp;TEXT(M$1,"mmm")&amp;"_"&amp;TEXT(M$1,"yyyy")),MATCH(TRIM($A37),PnL_Accounts,0))</f>
        <v>0</v>
      </c>
      <c r="N37" s="115">
        <f t="array" aca="1" ref="N37" ca="1">INDEX(INDIRECT("PnL_"&amp;TEXT(N$1,"mmm")&amp;"_"&amp;TEXT(N$1,"yyyy")),MATCH(TRIM($A37),PnL_Accounts,0))</f>
        <v>0</v>
      </c>
      <c r="O37" s="115">
        <f t="array" aca="1" ref="O37" ca="1">INDEX(INDIRECT("PnL_"&amp;TEXT(O$1,"mmm")&amp;"_"&amp;TEXT(O$1,"yyyy")),MATCH(TRIM($A37),PnL_Accounts,0))</f>
        <v>0</v>
      </c>
      <c r="P37" s="115">
        <f t="array" aca="1" ref="P37" ca="1">INDEX(INDIRECT("PnL_"&amp;TEXT(P$1,"mmm")&amp;"_"&amp;TEXT(P$1,"yyyy")),MATCH(TRIM($A37),PnL_Accounts,0))</f>
        <v>0</v>
      </c>
      <c r="Q37" s="115">
        <f t="array" aca="1" ref="Q37" ca="1">INDEX(INDIRECT("PnL_"&amp;TEXT(Q$1,"mmm")&amp;"_"&amp;TEXT(Q$1,"yyyy")),MATCH(TRIM($A37),PnL_Accounts,0))</f>
        <v>0</v>
      </c>
      <c r="R37" s="115">
        <f t="array" aca="1" ref="R37" ca="1">INDEX(INDIRECT("PnL_"&amp;TEXT(R$1,"mmm")&amp;"_"&amp;TEXT(R$1,"yyyy")),MATCH(TRIM($A37),PnL_Accounts,0))</f>
        <v>0</v>
      </c>
      <c r="S37" s="115">
        <f t="array" aca="1" ref="S37" ca="1">INDEX(INDIRECT("PnL_"&amp;TEXT(S$1,"mmm")&amp;"_"&amp;TEXT(S$1,"yyyy")),MATCH(TRIM($A37),PnL_Accounts,0))</f>
        <v>0</v>
      </c>
      <c r="T37" s="115">
        <f t="array" aca="1" ref="T37" ca="1">INDEX(INDIRECT("PnL_"&amp;TEXT(T$1,"mmm")&amp;"_"&amp;TEXT(T$1,"yyyy")),MATCH(TRIM($A37),PnL_Accounts,0))</f>
        <v>0</v>
      </c>
      <c r="U37" s="115">
        <f t="array" aca="1" ref="U37" ca="1">INDEX(INDIRECT("PnL_"&amp;TEXT(U$1,"mmm")&amp;"_"&amp;TEXT(U$1,"yyyy")),MATCH(TRIM($A37),PnL_Accounts,0))</f>
        <v>0</v>
      </c>
      <c r="V37" s="115">
        <f t="array" aca="1" ref="V37" ca="1">INDEX(INDIRECT("PnL_"&amp;TEXT(V$1,"mmm")&amp;"_"&amp;TEXT(V$1,"yyyy")),MATCH(TRIM($A37),PnL_Accounts,0))</f>
        <v>0</v>
      </c>
      <c r="W37" s="115">
        <f t="array" aca="1" ref="W37" ca="1">INDEX(INDIRECT("PnL_"&amp;TEXT(W$1,"mmm")&amp;"_"&amp;TEXT(W$1,"yyyy")),MATCH(TRIM($A37),PnL_Accounts,0))</f>
        <v>0</v>
      </c>
      <c r="X37" s="115">
        <f t="array" aca="1" ref="X37" ca="1">INDEX(INDIRECT("PnL_"&amp;TEXT(X$1,"mmm")&amp;"_"&amp;TEXT(X$1,"yyyy")),MATCH(TRIM($A37),PnL_Accounts,0))</f>
        <v>0</v>
      </c>
      <c r="Y37" s="115">
        <f t="array" aca="1" ref="Y37" ca="1">INDEX(INDIRECT("PnL_"&amp;TEXT(Y$1,"mmm")&amp;"_"&amp;TEXT(Y$1,"yyyy")),MATCH(TRIM($A37),PnL_Accounts,0))</f>
        <v>0</v>
      </c>
      <c r="Z37" s="115">
        <f t="array" aca="1" ref="Z37" ca="1">INDEX(INDIRECT("PnL_"&amp;TEXT(Z$1,"mmm")&amp;"_"&amp;TEXT(Z$1,"yyyy")),MATCH(TRIM($A37),PnL_Accounts,0))</f>
        <v>0</v>
      </c>
      <c r="AA37" s="115">
        <f t="array" aca="1" ref="AA37" ca="1">INDEX(INDIRECT("PnL_"&amp;TEXT(AA$1,"mmm")&amp;"_"&amp;TEXT(AA$1,"yyyy")),MATCH(TRIM($A37),PnL_Accounts,0))</f>
        <v>0</v>
      </c>
      <c r="AB37" s="115">
        <f t="array" aca="1" ref="AB37" ca="1">INDEX(INDIRECT("PnL_"&amp;TEXT(AB$1,"mmm")&amp;"_"&amp;TEXT(AB$1,"yyyy")),MATCH(TRIM($A37),PnL_Accounts,0))</f>
        <v>0</v>
      </c>
      <c r="AC37" s="115">
        <f t="array" aca="1" ref="AC37" ca="1">INDEX(INDIRECT("PnL_"&amp;TEXT(AC$1,"mmm")&amp;"_"&amp;TEXT(AC$1,"yyyy")),MATCH(TRIM($A37),PnL_Accounts,0))</f>
        <v>0</v>
      </c>
      <c r="AD37" s="115">
        <f t="array" aca="1" ref="AD37" ca="1">INDEX(INDIRECT("PnL_"&amp;TEXT(AD$1,"mmm")&amp;"_"&amp;TEXT(AD$1,"yyyy")),MATCH(TRIM($A37),PnL_Accounts,0))</f>
        <v>0</v>
      </c>
      <c r="AE37" s="115">
        <f t="array" aca="1" ref="AE37" ca="1">INDEX(INDIRECT("PnL_"&amp;TEXT(AE$1,"mmm")&amp;"_"&amp;TEXT(AE$1,"yyyy")),MATCH(TRIM($A37),PnL_Accounts,0))</f>
        <v>0</v>
      </c>
    </row>
    <row r="38" spans="1:75" ht="12.75" x14ac:dyDescent="0.2">
      <c r="A38" s="23" t="s">
        <v>292</v>
      </c>
      <c r="B38" s="224">
        <f ca="1">AVERAGEIFS(38:38,$1:$1,"&gt;="&amp;DATE(YEAR(Current_Month),MONTH(Current_Month)-2,DAY(Current_Month)),$1:$1,"&lt;="&amp;EOMONTH(Current_Month,0))</f>
        <v>8133.333333333333</v>
      </c>
      <c r="D38" s="115">
        <f t="array" aca="1" ref="D38" ca="1">INDEX(INDIRECT("PnL_"&amp;TEXT(D$1,"mmm")&amp;"_"&amp;TEXT(D$1,"yyyy")),MATCH(TRIM($A38),PnL_Accounts,0))</f>
        <v>2250</v>
      </c>
      <c r="E38" s="115">
        <f t="array" aca="1" ref="E38" ca="1">INDEX(INDIRECT("PnL_"&amp;TEXT(E$1,"mmm")&amp;"_"&amp;TEXT(E$1,"yyyy")),MATCH(TRIM($A38),PnL_Accounts,0))</f>
        <v>2346</v>
      </c>
      <c r="F38" s="115">
        <f t="array" aca="1" ref="F38" ca="1">INDEX(INDIRECT("PnL_"&amp;TEXT(F$1,"mmm")&amp;"_"&amp;TEXT(F$1,"yyyy")),MATCH(TRIM($A38),PnL_Accounts,0))</f>
        <v>2806</v>
      </c>
      <c r="G38" s="115">
        <f t="array" aca="1" ref="G38" ca="1">INDEX(INDIRECT("PnL_"&amp;TEXT(G$1,"mmm")&amp;"_"&amp;TEXT(G$1,"yyyy")),MATCH(TRIM($A38),PnL_Accounts,0))</f>
        <v>3195</v>
      </c>
      <c r="H38" s="115">
        <f t="array" aca="1" ref="H38" ca="1">INDEX(INDIRECT("PnL_"&amp;TEXT(H$1,"mmm")&amp;"_"&amp;TEXT(H$1,"yyyy")),MATCH(TRIM($A38),PnL_Accounts,0))</f>
        <v>3233</v>
      </c>
      <c r="I38" s="115">
        <f t="array" aca="1" ref="I38" ca="1">INDEX(INDIRECT("PnL_"&amp;TEXT(I$1,"mmm")&amp;"_"&amp;TEXT(I$1,"yyyy")),MATCH(TRIM($A38),PnL_Accounts,0))</f>
        <v>3592</v>
      </c>
      <c r="J38" s="115">
        <f t="array" aca="1" ref="J38" ca="1">INDEX(INDIRECT("PnL_"&amp;TEXT(J$1,"mmm")&amp;"_"&amp;TEXT(J$1,"yyyy")),MATCH(TRIM($A38),PnL_Accounts,0))</f>
        <v>3621</v>
      </c>
      <c r="K38" s="115">
        <f t="array" aca="1" ref="K38" ca="1">INDEX(INDIRECT("PnL_"&amp;TEXT(K$1,"mmm")&amp;"_"&amp;TEXT(K$1,"yyyy")),MATCH(TRIM($A38),PnL_Accounts,0))</f>
        <v>3689</v>
      </c>
      <c r="L38" s="115">
        <f t="array" aca="1" ref="L38" ca="1">INDEX(INDIRECT("PnL_"&amp;TEXT(L$1,"mmm")&amp;"_"&amp;TEXT(L$1,"yyyy")),MATCH(TRIM($A38),PnL_Accounts,0))</f>
        <v>3772</v>
      </c>
      <c r="M38" s="115">
        <f t="array" aca="1" ref="M38" ca="1">INDEX(INDIRECT("PnL_"&amp;TEXT(M$1,"mmm")&amp;"_"&amp;TEXT(M$1,"yyyy")),MATCH(TRIM($A38),PnL_Accounts,0))</f>
        <v>4011</v>
      </c>
      <c r="N38" s="115">
        <f t="array" aca="1" ref="N38" ca="1">INDEX(INDIRECT("PnL_"&amp;TEXT(N$1,"mmm")&amp;"_"&amp;TEXT(N$1,"yyyy")),MATCH(TRIM($A38),PnL_Accounts,0))</f>
        <v>3922</v>
      </c>
      <c r="O38" s="115">
        <f t="array" aca="1" ref="O38" ca="1">INDEX(INDIRECT("PnL_"&amp;TEXT(O$1,"mmm")&amp;"_"&amp;TEXT(O$1,"yyyy")),MATCH(TRIM($A38),PnL_Accounts,0))</f>
        <v>4271</v>
      </c>
      <c r="P38" s="115">
        <f t="array" aca="1" ref="P38" ca="1">INDEX(INDIRECT("PnL_"&amp;TEXT(P$1,"mmm")&amp;"_"&amp;TEXT(P$1,"yyyy")),MATCH(TRIM($A38),PnL_Accounts,0))</f>
        <v>4129</v>
      </c>
      <c r="Q38" s="115">
        <f t="array" aca="1" ref="Q38" ca="1">INDEX(INDIRECT("PnL_"&amp;TEXT(Q$1,"mmm")&amp;"_"&amp;TEXT(Q$1,"yyyy")),MATCH(TRIM($A38),PnL_Accounts,0))</f>
        <v>4500</v>
      </c>
      <c r="R38" s="115">
        <f t="array" aca="1" ref="R38" ca="1">INDEX(INDIRECT("PnL_"&amp;TEXT(R$1,"mmm")&amp;"_"&amp;TEXT(R$1,"yyyy")),MATCH(TRIM($A38),PnL_Accounts,0))</f>
        <v>5667</v>
      </c>
      <c r="S38" s="115">
        <f t="array" aca="1" ref="S38" ca="1">INDEX(INDIRECT("PnL_"&amp;TEXT(S$1,"mmm")&amp;"_"&amp;TEXT(S$1,"yyyy")),MATCH(TRIM($A38),PnL_Accounts,0))</f>
        <v>5667</v>
      </c>
      <c r="T38" s="115">
        <f t="array" aca="1" ref="T38" ca="1">INDEX(INDIRECT("PnL_"&amp;TEXT(T$1,"mmm")&amp;"_"&amp;TEXT(T$1,"yyyy")),MATCH(TRIM($A38),PnL_Accounts,0))</f>
        <v>6500</v>
      </c>
      <c r="U38" s="115">
        <f t="array" aca="1" ref="U38" ca="1">INDEX(INDIRECT("PnL_"&amp;TEXT(U$1,"mmm")&amp;"_"&amp;TEXT(U$1,"yyyy")),MATCH(TRIM($A38),PnL_Accounts,0))</f>
        <v>6738</v>
      </c>
      <c r="V38" s="115">
        <f t="array" aca="1" ref="V38" ca="1">INDEX(INDIRECT("PnL_"&amp;TEXT(V$1,"mmm")&amp;"_"&amp;TEXT(V$1,"yyyy")),MATCH(TRIM($A38),PnL_Accounts,0))</f>
        <v>6481</v>
      </c>
      <c r="W38" s="115">
        <f t="array" aca="1" ref="W38" ca="1">INDEX(INDIRECT("PnL_"&amp;TEXT(W$1,"mmm")&amp;"_"&amp;TEXT(W$1,"yyyy")),MATCH(TRIM($A38),PnL_Accounts,0))</f>
        <v>6576</v>
      </c>
      <c r="X38" s="115">
        <f t="array" aca="1" ref="X38" ca="1">INDEX(INDIRECT("PnL_"&amp;TEXT(X$1,"mmm")&amp;"_"&amp;TEXT(X$1,"yyyy")),MATCH(TRIM($A38),PnL_Accounts,0))</f>
        <v>7577</v>
      </c>
      <c r="Y38" s="115">
        <f t="array" aca="1" ref="Y38" ca="1">INDEX(INDIRECT("PnL_"&amp;TEXT(Y$1,"mmm")&amp;"_"&amp;TEXT(Y$1,"yyyy")),MATCH(TRIM($A38),PnL_Accounts,0))</f>
        <v>6754</v>
      </c>
      <c r="Z38" s="115">
        <f t="array" aca="1" ref="Z38" ca="1">INDEX(INDIRECT("PnL_"&amp;TEXT(Z$1,"mmm")&amp;"_"&amp;TEXT(Z$1,"yyyy")),MATCH(TRIM($A38),PnL_Accounts,0))</f>
        <v>6978</v>
      </c>
      <c r="AA38" s="115">
        <f t="array" aca="1" ref="AA38" ca="1">INDEX(INDIRECT("PnL_"&amp;TEXT(AA$1,"mmm")&amp;"_"&amp;TEXT(AA$1,"yyyy")),MATCH(TRIM($A38),PnL_Accounts,0))</f>
        <v>7485</v>
      </c>
      <c r="AB38" s="115">
        <f t="array" aca="1" ref="AB38" ca="1">INDEX(INDIRECT("PnL_"&amp;TEXT(AB$1,"mmm")&amp;"_"&amp;TEXT(AB$1,"yyyy")),MATCH(TRIM($A38),PnL_Accounts,0))</f>
        <v>8400</v>
      </c>
      <c r="AC38" s="115">
        <f t="array" aca="1" ref="AC38" ca="1">INDEX(INDIRECT("PnL_"&amp;TEXT(AC$1,"mmm")&amp;"_"&amp;TEXT(AC$1,"yyyy")),MATCH(TRIM($A38),PnL_Accounts,0))</f>
        <v>8400</v>
      </c>
      <c r="AD38" s="115">
        <f t="array" aca="1" ref="AD38" ca="1">INDEX(INDIRECT("PnL_"&amp;TEXT(AD$1,"mmm")&amp;"_"&amp;TEXT(AD$1,"yyyy")),MATCH(TRIM($A38),PnL_Accounts,0))</f>
        <v>8400</v>
      </c>
      <c r="AE38" s="115">
        <f t="array" aca="1" ref="AE38" ca="1">INDEX(INDIRECT("PnL_"&amp;TEXT(AE$1,"mmm")&amp;"_"&amp;TEXT(AE$1,"yyyy")),MATCH(TRIM($A38),PnL_Accounts,0))</f>
        <v>7600</v>
      </c>
      <c r="AF38" s="165">
        <f t="shared" ref="AF38:BW38" ca="1" si="15">$B38</f>
        <v>8133.333333333333</v>
      </c>
      <c r="AG38" s="165">
        <f t="shared" ca="1" si="15"/>
        <v>8133.333333333333</v>
      </c>
      <c r="AH38" s="165">
        <f t="shared" ca="1" si="15"/>
        <v>8133.333333333333</v>
      </c>
      <c r="AI38" s="165">
        <f t="shared" ca="1" si="15"/>
        <v>8133.333333333333</v>
      </c>
      <c r="AJ38" s="165">
        <f t="shared" ca="1" si="15"/>
        <v>8133.333333333333</v>
      </c>
      <c r="AK38" s="165">
        <f t="shared" ca="1" si="15"/>
        <v>8133.333333333333</v>
      </c>
      <c r="AL38" s="165">
        <f t="shared" ca="1" si="15"/>
        <v>8133.333333333333</v>
      </c>
      <c r="AM38" s="165">
        <f t="shared" ca="1" si="15"/>
        <v>8133.333333333333</v>
      </c>
      <c r="AN38" s="165">
        <f t="shared" ca="1" si="15"/>
        <v>8133.333333333333</v>
      </c>
      <c r="AO38" s="165">
        <f t="shared" ca="1" si="15"/>
        <v>8133.333333333333</v>
      </c>
      <c r="AP38" s="165">
        <f t="shared" ca="1" si="15"/>
        <v>8133.333333333333</v>
      </c>
      <c r="AQ38" s="165">
        <f t="shared" ca="1" si="15"/>
        <v>8133.333333333333</v>
      </c>
      <c r="AR38" s="165">
        <f t="shared" ca="1" si="15"/>
        <v>8133.333333333333</v>
      </c>
      <c r="AS38" s="165">
        <f t="shared" ca="1" si="15"/>
        <v>8133.333333333333</v>
      </c>
      <c r="AT38" s="165">
        <f t="shared" ca="1" si="15"/>
        <v>8133.333333333333</v>
      </c>
      <c r="AU38" s="165">
        <f t="shared" ca="1" si="15"/>
        <v>8133.333333333333</v>
      </c>
      <c r="AV38" s="165">
        <f t="shared" ca="1" si="15"/>
        <v>8133.333333333333</v>
      </c>
      <c r="AW38" s="165">
        <f t="shared" ca="1" si="15"/>
        <v>8133.333333333333</v>
      </c>
      <c r="AX38" s="165">
        <f t="shared" ca="1" si="15"/>
        <v>8133.333333333333</v>
      </c>
      <c r="AY38" s="165">
        <f t="shared" ca="1" si="15"/>
        <v>8133.333333333333</v>
      </c>
      <c r="AZ38" s="165">
        <f t="shared" ca="1" si="15"/>
        <v>8133.333333333333</v>
      </c>
      <c r="BA38" s="165">
        <f t="shared" ca="1" si="15"/>
        <v>8133.333333333333</v>
      </c>
      <c r="BB38" s="165">
        <f t="shared" ca="1" si="15"/>
        <v>8133.333333333333</v>
      </c>
      <c r="BC38" s="165">
        <f t="shared" ca="1" si="15"/>
        <v>8133.333333333333</v>
      </c>
      <c r="BD38" s="165">
        <f t="shared" ca="1" si="15"/>
        <v>8133.333333333333</v>
      </c>
      <c r="BE38" s="165">
        <f t="shared" ca="1" si="15"/>
        <v>8133.333333333333</v>
      </c>
      <c r="BF38" s="165">
        <f t="shared" ca="1" si="15"/>
        <v>8133.333333333333</v>
      </c>
      <c r="BG38" s="165">
        <f t="shared" ca="1" si="15"/>
        <v>8133.333333333333</v>
      </c>
      <c r="BH38" s="165">
        <f t="shared" ca="1" si="15"/>
        <v>8133.333333333333</v>
      </c>
      <c r="BI38" s="165">
        <f t="shared" ca="1" si="15"/>
        <v>8133.333333333333</v>
      </c>
      <c r="BJ38" s="165">
        <f t="shared" ca="1" si="15"/>
        <v>8133.333333333333</v>
      </c>
      <c r="BK38" s="165">
        <f t="shared" ca="1" si="15"/>
        <v>8133.333333333333</v>
      </c>
      <c r="BL38" s="165">
        <f t="shared" ca="1" si="15"/>
        <v>8133.333333333333</v>
      </c>
      <c r="BM38" s="165">
        <f t="shared" ca="1" si="15"/>
        <v>8133.333333333333</v>
      </c>
      <c r="BN38" s="165">
        <f t="shared" ca="1" si="15"/>
        <v>8133.333333333333</v>
      </c>
      <c r="BO38" s="165">
        <f t="shared" ca="1" si="15"/>
        <v>8133.333333333333</v>
      </c>
      <c r="BP38" s="165">
        <f t="shared" ca="1" si="15"/>
        <v>8133.333333333333</v>
      </c>
      <c r="BQ38" s="165">
        <f t="shared" ca="1" si="15"/>
        <v>8133.333333333333</v>
      </c>
      <c r="BR38" s="165">
        <f t="shared" ca="1" si="15"/>
        <v>8133.333333333333</v>
      </c>
      <c r="BS38" s="165">
        <f t="shared" ca="1" si="15"/>
        <v>8133.333333333333</v>
      </c>
      <c r="BT38" s="165">
        <f t="shared" ca="1" si="15"/>
        <v>8133.333333333333</v>
      </c>
      <c r="BU38" s="165">
        <f t="shared" ca="1" si="15"/>
        <v>8133.333333333333</v>
      </c>
      <c r="BV38" s="165">
        <f t="shared" ca="1" si="15"/>
        <v>8133.333333333333</v>
      </c>
      <c r="BW38" s="165">
        <f t="shared" ca="1" si="15"/>
        <v>8133.333333333333</v>
      </c>
    </row>
    <row r="39" spans="1:75" ht="12.75" x14ac:dyDescent="0.2">
      <c r="A39" s="60" t="s">
        <v>293</v>
      </c>
      <c r="B39" s="238"/>
      <c r="C39" s="212"/>
      <c r="D39" s="226">
        <f t="shared" ref="D39:BW39" ca="1" si="16">SUM(D37:D38)</f>
        <v>2250</v>
      </c>
      <c r="E39" s="226">
        <f t="shared" ca="1" si="16"/>
        <v>2346</v>
      </c>
      <c r="F39" s="226">
        <f t="shared" ca="1" si="16"/>
        <v>2806</v>
      </c>
      <c r="G39" s="226">
        <f t="shared" ca="1" si="16"/>
        <v>3195</v>
      </c>
      <c r="H39" s="226">
        <f t="shared" ca="1" si="16"/>
        <v>3233</v>
      </c>
      <c r="I39" s="226">
        <f t="shared" ca="1" si="16"/>
        <v>3592</v>
      </c>
      <c r="J39" s="226">
        <f t="shared" ca="1" si="16"/>
        <v>3621</v>
      </c>
      <c r="K39" s="226">
        <f t="shared" ca="1" si="16"/>
        <v>3689</v>
      </c>
      <c r="L39" s="226">
        <f t="shared" ca="1" si="16"/>
        <v>3772</v>
      </c>
      <c r="M39" s="226">
        <f t="shared" ca="1" si="16"/>
        <v>4011</v>
      </c>
      <c r="N39" s="226">
        <f t="shared" ca="1" si="16"/>
        <v>3922</v>
      </c>
      <c r="O39" s="226">
        <f t="shared" ca="1" si="16"/>
        <v>4271</v>
      </c>
      <c r="P39" s="226">
        <f t="shared" ca="1" si="16"/>
        <v>4129</v>
      </c>
      <c r="Q39" s="226">
        <f t="shared" ca="1" si="16"/>
        <v>4500</v>
      </c>
      <c r="R39" s="226">
        <f t="shared" ca="1" si="16"/>
        <v>5667</v>
      </c>
      <c r="S39" s="226">
        <f t="shared" ca="1" si="16"/>
        <v>5667</v>
      </c>
      <c r="T39" s="226">
        <f t="shared" ca="1" si="16"/>
        <v>6500</v>
      </c>
      <c r="U39" s="226">
        <f t="shared" ca="1" si="16"/>
        <v>6738</v>
      </c>
      <c r="V39" s="226">
        <f t="shared" ca="1" si="16"/>
        <v>6481</v>
      </c>
      <c r="W39" s="226">
        <f t="shared" ca="1" si="16"/>
        <v>6576</v>
      </c>
      <c r="X39" s="226">
        <f t="shared" ca="1" si="16"/>
        <v>7577</v>
      </c>
      <c r="Y39" s="226">
        <f t="shared" ca="1" si="16"/>
        <v>6754</v>
      </c>
      <c r="Z39" s="226">
        <f t="shared" ca="1" si="16"/>
        <v>6978</v>
      </c>
      <c r="AA39" s="226">
        <f t="shared" ca="1" si="16"/>
        <v>7485</v>
      </c>
      <c r="AB39" s="226">
        <f t="shared" ca="1" si="16"/>
        <v>8400</v>
      </c>
      <c r="AC39" s="226">
        <f t="shared" ca="1" si="16"/>
        <v>8400</v>
      </c>
      <c r="AD39" s="226">
        <f t="shared" ca="1" si="16"/>
        <v>8400</v>
      </c>
      <c r="AE39" s="226">
        <f t="shared" ca="1" si="16"/>
        <v>7600</v>
      </c>
      <c r="AF39" s="226">
        <f t="shared" ca="1" si="16"/>
        <v>8133.333333333333</v>
      </c>
      <c r="AG39" s="226">
        <f t="shared" ca="1" si="16"/>
        <v>8133.333333333333</v>
      </c>
      <c r="AH39" s="226">
        <f t="shared" ca="1" si="16"/>
        <v>8133.333333333333</v>
      </c>
      <c r="AI39" s="226">
        <f t="shared" ca="1" si="16"/>
        <v>8133.333333333333</v>
      </c>
      <c r="AJ39" s="226">
        <f t="shared" ca="1" si="16"/>
        <v>8133.333333333333</v>
      </c>
      <c r="AK39" s="226">
        <f t="shared" ca="1" si="16"/>
        <v>8133.333333333333</v>
      </c>
      <c r="AL39" s="226">
        <f t="shared" ca="1" si="16"/>
        <v>8133.333333333333</v>
      </c>
      <c r="AM39" s="226">
        <f t="shared" ca="1" si="16"/>
        <v>8133.333333333333</v>
      </c>
      <c r="AN39" s="226">
        <f t="shared" ca="1" si="16"/>
        <v>8133.333333333333</v>
      </c>
      <c r="AO39" s="226">
        <f t="shared" ca="1" si="16"/>
        <v>8133.333333333333</v>
      </c>
      <c r="AP39" s="226">
        <f t="shared" ca="1" si="16"/>
        <v>8133.333333333333</v>
      </c>
      <c r="AQ39" s="226">
        <f t="shared" ca="1" si="16"/>
        <v>8133.333333333333</v>
      </c>
      <c r="AR39" s="226">
        <f t="shared" ca="1" si="16"/>
        <v>8133.333333333333</v>
      </c>
      <c r="AS39" s="226">
        <f t="shared" ca="1" si="16"/>
        <v>8133.333333333333</v>
      </c>
      <c r="AT39" s="226">
        <f t="shared" ca="1" si="16"/>
        <v>8133.333333333333</v>
      </c>
      <c r="AU39" s="226">
        <f t="shared" ca="1" si="16"/>
        <v>8133.333333333333</v>
      </c>
      <c r="AV39" s="226">
        <f t="shared" ca="1" si="16"/>
        <v>8133.333333333333</v>
      </c>
      <c r="AW39" s="226">
        <f t="shared" ca="1" si="16"/>
        <v>8133.333333333333</v>
      </c>
      <c r="AX39" s="226">
        <f t="shared" ca="1" si="16"/>
        <v>8133.333333333333</v>
      </c>
      <c r="AY39" s="226">
        <f t="shared" ca="1" si="16"/>
        <v>8133.333333333333</v>
      </c>
      <c r="AZ39" s="226">
        <f t="shared" ca="1" si="16"/>
        <v>8133.333333333333</v>
      </c>
      <c r="BA39" s="226">
        <f t="shared" ca="1" si="16"/>
        <v>8133.333333333333</v>
      </c>
      <c r="BB39" s="226">
        <f t="shared" ca="1" si="16"/>
        <v>8133.333333333333</v>
      </c>
      <c r="BC39" s="226">
        <f t="shared" ca="1" si="16"/>
        <v>8133.333333333333</v>
      </c>
      <c r="BD39" s="226">
        <f t="shared" ca="1" si="16"/>
        <v>8133.333333333333</v>
      </c>
      <c r="BE39" s="226">
        <f t="shared" ca="1" si="16"/>
        <v>8133.333333333333</v>
      </c>
      <c r="BF39" s="226">
        <f t="shared" ca="1" si="16"/>
        <v>8133.333333333333</v>
      </c>
      <c r="BG39" s="226">
        <f t="shared" ca="1" si="16"/>
        <v>8133.333333333333</v>
      </c>
      <c r="BH39" s="226">
        <f t="shared" ca="1" si="16"/>
        <v>8133.333333333333</v>
      </c>
      <c r="BI39" s="226">
        <f t="shared" ca="1" si="16"/>
        <v>8133.333333333333</v>
      </c>
      <c r="BJ39" s="226">
        <f t="shared" ca="1" si="16"/>
        <v>8133.333333333333</v>
      </c>
      <c r="BK39" s="226">
        <f t="shared" ca="1" si="16"/>
        <v>8133.333333333333</v>
      </c>
      <c r="BL39" s="226">
        <f t="shared" ca="1" si="16"/>
        <v>8133.333333333333</v>
      </c>
      <c r="BM39" s="226">
        <f t="shared" ca="1" si="16"/>
        <v>8133.333333333333</v>
      </c>
      <c r="BN39" s="226">
        <f t="shared" ca="1" si="16"/>
        <v>8133.333333333333</v>
      </c>
      <c r="BO39" s="226">
        <f t="shared" ca="1" si="16"/>
        <v>8133.333333333333</v>
      </c>
      <c r="BP39" s="226">
        <f t="shared" ca="1" si="16"/>
        <v>8133.333333333333</v>
      </c>
      <c r="BQ39" s="226">
        <f t="shared" ca="1" si="16"/>
        <v>8133.333333333333</v>
      </c>
      <c r="BR39" s="226">
        <f t="shared" ca="1" si="16"/>
        <v>8133.333333333333</v>
      </c>
      <c r="BS39" s="226">
        <f t="shared" ca="1" si="16"/>
        <v>8133.333333333333</v>
      </c>
      <c r="BT39" s="226">
        <f t="shared" ca="1" si="16"/>
        <v>8133.333333333333</v>
      </c>
      <c r="BU39" s="226">
        <f t="shared" ca="1" si="16"/>
        <v>8133.333333333333</v>
      </c>
      <c r="BV39" s="226">
        <f t="shared" ca="1" si="16"/>
        <v>8133.333333333333</v>
      </c>
      <c r="BW39" s="226">
        <f t="shared" ca="1" si="16"/>
        <v>8133.333333333333</v>
      </c>
    </row>
    <row r="40" spans="1:75" ht="12.75" x14ac:dyDescent="0.2">
      <c r="A40" s="23" t="s">
        <v>294</v>
      </c>
      <c r="B40" s="221"/>
      <c r="D40" s="115">
        <f t="array" aca="1" ref="D40" ca="1">INDEX(INDIRECT("PnL_"&amp;TEXT(D$1,"mmm")&amp;"_"&amp;TEXT(D$1,"yyyy")),MATCH(TRIM($A40),PnL_Accounts,0))</f>
        <v>0</v>
      </c>
      <c r="E40" s="115">
        <f t="array" aca="1" ref="E40" ca="1">INDEX(INDIRECT("PnL_"&amp;TEXT(E$1,"mmm")&amp;"_"&amp;TEXT(E$1,"yyyy")),MATCH(TRIM($A40),PnL_Accounts,0))</f>
        <v>0</v>
      </c>
      <c r="F40" s="115">
        <f t="array" aca="1" ref="F40" ca="1">INDEX(INDIRECT("PnL_"&amp;TEXT(F$1,"mmm")&amp;"_"&amp;TEXT(F$1,"yyyy")),MATCH(TRIM($A40),PnL_Accounts,0))</f>
        <v>0</v>
      </c>
      <c r="G40" s="115">
        <f t="array" aca="1" ref="G40" ca="1">INDEX(INDIRECT("PnL_"&amp;TEXT(G$1,"mmm")&amp;"_"&amp;TEXT(G$1,"yyyy")),MATCH(TRIM($A40),PnL_Accounts,0))</f>
        <v>0</v>
      </c>
      <c r="H40" s="115">
        <f t="array" aca="1" ref="H40" ca="1">INDEX(INDIRECT("PnL_"&amp;TEXT(H$1,"mmm")&amp;"_"&amp;TEXT(H$1,"yyyy")),MATCH(TRIM($A40),PnL_Accounts,0))</f>
        <v>0</v>
      </c>
      <c r="I40" s="115">
        <f t="array" aca="1" ref="I40" ca="1">INDEX(INDIRECT("PnL_"&amp;TEXT(I$1,"mmm")&amp;"_"&amp;TEXT(I$1,"yyyy")),MATCH(TRIM($A40),PnL_Accounts,0))</f>
        <v>0</v>
      </c>
      <c r="J40" s="115">
        <f t="array" aca="1" ref="J40" ca="1">INDEX(INDIRECT("PnL_"&amp;TEXT(J$1,"mmm")&amp;"_"&amp;TEXT(J$1,"yyyy")),MATCH(TRIM($A40),PnL_Accounts,0))</f>
        <v>0</v>
      </c>
      <c r="K40" s="115">
        <f t="array" aca="1" ref="K40" ca="1">INDEX(INDIRECT("PnL_"&amp;TEXT(K$1,"mmm")&amp;"_"&amp;TEXT(K$1,"yyyy")),MATCH(TRIM($A40),PnL_Accounts,0))</f>
        <v>0</v>
      </c>
      <c r="L40" s="115">
        <f t="array" aca="1" ref="L40" ca="1">INDEX(INDIRECT("PnL_"&amp;TEXT(L$1,"mmm")&amp;"_"&amp;TEXT(L$1,"yyyy")),MATCH(TRIM($A40),PnL_Accounts,0))</f>
        <v>0</v>
      </c>
      <c r="M40" s="115">
        <f t="array" aca="1" ref="M40" ca="1">INDEX(INDIRECT("PnL_"&amp;TEXT(M$1,"mmm")&amp;"_"&amp;TEXT(M$1,"yyyy")),MATCH(TRIM($A40),PnL_Accounts,0))</f>
        <v>0</v>
      </c>
      <c r="N40" s="115">
        <f t="array" aca="1" ref="N40" ca="1">INDEX(INDIRECT("PnL_"&amp;TEXT(N$1,"mmm")&amp;"_"&amp;TEXT(N$1,"yyyy")),MATCH(TRIM($A40),PnL_Accounts,0))</f>
        <v>0</v>
      </c>
      <c r="O40" s="115">
        <f t="array" aca="1" ref="O40" ca="1">INDEX(INDIRECT("PnL_"&amp;TEXT(O$1,"mmm")&amp;"_"&amp;TEXT(O$1,"yyyy")),MATCH(TRIM($A40),PnL_Accounts,0))</f>
        <v>0</v>
      </c>
      <c r="P40" s="115">
        <f t="array" aca="1" ref="P40" ca="1">INDEX(INDIRECT("PnL_"&amp;TEXT(P$1,"mmm")&amp;"_"&amp;TEXT(P$1,"yyyy")),MATCH(TRIM($A40),PnL_Accounts,0))</f>
        <v>0</v>
      </c>
      <c r="Q40" s="115">
        <f t="array" aca="1" ref="Q40" ca="1">INDEX(INDIRECT("PnL_"&amp;TEXT(Q$1,"mmm")&amp;"_"&amp;TEXT(Q$1,"yyyy")),MATCH(TRIM($A40),PnL_Accounts,0))</f>
        <v>0</v>
      </c>
      <c r="R40" s="115">
        <f t="array" aca="1" ref="R40" ca="1">INDEX(INDIRECT("PnL_"&amp;TEXT(R$1,"mmm")&amp;"_"&amp;TEXT(R$1,"yyyy")),MATCH(TRIM($A40),PnL_Accounts,0))</f>
        <v>0</v>
      </c>
      <c r="S40" s="115">
        <f t="array" aca="1" ref="S40" ca="1">INDEX(INDIRECT("PnL_"&amp;TEXT(S$1,"mmm")&amp;"_"&amp;TEXT(S$1,"yyyy")),MATCH(TRIM($A40),PnL_Accounts,0))</f>
        <v>0</v>
      </c>
      <c r="T40" s="115">
        <f t="array" aca="1" ref="T40" ca="1">INDEX(INDIRECT("PnL_"&amp;TEXT(T$1,"mmm")&amp;"_"&amp;TEXT(T$1,"yyyy")),MATCH(TRIM($A40),PnL_Accounts,0))</f>
        <v>0</v>
      </c>
      <c r="U40" s="115">
        <f t="array" aca="1" ref="U40" ca="1">INDEX(INDIRECT("PnL_"&amp;TEXT(U$1,"mmm")&amp;"_"&amp;TEXT(U$1,"yyyy")),MATCH(TRIM($A40),PnL_Accounts,0))</f>
        <v>0</v>
      </c>
      <c r="V40" s="115">
        <f t="array" aca="1" ref="V40" ca="1">INDEX(INDIRECT("PnL_"&amp;TEXT(V$1,"mmm")&amp;"_"&amp;TEXT(V$1,"yyyy")),MATCH(TRIM($A40),PnL_Accounts,0))</f>
        <v>0</v>
      </c>
      <c r="W40" s="115">
        <f t="array" aca="1" ref="W40" ca="1">INDEX(INDIRECT("PnL_"&amp;TEXT(W$1,"mmm")&amp;"_"&amp;TEXT(W$1,"yyyy")),MATCH(TRIM($A40),PnL_Accounts,0))</f>
        <v>0</v>
      </c>
      <c r="X40" s="115">
        <f t="array" aca="1" ref="X40" ca="1">INDEX(INDIRECT("PnL_"&amp;TEXT(X$1,"mmm")&amp;"_"&amp;TEXT(X$1,"yyyy")),MATCH(TRIM($A40),PnL_Accounts,0))</f>
        <v>0</v>
      </c>
      <c r="Y40" s="115">
        <f t="array" aca="1" ref="Y40" ca="1">INDEX(INDIRECT("PnL_"&amp;TEXT(Y$1,"mmm")&amp;"_"&amp;TEXT(Y$1,"yyyy")),MATCH(TRIM($A40),PnL_Accounts,0))</f>
        <v>0</v>
      </c>
      <c r="Z40" s="115">
        <f t="array" aca="1" ref="Z40" ca="1">INDEX(INDIRECT("PnL_"&amp;TEXT(Z$1,"mmm")&amp;"_"&amp;TEXT(Z$1,"yyyy")),MATCH(TRIM($A40),PnL_Accounts,0))</f>
        <v>0</v>
      </c>
      <c r="AA40" s="115">
        <f t="array" aca="1" ref="AA40" ca="1">INDEX(INDIRECT("PnL_"&amp;TEXT(AA$1,"mmm")&amp;"_"&amp;TEXT(AA$1,"yyyy")),MATCH(TRIM($A40),PnL_Accounts,0))</f>
        <v>0</v>
      </c>
      <c r="AB40" s="115">
        <f t="array" aca="1" ref="AB40" ca="1">INDEX(INDIRECT("PnL_"&amp;TEXT(AB$1,"mmm")&amp;"_"&amp;TEXT(AB$1,"yyyy")),MATCH(TRIM($A40),PnL_Accounts,0))</f>
        <v>0</v>
      </c>
      <c r="AC40" s="115">
        <f t="array" aca="1" ref="AC40" ca="1">INDEX(INDIRECT("PnL_"&amp;TEXT(AC$1,"mmm")&amp;"_"&amp;TEXT(AC$1,"yyyy")),MATCH(TRIM($A40),PnL_Accounts,0))</f>
        <v>0</v>
      </c>
      <c r="AD40" s="115">
        <f t="array" aca="1" ref="AD40" ca="1">INDEX(INDIRECT("PnL_"&amp;TEXT(AD$1,"mmm")&amp;"_"&amp;TEXT(AD$1,"yyyy")),MATCH(TRIM($A40),PnL_Accounts,0))</f>
        <v>0</v>
      </c>
      <c r="AE40" s="115">
        <f t="array" aca="1" ref="AE40" ca="1">INDEX(INDIRECT("PnL_"&amp;TEXT(AE$1,"mmm")&amp;"_"&amp;TEXT(AE$1,"yyyy")),MATCH(TRIM($A40),PnL_Accounts,0))</f>
        <v>0</v>
      </c>
    </row>
    <row r="41" spans="1:75" ht="12.75" x14ac:dyDescent="0.2">
      <c r="A41" s="23" t="s">
        <v>295</v>
      </c>
      <c r="B41" s="224">
        <f ca="1">AVERAGEIFS(41:41,$1:$1,"&gt;="&amp;DATE(YEAR(Current_Month),MONTH(Current_Month)-2,DAY(Current_Month)),$1:$1,"&lt;="&amp;EOMONTH(Current_Month,0))</f>
        <v>4066</v>
      </c>
      <c r="D41" s="115">
        <f t="array" aca="1" ref="D41" ca="1">INDEX(INDIRECT("PnL_"&amp;TEXT(D$1,"mmm")&amp;"_"&amp;TEXT(D$1,"yyyy")),MATCH(TRIM($A41),PnL_Accounts,0))</f>
        <v>5751</v>
      </c>
      <c r="E41" s="115">
        <f t="array" aca="1" ref="E41" ca="1">INDEX(INDIRECT("PnL_"&amp;TEXT(E$1,"mmm")&amp;"_"&amp;TEXT(E$1,"yyyy")),MATCH(TRIM($A41),PnL_Accounts,0))</f>
        <v>6018</v>
      </c>
      <c r="F41" s="115">
        <f t="array" aca="1" ref="F41" ca="1">INDEX(INDIRECT("PnL_"&amp;TEXT(F$1,"mmm")&amp;"_"&amp;TEXT(F$1,"yyyy")),MATCH(TRIM($A41),PnL_Accounts,0))</f>
        <v>6036</v>
      </c>
      <c r="G41" s="115">
        <f t="array" aca="1" ref="G41" ca="1">INDEX(INDIRECT("PnL_"&amp;TEXT(G$1,"mmm")&amp;"_"&amp;TEXT(G$1,"yyyy")),MATCH(TRIM($A41),PnL_Accounts,0))</f>
        <v>5888</v>
      </c>
      <c r="H41" s="115">
        <f t="array" aca="1" ref="H41" ca="1">INDEX(INDIRECT("PnL_"&amp;TEXT(H$1,"mmm")&amp;"_"&amp;TEXT(H$1,"yyyy")),MATCH(TRIM($A41),PnL_Accounts,0))</f>
        <v>6181</v>
      </c>
      <c r="I41" s="115">
        <f t="array" aca="1" ref="I41" ca="1">INDEX(INDIRECT("PnL_"&amp;TEXT(I$1,"mmm")&amp;"_"&amp;TEXT(I$1,"yyyy")),MATCH(TRIM($A41),PnL_Accounts,0))</f>
        <v>6414</v>
      </c>
      <c r="J41" s="115">
        <f t="array" aca="1" ref="J41" ca="1">INDEX(INDIRECT("PnL_"&amp;TEXT(J$1,"mmm")&amp;"_"&amp;TEXT(J$1,"yyyy")),MATCH(TRIM($A41),PnL_Accounts,0))</f>
        <v>6719</v>
      </c>
      <c r="K41" s="115">
        <f t="array" aca="1" ref="K41" ca="1">INDEX(INDIRECT("PnL_"&amp;TEXT(K$1,"mmm")&amp;"_"&amp;TEXT(K$1,"yyyy")),MATCH(TRIM($A41),PnL_Accounts,0))</f>
        <v>6191</v>
      </c>
      <c r="L41" s="115">
        <f t="array" aca="1" ref="L41" ca="1">INDEX(INDIRECT("PnL_"&amp;TEXT(L$1,"mmm")&amp;"_"&amp;TEXT(L$1,"yyyy")),MATCH(TRIM($A41),PnL_Accounts,0))</f>
        <v>6563</v>
      </c>
      <c r="M41" s="115">
        <f t="array" aca="1" ref="M41" ca="1">INDEX(INDIRECT("PnL_"&amp;TEXT(M$1,"mmm")&amp;"_"&amp;TEXT(M$1,"yyyy")),MATCH(TRIM($A41),PnL_Accounts,0))</f>
        <v>6897</v>
      </c>
      <c r="N41" s="115">
        <f t="array" aca="1" ref="N41" ca="1">INDEX(INDIRECT("PnL_"&amp;TEXT(N$1,"mmm")&amp;"_"&amp;TEXT(N$1,"yyyy")),MATCH(TRIM($A41),PnL_Accounts,0))</f>
        <v>6459</v>
      </c>
      <c r="O41" s="115">
        <f t="array" aca="1" ref="O41" ca="1">INDEX(INDIRECT("PnL_"&amp;TEXT(O$1,"mmm")&amp;"_"&amp;TEXT(O$1,"yyyy")),MATCH(TRIM($A41),PnL_Accounts,0))</f>
        <v>6719</v>
      </c>
      <c r="P41" s="115">
        <f t="array" aca="1" ref="P41" ca="1">INDEX(INDIRECT("PnL_"&amp;TEXT(P$1,"mmm")&amp;"_"&amp;TEXT(P$1,"yyyy")),MATCH(TRIM($A41),PnL_Accounts,0))</f>
        <v>6691</v>
      </c>
      <c r="Q41" s="115">
        <f t="array" aca="1" ref="Q41" ca="1">INDEX(INDIRECT("PnL_"&amp;TEXT(Q$1,"mmm")&amp;"_"&amp;TEXT(Q$1,"yyyy")),MATCH(TRIM($A41),PnL_Accounts,0))</f>
        <v>4245</v>
      </c>
      <c r="R41" s="115">
        <f t="array" aca="1" ref="R41" ca="1">INDEX(INDIRECT("PnL_"&amp;TEXT(R$1,"mmm")&amp;"_"&amp;TEXT(R$1,"yyyy")),MATCH(TRIM($A41),PnL_Accounts,0))</f>
        <v>5237</v>
      </c>
      <c r="S41" s="115">
        <f t="array" aca="1" ref="S41" ca="1">INDEX(INDIRECT("PnL_"&amp;TEXT(S$1,"mmm")&amp;"_"&amp;TEXT(S$1,"yyyy")),MATCH(TRIM($A41),PnL_Accounts,0))</f>
        <v>4988</v>
      </c>
      <c r="T41" s="115">
        <f t="array" aca="1" ref="T41" ca="1">INDEX(INDIRECT("PnL_"&amp;TEXT(T$1,"mmm")&amp;"_"&amp;TEXT(T$1,"yyyy")),MATCH(TRIM($A41),PnL_Accounts,0))</f>
        <v>5237</v>
      </c>
      <c r="U41" s="115">
        <f t="array" aca="1" ref="U41" ca="1">INDEX(INDIRECT("PnL_"&amp;TEXT(U$1,"mmm")&amp;"_"&amp;TEXT(U$1,"yyyy")),MATCH(TRIM($A41),PnL_Accounts,0))</f>
        <v>5471</v>
      </c>
      <c r="V41" s="115">
        <f t="array" aca="1" ref="V41" ca="1">INDEX(INDIRECT("PnL_"&amp;TEXT(V$1,"mmm")&amp;"_"&amp;TEXT(V$1,"yyyy")),MATCH(TRIM($A41),PnL_Accounts,0))</f>
        <v>5388</v>
      </c>
      <c r="W41" s="115">
        <f t="array" aca="1" ref="W41" ca="1">INDEX(INDIRECT("PnL_"&amp;TEXT(W$1,"mmm")&amp;"_"&amp;TEXT(W$1,"yyyy")),MATCH(TRIM($A41),PnL_Accounts,0))</f>
        <v>5477</v>
      </c>
      <c r="X41" s="115">
        <f t="array" aca="1" ref="X41" ca="1">INDEX(INDIRECT("PnL_"&amp;TEXT(X$1,"mmm")&amp;"_"&amp;TEXT(X$1,"yyyy")),MATCH(TRIM($A41),PnL_Accounts,0))</f>
        <v>4699</v>
      </c>
      <c r="Y41" s="115">
        <f t="array" aca="1" ref="Y41" ca="1">INDEX(INDIRECT("PnL_"&amp;TEXT(Y$1,"mmm")&amp;"_"&amp;TEXT(Y$1,"yyyy")),MATCH(TRIM($A41),PnL_Accounts,0))</f>
        <v>7456</v>
      </c>
      <c r="Z41" s="115">
        <f t="array" aca="1" ref="Z41" ca="1">INDEX(INDIRECT("PnL_"&amp;TEXT(Z$1,"mmm")&amp;"_"&amp;TEXT(Z$1,"yyyy")),MATCH(TRIM($A41),PnL_Accounts,0))</f>
        <v>8127</v>
      </c>
      <c r="AA41" s="115">
        <f t="array" aca="1" ref="AA41" ca="1">INDEX(INDIRECT("PnL_"&amp;TEXT(AA$1,"mmm")&amp;"_"&amp;TEXT(AA$1,"yyyy")),MATCH(TRIM($A41),PnL_Accounts,0))</f>
        <v>5971</v>
      </c>
      <c r="AB41" s="115">
        <f t="array" aca="1" ref="AB41" ca="1">INDEX(INDIRECT("PnL_"&amp;TEXT(AB$1,"mmm")&amp;"_"&amp;TEXT(AB$1,"yyyy")),MATCH(TRIM($A41),PnL_Accounts,0))</f>
        <v>5400</v>
      </c>
      <c r="AC41" s="115">
        <f t="array" aca="1" ref="AC41" ca="1">INDEX(INDIRECT("PnL_"&amp;TEXT(AC$1,"mmm")&amp;"_"&amp;TEXT(AC$1,"yyyy")),MATCH(TRIM($A41),PnL_Accounts,0))</f>
        <v>4899</v>
      </c>
      <c r="AD41" s="115">
        <f t="array" aca="1" ref="AD41" ca="1">INDEX(INDIRECT("PnL_"&amp;TEXT(AD$1,"mmm")&amp;"_"&amp;TEXT(AD$1,"yyyy")),MATCH(TRIM($A41),PnL_Accounts,0))</f>
        <v>4899</v>
      </c>
      <c r="AE41" s="115">
        <f t="array" aca="1" ref="AE41" ca="1">INDEX(INDIRECT("PnL_"&amp;TEXT(AE$1,"mmm")&amp;"_"&amp;TEXT(AE$1,"yyyy")),MATCH(TRIM($A41),PnL_Accounts,0))</f>
        <v>2400</v>
      </c>
      <c r="AF41" s="165">
        <f t="shared" ref="AF41:BW41" ca="1" si="17">$B41</f>
        <v>4066</v>
      </c>
      <c r="AG41" s="165">
        <f t="shared" ca="1" si="17"/>
        <v>4066</v>
      </c>
      <c r="AH41" s="165">
        <f t="shared" ca="1" si="17"/>
        <v>4066</v>
      </c>
      <c r="AI41" s="165">
        <f t="shared" ca="1" si="17"/>
        <v>4066</v>
      </c>
      <c r="AJ41" s="165">
        <f t="shared" ca="1" si="17"/>
        <v>4066</v>
      </c>
      <c r="AK41" s="165">
        <f t="shared" ca="1" si="17"/>
        <v>4066</v>
      </c>
      <c r="AL41" s="165">
        <f t="shared" ca="1" si="17"/>
        <v>4066</v>
      </c>
      <c r="AM41" s="165">
        <f t="shared" ca="1" si="17"/>
        <v>4066</v>
      </c>
      <c r="AN41" s="165">
        <f t="shared" ca="1" si="17"/>
        <v>4066</v>
      </c>
      <c r="AO41" s="165">
        <f t="shared" ca="1" si="17"/>
        <v>4066</v>
      </c>
      <c r="AP41" s="165">
        <f t="shared" ca="1" si="17"/>
        <v>4066</v>
      </c>
      <c r="AQ41" s="165">
        <f t="shared" ca="1" si="17"/>
        <v>4066</v>
      </c>
      <c r="AR41" s="165">
        <f t="shared" ca="1" si="17"/>
        <v>4066</v>
      </c>
      <c r="AS41" s="165">
        <f t="shared" ca="1" si="17"/>
        <v>4066</v>
      </c>
      <c r="AT41" s="165">
        <f t="shared" ca="1" si="17"/>
        <v>4066</v>
      </c>
      <c r="AU41" s="165">
        <f t="shared" ca="1" si="17"/>
        <v>4066</v>
      </c>
      <c r="AV41" s="165">
        <f t="shared" ca="1" si="17"/>
        <v>4066</v>
      </c>
      <c r="AW41" s="165">
        <f t="shared" ca="1" si="17"/>
        <v>4066</v>
      </c>
      <c r="AX41" s="165">
        <f t="shared" ca="1" si="17"/>
        <v>4066</v>
      </c>
      <c r="AY41" s="165">
        <f t="shared" ca="1" si="17"/>
        <v>4066</v>
      </c>
      <c r="AZ41" s="165">
        <f t="shared" ca="1" si="17"/>
        <v>4066</v>
      </c>
      <c r="BA41" s="165">
        <f t="shared" ca="1" si="17"/>
        <v>4066</v>
      </c>
      <c r="BB41" s="165">
        <f t="shared" ca="1" si="17"/>
        <v>4066</v>
      </c>
      <c r="BC41" s="165">
        <f t="shared" ca="1" si="17"/>
        <v>4066</v>
      </c>
      <c r="BD41" s="165">
        <f t="shared" ca="1" si="17"/>
        <v>4066</v>
      </c>
      <c r="BE41" s="165">
        <f t="shared" ca="1" si="17"/>
        <v>4066</v>
      </c>
      <c r="BF41" s="165">
        <f t="shared" ca="1" si="17"/>
        <v>4066</v>
      </c>
      <c r="BG41" s="165">
        <f t="shared" ca="1" si="17"/>
        <v>4066</v>
      </c>
      <c r="BH41" s="165">
        <f t="shared" ca="1" si="17"/>
        <v>4066</v>
      </c>
      <c r="BI41" s="165">
        <f t="shared" ca="1" si="17"/>
        <v>4066</v>
      </c>
      <c r="BJ41" s="165">
        <f t="shared" ca="1" si="17"/>
        <v>4066</v>
      </c>
      <c r="BK41" s="165">
        <f t="shared" ca="1" si="17"/>
        <v>4066</v>
      </c>
      <c r="BL41" s="165">
        <f t="shared" ca="1" si="17"/>
        <v>4066</v>
      </c>
      <c r="BM41" s="165">
        <f t="shared" ca="1" si="17"/>
        <v>4066</v>
      </c>
      <c r="BN41" s="165">
        <f t="shared" ca="1" si="17"/>
        <v>4066</v>
      </c>
      <c r="BO41" s="165">
        <f t="shared" ca="1" si="17"/>
        <v>4066</v>
      </c>
      <c r="BP41" s="165">
        <f t="shared" ca="1" si="17"/>
        <v>4066</v>
      </c>
      <c r="BQ41" s="165">
        <f t="shared" ca="1" si="17"/>
        <v>4066</v>
      </c>
      <c r="BR41" s="165">
        <f t="shared" ca="1" si="17"/>
        <v>4066</v>
      </c>
      <c r="BS41" s="165">
        <f t="shared" ca="1" si="17"/>
        <v>4066</v>
      </c>
      <c r="BT41" s="165">
        <f t="shared" ca="1" si="17"/>
        <v>4066</v>
      </c>
      <c r="BU41" s="165">
        <f t="shared" ca="1" si="17"/>
        <v>4066</v>
      </c>
      <c r="BV41" s="165">
        <f t="shared" ca="1" si="17"/>
        <v>4066</v>
      </c>
      <c r="BW41" s="165">
        <f t="shared" ca="1" si="17"/>
        <v>4066</v>
      </c>
    </row>
    <row r="42" spans="1:75" ht="12.75" x14ac:dyDescent="0.2">
      <c r="A42" s="60" t="s">
        <v>296</v>
      </c>
      <c r="B42" s="238"/>
      <c r="C42" s="212"/>
      <c r="D42" s="226">
        <f t="shared" ref="D42:BW42" ca="1" si="18">SUM(D40:D41)</f>
        <v>5751</v>
      </c>
      <c r="E42" s="226">
        <f t="shared" ca="1" si="18"/>
        <v>6018</v>
      </c>
      <c r="F42" s="226">
        <f t="shared" ca="1" si="18"/>
        <v>6036</v>
      </c>
      <c r="G42" s="226">
        <f t="shared" ca="1" si="18"/>
        <v>5888</v>
      </c>
      <c r="H42" s="226">
        <f t="shared" ca="1" si="18"/>
        <v>6181</v>
      </c>
      <c r="I42" s="226">
        <f t="shared" ca="1" si="18"/>
        <v>6414</v>
      </c>
      <c r="J42" s="226">
        <f t="shared" ca="1" si="18"/>
        <v>6719</v>
      </c>
      <c r="K42" s="226">
        <f t="shared" ca="1" si="18"/>
        <v>6191</v>
      </c>
      <c r="L42" s="226">
        <f t="shared" ca="1" si="18"/>
        <v>6563</v>
      </c>
      <c r="M42" s="226">
        <f t="shared" ca="1" si="18"/>
        <v>6897</v>
      </c>
      <c r="N42" s="226">
        <f t="shared" ca="1" si="18"/>
        <v>6459</v>
      </c>
      <c r="O42" s="226">
        <f t="shared" ca="1" si="18"/>
        <v>6719</v>
      </c>
      <c r="P42" s="226">
        <f t="shared" ca="1" si="18"/>
        <v>6691</v>
      </c>
      <c r="Q42" s="226">
        <f t="shared" ca="1" si="18"/>
        <v>4245</v>
      </c>
      <c r="R42" s="226">
        <f t="shared" ca="1" si="18"/>
        <v>5237</v>
      </c>
      <c r="S42" s="226">
        <f t="shared" ca="1" si="18"/>
        <v>4988</v>
      </c>
      <c r="T42" s="226">
        <f t="shared" ca="1" si="18"/>
        <v>5237</v>
      </c>
      <c r="U42" s="226">
        <f t="shared" ca="1" si="18"/>
        <v>5471</v>
      </c>
      <c r="V42" s="226">
        <f t="shared" ca="1" si="18"/>
        <v>5388</v>
      </c>
      <c r="W42" s="226">
        <f t="shared" ca="1" si="18"/>
        <v>5477</v>
      </c>
      <c r="X42" s="226">
        <f t="shared" ca="1" si="18"/>
        <v>4699</v>
      </c>
      <c r="Y42" s="226">
        <f t="shared" ca="1" si="18"/>
        <v>7456</v>
      </c>
      <c r="Z42" s="226">
        <f t="shared" ca="1" si="18"/>
        <v>8127</v>
      </c>
      <c r="AA42" s="226">
        <f t="shared" ca="1" si="18"/>
        <v>5971</v>
      </c>
      <c r="AB42" s="226">
        <f t="shared" ca="1" si="18"/>
        <v>5400</v>
      </c>
      <c r="AC42" s="226">
        <f t="shared" ca="1" si="18"/>
        <v>4899</v>
      </c>
      <c r="AD42" s="226">
        <f t="shared" ca="1" si="18"/>
        <v>4899</v>
      </c>
      <c r="AE42" s="226">
        <f t="shared" ca="1" si="18"/>
        <v>2400</v>
      </c>
      <c r="AF42" s="226">
        <f t="shared" ca="1" si="18"/>
        <v>4066</v>
      </c>
      <c r="AG42" s="226">
        <f t="shared" ca="1" si="18"/>
        <v>4066</v>
      </c>
      <c r="AH42" s="226">
        <f t="shared" ca="1" si="18"/>
        <v>4066</v>
      </c>
      <c r="AI42" s="226">
        <f t="shared" ca="1" si="18"/>
        <v>4066</v>
      </c>
      <c r="AJ42" s="226">
        <f t="shared" ca="1" si="18"/>
        <v>4066</v>
      </c>
      <c r="AK42" s="226">
        <f t="shared" ca="1" si="18"/>
        <v>4066</v>
      </c>
      <c r="AL42" s="226">
        <f t="shared" ca="1" si="18"/>
        <v>4066</v>
      </c>
      <c r="AM42" s="226">
        <f t="shared" ca="1" si="18"/>
        <v>4066</v>
      </c>
      <c r="AN42" s="226">
        <f t="shared" ca="1" si="18"/>
        <v>4066</v>
      </c>
      <c r="AO42" s="226">
        <f t="shared" ca="1" si="18"/>
        <v>4066</v>
      </c>
      <c r="AP42" s="226">
        <f t="shared" ca="1" si="18"/>
        <v>4066</v>
      </c>
      <c r="AQ42" s="226">
        <f t="shared" ca="1" si="18"/>
        <v>4066</v>
      </c>
      <c r="AR42" s="226">
        <f t="shared" ca="1" si="18"/>
        <v>4066</v>
      </c>
      <c r="AS42" s="226">
        <f t="shared" ca="1" si="18"/>
        <v>4066</v>
      </c>
      <c r="AT42" s="226">
        <f t="shared" ca="1" si="18"/>
        <v>4066</v>
      </c>
      <c r="AU42" s="226">
        <f t="shared" ca="1" si="18"/>
        <v>4066</v>
      </c>
      <c r="AV42" s="226">
        <f t="shared" ca="1" si="18"/>
        <v>4066</v>
      </c>
      <c r="AW42" s="226">
        <f t="shared" ca="1" si="18"/>
        <v>4066</v>
      </c>
      <c r="AX42" s="226">
        <f t="shared" ca="1" si="18"/>
        <v>4066</v>
      </c>
      <c r="AY42" s="226">
        <f t="shared" ca="1" si="18"/>
        <v>4066</v>
      </c>
      <c r="AZ42" s="226">
        <f t="shared" ca="1" si="18"/>
        <v>4066</v>
      </c>
      <c r="BA42" s="226">
        <f t="shared" ca="1" si="18"/>
        <v>4066</v>
      </c>
      <c r="BB42" s="226">
        <f t="shared" ca="1" si="18"/>
        <v>4066</v>
      </c>
      <c r="BC42" s="226">
        <f t="shared" ca="1" si="18"/>
        <v>4066</v>
      </c>
      <c r="BD42" s="226">
        <f t="shared" ca="1" si="18"/>
        <v>4066</v>
      </c>
      <c r="BE42" s="226">
        <f t="shared" ca="1" si="18"/>
        <v>4066</v>
      </c>
      <c r="BF42" s="226">
        <f t="shared" ca="1" si="18"/>
        <v>4066</v>
      </c>
      <c r="BG42" s="226">
        <f t="shared" ca="1" si="18"/>
        <v>4066</v>
      </c>
      <c r="BH42" s="226">
        <f t="shared" ca="1" si="18"/>
        <v>4066</v>
      </c>
      <c r="BI42" s="226">
        <f t="shared" ca="1" si="18"/>
        <v>4066</v>
      </c>
      <c r="BJ42" s="226">
        <f t="shared" ca="1" si="18"/>
        <v>4066</v>
      </c>
      <c r="BK42" s="226">
        <f t="shared" ca="1" si="18"/>
        <v>4066</v>
      </c>
      <c r="BL42" s="226">
        <f t="shared" ca="1" si="18"/>
        <v>4066</v>
      </c>
      <c r="BM42" s="226">
        <f t="shared" ca="1" si="18"/>
        <v>4066</v>
      </c>
      <c r="BN42" s="226">
        <f t="shared" ca="1" si="18"/>
        <v>4066</v>
      </c>
      <c r="BO42" s="226">
        <f t="shared" ca="1" si="18"/>
        <v>4066</v>
      </c>
      <c r="BP42" s="226">
        <f t="shared" ca="1" si="18"/>
        <v>4066</v>
      </c>
      <c r="BQ42" s="226">
        <f t="shared" ca="1" si="18"/>
        <v>4066</v>
      </c>
      <c r="BR42" s="226">
        <f t="shared" ca="1" si="18"/>
        <v>4066</v>
      </c>
      <c r="BS42" s="226">
        <f t="shared" ca="1" si="18"/>
        <v>4066</v>
      </c>
      <c r="BT42" s="226">
        <f t="shared" ca="1" si="18"/>
        <v>4066</v>
      </c>
      <c r="BU42" s="226">
        <f t="shared" ca="1" si="18"/>
        <v>4066</v>
      </c>
      <c r="BV42" s="226">
        <f t="shared" ca="1" si="18"/>
        <v>4066</v>
      </c>
      <c r="BW42" s="226">
        <f t="shared" ca="1" si="18"/>
        <v>4066</v>
      </c>
    </row>
    <row r="43" spans="1:75" ht="12.75" x14ac:dyDescent="0.2">
      <c r="A43" s="23" t="s">
        <v>297</v>
      </c>
      <c r="B43" s="221"/>
      <c r="D43" s="115">
        <f t="array" aca="1" ref="D43" ca="1">INDEX(INDIRECT("PnL_"&amp;TEXT(D$1,"mmm")&amp;"_"&amp;TEXT(D$1,"yyyy")),MATCH(TRIM($A43),PnL_Accounts,0))</f>
        <v>0</v>
      </c>
      <c r="E43" s="115">
        <f t="array" aca="1" ref="E43" ca="1">INDEX(INDIRECT("PnL_"&amp;TEXT(E$1,"mmm")&amp;"_"&amp;TEXT(E$1,"yyyy")),MATCH(TRIM($A43),PnL_Accounts,0))</f>
        <v>0</v>
      </c>
      <c r="F43" s="115">
        <f t="array" aca="1" ref="F43" ca="1">INDEX(INDIRECT("PnL_"&amp;TEXT(F$1,"mmm")&amp;"_"&amp;TEXT(F$1,"yyyy")),MATCH(TRIM($A43),PnL_Accounts,0))</f>
        <v>0</v>
      </c>
      <c r="G43" s="115">
        <f t="array" aca="1" ref="G43" ca="1">INDEX(INDIRECT("PnL_"&amp;TEXT(G$1,"mmm")&amp;"_"&amp;TEXT(G$1,"yyyy")),MATCH(TRIM($A43),PnL_Accounts,0))</f>
        <v>0</v>
      </c>
      <c r="H43" s="115">
        <f t="array" aca="1" ref="H43" ca="1">INDEX(INDIRECT("PnL_"&amp;TEXT(H$1,"mmm")&amp;"_"&amp;TEXT(H$1,"yyyy")),MATCH(TRIM($A43),PnL_Accounts,0))</f>
        <v>0</v>
      </c>
      <c r="I43" s="115">
        <f t="array" aca="1" ref="I43" ca="1">INDEX(INDIRECT("PnL_"&amp;TEXT(I$1,"mmm")&amp;"_"&amp;TEXT(I$1,"yyyy")),MATCH(TRIM($A43),PnL_Accounts,0))</f>
        <v>0</v>
      </c>
      <c r="J43" s="115">
        <f t="array" aca="1" ref="J43" ca="1">INDEX(INDIRECT("PnL_"&amp;TEXT(J$1,"mmm")&amp;"_"&amp;TEXT(J$1,"yyyy")),MATCH(TRIM($A43),PnL_Accounts,0))</f>
        <v>0</v>
      </c>
      <c r="K43" s="115">
        <f t="array" aca="1" ref="K43" ca="1">INDEX(INDIRECT("PnL_"&amp;TEXT(K$1,"mmm")&amp;"_"&amp;TEXT(K$1,"yyyy")),MATCH(TRIM($A43),PnL_Accounts,0))</f>
        <v>0</v>
      </c>
      <c r="L43" s="115">
        <f t="array" aca="1" ref="L43" ca="1">INDEX(INDIRECT("PnL_"&amp;TEXT(L$1,"mmm")&amp;"_"&amp;TEXT(L$1,"yyyy")),MATCH(TRIM($A43),PnL_Accounts,0))</f>
        <v>0</v>
      </c>
      <c r="M43" s="115">
        <f t="array" aca="1" ref="M43" ca="1">INDEX(INDIRECT("PnL_"&amp;TEXT(M$1,"mmm")&amp;"_"&amp;TEXT(M$1,"yyyy")),MATCH(TRIM($A43),PnL_Accounts,0))</f>
        <v>0</v>
      </c>
      <c r="N43" s="115">
        <f t="array" aca="1" ref="N43" ca="1">INDEX(INDIRECT("PnL_"&amp;TEXT(N$1,"mmm")&amp;"_"&amp;TEXT(N$1,"yyyy")),MATCH(TRIM($A43),PnL_Accounts,0))</f>
        <v>0</v>
      </c>
      <c r="O43" s="115">
        <f t="array" aca="1" ref="O43" ca="1">INDEX(INDIRECT("PnL_"&amp;TEXT(O$1,"mmm")&amp;"_"&amp;TEXT(O$1,"yyyy")),MATCH(TRIM($A43),PnL_Accounts,0))</f>
        <v>0</v>
      </c>
      <c r="P43" s="115">
        <f t="array" aca="1" ref="P43" ca="1">INDEX(INDIRECT("PnL_"&amp;TEXT(P$1,"mmm")&amp;"_"&amp;TEXT(P$1,"yyyy")),MATCH(TRIM($A43),PnL_Accounts,0))</f>
        <v>0</v>
      </c>
      <c r="Q43" s="115">
        <f t="array" aca="1" ref="Q43" ca="1">INDEX(INDIRECT("PnL_"&amp;TEXT(Q$1,"mmm")&amp;"_"&amp;TEXT(Q$1,"yyyy")),MATCH(TRIM($A43),PnL_Accounts,0))</f>
        <v>0</v>
      </c>
      <c r="R43" s="115">
        <f t="array" aca="1" ref="R43" ca="1">INDEX(INDIRECT("PnL_"&amp;TEXT(R$1,"mmm")&amp;"_"&amp;TEXT(R$1,"yyyy")),MATCH(TRIM($A43),PnL_Accounts,0))</f>
        <v>0</v>
      </c>
      <c r="S43" s="115">
        <f t="array" aca="1" ref="S43" ca="1">INDEX(INDIRECT("PnL_"&amp;TEXT(S$1,"mmm")&amp;"_"&amp;TEXT(S$1,"yyyy")),MATCH(TRIM($A43),PnL_Accounts,0))</f>
        <v>0</v>
      </c>
      <c r="T43" s="115">
        <f t="array" aca="1" ref="T43" ca="1">INDEX(INDIRECT("PnL_"&amp;TEXT(T$1,"mmm")&amp;"_"&amp;TEXT(T$1,"yyyy")),MATCH(TRIM($A43),PnL_Accounts,0))</f>
        <v>0</v>
      </c>
      <c r="U43" s="115">
        <f t="array" aca="1" ref="U43" ca="1">INDEX(INDIRECT("PnL_"&amp;TEXT(U$1,"mmm")&amp;"_"&amp;TEXT(U$1,"yyyy")),MATCH(TRIM($A43),PnL_Accounts,0))</f>
        <v>0</v>
      </c>
      <c r="V43" s="115">
        <f t="array" aca="1" ref="V43" ca="1">INDEX(INDIRECT("PnL_"&amp;TEXT(V$1,"mmm")&amp;"_"&amp;TEXT(V$1,"yyyy")),MATCH(TRIM($A43),PnL_Accounts,0))</f>
        <v>0</v>
      </c>
      <c r="W43" s="115">
        <f t="array" aca="1" ref="W43" ca="1">INDEX(INDIRECT("PnL_"&amp;TEXT(W$1,"mmm")&amp;"_"&amp;TEXT(W$1,"yyyy")),MATCH(TRIM($A43),PnL_Accounts,0))</f>
        <v>0</v>
      </c>
      <c r="X43" s="115">
        <f t="array" aca="1" ref="X43" ca="1">INDEX(INDIRECT("PnL_"&amp;TEXT(X$1,"mmm")&amp;"_"&amp;TEXT(X$1,"yyyy")),MATCH(TRIM($A43),PnL_Accounts,0))</f>
        <v>0</v>
      </c>
      <c r="Y43" s="115">
        <f t="array" aca="1" ref="Y43" ca="1">INDEX(INDIRECT("PnL_"&amp;TEXT(Y$1,"mmm")&amp;"_"&amp;TEXT(Y$1,"yyyy")),MATCH(TRIM($A43),PnL_Accounts,0))</f>
        <v>0</v>
      </c>
      <c r="Z43" s="115">
        <f t="array" aca="1" ref="Z43" ca="1">INDEX(INDIRECT("PnL_"&amp;TEXT(Z$1,"mmm")&amp;"_"&amp;TEXT(Z$1,"yyyy")),MATCH(TRIM($A43),PnL_Accounts,0))</f>
        <v>0</v>
      </c>
      <c r="AA43" s="115">
        <f t="array" aca="1" ref="AA43" ca="1">INDEX(INDIRECT("PnL_"&amp;TEXT(AA$1,"mmm")&amp;"_"&amp;TEXT(AA$1,"yyyy")),MATCH(TRIM($A43),PnL_Accounts,0))</f>
        <v>0</v>
      </c>
      <c r="AB43" s="115">
        <f t="array" aca="1" ref="AB43" ca="1">INDEX(INDIRECT("PnL_"&amp;TEXT(AB$1,"mmm")&amp;"_"&amp;TEXT(AB$1,"yyyy")),MATCH(TRIM($A43),PnL_Accounts,0))</f>
        <v>0</v>
      </c>
      <c r="AC43" s="115">
        <f t="array" aca="1" ref="AC43" ca="1">INDEX(INDIRECT("PnL_"&amp;TEXT(AC$1,"mmm")&amp;"_"&amp;TEXT(AC$1,"yyyy")),MATCH(TRIM($A43),PnL_Accounts,0))</f>
        <v>0</v>
      </c>
      <c r="AD43" s="115">
        <f t="array" aca="1" ref="AD43" ca="1">INDEX(INDIRECT("PnL_"&amp;TEXT(AD$1,"mmm")&amp;"_"&amp;TEXT(AD$1,"yyyy")),MATCH(TRIM($A43),PnL_Accounts,0))</f>
        <v>0</v>
      </c>
      <c r="AE43" s="115">
        <f t="array" aca="1" ref="AE43" ca="1">INDEX(INDIRECT("PnL_"&amp;TEXT(AE$1,"mmm")&amp;"_"&amp;TEXT(AE$1,"yyyy")),MATCH(TRIM($A43),PnL_Accounts,0))</f>
        <v>0</v>
      </c>
    </row>
    <row r="44" spans="1:75" ht="12.75" x14ac:dyDescent="0.2">
      <c r="A44" s="23" t="s">
        <v>298</v>
      </c>
      <c r="B44" s="224">
        <f ca="1">AVERAGEIFS(44:44,$1:$1,"&gt;="&amp;DATE(YEAR(Current_Month),MONTH(Current_Month)-2,DAY(Current_Month)),$1:$1,"&lt;="&amp;EOMONTH(Current_Month,0))</f>
        <v>5833.333333333333</v>
      </c>
      <c r="D44" s="115">
        <f t="array" aca="1" ref="D44" ca="1">INDEX(INDIRECT("PnL_"&amp;TEXT(D$1,"mmm")&amp;"_"&amp;TEXT(D$1,"yyyy")),MATCH(TRIM($A44),PnL_Accounts,0))</f>
        <v>2500</v>
      </c>
      <c r="E44" s="115">
        <f t="array" aca="1" ref="E44" ca="1">INDEX(INDIRECT("PnL_"&amp;TEXT(E$1,"mmm")&amp;"_"&amp;TEXT(E$1,"yyyy")),MATCH(TRIM($A44),PnL_Accounts,0))</f>
        <v>2500</v>
      </c>
      <c r="F44" s="115">
        <f t="array" aca="1" ref="F44" ca="1">INDEX(INDIRECT("PnL_"&amp;TEXT(F$1,"mmm")&amp;"_"&amp;TEXT(F$1,"yyyy")),MATCH(TRIM($A44),PnL_Accounts,0))</f>
        <v>2500</v>
      </c>
      <c r="G44" s="115">
        <f t="array" aca="1" ref="G44" ca="1">INDEX(INDIRECT("PnL_"&amp;TEXT(G$1,"mmm")&amp;"_"&amp;TEXT(G$1,"yyyy")),MATCH(TRIM($A44),PnL_Accounts,0))</f>
        <v>2500</v>
      </c>
      <c r="H44" s="115">
        <f t="array" aca="1" ref="H44" ca="1">INDEX(INDIRECT("PnL_"&amp;TEXT(H$1,"mmm")&amp;"_"&amp;TEXT(H$1,"yyyy")),MATCH(TRIM($A44),PnL_Accounts,0))</f>
        <v>3400</v>
      </c>
      <c r="I44" s="115">
        <f t="array" aca="1" ref="I44" ca="1">INDEX(INDIRECT("PnL_"&amp;TEXT(I$1,"mmm")&amp;"_"&amp;TEXT(I$1,"yyyy")),MATCH(TRIM($A44),PnL_Accounts,0))</f>
        <v>5000</v>
      </c>
      <c r="J44" s="115">
        <f t="array" aca="1" ref="J44" ca="1">INDEX(INDIRECT("PnL_"&amp;TEXT(J$1,"mmm")&amp;"_"&amp;TEXT(J$1,"yyyy")),MATCH(TRIM($A44),PnL_Accounts,0))</f>
        <v>6500</v>
      </c>
      <c r="K44" s="115">
        <f t="array" aca="1" ref="K44" ca="1">INDEX(INDIRECT("PnL_"&amp;TEXT(K$1,"mmm")&amp;"_"&amp;TEXT(K$1,"yyyy")),MATCH(TRIM($A44),PnL_Accounts,0))</f>
        <v>6300</v>
      </c>
      <c r="L44" s="115">
        <f t="array" aca="1" ref="L44" ca="1">INDEX(INDIRECT("PnL_"&amp;TEXT(L$1,"mmm")&amp;"_"&amp;TEXT(L$1,"yyyy")),MATCH(TRIM($A44),PnL_Accounts,0))</f>
        <v>6700</v>
      </c>
      <c r="M44" s="115">
        <f t="array" aca="1" ref="M44" ca="1">INDEX(INDIRECT("PnL_"&amp;TEXT(M$1,"mmm")&amp;"_"&amp;TEXT(M$1,"yyyy")),MATCH(TRIM($A44),PnL_Accounts,0))</f>
        <v>6200</v>
      </c>
      <c r="N44" s="115">
        <f t="array" aca="1" ref="N44" ca="1">INDEX(INDIRECT("PnL_"&amp;TEXT(N$1,"mmm")&amp;"_"&amp;TEXT(N$1,"yyyy")),MATCH(TRIM($A44),PnL_Accounts,0))</f>
        <v>6300</v>
      </c>
      <c r="O44" s="115">
        <f t="array" aca="1" ref="O44" ca="1">INDEX(INDIRECT("PnL_"&amp;TEXT(O$1,"mmm")&amp;"_"&amp;TEXT(O$1,"yyyy")),MATCH(TRIM($A44),PnL_Accounts,0))</f>
        <v>6600</v>
      </c>
      <c r="P44" s="115">
        <f t="array" aca="1" ref="P44" ca="1">INDEX(INDIRECT("PnL_"&amp;TEXT(P$1,"mmm")&amp;"_"&amp;TEXT(P$1,"yyyy")),MATCH(TRIM($A44),PnL_Accounts,0))</f>
        <v>6800</v>
      </c>
      <c r="Q44" s="115">
        <f t="array" aca="1" ref="Q44" ca="1">INDEX(INDIRECT("PnL_"&amp;TEXT(Q$1,"mmm")&amp;"_"&amp;TEXT(Q$1,"yyyy")),MATCH(TRIM($A44),PnL_Accounts,0))</f>
        <v>4100</v>
      </c>
      <c r="R44" s="115">
        <f t="array" aca="1" ref="R44" ca="1">INDEX(INDIRECT("PnL_"&amp;TEXT(R$1,"mmm")&amp;"_"&amp;TEXT(R$1,"yyyy")),MATCH(TRIM($A44),PnL_Accounts,0))</f>
        <v>5800</v>
      </c>
      <c r="S44" s="115">
        <f t="array" aca="1" ref="S44" ca="1">INDEX(INDIRECT("PnL_"&amp;TEXT(S$1,"mmm")&amp;"_"&amp;TEXT(S$1,"yyyy")),MATCH(TRIM($A44),PnL_Accounts,0))</f>
        <v>5376</v>
      </c>
      <c r="T44" s="115">
        <f t="array" aca="1" ref="T44" ca="1">INDEX(INDIRECT("PnL_"&amp;TEXT(T$1,"mmm")&amp;"_"&amp;TEXT(T$1,"yyyy")),MATCH(TRIM($A44),PnL_Accounts,0))</f>
        <v>4831</v>
      </c>
      <c r="U44" s="115">
        <f t="array" aca="1" ref="U44" ca="1">INDEX(INDIRECT("PnL_"&amp;TEXT(U$1,"mmm")&amp;"_"&amp;TEXT(U$1,"yyyy")),MATCH(TRIM($A44),PnL_Accounts,0))</f>
        <v>5229</v>
      </c>
      <c r="V44" s="115">
        <f t="array" aca="1" ref="V44" ca="1">INDEX(INDIRECT("PnL_"&amp;TEXT(V$1,"mmm")&amp;"_"&amp;TEXT(V$1,"yyyy")),MATCH(TRIM($A44),PnL_Accounts,0))</f>
        <v>5462</v>
      </c>
      <c r="W44" s="115">
        <f t="array" aca="1" ref="W44" ca="1">INDEX(INDIRECT("PnL_"&amp;TEXT(W$1,"mmm")&amp;"_"&amp;TEXT(W$1,"yyyy")),MATCH(TRIM($A44),PnL_Accounts,0))</f>
        <v>5519</v>
      </c>
      <c r="X44" s="115">
        <f t="array" aca="1" ref="X44" ca="1">INDEX(INDIRECT("PnL_"&amp;TEXT(X$1,"mmm")&amp;"_"&amp;TEXT(X$1,"yyyy")),MATCH(TRIM($A44),PnL_Accounts,0))</f>
        <v>4575</v>
      </c>
      <c r="Y44" s="115">
        <f t="array" aca="1" ref="Y44" ca="1">INDEX(INDIRECT("PnL_"&amp;TEXT(Y$1,"mmm")&amp;"_"&amp;TEXT(Y$1,"yyyy")),MATCH(TRIM($A44),PnL_Accounts,0))</f>
        <v>1023</v>
      </c>
      <c r="Z44" s="115">
        <f t="array" aca="1" ref="Z44" ca="1">INDEX(INDIRECT("PnL_"&amp;TEXT(Z$1,"mmm")&amp;"_"&amp;TEXT(Z$1,"yyyy")),MATCH(TRIM($A44),PnL_Accounts,0))</f>
        <v>1597</v>
      </c>
      <c r="AA44" s="115">
        <f t="array" aca="1" ref="AA44" ca="1">INDEX(INDIRECT("PnL_"&amp;TEXT(AA$1,"mmm")&amp;"_"&amp;TEXT(AA$1,"yyyy")),MATCH(TRIM($A44),PnL_Accounts,0))</f>
        <v>1254</v>
      </c>
      <c r="AB44" s="115">
        <f t="array" aca="1" ref="AB44" ca="1">INDEX(INDIRECT("PnL_"&amp;TEXT(AB$1,"mmm")&amp;"_"&amp;TEXT(AB$1,"yyyy")),MATCH(TRIM($A44),PnL_Accounts,0))</f>
        <v>1999</v>
      </c>
      <c r="AC44" s="115">
        <f t="array" aca="1" ref="AC44" ca="1">INDEX(INDIRECT("PnL_"&amp;TEXT(AC$1,"mmm")&amp;"_"&amp;TEXT(AC$1,"yyyy")),MATCH(TRIM($A44),PnL_Accounts,0))</f>
        <v>2500</v>
      </c>
      <c r="AD44" s="115">
        <f t="array" aca="1" ref="AD44" ca="1">INDEX(INDIRECT("PnL_"&amp;TEXT(AD$1,"mmm")&amp;"_"&amp;TEXT(AD$1,"yyyy")),MATCH(TRIM($A44),PnL_Accounts,0))</f>
        <v>2500</v>
      </c>
      <c r="AE44" s="115">
        <f t="array" aca="1" ref="AE44" ca="1">INDEX(INDIRECT("PnL_"&amp;TEXT(AE$1,"mmm")&amp;"_"&amp;TEXT(AE$1,"yyyy")),MATCH(TRIM($A44),PnL_Accounts,0))</f>
        <v>12500</v>
      </c>
      <c r="AF44" s="165">
        <f t="shared" ref="AF44:BW44" ca="1" si="19">$B44</f>
        <v>5833.333333333333</v>
      </c>
      <c r="AG44" s="165">
        <f t="shared" ca="1" si="19"/>
        <v>5833.333333333333</v>
      </c>
      <c r="AH44" s="165">
        <f t="shared" ca="1" si="19"/>
        <v>5833.333333333333</v>
      </c>
      <c r="AI44" s="165">
        <f t="shared" ca="1" si="19"/>
        <v>5833.333333333333</v>
      </c>
      <c r="AJ44" s="165">
        <f t="shared" ca="1" si="19"/>
        <v>5833.333333333333</v>
      </c>
      <c r="AK44" s="165">
        <f t="shared" ca="1" si="19"/>
        <v>5833.333333333333</v>
      </c>
      <c r="AL44" s="165">
        <f t="shared" ca="1" si="19"/>
        <v>5833.333333333333</v>
      </c>
      <c r="AM44" s="165">
        <f t="shared" ca="1" si="19"/>
        <v>5833.333333333333</v>
      </c>
      <c r="AN44" s="165">
        <f t="shared" ca="1" si="19"/>
        <v>5833.333333333333</v>
      </c>
      <c r="AO44" s="165">
        <f t="shared" ca="1" si="19"/>
        <v>5833.333333333333</v>
      </c>
      <c r="AP44" s="165">
        <f t="shared" ca="1" si="19"/>
        <v>5833.333333333333</v>
      </c>
      <c r="AQ44" s="165">
        <f t="shared" ca="1" si="19"/>
        <v>5833.333333333333</v>
      </c>
      <c r="AR44" s="165">
        <f t="shared" ca="1" si="19"/>
        <v>5833.333333333333</v>
      </c>
      <c r="AS44" s="165">
        <f t="shared" ca="1" si="19"/>
        <v>5833.333333333333</v>
      </c>
      <c r="AT44" s="165">
        <f t="shared" ca="1" si="19"/>
        <v>5833.333333333333</v>
      </c>
      <c r="AU44" s="165">
        <f t="shared" ca="1" si="19"/>
        <v>5833.333333333333</v>
      </c>
      <c r="AV44" s="165">
        <f t="shared" ca="1" si="19"/>
        <v>5833.333333333333</v>
      </c>
      <c r="AW44" s="165">
        <f t="shared" ca="1" si="19"/>
        <v>5833.333333333333</v>
      </c>
      <c r="AX44" s="165">
        <f t="shared" ca="1" si="19"/>
        <v>5833.333333333333</v>
      </c>
      <c r="AY44" s="165">
        <f t="shared" ca="1" si="19"/>
        <v>5833.333333333333</v>
      </c>
      <c r="AZ44" s="165">
        <f t="shared" ca="1" si="19"/>
        <v>5833.333333333333</v>
      </c>
      <c r="BA44" s="165">
        <f t="shared" ca="1" si="19"/>
        <v>5833.333333333333</v>
      </c>
      <c r="BB44" s="165">
        <f t="shared" ca="1" si="19"/>
        <v>5833.333333333333</v>
      </c>
      <c r="BC44" s="165">
        <f t="shared" ca="1" si="19"/>
        <v>5833.333333333333</v>
      </c>
      <c r="BD44" s="165">
        <f t="shared" ca="1" si="19"/>
        <v>5833.333333333333</v>
      </c>
      <c r="BE44" s="165">
        <f t="shared" ca="1" si="19"/>
        <v>5833.333333333333</v>
      </c>
      <c r="BF44" s="165">
        <f t="shared" ca="1" si="19"/>
        <v>5833.333333333333</v>
      </c>
      <c r="BG44" s="165">
        <f t="shared" ca="1" si="19"/>
        <v>5833.333333333333</v>
      </c>
      <c r="BH44" s="165">
        <f t="shared" ca="1" si="19"/>
        <v>5833.333333333333</v>
      </c>
      <c r="BI44" s="165">
        <f t="shared" ca="1" si="19"/>
        <v>5833.333333333333</v>
      </c>
      <c r="BJ44" s="165">
        <f t="shared" ca="1" si="19"/>
        <v>5833.333333333333</v>
      </c>
      <c r="BK44" s="165">
        <f t="shared" ca="1" si="19"/>
        <v>5833.333333333333</v>
      </c>
      <c r="BL44" s="165">
        <f t="shared" ca="1" si="19"/>
        <v>5833.333333333333</v>
      </c>
      <c r="BM44" s="165">
        <f t="shared" ca="1" si="19"/>
        <v>5833.333333333333</v>
      </c>
      <c r="BN44" s="165">
        <f t="shared" ca="1" si="19"/>
        <v>5833.333333333333</v>
      </c>
      <c r="BO44" s="165">
        <f t="shared" ca="1" si="19"/>
        <v>5833.333333333333</v>
      </c>
      <c r="BP44" s="165">
        <f t="shared" ca="1" si="19"/>
        <v>5833.333333333333</v>
      </c>
      <c r="BQ44" s="165">
        <f t="shared" ca="1" si="19"/>
        <v>5833.333333333333</v>
      </c>
      <c r="BR44" s="165">
        <f t="shared" ca="1" si="19"/>
        <v>5833.333333333333</v>
      </c>
      <c r="BS44" s="165">
        <f t="shared" ca="1" si="19"/>
        <v>5833.333333333333</v>
      </c>
      <c r="BT44" s="165">
        <f t="shared" ca="1" si="19"/>
        <v>5833.333333333333</v>
      </c>
      <c r="BU44" s="165">
        <f t="shared" ca="1" si="19"/>
        <v>5833.333333333333</v>
      </c>
      <c r="BV44" s="165">
        <f t="shared" ca="1" si="19"/>
        <v>5833.333333333333</v>
      </c>
      <c r="BW44" s="165">
        <f t="shared" ca="1" si="19"/>
        <v>5833.333333333333</v>
      </c>
    </row>
    <row r="45" spans="1:75" ht="12.75" x14ac:dyDescent="0.2">
      <c r="A45" s="23" t="s">
        <v>299</v>
      </c>
      <c r="B45" s="224">
        <f ca="1">AVERAGEIFS(45:45,$1:$1,"&gt;="&amp;DATE(YEAR(Current_Month),MONTH(Current_Month)-2,DAY(Current_Month)),$1:$1,"&lt;="&amp;EOMONTH(Current_Month,0))</f>
        <v>1385.3333333333333</v>
      </c>
      <c r="D45" s="115">
        <f t="array" aca="1" ref="D45" ca="1">INDEX(INDIRECT("PnL_"&amp;TEXT(D$1,"mmm")&amp;"_"&amp;TEXT(D$1,"yyyy")),MATCH(TRIM($A45),PnL_Accounts,0))</f>
        <v>1323</v>
      </c>
      <c r="E45" s="115">
        <f t="array" aca="1" ref="E45" ca="1">INDEX(INDIRECT("PnL_"&amp;TEXT(E$1,"mmm")&amp;"_"&amp;TEXT(E$1,"yyyy")),MATCH(TRIM($A45),PnL_Accounts,0))</f>
        <v>1581</v>
      </c>
      <c r="F45" s="115">
        <f t="array" aca="1" ref="F45" ca="1">INDEX(INDIRECT("PnL_"&amp;TEXT(F$1,"mmm")&amp;"_"&amp;TEXT(F$1,"yyyy")),MATCH(TRIM($A45),PnL_Accounts,0))</f>
        <v>1755</v>
      </c>
      <c r="G45" s="115">
        <f t="array" aca="1" ref="G45" ca="1">INDEX(INDIRECT("PnL_"&amp;TEXT(G$1,"mmm")&amp;"_"&amp;TEXT(G$1,"yyyy")),MATCH(TRIM($A45),PnL_Accounts,0))</f>
        <v>1781</v>
      </c>
      <c r="H45" s="115">
        <f t="array" aca="1" ref="H45" ca="1">INDEX(INDIRECT("PnL_"&amp;TEXT(H$1,"mmm")&amp;"_"&amp;TEXT(H$1,"yyyy")),MATCH(TRIM($A45),PnL_Accounts,0))</f>
        <v>1869</v>
      </c>
      <c r="I45" s="115">
        <f t="array" aca="1" ref="I45" ca="1">INDEX(INDIRECT("PnL_"&amp;TEXT(I$1,"mmm")&amp;"_"&amp;TEXT(I$1,"yyyy")),MATCH(TRIM($A45),PnL_Accounts,0))</f>
        <v>2253</v>
      </c>
      <c r="J45" s="115">
        <f t="array" aca="1" ref="J45" ca="1">INDEX(INDIRECT("PnL_"&amp;TEXT(J$1,"mmm")&amp;"_"&amp;TEXT(J$1,"yyyy")),MATCH(TRIM($A45),PnL_Accounts,0))</f>
        <v>2374</v>
      </c>
      <c r="K45" s="115">
        <f t="array" aca="1" ref="K45" ca="1">INDEX(INDIRECT("PnL_"&amp;TEXT(K$1,"mmm")&amp;"_"&amp;TEXT(K$1,"yyyy")),MATCH(TRIM($A45),PnL_Accounts,0))</f>
        <v>2542</v>
      </c>
      <c r="L45" s="115">
        <f t="array" aca="1" ref="L45" ca="1">INDEX(INDIRECT("PnL_"&amp;TEXT(L$1,"mmm")&amp;"_"&amp;TEXT(L$1,"yyyy")),MATCH(TRIM($A45),PnL_Accounts,0))</f>
        <v>2621</v>
      </c>
      <c r="M45" s="115">
        <f t="array" aca="1" ref="M45" ca="1">INDEX(INDIRECT("PnL_"&amp;TEXT(M$1,"mmm")&amp;"_"&amp;TEXT(M$1,"yyyy")),MATCH(TRIM($A45),PnL_Accounts,0))</f>
        <v>2877</v>
      </c>
      <c r="N45" s="115">
        <f t="array" aca="1" ref="N45" ca="1">INDEX(INDIRECT("PnL_"&amp;TEXT(N$1,"mmm")&amp;"_"&amp;TEXT(N$1,"yyyy")),MATCH(TRIM($A45),PnL_Accounts,0))</f>
        <v>2951</v>
      </c>
      <c r="O45" s="115">
        <f t="array" aca="1" ref="O45" ca="1">INDEX(INDIRECT("PnL_"&amp;TEXT(O$1,"mmm")&amp;"_"&amp;TEXT(O$1,"yyyy")),MATCH(TRIM($A45),PnL_Accounts,0))</f>
        <v>3241</v>
      </c>
      <c r="P45" s="115">
        <f t="array" aca="1" ref="P45" ca="1">INDEX(INDIRECT("PnL_"&amp;TEXT(P$1,"mmm")&amp;"_"&amp;TEXT(P$1,"yyyy")),MATCH(TRIM($A45),PnL_Accounts,0))</f>
        <v>3050</v>
      </c>
      <c r="Q45" s="115">
        <f t="array" aca="1" ref="Q45" ca="1">INDEX(INDIRECT("PnL_"&amp;TEXT(Q$1,"mmm")&amp;"_"&amp;TEXT(Q$1,"yyyy")),MATCH(TRIM($A45),PnL_Accounts,0))</f>
        <v>3457</v>
      </c>
      <c r="R45" s="115">
        <f t="array" aca="1" ref="R45" ca="1">INDEX(INDIRECT("PnL_"&amp;TEXT(R$1,"mmm")&amp;"_"&amp;TEXT(R$1,"yyyy")),MATCH(TRIM($A45),PnL_Accounts,0))</f>
        <v>3492</v>
      </c>
      <c r="S45" s="115">
        <f t="array" aca="1" ref="S45" ca="1">INDEX(INDIRECT("PnL_"&amp;TEXT(S$1,"mmm")&amp;"_"&amp;TEXT(S$1,"yyyy")),MATCH(TRIM($A45),PnL_Accounts,0))</f>
        <v>3781</v>
      </c>
      <c r="T45" s="115">
        <f t="array" aca="1" ref="T45" ca="1">INDEX(INDIRECT("PnL_"&amp;TEXT(T$1,"mmm")&amp;"_"&amp;TEXT(T$1,"yyyy")),MATCH(TRIM($A45),PnL_Accounts,0))</f>
        <v>2492</v>
      </c>
      <c r="U45" s="115">
        <f t="array" aca="1" ref="U45" ca="1">INDEX(INDIRECT("PnL_"&amp;TEXT(U$1,"mmm")&amp;"_"&amp;TEXT(U$1,"yyyy")),MATCH(TRIM($A45),PnL_Accounts,0))</f>
        <v>2632</v>
      </c>
      <c r="V45" s="115">
        <f t="array" aca="1" ref="V45" ca="1">INDEX(INDIRECT("PnL_"&amp;TEXT(V$1,"mmm")&amp;"_"&amp;TEXT(V$1,"yyyy")),MATCH(TRIM($A45),PnL_Accounts,0))</f>
        <v>2717</v>
      </c>
      <c r="W45" s="115">
        <f t="array" aca="1" ref="W45" ca="1">INDEX(INDIRECT("PnL_"&amp;TEXT(W$1,"mmm")&amp;"_"&amp;TEXT(W$1,"yyyy")),MATCH(TRIM($A45),PnL_Accounts,0))</f>
        <v>2782</v>
      </c>
      <c r="X45" s="115">
        <f t="array" aca="1" ref="X45" ca="1">INDEX(INDIRECT("PnL_"&amp;TEXT(X$1,"mmm")&amp;"_"&amp;TEXT(X$1,"yyyy")),MATCH(TRIM($A45),PnL_Accounts,0))</f>
        <v>3780</v>
      </c>
      <c r="Y45" s="115">
        <f t="array" aca="1" ref="Y45" ca="1">INDEX(INDIRECT("PnL_"&amp;TEXT(Y$1,"mmm")&amp;"_"&amp;TEXT(Y$1,"yyyy")),MATCH(TRIM($A45),PnL_Accounts,0))</f>
        <v>1247</v>
      </c>
      <c r="Z45" s="115">
        <f t="array" aca="1" ref="Z45" ca="1">INDEX(INDIRECT("PnL_"&amp;TEXT(Z$1,"mmm")&amp;"_"&amp;TEXT(Z$1,"yyyy")),MATCH(TRIM($A45),PnL_Accounts,0))</f>
        <v>1673</v>
      </c>
      <c r="AA45" s="115">
        <f t="array" aca="1" ref="AA45" ca="1">INDEX(INDIRECT("PnL_"&amp;TEXT(AA$1,"mmm")&amp;"_"&amp;TEXT(AA$1,"yyyy")),MATCH(TRIM($A45),PnL_Accounts,0))</f>
        <v>1374</v>
      </c>
      <c r="AB45" s="115">
        <f t="array" aca="1" ref="AB45" ca="1">INDEX(INDIRECT("PnL_"&amp;TEXT(AB$1,"mmm")&amp;"_"&amp;TEXT(AB$1,"yyyy")),MATCH(TRIM($A45),PnL_Accounts,0))</f>
        <v>1736</v>
      </c>
      <c r="AC45" s="115">
        <f t="array" aca="1" ref="AC45" ca="1">INDEX(INDIRECT("PnL_"&amp;TEXT(AC$1,"mmm")&amp;"_"&amp;TEXT(AC$1,"yyyy")),MATCH(TRIM($A45),PnL_Accounts,0))</f>
        <v>1978</v>
      </c>
      <c r="AD45" s="115">
        <f t="array" aca="1" ref="AD45" ca="1">INDEX(INDIRECT("PnL_"&amp;TEXT(AD$1,"mmm")&amp;"_"&amp;TEXT(AD$1,"yyyy")),MATCH(TRIM($A45),PnL_Accounts,0))</f>
        <v>1978</v>
      </c>
      <c r="AE45" s="115">
        <f t="array" aca="1" ref="AE45" ca="1">INDEX(INDIRECT("PnL_"&amp;TEXT(AE$1,"mmm")&amp;"_"&amp;TEXT(AE$1,"yyyy")),MATCH(TRIM($A45),PnL_Accounts,0))</f>
        <v>200</v>
      </c>
      <c r="AF45" s="165">
        <f t="shared" ref="AF45:BW45" ca="1" si="20">$B45</f>
        <v>1385.3333333333333</v>
      </c>
      <c r="AG45" s="165">
        <f t="shared" ca="1" si="20"/>
        <v>1385.3333333333333</v>
      </c>
      <c r="AH45" s="165">
        <f t="shared" ca="1" si="20"/>
        <v>1385.3333333333333</v>
      </c>
      <c r="AI45" s="165">
        <f t="shared" ca="1" si="20"/>
        <v>1385.3333333333333</v>
      </c>
      <c r="AJ45" s="165">
        <f t="shared" ca="1" si="20"/>
        <v>1385.3333333333333</v>
      </c>
      <c r="AK45" s="165">
        <f t="shared" ca="1" si="20"/>
        <v>1385.3333333333333</v>
      </c>
      <c r="AL45" s="165">
        <f t="shared" ca="1" si="20"/>
        <v>1385.3333333333333</v>
      </c>
      <c r="AM45" s="165">
        <f t="shared" ca="1" si="20"/>
        <v>1385.3333333333333</v>
      </c>
      <c r="AN45" s="165">
        <f t="shared" ca="1" si="20"/>
        <v>1385.3333333333333</v>
      </c>
      <c r="AO45" s="165">
        <f t="shared" ca="1" si="20"/>
        <v>1385.3333333333333</v>
      </c>
      <c r="AP45" s="165">
        <f t="shared" ca="1" si="20"/>
        <v>1385.3333333333333</v>
      </c>
      <c r="AQ45" s="165">
        <f t="shared" ca="1" si="20"/>
        <v>1385.3333333333333</v>
      </c>
      <c r="AR45" s="165">
        <f t="shared" ca="1" si="20"/>
        <v>1385.3333333333333</v>
      </c>
      <c r="AS45" s="165">
        <f t="shared" ca="1" si="20"/>
        <v>1385.3333333333333</v>
      </c>
      <c r="AT45" s="165">
        <f t="shared" ca="1" si="20"/>
        <v>1385.3333333333333</v>
      </c>
      <c r="AU45" s="165">
        <f t="shared" ca="1" si="20"/>
        <v>1385.3333333333333</v>
      </c>
      <c r="AV45" s="165">
        <f t="shared" ca="1" si="20"/>
        <v>1385.3333333333333</v>
      </c>
      <c r="AW45" s="165">
        <f t="shared" ca="1" si="20"/>
        <v>1385.3333333333333</v>
      </c>
      <c r="AX45" s="165">
        <f t="shared" ca="1" si="20"/>
        <v>1385.3333333333333</v>
      </c>
      <c r="AY45" s="165">
        <f t="shared" ca="1" si="20"/>
        <v>1385.3333333333333</v>
      </c>
      <c r="AZ45" s="165">
        <f t="shared" ca="1" si="20"/>
        <v>1385.3333333333333</v>
      </c>
      <c r="BA45" s="165">
        <f t="shared" ca="1" si="20"/>
        <v>1385.3333333333333</v>
      </c>
      <c r="BB45" s="165">
        <f t="shared" ca="1" si="20"/>
        <v>1385.3333333333333</v>
      </c>
      <c r="BC45" s="165">
        <f t="shared" ca="1" si="20"/>
        <v>1385.3333333333333</v>
      </c>
      <c r="BD45" s="165">
        <f t="shared" ca="1" si="20"/>
        <v>1385.3333333333333</v>
      </c>
      <c r="BE45" s="165">
        <f t="shared" ca="1" si="20"/>
        <v>1385.3333333333333</v>
      </c>
      <c r="BF45" s="165">
        <f t="shared" ca="1" si="20"/>
        <v>1385.3333333333333</v>
      </c>
      <c r="BG45" s="165">
        <f t="shared" ca="1" si="20"/>
        <v>1385.3333333333333</v>
      </c>
      <c r="BH45" s="165">
        <f t="shared" ca="1" si="20"/>
        <v>1385.3333333333333</v>
      </c>
      <c r="BI45" s="165">
        <f t="shared" ca="1" si="20"/>
        <v>1385.3333333333333</v>
      </c>
      <c r="BJ45" s="165">
        <f t="shared" ca="1" si="20"/>
        <v>1385.3333333333333</v>
      </c>
      <c r="BK45" s="165">
        <f t="shared" ca="1" si="20"/>
        <v>1385.3333333333333</v>
      </c>
      <c r="BL45" s="165">
        <f t="shared" ca="1" si="20"/>
        <v>1385.3333333333333</v>
      </c>
      <c r="BM45" s="165">
        <f t="shared" ca="1" si="20"/>
        <v>1385.3333333333333</v>
      </c>
      <c r="BN45" s="165">
        <f t="shared" ca="1" si="20"/>
        <v>1385.3333333333333</v>
      </c>
      <c r="BO45" s="165">
        <f t="shared" ca="1" si="20"/>
        <v>1385.3333333333333</v>
      </c>
      <c r="BP45" s="165">
        <f t="shared" ca="1" si="20"/>
        <v>1385.3333333333333</v>
      </c>
      <c r="BQ45" s="165">
        <f t="shared" ca="1" si="20"/>
        <v>1385.3333333333333</v>
      </c>
      <c r="BR45" s="165">
        <f t="shared" ca="1" si="20"/>
        <v>1385.3333333333333</v>
      </c>
      <c r="BS45" s="165">
        <f t="shared" ca="1" si="20"/>
        <v>1385.3333333333333</v>
      </c>
      <c r="BT45" s="165">
        <f t="shared" ca="1" si="20"/>
        <v>1385.3333333333333</v>
      </c>
      <c r="BU45" s="165">
        <f t="shared" ca="1" si="20"/>
        <v>1385.3333333333333</v>
      </c>
      <c r="BV45" s="165">
        <f t="shared" ca="1" si="20"/>
        <v>1385.3333333333333</v>
      </c>
      <c r="BW45" s="165">
        <f t="shared" ca="1" si="20"/>
        <v>1385.3333333333333</v>
      </c>
    </row>
    <row r="46" spans="1:75" ht="12.75" x14ac:dyDescent="0.2">
      <c r="A46" s="60" t="s">
        <v>300</v>
      </c>
      <c r="B46" s="238"/>
      <c r="C46" s="212"/>
      <c r="D46" s="226">
        <f t="shared" ref="D46:BW46" ca="1" si="21">SUM(D43:D45)</f>
        <v>3823</v>
      </c>
      <c r="E46" s="226">
        <f t="shared" ca="1" si="21"/>
        <v>4081</v>
      </c>
      <c r="F46" s="226">
        <f t="shared" ca="1" si="21"/>
        <v>4255</v>
      </c>
      <c r="G46" s="226">
        <f t="shared" ca="1" si="21"/>
        <v>4281</v>
      </c>
      <c r="H46" s="226">
        <f t="shared" ca="1" si="21"/>
        <v>5269</v>
      </c>
      <c r="I46" s="226">
        <f t="shared" ca="1" si="21"/>
        <v>7253</v>
      </c>
      <c r="J46" s="226">
        <f t="shared" ca="1" si="21"/>
        <v>8874</v>
      </c>
      <c r="K46" s="226">
        <f t="shared" ca="1" si="21"/>
        <v>8842</v>
      </c>
      <c r="L46" s="226">
        <f t="shared" ca="1" si="21"/>
        <v>9321</v>
      </c>
      <c r="M46" s="226">
        <f t="shared" ca="1" si="21"/>
        <v>9077</v>
      </c>
      <c r="N46" s="226">
        <f t="shared" ca="1" si="21"/>
        <v>9251</v>
      </c>
      <c r="O46" s="226">
        <f t="shared" ca="1" si="21"/>
        <v>9841</v>
      </c>
      <c r="P46" s="226">
        <f t="shared" ca="1" si="21"/>
        <v>9850</v>
      </c>
      <c r="Q46" s="226">
        <f t="shared" ca="1" si="21"/>
        <v>7557</v>
      </c>
      <c r="R46" s="226">
        <f t="shared" ca="1" si="21"/>
        <v>9292</v>
      </c>
      <c r="S46" s="226">
        <f t="shared" ca="1" si="21"/>
        <v>9157</v>
      </c>
      <c r="T46" s="226">
        <f t="shared" ca="1" si="21"/>
        <v>7323</v>
      </c>
      <c r="U46" s="226">
        <f t="shared" ca="1" si="21"/>
        <v>7861</v>
      </c>
      <c r="V46" s="226">
        <f t="shared" ca="1" si="21"/>
        <v>8179</v>
      </c>
      <c r="W46" s="226">
        <f t="shared" ca="1" si="21"/>
        <v>8301</v>
      </c>
      <c r="X46" s="226">
        <f t="shared" ca="1" si="21"/>
        <v>8355</v>
      </c>
      <c r="Y46" s="226">
        <f t="shared" ca="1" si="21"/>
        <v>2270</v>
      </c>
      <c r="Z46" s="226">
        <f t="shared" ca="1" si="21"/>
        <v>3270</v>
      </c>
      <c r="AA46" s="226">
        <f t="shared" ca="1" si="21"/>
        <v>2628</v>
      </c>
      <c r="AB46" s="226">
        <f t="shared" ca="1" si="21"/>
        <v>3735</v>
      </c>
      <c r="AC46" s="226">
        <f t="shared" ca="1" si="21"/>
        <v>4478</v>
      </c>
      <c r="AD46" s="226">
        <f t="shared" ca="1" si="21"/>
        <v>4478</v>
      </c>
      <c r="AE46" s="226">
        <f t="shared" ca="1" si="21"/>
        <v>12700</v>
      </c>
      <c r="AF46" s="226">
        <f t="shared" ca="1" si="21"/>
        <v>7218.6666666666661</v>
      </c>
      <c r="AG46" s="226">
        <f t="shared" ca="1" si="21"/>
        <v>7218.6666666666661</v>
      </c>
      <c r="AH46" s="226">
        <f t="shared" ca="1" si="21"/>
        <v>7218.6666666666661</v>
      </c>
      <c r="AI46" s="226">
        <f t="shared" ca="1" si="21"/>
        <v>7218.6666666666661</v>
      </c>
      <c r="AJ46" s="226">
        <f t="shared" ca="1" si="21"/>
        <v>7218.6666666666661</v>
      </c>
      <c r="AK46" s="226">
        <f t="shared" ca="1" si="21"/>
        <v>7218.6666666666661</v>
      </c>
      <c r="AL46" s="226">
        <f t="shared" ca="1" si="21"/>
        <v>7218.6666666666661</v>
      </c>
      <c r="AM46" s="226">
        <f t="shared" ca="1" si="21"/>
        <v>7218.6666666666661</v>
      </c>
      <c r="AN46" s="226">
        <f t="shared" ca="1" si="21"/>
        <v>7218.6666666666661</v>
      </c>
      <c r="AO46" s="226">
        <f t="shared" ca="1" si="21"/>
        <v>7218.6666666666661</v>
      </c>
      <c r="AP46" s="226">
        <f t="shared" ca="1" si="21"/>
        <v>7218.6666666666661</v>
      </c>
      <c r="AQ46" s="226">
        <f t="shared" ca="1" si="21"/>
        <v>7218.6666666666661</v>
      </c>
      <c r="AR46" s="226">
        <f t="shared" ca="1" si="21"/>
        <v>7218.6666666666661</v>
      </c>
      <c r="AS46" s="226">
        <f t="shared" ca="1" si="21"/>
        <v>7218.6666666666661</v>
      </c>
      <c r="AT46" s="226">
        <f t="shared" ca="1" si="21"/>
        <v>7218.6666666666661</v>
      </c>
      <c r="AU46" s="226">
        <f t="shared" ca="1" si="21"/>
        <v>7218.6666666666661</v>
      </c>
      <c r="AV46" s="226">
        <f t="shared" ca="1" si="21"/>
        <v>7218.6666666666661</v>
      </c>
      <c r="AW46" s="226">
        <f t="shared" ca="1" si="21"/>
        <v>7218.6666666666661</v>
      </c>
      <c r="AX46" s="226">
        <f t="shared" ca="1" si="21"/>
        <v>7218.6666666666661</v>
      </c>
      <c r="AY46" s="226">
        <f t="shared" ca="1" si="21"/>
        <v>7218.6666666666661</v>
      </c>
      <c r="AZ46" s="226">
        <f t="shared" ca="1" si="21"/>
        <v>7218.6666666666661</v>
      </c>
      <c r="BA46" s="226">
        <f t="shared" ca="1" si="21"/>
        <v>7218.6666666666661</v>
      </c>
      <c r="BB46" s="226">
        <f t="shared" ca="1" si="21"/>
        <v>7218.6666666666661</v>
      </c>
      <c r="BC46" s="226">
        <f t="shared" ca="1" si="21"/>
        <v>7218.6666666666661</v>
      </c>
      <c r="BD46" s="226">
        <f t="shared" ca="1" si="21"/>
        <v>7218.6666666666661</v>
      </c>
      <c r="BE46" s="226">
        <f t="shared" ca="1" si="21"/>
        <v>7218.6666666666661</v>
      </c>
      <c r="BF46" s="226">
        <f t="shared" ca="1" si="21"/>
        <v>7218.6666666666661</v>
      </c>
      <c r="BG46" s="226">
        <f t="shared" ca="1" si="21"/>
        <v>7218.6666666666661</v>
      </c>
      <c r="BH46" s="226">
        <f t="shared" ca="1" si="21"/>
        <v>7218.6666666666661</v>
      </c>
      <c r="BI46" s="226">
        <f t="shared" ca="1" si="21"/>
        <v>7218.6666666666661</v>
      </c>
      <c r="BJ46" s="226">
        <f t="shared" ca="1" si="21"/>
        <v>7218.6666666666661</v>
      </c>
      <c r="BK46" s="226">
        <f t="shared" ca="1" si="21"/>
        <v>7218.6666666666661</v>
      </c>
      <c r="BL46" s="226">
        <f t="shared" ca="1" si="21"/>
        <v>7218.6666666666661</v>
      </c>
      <c r="BM46" s="226">
        <f t="shared" ca="1" si="21"/>
        <v>7218.6666666666661</v>
      </c>
      <c r="BN46" s="226">
        <f t="shared" ca="1" si="21"/>
        <v>7218.6666666666661</v>
      </c>
      <c r="BO46" s="226">
        <f t="shared" ca="1" si="21"/>
        <v>7218.6666666666661</v>
      </c>
      <c r="BP46" s="226">
        <f t="shared" ca="1" si="21"/>
        <v>7218.6666666666661</v>
      </c>
      <c r="BQ46" s="226">
        <f t="shared" ca="1" si="21"/>
        <v>7218.6666666666661</v>
      </c>
      <c r="BR46" s="226">
        <f t="shared" ca="1" si="21"/>
        <v>7218.6666666666661</v>
      </c>
      <c r="BS46" s="226">
        <f t="shared" ca="1" si="21"/>
        <v>7218.6666666666661</v>
      </c>
      <c r="BT46" s="226">
        <f t="shared" ca="1" si="21"/>
        <v>7218.6666666666661</v>
      </c>
      <c r="BU46" s="226">
        <f t="shared" ca="1" si="21"/>
        <v>7218.6666666666661</v>
      </c>
      <c r="BV46" s="226">
        <f t="shared" ca="1" si="21"/>
        <v>7218.6666666666661</v>
      </c>
      <c r="BW46" s="226">
        <f t="shared" ca="1" si="21"/>
        <v>7218.6666666666661</v>
      </c>
    </row>
    <row r="47" spans="1:75" ht="12.75" x14ac:dyDescent="0.2">
      <c r="A47" s="23" t="s">
        <v>301</v>
      </c>
      <c r="B47" s="221"/>
      <c r="D47" s="115">
        <f t="array" aca="1" ref="D47" ca="1">INDEX(INDIRECT("PnL_"&amp;TEXT(D$1,"mmm")&amp;"_"&amp;TEXT(D$1,"yyyy")),MATCH(TRIM($A47),PnL_Accounts,0))</f>
        <v>0</v>
      </c>
      <c r="E47" s="115">
        <f t="array" aca="1" ref="E47" ca="1">INDEX(INDIRECT("PnL_"&amp;TEXT(E$1,"mmm")&amp;"_"&amp;TEXT(E$1,"yyyy")),MATCH(TRIM($A47),PnL_Accounts,0))</f>
        <v>0</v>
      </c>
      <c r="F47" s="115">
        <f t="array" aca="1" ref="F47" ca="1">INDEX(INDIRECT("PnL_"&amp;TEXT(F$1,"mmm")&amp;"_"&amp;TEXT(F$1,"yyyy")),MATCH(TRIM($A47),PnL_Accounts,0))</f>
        <v>0</v>
      </c>
      <c r="G47" s="115">
        <f t="array" aca="1" ref="G47" ca="1">INDEX(INDIRECT("PnL_"&amp;TEXT(G$1,"mmm")&amp;"_"&amp;TEXT(G$1,"yyyy")),MATCH(TRIM($A47),PnL_Accounts,0))</f>
        <v>0</v>
      </c>
      <c r="H47" s="115">
        <f t="array" aca="1" ref="H47" ca="1">INDEX(INDIRECT("PnL_"&amp;TEXT(H$1,"mmm")&amp;"_"&amp;TEXT(H$1,"yyyy")),MATCH(TRIM($A47),PnL_Accounts,0))</f>
        <v>0</v>
      </c>
      <c r="I47" s="115">
        <f t="array" aca="1" ref="I47" ca="1">INDEX(INDIRECT("PnL_"&amp;TEXT(I$1,"mmm")&amp;"_"&amp;TEXT(I$1,"yyyy")),MATCH(TRIM($A47),PnL_Accounts,0))</f>
        <v>0</v>
      </c>
      <c r="J47" s="115">
        <f t="array" aca="1" ref="J47" ca="1">INDEX(INDIRECT("PnL_"&amp;TEXT(J$1,"mmm")&amp;"_"&amp;TEXT(J$1,"yyyy")),MATCH(TRIM($A47),PnL_Accounts,0))</f>
        <v>0</v>
      </c>
      <c r="K47" s="115">
        <f t="array" aca="1" ref="K47" ca="1">INDEX(INDIRECT("PnL_"&amp;TEXT(K$1,"mmm")&amp;"_"&amp;TEXT(K$1,"yyyy")),MATCH(TRIM($A47),PnL_Accounts,0))</f>
        <v>0</v>
      </c>
      <c r="L47" s="115">
        <f t="array" aca="1" ref="L47" ca="1">INDEX(INDIRECT("PnL_"&amp;TEXT(L$1,"mmm")&amp;"_"&amp;TEXT(L$1,"yyyy")),MATCH(TRIM($A47),PnL_Accounts,0))</f>
        <v>0</v>
      </c>
      <c r="M47" s="115">
        <f t="array" aca="1" ref="M47" ca="1">INDEX(INDIRECT("PnL_"&amp;TEXT(M$1,"mmm")&amp;"_"&amp;TEXT(M$1,"yyyy")),MATCH(TRIM($A47),PnL_Accounts,0))</f>
        <v>0</v>
      </c>
      <c r="N47" s="115">
        <f t="array" aca="1" ref="N47" ca="1">INDEX(INDIRECT("PnL_"&amp;TEXT(N$1,"mmm")&amp;"_"&amp;TEXT(N$1,"yyyy")),MATCH(TRIM($A47),PnL_Accounts,0))</f>
        <v>0</v>
      </c>
      <c r="O47" s="115">
        <f t="array" aca="1" ref="O47" ca="1">INDEX(INDIRECT("PnL_"&amp;TEXT(O$1,"mmm")&amp;"_"&amp;TEXT(O$1,"yyyy")),MATCH(TRIM($A47),PnL_Accounts,0))</f>
        <v>0</v>
      </c>
      <c r="P47" s="115">
        <f t="array" aca="1" ref="P47" ca="1">INDEX(INDIRECT("PnL_"&amp;TEXT(P$1,"mmm")&amp;"_"&amp;TEXT(P$1,"yyyy")),MATCH(TRIM($A47),PnL_Accounts,0))</f>
        <v>0</v>
      </c>
      <c r="Q47" s="115">
        <f t="array" aca="1" ref="Q47" ca="1">INDEX(INDIRECT("PnL_"&amp;TEXT(Q$1,"mmm")&amp;"_"&amp;TEXT(Q$1,"yyyy")),MATCH(TRIM($A47),PnL_Accounts,0))</f>
        <v>0</v>
      </c>
      <c r="R47" s="115">
        <f t="array" aca="1" ref="R47" ca="1">INDEX(INDIRECT("PnL_"&amp;TEXT(R$1,"mmm")&amp;"_"&amp;TEXT(R$1,"yyyy")),MATCH(TRIM($A47),PnL_Accounts,0))</f>
        <v>0</v>
      </c>
      <c r="S47" s="115">
        <f t="array" aca="1" ref="S47" ca="1">INDEX(INDIRECT("PnL_"&amp;TEXT(S$1,"mmm")&amp;"_"&amp;TEXT(S$1,"yyyy")),MATCH(TRIM($A47),PnL_Accounts,0))</f>
        <v>0</v>
      </c>
      <c r="T47" s="115">
        <f t="array" aca="1" ref="T47" ca="1">INDEX(INDIRECT("PnL_"&amp;TEXT(T$1,"mmm")&amp;"_"&amp;TEXT(T$1,"yyyy")),MATCH(TRIM($A47),PnL_Accounts,0))</f>
        <v>0</v>
      </c>
      <c r="U47" s="115">
        <f t="array" aca="1" ref="U47" ca="1">INDEX(INDIRECT("PnL_"&amp;TEXT(U$1,"mmm")&amp;"_"&amp;TEXT(U$1,"yyyy")),MATCH(TRIM($A47),PnL_Accounts,0))</f>
        <v>0</v>
      </c>
      <c r="V47" s="115">
        <f t="array" aca="1" ref="V47" ca="1">INDEX(INDIRECT("PnL_"&amp;TEXT(V$1,"mmm")&amp;"_"&amp;TEXT(V$1,"yyyy")),MATCH(TRIM($A47),PnL_Accounts,0))</f>
        <v>0</v>
      </c>
      <c r="W47" s="115">
        <f t="array" aca="1" ref="W47" ca="1">INDEX(INDIRECT("PnL_"&amp;TEXT(W$1,"mmm")&amp;"_"&amp;TEXT(W$1,"yyyy")),MATCH(TRIM($A47),PnL_Accounts,0))</f>
        <v>0</v>
      </c>
      <c r="X47" s="115">
        <f t="array" aca="1" ref="X47" ca="1">INDEX(INDIRECT("PnL_"&amp;TEXT(X$1,"mmm")&amp;"_"&amp;TEXT(X$1,"yyyy")),MATCH(TRIM($A47),PnL_Accounts,0))</f>
        <v>0</v>
      </c>
      <c r="Y47" s="115">
        <f t="array" aca="1" ref="Y47" ca="1">INDEX(INDIRECT("PnL_"&amp;TEXT(Y$1,"mmm")&amp;"_"&amp;TEXT(Y$1,"yyyy")),MATCH(TRIM($A47),PnL_Accounts,0))</f>
        <v>0</v>
      </c>
      <c r="Z47" s="115">
        <f t="array" aca="1" ref="Z47" ca="1">INDEX(INDIRECT("PnL_"&amp;TEXT(Z$1,"mmm")&amp;"_"&amp;TEXT(Z$1,"yyyy")),MATCH(TRIM($A47),PnL_Accounts,0))</f>
        <v>0</v>
      </c>
      <c r="AA47" s="115">
        <f t="array" aca="1" ref="AA47" ca="1">INDEX(INDIRECT("PnL_"&amp;TEXT(AA$1,"mmm")&amp;"_"&amp;TEXT(AA$1,"yyyy")),MATCH(TRIM($A47),PnL_Accounts,0))</f>
        <v>0</v>
      </c>
      <c r="AB47" s="115">
        <f t="array" aca="1" ref="AB47" ca="1">INDEX(INDIRECT("PnL_"&amp;TEXT(AB$1,"mmm")&amp;"_"&amp;TEXT(AB$1,"yyyy")),MATCH(TRIM($A47),PnL_Accounts,0))</f>
        <v>0</v>
      </c>
      <c r="AC47" s="115">
        <f t="array" aca="1" ref="AC47" ca="1">INDEX(INDIRECT("PnL_"&amp;TEXT(AC$1,"mmm")&amp;"_"&amp;TEXT(AC$1,"yyyy")),MATCH(TRIM($A47),PnL_Accounts,0))</f>
        <v>0</v>
      </c>
      <c r="AD47" s="115">
        <f t="array" aca="1" ref="AD47" ca="1">INDEX(INDIRECT("PnL_"&amp;TEXT(AD$1,"mmm")&amp;"_"&amp;TEXT(AD$1,"yyyy")),MATCH(TRIM($A47),PnL_Accounts,0))</f>
        <v>0</v>
      </c>
      <c r="AE47" s="115">
        <f t="array" aca="1" ref="AE47" ca="1">INDEX(INDIRECT("PnL_"&amp;TEXT(AE$1,"mmm")&amp;"_"&amp;TEXT(AE$1,"yyyy")),MATCH(TRIM($A47),PnL_Accounts,0))</f>
        <v>0</v>
      </c>
    </row>
    <row r="48" spans="1:75" ht="12.75" x14ac:dyDescent="0.2">
      <c r="A48" s="23" t="s">
        <v>302</v>
      </c>
      <c r="B48" s="224">
        <f ca="1">AVERAGEIFS(48:48,$1:$1,"&gt;="&amp;DATE(YEAR(Current_Month),MONTH(Current_Month)-2,DAY(Current_Month)),$1:$1,"&lt;="&amp;EOMONTH(Current_Month,0))</f>
        <v>1994</v>
      </c>
      <c r="D48" s="115">
        <f t="array" aca="1" ref="D48" ca="1">INDEX(INDIRECT("PnL_"&amp;TEXT(D$1,"mmm")&amp;"_"&amp;TEXT(D$1,"yyyy")),MATCH(TRIM($A48),PnL_Accounts,0))</f>
        <v>900</v>
      </c>
      <c r="E48" s="115">
        <f t="array" aca="1" ref="E48" ca="1">INDEX(INDIRECT("PnL_"&amp;TEXT(E$1,"mmm")&amp;"_"&amp;TEXT(E$1,"yyyy")),MATCH(TRIM($A48),PnL_Accounts,0))</f>
        <v>900</v>
      </c>
      <c r="F48" s="115">
        <f t="array" aca="1" ref="F48" ca="1">INDEX(INDIRECT("PnL_"&amp;TEXT(F$1,"mmm")&amp;"_"&amp;TEXT(F$1,"yyyy")),MATCH(TRIM($A48),PnL_Accounts,0))</f>
        <v>900</v>
      </c>
      <c r="G48" s="115">
        <f t="array" aca="1" ref="G48" ca="1">INDEX(INDIRECT("PnL_"&amp;TEXT(G$1,"mmm")&amp;"_"&amp;TEXT(G$1,"yyyy")),MATCH(TRIM($A48),PnL_Accounts,0))</f>
        <v>900</v>
      </c>
      <c r="H48" s="115">
        <f t="array" aca="1" ref="H48" ca="1">INDEX(INDIRECT("PnL_"&amp;TEXT(H$1,"mmm")&amp;"_"&amp;TEXT(H$1,"yyyy")),MATCH(TRIM($A48),PnL_Accounts,0))</f>
        <v>900</v>
      </c>
      <c r="I48" s="115">
        <f t="array" aca="1" ref="I48" ca="1">INDEX(INDIRECT("PnL_"&amp;TEXT(I$1,"mmm")&amp;"_"&amp;TEXT(I$1,"yyyy")),MATCH(TRIM($A48),PnL_Accounts,0))</f>
        <v>900</v>
      </c>
      <c r="J48" s="115">
        <f t="array" aca="1" ref="J48" ca="1">INDEX(INDIRECT("PnL_"&amp;TEXT(J$1,"mmm")&amp;"_"&amp;TEXT(J$1,"yyyy")),MATCH(TRIM($A48),PnL_Accounts,0))</f>
        <v>900</v>
      </c>
      <c r="K48" s="115">
        <f t="array" aca="1" ref="K48" ca="1">INDEX(INDIRECT("PnL_"&amp;TEXT(K$1,"mmm")&amp;"_"&amp;TEXT(K$1,"yyyy")),MATCH(TRIM($A48),PnL_Accounts,0))</f>
        <v>900</v>
      </c>
      <c r="L48" s="115">
        <f t="array" aca="1" ref="L48" ca="1">INDEX(INDIRECT("PnL_"&amp;TEXT(L$1,"mmm")&amp;"_"&amp;TEXT(L$1,"yyyy")),MATCH(TRIM($A48),PnL_Accounts,0))</f>
        <v>1097</v>
      </c>
      <c r="M48" s="115">
        <f t="array" aca="1" ref="M48" ca="1">INDEX(INDIRECT("PnL_"&amp;TEXT(M$1,"mmm")&amp;"_"&amp;TEXT(M$1,"yyyy")),MATCH(TRIM($A48),PnL_Accounts,0))</f>
        <v>1097</v>
      </c>
      <c r="N48" s="115">
        <f t="array" aca="1" ref="N48" ca="1">INDEX(INDIRECT("PnL_"&amp;TEXT(N$1,"mmm")&amp;"_"&amp;TEXT(N$1,"yyyy")),MATCH(TRIM($A48),PnL_Accounts,0))</f>
        <v>1097</v>
      </c>
      <c r="O48" s="115">
        <f t="array" aca="1" ref="O48" ca="1">INDEX(INDIRECT("PnL_"&amp;TEXT(O$1,"mmm")&amp;"_"&amp;TEXT(O$1,"yyyy")),MATCH(TRIM($A48),PnL_Accounts,0))</f>
        <v>1097</v>
      </c>
      <c r="P48" s="115">
        <f t="array" aca="1" ref="P48" ca="1">INDEX(INDIRECT("PnL_"&amp;TEXT(P$1,"mmm")&amp;"_"&amp;TEXT(P$1,"yyyy")),MATCH(TRIM($A48),PnL_Accounts,0))</f>
        <v>1097</v>
      </c>
      <c r="Q48" s="115">
        <f t="array" aca="1" ref="Q48" ca="1">INDEX(INDIRECT("PnL_"&amp;TEXT(Q$1,"mmm")&amp;"_"&amp;TEXT(Q$1,"yyyy")),MATCH(TRIM($A48),PnL_Accounts,0))</f>
        <v>1294</v>
      </c>
      <c r="R48" s="115">
        <f t="array" aca="1" ref="R48" ca="1">INDEX(INDIRECT("PnL_"&amp;TEXT(R$1,"mmm")&amp;"_"&amp;TEXT(R$1,"yyyy")),MATCH(TRIM($A48),PnL_Accounts,0))</f>
        <v>1294</v>
      </c>
      <c r="S48" s="115">
        <f t="array" aca="1" ref="S48" ca="1">INDEX(INDIRECT("PnL_"&amp;TEXT(S$1,"mmm")&amp;"_"&amp;TEXT(S$1,"yyyy")),MATCH(TRIM($A48),PnL_Accounts,0))</f>
        <v>1294</v>
      </c>
      <c r="T48" s="115">
        <f t="array" aca="1" ref="T48" ca="1">INDEX(INDIRECT("PnL_"&amp;TEXT(T$1,"mmm")&amp;"_"&amp;TEXT(T$1,"yyyy")),MATCH(TRIM($A48),PnL_Accounts,0))</f>
        <v>1794</v>
      </c>
      <c r="U48" s="115">
        <f t="array" aca="1" ref="U48" ca="1">INDEX(INDIRECT("PnL_"&amp;TEXT(U$1,"mmm")&amp;"_"&amp;TEXT(U$1,"yyyy")),MATCH(TRIM($A48),PnL_Accounts,0))</f>
        <v>1794</v>
      </c>
      <c r="V48" s="115">
        <f t="array" aca="1" ref="V48" ca="1">INDEX(INDIRECT("PnL_"&amp;TEXT(V$1,"mmm")&amp;"_"&amp;TEXT(V$1,"yyyy")),MATCH(TRIM($A48),PnL_Accounts,0))</f>
        <v>1794</v>
      </c>
      <c r="W48" s="115">
        <f t="array" aca="1" ref="W48" ca="1">INDEX(INDIRECT("PnL_"&amp;TEXT(W$1,"mmm")&amp;"_"&amp;TEXT(W$1,"yyyy")),MATCH(TRIM($A48),PnL_Accounts,0))</f>
        <v>1794</v>
      </c>
      <c r="X48" s="115">
        <f t="array" aca="1" ref="X48" ca="1">INDEX(INDIRECT("PnL_"&amp;TEXT(X$1,"mmm")&amp;"_"&amp;TEXT(X$1,"yyyy")),MATCH(TRIM($A48),PnL_Accounts,0))</f>
        <v>1794</v>
      </c>
      <c r="Y48" s="115">
        <f t="array" aca="1" ref="Y48" ca="1">INDEX(INDIRECT("PnL_"&amp;TEXT(Y$1,"mmm")&amp;"_"&amp;TEXT(Y$1,"yyyy")),MATCH(TRIM($A48),PnL_Accounts,0))</f>
        <v>1794</v>
      </c>
      <c r="Z48" s="115">
        <f t="array" aca="1" ref="Z48" ca="1">INDEX(INDIRECT("PnL_"&amp;TEXT(Z$1,"mmm")&amp;"_"&amp;TEXT(Z$1,"yyyy")),MATCH(TRIM($A48),PnL_Accounts,0))</f>
        <v>1978</v>
      </c>
      <c r="AA48" s="115">
        <f t="array" aca="1" ref="AA48" ca="1">INDEX(INDIRECT("PnL_"&amp;TEXT(AA$1,"mmm")&amp;"_"&amp;TEXT(AA$1,"yyyy")),MATCH(TRIM($A48),PnL_Accounts,0))</f>
        <v>1994</v>
      </c>
      <c r="AB48" s="115">
        <f t="array" aca="1" ref="AB48" ca="1">INDEX(INDIRECT("PnL_"&amp;TEXT(AB$1,"mmm")&amp;"_"&amp;TEXT(AB$1,"yyyy")),MATCH(TRIM($A48),PnL_Accounts,0))</f>
        <v>1994</v>
      </c>
      <c r="AC48" s="115">
        <f t="array" aca="1" ref="AC48" ca="1">INDEX(INDIRECT("PnL_"&amp;TEXT(AC$1,"mmm")&amp;"_"&amp;TEXT(AC$1,"yyyy")),MATCH(TRIM($A48),PnL_Accounts,0))</f>
        <v>1994</v>
      </c>
      <c r="AD48" s="115">
        <f t="array" aca="1" ref="AD48" ca="1">INDEX(INDIRECT("PnL_"&amp;TEXT(AD$1,"mmm")&amp;"_"&amp;TEXT(AD$1,"yyyy")),MATCH(TRIM($A48),PnL_Accounts,0))</f>
        <v>1994</v>
      </c>
      <c r="AE48" s="115">
        <f t="array" aca="1" ref="AE48" ca="1">INDEX(INDIRECT("PnL_"&amp;TEXT(AE$1,"mmm")&amp;"_"&amp;TEXT(AE$1,"yyyy")),MATCH(TRIM($A48),PnL_Accounts,0))</f>
        <v>1994</v>
      </c>
      <c r="AF48" s="25">
        <f t="array" ref="AF48">INDEX(Hiring_Plan_Benefits_General_Worst_Case,MATCH(AF$1,Hiring_Plan_Months_Worst_Case,0))</f>
        <v>1675</v>
      </c>
      <c r="AG48" s="25">
        <f t="array" ref="AG48">INDEX(Hiring_Plan_Benefits_General_Worst_Case,MATCH(AG$1,Hiring_Plan_Months_Worst_Case,0))</f>
        <v>1675</v>
      </c>
      <c r="AH48" s="25">
        <f t="array" ref="AH48">INDEX(Hiring_Plan_Benefits_General_Worst_Case,MATCH(AH$1,Hiring_Plan_Months_Worst_Case,0))</f>
        <v>1675</v>
      </c>
      <c r="AI48" s="25">
        <f t="array" ref="AI48">INDEX(Hiring_Plan_Benefits_General_Worst_Case,MATCH(AI$1,Hiring_Plan_Months_Worst_Case,0))</f>
        <v>1675</v>
      </c>
      <c r="AJ48" s="25">
        <f t="array" ref="AJ48">INDEX(Hiring_Plan_Benefits_General_Worst_Case,MATCH(AJ$1,Hiring_Plan_Months_Worst_Case,0))</f>
        <v>1675</v>
      </c>
      <c r="AK48" s="25">
        <f t="array" ref="AK48">INDEX(Hiring_Plan_Benefits_General_Worst_Case,MATCH(AK$1,Hiring_Plan_Months_Worst_Case,0))</f>
        <v>1675</v>
      </c>
      <c r="AL48" s="25">
        <f t="array" ref="AL48">INDEX(Hiring_Plan_Benefits_General_Worst_Case,MATCH(AL$1,Hiring_Plan_Months_Worst_Case,0))</f>
        <v>1675</v>
      </c>
      <c r="AM48" s="25">
        <f t="array" ref="AM48">INDEX(Hiring_Plan_Benefits_General_Worst_Case,MATCH(AM$1,Hiring_Plan_Months_Worst_Case,0))</f>
        <v>1675</v>
      </c>
      <c r="AN48" s="25">
        <f t="array" ref="AN48">INDEX(Hiring_Plan_Benefits_General_Worst_Case,MATCH(AN$1,Hiring_Plan_Months_Worst_Case,0))</f>
        <v>1675</v>
      </c>
      <c r="AO48" s="25">
        <f t="array" ref="AO48">INDEX(Hiring_Plan_Benefits_General_Worst_Case,MATCH(AO$1,Hiring_Plan_Months_Worst_Case,0))</f>
        <v>1675</v>
      </c>
      <c r="AP48" s="25">
        <f t="array" ref="AP48">INDEX(Hiring_Plan_Benefits_General_Worst_Case,MATCH(AP$1,Hiring_Plan_Months_Worst_Case,0))</f>
        <v>1675</v>
      </c>
      <c r="AQ48" s="25">
        <f t="array" ref="AQ48">INDEX(Hiring_Plan_Benefits_General_Worst_Case,MATCH(AQ$1,Hiring_Plan_Months_Worst_Case,0))</f>
        <v>1675</v>
      </c>
      <c r="AR48" s="25">
        <f t="array" ref="AR48">INDEX(Hiring_Plan_Benefits_General_Worst_Case,MATCH(AR$1,Hiring_Plan_Months_Worst_Case,0))</f>
        <v>1675</v>
      </c>
      <c r="AS48" s="25">
        <f t="array" ref="AS48">INDEX(Hiring_Plan_Benefits_General_Worst_Case,MATCH(AS$1,Hiring_Plan_Months_Worst_Case,0))</f>
        <v>1675</v>
      </c>
      <c r="AT48" s="25">
        <f t="array" ref="AT48">INDEX(Hiring_Plan_Benefits_General_Worst_Case,MATCH(AT$1,Hiring_Plan_Months_Worst_Case,0))</f>
        <v>1675</v>
      </c>
      <c r="AU48" s="25">
        <f t="array" ref="AU48">INDEX(Hiring_Plan_Benefits_General_Worst_Case,MATCH(AU$1,Hiring_Plan_Months_Worst_Case,0))</f>
        <v>1675</v>
      </c>
      <c r="AV48" s="25">
        <f t="array" ref="AV48">INDEX(Hiring_Plan_Benefits_General_Worst_Case,MATCH(AV$1,Hiring_Plan_Months_Worst_Case,0))</f>
        <v>1675</v>
      </c>
      <c r="AW48" s="25">
        <f t="array" ref="AW48">INDEX(Hiring_Plan_Benefits_General_Worst_Case,MATCH(AW$1,Hiring_Plan_Months_Worst_Case,0))</f>
        <v>1675</v>
      </c>
      <c r="AX48" s="25">
        <f t="array" ref="AX48">INDEX(Hiring_Plan_Benefits_General_Worst_Case,MATCH(AX$1,Hiring_Plan_Months_Worst_Case,0))</f>
        <v>1675</v>
      </c>
      <c r="AY48" s="25">
        <f t="array" ref="AY48">INDEX(Hiring_Plan_Benefits_General_Worst_Case,MATCH(AY$1,Hiring_Plan_Months_Worst_Case,0))</f>
        <v>1675</v>
      </c>
      <c r="AZ48" s="25">
        <f t="array" ref="AZ48">INDEX(Hiring_Plan_Benefits_General_Worst_Case,MATCH(AZ$1,Hiring_Plan_Months_Worst_Case,0))</f>
        <v>1675</v>
      </c>
      <c r="BA48" s="25">
        <f t="array" ref="BA48">INDEX(Hiring_Plan_Benefits_General_Worst_Case,MATCH(BA$1,Hiring_Plan_Months_Worst_Case,0))</f>
        <v>1675</v>
      </c>
      <c r="BB48" s="25">
        <f t="array" ref="BB48">INDEX(Hiring_Plan_Benefits_General_Worst_Case,MATCH(BB$1,Hiring_Plan_Months_Worst_Case,0))</f>
        <v>1675</v>
      </c>
      <c r="BC48" s="25">
        <f t="array" ref="BC48">INDEX(Hiring_Plan_Benefits_General_Worst_Case,MATCH(BC$1,Hiring_Plan_Months_Worst_Case,0))</f>
        <v>1675</v>
      </c>
      <c r="BD48" s="25">
        <f t="array" ref="BD48">INDEX(Hiring_Plan_Benefits_General_Worst_Case,MATCH(BD$1,Hiring_Plan_Months_Worst_Case,0))</f>
        <v>1675</v>
      </c>
      <c r="BE48" s="25">
        <f t="array" ref="BE48">INDEX(Hiring_Plan_Benefits_General_Worst_Case,MATCH(BE$1,Hiring_Plan_Months_Worst_Case,0))</f>
        <v>1675</v>
      </c>
      <c r="BF48" s="25">
        <f t="array" ref="BF48">INDEX(Hiring_Plan_Benefits_General_Worst_Case,MATCH(BF$1,Hiring_Plan_Months_Worst_Case,0))</f>
        <v>1675</v>
      </c>
      <c r="BG48" s="25">
        <f t="array" ref="BG48">INDEX(Hiring_Plan_Benefits_General_Worst_Case,MATCH(BG$1,Hiring_Plan_Months_Worst_Case,0))</f>
        <v>1675</v>
      </c>
      <c r="BH48" s="25">
        <f t="array" ref="BH48">INDEX(Hiring_Plan_Benefits_General_Worst_Case,MATCH(BH$1,Hiring_Plan_Months_Worst_Case,0))</f>
        <v>1675</v>
      </c>
      <c r="BI48" s="25">
        <f t="array" ref="BI48">INDEX(Hiring_Plan_Benefits_General_Worst_Case,MATCH(BI$1,Hiring_Plan_Months_Worst_Case,0))</f>
        <v>1675</v>
      </c>
      <c r="BJ48" s="25">
        <f t="array" ref="BJ48">INDEX(Hiring_Plan_Benefits_General_Worst_Case,MATCH(BJ$1,Hiring_Plan_Months_Worst_Case,0))</f>
        <v>1675</v>
      </c>
      <c r="BK48" s="25">
        <f t="array" ref="BK48">INDEX(Hiring_Plan_Benefits_General_Worst_Case,MATCH(BK$1,Hiring_Plan_Months_Worst_Case,0))</f>
        <v>1675</v>
      </c>
      <c r="BL48" s="25">
        <f t="array" ref="BL48">INDEX(Hiring_Plan_Benefits_General_Worst_Case,MATCH(BL$1,Hiring_Plan_Months_Worst_Case,0))</f>
        <v>1675</v>
      </c>
      <c r="BM48" s="25">
        <f t="array" ref="BM48">INDEX(Hiring_Plan_Benefits_General_Worst_Case,MATCH(BM$1,Hiring_Plan_Months_Worst_Case,0))</f>
        <v>1675</v>
      </c>
      <c r="BN48" s="25">
        <f t="array" ref="BN48">INDEX(Hiring_Plan_Benefits_General_Worst_Case,MATCH(BN$1,Hiring_Plan_Months_Worst_Case,0))</f>
        <v>1675</v>
      </c>
      <c r="BO48" s="25">
        <f t="array" ref="BO48">INDEX(Hiring_Plan_Benefits_General_Worst_Case,MATCH(BO$1,Hiring_Plan_Months_Worst_Case,0))</f>
        <v>1675</v>
      </c>
      <c r="BP48" s="25">
        <f t="array" ref="BP48">INDEX(Hiring_Plan_Benefits_General_Worst_Case,MATCH(BP$1,Hiring_Plan_Months_Worst_Case,0))</f>
        <v>1675</v>
      </c>
      <c r="BQ48" s="25">
        <f t="array" ref="BQ48">INDEX(Hiring_Plan_Benefits_General_Worst_Case,MATCH(BQ$1,Hiring_Plan_Months_Worst_Case,0))</f>
        <v>1675</v>
      </c>
      <c r="BR48" s="25">
        <f t="array" ref="BR48">INDEX(Hiring_Plan_Benefits_General_Worst_Case,MATCH(BR$1,Hiring_Plan_Months_Worst_Case,0))</f>
        <v>1675</v>
      </c>
      <c r="BS48" s="25">
        <f t="array" ref="BS48">INDEX(Hiring_Plan_Benefits_General_Worst_Case,MATCH(BS$1,Hiring_Plan_Months_Worst_Case,0))</f>
        <v>1675</v>
      </c>
      <c r="BT48" s="25">
        <f t="array" ref="BT48">INDEX(Hiring_Plan_Benefits_General_Worst_Case,MATCH(BT$1,Hiring_Plan_Months_Worst_Case,0))</f>
        <v>1675</v>
      </c>
      <c r="BU48" s="25">
        <f t="array" ref="BU48">INDEX(Hiring_Plan_Benefits_General_Worst_Case,MATCH(BU$1,Hiring_Plan_Months_Worst_Case,0))</f>
        <v>1675</v>
      </c>
      <c r="BV48" s="25">
        <f t="array" ref="BV48">INDEX(Hiring_Plan_Benefits_General_Worst_Case,MATCH(BV$1,Hiring_Plan_Months_Worst_Case,0))</f>
        <v>1675</v>
      </c>
      <c r="BW48" s="25">
        <f t="array" ref="BW48">INDEX(Hiring_Plan_Benefits_General_Worst_Case,MATCH(BW$1,Hiring_Plan_Months_Worst_Case,0))</f>
        <v>1675</v>
      </c>
    </row>
    <row r="49" spans="1:75" ht="12.75" x14ac:dyDescent="0.2">
      <c r="A49" s="23" t="s">
        <v>303</v>
      </c>
      <c r="B49" s="224">
        <f ca="1">AVERAGEIFS(49:49,$1:$1,"&gt;="&amp;DATE(YEAR(Current_Month),MONTH(Current_Month)-2,DAY(Current_Month)),$1:$1,"&lt;="&amp;EOMONTH(Current_Month,0))</f>
        <v>2383</v>
      </c>
      <c r="D49" s="115">
        <f t="array" aca="1" ref="D49" ca="1">INDEX(INDIRECT("PnL_"&amp;TEXT(D$1,"mmm")&amp;"_"&amp;TEXT(D$1,"yyyy")),MATCH(TRIM($A49),PnL_Accounts,0))</f>
        <v>1500</v>
      </c>
      <c r="E49" s="115">
        <f t="array" aca="1" ref="E49" ca="1">INDEX(INDIRECT("PnL_"&amp;TEXT(E$1,"mmm")&amp;"_"&amp;TEXT(E$1,"yyyy")),MATCH(TRIM($A49),PnL_Accounts,0))</f>
        <v>1500</v>
      </c>
      <c r="F49" s="115">
        <f t="array" aca="1" ref="F49" ca="1">INDEX(INDIRECT("PnL_"&amp;TEXT(F$1,"mmm")&amp;"_"&amp;TEXT(F$1,"yyyy")),MATCH(TRIM($A49),PnL_Accounts,0))</f>
        <v>1500</v>
      </c>
      <c r="G49" s="115">
        <f t="array" aca="1" ref="G49" ca="1">INDEX(INDIRECT("PnL_"&amp;TEXT(G$1,"mmm")&amp;"_"&amp;TEXT(G$1,"yyyy")),MATCH(TRIM($A49),PnL_Accounts,0))</f>
        <v>1500</v>
      </c>
      <c r="H49" s="115">
        <f t="array" aca="1" ref="H49" ca="1">INDEX(INDIRECT("PnL_"&amp;TEXT(H$1,"mmm")&amp;"_"&amp;TEXT(H$1,"yyyy")),MATCH(TRIM($A49),PnL_Accounts,0))</f>
        <v>1500</v>
      </c>
      <c r="I49" s="115">
        <f t="array" aca="1" ref="I49" ca="1">INDEX(INDIRECT("PnL_"&amp;TEXT(I$1,"mmm")&amp;"_"&amp;TEXT(I$1,"yyyy")),MATCH(TRIM($A49),PnL_Accounts,0))</f>
        <v>1500</v>
      </c>
      <c r="J49" s="115">
        <f t="array" aca="1" ref="J49" ca="1">INDEX(INDIRECT("PnL_"&amp;TEXT(J$1,"mmm")&amp;"_"&amp;TEXT(J$1,"yyyy")),MATCH(TRIM($A49),PnL_Accounts,0))</f>
        <v>1500</v>
      </c>
      <c r="K49" s="115">
        <f t="array" aca="1" ref="K49" ca="1">INDEX(INDIRECT("PnL_"&amp;TEXT(K$1,"mmm")&amp;"_"&amp;TEXT(K$1,"yyyy")),MATCH(TRIM($A49),PnL_Accounts,0))</f>
        <v>1500</v>
      </c>
      <c r="L49" s="115">
        <f t="array" aca="1" ref="L49" ca="1">INDEX(INDIRECT("PnL_"&amp;TEXT(L$1,"mmm")&amp;"_"&amp;TEXT(L$1,"yyyy")),MATCH(TRIM($A49),PnL_Accounts,0))</f>
        <v>1908</v>
      </c>
      <c r="M49" s="115">
        <f t="array" aca="1" ref="M49" ca="1">INDEX(INDIRECT("PnL_"&amp;TEXT(M$1,"mmm")&amp;"_"&amp;TEXT(M$1,"yyyy")),MATCH(TRIM($A49),PnL_Accounts,0))</f>
        <v>1908</v>
      </c>
      <c r="N49" s="115">
        <f t="array" aca="1" ref="N49" ca="1">INDEX(INDIRECT("PnL_"&amp;TEXT(N$1,"mmm")&amp;"_"&amp;TEXT(N$1,"yyyy")),MATCH(TRIM($A49),PnL_Accounts,0))</f>
        <v>1908</v>
      </c>
      <c r="O49" s="115">
        <f t="array" aca="1" ref="O49" ca="1">INDEX(INDIRECT("PnL_"&amp;TEXT(O$1,"mmm")&amp;"_"&amp;TEXT(O$1,"yyyy")),MATCH(TRIM($A49),PnL_Accounts,0))</f>
        <v>1908</v>
      </c>
      <c r="P49" s="115">
        <f t="array" aca="1" ref="P49" ca="1">INDEX(INDIRECT("PnL_"&amp;TEXT(P$1,"mmm")&amp;"_"&amp;TEXT(P$1,"yyyy")),MATCH(TRIM($A49),PnL_Accounts,0))</f>
        <v>1908</v>
      </c>
      <c r="Q49" s="115">
        <f t="array" aca="1" ref="Q49" ca="1">INDEX(INDIRECT("PnL_"&amp;TEXT(Q$1,"mmm")&amp;"_"&amp;TEXT(Q$1,"yyyy")),MATCH(TRIM($A49),PnL_Accounts,0))</f>
        <v>2313</v>
      </c>
      <c r="R49" s="115">
        <f t="array" aca="1" ref="R49" ca="1">INDEX(INDIRECT("PnL_"&amp;TEXT(R$1,"mmm")&amp;"_"&amp;TEXT(R$1,"yyyy")),MATCH(TRIM($A49),PnL_Accounts,0))</f>
        <v>2313</v>
      </c>
      <c r="S49" s="115">
        <f t="array" aca="1" ref="S49" ca="1">INDEX(INDIRECT("PnL_"&amp;TEXT(S$1,"mmm")&amp;"_"&amp;TEXT(S$1,"yyyy")),MATCH(TRIM($A49),PnL_Accounts,0))</f>
        <v>2313</v>
      </c>
      <c r="T49" s="115">
        <f t="array" aca="1" ref="T49" ca="1">INDEX(INDIRECT("PnL_"&amp;TEXT(T$1,"mmm")&amp;"_"&amp;TEXT(T$1,"yyyy")),MATCH(TRIM($A49),PnL_Accounts,0))</f>
        <v>2383</v>
      </c>
      <c r="U49" s="115">
        <f t="array" aca="1" ref="U49" ca="1">INDEX(INDIRECT("PnL_"&amp;TEXT(U$1,"mmm")&amp;"_"&amp;TEXT(U$1,"yyyy")),MATCH(TRIM($A49),PnL_Accounts,0))</f>
        <v>2383</v>
      </c>
      <c r="V49" s="115">
        <f t="array" aca="1" ref="V49" ca="1">INDEX(INDIRECT("PnL_"&amp;TEXT(V$1,"mmm")&amp;"_"&amp;TEXT(V$1,"yyyy")),MATCH(TRIM($A49),PnL_Accounts,0))</f>
        <v>2383</v>
      </c>
      <c r="W49" s="115">
        <f t="array" aca="1" ref="W49" ca="1">INDEX(INDIRECT("PnL_"&amp;TEXT(W$1,"mmm")&amp;"_"&amp;TEXT(W$1,"yyyy")),MATCH(TRIM($A49),PnL_Accounts,0))</f>
        <v>2383</v>
      </c>
      <c r="X49" s="115">
        <f t="array" aca="1" ref="X49" ca="1">INDEX(INDIRECT("PnL_"&amp;TEXT(X$1,"mmm")&amp;"_"&amp;TEXT(X$1,"yyyy")),MATCH(TRIM($A49),PnL_Accounts,0))</f>
        <v>2383</v>
      </c>
      <c r="Y49" s="115">
        <f t="array" aca="1" ref="Y49" ca="1">INDEX(INDIRECT("PnL_"&amp;TEXT(Y$1,"mmm")&amp;"_"&amp;TEXT(Y$1,"yyyy")),MATCH(TRIM($A49),PnL_Accounts,0))</f>
        <v>2383</v>
      </c>
      <c r="Z49" s="115">
        <f t="array" aca="1" ref="Z49" ca="1">INDEX(INDIRECT("PnL_"&amp;TEXT(Z$1,"mmm")&amp;"_"&amp;TEXT(Z$1,"yyyy")),MATCH(TRIM($A49),PnL_Accounts,0))</f>
        <v>2383</v>
      </c>
      <c r="AA49" s="115">
        <f t="array" aca="1" ref="AA49" ca="1">INDEX(INDIRECT("PnL_"&amp;TEXT(AA$1,"mmm")&amp;"_"&amp;TEXT(AA$1,"yyyy")),MATCH(TRIM($A49),PnL_Accounts,0))</f>
        <v>2383</v>
      </c>
      <c r="AB49" s="115">
        <f t="array" aca="1" ref="AB49" ca="1">INDEX(INDIRECT("PnL_"&amp;TEXT(AB$1,"mmm")&amp;"_"&amp;TEXT(AB$1,"yyyy")),MATCH(TRIM($A49),PnL_Accounts,0))</f>
        <v>2383</v>
      </c>
      <c r="AC49" s="115">
        <f t="array" aca="1" ref="AC49" ca="1">INDEX(INDIRECT("PnL_"&amp;TEXT(AC$1,"mmm")&amp;"_"&amp;TEXT(AC$1,"yyyy")),MATCH(TRIM($A49),PnL_Accounts,0))</f>
        <v>2383</v>
      </c>
      <c r="AD49" s="115">
        <f t="array" aca="1" ref="AD49" ca="1">INDEX(INDIRECT("PnL_"&amp;TEXT(AD$1,"mmm")&amp;"_"&amp;TEXT(AD$1,"yyyy")),MATCH(TRIM($A49),PnL_Accounts,0))</f>
        <v>2383</v>
      </c>
      <c r="AE49" s="115">
        <f t="array" aca="1" ref="AE49" ca="1">INDEX(INDIRECT("PnL_"&amp;TEXT(AE$1,"mmm")&amp;"_"&amp;TEXT(AE$1,"yyyy")),MATCH(TRIM($A49),PnL_Accounts,0))</f>
        <v>2383</v>
      </c>
      <c r="AF49" s="25">
        <f t="array" ref="AF49">INDEX(Hiring_Plan_Payroll_Taxes_General_Worst_Case,MATCH(AF$1,Hiring_Plan_Months_Worst_Case,0))</f>
        <v>1518.75</v>
      </c>
      <c r="AG49" s="25">
        <f t="array" ref="AG49">INDEX(Hiring_Plan_Payroll_Taxes_General_Worst_Case,MATCH(AG$1,Hiring_Plan_Months_Worst_Case,0))</f>
        <v>1518.75</v>
      </c>
      <c r="AH49" s="25">
        <f t="array" ref="AH49">INDEX(Hiring_Plan_Payroll_Taxes_General_Worst_Case,MATCH(AH$1,Hiring_Plan_Months_Worst_Case,0))</f>
        <v>1518.75</v>
      </c>
      <c r="AI49" s="25">
        <f t="array" ref="AI49">INDEX(Hiring_Plan_Payroll_Taxes_General_Worst_Case,MATCH(AI$1,Hiring_Plan_Months_Worst_Case,0))</f>
        <v>1518.75</v>
      </c>
      <c r="AJ49" s="25">
        <f t="array" ref="AJ49">INDEX(Hiring_Plan_Payroll_Taxes_General_Worst_Case,MATCH(AJ$1,Hiring_Plan_Months_Worst_Case,0))</f>
        <v>1518.75</v>
      </c>
      <c r="AK49" s="25">
        <f t="array" ref="AK49">INDEX(Hiring_Plan_Payroll_Taxes_General_Worst_Case,MATCH(AK$1,Hiring_Plan_Months_Worst_Case,0))</f>
        <v>1518.75</v>
      </c>
      <c r="AL49" s="25">
        <f t="array" ref="AL49">INDEX(Hiring_Plan_Payroll_Taxes_General_Worst_Case,MATCH(AL$1,Hiring_Plan_Months_Worst_Case,0))</f>
        <v>1518.75</v>
      </c>
      <c r="AM49" s="25">
        <f t="array" ref="AM49">INDEX(Hiring_Plan_Payroll_Taxes_General_Worst_Case,MATCH(AM$1,Hiring_Plan_Months_Worst_Case,0))</f>
        <v>1518.75</v>
      </c>
      <c r="AN49" s="25">
        <f t="array" ref="AN49">INDEX(Hiring_Plan_Payroll_Taxes_General_Worst_Case,MATCH(AN$1,Hiring_Plan_Months_Worst_Case,0))</f>
        <v>1518.75</v>
      </c>
      <c r="AO49" s="25">
        <f t="array" ref="AO49">INDEX(Hiring_Plan_Payroll_Taxes_General_Worst_Case,MATCH(AO$1,Hiring_Plan_Months_Worst_Case,0))</f>
        <v>1518.75</v>
      </c>
      <c r="AP49" s="25">
        <f t="array" ref="AP49">INDEX(Hiring_Plan_Payroll_Taxes_General_Worst_Case,MATCH(AP$1,Hiring_Plan_Months_Worst_Case,0))</f>
        <v>1518.75</v>
      </c>
      <c r="AQ49" s="25">
        <f t="array" ref="AQ49">INDEX(Hiring_Plan_Payroll_Taxes_General_Worst_Case,MATCH(AQ$1,Hiring_Plan_Months_Worst_Case,0))</f>
        <v>1518.75</v>
      </c>
      <c r="AR49" s="25">
        <f t="array" ref="AR49">INDEX(Hiring_Plan_Payroll_Taxes_General_Worst_Case,MATCH(AR$1,Hiring_Plan_Months_Worst_Case,0))</f>
        <v>1518.75</v>
      </c>
      <c r="AS49" s="25">
        <f t="array" ref="AS49">INDEX(Hiring_Plan_Payroll_Taxes_General_Worst_Case,MATCH(AS$1,Hiring_Plan_Months_Worst_Case,0))</f>
        <v>1518.75</v>
      </c>
      <c r="AT49" s="25">
        <f t="array" ref="AT49">INDEX(Hiring_Plan_Payroll_Taxes_General_Worst_Case,MATCH(AT$1,Hiring_Plan_Months_Worst_Case,0))</f>
        <v>1518.75</v>
      </c>
      <c r="AU49" s="25">
        <f t="array" ref="AU49">INDEX(Hiring_Plan_Payroll_Taxes_General_Worst_Case,MATCH(AU$1,Hiring_Plan_Months_Worst_Case,0))</f>
        <v>1518.75</v>
      </c>
      <c r="AV49" s="25">
        <f t="array" ref="AV49">INDEX(Hiring_Plan_Payroll_Taxes_General_Worst_Case,MATCH(AV$1,Hiring_Plan_Months_Worst_Case,0))</f>
        <v>1518.75</v>
      </c>
      <c r="AW49" s="25">
        <f t="array" ref="AW49">INDEX(Hiring_Plan_Payroll_Taxes_General_Worst_Case,MATCH(AW$1,Hiring_Plan_Months_Worst_Case,0))</f>
        <v>1518.75</v>
      </c>
      <c r="AX49" s="25">
        <f t="array" ref="AX49">INDEX(Hiring_Plan_Payroll_Taxes_General_Worst_Case,MATCH(AX$1,Hiring_Plan_Months_Worst_Case,0))</f>
        <v>1518.75</v>
      </c>
      <c r="AY49" s="25">
        <f t="array" ref="AY49">INDEX(Hiring_Plan_Payroll_Taxes_General_Worst_Case,MATCH(AY$1,Hiring_Plan_Months_Worst_Case,0))</f>
        <v>1518.75</v>
      </c>
      <c r="AZ49" s="25">
        <f t="array" ref="AZ49">INDEX(Hiring_Plan_Payroll_Taxes_General_Worst_Case,MATCH(AZ$1,Hiring_Plan_Months_Worst_Case,0))</f>
        <v>1518.75</v>
      </c>
      <c r="BA49" s="25">
        <f t="array" ref="BA49">INDEX(Hiring_Plan_Payroll_Taxes_General_Worst_Case,MATCH(BA$1,Hiring_Plan_Months_Worst_Case,0))</f>
        <v>1518.75</v>
      </c>
      <c r="BB49" s="25">
        <f t="array" ref="BB49">INDEX(Hiring_Plan_Payroll_Taxes_General_Worst_Case,MATCH(BB$1,Hiring_Plan_Months_Worst_Case,0))</f>
        <v>1518.75</v>
      </c>
      <c r="BC49" s="25">
        <f t="array" ref="BC49">INDEX(Hiring_Plan_Payroll_Taxes_General_Worst_Case,MATCH(BC$1,Hiring_Plan_Months_Worst_Case,0))</f>
        <v>1518.75</v>
      </c>
      <c r="BD49" s="25">
        <f t="array" ref="BD49">INDEX(Hiring_Plan_Payroll_Taxes_General_Worst_Case,MATCH(BD$1,Hiring_Plan_Months_Worst_Case,0))</f>
        <v>1518.75</v>
      </c>
      <c r="BE49" s="25">
        <f t="array" ref="BE49">INDEX(Hiring_Plan_Payroll_Taxes_General_Worst_Case,MATCH(BE$1,Hiring_Plan_Months_Worst_Case,0))</f>
        <v>1518.75</v>
      </c>
      <c r="BF49" s="25">
        <f t="array" ref="BF49">INDEX(Hiring_Plan_Payroll_Taxes_General_Worst_Case,MATCH(BF$1,Hiring_Plan_Months_Worst_Case,0))</f>
        <v>1518.75</v>
      </c>
      <c r="BG49" s="25">
        <f t="array" ref="BG49">INDEX(Hiring_Plan_Payroll_Taxes_General_Worst_Case,MATCH(BG$1,Hiring_Plan_Months_Worst_Case,0))</f>
        <v>1518.75</v>
      </c>
      <c r="BH49" s="25">
        <f t="array" ref="BH49">INDEX(Hiring_Plan_Payroll_Taxes_General_Worst_Case,MATCH(BH$1,Hiring_Plan_Months_Worst_Case,0))</f>
        <v>1518.75</v>
      </c>
      <c r="BI49" s="25">
        <f t="array" ref="BI49">INDEX(Hiring_Plan_Payroll_Taxes_General_Worst_Case,MATCH(BI$1,Hiring_Plan_Months_Worst_Case,0))</f>
        <v>1518.75</v>
      </c>
      <c r="BJ49" s="25">
        <f t="array" ref="BJ49">INDEX(Hiring_Plan_Payroll_Taxes_General_Worst_Case,MATCH(BJ$1,Hiring_Plan_Months_Worst_Case,0))</f>
        <v>1518.75</v>
      </c>
      <c r="BK49" s="25">
        <f t="array" ref="BK49">INDEX(Hiring_Plan_Payroll_Taxes_General_Worst_Case,MATCH(BK$1,Hiring_Plan_Months_Worst_Case,0))</f>
        <v>1518.75</v>
      </c>
      <c r="BL49" s="25">
        <f t="array" ref="BL49">INDEX(Hiring_Plan_Payroll_Taxes_General_Worst_Case,MATCH(BL$1,Hiring_Plan_Months_Worst_Case,0))</f>
        <v>1518.75</v>
      </c>
      <c r="BM49" s="25">
        <f t="array" ref="BM49">INDEX(Hiring_Plan_Payroll_Taxes_General_Worst_Case,MATCH(BM$1,Hiring_Plan_Months_Worst_Case,0))</f>
        <v>1518.75</v>
      </c>
      <c r="BN49" s="25">
        <f t="array" ref="BN49">INDEX(Hiring_Plan_Payroll_Taxes_General_Worst_Case,MATCH(BN$1,Hiring_Plan_Months_Worst_Case,0))</f>
        <v>1518.75</v>
      </c>
      <c r="BO49" s="25">
        <f t="array" ref="BO49">INDEX(Hiring_Plan_Payroll_Taxes_General_Worst_Case,MATCH(BO$1,Hiring_Plan_Months_Worst_Case,0))</f>
        <v>1518.75</v>
      </c>
      <c r="BP49" s="25">
        <f t="array" ref="BP49">INDEX(Hiring_Plan_Payroll_Taxes_General_Worst_Case,MATCH(BP$1,Hiring_Plan_Months_Worst_Case,0))</f>
        <v>1518.75</v>
      </c>
      <c r="BQ49" s="25">
        <f t="array" ref="BQ49">INDEX(Hiring_Plan_Payroll_Taxes_General_Worst_Case,MATCH(BQ$1,Hiring_Plan_Months_Worst_Case,0))</f>
        <v>1518.75</v>
      </c>
      <c r="BR49" s="25">
        <f t="array" ref="BR49">INDEX(Hiring_Plan_Payroll_Taxes_General_Worst_Case,MATCH(BR$1,Hiring_Plan_Months_Worst_Case,0))</f>
        <v>1518.75</v>
      </c>
      <c r="BS49" s="25">
        <f t="array" ref="BS49">INDEX(Hiring_Plan_Payroll_Taxes_General_Worst_Case,MATCH(BS$1,Hiring_Plan_Months_Worst_Case,0))</f>
        <v>1518.75</v>
      </c>
      <c r="BT49" s="25">
        <f t="array" ref="BT49">INDEX(Hiring_Plan_Payroll_Taxes_General_Worst_Case,MATCH(BT$1,Hiring_Plan_Months_Worst_Case,0))</f>
        <v>1518.75</v>
      </c>
      <c r="BU49" s="25">
        <f t="array" ref="BU49">INDEX(Hiring_Plan_Payroll_Taxes_General_Worst_Case,MATCH(BU$1,Hiring_Plan_Months_Worst_Case,0))</f>
        <v>1518.75</v>
      </c>
      <c r="BV49" s="25">
        <f t="array" ref="BV49">INDEX(Hiring_Plan_Payroll_Taxes_General_Worst_Case,MATCH(BV$1,Hiring_Plan_Months_Worst_Case,0))</f>
        <v>1518.75</v>
      </c>
      <c r="BW49" s="25">
        <f t="array" ref="BW49">INDEX(Hiring_Plan_Payroll_Taxes_General_Worst_Case,MATCH(BW$1,Hiring_Plan_Months_Worst_Case,0))</f>
        <v>1518.75</v>
      </c>
    </row>
    <row r="50" spans="1:75" ht="12.75" x14ac:dyDescent="0.2">
      <c r="A50" s="23" t="s">
        <v>304</v>
      </c>
      <c r="B50" s="224">
        <f ca="1">AVERAGEIFS(50:50,$1:$1,"&gt;="&amp;DATE(YEAR(Current_Month),MONTH(Current_Month)-2,DAY(Current_Month)),$1:$1,"&lt;="&amp;EOMONTH(Current_Month,0))</f>
        <v>28700</v>
      </c>
      <c r="D50" s="115">
        <f t="array" aca="1" ref="D50" ca="1">INDEX(INDIRECT("PnL_"&amp;TEXT(D$1,"mmm")&amp;"_"&amp;TEXT(D$1,"yyyy")),MATCH(TRIM($A50),PnL_Accounts,0))</f>
        <v>16666</v>
      </c>
      <c r="E50" s="115">
        <f t="array" aca="1" ref="E50" ca="1">INDEX(INDIRECT("PnL_"&amp;TEXT(E$1,"mmm")&amp;"_"&amp;TEXT(E$1,"yyyy")),MATCH(TRIM($A50),PnL_Accounts,0))</f>
        <v>16666</v>
      </c>
      <c r="F50" s="115">
        <f t="array" aca="1" ref="F50" ca="1">INDEX(INDIRECT("PnL_"&amp;TEXT(F$1,"mmm")&amp;"_"&amp;TEXT(F$1,"yyyy")),MATCH(TRIM($A50),PnL_Accounts,0))</f>
        <v>16666</v>
      </c>
      <c r="G50" s="115">
        <f t="array" aca="1" ref="G50" ca="1">INDEX(INDIRECT("PnL_"&amp;TEXT(G$1,"mmm")&amp;"_"&amp;TEXT(G$1,"yyyy")),MATCH(TRIM($A50),PnL_Accounts,0))</f>
        <v>16666</v>
      </c>
      <c r="H50" s="115">
        <f t="array" aca="1" ref="H50" ca="1">INDEX(INDIRECT("PnL_"&amp;TEXT(H$1,"mmm")&amp;"_"&amp;TEXT(H$1,"yyyy")),MATCH(TRIM($A50),PnL_Accounts,0))</f>
        <v>16666</v>
      </c>
      <c r="I50" s="115">
        <f t="array" aca="1" ref="I50" ca="1">INDEX(INDIRECT("PnL_"&amp;TEXT(I$1,"mmm")&amp;"_"&amp;TEXT(I$1,"yyyy")),MATCH(TRIM($A50),PnL_Accounts,0))</f>
        <v>16666</v>
      </c>
      <c r="J50" s="115">
        <f t="array" aca="1" ref="J50" ca="1">INDEX(INDIRECT("PnL_"&amp;TEXT(J$1,"mmm")&amp;"_"&amp;TEXT(J$1,"yyyy")),MATCH(TRIM($A50),PnL_Accounts,0))</f>
        <v>16666</v>
      </c>
      <c r="K50" s="115">
        <f t="array" aca="1" ref="K50" ca="1">INDEX(INDIRECT("PnL_"&amp;TEXT(K$1,"mmm")&amp;"_"&amp;TEXT(K$1,"yyyy")),MATCH(TRIM($A50),PnL_Accounts,0))</f>
        <v>16666</v>
      </c>
      <c r="L50" s="115">
        <f t="array" aca="1" ref="L50" ca="1">INDEX(INDIRECT("PnL_"&amp;TEXT(L$1,"mmm")&amp;"_"&amp;TEXT(L$1,"yyyy")),MATCH(TRIM($A50),PnL_Accounts,0))</f>
        <v>21200</v>
      </c>
      <c r="M50" s="115">
        <f t="array" aca="1" ref="M50" ca="1">INDEX(INDIRECT("PnL_"&amp;TEXT(M$1,"mmm")&amp;"_"&amp;TEXT(M$1,"yyyy")),MATCH(TRIM($A50),PnL_Accounts,0))</f>
        <v>21200</v>
      </c>
      <c r="N50" s="115">
        <f t="array" aca="1" ref="N50" ca="1">INDEX(INDIRECT("PnL_"&amp;TEXT(N$1,"mmm")&amp;"_"&amp;TEXT(N$1,"yyyy")),MATCH(TRIM($A50),PnL_Accounts,0))</f>
        <v>21200</v>
      </c>
      <c r="O50" s="115">
        <f t="array" aca="1" ref="O50" ca="1">INDEX(INDIRECT("PnL_"&amp;TEXT(O$1,"mmm")&amp;"_"&amp;TEXT(O$1,"yyyy")),MATCH(TRIM($A50),PnL_Accounts,0))</f>
        <v>21200</v>
      </c>
      <c r="P50" s="115">
        <f t="array" aca="1" ref="P50" ca="1">INDEX(INDIRECT("PnL_"&amp;TEXT(P$1,"mmm")&amp;"_"&amp;TEXT(P$1,"yyyy")),MATCH(TRIM($A50),PnL_Accounts,0))</f>
        <v>21200</v>
      </c>
      <c r="Q50" s="115">
        <f t="array" aca="1" ref="Q50" ca="1">INDEX(INDIRECT("PnL_"&amp;TEXT(Q$1,"mmm")&amp;"_"&amp;TEXT(Q$1,"yyyy")),MATCH(TRIM($A50),PnL_Accounts,0))</f>
        <v>25700</v>
      </c>
      <c r="R50" s="115">
        <f t="array" aca="1" ref="R50" ca="1">INDEX(INDIRECT("PnL_"&amp;TEXT(R$1,"mmm")&amp;"_"&amp;TEXT(R$1,"yyyy")),MATCH(TRIM($A50),PnL_Accounts,0))</f>
        <v>25700</v>
      </c>
      <c r="S50" s="115">
        <f t="array" aca="1" ref="S50" ca="1">INDEX(INDIRECT("PnL_"&amp;TEXT(S$1,"mmm")&amp;"_"&amp;TEXT(S$1,"yyyy")),MATCH(TRIM($A50),PnL_Accounts,0))</f>
        <v>25700</v>
      </c>
      <c r="T50" s="115">
        <f t="array" aca="1" ref="T50" ca="1">INDEX(INDIRECT("PnL_"&amp;TEXT(T$1,"mmm")&amp;"_"&amp;TEXT(T$1,"yyyy")),MATCH(TRIM($A50),PnL_Accounts,0))</f>
        <v>28700</v>
      </c>
      <c r="U50" s="115">
        <f t="array" aca="1" ref="U50" ca="1">INDEX(INDIRECT("PnL_"&amp;TEXT(U$1,"mmm")&amp;"_"&amp;TEXT(U$1,"yyyy")),MATCH(TRIM($A50),PnL_Accounts,0))</f>
        <v>28700</v>
      </c>
      <c r="V50" s="115">
        <f t="array" aca="1" ref="V50" ca="1">INDEX(INDIRECT("PnL_"&amp;TEXT(V$1,"mmm")&amp;"_"&amp;TEXT(V$1,"yyyy")),MATCH(TRIM($A50),PnL_Accounts,0))</f>
        <v>28700</v>
      </c>
      <c r="W50" s="115">
        <f t="array" aca="1" ref="W50" ca="1">INDEX(INDIRECT("PnL_"&amp;TEXT(W$1,"mmm")&amp;"_"&amp;TEXT(W$1,"yyyy")),MATCH(TRIM($A50),PnL_Accounts,0))</f>
        <v>28700</v>
      </c>
      <c r="X50" s="115">
        <f t="array" aca="1" ref="X50" ca="1">INDEX(INDIRECT("PnL_"&amp;TEXT(X$1,"mmm")&amp;"_"&amp;TEXT(X$1,"yyyy")),MATCH(TRIM($A50),PnL_Accounts,0))</f>
        <v>28700</v>
      </c>
      <c r="Y50" s="115">
        <f t="array" aca="1" ref="Y50" ca="1">INDEX(INDIRECT("PnL_"&amp;TEXT(Y$1,"mmm")&amp;"_"&amp;TEXT(Y$1,"yyyy")),MATCH(TRIM($A50),PnL_Accounts,0))</f>
        <v>28700</v>
      </c>
      <c r="Z50" s="115">
        <f t="array" aca="1" ref="Z50" ca="1">INDEX(INDIRECT("PnL_"&amp;TEXT(Z$1,"mmm")&amp;"_"&amp;TEXT(Z$1,"yyyy")),MATCH(TRIM($A50),PnL_Accounts,0))</f>
        <v>28700</v>
      </c>
      <c r="AA50" s="115">
        <f t="array" aca="1" ref="AA50" ca="1">INDEX(INDIRECT("PnL_"&amp;TEXT(AA$1,"mmm")&amp;"_"&amp;TEXT(AA$1,"yyyy")),MATCH(TRIM($A50),PnL_Accounts,0))</f>
        <v>28700</v>
      </c>
      <c r="AB50" s="115">
        <f t="array" aca="1" ref="AB50" ca="1">INDEX(INDIRECT("PnL_"&amp;TEXT(AB$1,"mmm")&amp;"_"&amp;TEXT(AB$1,"yyyy")),MATCH(TRIM($A50),PnL_Accounts,0))</f>
        <v>28700</v>
      </c>
      <c r="AC50" s="115">
        <f t="array" aca="1" ref="AC50" ca="1">INDEX(INDIRECT("PnL_"&amp;TEXT(AC$1,"mmm")&amp;"_"&amp;TEXT(AC$1,"yyyy")),MATCH(TRIM($A50),PnL_Accounts,0))</f>
        <v>28700</v>
      </c>
      <c r="AD50" s="115">
        <f t="array" aca="1" ref="AD50" ca="1">INDEX(INDIRECT("PnL_"&amp;TEXT(AD$1,"mmm")&amp;"_"&amp;TEXT(AD$1,"yyyy")),MATCH(TRIM($A50),PnL_Accounts,0))</f>
        <v>28700</v>
      </c>
      <c r="AE50" s="115">
        <f t="array" aca="1" ref="AE50" ca="1">INDEX(INDIRECT("PnL_"&amp;TEXT(AE$1,"mmm")&amp;"_"&amp;TEXT(AE$1,"yyyy")),MATCH(TRIM($A50),PnL_Accounts,0))</f>
        <v>28700</v>
      </c>
      <c r="AF50" s="25">
        <f t="array" ref="AF50">INDEX(Hiring_Plan_Salaries_General_Worst_Case,MATCH(AF$1,Hiring_Plan_Months_Worst_Case,0))</f>
        <v>16875</v>
      </c>
      <c r="AG50" s="25">
        <f t="array" ref="AG50">INDEX(Hiring_Plan_Salaries_General_Worst_Case,MATCH(AG$1,Hiring_Plan_Months_Worst_Case,0))</f>
        <v>16875</v>
      </c>
      <c r="AH50" s="25">
        <f t="array" ref="AH50">INDEX(Hiring_Plan_Salaries_General_Worst_Case,MATCH(AH$1,Hiring_Plan_Months_Worst_Case,0))</f>
        <v>16875</v>
      </c>
      <c r="AI50" s="25">
        <f t="array" ref="AI50">INDEX(Hiring_Plan_Salaries_General_Worst_Case,MATCH(AI$1,Hiring_Plan_Months_Worst_Case,0))</f>
        <v>16875</v>
      </c>
      <c r="AJ50" s="25">
        <f t="array" ref="AJ50">INDEX(Hiring_Plan_Salaries_General_Worst_Case,MATCH(AJ$1,Hiring_Plan_Months_Worst_Case,0))</f>
        <v>16875</v>
      </c>
      <c r="AK50" s="25">
        <f t="array" ref="AK50">INDEX(Hiring_Plan_Salaries_General_Worst_Case,MATCH(AK$1,Hiring_Plan_Months_Worst_Case,0))</f>
        <v>16875</v>
      </c>
      <c r="AL50" s="25">
        <f t="array" ref="AL50">INDEX(Hiring_Plan_Salaries_General_Worst_Case,MATCH(AL$1,Hiring_Plan_Months_Worst_Case,0))</f>
        <v>16875</v>
      </c>
      <c r="AM50" s="25">
        <f t="array" ref="AM50">INDEX(Hiring_Plan_Salaries_General_Worst_Case,MATCH(AM$1,Hiring_Plan_Months_Worst_Case,0))</f>
        <v>16875</v>
      </c>
      <c r="AN50" s="25">
        <f t="array" ref="AN50">INDEX(Hiring_Plan_Salaries_General_Worst_Case,MATCH(AN$1,Hiring_Plan_Months_Worst_Case,0))</f>
        <v>16875</v>
      </c>
      <c r="AO50" s="25">
        <f t="array" ref="AO50">INDEX(Hiring_Plan_Salaries_General_Worst_Case,MATCH(AO$1,Hiring_Plan_Months_Worst_Case,0))</f>
        <v>16875</v>
      </c>
      <c r="AP50" s="25">
        <f t="array" ref="AP50">INDEX(Hiring_Plan_Salaries_General_Worst_Case,MATCH(AP$1,Hiring_Plan_Months_Worst_Case,0))</f>
        <v>16875</v>
      </c>
      <c r="AQ50" s="25">
        <f t="array" ref="AQ50">INDEX(Hiring_Plan_Salaries_General_Worst_Case,MATCH(AQ$1,Hiring_Plan_Months_Worst_Case,0))</f>
        <v>16875</v>
      </c>
      <c r="AR50" s="25">
        <f t="array" ref="AR50">INDEX(Hiring_Plan_Salaries_General_Worst_Case,MATCH(AR$1,Hiring_Plan_Months_Worst_Case,0))</f>
        <v>16875</v>
      </c>
      <c r="AS50" s="25">
        <f t="array" ref="AS50">INDEX(Hiring_Plan_Salaries_General_Worst_Case,MATCH(AS$1,Hiring_Plan_Months_Worst_Case,0))</f>
        <v>16875</v>
      </c>
      <c r="AT50" s="25">
        <f t="array" ref="AT50">INDEX(Hiring_Plan_Salaries_General_Worst_Case,MATCH(AT$1,Hiring_Plan_Months_Worst_Case,0))</f>
        <v>16875</v>
      </c>
      <c r="AU50" s="25">
        <f t="array" ref="AU50">INDEX(Hiring_Plan_Salaries_General_Worst_Case,MATCH(AU$1,Hiring_Plan_Months_Worst_Case,0))</f>
        <v>16875</v>
      </c>
      <c r="AV50" s="25">
        <f t="array" ref="AV50">INDEX(Hiring_Plan_Salaries_General_Worst_Case,MATCH(AV$1,Hiring_Plan_Months_Worst_Case,0))</f>
        <v>16875</v>
      </c>
      <c r="AW50" s="25">
        <f t="array" ref="AW50">INDEX(Hiring_Plan_Salaries_General_Worst_Case,MATCH(AW$1,Hiring_Plan_Months_Worst_Case,0))</f>
        <v>16875</v>
      </c>
      <c r="AX50" s="25">
        <f t="array" ref="AX50">INDEX(Hiring_Plan_Salaries_General_Worst_Case,MATCH(AX$1,Hiring_Plan_Months_Worst_Case,0))</f>
        <v>16875</v>
      </c>
      <c r="AY50" s="25">
        <f t="array" ref="AY50">INDEX(Hiring_Plan_Salaries_General_Worst_Case,MATCH(AY$1,Hiring_Plan_Months_Worst_Case,0))</f>
        <v>16875</v>
      </c>
      <c r="AZ50" s="25">
        <f t="array" ref="AZ50">INDEX(Hiring_Plan_Salaries_General_Worst_Case,MATCH(AZ$1,Hiring_Plan_Months_Worst_Case,0))</f>
        <v>16875</v>
      </c>
      <c r="BA50" s="25">
        <f t="array" ref="BA50">INDEX(Hiring_Plan_Salaries_General_Worst_Case,MATCH(BA$1,Hiring_Plan_Months_Worst_Case,0))</f>
        <v>16875</v>
      </c>
      <c r="BB50" s="25">
        <f t="array" ref="BB50">INDEX(Hiring_Plan_Salaries_General_Worst_Case,MATCH(BB$1,Hiring_Plan_Months_Worst_Case,0))</f>
        <v>16875</v>
      </c>
      <c r="BC50" s="25">
        <f t="array" ref="BC50">INDEX(Hiring_Plan_Salaries_General_Worst_Case,MATCH(BC$1,Hiring_Plan_Months_Worst_Case,0))</f>
        <v>16875</v>
      </c>
      <c r="BD50" s="25">
        <f t="array" ref="BD50">INDEX(Hiring_Plan_Salaries_General_Worst_Case,MATCH(BD$1,Hiring_Plan_Months_Worst_Case,0))</f>
        <v>16875</v>
      </c>
      <c r="BE50" s="25">
        <f t="array" ref="BE50">INDEX(Hiring_Plan_Salaries_General_Worst_Case,MATCH(BE$1,Hiring_Plan_Months_Worst_Case,0))</f>
        <v>16875</v>
      </c>
      <c r="BF50" s="25">
        <f t="array" ref="BF50">INDEX(Hiring_Plan_Salaries_General_Worst_Case,MATCH(BF$1,Hiring_Plan_Months_Worst_Case,0))</f>
        <v>16875</v>
      </c>
      <c r="BG50" s="25">
        <f t="array" ref="BG50">INDEX(Hiring_Plan_Salaries_General_Worst_Case,MATCH(BG$1,Hiring_Plan_Months_Worst_Case,0))</f>
        <v>16875</v>
      </c>
      <c r="BH50" s="25">
        <f t="array" ref="BH50">INDEX(Hiring_Plan_Salaries_General_Worst_Case,MATCH(BH$1,Hiring_Plan_Months_Worst_Case,0))</f>
        <v>16875</v>
      </c>
      <c r="BI50" s="25">
        <f t="array" ref="BI50">INDEX(Hiring_Plan_Salaries_General_Worst_Case,MATCH(BI$1,Hiring_Plan_Months_Worst_Case,0))</f>
        <v>16875</v>
      </c>
      <c r="BJ50" s="25">
        <f t="array" ref="BJ50">INDEX(Hiring_Plan_Salaries_General_Worst_Case,MATCH(BJ$1,Hiring_Plan_Months_Worst_Case,0))</f>
        <v>16875</v>
      </c>
      <c r="BK50" s="25">
        <f t="array" ref="BK50">INDEX(Hiring_Plan_Salaries_General_Worst_Case,MATCH(BK$1,Hiring_Plan_Months_Worst_Case,0))</f>
        <v>16875</v>
      </c>
      <c r="BL50" s="25">
        <f t="array" ref="BL50">INDEX(Hiring_Plan_Salaries_General_Worst_Case,MATCH(BL$1,Hiring_Plan_Months_Worst_Case,0))</f>
        <v>16875</v>
      </c>
      <c r="BM50" s="25">
        <f t="array" ref="BM50">INDEX(Hiring_Plan_Salaries_General_Worst_Case,MATCH(BM$1,Hiring_Plan_Months_Worst_Case,0))</f>
        <v>16875</v>
      </c>
      <c r="BN50" s="25">
        <f t="array" ref="BN50">INDEX(Hiring_Plan_Salaries_General_Worst_Case,MATCH(BN$1,Hiring_Plan_Months_Worst_Case,0))</f>
        <v>16875</v>
      </c>
      <c r="BO50" s="25">
        <f t="array" ref="BO50">INDEX(Hiring_Plan_Salaries_General_Worst_Case,MATCH(BO$1,Hiring_Plan_Months_Worst_Case,0))</f>
        <v>16875</v>
      </c>
      <c r="BP50" s="25">
        <f t="array" ref="BP50">INDEX(Hiring_Plan_Salaries_General_Worst_Case,MATCH(BP$1,Hiring_Plan_Months_Worst_Case,0))</f>
        <v>16875</v>
      </c>
      <c r="BQ50" s="25">
        <f t="array" ref="BQ50">INDEX(Hiring_Plan_Salaries_General_Worst_Case,MATCH(BQ$1,Hiring_Plan_Months_Worst_Case,0))</f>
        <v>16875</v>
      </c>
      <c r="BR50" s="25">
        <f t="array" ref="BR50">INDEX(Hiring_Plan_Salaries_General_Worst_Case,MATCH(BR$1,Hiring_Plan_Months_Worst_Case,0))</f>
        <v>16875</v>
      </c>
      <c r="BS50" s="25">
        <f t="array" ref="BS50">INDEX(Hiring_Plan_Salaries_General_Worst_Case,MATCH(BS$1,Hiring_Plan_Months_Worst_Case,0))</f>
        <v>16875</v>
      </c>
      <c r="BT50" s="25">
        <f t="array" ref="BT50">INDEX(Hiring_Plan_Salaries_General_Worst_Case,MATCH(BT$1,Hiring_Plan_Months_Worst_Case,0))</f>
        <v>16875</v>
      </c>
      <c r="BU50" s="25">
        <f t="array" ref="BU50">INDEX(Hiring_Plan_Salaries_General_Worst_Case,MATCH(BU$1,Hiring_Plan_Months_Worst_Case,0))</f>
        <v>16875</v>
      </c>
      <c r="BV50" s="25">
        <f t="array" ref="BV50">INDEX(Hiring_Plan_Salaries_General_Worst_Case,MATCH(BV$1,Hiring_Plan_Months_Worst_Case,0))</f>
        <v>16875</v>
      </c>
      <c r="BW50" s="25">
        <f t="array" ref="BW50">INDEX(Hiring_Plan_Salaries_General_Worst_Case,MATCH(BW$1,Hiring_Plan_Months_Worst_Case,0))</f>
        <v>16875</v>
      </c>
    </row>
    <row r="51" spans="1:75" ht="12.75" x14ac:dyDescent="0.2">
      <c r="A51" s="60" t="s">
        <v>305</v>
      </c>
      <c r="B51" s="238"/>
      <c r="C51" s="212"/>
      <c r="D51" s="226">
        <f t="shared" ref="D51:BW51" ca="1" si="22">SUM(D47:D50)</f>
        <v>19066</v>
      </c>
      <c r="E51" s="226">
        <f t="shared" ca="1" si="22"/>
        <v>19066</v>
      </c>
      <c r="F51" s="226">
        <f t="shared" ca="1" si="22"/>
        <v>19066</v>
      </c>
      <c r="G51" s="226">
        <f t="shared" ca="1" si="22"/>
        <v>19066</v>
      </c>
      <c r="H51" s="226">
        <f t="shared" ca="1" si="22"/>
        <v>19066</v>
      </c>
      <c r="I51" s="226">
        <f t="shared" ca="1" si="22"/>
        <v>19066</v>
      </c>
      <c r="J51" s="226">
        <f t="shared" ca="1" si="22"/>
        <v>19066</v>
      </c>
      <c r="K51" s="226">
        <f t="shared" ca="1" si="22"/>
        <v>19066</v>
      </c>
      <c r="L51" s="226">
        <f t="shared" ca="1" si="22"/>
        <v>24205</v>
      </c>
      <c r="M51" s="226">
        <f t="shared" ca="1" si="22"/>
        <v>24205</v>
      </c>
      <c r="N51" s="226">
        <f t="shared" ca="1" si="22"/>
        <v>24205</v>
      </c>
      <c r="O51" s="226">
        <f t="shared" ca="1" si="22"/>
        <v>24205</v>
      </c>
      <c r="P51" s="226">
        <f t="shared" ca="1" si="22"/>
        <v>24205</v>
      </c>
      <c r="Q51" s="226">
        <f t="shared" ca="1" si="22"/>
        <v>29307</v>
      </c>
      <c r="R51" s="226">
        <f t="shared" ca="1" si="22"/>
        <v>29307</v>
      </c>
      <c r="S51" s="226">
        <f t="shared" ca="1" si="22"/>
        <v>29307</v>
      </c>
      <c r="T51" s="226">
        <f t="shared" ca="1" si="22"/>
        <v>32877</v>
      </c>
      <c r="U51" s="226">
        <f t="shared" ca="1" si="22"/>
        <v>32877</v>
      </c>
      <c r="V51" s="226">
        <f t="shared" ca="1" si="22"/>
        <v>32877</v>
      </c>
      <c r="W51" s="226">
        <f t="shared" ca="1" si="22"/>
        <v>32877</v>
      </c>
      <c r="X51" s="226">
        <f t="shared" ca="1" si="22"/>
        <v>32877</v>
      </c>
      <c r="Y51" s="226">
        <f t="shared" ca="1" si="22"/>
        <v>32877</v>
      </c>
      <c r="Z51" s="226">
        <f t="shared" ca="1" si="22"/>
        <v>33061</v>
      </c>
      <c r="AA51" s="226">
        <f t="shared" ca="1" si="22"/>
        <v>33077</v>
      </c>
      <c r="AB51" s="226">
        <f t="shared" ca="1" si="22"/>
        <v>33077</v>
      </c>
      <c r="AC51" s="226">
        <f t="shared" ca="1" si="22"/>
        <v>33077</v>
      </c>
      <c r="AD51" s="226">
        <f t="shared" ca="1" si="22"/>
        <v>33077</v>
      </c>
      <c r="AE51" s="226">
        <f t="shared" ca="1" si="22"/>
        <v>33077</v>
      </c>
      <c r="AF51" s="226">
        <f t="shared" si="22"/>
        <v>20068.75</v>
      </c>
      <c r="AG51" s="226">
        <f t="shared" si="22"/>
        <v>20068.75</v>
      </c>
      <c r="AH51" s="226">
        <f t="shared" si="22"/>
        <v>20068.75</v>
      </c>
      <c r="AI51" s="226">
        <f t="shared" si="22"/>
        <v>20068.75</v>
      </c>
      <c r="AJ51" s="226">
        <f t="shared" si="22"/>
        <v>20068.75</v>
      </c>
      <c r="AK51" s="226">
        <f t="shared" si="22"/>
        <v>20068.75</v>
      </c>
      <c r="AL51" s="226">
        <f t="shared" si="22"/>
        <v>20068.75</v>
      </c>
      <c r="AM51" s="226">
        <f t="shared" si="22"/>
        <v>20068.75</v>
      </c>
      <c r="AN51" s="226">
        <f t="shared" si="22"/>
        <v>20068.75</v>
      </c>
      <c r="AO51" s="226">
        <f t="shared" si="22"/>
        <v>20068.75</v>
      </c>
      <c r="AP51" s="226">
        <f t="shared" si="22"/>
        <v>20068.75</v>
      </c>
      <c r="AQ51" s="226">
        <f t="shared" si="22"/>
        <v>20068.75</v>
      </c>
      <c r="AR51" s="226">
        <f t="shared" si="22"/>
        <v>20068.75</v>
      </c>
      <c r="AS51" s="226">
        <f t="shared" si="22"/>
        <v>20068.75</v>
      </c>
      <c r="AT51" s="226">
        <f t="shared" si="22"/>
        <v>20068.75</v>
      </c>
      <c r="AU51" s="226">
        <f t="shared" si="22"/>
        <v>20068.75</v>
      </c>
      <c r="AV51" s="226">
        <f t="shared" si="22"/>
        <v>20068.75</v>
      </c>
      <c r="AW51" s="226">
        <f t="shared" si="22"/>
        <v>20068.75</v>
      </c>
      <c r="AX51" s="226">
        <f t="shared" si="22"/>
        <v>20068.75</v>
      </c>
      <c r="AY51" s="226">
        <f t="shared" si="22"/>
        <v>20068.75</v>
      </c>
      <c r="AZ51" s="226">
        <f t="shared" si="22"/>
        <v>20068.75</v>
      </c>
      <c r="BA51" s="226">
        <f t="shared" si="22"/>
        <v>20068.75</v>
      </c>
      <c r="BB51" s="226">
        <f t="shared" si="22"/>
        <v>20068.75</v>
      </c>
      <c r="BC51" s="226">
        <f t="shared" si="22"/>
        <v>20068.75</v>
      </c>
      <c r="BD51" s="226">
        <f t="shared" si="22"/>
        <v>20068.75</v>
      </c>
      <c r="BE51" s="226">
        <f t="shared" si="22"/>
        <v>20068.75</v>
      </c>
      <c r="BF51" s="226">
        <f t="shared" si="22"/>
        <v>20068.75</v>
      </c>
      <c r="BG51" s="226">
        <f t="shared" si="22"/>
        <v>20068.75</v>
      </c>
      <c r="BH51" s="226">
        <f t="shared" si="22"/>
        <v>20068.75</v>
      </c>
      <c r="BI51" s="226">
        <f t="shared" si="22"/>
        <v>20068.75</v>
      </c>
      <c r="BJ51" s="226">
        <f t="shared" si="22"/>
        <v>20068.75</v>
      </c>
      <c r="BK51" s="226">
        <f t="shared" si="22"/>
        <v>20068.75</v>
      </c>
      <c r="BL51" s="226">
        <f t="shared" si="22"/>
        <v>20068.75</v>
      </c>
      <c r="BM51" s="226">
        <f t="shared" si="22"/>
        <v>20068.75</v>
      </c>
      <c r="BN51" s="226">
        <f t="shared" si="22"/>
        <v>20068.75</v>
      </c>
      <c r="BO51" s="226">
        <f t="shared" si="22"/>
        <v>20068.75</v>
      </c>
      <c r="BP51" s="226">
        <f t="shared" si="22"/>
        <v>20068.75</v>
      </c>
      <c r="BQ51" s="226">
        <f t="shared" si="22"/>
        <v>20068.75</v>
      </c>
      <c r="BR51" s="226">
        <f t="shared" si="22"/>
        <v>20068.75</v>
      </c>
      <c r="BS51" s="226">
        <f t="shared" si="22"/>
        <v>20068.75</v>
      </c>
      <c r="BT51" s="226">
        <f t="shared" si="22"/>
        <v>20068.75</v>
      </c>
      <c r="BU51" s="226">
        <f t="shared" si="22"/>
        <v>20068.75</v>
      </c>
      <c r="BV51" s="226">
        <f t="shared" si="22"/>
        <v>20068.75</v>
      </c>
      <c r="BW51" s="226">
        <f t="shared" si="22"/>
        <v>20068.75</v>
      </c>
    </row>
    <row r="52" spans="1:75" ht="12.75" x14ac:dyDescent="0.2">
      <c r="A52" s="23" t="s">
        <v>306</v>
      </c>
      <c r="B52" s="224">
        <f ca="1">AVERAGEIFS(52:52,$1:$1,"&gt;="&amp;DATE(YEAR(Current_Month),MONTH(Current_Month)-2,DAY(Current_Month)),$1:$1,"&lt;="&amp;EOMONTH(Current_Month,0))</f>
        <v>7319</v>
      </c>
      <c r="D52" s="115">
        <f t="array" aca="1" ref="D52" ca="1">INDEX(INDIRECT("PnL_"&amp;TEXT(D$1,"mmm")&amp;"_"&amp;TEXT(D$1,"yyyy")),MATCH(TRIM($A52),PnL_Accounts,0))</f>
        <v>6790</v>
      </c>
      <c r="E52" s="115">
        <f t="array" aca="1" ref="E52" ca="1">INDEX(INDIRECT("PnL_"&amp;TEXT(E$1,"mmm")&amp;"_"&amp;TEXT(E$1,"yyyy")),MATCH(TRIM($A52),PnL_Accounts,0))</f>
        <v>6790</v>
      </c>
      <c r="F52" s="115">
        <f t="array" aca="1" ref="F52" ca="1">INDEX(INDIRECT("PnL_"&amp;TEXT(F$1,"mmm")&amp;"_"&amp;TEXT(F$1,"yyyy")),MATCH(TRIM($A52),PnL_Accounts,0))</f>
        <v>6790</v>
      </c>
      <c r="G52" s="115">
        <f t="array" aca="1" ref="G52" ca="1">INDEX(INDIRECT("PnL_"&amp;TEXT(G$1,"mmm")&amp;"_"&amp;TEXT(G$1,"yyyy")),MATCH(TRIM($A52),PnL_Accounts,0))</f>
        <v>6790</v>
      </c>
      <c r="H52" s="115">
        <f t="array" aca="1" ref="H52" ca="1">INDEX(INDIRECT("PnL_"&amp;TEXT(H$1,"mmm")&amp;"_"&amp;TEXT(H$1,"yyyy")),MATCH(TRIM($A52),PnL_Accounts,0))</f>
        <v>6790</v>
      </c>
      <c r="I52" s="115">
        <f t="array" aca="1" ref="I52" ca="1">INDEX(INDIRECT("PnL_"&amp;TEXT(I$1,"mmm")&amp;"_"&amp;TEXT(I$1,"yyyy")),MATCH(TRIM($A52),PnL_Accounts,0))</f>
        <v>6790</v>
      </c>
      <c r="J52" s="115">
        <f t="array" aca="1" ref="J52" ca="1">INDEX(INDIRECT("PnL_"&amp;TEXT(J$1,"mmm")&amp;"_"&amp;TEXT(J$1,"yyyy")),MATCH(TRIM($A52),PnL_Accounts,0))</f>
        <v>6790</v>
      </c>
      <c r="K52" s="115">
        <f t="array" aca="1" ref="K52" ca="1">INDEX(INDIRECT("PnL_"&amp;TEXT(K$1,"mmm")&amp;"_"&amp;TEXT(K$1,"yyyy")),MATCH(TRIM($A52),PnL_Accounts,0))</f>
        <v>6930</v>
      </c>
      <c r="L52" s="115">
        <f t="array" aca="1" ref="L52" ca="1">INDEX(INDIRECT("PnL_"&amp;TEXT(L$1,"mmm")&amp;"_"&amp;TEXT(L$1,"yyyy")),MATCH(TRIM($A52),PnL_Accounts,0))</f>
        <v>6930</v>
      </c>
      <c r="M52" s="115">
        <f t="array" aca="1" ref="M52" ca="1">INDEX(INDIRECT("PnL_"&amp;TEXT(M$1,"mmm")&amp;"_"&amp;TEXT(M$1,"yyyy")),MATCH(TRIM($A52),PnL_Accounts,0))</f>
        <v>7380</v>
      </c>
      <c r="N52" s="115">
        <f t="array" aca="1" ref="N52" ca="1">INDEX(INDIRECT("PnL_"&amp;TEXT(N$1,"mmm")&amp;"_"&amp;TEXT(N$1,"yyyy")),MATCH(TRIM($A52),PnL_Accounts,0))</f>
        <v>7236</v>
      </c>
      <c r="O52" s="115">
        <f t="array" aca="1" ref="O52" ca="1">INDEX(INDIRECT("PnL_"&amp;TEXT(O$1,"mmm")&amp;"_"&amp;TEXT(O$1,"yyyy")),MATCH(TRIM($A52),PnL_Accounts,0))</f>
        <v>7563</v>
      </c>
      <c r="P52" s="115">
        <f t="array" aca="1" ref="P52" ca="1">INDEX(INDIRECT("PnL_"&amp;TEXT(P$1,"mmm")&amp;"_"&amp;TEXT(P$1,"yyyy")),MATCH(TRIM($A52),PnL_Accounts,0))</f>
        <v>7255</v>
      </c>
      <c r="Q52" s="115">
        <f t="array" aca="1" ref="Q52" ca="1">INDEX(INDIRECT("PnL_"&amp;TEXT(Q$1,"mmm")&amp;"_"&amp;TEXT(Q$1,"yyyy")),MATCH(TRIM($A52),PnL_Accounts,0))</f>
        <v>7188</v>
      </c>
      <c r="R52" s="115">
        <f t="array" aca="1" ref="R52" ca="1">INDEX(INDIRECT("PnL_"&amp;TEXT(R$1,"mmm")&amp;"_"&amp;TEXT(R$1,"yyyy")),MATCH(TRIM($A52),PnL_Accounts,0))</f>
        <v>7188</v>
      </c>
      <c r="S52" s="115">
        <f t="array" aca="1" ref="S52" ca="1">INDEX(INDIRECT("PnL_"&amp;TEXT(S$1,"mmm")&amp;"_"&amp;TEXT(S$1,"yyyy")),MATCH(TRIM($A52),PnL_Accounts,0))</f>
        <v>7188</v>
      </c>
      <c r="T52" s="115">
        <f t="array" aca="1" ref="T52" ca="1">INDEX(INDIRECT("PnL_"&amp;TEXT(T$1,"mmm")&amp;"_"&amp;TEXT(T$1,"yyyy")),MATCH(TRIM($A52),PnL_Accounts,0))</f>
        <v>6919</v>
      </c>
      <c r="U52" s="115">
        <f t="array" aca="1" ref="U52" ca="1">INDEX(INDIRECT("PnL_"&amp;TEXT(U$1,"mmm")&amp;"_"&amp;TEXT(U$1,"yyyy")),MATCH(TRIM($A52),PnL_Accounts,0))</f>
        <v>7340</v>
      </c>
      <c r="V52" s="115">
        <f t="array" aca="1" ref="V52" ca="1">INDEX(INDIRECT("PnL_"&amp;TEXT(V$1,"mmm")&amp;"_"&amp;TEXT(V$1,"yyyy")),MATCH(TRIM($A52),PnL_Accounts,0))</f>
        <v>7282</v>
      </c>
      <c r="W52" s="115">
        <f t="array" aca="1" ref="W52" ca="1">INDEX(INDIRECT("PnL_"&amp;TEXT(W$1,"mmm")&amp;"_"&amp;TEXT(W$1,"yyyy")),MATCH(TRIM($A52),PnL_Accounts,0))</f>
        <v>7319</v>
      </c>
      <c r="X52" s="115">
        <f t="array" aca="1" ref="X52" ca="1">INDEX(INDIRECT("PnL_"&amp;TEXT(X$1,"mmm")&amp;"_"&amp;TEXT(X$1,"yyyy")),MATCH(TRIM($A52),PnL_Accounts,0))</f>
        <v>7319</v>
      </c>
      <c r="Y52" s="115">
        <f t="array" aca="1" ref="Y52" ca="1">INDEX(INDIRECT("PnL_"&amp;TEXT(Y$1,"mmm")&amp;"_"&amp;TEXT(Y$1,"yyyy")),MATCH(TRIM($A52),PnL_Accounts,0))</f>
        <v>7319</v>
      </c>
      <c r="Z52" s="115">
        <f t="array" aca="1" ref="Z52" ca="1">INDEX(INDIRECT("PnL_"&amp;TEXT(Z$1,"mmm")&amp;"_"&amp;TEXT(Z$1,"yyyy")),MATCH(TRIM($A52),PnL_Accounts,0))</f>
        <v>7319</v>
      </c>
      <c r="AA52" s="115">
        <f t="array" aca="1" ref="AA52" ca="1">INDEX(INDIRECT("PnL_"&amp;TEXT(AA$1,"mmm")&amp;"_"&amp;TEXT(AA$1,"yyyy")),MATCH(TRIM($A52),PnL_Accounts,0))</f>
        <v>7319</v>
      </c>
      <c r="AB52" s="115">
        <f t="array" aca="1" ref="AB52" ca="1">INDEX(INDIRECT("PnL_"&amp;TEXT(AB$1,"mmm")&amp;"_"&amp;TEXT(AB$1,"yyyy")),MATCH(TRIM($A52),PnL_Accounts,0))</f>
        <v>7319</v>
      </c>
      <c r="AC52" s="115">
        <f t="array" aca="1" ref="AC52" ca="1">INDEX(INDIRECT("PnL_"&amp;TEXT(AC$1,"mmm")&amp;"_"&amp;TEXT(AC$1,"yyyy")),MATCH(TRIM($A52),PnL_Accounts,0))</f>
        <v>7319</v>
      </c>
      <c r="AD52" s="115">
        <f t="array" aca="1" ref="AD52" ca="1">INDEX(INDIRECT("PnL_"&amp;TEXT(AD$1,"mmm")&amp;"_"&amp;TEXT(AD$1,"yyyy")),MATCH(TRIM($A52),PnL_Accounts,0))</f>
        <v>7319</v>
      </c>
      <c r="AE52" s="115">
        <f t="array" aca="1" ref="AE52" ca="1">INDEX(INDIRECT("PnL_"&amp;TEXT(AE$1,"mmm")&amp;"_"&amp;TEXT(AE$1,"yyyy")),MATCH(TRIM($A52),PnL_Accounts,0))</f>
        <v>7319</v>
      </c>
      <c r="AF52" s="165">
        <f t="shared" ref="AF52:BW52" ca="1" si="23">$B52</f>
        <v>7319</v>
      </c>
      <c r="AG52" s="165">
        <f t="shared" ca="1" si="23"/>
        <v>7319</v>
      </c>
      <c r="AH52" s="165">
        <f t="shared" ca="1" si="23"/>
        <v>7319</v>
      </c>
      <c r="AI52" s="165">
        <f t="shared" ca="1" si="23"/>
        <v>7319</v>
      </c>
      <c r="AJ52" s="165">
        <f t="shared" ca="1" si="23"/>
        <v>7319</v>
      </c>
      <c r="AK52" s="165">
        <f t="shared" ca="1" si="23"/>
        <v>7319</v>
      </c>
      <c r="AL52" s="165">
        <f t="shared" ca="1" si="23"/>
        <v>7319</v>
      </c>
      <c r="AM52" s="165">
        <f t="shared" ca="1" si="23"/>
        <v>7319</v>
      </c>
      <c r="AN52" s="165">
        <f t="shared" ca="1" si="23"/>
        <v>7319</v>
      </c>
      <c r="AO52" s="165">
        <f t="shared" ca="1" si="23"/>
        <v>7319</v>
      </c>
      <c r="AP52" s="165">
        <f t="shared" ca="1" si="23"/>
        <v>7319</v>
      </c>
      <c r="AQ52" s="165">
        <f t="shared" ca="1" si="23"/>
        <v>7319</v>
      </c>
      <c r="AR52" s="165">
        <f t="shared" ca="1" si="23"/>
        <v>7319</v>
      </c>
      <c r="AS52" s="165">
        <f t="shared" ca="1" si="23"/>
        <v>7319</v>
      </c>
      <c r="AT52" s="165">
        <f t="shared" ca="1" si="23"/>
        <v>7319</v>
      </c>
      <c r="AU52" s="165">
        <f t="shared" ca="1" si="23"/>
        <v>7319</v>
      </c>
      <c r="AV52" s="165">
        <f t="shared" ca="1" si="23"/>
        <v>7319</v>
      </c>
      <c r="AW52" s="165">
        <f t="shared" ca="1" si="23"/>
        <v>7319</v>
      </c>
      <c r="AX52" s="165">
        <f t="shared" ca="1" si="23"/>
        <v>7319</v>
      </c>
      <c r="AY52" s="165">
        <f t="shared" ca="1" si="23"/>
        <v>7319</v>
      </c>
      <c r="AZ52" s="165">
        <f t="shared" ca="1" si="23"/>
        <v>7319</v>
      </c>
      <c r="BA52" s="165">
        <f t="shared" ca="1" si="23"/>
        <v>7319</v>
      </c>
      <c r="BB52" s="165">
        <f t="shared" ca="1" si="23"/>
        <v>7319</v>
      </c>
      <c r="BC52" s="165">
        <f t="shared" ca="1" si="23"/>
        <v>7319</v>
      </c>
      <c r="BD52" s="165">
        <f t="shared" ca="1" si="23"/>
        <v>7319</v>
      </c>
      <c r="BE52" s="165">
        <f t="shared" ca="1" si="23"/>
        <v>7319</v>
      </c>
      <c r="BF52" s="165">
        <f t="shared" ca="1" si="23"/>
        <v>7319</v>
      </c>
      <c r="BG52" s="165">
        <f t="shared" ca="1" si="23"/>
        <v>7319</v>
      </c>
      <c r="BH52" s="165">
        <f t="shared" ca="1" si="23"/>
        <v>7319</v>
      </c>
      <c r="BI52" s="165">
        <f t="shared" ca="1" si="23"/>
        <v>7319</v>
      </c>
      <c r="BJ52" s="165">
        <f t="shared" ca="1" si="23"/>
        <v>7319</v>
      </c>
      <c r="BK52" s="165">
        <f t="shared" ca="1" si="23"/>
        <v>7319</v>
      </c>
      <c r="BL52" s="165">
        <f t="shared" ca="1" si="23"/>
        <v>7319</v>
      </c>
      <c r="BM52" s="165">
        <f t="shared" ca="1" si="23"/>
        <v>7319</v>
      </c>
      <c r="BN52" s="165">
        <f t="shared" ca="1" si="23"/>
        <v>7319</v>
      </c>
      <c r="BO52" s="165">
        <f t="shared" ca="1" si="23"/>
        <v>7319</v>
      </c>
      <c r="BP52" s="165">
        <f t="shared" ca="1" si="23"/>
        <v>7319</v>
      </c>
      <c r="BQ52" s="165">
        <f t="shared" ca="1" si="23"/>
        <v>7319</v>
      </c>
      <c r="BR52" s="165">
        <f t="shared" ca="1" si="23"/>
        <v>7319</v>
      </c>
      <c r="BS52" s="165">
        <f t="shared" ca="1" si="23"/>
        <v>7319</v>
      </c>
      <c r="BT52" s="165">
        <f t="shared" ca="1" si="23"/>
        <v>7319</v>
      </c>
      <c r="BU52" s="165">
        <f t="shared" ca="1" si="23"/>
        <v>7319</v>
      </c>
      <c r="BV52" s="165">
        <f t="shared" ca="1" si="23"/>
        <v>7319</v>
      </c>
      <c r="BW52" s="165">
        <f t="shared" ca="1" si="23"/>
        <v>7319</v>
      </c>
    </row>
    <row r="53" spans="1:75" ht="12.75" x14ac:dyDescent="0.2">
      <c r="A53" s="23" t="s">
        <v>307</v>
      </c>
      <c r="B53" s="224">
        <f ca="1">AVERAGEIFS(53:53,$1:$1,"&gt;="&amp;DATE(YEAR(Current_Month),MONTH(Current_Month)-2,DAY(Current_Month)),$1:$1,"&lt;="&amp;EOMONTH(Current_Month,0))</f>
        <v>7941</v>
      </c>
      <c r="D53" s="115">
        <f t="array" aca="1" ref="D53" ca="1">INDEX(INDIRECT("PnL_"&amp;TEXT(D$1,"mmm")&amp;"_"&amp;TEXT(D$1,"yyyy")),MATCH(TRIM($A53),PnL_Accounts,0))</f>
        <v>1158</v>
      </c>
      <c r="E53" s="115">
        <f t="array" aca="1" ref="E53" ca="1">INDEX(INDIRECT("PnL_"&amp;TEXT(E$1,"mmm")&amp;"_"&amp;TEXT(E$1,"yyyy")),MATCH(TRIM($A53),PnL_Accounts,0))</f>
        <v>0</v>
      </c>
      <c r="F53" s="115">
        <f t="array" aca="1" ref="F53" ca="1">INDEX(INDIRECT("PnL_"&amp;TEXT(F$1,"mmm")&amp;"_"&amp;TEXT(F$1,"yyyy")),MATCH(TRIM($A53),PnL_Accounts,0))</f>
        <v>0</v>
      </c>
      <c r="G53" s="115">
        <f t="array" aca="1" ref="G53" ca="1">INDEX(INDIRECT("PnL_"&amp;TEXT(G$1,"mmm")&amp;"_"&amp;TEXT(G$1,"yyyy")),MATCH(TRIM($A53),PnL_Accounts,0))</f>
        <v>0</v>
      </c>
      <c r="H53" s="115">
        <f t="array" aca="1" ref="H53" ca="1">INDEX(INDIRECT("PnL_"&amp;TEXT(H$1,"mmm")&amp;"_"&amp;TEXT(H$1,"yyyy")),MATCH(TRIM($A53),PnL_Accounts,0))</f>
        <v>0</v>
      </c>
      <c r="I53" s="115">
        <f t="array" aca="1" ref="I53" ca="1">INDEX(INDIRECT("PnL_"&amp;TEXT(I$1,"mmm")&amp;"_"&amp;TEXT(I$1,"yyyy")),MATCH(TRIM($A53),PnL_Accounts,0))</f>
        <v>0</v>
      </c>
      <c r="J53" s="115">
        <f t="array" aca="1" ref="J53" ca="1">INDEX(INDIRECT("PnL_"&amp;TEXT(J$1,"mmm")&amp;"_"&amp;TEXT(J$1,"yyyy")),MATCH(TRIM($A53),PnL_Accounts,0))</f>
        <v>0</v>
      </c>
      <c r="K53" s="115">
        <f t="array" aca="1" ref="K53" ca="1">INDEX(INDIRECT("PnL_"&amp;TEXT(K$1,"mmm")&amp;"_"&amp;TEXT(K$1,"yyyy")),MATCH(TRIM($A53),PnL_Accounts,0))</f>
        <v>0</v>
      </c>
      <c r="L53" s="115">
        <f t="array" aca="1" ref="L53" ca="1">INDEX(INDIRECT("PnL_"&amp;TEXT(L$1,"mmm")&amp;"_"&amp;TEXT(L$1,"yyyy")),MATCH(TRIM($A53),PnL_Accounts,0))</f>
        <v>0</v>
      </c>
      <c r="M53" s="115">
        <f t="array" aca="1" ref="M53" ca="1">INDEX(INDIRECT("PnL_"&amp;TEXT(M$1,"mmm")&amp;"_"&amp;TEXT(M$1,"yyyy")),MATCH(TRIM($A53),PnL_Accounts,0))</f>
        <v>0</v>
      </c>
      <c r="N53" s="115">
        <f t="array" aca="1" ref="N53" ca="1">INDEX(INDIRECT("PnL_"&amp;TEXT(N$1,"mmm")&amp;"_"&amp;TEXT(N$1,"yyyy")),MATCH(TRIM($A53),PnL_Accounts,0))</f>
        <v>0</v>
      </c>
      <c r="O53" s="115">
        <f t="array" aca="1" ref="O53" ca="1">INDEX(INDIRECT("PnL_"&amp;TEXT(O$1,"mmm")&amp;"_"&amp;TEXT(O$1,"yyyy")),MATCH(TRIM($A53),PnL_Accounts,0))</f>
        <v>0</v>
      </c>
      <c r="P53" s="115">
        <f t="array" aca="1" ref="P53" ca="1">INDEX(INDIRECT("PnL_"&amp;TEXT(P$1,"mmm")&amp;"_"&amp;TEXT(P$1,"yyyy")),MATCH(TRIM($A53),PnL_Accounts,0))</f>
        <v>3476</v>
      </c>
      <c r="Q53" s="115">
        <f t="array" aca="1" ref="Q53" ca="1">INDEX(INDIRECT("PnL_"&amp;TEXT(Q$1,"mmm")&amp;"_"&amp;TEXT(Q$1,"yyyy")),MATCH(TRIM($A53),PnL_Accounts,0))</f>
        <v>3750</v>
      </c>
      <c r="R53" s="115">
        <f t="array" aca="1" ref="R53" ca="1">INDEX(INDIRECT("PnL_"&amp;TEXT(R$1,"mmm")&amp;"_"&amp;TEXT(R$1,"yyyy")),MATCH(TRIM($A53),PnL_Accounts,0))</f>
        <v>3861</v>
      </c>
      <c r="S53" s="115">
        <f t="array" aca="1" ref="S53" ca="1">INDEX(INDIRECT("PnL_"&amp;TEXT(S$1,"mmm")&amp;"_"&amp;TEXT(S$1,"yyyy")),MATCH(TRIM($A53),PnL_Accounts,0))</f>
        <v>3996</v>
      </c>
      <c r="T53" s="115">
        <f t="array" aca="1" ref="T53" ca="1">INDEX(INDIRECT("PnL_"&amp;TEXT(T$1,"mmm")&amp;"_"&amp;TEXT(T$1,"yyyy")),MATCH(TRIM($A53),PnL_Accounts,0))</f>
        <v>4147</v>
      </c>
      <c r="U53" s="115">
        <f t="array" aca="1" ref="U53" ca="1">INDEX(INDIRECT("PnL_"&amp;TEXT(U$1,"mmm")&amp;"_"&amp;TEXT(U$1,"yyyy")),MATCH(TRIM($A53),PnL_Accounts,0))</f>
        <v>4334</v>
      </c>
      <c r="V53" s="115">
        <f t="array" aca="1" ref="V53" ca="1">INDEX(INDIRECT("PnL_"&amp;TEXT(V$1,"mmm")&amp;"_"&amp;TEXT(V$1,"yyyy")),MATCH(TRIM($A53),PnL_Accounts,0))</f>
        <v>4567</v>
      </c>
      <c r="W53" s="115">
        <f t="array" aca="1" ref="W53" ca="1">INDEX(INDIRECT("PnL_"&amp;TEXT(W$1,"mmm")&amp;"_"&amp;TEXT(W$1,"yyyy")),MATCH(TRIM($A53),PnL_Accounts,0))</f>
        <v>4720</v>
      </c>
      <c r="X53" s="115">
        <f t="array" aca="1" ref="X53" ca="1">INDEX(INDIRECT("PnL_"&amp;TEXT(X$1,"mmm")&amp;"_"&amp;TEXT(X$1,"yyyy")),MATCH(TRIM($A53),PnL_Accounts,0))</f>
        <v>5007</v>
      </c>
      <c r="Y53" s="115">
        <f t="array" aca="1" ref="Y53" ca="1">INDEX(INDIRECT("PnL_"&amp;TEXT(Y$1,"mmm")&amp;"_"&amp;TEXT(Y$1,"yyyy")),MATCH(TRIM($A53),PnL_Accounts,0))</f>
        <v>5118</v>
      </c>
      <c r="Z53" s="115">
        <f t="array" aca="1" ref="Z53" ca="1">INDEX(INDIRECT("PnL_"&amp;TEXT(Z$1,"mmm")&amp;"_"&amp;TEXT(Z$1,"yyyy")),MATCH(TRIM($A53),PnL_Accounts,0))</f>
        <v>5666</v>
      </c>
      <c r="AA53" s="115">
        <f t="array" aca="1" ref="AA53" ca="1">INDEX(INDIRECT("PnL_"&amp;TEXT(AA$1,"mmm")&amp;"_"&amp;TEXT(AA$1,"yyyy")),MATCH(TRIM($A53),PnL_Accounts,0))</f>
        <v>5976</v>
      </c>
      <c r="AB53" s="115">
        <f t="array" aca="1" ref="AB53" ca="1">INDEX(INDIRECT("PnL_"&amp;TEXT(AB$1,"mmm")&amp;"_"&amp;TEXT(AB$1,"yyyy")),MATCH(TRIM($A53),PnL_Accounts,0))</f>
        <v>6225</v>
      </c>
      <c r="AC53" s="115">
        <f t="array" aca="1" ref="AC53" ca="1">INDEX(INDIRECT("PnL_"&amp;TEXT(AC$1,"mmm")&amp;"_"&amp;TEXT(AC$1,"yyyy")),MATCH(TRIM($A53),PnL_Accounts,0))</f>
        <v>7523</v>
      </c>
      <c r="AD53" s="115">
        <f t="array" aca="1" ref="AD53" ca="1">INDEX(INDIRECT("PnL_"&amp;TEXT(AD$1,"mmm")&amp;"_"&amp;TEXT(AD$1,"yyyy")),MATCH(TRIM($A53),PnL_Accounts,0))</f>
        <v>7536</v>
      </c>
      <c r="AE53" s="115">
        <f t="array" aca="1" ref="AE53" ca="1">INDEX(INDIRECT("PnL_"&amp;TEXT(AE$1,"mmm")&amp;"_"&amp;TEXT(AE$1,"yyyy")),MATCH(TRIM($A53),PnL_Accounts,0))</f>
        <v>8764</v>
      </c>
      <c r="AF53" s="165">
        <f t="shared" ref="AF53:BW53" ca="1" si="24">$B53</f>
        <v>7941</v>
      </c>
      <c r="AG53" s="165">
        <f t="shared" ca="1" si="24"/>
        <v>7941</v>
      </c>
      <c r="AH53" s="165">
        <f t="shared" ca="1" si="24"/>
        <v>7941</v>
      </c>
      <c r="AI53" s="165">
        <f t="shared" ca="1" si="24"/>
        <v>7941</v>
      </c>
      <c r="AJ53" s="165">
        <f t="shared" ca="1" si="24"/>
        <v>7941</v>
      </c>
      <c r="AK53" s="165">
        <f t="shared" ca="1" si="24"/>
        <v>7941</v>
      </c>
      <c r="AL53" s="165">
        <f t="shared" ca="1" si="24"/>
        <v>7941</v>
      </c>
      <c r="AM53" s="165">
        <f t="shared" ca="1" si="24"/>
        <v>7941</v>
      </c>
      <c r="AN53" s="165">
        <f t="shared" ca="1" si="24"/>
        <v>7941</v>
      </c>
      <c r="AO53" s="165">
        <f t="shared" ca="1" si="24"/>
        <v>7941</v>
      </c>
      <c r="AP53" s="165">
        <f t="shared" ca="1" si="24"/>
        <v>7941</v>
      </c>
      <c r="AQ53" s="165">
        <f t="shared" ca="1" si="24"/>
        <v>7941</v>
      </c>
      <c r="AR53" s="165">
        <f t="shared" ca="1" si="24"/>
        <v>7941</v>
      </c>
      <c r="AS53" s="165">
        <f t="shared" ca="1" si="24"/>
        <v>7941</v>
      </c>
      <c r="AT53" s="165">
        <f t="shared" ca="1" si="24"/>
        <v>7941</v>
      </c>
      <c r="AU53" s="165">
        <f t="shared" ca="1" si="24"/>
        <v>7941</v>
      </c>
      <c r="AV53" s="165">
        <f t="shared" ca="1" si="24"/>
        <v>7941</v>
      </c>
      <c r="AW53" s="165">
        <f t="shared" ca="1" si="24"/>
        <v>7941</v>
      </c>
      <c r="AX53" s="165">
        <f t="shared" ca="1" si="24"/>
        <v>7941</v>
      </c>
      <c r="AY53" s="165">
        <f t="shared" ca="1" si="24"/>
        <v>7941</v>
      </c>
      <c r="AZ53" s="165">
        <f t="shared" ca="1" si="24"/>
        <v>7941</v>
      </c>
      <c r="BA53" s="165">
        <f t="shared" ca="1" si="24"/>
        <v>7941</v>
      </c>
      <c r="BB53" s="165">
        <f t="shared" ca="1" si="24"/>
        <v>7941</v>
      </c>
      <c r="BC53" s="165">
        <f t="shared" ca="1" si="24"/>
        <v>7941</v>
      </c>
      <c r="BD53" s="165">
        <f t="shared" ca="1" si="24"/>
        <v>7941</v>
      </c>
      <c r="BE53" s="165">
        <f t="shared" ca="1" si="24"/>
        <v>7941</v>
      </c>
      <c r="BF53" s="165">
        <f t="shared" ca="1" si="24"/>
        <v>7941</v>
      </c>
      <c r="BG53" s="165">
        <f t="shared" ca="1" si="24"/>
        <v>7941</v>
      </c>
      <c r="BH53" s="165">
        <f t="shared" ca="1" si="24"/>
        <v>7941</v>
      </c>
      <c r="BI53" s="165">
        <f t="shared" ca="1" si="24"/>
        <v>7941</v>
      </c>
      <c r="BJ53" s="165">
        <f t="shared" ca="1" si="24"/>
        <v>7941</v>
      </c>
      <c r="BK53" s="165">
        <f t="shared" ca="1" si="24"/>
        <v>7941</v>
      </c>
      <c r="BL53" s="165">
        <f t="shared" ca="1" si="24"/>
        <v>7941</v>
      </c>
      <c r="BM53" s="165">
        <f t="shared" ca="1" si="24"/>
        <v>7941</v>
      </c>
      <c r="BN53" s="165">
        <f t="shared" ca="1" si="24"/>
        <v>7941</v>
      </c>
      <c r="BO53" s="165">
        <f t="shared" ca="1" si="24"/>
        <v>7941</v>
      </c>
      <c r="BP53" s="165">
        <f t="shared" ca="1" si="24"/>
        <v>7941</v>
      </c>
      <c r="BQ53" s="165">
        <f t="shared" ca="1" si="24"/>
        <v>7941</v>
      </c>
      <c r="BR53" s="165">
        <f t="shared" ca="1" si="24"/>
        <v>7941</v>
      </c>
      <c r="BS53" s="165">
        <f t="shared" ca="1" si="24"/>
        <v>7941</v>
      </c>
      <c r="BT53" s="165">
        <f t="shared" ca="1" si="24"/>
        <v>7941</v>
      </c>
      <c r="BU53" s="165">
        <f t="shared" ca="1" si="24"/>
        <v>7941</v>
      </c>
      <c r="BV53" s="165">
        <f t="shared" ca="1" si="24"/>
        <v>7941</v>
      </c>
      <c r="BW53" s="165">
        <f t="shared" ca="1" si="24"/>
        <v>7941</v>
      </c>
    </row>
    <row r="54" spans="1:75" ht="12.75" x14ac:dyDescent="0.2">
      <c r="A54" s="23" t="s">
        <v>308</v>
      </c>
      <c r="B54" s="224">
        <f ca="1">AVERAGEIFS(54:54,$1:$1,"&gt;="&amp;DATE(YEAR(Current_Month),MONTH(Current_Month)-2,DAY(Current_Month)),$1:$1,"&lt;="&amp;EOMONTH(Current_Month,0))</f>
        <v>800</v>
      </c>
      <c r="D54" s="115">
        <f t="array" aca="1" ref="D54" ca="1">INDEX(INDIRECT("PnL_"&amp;TEXT(D$1,"mmm")&amp;"_"&amp;TEXT(D$1,"yyyy")),MATCH(TRIM($A54),PnL_Accounts,0))</f>
        <v>0</v>
      </c>
      <c r="E54" s="115">
        <f t="array" aca="1" ref="E54" ca="1">INDEX(INDIRECT("PnL_"&amp;TEXT(E$1,"mmm")&amp;"_"&amp;TEXT(E$1,"yyyy")),MATCH(TRIM($A54),PnL_Accounts,0))</f>
        <v>0</v>
      </c>
      <c r="F54" s="115">
        <f t="array" aca="1" ref="F54" ca="1">INDEX(INDIRECT("PnL_"&amp;TEXT(F$1,"mmm")&amp;"_"&amp;TEXT(F$1,"yyyy")),MATCH(TRIM($A54),PnL_Accounts,0))</f>
        <v>0</v>
      </c>
      <c r="G54" s="115">
        <f t="array" aca="1" ref="G54" ca="1">INDEX(INDIRECT("PnL_"&amp;TEXT(G$1,"mmm")&amp;"_"&amp;TEXT(G$1,"yyyy")),MATCH(TRIM($A54),PnL_Accounts,0))</f>
        <v>0</v>
      </c>
      <c r="H54" s="115">
        <f t="array" aca="1" ref="H54" ca="1">INDEX(INDIRECT("PnL_"&amp;TEXT(H$1,"mmm")&amp;"_"&amp;TEXT(H$1,"yyyy")),MATCH(TRIM($A54),PnL_Accounts,0))</f>
        <v>0</v>
      </c>
      <c r="I54" s="115">
        <f t="array" aca="1" ref="I54" ca="1">INDEX(INDIRECT("PnL_"&amp;TEXT(I$1,"mmm")&amp;"_"&amp;TEXT(I$1,"yyyy")),MATCH(TRIM($A54),PnL_Accounts,0))</f>
        <v>0</v>
      </c>
      <c r="J54" s="115">
        <f t="array" aca="1" ref="J54" ca="1">INDEX(INDIRECT("PnL_"&amp;TEXT(J$1,"mmm")&amp;"_"&amp;TEXT(J$1,"yyyy")),MATCH(TRIM($A54),PnL_Accounts,0))</f>
        <v>0</v>
      </c>
      <c r="K54" s="115">
        <f t="array" aca="1" ref="K54" ca="1">INDEX(INDIRECT("PnL_"&amp;TEXT(K$1,"mmm")&amp;"_"&amp;TEXT(K$1,"yyyy")),MATCH(TRIM($A54),PnL_Accounts,0))</f>
        <v>0</v>
      </c>
      <c r="L54" s="115">
        <f t="array" aca="1" ref="L54" ca="1">INDEX(INDIRECT("PnL_"&amp;TEXT(L$1,"mmm")&amp;"_"&amp;TEXT(L$1,"yyyy")),MATCH(TRIM($A54),PnL_Accounts,0))</f>
        <v>0</v>
      </c>
      <c r="M54" s="115">
        <f t="array" aca="1" ref="M54" ca="1">INDEX(INDIRECT("PnL_"&amp;TEXT(M$1,"mmm")&amp;"_"&amp;TEXT(M$1,"yyyy")),MATCH(TRIM($A54),PnL_Accounts,0))</f>
        <v>0</v>
      </c>
      <c r="N54" s="115">
        <f t="array" aca="1" ref="N54" ca="1">INDEX(INDIRECT("PnL_"&amp;TEXT(N$1,"mmm")&amp;"_"&amp;TEXT(N$1,"yyyy")),MATCH(TRIM($A54),PnL_Accounts,0))</f>
        <v>0</v>
      </c>
      <c r="O54" s="115">
        <f t="array" aca="1" ref="O54" ca="1">INDEX(INDIRECT("PnL_"&amp;TEXT(O$1,"mmm")&amp;"_"&amp;TEXT(O$1,"yyyy")),MATCH(TRIM($A54),PnL_Accounts,0))</f>
        <v>0</v>
      </c>
      <c r="P54" s="115">
        <f t="array" aca="1" ref="P54" ca="1">INDEX(INDIRECT("PnL_"&amp;TEXT(P$1,"mmm")&amp;"_"&amp;TEXT(P$1,"yyyy")),MATCH(TRIM($A54),PnL_Accounts,0))</f>
        <v>0</v>
      </c>
      <c r="Q54" s="115">
        <f t="array" aca="1" ref="Q54" ca="1">INDEX(INDIRECT("PnL_"&amp;TEXT(Q$1,"mmm")&amp;"_"&amp;TEXT(Q$1,"yyyy")),MATCH(TRIM($A54),PnL_Accounts,0))</f>
        <v>0</v>
      </c>
      <c r="R54" s="115">
        <f t="array" aca="1" ref="R54" ca="1">INDEX(INDIRECT("PnL_"&amp;TEXT(R$1,"mmm")&amp;"_"&amp;TEXT(R$1,"yyyy")),MATCH(TRIM($A54),PnL_Accounts,0))</f>
        <v>0</v>
      </c>
      <c r="S54" s="115">
        <f t="array" aca="1" ref="S54" ca="1">INDEX(INDIRECT("PnL_"&amp;TEXT(S$1,"mmm")&amp;"_"&amp;TEXT(S$1,"yyyy")),MATCH(TRIM($A54),PnL_Accounts,0))</f>
        <v>0</v>
      </c>
      <c r="T54" s="115">
        <f t="array" aca="1" ref="T54" ca="1">INDEX(INDIRECT("PnL_"&amp;TEXT(T$1,"mmm")&amp;"_"&amp;TEXT(T$1,"yyyy")),MATCH(TRIM($A54),PnL_Accounts,0))</f>
        <v>0</v>
      </c>
      <c r="U54" s="115">
        <f t="array" aca="1" ref="U54" ca="1">INDEX(INDIRECT("PnL_"&amp;TEXT(U$1,"mmm")&amp;"_"&amp;TEXT(U$1,"yyyy")),MATCH(TRIM($A54),PnL_Accounts,0))</f>
        <v>0</v>
      </c>
      <c r="V54" s="115">
        <f t="array" aca="1" ref="V54" ca="1">INDEX(INDIRECT("PnL_"&amp;TEXT(V$1,"mmm")&amp;"_"&amp;TEXT(V$1,"yyyy")),MATCH(TRIM($A54),PnL_Accounts,0))</f>
        <v>0</v>
      </c>
      <c r="W54" s="115">
        <f t="array" aca="1" ref="W54" ca="1">INDEX(INDIRECT("PnL_"&amp;TEXT(W$1,"mmm")&amp;"_"&amp;TEXT(W$1,"yyyy")),MATCH(TRIM($A54),PnL_Accounts,0))</f>
        <v>0</v>
      </c>
      <c r="X54" s="115">
        <f t="array" aca="1" ref="X54" ca="1">INDEX(INDIRECT("PnL_"&amp;TEXT(X$1,"mmm")&amp;"_"&amp;TEXT(X$1,"yyyy")),MATCH(TRIM($A54),PnL_Accounts,0))</f>
        <v>800</v>
      </c>
      <c r="Y54" s="115">
        <f t="array" aca="1" ref="Y54" ca="1">INDEX(INDIRECT("PnL_"&amp;TEXT(Y$1,"mmm")&amp;"_"&amp;TEXT(Y$1,"yyyy")),MATCH(TRIM($A54),PnL_Accounts,0))</f>
        <v>800</v>
      </c>
      <c r="Z54" s="115">
        <f t="array" aca="1" ref="Z54" ca="1">INDEX(INDIRECT("PnL_"&amp;TEXT(Z$1,"mmm")&amp;"_"&amp;TEXT(Z$1,"yyyy")),MATCH(TRIM($A54),PnL_Accounts,0))</f>
        <v>800</v>
      </c>
      <c r="AA54" s="115">
        <f t="array" aca="1" ref="AA54" ca="1">INDEX(INDIRECT("PnL_"&amp;TEXT(AA$1,"mmm")&amp;"_"&amp;TEXT(AA$1,"yyyy")),MATCH(TRIM($A54),PnL_Accounts,0))</f>
        <v>800</v>
      </c>
      <c r="AB54" s="115">
        <f t="array" aca="1" ref="AB54" ca="1">INDEX(INDIRECT("PnL_"&amp;TEXT(AB$1,"mmm")&amp;"_"&amp;TEXT(AB$1,"yyyy")),MATCH(TRIM($A54),PnL_Accounts,0))</f>
        <v>800</v>
      </c>
      <c r="AC54" s="115">
        <f t="array" aca="1" ref="AC54" ca="1">INDEX(INDIRECT("PnL_"&amp;TEXT(AC$1,"mmm")&amp;"_"&amp;TEXT(AC$1,"yyyy")),MATCH(TRIM($A54),PnL_Accounts,0))</f>
        <v>800</v>
      </c>
      <c r="AD54" s="115">
        <f t="array" aca="1" ref="AD54" ca="1">INDEX(INDIRECT("PnL_"&amp;TEXT(AD$1,"mmm")&amp;"_"&amp;TEXT(AD$1,"yyyy")),MATCH(TRIM($A54),PnL_Accounts,0))</f>
        <v>800</v>
      </c>
      <c r="AE54" s="115">
        <f t="array" aca="1" ref="AE54" ca="1">INDEX(INDIRECT("PnL_"&amp;TEXT(AE$1,"mmm")&amp;"_"&amp;TEXT(AE$1,"yyyy")),MATCH(TRIM($A54),PnL_Accounts,0))</f>
        <v>800</v>
      </c>
      <c r="AF54" s="165">
        <f t="shared" ref="AF54:BW54" ca="1" si="25">$B54</f>
        <v>800</v>
      </c>
      <c r="AG54" s="165">
        <f t="shared" ca="1" si="25"/>
        <v>800</v>
      </c>
      <c r="AH54" s="165">
        <f t="shared" ca="1" si="25"/>
        <v>800</v>
      </c>
      <c r="AI54" s="165">
        <f t="shared" ca="1" si="25"/>
        <v>800</v>
      </c>
      <c r="AJ54" s="165">
        <f t="shared" ca="1" si="25"/>
        <v>800</v>
      </c>
      <c r="AK54" s="165">
        <f t="shared" ca="1" si="25"/>
        <v>800</v>
      </c>
      <c r="AL54" s="165">
        <f t="shared" ca="1" si="25"/>
        <v>800</v>
      </c>
      <c r="AM54" s="165">
        <f t="shared" ca="1" si="25"/>
        <v>800</v>
      </c>
      <c r="AN54" s="165">
        <f t="shared" ca="1" si="25"/>
        <v>800</v>
      </c>
      <c r="AO54" s="165">
        <f t="shared" ca="1" si="25"/>
        <v>800</v>
      </c>
      <c r="AP54" s="165">
        <f t="shared" ca="1" si="25"/>
        <v>800</v>
      </c>
      <c r="AQ54" s="165">
        <f t="shared" ca="1" si="25"/>
        <v>800</v>
      </c>
      <c r="AR54" s="165">
        <f t="shared" ca="1" si="25"/>
        <v>800</v>
      </c>
      <c r="AS54" s="165">
        <f t="shared" ca="1" si="25"/>
        <v>800</v>
      </c>
      <c r="AT54" s="165">
        <f t="shared" ca="1" si="25"/>
        <v>800</v>
      </c>
      <c r="AU54" s="165">
        <f t="shared" ca="1" si="25"/>
        <v>800</v>
      </c>
      <c r="AV54" s="165">
        <f t="shared" ca="1" si="25"/>
        <v>800</v>
      </c>
      <c r="AW54" s="165">
        <f t="shared" ca="1" si="25"/>
        <v>800</v>
      </c>
      <c r="AX54" s="165">
        <f t="shared" ca="1" si="25"/>
        <v>800</v>
      </c>
      <c r="AY54" s="165">
        <f t="shared" ca="1" si="25"/>
        <v>800</v>
      </c>
      <c r="AZ54" s="165">
        <f t="shared" ca="1" si="25"/>
        <v>800</v>
      </c>
      <c r="BA54" s="165">
        <f t="shared" ca="1" si="25"/>
        <v>800</v>
      </c>
      <c r="BB54" s="165">
        <f t="shared" ca="1" si="25"/>
        <v>800</v>
      </c>
      <c r="BC54" s="165">
        <f t="shared" ca="1" si="25"/>
        <v>800</v>
      </c>
      <c r="BD54" s="165">
        <f t="shared" ca="1" si="25"/>
        <v>800</v>
      </c>
      <c r="BE54" s="165">
        <f t="shared" ca="1" si="25"/>
        <v>800</v>
      </c>
      <c r="BF54" s="165">
        <f t="shared" ca="1" si="25"/>
        <v>800</v>
      </c>
      <c r="BG54" s="165">
        <f t="shared" ca="1" si="25"/>
        <v>800</v>
      </c>
      <c r="BH54" s="165">
        <f t="shared" ca="1" si="25"/>
        <v>800</v>
      </c>
      <c r="BI54" s="165">
        <f t="shared" ca="1" si="25"/>
        <v>800</v>
      </c>
      <c r="BJ54" s="165">
        <f t="shared" ca="1" si="25"/>
        <v>800</v>
      </c>
      <c r="BK54" s="165">
        <f t="shared" ca="1" si="25"/>
        <v>800</v>
      </c>
      <c r="BL54" s="165">
        <f t="shared" ca="1" si="25"/>
        <v>800</v>
      </c>
      <c r="BM54" s="165">
        <f t="shared" ca="1" si="25"/>
        <v>800</v>
      </c>
      <c r="BN54" s="165">
        <f t="shared" ca="1" si="25"/>
        <v>800</v>
      </c>
      <c r="BO54" s="165">
        <f t="shared" ca="1" si="25"/>
        <v>800</v>
      </c>
      <c r="BP54" s="165">
        <f t="shared" ca="1" si="25"/>
        <v>800</v>
      </c>
      <c r="BQ54" s="165">
        <f t="shared" ca="1" si="25"/>
        <v>800</v>
      </c>
      <c r="BR54" s="165">
        <f t="shared" ca="1" si="25"/>
        <v>800</v>
      </c>
      <c r="BS54" s="165">
        <f t="shared" ca="1" si="25"/>
        <v>800</v>
      </c>
      <c r="BT54" s="165">
        <f t="shared" ca="1" si="25"/>
        <v>800</v>
      </c>
      <c r="BU54" s="165">
        <f t="shared" ca="1" si="25"/>
        <v>800</v>
      </c>
      <c r="BV54" s="165">
        <f t="shared" ca="1" si="25"/>
        <v>800</v>
      </c>
      <c r="BW54" s="165">
        <f t="shared" ca="1" si="25"/>
        <v>800</v>
      </c>
    </row>
    <row r="55" spans="1:75" ht="12.75" x14ac:dyDescent="0.2">
      <c r="A55" s="23" t="s">
        <v>309</v>
      </c>
      <c r="B55" s="224">
        <f ca="1">AVERAGEIFS(55:55,$1:$1,"&gt;="&amp;DATE(YEAR(Current_Month),MONTH(Current_Month)-2,DAY(Current_Month)),$1:$1,"&lt;="&amp;EOMONTH(Current_Month,0))</f>
        <v>3084</v>
      </c>
      <c r="D55" s="115">
        <f t="array" aca="1" ref="D55" ca="1">INDEX(INDIRECT("PnL_"&amp;TEXT(D$1,"mmm")&amp;"_"&amp;TEXT(D$1,"yyyy")),MATCH(TRIM($A55),PnL_Accounts,0))</f>
        <v>1356</v>
      </c>
      <c r="E55" s="115">
        <f t="array" aca="1" ref="E55" ca="1">INDEX(INDIRECT("PnL_"&amp;TEXT(E$1,"mmm")&amp;"_"&amp;TEXT(E$1,"yyyy")),MATCH(TRIM($A55),PnL_Accounts,0))</f>
        <v>1406</v>
      </c>
      <c r="F55" s="115">
        <f t="array" aca="1" ref="F55" ca="1">INDEX(INDIRECT("PnL_"&amp;TEXT(F$1,"mmm")&amp;"_"&amp;TEXT(F$1,"yyyy")),MATCH(TRIM($A55),PnL_Accounts,0))</f>
        <v>1406</v>
      </c>
      <c r="G55" s="115">
        <f t="array" aca="1" ref="G55" ca="1">INDEX(INDIRECT("PnL_"&amp;TEXT(G$1,"mmm")&amp;"_"&amp;TEXT(G$1,"yyyy")),MATCH(TRIM($A55),PnL_Accounts,0))</f>
        <v>1406</v>
      </c>
      <c r="H55" s="115">
        <f t="array" aca="1" ref="H55" ca="1">INDEX(INDIRECT("PnL_"&amp;TEXT(H$1,"mmm")&amp;"_"&amp;TEXT(H$1,"yyyy")),MATCH(TRIM($A55),PnL_Accounts,0))</f>
        <v>1506</v>
      </c>
      <c r="I55" s="115">
        <f t="array" aca="1" ref="I55" ca="1">INDEX(INDIRECT("PnL_"&amp;TEXT(I$1,"mmm")&amp;"_"&amp;TEXT(I$1,"yyyy")),MATCH(TRIM($A55),PnL_Accounts,0))</f>
        <v>1506</v>
      </c>
      <c r="J55" s="115">
        <f t="array" aca="1" ref="J55" ca="1">INDEX(INDIRECT("PnL_"&amp;TEXT(J$1,"mmm")&amp;"_"&amp;TEXT(J$1,"yyyy")),MATCH(TRIM($A55),PnL_Accounts,0))</f>
        <v>1506</v>
      </c>
      <c r="K55" s="115">
        <f t="array" aca="1" ref="K55" ca="1">INDEX(INDIRECT("PnL_"&amp;TEXT(K$1,"mmm")&amp;"_"&amp;TEXT(K$1,"yyyy")),MATCH(TRIM($A55),PnL_Accounts,0))</f>
        <v>1556</v>
      </c>
      <c r="L55" s="115">
        <f t="array" aca="1" ref="L55" ca="1">INDEX(INDIRECT("PnL_"&amp;TEXT(L$1,"mmm")&amp;"_"&amp;TEXT(L$1,"yyyy")),MATCH(TRIM($A55),PnL_Accounts,0))</f>
        <v>1683</v>
      </c>
      <c r="M55" s="115">
        <f t="array" aca="1" ref="M55" ca="1">INDEX(INDIRECT("PnL_"&amp;TEXT(M$1,"mmm")&amp;"_"&amp;TEXT(M$1,"yyyy")),MATCH(TRIM($A55),PnL_Accounts,0))</f>
        <v>1683</v>
      </c>
      <c r="N55" s="115">
        <f t="array" aca="1" ref="N55" ca="1">INDEX(INDIRECT("PnL_"&amp;TEXT(N$1,"mmm")&amp;"_"&amp;TEXT(N$1,"yyyy")),MATCH(TRIM($A55),PnL_Accounts,0))</f>
        <v>1750</v>
      </c>
      <c r="O55" s="115">
        <f t="array" aca="1" ref="O55" ca="1">INDEX(INDIRECT("PnL_"&amp;TEXT(O$1,"mmm")&amp;"_"&amp;TEXT(O$1,"yyyy")),MATCH(TRIM($A55),PnL_Accounts,0))</f>
        <v>1892</v>
      </c>
      <c r="P55" s="115">
        <f t="array" aca="1" ref="P55" ca="1">INDEX(INDIRECT("PnL_"&amp;TEXT(P$1,"mmm")&amp;"_"&amp;TEXT(P$1,"yyyy")),MATCH(TRIM($A55),PnL_Accounts,0))</f>
        <v>1931</v>
      </c>
      <c r="Q55" s="115">
        <f t="array" aca="1" ref="Q55" ca="1">INDEX(INDIRECT("PnL_"&amp;TEXT(Q$1,"mmm")&amp;"_"&amp;TEXT(Q$1,"yyyy")),MATCH(TRIM($A55),PnL_Accounts,0))</f>
        <v>1907</v>
      </c>
      <c r="R55" s="115">
        <f t="array" aca="1" ref="R55" ca="1">INDEX(INDIRECT("PnL_"&amp;TEXT(R$1,"mmm")&amp;"_"&amp;TEXT(R$1,"yyyy")),MATCH(TRIM($A55),PnL_Accounts,0))</f>
        <v>2007</v>
      </c>
      <c r="S55" s="115">
        <f t="array" aca="1" ref="S55" ca="1">INDEX(INDIRECT("PnL_"&amp;TEXT(S$1,"mmm")&amp;"_"&amp;TEXT(S$1,"yyyy")),MATCH(TRIM($A55),PnL_Accounts,0))</f>
        <v>2276</v>
      </c>
      <c r="T55" s="115">
        <f t="array" aca="1" ref="T55" ca="1">INDEX(INDIRECT("PnL_"&amp;TEXT(T$1,"mmm")&amp;"_"&amp;TEXT(T$1,"yyyy")),MATCH(TRIM($A55),PnL_Accounts,0))</f>
        <v>1983</v>
      </c>
      <c r="U55" s="115">
        <f t="array" aca="1" ref="U55" ca="1">INDEX(INDIRECT("PnL_"&amp;TEXT(U$1,"mmm")&amp;"_"&amp;TEXT(U$1,"yyyy")),MATCH(TRIM($A55),PnL_Accounts,0))</f>
        <v>2451</v>
      </c>
      <c r="V55" s="115">
        <f t="array" aca="1" ref="V55" ca="1">INDEX(INDIRECT("PnL_"&amp;TEXT(V$1,"mmm")&amp;"_"&amp;TEXT(V$1,"yyyy")),MATCH(TRIM($A55),PnL_Accounts,0))</f>
        <v>2550</v>
      </c>
      <c r="W55" s="115">
        <f t="array" aca="1" ref="W55" ca="1">INDEX(INDIRECT("PnL_"&amp;TEXT(W$1,"mmm")&amp;"_"&amp;TEXT(W$1,"yyyy")),MATCH(TRIM($A55),PnL_Accounts,0))</f>
        <v>2621</v>
      </c>
      <c r="X55" s="115">
        <f t="array" aca="1" ref="X55" ca="1">INDEX(INDIRECT("PnL_"&amp;TEXT(X$1,"mmm")&amp;"_"&amp;TEXT(X$1,"yyyy")),MATCH(TRIM($A55),PnL_Accounts,0))</f>
        <v>2621</v>
      </c>
      <c r="Y55" s="115">
        <f t="array" aca="1" ref="Y55" ca="1">INDEX(INDIRECT("PnL_"&amp;TEXT(Y$1,"mmm")&amp;"_"&amp;TEXT(Y$1,"yyyy")),MATCH(TRIM($A55),PnL_Accounts,0))</f>
        <v>2437</v>
      </c>
      <c r="Z55" s="115">
        <f t="array" aca="1" ref="Z55" ca="1">INDEX(INDIRECT("PnL_"&amp;TEXT(Z$1,"mmm")&amp;"_"&amp;TEXT(Z$1,"yyyy")),MATCH(TRIM($A55),PnL_Accounts,0))</f>
        <v>2973</v>
      </c>
      <c r="AA55" s="115">
        <f t="array" aca="1" ref="AA55" ca="1">INDEX(INDIRECT("PnL_"&amp;TEXT(AA$1,"mmm")&amp;"_"&amp;TEXT(AA$1,"yyyy")),MATCH(TRIM($A55),PnL_Accounts,0))</f>
        <v>2736</v>
      </c>
      <c r="AB55" s="115">
        <f t="array" aca="1" ref="AB55" ca="1">INDEX(INDIRECT("PnL_"&amp;TEXT(AB$1,"mmm")&amp;"_"&amp;TEXT(AB$1,"yyyy")),MATCH(TRIM($A55),PnL_Accounts,0))</f>
        <v>2978</v>
      </c>
      <c r="AC55" s="115">
        <f t="array" aca="1" ref="AC55" ca="1">INDEX(INDIRECT("PnL_"&amp;TEXT(AC$1,"mmm")&amp;"_"&amp;TEXT(AC$1,"yyyy")),MATCH(TRIM($A55),PnL_Accounts,0))</f>
        <v>3241</v>
      </c>
      <c r="AD55" s="115">
        <f t="array" aca="1" ref="AD55" ca="1">INDEX(INDIRECT("PnL_"&amp;TEXT(AD$1,"mmm")&amp;"_"&amp;TEXT(AD$1,"yyyy")),MATCH(TRIM($A55),PnL_Accounts,0))</f>
        <v>3111</v>
      </c>
      <c r="AE55" s="115">
        <f t="array" aca="1" ref="AE55" ca="1">INDEX(INDIRECT("PnL_"&amp;TEXT(AE$1,"mmm")&amp;"_"&amp;TEXT(AE$1,"yyyy")),MATCH(TRIM($A55),PnL_Accounts,0))</f>
        <v>2900</v>
      </c>
      <c r="AF55" s="165">
        <f t="shared" ref="AF55:BW55" ca="1" si="26">$B55</f>
        <v>3084</v>
      </c>
      <c r="AG55" s="165">
        <f t="shared" ca="1" si="26"/>
        <v>3084</v>
      </c>
      <c r="AH55" s="165">
        <f t="shared" ca="1" si="26"/>
        <v>3084</v>
      </c>
      <c r="AI55" s="165">
        <f t="shared" ca="1" si="26"/>
        <v>3084</v>
      </c>
      <c r="AJ55" s="165">
        <f t="shared" ca="1" si="26"/>
        <v>3084</v>
      </c>
      <c r="AK55" s="165">
        <f t="shared" ca="1" si="26"/>
        <v>3084</v>
      </c>
      <c r="AL55" s="165">
        <f t="shared" ca="1" si="26"/>
        <v>3084</v>
      </c>
      <c r="AM55" s="165">
        <f t="shared" ca="1" si="26"/>
        <v>3084</v>
      </c>
      <c r="AN55" s="165">
        <f t="shared" ca="1" si="26"/>
        <v>3084</v>
      </c>
      <c r="AO55" s="165">
        <f t="shared" ca="1" si="26"/>
        <v>3084</v>
      </c>
      <c r="AP55" s="165">
        <f t="shared" ca="1" si="26"/>
        <v>3084</v>
      </c>
      <c r="AQ55" s="165">
        <f t="shared" ca="1" si="26"/>
        <v>3084</v>
      </c>
      <c r="AR55" s="165">
        <f t="shared" ca="1" si="26"/>
        <v>3084</v>
      </c>
      <c r="AS55" s="165">
        <f t="shared" ca="1" si="26"/>
        <v>3084</v>
      </c>
      <c r="AT55" s="165">
        <f t="shared" ca="1" si="26"/>
        <v>3084</v>
      </c>
      <c r="AU55" s="165">
        <f t="shared" ca="1" si="26"/>
        <v>3084</v>
      </c>
      <c r="AV55" s="165">
        <f t="shared" ca="1" si="26"/>
        <v>3084</v>
      </c>
      <c r="AW55" s="165">
        <f t="shared" ca="1" si="26"/>
        <v>3084</v>
      </c>
      <c r="AX55" s="165">
        <f t="shared" ca="1" si="26"/>
        <v>3084</v>
      </c>
      <c r="AY55" s="165">
        <f t="shared" ca="1" si="26"/>
        <v>3084</v>
      </c>
      <c r="AZ55" s="165">
        <f t="shared" ca="1" si="26"/>
        <v>3084</v>
      </c>
      <c r="BA55" s="165">
        <f t="shared" ca="1" si="26"/>
        <v>3084</v>
      </c>
      <c r="BB55" s="165">
        <f t="shared" ca="1" si="26"/>
        <v>3084</v>
      </c>
      <c r="BC55" s="165">
        <f t="shared" ca="1" si="26"/>
        <v>3084</v>
      </c>
      <c r="BD55" s="165">
        <f t="shared" ca="1" si="26"/>
        <v>3084</v>
      </c>
      <c r="BE55" s="165">
        <f t="shared" ca="1" si="26"/>
        <v>3084</v>
      </c>
      <c r="BF55" s="165">
        <f t="shared" ca="1" si="26"/>
        <v>3084</v>
      </c>
      <c r="BG55" s="165">
        <f t="shared" ca="1" si="26"/>
        <v>3084</v>
      </c>
      <c r="BH55" s="165">
        <f t="shared" ca="1" si="26"/>
        <v>3084</v>
      </c>
      <c r="BI55" s="165">
        <f t="shared" ca="1" si="26"/>
        <v>3084</v>
      </c>
      <c r="BJ55" s="165">
        <f t="shared" ca="1" si="26"/>
        <v>3084</v>
      </c>
      <c r="BK55" s="165">
        <f t="shared" ca="1" si="26"/>
        <v>3084</v>
      </c>
      <c r="BL55" s="165">
        <f t="shared" ca="1" si="26"/>
        <v>3084</v>
      </c>
      <c r="BM55" s="165">
        <f t="shared" ca="1" si="26"/>
        <v>3084</v>
      </c>
      <c r="BN55" s="165">
        <f t="shared" ca="1" si="26"/>
        <v>3084</v>
      </c>
      <c r="BO55" s="165">
        <f t="shared" ca="1" si="26"/>
        <v>3084</v>
      </c>
      <c r="BP55" s="165">
        <f t="shared" ca="1" si="26"/>
        <v>3084</v>
      </c>
      <c r="BQ55" s="165">
        <f t="shared" ca="1" si="26"/>
        <v>3084</v>
      </c>
      <c r="BR55" s="165">
        <f t="shared" ca="1" si="26"/>
        <v>3084</v>
      </c>
      <c r="BS55" s="165">
        <f t="shared" ca="1" si="26"/>
        <v>3084</v>
      </c>
      <c r="BT55" s="165">
        <f t="shared" ca="1" si="26"/>
        <v>3084</v>
      </c>
      <c r="BU55" s="165">
        <f t="shared" ca="1" si="26"/>
        <v>3084</v>
      </c>
      <c r="BV55" s="165">
        <f t="shared" ca="1" si="26"/>
        <v>3084</v>
      </c>
      <c r="BW55" s="165">
        <f t="shared" ca="1" si="26"/>
        <v>3084</v>
      </c>
    </row>
    <row r="56" spans="1:75" ht="12.75" x14ac:dyDescent="0.2">
      <c r="A56" s="23" t="s">
        <v>310</v>
      </c>
      <c r="B56" s="221"/>
      <c r="D56" s="115">
        <f t="array" aca="1" ref="D56" ca="1">INDEX(INDIRECT("PnL_"&amp;TEXT(D$1,"mmm")&amp;"_"&amp;TEXT(D$1,"yyyy")),MATCH(TRIM($A56),PnL_Accounts,0))</f>
        <v>0</v>
      </c>
      <c r="E56" s="115">
        <f t="array" aca="1" ref="E56" ca="1">INDEX(INDIRECT("PnL_"&amp;TEXT(E$1,"mmm")&amp;"_"&amp;TEXT(E$1,"yyyy")),MATCH(TRIM($A56),PnL_Accounts,0))</f>
        <v>0</v>
      </c>
      <c r="F56" s="115">
        <f t="array" aca="1" ref="F56" ca="1">INDEX(INDIRECT("PnL_"&amp;TEXT(F$1,"mmm")&amp;"_"&amp;TEXT(F$1,"yyyy")),MATCH(TRIM($A56),PnL_Accounts,0))</f>
        <v>0</v>
      </c>
      <c r="G56" s="115">
        <f t="array" aca="1" ref="G56" ca="1">INDEX(INDIRECT("PnL_"&amp;TEXT(G$1,"mmm")&amp;"_"&amp;TEXT(G$1,"yyyy")),MATCH(TRIM($A56),PnL_Accounts,0))</f>
        <v>0</v>
      </c>
      <c r="H56" s="115">
        <f t="array" aca="1" ref="H56" ca="1">INDEX(INDIRECT("PnL_"&amp;TEXT(H$1,"mmm")&amp;"_"&amp;TEXT(H$1,"yyyy")),MATCH(TRIM($A56),PnL_Accounts,0))</f>
        <v>0</v>
      </c>
      <c r="I56" s="115">
        <f t="array" aca="1" ref="I56" ca="1">INDEX(INDIRECT("PnL_"&amp;TEXT(I$1,"mmm")&amp;"_"&amp;TEXT(I$1,"yyyy")),MATCH(TRIM($A56),PnL_Accounts,0))</f>
        <v>0</v>
      </c>
      <c r="J56" s="115">
        <f t="array" aca="1" ref="J56" ca="1">INDEX(INDIRECT("PnL_"&amp;TEXT(J$1,"mmm")&amp;"_"&amp;TEXT(J$1,"yyyy")),MATCH(TRIM($A56),PnL_Accounts,0))</f>
        <v>0</v>
      </c>
      <c r="K56" s="115">
        <f t="array" aca="1" ref="K56" ca="1">INDEX(INDIRECT("PnL_"&amp;TEXT(K$1,"mmm")&amp;"_"&amp;TEXT(K$1,"yyyy")),MATCH(TRIM($A56),PnL_Accounts,0))</f>
        <v>0</v>
      </c>
      <c r="L56" s="115">
        <f t="array" aca="1" ref="L56" ca="1">INDEX(INDIRECT("PnL_"&amp;TEXT(L$1,"mmm")&amp;"_"&amp;TEXT(L$1,"yyyy")),MATCH(TRIM($A56),PnL_Accounts,0))</f>
        <v>0</v>
      </c>
      <c r="M56" s="115">
        <f t="array" aca="1" ref="M56" ca="1">INDEX(INDIRECT("PnL_"&amp;TEXT(M$1,"mmm")&amp;"_"&amp;TEXT(M$1,"yyyy")),MATCH(TRIM($A56),PnL_Accounts,0))</f>
        <v>0</v>
      </c>
      <c r="N56" s="115">
        <f t="array" aca="1" ref="N56" ca="1">INDEX(INDIRECT("PnL_"&amp;TEXT(N$1,"mmm")&amp;"_"&amp;TEXT(N$1,"yyyy")),MATCH(TRIM($A56),PnL_Accounts,0))</f>
        <v>0</v>
      </c>
      <c r="O56" s="115">
        <f t="array" aca="1" ref="O56" ca="1">INDEX(INDIRECT("PnL_"&amp;TEXT(O$1,"mmm")&amp;"_"&amp;TEXT(O$1,"yyyy")),MATCH(TRIM($A56),PnL_Accounts,0))</f>
        <v>0</v>
      </c>
      <c r="P56" s="115">
        <f t="array" aca="1" ref="P56" ca="1">INDEX(INDIRECT("PnL_"&amp;TEXT(P$1,"mmm")&amp;"_"&amp;TEXT(P$1,"yyyy")),MATCH(TRIM($A56),PnL_Accounts,0))</f>
        <v>0</v>
      </c>
      <c r="Q56" s="115">
        <f t="array" aca="1" ref="Q56" ca="1">INDEX(INDIRECT("PnL_"&amp;TEXT(Q$1,"mmm")&amp;"_"&amp;TEXT(Q$1,"yyyy")),MATCH(TRIM($A56),PnL_Accounts,0))</f>
        <v>0</v>
      </c>
      <c r="R56" s="115">
        <f t="array" aca="1" ref="R56" ca="1">INDEX(INDIRECT("PnL_"&amp;TEXT(R$1,"mmm")&amp;"_"&amp;TEXT(R$1,"yyyy")),MATCH(TRIM($A56),PnL_Accounts,0))</f>
        <v>0</v>
      </c>
      <c r="S56" s="115">
        <f t="array" aca="1" ref="S56" ca="1">INDEX(INDIRECT("PnL_"&amp;TEXT(S$1,"mmm")&amp;"_"&amp;TEXT(S$1,"yyyy")),MATCH(TRIM($A56),PnL_Accounts,0))</f>
        <v>0</v>
      </c>
      <c r="T56" s="115">
        <f t="array" aca="1" ref="T56" ca="1">INDEX(INDIRECT("PnL_"&amp;TEXT(T$1,"mmm")&amp;"_"&amp;TEXT(T$1,"yyyy")),MATCH(TRIM($A56),PnL_Accounts,0))</f>
        <v>0</v>
      </c>
      <c r="U56" s="115">
        <f t="array" aca="1" ref="U56" ca="1">INDEX(INDIRECT("PnL_"&amp;TEXT(U$1,"mmm")&amp;"_"&amp;TEXT(U$1,"yyyy")),MATCH(TRIM($A56),PnL_Accounts,0))</f>
        <v>0</v>
      </c>
      <c r="V56" s="115">
        <f t="array" aca="1" ref="V56" ca="1">INDEX(INDIRECT("PnL_"&amp;TEXT(V$1,"mmm")&amp;"_"&amp;TEXT(V$1,"yyyy")),MATCH(TRIM($A56),PnL_Accounts,0))</f>
        <v>0</v>
      </c>
      <c r="W56" s="115">
        <f t="array" aca="1" ref="W56" ca="1">INDEX(INDIRECT("PnL_"&amp;TEXT(W$1,"mmm")&amp;"_"&amp;TEXT(W$1,"yyyy")),MATCH(TRIM($A56),PnL_Accounts,0))</f>
        <v>0</v>
      </c>
      <c r="X56" s="115">
        <f t="array" aca="1" ref="X56" ca="1">INDEX(INDIRECT("PnL_"&amp;TEXT(X$1,"mmm")&amp;"_"&amp;TEXT(X$1,"yyyy")),MATCH(TRIM($A56),PnL_Accounts,0))</f>
        <v>0</v>
      </c>
      <c r="Y56" s="115">
        <f t="array" aca="1" ref="Y56" ca="1">INDEX(INDIRECT("PnL_"&amp;TEXT(Y$1,"mmm")&amp;"_"&amp;TEXT(Y$1,"yyyy")),MATCH(TRIM($A56),PnL_Accounts,0))</f>
        <v>0</v>
      </c>
      <c r="Z56" s="115">
        <f t="array" aca="1" ref="Z56" ca="1">INDEX(INDIRECT("PnL_"&amp;TEXT(Z$1,"mmm")&amp;"_"&amp;TEXT(Z$1,"yyyy")),MATCH(TRIM($A56),PnL_Accounts,0))</f>
        <v>0</v>
      </c>
      <c r="AA56" s="115">
        <f t="array" aca="1" ref="AA56" ca="1">INDEX(INDIRECT("PnL_"&amp;TEXT(AA$1,"mmm")&amp;"_"&amp;TEXT(AA$1,"yyyy")),MATCH(TRIM($A56),PnL_Accounts,0))</f>
        <v>0</v>
      </c>
      <c r="AB56" s="115">
        <f t="array" aca="1" ref="AB56" ca="1">INDEX(INDIRECT("PnL_"&amp;TEXT(AB$1,"mmm")&amp;"_"&amp;TEXT(AB$1,"yyyy")),MATCH(TRIM($A56),PnL_Accounts,0))</f>
        <v>0</v>
      </c>
      <c r="AC56" s="115">
        <f t="array" aca="1" ref="AC56" ca="1">INDEX(INDIRECT("PnL_"&amp;TEXT(AC$1,"mmm")&amp;"_"&amp;TEXT(AC$1,"yyyy")),MATCH(TRIM($A56),PnL_Accounts,0))</f>
        <v>0</v>
      </c>
      <c r="AD56" s="115">
        <f t="array" aca="1" ref="AD56" ca="1">INDEX(INDIRECT("PnL_"&amp;TEXT(AD$1,"mmm")&amp;"_"&amp;TEXT(AD$1,"yyyy")),MATCH(TRIM($A56),PnL_Accounts,0))</f>
        <v>0</v>
      </c>
      <c r="AE56" s="115">
        <f t="array" aca="1" ref="AE56" ca="1">INDEX(INDIRECT("PnL_"&amp;TEXT(AE$1,"mmm")&amp;"_"&amp;TEXT(AE$1,"yyyy")),MATCH(TRIM($A56),PnL_Accounts,0))</f>
        <v>0</v>
      </c>
    </row>
    <row r="57" spans="1:75" ht="12.75" x14ac:dyDescent="0.2">
      <c r="A57" s="23" t="s">
        <v>311</v>
      </c>
      <c r="B57" s="224">
        <f ca="1">AVERAGEIFS(57:57,$1:$1,"&gt;="&amp;DATE(YEAR(Current_Month),MONTH(Current_Month)-2,DAY(Current_Month)),$1:$1,"&lt;="&amp;EOMONTH(Current_Month,0))</f>
        <v>3358.3333333333335</v>
      </c>
      <c r="D57" s="115">
        <f t="array" aca="1" ref="D57" ca="1">INDEX(INDIRECT("PnL_"&amp;TEXT(D$1,"mmm")&amp;"_"&amp;TEXT(D$1,"yyyy")),MATCH(TRIM($A57),PnL_Accounts,0))</f>
        <v>3404</v>
      </c>
      <c r="E57" s="115">
        <f t="array" aca="1" ref="E57" ca="1">INDEX(INDIRECT("PnL_"&amp;TEXT(E$1,"mmm")&amp;"_"&amp;TEXT(E$1,"yyyy")),MATCH(TRIM($A57),PnL_Accounts,0))</f>
        <v>3380</v>
      </c>
      <c r="F57" s="115">
        <f t="array" aca="1" ref="F57" ca="1">INDEX(INDIRECT("PnL_"&amp;TEXT(F$1,"mmm")&amp;"_"&amp;TEXT(F$1,"yyyy")),MATCH(TRIM($A57),PnL_Accounts,0))</f>
        <v>3666</v>
      </c>
      <c r="G57" s="115">
        <f t="array" aca="1" ref="G57" ca="1">INDEX(INDIRECT("PnL_"&amp;TEXT(G$1,"mmm")&amp;"_"&amp;TEXT(G$1,"yyyy")),MATCH(TRIM($A57),PnL_Accounts,0))</f>
        <v>3752</v>
      </c>
      <c r="H57" s="115">
        <f t="array" aca="1" ref="H57" ca="1">INDEX(INDIRECT("PnL_"&amp;TEXT(H$1,"mmm")&amp;"_"&amp;TEXT(H$1,"yyyy")),MATCH(TRIM($A57),PnL_Accounts,0))</f>
        <v>3906</v>
      </c>
      <c r="I57" s="115">
        <f t="array" aca="1" ref="I57" ca="1">INDEX(INDIRECT("PnL_"&amp;TEXT(I$1,"mmm")&amp;"_"&amp;TEXT(I$1,"yyyy")),MATCH(TRIM($A57),PnL_Accounts,0))</f>
        <v>4023</v>
      </c>
      <c r="J57" s="115">
        <f t="array" aca="1" ref="J57" ca="1">INDEX(INDIRECT("PnL_"&amp;TEXT(J$1,"mmm")&amp;"_"&amp;TEXT(J$1,"yyyy")),MATCH(TRIM($A57),PnL_Accounts,0))</f>
        <v>4190</v>
      </c>
      <c r="K57" s="115">
        <f t="array" aca="1" ref="K57" ca="1">INDEX(INDIRECT("PnL_"&amp;TEXT(K$1,"mmm")&amp;"_"&amp;TEXT(K$1,"yyyy")),MATCH(TRIM($A57),PnL_Accounts,0))</f>
        <v>4130</v>
      </c>
      <c r="L57" s="115">
        <f t="array" aca="1" ref="L57" ca="1">INDEX(INDIRECT("PnL_"&amp;TEXT(L$1,"mmm")&amp;"_"&amp;TEXT(L$1,"yyyy")),MATCH(TRIM($A57),PnL_Accounts,0))</f>
        <v>4250</v>
      </c>
      <c r="M57" s="115">
        <f t="array" aca="1" ref="M57" ca="1">INDEX(INDIRECT("PnL_"&amp;TEXT(M$1,"mmm")&amp;"_"&amp;TEXT(M$1,"yyyy")),MATCH(TRIM($A57),PnL_Accounts,0))</f>
        <v>3959</v>
      </c>
      <c r="N57" s="115">
        <f t="array" aca="1" ref="N57" ca="1">INDEX(INDIRECT("PnL_"&amp;TEXT(N$1,"mmm")&amp;"_"&amp;TEXT(N$1,"yyyy")),MATCH(TRIM($A57),PnL_Accounts,0))</f>
        <v>4198</v>
      </c>
      <c r="O57" s="115">
        <f t="array" aca="1" ref="O57" ca="1">INDEX(INDIRECT("PnL_"&amp;TEXT(O$1,"mmm")&amp;"_"&amp;TEXT(O$1,"yyyy")),MATCH(TRIM($A57),PnL_Accounts,0))</f>
        <v>4432</v>
      </c>
      <c r="P57" s="115">
        <f t="array" aca="1" ref="P57" ca="1">INDEX(INDIRECT("PnL_"&amp;TEXT(P$1,"mmm")&amp;"_"&amp;TEXT(P$1,"yyyy")),MATCH(TRIM($A57),PnL_Accounts,0))</f>
        <v>4377</v>
      </c>
      <c r="Q57" s="115">
        <f t="array" aca="1" ref="Q57" ca="1">INDEX(INDIRECT("PnL_"&amp;TEXT(Q$1,"mmm")&amp;"_"&amp;TEXT(Q$1,"yyyy")),MATCH(TRIM($A57),PnL_Accounts,0))</f>
        <v>4577</v>
      </c>
      <c r="R57" s="115">
        <f t="array" aca="1" ref="R57" ca="1">INDEX(INDIRECT("PnL_"&amp;TEXT(R$1,"mmm")&amp;"_"&amp;TEXT(R$1,"yyyy")),MATCH(TRIM($A57),PnL_Accounts,0))</f>
        <v>5005</v>
      </c>
      <c r="S57" s="115">
        <f t="array" aca="1" ref="S57" ca="1">INDEX(INDIRECT("PnL_"&amp;TEXT(S$1,"mmm")&amp;"_"&amp;TEXT(S$1,"yyyy")),MATCH(TRIM($A57),PnL_Accounts,0))</f>
        <v>5233</v>
      </c>
      <c r="T57" s="115">
        <f t="array" aca="1" ref="T57" ca="1">INDEX(INDIRECT("PnL_"&amp;TEXT(T$1,"mmm")&amp;"_"&amp;TEXT(T$1,"yyyy")),MATCH(TRIM($A57),PnL_Accounts,0))</f>
        <v>4572</v>
      </c>
      <c r="U57" s="115">
        <f t="array" aca="1" ref="U57" ca="1">INDEX(INDIRECT("PnL_"&amp;TEXT(U$1,"mmm")&amp;"_"&amp;TEXT(U$1,"yyyy")),MATCH(TRIM($A57),PnL_Accounts,0))</f>
        <v>4871</v>
      </c>
      <c r="V57" s="115">
        <f t="array" aca="1" ref="V57" ca="1">INDEX(INDIRECT("PnL_"&amp;TEXT(V$1,"mmm")&amp;"_"&amp;TEXT(V$1,"yyyy")),MATCH(TRIM($A57),PnL_Accounts,0))</f>
        <v>4938</v>
      </c>
      <c r="W57" s="115">
        <f t="array" aca="1" ref="W57" ca="1">INDEX(INDIRECT("PnL_"&amp;TEXT(W$1,"mmm")&amp;"_"&amp;TEXT(W$1,"yyyy")),MATCH(TRIM($A57),PnL_Accounts,0))</f>
        <v>5121</v>
      </c>
      <c r="X57" s="115">
        <f t="array" aca="1" ref="X57" ca="1">INDEX(INDIRECT("PnL_"&amp;TEXT(X$1,"mmm")&amp;"_"&amp;TEXT(X$1,"yyyy")),MATCH(TRIM($A57),PnL_Accounts,0))</f>
        <v>7552</v>
      </c>
      <c r="Y57" s="115">
        <f t="array" aca="1" ref="Y57" ca="1">INDEX(INDIRECT("PnL_"&amp;TEXT(Y$1,"mmm")&amp;"_"&amp;TEXT(Y$1,"yyyy")),MATCH(TRIM($A57),PnL_Accounts,0))</f>
        <v>8503</v>
      </c>
      <c r="Z57" s="115">
        <f t="array" aca="1" ref="Z57" ca="1">INDEX(INDIRECT("PnL_"&amp;TEXT(Z$1,"mmm")&amp;"_"&amp;TEXT(Z$1,"yyyy")),MATCH(TRIM($A57),PnL_Accounts,0))</f>
        <v>9078</v>
      </c>
      <c r="AA57" s="115">
        <f t="array" aca="1" ref="AA57" ca="1">INDEX(INDIRECT("PnL_"&amp;TEXT(AA$1,"mmm")&amp;"_"&amp;TEXT(AA$1,"yyyy")),MATCH(TRIM($A57),PnL_Accounts,0))</f>
        <v>9076</v>
      </c>
      <c r="AB57" s="115">
        <f t="array" aca="1" ref="AB57" ca="1">INDEX(INDIRECT("PnL_"&amp;TEXT(AB$1,"mmm")&amp;"_"&amp;TEXT(AB$1,"yyyy")),MATCH(TRIM($A57),PnL_Accounts,0))</f>
        <v>9257</v>
      </c>
      <c r="AC57" s="115">
        <f t="array" aca="1" ref="AC57" ca="1">INDEX(INDIRECT("PnL_"&amp;TEXT(AC$1,"mmm")&amp;"_"&amp;TEXT(AC$1,"yyyy")),MATCH(TRIM($A57),PnL_Accounts,0))</f>
        <v>8975</v>
      </c>
      <c r="AD57" s="115">
        <f t="array" aca="1" ref="AD57" ca="1">INDEX(INDIRECT("PnL_"&amp;TEXT(AD$1,"mmm")&amp;"_"&amp;TEXT(AD$1,"yyyy")),MATCH(TRIM($A57),PnL_Accounts,0))</f>
        <v>1100</v>
      </c>
      <c r="AE57" s="115">
        <f t="array" aca="1" ref="AE57" ca="1">INDEX(INDIRECT("PnL_"&amp;TEXT(AE$1,"mmm")&amp;"_"&amp;TEXT(AE$1,"yyyy")),MATCH(TRIM($A57),PnL_Accounts,0))</f>
        <v>0</v>
      </c>
      <c r="AF57" s="165">
        <f t="shared" ref="AF57:BW57" ca="1" si="27">$B57</f>
        <v>3358.3333333333335</v>
      </c>
      <c r="AG57" s="165">
        <f t="shared" ca="1" si="27"/>
        <v>3358.3333333333335</v>
      </c>
      <c r="AH57" s="165">
        <f t="shared" ca="1" si="27"/>
        <v>3358.3333333333335</v>
      </c>
      <c r="AI57" s="165">
        <f t="shared" ca="1" si="27"/>
        <v>3358.3333333333335</v>
      </c>
      <c r="AJ57" s="165">
        <f t="shared" ca="1" si="27"/>
        <v>3358.3333333333335</v>
      </c>
      <c r="AK57" s="165">
        <f t="shared" ca="1" si="27"/>
        <v>3358.3333333333335</v>
      </c>
      <c r="AL57" s="165">
        <f t="shared" ca="1" si="27"/>
        <v>3358.3333333333335</v>
      </c>
      <c r="AM57" s="165">
        <f t="shared" ca="1" si="27"/>
        <v>3358.3333333333335</v>
      </c>
      <c r="AN57" s="165">
        <f t="shared" ca="1" si="27"/>
        <v>3358.3333333333335</v>
      </c>
      <c r="AO57" s="165">
        <f t="shared" ca="1" si="27"/>
        <v>3358.3333333333335</v>
      </c>
      <c r="AP57" s="165">
        <f t="shared" ca="1" si="27"/>
        <v>3358.3333333333335</v>
      </c>
      <c r="AQ57" s="165">
        <f t="shared" ca="1" si="27"/>
        <v>3358.3333333333335</v>
      </c>
      <c r="AR57" s="165">
        <f t="shared" ca="1" si="27"/>
        <v>3358.3333333333335</v>
      </c>
      <c r="AS57" s="165">
        <f t="shared" ca="1" si="27"/>
        <v>3358.3333333333335</v>
      </c>
      <c r="AT57" s="165">
        <f t="shared" ca="1" si="27"/>
        <v>3358.3333333333335</v>
      </c>
      <c r="AU57" s="165">
        <f t="shared" ca="1" si="27"/>
        <v>3358.3333333333335</v>
      </c>
      <c r="AV57" s="165">
        <f t="shared" ca="1" si="27"/>
        <v>3358.3333333333335</v>
      </c>
      <c r="AW57" s="165">
        <f t="shared" ca="1" si="27"/>
        <v>3358.3333333333335</v>
      </c>
      <c r="AX57" s="165">
        <f t="shared" ca="1" si="27"/>
        <v>3358.3333333333335</v>
      </c>
      <c r="AY57" s="165">
        <f t="shared" ca="1" si="27"/>
        <v>3358.3333333333335</v>
      </c>
      <c r="AZ57" s="165">
        <f t="shared" ca="1" si="27"/>
        <v>3358.3333333333335</v>
      </c>
      <c r="BA57" s="165">
        <f t="shared" ca="1" si="27"/>
        <v>3358.3333333333335</v>
      </c>
      <c r="BB57" s="165">
        <f t="shared" ca="1" si="27"/>
        <v>3358.3333333333335</v>
      </c>
      <c r="BC57" s="165">
        <f t="shared" ca="1" si="27"/>
        <v>3358.3333333333335</v>
      </c>
      <c r="BD57" s="165">
        <f t="shared" ca="1" si="27"/>
        <v>3358.3333333333335</v>
      </c>
      <c r="BE57" s="165">
        <f t="shared" ca="1" si="27"/>
        <v>3358.3333333333335</v>
      </c>
      <c r="BF57" s="165">
        <f t="shared" ca="1" si="27"/>
        <v>3358.3333333333335</v>
      </c>
      <c r="BG57" s="165">
        <f t="shared" ca="1" si="27"/>
        <v>3358.3333333333335</v>
      </c>
      <c r="BH57" s="165">
        <f t="shared" ca="1" si="27"/>
        <v>3358.3333333333335</v>
      </c>
      <c r="BI57" s="165">
        <f t="shared" ca="1" si="27"/>
        <v>3358.3333333333335</v>
      </c>
      <c r="BJ57" s="165">
        <f t="shared" ca="1" si="27"/>
        <v>3358.3333333333335</v>
      </c>
      <c r="BK57" s="165">
        <f t="shared" ca="1" si="27"/>
        <v>3358.3333333333335</v>
      </c>
      <c r="BL57" s="165">
        <f t="shared" ca="1" si="27"/>
        <v>3358.3333333333335</v>
      </c>
      <c r="BM57" s="165">
        <f t="shared" ca="1" si="27"/>
        <v>3358.3333333333335</v>
      </c>
      <c r="BN57" s="165">
        <f t="shared" ca="1" si="27"/>
        <v>3358.3333333333335</v>
      </c>
      <c r="BO57" s="165">
        <f t="shared" ca="1" si="27"/>
        <v>3358.3333333333335</v>
      </c>
      <c r="BP57" s="165">
        <f t="shared" ca="1" si="27"/>
        <v>3358.3333333333335</v>
      </c>
      <c r="BQ57" s="165">
        <f t="shared" ca="1" si="27"/>
        <v>3358.3333333333335</v>
      </c>
      <c r="BR57" s="165">
        <f t="shared" ca="1" si="27"/>
        <v>3358.3333333333335</v>
      </c>
      <c r="BS57" s="165">
        <f t="shared" ca="1" si="27"/>
        <v>3358.3333333333335</v>
      </c>
      <c r="BT57" s="165">
        <f t="shared" ca="1" si="27"/>
        <v>3358.3333333333335</v>
      </c>
      <c r="BU57" s="165">
        <f t="shared" ca="1" si="27"/>
        <v>3358.3333333333335</v>
      </c>
      <c r="BV57" s="165">
        <f t="shared" ca="1" si="27"/>
        <v>3358.3333333333335</v>
      </c>
      <c r="BW57" s="165">
        <f t="shared" ca="1" si="27"/>
        <v>3358.3333333333335</v>
      </c>
    </row>
    <row r="58" spans="1:75" ht="12.75" x14ac:dyDescent="0.2">
      <c r="A58" s="23" t="s">
        <v>312</v>
      </c>
      <c r="B58" s="224">
        <f ca="1">AVERAGEIFS(58:58,$1:$1,"&gt;="&amp;DATE(YEAR(Current_Month),MONTH(Current_Month)-2,DAY(Current_Month)),$1:$1,"&lt;="&amp;EOMONTH(Current_Month,0))</f>
        <v>3360</v>
      </c>
      <c r="D58" s="115">
        <f t="array" aca="1" ref="D58" ca="1">INDEX(INDIRECT("PnL_"&amp;TEXT(D$1,"mmm")&amp;"_"&amp;TEXT(D$1,"yyyy")),MATCH(TRIM($A58),PnL_Accounts,0))</f>
        <v>2487</v>
      </c>
      <c r="E58" s="115">
        <f t="array" aca="1" ref="E58" ca="1">INDEX(INDIRECT("PnL_"&amp;TEXT(E$1,"mmm")&amp;"_"&amp;TEXT(E$1,"yyyy")),MATCH(TRIM($A58),PnL_Accounts,0))</f>
        <v>2849</v>
      </c>
      <c r="F58" s="115">
        <f t="array" aca="1" ref="F58" ca="1">INDEX(INDIRECT("PnL_"&amp;TEXT(F$1,"mmm")&amp;"_"&amp;TEXT(F$1,"yyyy")),MATCH(TRIM($A58),PnL_Accounts,0))</f>
        <v>3138</v>
      </c>
      <c r="G58" s="115">
        <f t="array" aca="1" ref="G58" ca="1">INDEX(INDIRECT("PnL_"&amp;TEXT(G$1,"mmm")&amp;"_"&amp;TEXT(G$1,"yyyy")),MATCH(TRIM($A58),PnL_Accounts,0))</f>
        <v>3532</v>
      </c>
      <c r="H58" s="115">
        <f t="array" aca="1" ref="H58" ca="1">INDEX(INDIRECT("PnL_"&amp;TEXT(H$1,"mmm")&amp;"_"&amp;TEXT(H$1,"yyyy")),MATCH(TRIM($A58),PnL_Accounts,0))</f>
        <v>3337</v>
      </c>
      <c r="I58" s="115">
        <f t="array" aca="1" ref="I58" ca="1">INDEX(INDIRECT("PnL_"&amp;TEXT(I$1,"mmm")&amp;"_"&amp;TEXT(I$1,"yyyy")),MATCH(TRIM($A58),PnL_Accounts,0))</f>
        <v>3267</v>
      </c>
      <c r="J58" s="115">
        <f t="array" aca="1" ref="J58" ca="1">INDEX(INDIRECT("PnL_"&amp;TEXT(J$1,"mmm")&amp;"_"&amp;TEXT(J$1,"yyyy")),MATCH(TRIM($A58),PnL_Accounts,0))</f>
        <v>3451</v>
      </c>
      <c r="K58" s="115">
        <f t="array" aca="1" ref="K58" ca="1">INDEX(INDIRECT("PnL_"&amp;TEXT(K$1,"mmm")&amp;"_"&amp;TEXT(K$1,"yyyy")),MATCH(TRIM($A58),PnL_Accounts,0))</f>
        <v>3510</v>
      </c>
      <c r="L58" s="115">
        <f t="array" aca="1" ref="L58" ca="1">INDEX(INDIRECT("PnL_"&amp;TEXT(L$1,"mmm")&amp;"_"&amp;TEXT(L$1,"yyyy")),MATCH(TRIM($A58),PnL_Accounts,0))</f>
        <v>3714</v>
      </c>
      <c r="M58" s="115">
        <f t="array" aca="1" ref="M58" ca="1">INDEX(INDIRECT("PnL_"&amp;TEXT(M$1,"mmm")&amp;"_"&amp;TEXT(M$1,"yyyy")),MATCH(TRIM($A58),PnL_Accounts,0))</f>
        <v>3628</v>
      </c>
      <c r="N58" s="115">
        <f t="array" aca="1" ref="N58" ca="1">INDEX(INDIRECT("PnL_"&amp;TEXT(N$1,"mmm")&amp;"_"&amp;TEXT(N$1,"yyyy")),MATCH(TRIM($A58),PnL_Accounts,0))</f>
        <v>3766</v>
      </c>
      <c r="O58" s="115">
        <f t="array" aca="1" ref="O58" ca="1">INDEX(INDIRECT("PnL_"&amp;TEXT(O$1,"mmm")&amp;"_"&amp;TEXT(O$1,"yyyy")),MATCH(TRIM($A58),PnL_Accounts,0))</f>
        <v>3916</v>
      </c>
      <c r="P58" s="115">
        <f t="array" aca="1" ref="P58" ca="1">INDEX(INDIRECT("PnL_"&amp;TEXT(P$1,"mmm")&amp;"_"&amp;TEXT(P$1,"yyyy")),MATCH(TRIM($A58),PnL_Accounts,0))</f>
        <v>3839</v>
      </c>
      <c r="Q58" s="115">
        <f t="array" aca="1" ref="Q58" ca="1">INDEX(INDIRECT("PnL_"&amp;TEXT(Q$1,"mmm")&amp;"_"&amp;TEXT(Q$1,"yyyy")),MATCH(TRIM($A58),PnL_Accounts,0))</f>
        <v>4341</v>
      </c>
      <c r="R58" s="115">
        <f t="array" aca="1" ref="R58" ca="1">INDEX(INDIRECT("PnL_"&amp;TEXT(R$1,"mmm")&amp;"_"&amp;TEXT(R$1,"yyyy")),MATCH(TRIM($A58),PnL_Accounts,0))</f>
        <v>4557</v>
      </c>
      <c r="S58" s="115">
        <f t="array" aca="1" ref="S58" ca="1">INDEX(INDIRECT("PnL_"&amp;TEXT(S$1,"mmm")&amp;"_"&amp;TEXT(S$1,"yyyy")),MATCH(TRIM($A58),PnL_Accounts,0))</f>
        <v>4597</v>
      </c>
      <c r="T58" s="115">
        <f t="array" aca="1" ref="T58" ca="1">INDEX(INDIRECT("PnL_"&amp;TEXT(T$1,"mmm")&amp;"_"&amp;TEXT(T$1,"yyyy")),MATCH(TRIM($A58),PnL_Accounts,0))</f>
        <v>6113</v>
      </c>
      <c r="U58" s="115">
        <f t="array" aca="1" ref="U58" ca="1">INDEX(INDIRECT("PnL_"&amp;TEXT(U$1,"mmm")&amp;"_"&amp;TEXT(U$1,"yyyy")),MATCH(TRIM($A58),PnL_Accounts,0))</f>
        <v>5884</v>
      </c>
      <c r="V58" s="115">
        <f t="array" aca="1" ref="V58" ca="1">INDEX(INDIRECT("PnL_"&amp;TEXT(V$1,"mmm")&amp;"_"&amp;TEXT(V$1,"yyyy")),MATCH(TRIM($A58),PnL_Accounts,0))</f>
        <v>6025</v>
      </c>
      <c r="W58" s="115">
        <f t="array" aca="1" ref="W58" ca="1">INDEX(INDIRECT("PnL_"&amp;TEXT(W$1,"mmm")&amp;"_"&amp;TEXT(W$1,"yyyy")),MATCH(TRIM($A58),PnL_Accounts,0))</f>
        <v>5831</v>
      </c>
      <c r="X58" s="115">
        <f t="array" aca="1" ref="X58" ca="1">INDEX(INDIRECT("PnL_"&amp;TEXT(X$1,"mmm")&amp;"_"&amp;TEXT(X$1,"yyyy")),MATCH(TRIM($A58),PnL_Accounts,0))</f>
        <v>3542</v>
      </c>
      <c r="Y58" s="115">
        <f t="array" aca="1" ref="Y58" ca="1">INDEX(INDIRECT("PnL_"&amp;TEXT(Y$1,"mmm")&amp;"_"&amp;TEXT(Y$1,"yyyy")),MATCH(TRIM($A58),PnL_Accounts,0))</f>
        <v>7596</v>
      </c>
      <c r="Z58" s="115">
        <f t="array" aca="1" ref="Z58" ca="1">INDEX(INDIRECT("PnL_"&amp;TEXT(Z$1,"mmm")&amp;"_"&amp;TEXT(Z$1,"yyyy")),MATCH(TRIM($A58),PnL_Accounts,0))</f>
        <v>6899</v>
      </c>
      <c r="AA58" s="115">
        <f t="array" aca="1" ref="AA58" ca="1">INDEX(INDIRECT("PnL_"&amp;TEXT(AA$1,"mmm")&amp;"_"&amp;TEXT(AA$1,"yyyy")),MATCH(TRIM($A58),PnL_Accounts,0))</f>
        <v>9727</v>
      </c>
      <c r="AB58" s="115">
        <f t="array" aca="1" ref="AB58" ca="1">INDEX(INDIRECT("PnL_"&amp;TEXT(AB$1,"mmm")&amp;"_"&amp;TEXT(AB$1,"yyyy")),MATCH(TRIM($A58),PnL_Accounts,0))</f>
        <v>10123</v>
      </c>
      <c r="AC58" s="115">
        <f t="array" aca="1" ref="AC58" ca="1">INDEX(INDIRECT("PnL_"&amp;TEXT(AC$1,"mmm")&amp;"_"&amp;TEXT(AC$1,"yyyy")),MATCH(TRIM($A58),PnL_Accounts,0))</f>
        <v>9781</v>
      </c>
      <c r="AD58" s="115">
        <f t="array" aca="1" ref="AD58" ca="1">INDEX(INDIRECT("PnL_"&amp;TEXT(AD$1,"mmm")&amp;"_"&amp;TEXT(AD$1,"yyyy")),MATCH(TRIM($A58),PnL_Accounts,0))</f>
        <v>299</v>
      </c>
      <c r="AE58" s="115">
        <f t="array" aca="1" ref="AE58" ca="1">INDEX(INDIRECT("PnL_"&amp;TEXT(AE$1,"mmm")&amp;"_"&amp;TEXT(AE$1,"yyyy")),MATCH(TRIM($A58),PnL_Accounts,0))</f>
        <v>0</v>
      </c>
      <c r="AF58" s="165">
        <f t="shared" ref="AF58:BW58" ca="1" si="28">$B58</f>
        <v>3360</v>
      </c>
      <c r="AG58" s="165">
        <f t="shared" ca="1" si="28"/>
        <v>3360</v>
      </c>
      <c r="AH58" s="165">
        <f t="shared" ca="1" si="28"/>
        <v>3360</v>
      </c>
      <c r="AI58" s="165">
        <f t="shared" ca="1" si="28"/>
        <v>3360</v>
      </c>
      <c r="AJ58" s="165">
        <f t="shared" ca="1" si="28"/>
        <v>3360</v>
      </c>
      <c r="AK58" s="165">
        <f t="shared" ca="1" si="28"/>
        <v>3360</v>
      </c>
      <c r="AL58" s="165">
        <f t="shared" ca="1" si="28"/>
        <v>3360</v>
      </c>
      <c r="AM58" s="165">
        <f t="shared" ca="1" si="28"/>
        <v>3360</v>
      </c>
      <c r="AN58" s="165">
        <f t="shared" ca="1" si="28"/>
        <v>3360</v>
      </c>
      <c r="AO58" s="165">
        <f t="shared" ca="1" si="28"/>
        <v>3360</v>
      </c>
      <c r="AP58" s="165">
        <f t="shared" ca="1" si="28"/>
        <v>3360</v>
      </c>
      <c r="AQ58" s="165">
        <f t="shared" ca="1" si="28"/>
        <v>3360</v>
      </c>
      <c r="AR58" s="165">
        <f t="shared" ca="1" si="28"/>
        <v>3360</v>
      </c>
      <c r="AS58" s="165">
        <f t="shared" ca="1" si="28"/>
        <v>3360</v>
      </c>
      <c r="AT58" s="165">
        <f t="shared" ca="1" si="28"/>
        <v>3360</v>
      </c>
      <c r="AU58" s="165">
        <f t="shared" ca="1" si="28"/>
        <v>3360</v>
      </c>
      <c r="AV58" s="165">
        <f t="shared" ca="1" si="28"/>
        <v>3360</v>
      </c>
      <c r="AW58" s="165">
        <f t="shared" ca="1" si="28"/>
        <v>3360</v>
      </c>
      <c r="AX58" s="165">
        <f t="shared" ca="1" si="28"/>
        <v>3360</v>
      </c>
      <c r="AY58" s="165">
        <f t="shared" ca="1" si="28"/>
        <v>3360</v>
      </c>
      <c r="AZ58" s="165">
        <f t="shared" ca="1" si="28"/>
        <v>3360</v>
      </c>
      <c r="BA58" s="165">
        <f t="shared" ca="1" si="28"/>
        <v>3360</v>
      </c>
      <c r="BB58" s="165">
        <f t="shared" ca="1" si="28"/>
        <v>3360</v>
      </c>
      <c r="BC58" s="165">
        <f t="shared" ca="1" si="28"/>
        <v>3360</v>
      </c>
      <c r="BD58" s="165">
        <f t="shared" ca="1" si="28"/>
        <v>3360</v>
      </c>
      <c r="BE58" s="165">
        <f t="shared" ca="1" si="28"/>
        <v>3360</v>
      </c>
      <c r="BF58" s="165">
        <f t="shared" ca="1" si="28"/>
        <v>3360</v>
      </c>
      <c r="BG58" s="165">
        <f t="shared" ca="1" si="28"/>
        <v>3360</v>
      </c>
      <c r="BH58" s="165">
        <f t="shared" ca="1" si="28"/>
        <v>3360</v>
      </c>
      <c r="BI58" s="165">
        <f t="shared" ca="1" si="28"/>
        <v>3360</v>
      </c>
      <c r="BJ58" s="165">
        <f t="shared" ca="1" si="28"/>
        <v>3360</v>
      </c>
      <c r="BK58" s="165">
        <f t="shared" ca="1" si="28"/>
        <v>3360</v>
      </c>
      <c r="BL58" s="165">
        <f t="shared" ca="1" si="28"/>
        <v>3360</v>
      </c>
      <c r="BM58" s="165">
        <f t="shared" ca="1" si="28"/>
        <v>3360</v>
      </c>
      <c r="BN58" s="165">
        <f t="shared" ca="1" si="28"/>
        <v>3360</v>
      </c>
      <c r="BO58" s="165">
        <f t="shared" ca="1" si="28"/>
        <v>3360</v>
      </c>
      <c r="BP58" s="165">
        <f t="shared" ca="1" si="28"/>
        <v>3360</v>
      </c>
      <c r="BQ58" s="165">
        <f t="shared" ca="1" si="28"/>
        <v>3360</v>
      </c>
      <c r="BR58" s="165">
        <f t="shared" ca="1" si="28"/>
        <v>3360</v>
      </c>
      <c r="BS58" s="165">
        <f t="shared" ca="1" si="28"/>
        <v>3360</v>
      </c>
      <c r="BT58" s="165">
        <f t="shared" ca="1" si="28"/>
        <v>3360</v>
      </c>
      <c r="BU58" s="165">
        <f t="shared" ca="1" si="28"/>
        <v>3360</v>
      </c>
      <c r="BV58" s="165">
        <f t="shared" ca="1" si="28"/>
        <v>3360</v>
      </c>
      <c r="BW58" s="165">
        <f t="shared" ca="1" si="28"/>
        <v>3360</v>
      </c>
    </row>
    <row r="59" spans="1:75" ht="12.75" x14ac:dyDescent="0.2">
      <c r="A59" s="23" t="s">
        <v>313</v>
      </c>
      <c r="B59" s="224">
        <f ca="1">AVERAGEIFS(59:59,$1:$1,"&gt;="&amp;DATE(YEAR(Current_Month),MONTH(Current_Month)-2,DAY(Current_Month)),$1:$1,"&lt;="&amp;EOMONTH(Current_Month,0))</f>
        <v>2332.3333333333335</v>
      </c>
      <c r="D59" s="115">
        <f t="array" aca="1" ref="D59" ca="1">INDEX(INDIRECT("PnL_"&amp;TEXT(D$1,"mmm")&amp;"_"&amp;TEXT(D$1,"yyyy")),MATCH(TRIM($A59),PnL_Accounts,0))</f>
        <v>579</v>
      </c>
      <c r="E59" s="115">
        <f t="array" aca="1" ref="E59" ca="1">INDEX(INDIRECT("PnL_"&amp;TEXT(E$1,"mmm")&amp;"_"&amp;TEXT(E$1,"yyyy")),MATCH(TRIM($A59),PnL_Accounts,0))</f>
        <v>498</v>
      </c>
      <c r="F59" s="115">
        <f t="array" aca="1" ref="F59" ca="1">INDEX(INDIRECT("PnL_"&amp;TEXT(F$1,"mmm")&amp;"_"&amp;TEXT(F$1,"yyyy")),MATCH(TRIM($A59),PnL_Accounts,0))</f>
        <v>311</v>
      </c>
      <c r="G59" s="115">
        <f t="array" aca="1" ref="G59" ca="1">INDEX(INDIRECT("PnL_"&amp;TEXT(G$1,"mmm")&amp;"_"&amp;TEXT(G$1,"yyyy")),MATCH(TRIM($A59),PnL_Accounts,0))</f>
        <v>706</v>
      </c>
      <c r="H59" s="115">
        <f t="array" aca="1" ref="H59" ca="1">INDEX(INDIRECT("PnL_"&amp;TEXT(H$1,"mmm")&amp;"_"&amp;TEXT(H$1,"yyyy")),MATCH(TRIM($A59),PnL_Accounts,0))</f>
        <v>914</v>
      </c>
      <c r="I59" s="115">
        <f t="array" aca="1" ref="I59" ca="1">INDEX(INDIRECT("PnL_"&amp;TEXT(I$1,"mmm")&amp;"_"&amp;TEXT(I$1,"yyyy")),MATCH(TRIM($A59),PnL_Accounts,0))</f>
        <v>855</v>
      </c>
      <c r="J59" s="115">
        <f t="array" aca="1" ref="J59" ca="1">INDEX(INDIRECT("PnL_"&amp;TEXT(J$1,"mmm")&amp;"_"&amp;TEXT(J$1,"yyyy")),MATCH(TRIM($A59),PnL_Accounts,0))</f>
        <v>953</v>
      </c>
      <c r="K59" s="115">
        <f t="array" aca="1" ref="K59" ca="1">INDEX(INDIRECT("PnL_"&amp;TEXT(K$1,"mmm")&amp;"_"&amp;TEXT(K$1,"yyyy")),MATCH(TRIM($A59),PnL_Accounts,0))</f>
        <v>985</v>
      </c>
      <c r="L59" s="115">
        <f t="array" aca="1" ref="L59" ca="1">INDEX(INDIRECT("PnL_"&amp;TEXT(L$1,"mmm")&amp;"_"&amp;TEXT(L$1,"yyyy")),MATCH(TRIM($A59),PnL_Accounts,0))</f>
        <v>1730</v>
      </c>
      <c r="M59" s="115">
        <f t="array" aca="1" ref="M59" ca="1">INDEX(INDIRECT("PnL_"&amp;TEXT(M$1,"mmm")&amp;"_"&amp;TEXT(M$1,"yyyy")),MATCH(TRIM($A59),PnL_Accounts,0))</f>
        <v>1073</v>
      </c>
      <c r="N59" s="115">
        <f t="array" aca="1" ref="N59" ca="1">INDEX(INDIRECT("PnL_"&amp;TEXT(N$1,"mmm")&amp;"_"&amp;TEXT(N$1,"yyyy")),MATCH(TRIM($A59),PnL_Accounts,0))</f>
        <v>1205</v>
      </c>
      <c r="O59" s="115">
        <f t="array" aca="1" ref="O59" ca="1">INDEX(INDIRECT("PnL_"&amp;TEXT(O$1,"mmm")&amp;"_"&amp;TEXT(O$1,"yyyy")),MATCH(TRIM($A59),PnL_Accounts,0))</f>
        <v>1436</v>
      </c>
      <c r="P59" s="115">
        <f t="array" aca="1" ref="P59" ca="1">INDEX(INDIRECT("PnL_"&amp;TEXT(P$1,"mmm")&amp;"_"&amp;TEXT(P$1,"yyyy")),MATCH(TRIM($A59),PnL_Accounts,0))</f>
        <v>1489</v>
      </c>
      <c r="Q59" s="115">
        <f t="array" aca="1" ref="Q59" ca="1">INDEX(INDIRECT("PnL_"&amp;TEXT(Q$1,"mmm")&amp;"_"&amp;TEXT(Q$1,"yyyy")),MATCH(TRIM($A59),PnL_Accounts,0))</f>
        <v>1642</v>
      </c>
      <c r="R59" s="115">
        <f t="array" aca="1" ref="R59" ca="1">INDEX(INDIRECT("PnL_"&amp;TEXT(R$1,"mmm")&amp;"_"&amp;TEXT(R$1,"yyyy")),MATCH(TRIM($A59),PnL_Accounts,0))</f>
        <v>1479</v>
      </c>
      <c r="S59" s="115">
        <f t="array" aca="1" ref="S59" ca="1">INDEX(INDIRECT("PnL_"&amp;TEXT(S$1,"mmm")&amp;"_"&amp;TEXT(S$1,"yyyy")),MATCH(TRIM($A59),PnL_Accounts,0))</f>
        <v>1361</v>
      </c>
      <c r="T59" s="115">
        <f t="array" aca="1" ref="T59" ca="1">INDEX(INDIRECT("PnL_"&amp;TEXT(T$1,"mmm")&amp;"_"&amp;TEXT(T$1,"yyyy")),MATCH(TRIM($A59),PnL_Accounts,0))</f>
        <v>1243</v>
      </c>
      <c r="U59" s="115">
        <f t="array" aca="1" ref="U59" ca="1">INDEX(INDIRECT("PnL_"&amp;TEXT(U$1,"mmm")&amp;"_"&amp;TEXT(U$1,"yyyy")),MATCH(TRIM($A59),PnL_Accounts,0))</f>
        <v>1185</v>
      </c>
      <c r="V59" s="115">
        <f t="array" aca="1" ref="V59" ca="1">INDEX(INDIRECT("PnL_"&amp;TEXT(V$1,"mmm")&amp;"_"&amp;TEXT(V$1,"yyyy")),MATCH(TRIM($A59),PnL_Accounts,0))</f>
        <v>1112</v>
      </c>
      <c r="W59" s="115">
        <f t="array" aca="1" ref="W59" ca="1">INDEX(INDIRECT("PnL_"&amp;TEXT(W$1,"mmm")&amp;"_"&amp;TEXT(W$1,"yyyy")),MATCH(TRIM($A59),PnL_Accounts,0))</f>
        <v>1065</v>
      </c>
      <c r="X59" s="115">
        <f t="array" aca="1" ref="X59" ca="1">INDEX(INDIRECT("PnL_"&amp;TEXT(X$1,"mmm")&amp;"_"&amp;TEXT(X$1,"yyyy")),MATCH(TRIM($A59),PnL_Accounts,0))</f>
        <v>1077</v>
      </c>
      <c r="Y59" s="115">
        <f t="array" aca="1" ref="Y59" ca="1">INDEX(INDIRECT("PnL_"&amp;TEXT(Y$1,"mmm")&amp;"_"&amp;TEXT(Y$1,"yyyy")),MATCH(TRIM($A59),PnL_Accounts,0))</f>
        <v>3273</v>
      </c>
      <c r="Z59" s="115">
        <f t="array" aca="1" ref="Z59" ca="1">INDEX(INDIRECT("PnL_"&amp;TEXT(Z$1,"mmm")&amp;"_"&amp;TEXT(Z$1,"yyyy")),MATCH(TRIM($A59),PnL_Accounts,0))</f>
        <v>2799</v>
      </c>
      <c r="AA59" s="115">
        <f t="array" aca="1" ref="AA59" ca="1">INDEX(INDIRECT("PnL_"&amp;TEXT(AA$1,"mmm")&amp;"_"&amp;TEXT(AA$1,"yyyy")),MATCH(TRIM($A59),PnL_Accounts,0))</f>
        <v>3794</v>
      </c>
      <c r="AB59" s="115">
        <f t="array" aca="1" ref="AB59" ca="1">INDEX(INDIRECT("PnL_"&amp;TEXT(AB$1,"mmm")&amp;"_"&amp;TEXT(AB$1,"yyyy")),MATCH(TRIM($A59),PnL_Accounts,0))</f>
        <v>4200</v>
      </c>
      <c r="AC59" s="115">
        <f t="array" aca="1" ref="AC59" ca="1">INDEX(INDIRECT("PnL_"&amp;TEXT(AC$1,"mmm")&amp;"_"&amp;TEXT(AC$1,"yyyy")),MATCH(TRIM($A59),PnL_Accounts,0))</f>
        <v>4997</v>
      </c>
      <c r="AD59" s="115">
        <f t="array" aca="1" ref="AD59" ca="1">INDEX(INDIRECT("PnL_"&amp;TEXT(AD$1,"mmm")&amp;"_"&amp;TEXT(AD$1,"yyyy")),MATCH(TRIM($A59),PnL_Accounts,0))</f>
        <v>2000</v>
      </c>
      <c r="AE59" s="115">
        <f t="array" aca="1" ref="AE59" ca="1">INDEX(INDIRECT("PnL_"&amp;TEXT(AE$1,"mmm")&amp;"_"&amp;TEXT(AE$1,"yyyy")),MATCH(TRIM($A59),PnL_Accounts,0))</f>
        <v>0</v>
      </c>
      <c r="AF59" s="165">
        <f t="shared" ref="AF59:BW59" ca="1" si="29">$B59</f>
        <v>2332.3333333333335</v>
      </c>
      <c r="AG59" s="165">
        <f t="shared" ca="1" si="29"/>
        <v>2332.3333333333335</v>
      </c>
      <c r="AH59" s="165">
        <f t="shared" ca="1" si="29"/>
        <v>2332.3333333333335</v>
      </c>
      <c r="AI59" s="165">
        <f t="shared" ca="1" si="29"/>
        <v>2332.3333333333335</v>
      </c>
      <c r="AJ59" s="165">
        <f t="shared" ca="1" si="29"/>
        <v>2332.3333333333335</v>
      </c>
      <c r="AK59" s="165">
        <f t="shared" ca="1" si="29"/>
        <v>2332.3333333333335</v>
      </c>
      <c r="AL59" s="165">
        <f t="shared" ca="1" si="29"/>
        <v>2332.3333333333335</v>
      </c>
      <c r="AM59" s="165">
        <f t="shared" ca="1" si="29"/>
        <v>2332.3333333333335</v>
      </c>
      <c r="AN59" s="165">
        <f t="shared" ca="1" si="29"/>
        <v>2332.3333333333335</v>
      </c>
      <c r="AO59" s="165">
        <f t="shared" ca="1" si="29"/>
        <v>2332.3333333333335</v>
      </c>
      <c r="AP59" s="165">
        <f t="shared" ca="1" si="29"/>
        <v>2332.3333333333335</v>
      </c>
      <c r="AQ59" s="165">
        <f t="shared" ca="1" si="29"/>
        <v>2332.3333333333335</v>
      </c>
      <c r="AR59" s="165">
        <f t="shared" ca="1" si="29"/>
        <v>2332.3333333333335</v>
      </c>
      <c r="AS59" s="165">
        <f t="shared" ca="1" si="29"/>
        <v>2332.3333333333335</v>
      </c>
      <c r="AT59" s="165">
        <f t="shared" ca="1" si="29"/>
        <v>2332.3333333333335</v>
      </c>
      <c r="AU59" s="165">
        <f t="shared" ca="1" si="29"/>
        <v>2332.3333333333335</v>
      </c>
      <c r="AV59" s="165">
        <f t="shared" ca="1" si="29"/>
        <v>2332.3333333333335</v>
      </c>
      <c r="AW59" s="165">
        <f t="shared" ca="1" si="29"/>
        <v>2332.3333333333335</v>
      </c>
      <c r="AX59" s="165">
        <f t="shared" ca="1" si="29"/>
        <v>2332.3333333333335</v>
      </c>
      <c r="AY59" s="165">
        <f t="shared" ca="1" si="29"/>
        <v>2332.3333333333335</v>
      </c>
      <c r="AZ59" s="165">
        <f t="shared" ca="1" si="29"/>
        <v>2332.3333333333335</v>
      </c>
      <c r="BA59" s="165">
        <f t="shared" ca="1" si="29"/>
        <v>2332.3333333333335</v>
      </c>
      <c r="BB59" s="165">
        <f t="shared" ca="1" si="29"/>
        <v>2332.3333333333335</v>
      </c>
      <c r="BC59" s="165">
        <f t="shared" ca="1" si="29"/>
        <v>2332.3333333333335</v>
      </c>
      <c r="BD59" s="165">
        <f t="shared" ca="1" si="29"/>
        <v>2332.3333333333335</v>
      </c>
      <c r="BE59" s="165">
        <f t="shared" ca="1" si="29"/>
        <v>2332.3333333333335</v>
      </c>
      <c r="BF59" s="165">
        <f t="shared" ca="1" si="29"/>
        <v>2332.3333333333335</v>
      </c>
      <c r="BG59" s="165">
        <f t="shared" ca="1" si="29"/>
        <v>2332.3333333333335</v>
      </c>
      <c r="BH59" s="165">
        <f t="shared" ca="1" si="29"/>
        <v>2332.3333333333335</v>
      </c>
      <c r="BI59" s="165">
        <f t="shared" ca="1" si="29"/>
        <v>2332.3333333333335</v>
      </c>
      <c r="BJ59" s="165">
        <f t="shared" ca="1" si="29"/>
        <v>2332.3333333333335</v>
      </c>
      <c r="BK59" s="165">
        <f t="shared" ca="1" si="29"/>
        <v>2332.3333333333335</v>
      </c>
      <c r="BL59" s="165">
        <f t="shared" ca="1" si="29"/>
        <v>2332.3333333333335</v>
      </c>
      <c r="BM59" s="165">
        <f t="shared" ca="1" si="29"/>
        <v>2332.3333333333335</v>
      </c>
      <c r="BN59" s="165">
        <f t="shared" ca="1" si="29"/>
        <v>2332.3333333333335</v>
      </c>
      <c r="BO59" s="165">
        <f t="shared" ca="1" si="29"/>
        <v>2332.3333333333335</v>
      </c>
      <c r="BP59" s="165">
        <f t="shared" ca="1" si="29"/>
        <v>2332.3333333333335</v>
      </c>
      <c r="BQ59" s="165">
        <f t="shared" ca="1" si="29"/>
        <v>2332.3333333333335</v>
      </c>
      <c r="BR59" s="165">
        <f t="shared" ca="1" si="29"/>
        <v>2332.3333333333335</v>
      </c>
      <c r="BS59" s="165">
        <f t="shared" ca="1" si="29"/>
        <v>2332.3333333333335</v>
      </c>
      <c r="BT59" s="165">
        <f t="shared" ca="1" si="29"/>
        <v>2332.3333333333335</v>
      </c>
      <c r="BU59" s="165">
        <f t="shared" ca="1" si="29"/>
        <v>2332.3333333333335</v>
      </c>
      <c r="BV59" s="165">
        <f t="shared" ca="1" si="29"/>
        <v>2332.3333333333335</v>
      </c>
      <c r="BW59" s="165">
        <f t="shared" ca="1" si="29"/>
        <v>2332.3333333333335</v>
      </c>
    </row>
    <row r="60" spans="1:75" ht="12.75" x14ac:dyDescent="0.2">
      <c r="A60" s="23" t="s">
        <v>314</v>
      </c>
      <c r="B60" s="224">
        <f ca="1">AVERAGEIFS(60:60,$1:$1,"&gt;="&amp;DATE(YEAR(Current_Month),MONTH(Current_Month)-2,DAY(Current_Month)),$1:$1,"&lt;="&amp;EOMONTH(Current_Month,0))</f>
        <v>1457</v>
      </c>
      <c r="D60" s="115">
        <f t="array" aca="1" ref="D60" ca="1">INDEX(INDIRECT("PnL_"&amp;TEXT(D$1,"mmm")&amp;"_"&amp;TEXT(D$1,"yyyy")),MATCH(TRIM($A60),PnL_Accounts,0))</f>
        <v>671</v>
      </c>
      <c r="E60" s="115">
        <f t="array" aca="1" ref="E60" ca="1">INDEX(INDIRECT("PnL_"&amp;TEXT(E$1,"mmm")&amp;"_"&amp;TEXT(E$1,"yyyy")),MATCH(TRIM($A60),PnL_Accounts,0))</f>
        <v>583</v>
      </c>
      <c r="F60" s="115">
        <f t="array" aca="1" ref="F60" ca="1">INDEX(INDIRECT("PnL_"&amp;TEXT(F$1,"mmm")&amp;"_"&amp;TEXT(F$1,"yyyy")),MATCH(TRIM($A60),PnL_Accounts,0))</f>
        <v>888</v>
      </c>
      <c r="G60" s="115">
        <f t="array" aca="1" ref="G60" ca="1">INDEX(INDIRECT("PnL_"&amp;TEXT(G$1,"mmm")&amp;"_"&amp;TEXT(G$1,"yyyy")),MATCH(TRIM($A60),PnL_Accounts,0))</f>
        <v>1219</v>
      </c>
      <c r="H60" s="115">
        <f t="array" aca="1" ref="H60" ca="1">INDEX(INDIRECT("PnL_"&amp;TEXT(H$1,"mmm")&amp;"_"&amp;TEXT(H$1,"yyyy")),MATCH(TRIM($A60),PnL_Accounts,0))</f>
        <v>1474</v>
      </c>
      <c r="I60" s="115">
        <f t="array" aca="1" ref="I60" ca="1">INDEX(INDIRECT("PnL_"&amp;TEXT(I$1,"mmm")&amp;"_"&amp;TEXT(I$1,"yyyy")),MATCH(TRIM($A60),PnL_Accounts,0))</f>
        <v>1322</v>
      </c>
      <c r="J60" s="115">
        <f t="array" aca="1" ref="J60" ca="1">INDEX(INDIRECT("PnL_"&amp;TEXT(J$1,"mmm")&amp;"_"&amp;TEXT(J$1,"yyyy")),MATCH(TRIM($A60),PnL_Accounts,0))</f>
        <v>1588</v>
      </c>
      <c r="K60" s="115">
        <f t="array" aca="1" ref="K60" ca="1">INDEX(INDIRECT("PnL_"&amp;TEXT(K$1,"mmm")&amp;"_"&amp;TEXT(K$1,"yyyy")),MATCH(TRIM($A60),PnL_Accounts,0))</f>
        <v>1625</v>
      </c>
      <c r="L60" s="115">
        <f t="array" aca="1" ref="L60" ca="1">INDEX(INDIRECT("PnL_"&amp;TEXT(L$1,"mmm")&amp;"_"&amp;TEXT(L$1,"yyyy")),MATCH(TRIM($A60),PnL_Accounts,0))</f>
        <v>1730</v>
      </c>
      <c r="M60" s="115">
        <f t="array" aca="1" ref="M60" ca="1">INDEX(INDIRECT("PnL_"&amp;TEXT(M$1,"mmm")&amp;"_"&amp;TEXT(M$1,"yyyy")),MATCH(TRIM($A60),PnL_Accounts,0))</f>
        <v>1633</v>
      </c>
      <c r="N60" s="115">
        <f t="array" aca="1" ref="N60" ca="1">INDEX(INDIRECT("PnL_"&amp;TEXT(N$1,"mmm")&amp;"_"&amp;TEXT(N$1,"yyyy")),MATCH(TRIM($A60),PnL_Accounts,0))</f>
        <v>1781</v>
      </c>
      <c r="O60" s="115">
        <f t="array" aca="1" ref="O60" ca="1">INDEX(INDIRECT("PnL_"&amp;TEXT(O$1,"mmm")&amp;"_"&amp;TEXT(O$1,"yyyy")),MATCH(TRIM($A60),PnL_Accounts,0))</f>
        <v>1826</v>
      </c>
      <c r="P60" s="115">
        <f t="array" aca="1" ref="P60" ca="1">INDEX(INDIRECT("PnL_"&amp;TEXT(P$1,"mmm")&amp;"_"&amp;TEXT(P$1,"yyyy")),MATCH(TRIM($A60),PnL_Accounts,0))</f>
        <v>1750</v>
      </c>
      <c r="Q60" s="115">
        <f t="array" aca="1" ref="Q60" ca="1">INDEX(INDIRECT("PnL_"&amp;TEXT(Q$1,"mmm")&amp;"_"&amp;TEXT(Q$1,"yyyy")),MATCH(TRIM($A60),PnL_Accounts,0))</f>
        <v>2098</v>
      </c>
      <c r="R60" s="115">
        <f t="array" aca="1" ref="R60" ca="1">INDEX(INDIRECT("PnL_"&amp;TEXT(R$1,"mmm")&amp;"_"&amp;TEXT(R$1,"yyyy")),MATCH(TRIM($A60),PnL_Accounts,0))</f>
        <v>1175</v>
      </c>
      <c r="S60" s="115">
        <f t="array" aca="1" ref="S60" ca="1">INDEX(INDIRECT("PnL_"&amp;TEXT(S$1,"mmm")&amp;"_"&amp;TEXT(S$1,"yyyy")),MATCH(TRIM($A60),PnL_Accounts,0))</f>
        <v>1245</v>
      </c>
      <c r="T60" s="115">
        <f t="array" aca="1" ref="T60" ca="1">INDEX(INDIRECT("PnL_"&amp;TEXT(T$1,"mmm")&amp;"_"&amp;TEXT(T$1,"yyyy")),MATCH(TRIM($A60),PnL_Accounts,0))</f>
        <v>4231</v>
      </c>
      <c r="U60" s="115">
        <f t="array" aca="1" ref="U60" ca="1">INDEX(INDIRECT("PnL_"&amp;TEXT(U$1,"mmm")&amp;"_"&amp;TEXT(U$1,"yyyy")),MATCH(TRIM($A60),PnL_Accounts,0))</f>
        <v>1472</v>
      </c>
      <c r="V60" s="115">
        <f t="array" aca="1" ref="V60" ca="1">INDEX(INDIRECT("PnL_"&amp;TEXT(V$1,"mmm")&amp;"_"&amp;TEXT(V$1,"yyyy")),MATCH(TRIM($A60),PnL_Accounts,0))</f>
        <v>1891</v>
      </c>
      <c r="W60" s="115">
        <f t="array" aca="1" ref="W60" ca="1">INDEX(INDIRECT("PnL_"&amp;TEXT(W$1,"mmm")&amp;"_"&amp;TEXT(W$1,"yyyy")),MATCH(TRIM($A60),PnL_Accounts,0))</f>
        <v>1943</v>
      </c>
      <c r="X60" s="115">
        <f t="array" aca="1" ref="X60" ca="1">INDEX(INDIRECT("PnL_"&amp;TEXT(X$1,"mmm")&amp;"_"&amp;TEXT(X$1,"yyyy")),MATCH(TRIM($A60),PnL_Accounts,0))</f>
        <v>2204</v>
      </c>
      <c r="Y60" s="115">
        <f t="array" aca="1" ref="Y60" ca="1">INDEX(INDIRECT("PnL_"&amp;TEXT(Y$1,"mmm")&amp;"_"&amp;TEXT(Y$1,"yyyy")),MATCH(TRIM($A60),PnL_Accounts,0))</f>
        <v>4233</v>
      </c>
      <c r="Z60" s="115">
        <f t="array" aca="1" ref="Z60" ca="1">INDEX(INDIRECT("PnL_"&amp;TEXT(Z$1,"mmm")&amp;"_"&amp;TEXT(Z$1,"yyyy")),MATCH(TRIM($A60),PnL_Accounts,0))</f>
        <v>3978</v>
      </c>
      <c r="AA60" s="115">
        <f t="array" aca="1" ref="AA60" ca="1">INDEX(INDIRECT("PnL_"&amp;TEXT(AA$1,"mmm")&amp;"_"&amp;TEXT(AA$1,"yyyy")),MATCH(TRIM($A60),PnL_Accounts,0))</f>
        <v>7986</v>
      </c>
      <c r="AB60" s="115">
        <f t="array" aca="1" ref="AB60" ca="1">INDEX(INDIRECT("PnL_"&amp;TEXT(AB$1,"mmm")&amp;"_"&amp;TEXT(AB$1,"yyyy")),MATCH(TRIM($A60),PnL_Accounts,0))</f>
        <v>4786</v>
      </c>
      <c r="AC60" s="115">
        <f t="array" aca="1" ref="AC60" ca="1">INDEX(INDIRECT("PnL_"&amp;TEXT(AC$1,"mmm")&amp;"_"&amp;TEXT(AC$1,"yyyy")),MATCH(TRIM($A60),PnL_Accounts,0))</f>
        <v>4371</v>
      </c>
      <c r="AD60" s="115">
        <f t="array" aca="1" ref="AD60" ca="1">INDEX(INDIRECT("PnL_"&amp;TEXT(AD$1,"mmm")&amp;"_"&amp;TEXT(AD$1,"yyyy")),MATCH(TRIM($A60),PnL_Accounts,0))</f>
        <v>0</v>
      </c>
      <c r="AE60" s="115">
        <f t="array" aca="1" ref="AE60" ca="1">INDEX(INDIRECT("PnL_"&amp;TEXT(AE$1,"mmm")&amp;"_"&amp;TEXT(AE$1,"yyyy")),MATCH(TRIM($A60),PnL_Accounts,0))</f>
        <v>0</v>
      </c>
      <c r="AF60" s="165">
        <f t="shared" ref="AF60:BW60" ca="1" si="30">$B60</f>
        <v>1457</v>
      </c>
      <c r="AG60" s="165">
        <f t="shared" ca="1" si="30"/>
        <v>1457</v>
      </c>
      <c r="AH60" s="165">
        <f t="shared" ca="1" si="30"/>
        <v>1457</v>
      </c>
      <c r="AI60" s="165">
        <f t="shared" ca="1" si="30"/>
        <v>1457</v>
      </c>
      <c r="AJ60" s="165">
        <f t="shared" ca="1" si="30"/>
        <v>1457</v>
      </c>
      <c r="AK60" s="165">
        <f t="shared" ca="1" si="30"/>
        <v>1457</v>
      </c>
      <c r="AL60" s="165">
        <f t="shared" ca="1" si="30"/>
        <v>1457</v>
      </c>
      <c r="AM60" s="165">
        <f t="shared" ca="1" si="30"/>
        <v>1457</v>
      </c>
      <c r="AN60" s="165">
        <f t="shared" ca="1" si="30"/>
        <v>1457</v>
      </c>
      <c r="AO60" s="165">
        <f t="shared" ca="1" si="30"/>
        <v>1457</v>
      </c>
      <c r="AP60" s="165">
        <f t="shared" ca="1" si="30"/>
        <v>1457</v>
      </c>
      <c r="AQ60" s="165">
        <f t="shared" ca="1" si="30"/>
        <v>1457</v>
      </c>
      <c r="AR60" s="165">
        <f t="shared" ca="1" si="30"/>
        <v>1457</v>
      </c>
      <c r="AS60" s="165">
        <f t="shared" ca="1" si="30"/>
        <v>1457</v>
      </c>
      <c r="AT60" s="165">
        <f t="shared" ca="1" si="30"/>
        <v>1457</v>
      </c>
      <c r="AU60" s="165">
        <f t="shared" ca="1" si="30"/>
        <v>1457</v>
      </c>
      <c r="AV60" s="165">
        <f t="shared" ca="1" si="30"/>
        <v>1457</v>
      </c>
      <c r="AW60" s="165">
        <f t="shared" ca="1" si="30"/>
        <v>1457</v>
      </c>
      <c r="AX60" s="165">
        <f t="shared" ca="1" si="30"/>
        <v>1457</v>
      </c>
      <c r="AY60" s="165">
        <f t="shared" ca="1" si="30"/>
        <v>1457</v>
      </c>
      <c r="AZ60" s="165">
        <f t="shared" ca="1" si="30"/>
        <v>1457</v>
      </c>
      <c r="BA60" s="165">
        <f t="shared" ca="1" si="30"/>
        <v>1457</v>
      </c>
      <c r="BB60" s="165">
        <f t="shared" ca="1" si="30"/>
        <v>1457</v>
      </c>
      <c r="BC60" s="165">
        <f t="shared" ca="1" si="30"/>
        <v>1457</v>
      </c>
      <c r="BD60" s="165">
        <f t="shared" ca="1" si="30"/>
        <v>1457</v>
      </c>
      <c r="BE60" s="165">
        <f t="shared" ca="1" si="30"/>
        <v>1457</v>
      </c>
      <c r="BF60" s="165">
        <f t="shared" ca="1" si="30"/>
        <v>1457</v>
      </c>
      <c r="BG60" s="165">
        <f t="shared" ca="1" si="30"/>
        <v>1457</v>
      </c>
      <c r="BH60" s="165">
        <f t="shared" ca="1" si="30"/>
        <v>1457</v>
      </c>
      <c r="BI60" s="165">
        <f t="shared" ca="1" si="30"/>
        <v>1457</v>
      </c>
      <c r="BJ60" s="165">
        <f t="shared" ca="1" si="30"/>
        <v>1457</v>
      </c>
      <c r="BK60" s="165">
        <f t="shared" ca="1" si="30"/>
        <v>1457</v>
      </c>
      <c r="BL60" s="165">
        <f t="shared" ca="1" si="30"/>
        <v>1457</v>
      </c>
      <c r="BM60" s="165">
        <f t="shared" ca="1" si="30"/>
        <v>1457</v>
      </c>
      <c r="BN60" s="165">
        <f t="shared" ca="1" si="30"/>
        <v>1457</v>
      </c>
      <c r="BO60" s="165">
        <f t="shared" ca="1" si="30"/>
        <v>1457</v>
      </c>
      <c r="BP60" s="165">
        <f t="shared" ca="1" si="30"/>
        <v>1457</v>
      </c>
      <c r="BQ60" s="165">
        <f t="shared" ca="1" si="30"/>
        <v>1457</v>
      </c>
      <c r="BR60" s="165">
        <f t="shared" ca="1" si="30"/>
        <v>1457</v>
      </c>
      <c r="BS60" s="165">
        <f t="shared" ca="1" si="30"/>
        <v>1457</v>
      </c>
      <c r="BT60" s="165">
        <f t="shared" ca="1" si="30"/>
        <v>1457</v>
      </c>
      <c r="BU60" s="165">
        <f t="shared" ca="1" si="30"/>
        <v>1457</v>
      </c>
      <c r="BV60" s="165">
        <f t="shared" ca="1" si="30"/>
        <v>1457</v>
      </c>
      <c r="BW60" s="165">
        <f t="shared" ca="1" si="30"/>
        <v>1457</v>
      </c>
    </row>
    <row r="61" spans="1:75" ht="12.75" x14ac:dyDescent="0.2">
      <c r="A61" s="60" t="s">
        <v>315</v>
      </c>
      <c r="B61" s="238"/>
      <c r="C61" s="212"/>
      <c r="D61" s="226">
        <f t="shared" ref="D61:BW61" ca="1" si="31">SUM(D56:D60)</f>
        <v>7141</v>
      </c>
      <c r="E61" s="226">
        <f t="shared" ca="1" si="31"/>
        <v>7310</v>
      </c>
      <c r="F61" s="226">
        <f t="shared" ca="1" si="31"/>
        <v>8003</v>
      </c>
      <c r="G61" s="226">
        <f t="shared" ca="1" si="31"/>
        <v>9209</v>
      </c>
      <c r="H61" s="226">
        <f t="shared" ca="1" si="31"/>
        <v>9631</v>
      </c>
      <c r="I61" s="226">
        <f t="shared" ca="1" si="31"/>
        <v>9467</v>
      </c>
      <c r="J61" s="226">
        <f t="shared" ca="1" si="31"/>
        <v>10182</v>
      </c>
      <c r="K61" s="226">
        <f t="shared" ca="1" si="31"/>
        <v>10250</v>
      </c>
      <c r="L61" s="226">
        <f t="shared" ca="1" si="31"/>
        <v>11424</v>
      </c>
      <c r="M61" s="226">
        <f t="shared" ca="1" si="31"/>
        <v>10293</v>
      </c>
      <c r="N61" s="226">
        <f t="shared" ca="1" si="31"/>
        <v>10950</v>
      </c>
      <c r="O61" s="226">
        <f t="shared" ca="1" si="31"/>
        <v>11610</v>
      </c>
      <c r="P61" s="226">
        <f t="shared" ca="1" si="31"/>
        <v>11455</v>
      </c>
      <c r="Q61" s="226">
        <f t="shared" ca="1" si="31"/>
        <v>12658</v>
      </c>
      <c r="R61" s="226">
        <f t="shared" ca="1" si="31"/>
        <v>12216</v>
      </c>
      <c r="S61" s="226">
        <f t="shared" ca="1" si="31"/>
        <v>12436</v>
      </c>
      <c r="T61" s="226">
        <f t="shared" ca="1" si="31"/>
        <v>16159</v>
      </c>
      <c r="U61" s="226">
        <f t="shared" ca="1" si="31"/>
        <v>13412</v>
      </c>
      <c r="V61" s="226">
        <f t="shared" ca="1" si="31"/>
        <v>13966</v>
      </c>
      <c r="W61" s="226">
        <f t="shared" ca="1" si="31"/>
        <v>13960</v>
      </c>
      <c r="X61" s="226">
        <f t="shared" ca="1" si="31"/>
        <v>14375</v>
      </c>
      <c r="Y61" s="226">
        <f t="shared" ca="1" si="31"/>
        <v>23605</v>
      </c>
      <c r="Z61" s="226">
        <f t="shared" ca="1" si="31"/>
        <v>22754</v>
      </c>
      <c r="AA61" s="226">
        <f t="shared" ca="1" si="31"/>
        <v>30583</v>
      </c>
      <c r="AB61" s="226">
        <f t="shared" ca="1" si="31"/>
        <v>28366</v>
      </c>
      <c r="AC61" s="226">
        <f t="shared" ca="1" si="31"/>
        <v>28124</v>
      </c>
      <c r="AD61" s="226">
        <f t="shared" ca="1" si="31"/>
        <v>3399</v>
      </c>
      <c r="AE61" s="226">
        <f t="shared" ca="1" si="31"/>
        <v>0</v>
      </c>
      <c r="AF61" s="226">
        <f t="shared" ca="1" si="31"/>
        <v>10507.666666666668</v>
      </c>
      <c r="AG61" s="226">
        <f t="shared" ca="1" si="31"/>
        <v>10507.666666666668</v>
      </c>
      <c r="AH61" s="226">
        <f t="shared" ca="1" si="31"/>
        <v>10507.666666666668</v>
      </c>
      <c r="AI61" s="226">
        <f t="shared" ca="1" si="31"/>
        <v>10507.666666666668</v>
      </c>
      <c r="AJ61" s="226">
        <f t="shared" ca="1" si="31"/>
        <v>10507.666666666668</v>
      </c>
      <c r="AK61" s="226">
        <f t="shared" ca="1" si="31"/>
        <v>10507.666666666668</v>
      </c>
      <c r="AL61" s="226">
        <f t="shared" ca="1" si="31"/>
        <v>10507.666666666668</v>
      </c>
      <c r="AM61" s="226">
        <f t="shared" ca="1" si="31"/>
        <v>10507.666666666668</v>
      </c>
      <c r="AN61" s="226">
        <f t="shared" ca="1" si="31"/>
        <v>10507.666666666668</v>
      </c>
      <c r="AO61" s="226">
        <f t="shared" ca="1" si="31"/>
        <v>10507.666666666668</v>
      </c>
      <c r="AP61" s="226">
        <f t="shared" ca="1" si="31"/>
        <v>10507.666666666668</v>
      </c>
      <c r="AQ61" s="226">
        <f t="shared" ca="1" si="31"/>
        <v>10507.666666666668</v>
      </c>
      <c r="AR61" s="226">
        <f t="shared" ca="1" si="31"/>
        <v>10507.666666666668</v>
      </c>
      <c r="AS61" s="226">
        <f t="shared" ca="1" si="31"/>
        <v>10507.666666666668</v>
      </c>
      <c r="AT61" s="226">
        <f t="shared" ca="1" si="31"/>
        <v>10507.666666666668</v>
      </c>
      <c r="AU61" s="226">
        <f t="shared" ca="1" si="31"/>
        <v>10507.666666666668</v>
      </c>
      <c r="AV61" s="226">
        <f t="shared" ca="1" si="31"/>
        <v>10507.666666666668</v>
      </c>
      <c r="AW61" s="226">
        <f t="shared" ca="1" si="31"/>
        <v>10507.666666666668</v>
      </c>
      <c r="AX61" s="226">
        <f t="shared" ca="1" si="31"/>
        <v>10507.666666666668</v>
      </c>
      <c r="AY61" s="226">
        <f t="shared" ca="1" si="31"/>
        <v>10507.666666666668</v>
      </c>
      <c r="AZ61" s="226">
        <f t="shared" ca="1" si="31"/>
        <v>10507.666666666668</v>
      </c>
      <c r="BA61" s="226">
        <f t="shared" ca="1" si="31"/>
        <v>10507.666666666668</v>
      </c>
      <c r="BB61" s="226">
        <f t="shared" ca="1" si="31"/>
        <v>10507.666666666668</v>
      </c>
      <c r="BC61" s="226">
        <f t="shared" ca="1" si="31"/>
        <v>10507.666666666668</v>
      </c>
      <c r="BD61" s="226">
        <f t="shared" ca="1" si="31"/>
        <v>10507.666666666668</v>
      </c>
      <c r="BE61" s="226">
        <f t="shared" ca="1" si="31"/>
        <v>10507.666666666668</v>
      </c>
      <c r="BF61" s="226">
        <f t="shared" ca="1" si="31"/>
        <v>10507.666666666668</v>
      </c>
      <c r="BG61" s="226">
        <f t="shared" ca="1" si="31"/>
        <v>10507.666666666668</v>
      </c>
      <c r="BH61" s="226">
        <f t="shared" ca="1" si="31"/>
        <v>10507.666666666668</v>
      </c>
      <c r="BI61" s="226">
        <f t="shared" ca="1" si="31"/>
        <v>10507.666666666668</v>
      </c>
      <c r="BJ61" s="226">
        <f t="shared" ca="1" si="31"/>
        <v>10507.666666666668</v>
      </c>
      <c r="BK61" s="226">
        <f t="shared" ca="1" si="31"/>
        <v>10507.666666666668</v>
      </c>
      <c r="BL61" s="226">
        <f t="shared" ca="1" si="31"/>
        <v>10507.666666666668</v>
      </c>
      <c r="BM61" s="226">
        <f t="shared" ca="1" si="31"/>
        <v>10507.666666666668</v>
      </c>
      <c r="BN61" s="226">
        <f t="shared" ca="1" si="31"/>
        <v>10507.666666666668</v>
      </c>
      <c r="BO61" s="226">
        <f t="shared" ca="1" si="31"/>
        <v>10507.666666666668</v>
      </c>
      <c r="BP61" s="226">
        <f t="shared" ca="1" si="31"/>
        <v>10507.666666666668</v>
      </c>
      <c r="BQ61" s="226">
        <f t="shared" ca="1" si="31"/>
        <v>10507.666666666668</v>
      </c>
      <c r="BR61" s="226">
        <f t="shared" ca="1" si="31"/>
        <v>10507.666666666668</v>
      </c>
      <c r="BS61" s="226">
        <f t="shared" ca="1" si="31"/>
        <v>10507.666666666668</v>
      </c>
      <c r="BT61" s="226">
        <f t="shared" ca="1" si="31"/>
        <v>10507.666666666668</v>
      </c>
      <c r="BU61" s="226">
        <f t="shared" ca="1" si="31"/>
        <v>10507.666666666668</v>
      </c>
      <c r="BV61" s="226">
        <f t="shared" ca="1" si="31"/>
        <v>10507.666666666668</v>
      </c>
      <c r="BW61" s="226">
        <f t="shared" ca="1" si="31"/>
        <v>10507.666666666668</v>
      </c>
    </row>
    <row r="62" spans="1:75" ht="12.75" x14ac:dyDescent="0.2">
      <c r="A62" s="60" t="s">
        <v>316</v>
      </c>
      <c r="B62" s="238"/>
      <c r="C62" s="212"/>
      <c r="D62" s="213">
        <f t="shared" ref="D62:BW62" ca="1" si="32">SUM(D33:D36,D39,D42,D46,D51,D52:D55,D61)</f>
        <v>50542</v>
      </c>
      <c r="E62" s="213">
        <f t="shared" ca="1" si="32"/>
        <v>50269</v>
      </c>
      <c r="F62" s="213">
        <f t="shared" ca="1" si="32"/>
        <v>51143</v>
      </c>
      <c r="G62" s="213">
        <f t="shared" ca="1" si="32"/>
        <v>52996</v>
      </c>
      <c r="H62" s="213">
        <f t="shared" ca="1" si="32"/>
        <v>55074</v>
      </c>
      <c r="I62" s="213">
        <f t="shared" ca="1" si="32"/>
        <v>57452</v>
      </c>
      <c r="J62" s="213">
        <f t="shared" ca="1" si="32"/>
        <v>60362</v>
      </c>
      <c r="K62" s="213">
        <f t="shared" ca="1" si="32"/>
        <v>59944</v>
      </c>
      <c r="L62" s="213">
        <f t="shared" ca="1" si="32"/>
        <v>67531</v>
      </c>
      <c r="M62" s="213">
        <f t="shared" ca="1" si="32"/>
        <v>67371</v>
      </c>
      <c r="N62" s="213">
        <f t="shared" ca="1" si="32"/>
        <v>67615</v>
      </c>
      <c r="O62" s="213">
        <f t="shared" ca="1" si="32"/>
        <v>70083</v>
      </c>
      <c r="P62" s="213">
        <f t="shared" ca="1" si="32"/>
        <v>72901</v>
      </c>
      <c r="Q62" s="213">
        <f t="shared" ca="1" si="32"/>
        <v>75762</v>
      </c>
      <c r="R62" s="213">
        <f t="shared" ca="1" si="32"/>
        <v>79851</v>
      </c>
      <c r="S62" s="213">
        <f t="shared" ca="1" si="32"/>
        <v>80066</v>
      </c>
      <c r="T62" s="213">
        <f t="shared" ca="1" si="32"/>
        <v>85460</v>
      </c>
      <c r="U62" s="213">
        <f t="shared" ca="1" si="32"/>
        <v>85301</v>
      </c>
      <c r="V62" s="213">
        <f t="shared" ca="1" si="32"/>
        <v>86169</v>
      </c>
      <c r="W62" s="213">
        <f t="shared" ca="1" si="32"/>
        <v>86722</v>
      </c>
      <c r="X62" s="213">
        <f t="shared" ca="1" si="32"/>
        <v>88287</v>
      </c>
      <c r="Y62" s="213">
        <f t="shared" ca="1" si="32"/>
        <v>92782</v>
      </c>
      <c r="Z62" s="213">
        <f t="shared" ca="1" si="32"/>
        <v>95217</v>
      </c>
      <c r="AA62" s="213">
        <f t="shared" ca="1" si="32"/>
        <v>102051</v>
      </c>
      <c r="AB62" s="213">
        <f t="shared" ca="1" si="32"/>
        <v>102338</v>
      </c>
      <c r="AC62" s="213">
        <f t="shared" ca="1" si="32"/>
        <v>111703</v>
      </c>
      <c r="AD62" s="213">
        <f t="shared" ca="1" si="32"/>
        <v>86317</v>
      </c>
      <c r="AE62" s="213">
        <f t="shared" ca="1" si="32"/>
        <v>87926</v>
      </c>
      <c r="AF62" s="213">
        <f t="shared" ca="1" si="32"/>
        <v>82307.083333333328</v>
      </c>
      <c r="AG62" s="213">
        <f t="shared" ca="1" si="32"/>
        <v>82307.083333333328</v>
      </c>
      <c r="AH62" s="213">
        <f t="shared" ca="1" si="32"/>
        <v>82307.083333333328</v>
      </c>
      <c r="AI62" s="213">
        <f t="shared" ca="1" si="32"/>
        <v>82307.083333333328</v>
      </c>
      <c r="AJ62" s="213">
        <f t="shared" ca="1" si="32"/>
        <v>82307.083333333328</v>
      </c>
      <c r="AK62" s="213">
        <f t="shared" ca="1" si="32"/>
        <v>82307.083333333328</v>
      </c>
      <c r="AL62" s="213">
        <f t="shared" ca="1" si="32"/>
        <v>82307.083333333328</v>
      </c>
      <c r="AM62" s="213">
        <f t="shared" ca="1" si="32"/>
        <v>82307.083333333328</v>
      </c>
      <c r="AN62" s="213">
        <f t="shared" ca="1" si="32"/>
        <v>82307.083333333328</v>
      </c>
      <c r="AO62" s="213">
        <f t="shared" ca="1" si="32"/>
        <v>82307.083333333328</v>
      </c>
      <c r="AP62" s="213">
        <f t="shared" ca="1" si="32"/>
        <v>82307.083333333328</v>
      </c>
      <c r="AQ62" s="213">
        <f t="shared" ca="1" si="32"/>
        <v>82307.083333333328</v>
      </c>
      <c r="AR62" s="213">
        <f t="shared" ca="1" si="32"/>
        <v>82307.083333333328</v>
      </c>
      <c r="AS62" s="213">
        <f t="shared" ca="1" si="32"/>
        <v>82307.083333333328</v>
      </c>
      <c r="AT62" s="213">
        <f t="shared" ca="1" si="32"/>
        <v>82307.083333333328</v>
      </c>
      <c r="AU62" s="213">
        <f t="shared" ca="1" si="32"/>
        <v>82307.083333333328</v>
      </c>
      <c r="AV62" s="213">
        <f t="shared" ca="1" si="32"/>
        <v>82307.083333333328</v>
      </c>
      <c r="AW62" s="213">
        <f t="shared" ca="1" si="32"/>
        <v>82307.083333333328</v>
      </c>
      <c r="AX62" s="213">
        <f t="shared" ca="1" si="32"/>
        <v>82307.083333333328</v>
      </c>
      <c r="AY62" s="213">
        <f t="shared" ca="1" si="32"/>
        <v>82307.083333333328</v>
      </c>
      <c r="AZ62" s="213">
        <f t="shared" ca="1" si="32"/>
        <v>82307.083333333328</v>
      </c>
      <c r="BA62" s="213">
        <f t="shared" ca="1" si="32"/>
        <v>82307.083333333328</v>
      </c>
      <c r="BB62" s="213">
        <f t="shared" ca="1" si="32"/>
        <v>82307.083333333328</v>
      </c>
      <c r="BC62" s="213">
        <f t="shared" ca="1" si="32"/>
        <v>82307.083333333328</v>
      </c>
      <c r="BD62" s="213">
        <f t="shared" ca="1" si="32"/>
        <v>82307.083333333328</v>
      </c>
      <c r="BE62" s="213">
        <f t="shared" ca="1" si="32"/>
        <v>82307.083333333328</v>
      </c>
      <c r="BF62" s="213">
        <f t="shared" ca="1" si="32"/>
        <v>82307.083333333328</v>
      </c>
      <c r="BG62" s="213">
        <f t="shared" ca="1" si="32"/>
        <v>82307.083333333328</v>
      </c>
      <c r="BH62" s="213">
        <f t="shared" ca="1" si="32"/>
        <v>82307.083333333328</v>
      </c>
      <c r="BI62" s="213">
        <f t="shared" ca="1" si="32"/>
        <v>82307.083333333328</v>
      </c>
      <c r="BJ62" s="213">
        <f t="shared" ca="1" si="32"/>
        <v>82307.083333333328</v>
      </c>
      <c r="BK62" s="213">
        <f t="shared" ca="1" si="32"/>
        <v>82307.083333333328</v>
      </c>
      <c r="BL62" s="213">
        <f t="shared" ca="1" si="32"/>
        <v>82307.083333333328</v>
      </c>
      <c r="BM62" s="213">
        <f t="shared" ca="1" si="32"/>
        <v>82307.083333333328</v>
      </c>
      <c r="BN62" s="213">
        <f t="shared" ca="1" si="32"/>
        <v>82307.083333333328</v>
      </c>
      <c r="BO62" s="213">
        <f t="shared" ca="1" si="32"/>
        <v>82307.083333333328</v>
      </c>
      <c r="BP62" s="213">
        <f t="shared" ca="1" si="32"/>
        <v>82307.083333333328</v>
      </c>
      <c r="BQ62" s="213">
        <f t="shared" ca="1" si="32"/>
        <v>82307.083333333328</v>
      </c>
      <c r="BR62" s="213">
        <f t="shared" ca="1" si="32"/>
        <v>82307.083333333328</v>
      </c>
      <c r="BS62" s="213">
        <f t="shared" ca="1" si="32"/>
        <v>82307.083333333328</v>
      </c>
      <c r="BT62" s="213">
        <f t="shared" ca="1" si="32"/>
        <v>82307.083333333328</v>
      </c>
      <c r="BU62" s="213">
        <f t="shared" ca="1" si="32"/>
        <v>82307.083333333328</v>
      </c>
      <c r="BV62" s="213">
        <f t="shared" ca="1" si="32"/>
        <v>82307.083333333328</v>
      </c>
      <c r="BW62" s="213">
        <f t="shared" ca="1" si="32"/>
        <v>82307.083333333328</v>
      </c>
    </row>
    <row r="63" spans="1:75" ht="12.75" x14ac:dyDescent="0.2">
      <c r="A63" s="69" t="s">
        <v>244</v>
      </c>
      <c r="B63" s="221"/>
      <c r="D63" s="115">
        <f t="array" aca="1" ref="D63" ca="1">INDEX(INDIRECT("PnL_"&amp;TEXT(D$1,"mmm")&amp;"_"&amp;TEXT(D$1,"yyyy")),MATCH(TRIM($A62),PnL_Accounts,0))-D62</f>
        <v>0</v>
      </c>
      <c r="E63" s="115">
        <f t="array" aca="1" ref="E63" ca="1">INDEX(INDIRECT("PnL_"&amp;TEXT(E$1,"mmm")&amp;"_"&amp;TEXT(E$1,"yyyy")),MATCH(TRIM($A62),PnL_Accounts,0))-E62</f>
        <v>0</v>
      </c>
      <c r="F63" s="115">
        <f t="array" aca="1" ref="F63" ca="1">INDEX(INDIRECT("PnL_"&amp;TEXT(F$1,"mmm")&amp;"_"&amp;TEXT(F$1,"yyyy")),MATCH(TRIM($A62),PnL_Accounts,0))-F62</f>
        <v>0</v>
      </c>
      <c r="G63" s="115">
        <f t="array" aca="1" ref="G63" ca="1">INDEX(INDIRECT("PnL_"&amp;TEXT(G$1,"mmm")&amp;"_"&amp;TEXT(G$1,"yyyy")),MATCH(TRIM($A62),PnL_Accounts,0))-G62</f>
        <v>0</v>
      </c>
      <c r="H63" s="115">
        <f t="array" aca="1" ref="H63" ca="1">INDEX(INDIRECT("PnL_"&amp;TEXT(H$1,"mmm")&amp;"_"&amp;TEXT(H$1,"yyyy")),MATCH(TRIM($A62),PnL_Accounts,0))-H62</f>
        <v>0</v>
      </c>
      <c r="I63" s="115">
        <f t="array" aca="1" ref="I63" ca="1">INDEX(INDIRECT("PnL_"&amp;TEXT(I$1,"mmm")&amp;"_"&amp;TEXT(I$1,"yyyy")),MATCH(TRIM($A62),PnL_Accounts,0))-I62</f>
        <v>0</v>
      </c>
      <c r="J63" s="115">
        <f t="array" aca="1" ref="J63" ca="1">INDEX(INDIRECT("PnL_"&amp;TEXT(J$1,"mmm")&amp;"_"&amp;TEXT(J$1,"yyyy")),MATCH(TRIM($A62),PnL_Accounts,0))-J62</f>
        <v>0</v>
      </c>
      <c r="K63" s="115">
        <f t="array" aca="1" ref="K63" ca="1">INDEX(INDIRECT("PnL_"&amp;TEXT(K$1,"mmm")&amp;"_"&amp;TEXT(K$1,"yyyy")),MATCH(TRIM($A62),PnL_Accounts,0))-K62</f>
        <v>0</v>
      </c>
      <c r="L63" s="115">
        <f t="array" aca="1" ref="L63" ca="1">INDEX(INDIRECT("PnL_"&amp;TEXT(L$1,"mmm")&amp;"_"&amp;TEXT(L$1,"yyyy")),MATCH(TRIM($A62),PnL_Accounts,0))-L62</f>
        <v>0</v>
      </c>
      <c r="M63" s="115">
        <f t="array" aca="1" ref="M63" ca="1">INDEX(INDIRECT("PnL_"&amp;TEXT(M$1,"mmm")&amp;"_"&amp;TEXT(M$1,"yyyy")),MATCH(TRIM($A62),PnL_Accounts,0))-M62</f>
        <v>0</v>
      </c>
      <c r="N63" s="115">
        <f t="array" aca="1" ref="N63" ca="1">INDEX(INDIRECT("PnL_"&amp;TEXT(N$1,"mmm")&amp;"_"&amp;TEXT(N$1,"yyyy")),MATCH(TRIM($A62),PnL_Accounts,0))-N62</f>
        <v>0</v>
      </c>
      <c r="O63" s="115">
        <f t="array" aca="1" ref="O63" ca="1">INDEX(INDIRECT("PnL_"&amp;TEXT(O$1,"mmm")&amp;"_"&amp;TEXT(O$1,"yyyy")),MATCH(TRIM($A62),PnL_Accounts,0))-O62</f>
        <v>0</v>
      </c>
      <c r="P63" s="115">
        <f t="array" aca="1" ref="P63" ca="1">INDEX(INDIRECT("PnL_"&amp;TEXT(P$1,"mmm")&amp;"_"&amp;TEXT(P$1,"yyyy")),MATCH(TRIM($A62),PnL_Accounts,0))-P62</f>
        <v>0</v>
      </c>
      <c r="Q63" s="115">
        <f t="array" aca="1" ref="Q63" ca="1">INDEX(INDIRECT("PnL_"&amp;TEXT(Q$1,"mmm")&amp;"_"&amp;TEXT(Q$1,"yyyy")),MATCH(TRIM($A62),PnL_Accounts,0))-Q62</f>
        <v>0</v>
      </c>
      <c r="R63" s="115">
        <f t="array" aca="1" ref="R63" ca="1">INDEX(INDIRECT("PnL_"&amp;TEXT(R$1,"mmm")&amp;"_"&amp;TEXT(R$1,"yyyy")),MATCH(TRIM($A62),PnL_Accounts,0))-R62</f>
        <v>0</v>
      </c>
      <c r="S63" s="115">
        <f t="array" aca="1" ref="S63" ca="1">INDEX(INDIRECT("PnL_"&amp;TEXT(S$1,"mmm")&amp;"_"&amp;TEXT(S$1,"yyyy")),MATCH(TRIM($A62),PnL_Accounts,0))-S62</f>
        <v>0</v>
      </c>
      <c r="T63" s="115">
        <f t="array" aca="1" ref="T63" ca="1">INDEX(INDIRECT("PnL_"&amp;TEXT(T$1,"mmm")&amp;"_"&amp;TEXT(T$1,"yyyy")),MATCH(TRIM($A62),PnL_Accounts,0))-T62</f>
        <v>0</v>
      </c>
      <c r="U63" s="115">
        <f t="array" aca="1" ref="U63" ca="1">INDEX(INDIRECT("PnL_"&amp;TEXT(U$1,"mmm")&amp;"_"&amp;TEXT(U$1,"yyyy")),MATCH(TRIM($A62),PnL_Accounts,0))-U62</f>
        <v>0</v>
      </c>
      <c r="V63" s="115">
        <f t="array" aca="1" ref="V63" ca="1">INDEX(INDIRECT("PnL_"&amp;TEXT(V$1,"mmm")&amp;"_"&amp;TEXT(V$1,"yyyy")),MATCH(TRIM($A62),PnL_Accounts,0))-V62</f>
        <v>0</v>
      </c>
      <c r="W63" s="115">
        <f t="array" aca="1" ref="W63" ca="1">INDEX(INDIRECT("PnL_"&amp;TEXT(W$1,"mmm")&amp;"_"&amp;TEXT(W$1,"yyyy")),MATCH(TRIM($A62),PnL_Accounts,0))-W62</f>
        <v>0</v>
      </c>
      <c r="X63" s="115">
        <f t="array" aca="1" ref="X63" ca="1">INDEX(INDIRECT("PnL_"&amp;TEXT(X$1,"mmm")&amp;"_"&amp;TEXT(X$1,"yyyy")),MATCH(TRIM($A62),PnL_Accounts,0))-X62</f>
        <v>0</v>
      </c>
      <c r="Y63" s="115">
        <f t="array" aca="1" ref="Y63" ca="1">INDEX(INDIRECT("PnL_"&amp;TEXT(Y$1,"mmm")&amp;"_"&amp;TEXT(Y$1,"yyyy")),MATCH(TRIM($A62),PnL_Accounts,0))-Y62</f>
        <v>0</v>
      </c>
      <c r="Z63" s="115">
        <f t="array" aca="1" ref="Z63" ca="1">INDEX(INDIRECT("PnL_"&amp;TEXT(Z$1,"mmm")&amp;"_"&amp;TEXT(Z$1,"yyyy")),MATCH(TRIM($A62),PnL_Accounts,0))-Z62</f>
        <v>0</v>
      </c>
      <c r="AA63" s="115">
        <f t="array" aca="1" ref="AA63" ca="1">INDEX(INDIRECT("PnL_"&amp;TEXT(AA$1,"mmm")&amp;"_"&amp;TEXT(AA$1,"yyyy")),MATCH(TRIM($A62),PnL_Accounts,0))-AA62</f>
        <v>0</v>
      </c>
      <c r="AB63" s="115">
        <f t="array" aca="1" ref="AB63" ca="1">INDEX(INDIRECT("PnL_"&amp;TEXT(AB$1,"mmm")&amp;"_"&amp;TEXT(AB$1,"yyyy")),MATCH(TRIM($A62),PnL_Accounts,0))-AB62</f>
        <v>0</v>
      </c>
      <c r="AC63" s="115">
        <f t="array" aca="1" ref="AC63" ca="1">INDEX(INDIRECT("PnL_"&amp;TEXT(AC$1,"mmm")&amp;"_"&amp;TEXT(AC$1,"yyyy")),MATCH(TRIM($A62),PnL_Accounts,0))-AC62</f>
        <v>0</v>
      </c>
      <c r="AD63" s="115">
        <f t="array" aca="1" ref="AD63" ca="1">INDEX(INDIRECT("PnL_"&amp;TEXT(AD$1,"mmm")&amp;"_"&amp;TEXT(AD$1,"yyyy")),MATCH(TRIM($A62),PnL_Accounts,0))-AD62</f>
        <v>0</v>
      </c>
      <c r="AE63" s="115">
        <f t="array" aca="1" ref="AE63" ca="1">INDEX(INDIRECT("PnL_"&amp;TEXT(AE$1,"mmm")&amp;"_"&amp;TEXT(AE$1,"yyyy")),MATCH(TRIM($A62),PnL_Accounts,0))-AE62</f>
        <v>0</v>
      </c>
    </row>
    <row r="64" spans="1:75" ht="12.75" x14ac:dyDescent="0.2">
      <c r="A64" s="23" t="s">
        <v>22</v>
      </c>
      <c r="B64" s="221"/>
    </row>
    <row r="65" spans="1:75" ht="12.75" x14ac:dyDescent="0.2">
      <c r="A65" s="23" t="s">
        <v>317</v>
      </c>
      <c r="B65" s="221"/>
      <c r="D65" s="115">
        <f t="array" aca="1" ref="D65" ca="1">INDEX(INDIRECT("PnL_"&amp;TEXT(D$1,"mmm")&amp;"_"&amp;TEXT(D$1,"yyyy")),MATCH(TRIM($A65),PnL_Accounts,0))</f>
        <v>0</v>
      </c>
      <c r="E65" s="115">
        <f t="array" aca="1" ref="E65" ca="1">INDEX(INDIRECT("PnL_"&amp;TEXT(E$1,"mmm")&amp;"_"&amp;TEXT(E$1,"yyyy")),MATCH(TRIM($A65),PnL_Accounts,0))</f>
        <v>0</v>
      </c>
      <c r="F65" s="115">
        <f t="array" aca="1" ref="F65" ca="1">INDEX(INDIRECT("PnL_"&amp;TEXT(F$1,"mmm")&amp;"_"&amp;TEXT(F$1,"yyyy")),MATCH(TRIM($A65),PnL_Accounts,0))</f>
        <v>0</v>
      </c>
      <c r="G65" s="115">
        <f t="array" aca="1" ref="G65" ca="1">INDEX(INDIRECT("PnL_"&amp;TEXT(G$1,"mmm")&amp;"_"&amp;TEXT(G$1,"yyyy")),MATCH(TRIM($A65),PnL_Accounts,0))</f>
        <v>0</v>
      </c>
      <c r="H65" s="115">
        <f t="array" aca="1" ref="H65" ca="1">INDEX(INDIRECT("PnL_"&amp;TEXT(H$1,"mmm")&amp;"_"&amp;TEXT(H$1,"yyyy")),MATCH(TRIM($A65),PnL_Accounts,0))</f>
        <v>0</v>
      </c>
      <c r="I65" s="115">
        <f t="array" aca="1" ref="I65" ca="1">INDEX(INDIRECT("PnL_"&amp;TEXT(I$1,"mmm")&amp;"_"&amp;TEXT(I$1,"yyyy")),MATCH(TRIM($A65),PnL_Accounts,0))</f>
        <v>0</v>
      </c>
      <c r="J65" s="115">
        <f t="array" aca="1" ref="J65" ca="1">INDEX(INDIRECT("PnL_"&amp;TEXT(J$1,"mmm")&amp;"_"&amp;TEXT(J$1,"yyyy")),MATCH(TRIM($A65),PnL_Accounts,0))</f>
        <v>0</v>
      </c>
      <c r="K65" s="115">
        <f t="array" aca="1" ref="K65" ca="1">INDEX(INDIRECT("PnL_"&amp;TEXT(K$1,"mmm")&amp;"_"&amp;TEXT(K$1,"yyyy")),MATCH(TRIM($A65),PnL_Accounts,0))</f>
        <v>0</v>
      </c>
      <c r="L65" s="115">
        <f t="array" aca="1" ref="L65" ca="1">INDEX(INDIRECT("PnL_"&amp;TEXT(L$1,"mmm")&amp;"_"&amp;TEXT(L$1,"yyyy")),MATCH(TRIM($A65),PnL_Accounts,0))</f>
        <v>0</v>
      </c>
      <c r="M65" s="115">
        <f t="array" aca="1" ref="M65" ca="1">INDEX(INDIRECT("PnL_"&amp;TEXT(M$1,"mmm")&amp;"_"&amp;TEXT(M$1,"yyyy")),MATCH(TRIM($A65),PnL_Accounts,0))</f>
        <v>0</v>
      </c>
      <c r="N65" s="115">
        <f t="array" aca="1" ref="N65" ca="1">INDEX(INDIRECT("PnL_"&amp;TEXT(N$1,"mmm")&amp;"_"&amp;TEXT(N$1,"yyyy")),MATCH(TRIM($A65),PnL_Accounts,0))</f>
        <v>0</v>
      </c>
      <c r="O65" s="115">
        <f t="array" aca="1" ref="O65" ca="1">INDEX(INDIRECT("PnL_"&amp;TEXT(O$1,"mmm")&amp;"_"&amp;TEXT(O$1,"yyyy")),MATCH(TRIM($A65),PnL_Accounts,0))</f>
        <v>0</v>
      </c>
      <c r="P65" s="115">
        <f t="array" aca="1" ref="P65" ca="1">INDEX(INDIRECT("PnL_"&amp;TEXT(P$1,"mmm")&amp;"_"&amp;TEXT(P$1,"yyyy")),MATCH(TRIM($A65),PnL_Accounts,0))</f>
        <v>0</v>
      </c>
      <c r="Q65" s="115">
        <f t="array" aca="1" ref="Q65" ca="1">INDEX(INDIRECT("PnL_"&amp;TEXT(Q$1,"mmm")&amp;"_"&amp;TEXT(Q$1,"yyyy")),MATCH(TRIM($A65),PnL_Accounts,0))</f>
        <v>0</v>
      </c>
      <c r="R65" s="115">
        <f t="array" aca="1" ref="R65" ca="1">INDEX(INDIRECT("PnL_"&amp;TEXT(R$1,"mmm")&amp;"_"&amp;TEXT(R$1,"yyyy")),MATCH(TRIM($A65),PnL_Accounts,0))</f>
        <v>0</v>
      </c>
      <c r="S65" s="115">
        <f t="array" aca="1" ref="S65" ca="1">INDEX(INDIRECT("PnL_"&amp;TEXT(S$1,"mmm")&amp;"_"&amp;TEXT(S$1,"yyyy")),MATCH(TRIM($A65),PnL_Accounts,0))</f>
        <v>0</v>
      </c>
      <c r="T65" s="115">
        <f t="array" aca="1" ref="T65" ca="1">INDEX(INDIRECT("PnL_"&amp;TEXT(T$1,"mmm")&amp;"_"&amp;TEXT(T$1,"yyyy")),MATCH(TRIM($A65),PnL_Accounts,0))</f>
        <v>0</v>
      </c>
      <c r="U65" s="115">
        <f t="array" aca="1" ref="U65" ca="1">INDEX(INDIRECT("PnL_"&amp;TEXT(U$1,"mmm")&amp;"_"&amp;TEXT(U$1,"yyyy")),MATCH(TRIM($A65),PnL_Accounts,0))</f>
        <v>0</v>
      </c>
      <c r="V65" s="115">
        <f t="array" aca="1" ref="V65" ca="1">INDEX(INDIRECT("PnL_"&amp;TEXT(V$1,"mmm")&amp;"_"&amp;TEXT(V$1,"yyyy")),MATCH(TRIM($A65),PnL_Accounts,0))</f>
        <v>0</v>
      </c>
      <c r="W65" s="115">
        <f t="array" aca="1" ref="W65" ca="1">INDEX(INDIRECT("PnL_"&amp;TEXT(W$1,"mmm")&amp;"_"&amp;TEXT(W$1,"yyyy")),MATCH(TRIM($A65),PnL_Accounts,0))</f>
        <v>0</v>
      </c>
      <c r="X65" s="115">
        <f t="array" aca="1" ref="X65" ca="1">INDEX(INDIRECT("PnL_"&amp;TEXT(X$1,"mmm")&amp;"_"&amp;TEXT(X$1,"yyyy")),MATCH(TRIM($A65),PnL_Accounts,0))</f>
        <v>0</v>
      </c>
      <c r="Y65" s="115">
        <f t="array" aca="1" ref="Y65" ca="1">INDEX(INDIRECT("PnL_"&amp;TEXT(Y$1,"mmm")&amp;"_"&amp;TEXT(Y$1,"yyyy")),MATCH(TRIM($A65),PnL_Accounts,0))</f>
        <v>0</v>
      </c>
      <c r="Z65" s="115">
        <f t="array" aca="1" ref="Z65" ca="1">INDEX(INDIRECT("PnL_"&amp;TEXT(Z$1,"mmm")&amp;"_"&amp;TEXT(Z$1,"yyyy")),MATCH(TRIM($A65),PnL_Accounts,0))</f>
        <v>0</v>
      </c>
      <c r="AA65" s="115">
        <f t="array" aca="1" ref="AA65" ca="1">INDEX(INDIRECT("PnL_"&amp;TEXT(AA$1,"mmm")&amp;"_"&amp;TEXT(AA$1,"yyyy")),MATCH(TRIM($A65),PnL_Accounts,0))</f>
        <v>0</v>
      </c>
      <c r="AB65" s="115">
        <f t="array" aca="1" ref="AB65" ca="1">INDEX(INDIRECT("PnL_"&amp;TEXT(AB$1,"mmm")&amp;"_"&amp;TEXT(AB$1,"yyyy")),MATCH(TRIM($A65),PnL_Accounts,0))</f>
        <v>0</v>
      </c>
      <c r="AC65" s="115">
        <f t="array" aca="1" ref="AC65" ca="1">INDEX(INDIRECT("PnL_"&amp;TEXT(AC$1,"mmm")&amp;"_"&amp;TEXT(AC$1,"yyyy")),MATCH(TRIM($A65),PnL_Accounts,0))</f>
        <v>0</v>
      </c>
      <c r="AD65" s="115">
        <f t="array" aca="1" ref="AD65" ca="1">INDEX(INDIRECT("PnL_"&amp;TEXT(AD$1,"mmm")&amp;"_"&amp;TEXT(AD$1,"yyyy")),MATCH(TRIM($A65),PnL_Accounts,0))</f>
        <v>0</v>
      </c>
      <c r="AE65" s="115">
        <f t="array" aca="1" ref="AE65" ca="1">INDEX(INDIRECT("PnL_"&amp;TEXT(AE$1,"mmm")&amp;"_"&amp;TEXT(AE$1,"yyyy")),MATCH(TRIM($A65),PnL_Accounts,0))</f>
        <v>0</v>
      </c>
    </row>
    <row r="66" spans="1:75" ht="12.75" x14ac:dyDescent="0.2">
      <c r="A66" s="23" t="s">
        <v>318</v>
      </c>
      <c r="B66" s="254"/>
      <c r="D66" s="115">
        <f t="array" aca="1" ref="D66" ca="1">INDEX(INDIRECT("PnL_"&amp;TEXT(D$1,"mmm")&amp;"_"&amp;TEXT(D$1,"yyyy")),MATCH(TRIM($A66),PnL_Accounts,0))</f>
        <v>43624</v>
      </c>
      <c r="E66" s="115">
        <f t="array" aca="1" ref="E66" ca="1">INDEX(INDIRECT("PnL_"&amp;TEXT(E$1,"mmm")&amp;"_"&amp;TEXT(E$1,"yyyy")),MATCH(TRIM($A66),PnL_Accounts,0))</f>
        <v>46167</v>
      </c>
      <c r="F66" s="115">
        <f t="array" aca="1" ref="F66" ca="1">INDEX(INDIRECT("PnL_"&amp;TEXT(F$1,"mmm")&amp;"_"&amp;TEXT(F$1,"yyyy")),MATCH(TRIM($A66),PnL_Accounts,0))</f>
        <v>48966</v>
      </c>
      <c r="G66" s="115">
        <f t="array" aca="1" ref="G66" ca="1">INDEX(INDIRECT("PnL_"&amp;TEXT(G$1,"mmm")&amp;"_"&amp;TEXT(G$1,"yyyy")),MATCH(TRIM($A66),PnL_Accounts,0))</f>
        <v>51878</v>
      </c>
      <c r="H66" s="115">
        <f t="array" aca="1" ref="H66" ca="1">INDEX(INDIRECT("PnL_"&amp;TEXT(H$1,"mmm")&amp;"_"&amp;TEXT(H$1,"yyyy")),MATCH(TRIM($A66),PnL_Accounts,0))</f>
        <v>55509</v>
      </c>
      <c r="I66" s="115">
        <f t="array" aca="1" ref="I66" ca="1">INDEX(INDIRECT("PnL_"&amp;TEXT(I$1,"mmm")&amp;"_"&amp;TEXT(I$1,"yyyy")),MATCH(TRIM($A66),PnL_Accounts,0))</f>
        <v>57730</v>
      </c>
      <c r="J66" s="115">
        <f t="array" aca="1" ref="J66" ca="1">INDEX(INDIRECT("PnL_"&amp;TEXT(J$1,"mmm")&amp;"_"&amp;TEXT(J$1,"yyyy")),MATCH(TRIM($A66),PnL_Accounts,0))</f>
        <v>66678</v>
      </c>
      <c r="K66" s="115">
        <f t="array" aca="1" ref="K66" ca="1">INDEX(INDIRECT("PnL_"&amp;TEXT(K$1,"mmm")&amp;"_"&amp;TEXT(K$1,"yyyy")),MATCH(TRIM($A66),PnL_Accounts,0))</f>
        <v>72175</v>
      </c>
      <c r="L66" s="115">
        <f t="array" aca="1" ref="L66" ca="1">INDEX(INDIRECT("PnL_"&amp;TEXT(L$1,"mmm")&amp;"_"&amp;TEXT(L$1,"yyyy")),MATCH(TRIM($A66),PnL_Accounts,0))</f>
        <v>95583</v>
      </c>
      <c r="M66" s="115">
        <f t="array" aca="1" ref="M66" ca="1">INDEX(INDIRECT("PnL_"&amp;TEXT(M$1,"mmm")&amp;"_"&amp;TEXT(M$1,"yyyy")),MATCH(TRIM($A66),PnL_Accounts,0))</f>
        <v>100753</v>
      </c>
      <c r="N66" s="115">
        <f t="array" aca="1" ref="N66" ca="1">INDEX(INDIRECT("PnL_"&amp;TEXT(N$1,"mmm")&amp;"_"&amp;TEXT(N$1,"yyyy")),MATCH(TRIM($A66),PnL_Accounts,0))</f>
        <v>121866</v>
      </c>
      <c r="O66" s="115">
        <f t="array" aca="1" ref="O66" ca="1">INDEX(INDIRECT("PnL_"&amp;TEXT(O$1,"mmm")&amp;"_"&amp;TEXT(O$1,"yyyy")),MATCH(TRIM($A66),PnL_Accounts,0))</f>
        <v>132194</v>
      </c>
      <c r="P66" s="115">
        <f t="array" aca="1" ref="P66" ca="1">INDEX(INDIRECT("PnL_"&amp;TEXT(P$1,"mmm")&amp;"_"&amp;TEXT(P$1,"yyyy")),MATCH(TRIM($A66),PnL_Accounts,0))</f>
        <v>135234</v>
      </c>
      <c r="Q66" s="115">
        <f t="array" aca="1" ref="Q66" ca="1">INDEX(INDIRECT("PnL_"&amp;TEXT(Q$1,"mmm")&amp;"_"&amp;TEXT(Q$1,"yyyy")),MATCH(TRIM($A66),PnL_Accounts,0))</f>
        <v>156382</v>
      </c>
      <c r="R66" s="115">
        <f t="array" aca="1" ref="R66" ca="1">INDEX(INDIRECT("PnL_"&amp;TEXT(R$1,"mmm")&amp;"_"&amp;TEXT(R$1,"yyyy")),MATCH(TRIM($A66),PnL_Accounts,0))</f>
        <v>158221</v>
      </c>
      <c r="S66" s="115">
        <f t="array" aca="1" ref="S66" ca="1">INDEX(INDIRECT("PnL_"&amp;TEXT(S$1,"mmm")&amp;"_"&amp;TEXT(S$1,"yyyy")),MATCH(TRIM($A66),PnL_Accounts,0))</f>
        <v>156382</v>
      </c>
      <c r="T66" s="115">
        <f t="array" aca="1" ref="T66" ca="1">INDEX(INDIRECT("PnL_"&amp;TEXT(T$1,"mmm")&amp;"_"&amp;TEXT(T$1,"yyyy")),MATCH(TRIM($A66),PnL_Accounts,0))</f>
        <v>171134</v>
      </c>
      <c r="U66" s="115">
        <f t="array" aca="1" ref="U66" ca="1">INDEX(INDIRECT("PnL_"&amp;TEXT(U$1,"mmm")&amp;"_"&amp;TEXT(U$1,"yyyy")),MATCH(TRIM($A66),PnL_Accounts,0))</f>
        <v>168772</v>
      </c>
      <c r="V66" s="115">
        <f t="array" aca="1" ref="V66" ca="1">INDEX(INDIRECT("PnL_"&amp;TEXT(V$1,"mmm")&amp;"_"&amp;TEXT(V$1,"yyyy")),MATCH(TRIM($A66),PnL_Accounts,0))</f>
        <v>166219</v>
      </c>
      <c r="W66" s="115">
        <f t="array" aca="1" ref="W66" ca="1">INDEX(INDIRECT("PnL_"&amp;TEXT(W$1,"mmm")&amp;"_"&amp;TEXT(W$1,"yyyy")),MATCH(TRIM($A66),PnL_Accounts,0))</f>
        <v>168021</v>
      </c>
      <c r="X66" s="115">
        <f t="array" aca="1" ref="X66" ca="1">INDEX(INDIRECT("PnL_"&amp;TEXT(X$1,"mmm")&amp;"_"&amp;TEXT(X$1,"yyyy")),MATCH(TRIM($A66),PnL_Accounts,0))</f>
        <v>172114</v>
      </c>
      <c r="Y66" s="115">
        <f t="array" aca="1" ref="Y66" ca="1">INDEX(INDIRECT("PnL_"&amp;TEXT(Y$1,"mmm")&amp;"_"&amp;TEXT(Y$1,"yyyy")),MATCH(TRIM($A66),PnL_Accounts,0))</f>
        <v>152043</v>
      </c>
      <c r="Z66" s="115">
        <f t="array" aca="1" ref="Z66" ca="1">INDEX(INDIRECT("PnL_"&amp;TEXT(Z$1,"mmm")&amp;"_"&amp;TEXT(Z$1,"yyyy")),MATCH(TRIM($A66),PnL_Accounts,0))</f>
        <v>163012</v>
      </c>
      <c r="AA66" s="115">
        <f t="array" aca="1" ref="AA66" ca="1">INDEX(INDIRECT("PnL_"&amp;TEXT(AA$1,"mmm")&amp;"_"&amp;TEXT(AA$1,"yyyy")),MATCH(TRIM($A66),PnL_Accounts,0))</f>
        <v>175421</v>
      </c>
      <c r="AB66" s="115">
        <f t="array" aca="1" ref="AB66" ca="1">INDEX(INDIRECT("PnL_"&amp;TEXT(AB$1,"mmm")&amp;"_"&amp;TEXT(AB$1,"yyyy")),MATCH(TRIM($A66),PnL_Accounts,0))</f>
        <v>179427</v>
      </c>
      <c r="AC66" s="115">
        <f t="array" aca="1" ref="AC66" ca="1">INDEX(INDIRECT("PnL_"&amp;TEXT(AC$1,"mmm")&amp;"_"&amp;TEXT(AC$1,"yyyy")),MATCH(TRIM($A66),PnL_Accounts,0))</f>
        <v>185764</v>
      </c>
      <c r="AD66" s="115">
        <f t="array" aca="1" ref="AD66" ca="1">INDEX(INDIRECT("PnL_"&amp;TEXT(AD$1,"mmm")&amp;"_"&amp;TEXT(AD$1,"yyyy")),MATCH(TRIM($A66),PnL_Accounts,0))</f>
        <v>175764</v>
      </c>
      <c r="AE66" s="115">
        <f t="array" aca="1" ref="AE66" ca="1">INDEX(INDIRECT("PnL_"&amp;TEXT(AE$1,"mmm")&amp;"_"&amp;TEXT(AE$1,"yyyy")),MATCH(TRIM($A66),PnL_Accounts,0))</f>
        <v>167469</v>
      </c>
      <c r="AF66" s="114">
        <v>150000</v>
      </c>
      <c r="AG66" s="114">
        <v>150000</v>
      </c>
      <c r="AH66" s="114">
        <v>150000</v>
      </c>
      <c r="AI66" s="114">
        <v>150000</v>
      </c>
      <c r="AJ66" s="114">
        <v>185000</v>
      </c>
      <c r="AK66" s="255">
        <f t="shared" ref="AK66:AY66" si="33">AJ66+15000</f>
        <v>200000</v>
      </c>
      <c r="AL66" s="255">
        <f t="shared" si="33"/>
        <v>215000</v>
      </c>
      <c r="AM66" s="255">
        <f t="shared" si="33"/>
        <v>230000</v>
      </c>
      <c r="AN66" s="255">
        <f t="shared" si="33"/>
        <v>245000</v>
      </c>
      <c r="AO66" s="255">
        <f t="shared" si="33"/>
        <v>260000</v>
      </c>
      <c r="AP66" s="255">
        <f t="shared" si="33"/>
        <v>275000</v>
      </c>
      <c r="AQ66" s="255">
        <f t="shared" si="33"/>
        <v>290000</v>
      </c>
      <c r="AR66" s="255">
        <f t="shared" si="33"/>
        <v>305000</v>
      </c>
      <c r="AS66" s="255">
        <f t="shared" si="33"/>
        <v>320000</v>
      </c>
      <c r="AT66" s="255">
        <f t="shared" si="33"/>
        <v>335000</v>
      </c>
      <c r="AU66" s="255">
        <f t="shared" si="33"/>
        <v>350000</v>
      </c>
      <c r="AV66" s="255">
        <f t="shared" si="33"/>
        <v>365000</v>
      </c>
      <c r="AW66" s="255">
        <f t="shared" si="33"/>
        <v>380000</v>
      </c>
      <c r="AX66" s="255">
        <f t="shared" si="33"/>
        <v>395000</v>
      </c>
      <c r="AY66" s="255">
        <f t="shared" si="33"/>
        <v>410000</v>
      </c>
      <c r="AZ66" s="255">
        <f t="shared" ref="AZ66:BW66" ca="1" si="34">AVERAGE(AV66:AY66)/AVERAGE(AV5:AY5)*AY5</f>
        <v>395071.41429045441</v>
      </c>
      <c r="BA66" s="255">
        <f t="shared" ca="1" si="34"/>
        <v>407737.0682715794</v>
      </c>
      <c r="BB66" s="255">
        <f t="shared" ca="1" si="34"/>
        <v>418301.02561727056</v>
      </c>
      <c r="BC66" s="255">
        <f t="shared" ca="1" si="34"/>
        <v>426031.6226910876</v>
      </c>
      <c r="BD66" s="255">
        <f t="shared" ca="1" si="34"/>
        <v>430218.94315927563</v>
      </c>
      <c r="BE66" s="255">
        <f t="shared" ca="1" si="34"/>
        <v>439399.1721276422</v>
      </c>
      <c r="BF66" s="255">
        <f t="shared" ca="1" si="34"/>
        <v>447669.03838491696</v>
      </c>
      <c r="BG66" s="255">
        <f t="shared" ca="1" si="34"/>
        <v>455339.70799469622</v>
      </c>
      <c r="BH66" s="255">
        <f t="shared" ca="1" si="34"/>
        <v>462994.72507187753</v>
      </c>
      <c r="BI66" s="255">
        <f t="shared" ca="1" si="34"/>
        <v>471555.47435521748</v>
      </c>
      <c r="BJ66" s="255">
        <f t="shared" ca="1" si="34"/>
        <v>479954.42093057703</v>
      </c>
      <c r="BK66" s="255">
        <f t="shared" ca="1" si="34"/>
        <v>488387.08216279768</v>
      </c>
      <c r="BL66" s="255">
        <f t="shared" ca="1" si="34"/>
        <v>497018.76898205437</v>
      </c>
      <c r="BM66" s="255">
        <f t="shared" ca="1" si="34"/>
        <v>505905.553446787</v>
      </c>
      <c r="BN66" s="255">
        <f t="shared" ca="1" si="34"/>
        <v>514877.4954663536</v>
      </c>
      <c r="BO66" s="255">
        <f t="shared" ca="1" si="34"/>
        <v>523999.09891433199</v>
      </c>
      <c r="BP66" s="255">
        <f t="shared" ca="1" si="34"/>
        <v>533300.64807941148</v>
      </c>
      <c r="BQ66" s="255">
        <f t="shared" ca="1" si="34"/>
        <v>542777.15946544509</v>
      </c>
      <c r="BR66" s="255">
        <f t="shared" ca="1" si="34"/>
        <v>552407.70239624428</v>
      </c>
      <c r="BS66" s="255">
        <f t="shared" ca="1" si="34"/>
        <v>562210.2661591894</v>
      </c>
      <c r="BT66" s="255">
        <f t="shared" ca="1" si="34"/>
        <v>572190.69083614333</v>
      </c>
      <c r="BU66" s="255">
        <f t="shared" ca="1" si="34"/>
        <v>582348.43189466407</v>
      </c>
      <c r="BV66" s="255">
        <f t="shared" ca="1" si="34"/>
        <v>592684.10422103596</v>
      </c>
      <c r="BW66" s="255">
        <f t="shared" ca="1" si="34"/>
        <v>603203.95021514583</v>
      </c>
    </row>
    <row r="67" spans="1:75" ht="12.75" x14ac:dyDescent="0.2">
      <c r="A67" s="23" t="s">
        <v>319</v>
      </c>
      <c r="B67" s="221"/>
      <c r="D67" s="115">
        <f t="array" aca="1" ref="D67" ca="1">INDEX(INDIRECT("PnL_"&amp;TEXT(D$1,"mmm")&amp;"_"&amp;TEXT(D$1,"yyyy")),MATCH(TRIM($A67),PnL_Accounts,0))</f>
        <v>0</v>
      </c>
      <c r="E67" s="115">
        <f t="array" aca="1" ref="E67" ca="1">INDEX(INDIRECT("PnL_"&amp;TEXT(E$1,"mmm")&amp;"_"&amp;TEXT(E$1,"yyyy")),MATCH(TRIM($A67),PnL_Accounts,0))</f>
        <v>0</v>
      </c>
      <c r="F67" s="115">
        <f t="array" aca="1" ref="F67" ca="1">INDEX(INDIRECT("PnL_"&amp;TEXT(F$1,"mmm")&amp;"_"&amp;TEXT(F$1,"yyyy")),MATCH(TRIM($A67),PnL_Accounts,0))</f>
        <v>0</v>
      </c>
      <c r="G67" s="115">
        <f t="array" aca="1" ref="G67" ca="1">INDEX(INDIRECT("PnL_"&amp;TEXT(G$1,"mmm")&amp;"_"&amp;TEXT(G$1,"yyyy")),MATCH(TRIM($A67),PnL_Accounts,0))</f>
        <v>0</v>
      </c>
      <c r="H67" s="115">
        <f t="array" aca="1" ref="H67" ca="1">INDEX(INDIRECT("PnL_"&amp;TEXT(H$1,"mmm")&amp;"_"&amp;TEXT(H$1,"yyyy")),MATCH(TRIM($A67),PnL_Accounts,0))</f>
        <v>0</v>
      </c>
      <c r="I67" s="115">
        <f t="array" aca="1" ref="I67" ca="1">INDEX(INDIRECT("PnL_"&amp;TEXT(I$1,"mmm")&amp;"_"&amp;TEXT(I$1,"yyyy")),MATCH(TRIM($A67),PnL_Accounts,0))</f>
        <v>0</v>
      </c>
      <c r="J67" s="115">
        <f t="array" aca="1" ref="J67" ca="1">INDEX(INDIRECT("PnL_"&amp;TEXT(J$1,"mmm")&amp;"_"&amp;TEXT(J$1,"yyyy")),MATCH(TRIM($A67),PnL_Accounts,0))</f>
        <v>0</v>
      </c>
      <c r="K67" s="115">
        <f t="array" aca="1" ref="K67" ca="1">INDEX(INDIRECT("PnL_"&amp;TEXT(K$1,"mmm")&amp;"_"&amp;TEXT(K$1,"yyyy")),MATCH(TRIM($A67),PnL_Accounts,0))</f>
        <v>0</v>
      </c>
      <c r="L67" s="115">
        <f t="array" aca="1" ref="L67" ca="1">INDEX(INDIRECT("PnL_"&amp;TEXT(L$1,"mmm")&amp;"_"&amp;TEXT(L$1,"yyyy")),MATCH(TRIM($A67),PnL_Accounts,0))</f>
        <v>0</v>
      </c>
      <c r="M67" s="115">
        <f t="array" aca="1" ref="M67" ca="1">INDEX(INDIRECT("PnL_"&amp;TEXT(M$1,"mmm")&amp;"_"&amp;TEXT(M$1,"yyyy")),MATCH(TRIM($A67),PnL_Accounts,0))</f>
        <v>0</v>
      </c>
      <c r="N67" s="115">
        <f t="array" aca="1" ref="N67" ca="1">INDEX(INDIRECT("PnL_"&amp;TEXT(N$1,"mmm")&amp;"_"&amp;TEXT(N$1,"yyyy")),MATCH(TRIM($A67),PnL_Accounts,0))</f>
        <v>0</v>
      </c>
      <c r="O67" s="115">
        <f t="array" aca="1" ref="O67" ca="1">INDEX(INDIRECT("PnL_"&amp;TEXT(O$1,"mmm")&amp;"_"&amp;TEXT(O$1,"yyyy")),MATCH(TRIM($A67),PnL_Accounts,0))</f>
        <v>0</v>
      </c>
      <c r="P67" s="115">
        <f t="array" aca="1" ref="P67" ca="1">INDEX(INDIRECT("PnL_"&amp;TEXT(P$1,"mmm")&amp;"_"&amp;TEXT(P$1,"yyyy")),MATCH(TRIM($A67),PnL_Accounts,0))</f>
        <v>0</v>
      </c>
      <c r="Q67" s="115">
        <f t="array" aca="1" ref="Q67" ca="1">INDEX(INDIRECT("PnL_"&amp;TEXT(Q$1,"mmm")&amp;"_"&amp;TEXT(Q$1,"yyyy")),MATCH(TRIM($A67),PnL_Accounts,0))</f>
        <v>0</v>
      </c>
      <c r="R67" s="115">
        <f t="array" aca="1" ref="R67" ca="1">INDEX(INDIRECT("PnL_"&amp;TEXT(R$1,"mmm")&amp;"_"&amp;TEXT(R$1,"yyyy")),MATCH(TRIM($A67),PnL_Accounts,0))</f>
        <v>0</v>
      </c>
      <c r="S67" s="115">
        <f t="array" aca="1" ref="S67" ca="1">INDEX(INDIRECT("PnL_"&amp;TEXT(S$1,"mmm")&amp;"_"&amp;TEXT(S$1,"yyyy")),MATCH(TRIM($A67),PnL_Accounts,0))</f>
        <v>0</v>
      </c>
      <c r="T67" s="115">
        <f t="array" aca="1" ref="T67" ca="1">INDEX(INDIRECT("PnL_"&amp;TEXT(T$1,"mmm")&amp;"_"&amp;TEXT(T$1,"yyyy")),MATCH(TRIM($A67),PnL_Accounts,0))</f>
        <v>0</v>
      </c>
      <c r="U67" s="115">
        <f t="array" aca="1" ref="U67" ca="1">INDEX(INDIRECT("PnL_"&amp;TEXT(U$1,"mmm")&amp;"_"&amp;TEXT(U$1,"yyyy")),MATCH(TRIM($A67),PnL_Accounts,0))</f>
        <v>0</v>
      </c>
      <c r="V67" s="115">
        <f t="array" aca="1" ref="V67" ca="1">INDEX(INDIRECT("PnL_"&amp;TEXT(V$1,"mmm")&amp;"_"&amp;TEXT(V$1,"yyyy")),MATCH(TRIM($A67),PnL_Accounts,0))</f>
        <v>0</v>
      </c>
      <c r="W67" s="115">
        <f t="array" aca="1" ref="W67" ca="1">INDEX(INDIRECT("PnL_"&amp;TEXT(W$1,"mmm")&amp;"_"&amp;TEXT(W$1,"yyyy")),MATCH(TRIM($A67),PnL_Accounts,0))</f>
        <v>0</v>
      </c>
      <c r="X67" s="115">
        <f t="array" aca="1" ref="X67" ca="1">INDEX(INDIRECT("PnL_"&amp;TEXT(X$1,"mmm")&amp;"_"&amp;TEXT(X$1,"yyyy")),MATCH(TRIM($A67),PnL_Accounts,0))</f>
        <v>0</v>
      </c>
      <c r="Y67" s="115">
        <f t="array" aca="1" ref="Y67" ca="1">INDEX(INDIRECT("PnL_"&amp;TEXT(Y$1,"mmm")&amp;"_"&amp;TEXT(Y$1,"yyyy")),MATCH(TRIM($A67),PnL_Accounts,0))</f>
        <v>0</v>
      </c>
      <c r="Z67" s="115">
        <f t="array" aca="1" ref="Z67" ca="1">INDEX(INDIRECT("PnL_"&amp;TEXT(Z$1,"mmm")&amp;"_"&amp;TEXT(Z$1,"yyyy")),MATCH(TRIM($A67),PnL_Accounts,0))</f>
        <v>0</v>
      </c>
      <c r="AA67" s="115">
        <f t="array" aca="1" ref="AA67" ca="1">INDEX(INDIRECT("PnL_"&amp;TEXT(AA$1,"mmm")&amp;"_"&amp;TEXT(AA$1,"yyyy")),MATCH(TRIM($A67),PnL_Accounts,0))</f>
        <v>0</v>
      </c>
      <c r="AB67" s="115">
        <f t="array" aca="1" ref="AB67" ca="1">INDEX(INDIRECT("PnL_"&amp;TEXT(AB$1,"mmm")&amp;"_"&amp;TEXT(AB$1,"yyyy")),MATCH(TRIM($A67),PnL_Accounts,0))</f>
        <v>0</v>
      </c>
      <c r="AC67" s="115">
        <f t="array" aca="1" ref="AC67" ca="1">INDEX(INDIRECT("PnL_"&amp;TEXT(AC$1,"mmm")&amp;"_"&amp;TEXT(AC$1,"yyyy")),MATCH(TRIM($A67),PnL_Accounts,0))</f>
        <v>0</v>
      </c>
      <c r="AD67" s="115">
        <f t="array" aca="1" ref="AD67" ca="1">INDEX(INDIRECT("PnL_"&amp;TEXT(AD$1,"mmm")&amp;"_"&amp;TEXT(AD$1,"yyyy")),MATCH(TRIM($A67),PnL_Accounts,0))</f>
        <v>0</v>
      </c>
      <c r="AE67" s="115">
        <f t="array" aca="1" ref="AE67" ca="1">INDEX(INDIRECT("PnL_"&amp;TEXT(AE$1,"mmm")&amp;"_"&amp;TEXT(AE$1,"yyyy")),MATCH(TRIM($A67),PnL_Accounts,0))</f>
        <v>0</v>
      </c>
    </row>
    <row r="68" spans="1:75" ht="12.75" x14ac:dyDescent="0.2">
      <c r="A68" s="23" t="s">
        <v>320</v>
      </c>
      <c r="B68" s="224">
        <f ca="1">AVERAGEIFS(68:68,$1:$1,"&gt;="&amp;DATE(YEAR(Current_Month),MONTH(Current_Month)-2,DAY(Current_Month)),$1:$1,"&lt;="&amp;EOMONTH(Current_Month,0))</f>
        <v>1800</v>
      </c>
      <c r="D68" s="115">
        <f t="array" aca="1" ref="D68" ca="1">INDEX(INDIRECT("PnL_"&amp;TEXT(D$1,"mmm")&amp;"_"&amp;TEXT(D$1,"yyyy")),MATCH(TRIM($A68),PnL_Accounts,0))</f>
        <v>450</v>
      </c>
      <c r="E68" s="115">
        <f t="array" aca="1" ref="E68" ca="1">INDEX(INDIRECT("PnL_"&amp;TEXT(E$1,"mmm")&amp;"_"&amp;TEXT(E$1,"yyyy")),MATCH(TRIM($A68),PnL_Accounts,0))</f>
        <v>450</v>
      </c>
      <c r="F68" s="115">
        <f t="array" aca="1" ref="F68" ca="1">INDEX(INDIRECT("PnL_"&amp;TEXT(F$1,"mmm")&amp;"_"&amp;TEXT(F$1,"yyyy")),MATCH(TRIM($A68),PnL_Accounts,0))</f>
        <v>450</v>
      </c>
      <c r="G68" s="115">
        <f t="array" aca="1" ref="G68" ca="1">INDEX(INDIRECT("PnL_"&amp;TEXT(G$1,"mmm")&amp;"_"&amp;TEXT(G$1,"yyyy")),MATCH(TRIM($A68),PnL_Accounts,0))</f>
        <v>450</v>
      </c>
      <c r="H68" s="115">
        <f t="array" aca="1" ref="H68" ca="1">INDEX(INDIRECT("PnL_"&amp;TEXT(H$1,"mmm")&amp;"_"&amp;TEXT(H$1,"yyyy")),MATCH(TRIM($A68),PnL_Accounts,0))</f>
        <v>450</v>
      </c>
      <c r="I68" s="115">
        <f t="array" aca="1" ref="I68" ca="1">INDEX(INDIRECT("PnL_"&amp;TEXT(I$1,"mmm")&amp;"_"&amp;TEXT(I$1,"yyyy")),MATCH(TRIM($A68),PnL_Accounts,0))</f>
        <v>450</v>
      </c>
      <c r="J68" s="115">
        <f t="array" aca="1" ref="J68" ca="1">INDEX(INDIRECT("PnL_"&amp;TEXT(J$1,"mmm")&amp;"_"&amp;TEXT(J$1,"yyyy")),MATCH(TRIM($A68),PnL_Accounts,0))</f>
        <v>900</v>
      </c>
      <c r="K68" s="115">
        <f t="array" aca="1" ref="K68" ca="1">INDEX(INDIRECT("PnL_"&amp;TEXT(K$1,"mmm")&amp;"_"&amp;TEXT(K$1,"yyyy")),MATCH(TRIM($A68),PnL_Accounts,0))</f>
        <v>900</v>
      </c>
      <c r="L68" s="115">
        <f t="array" aca="1" ref="L68" ca="1">INDEX(INDIRECT("PnL_"&amp;TEXT(L$1,"mmm")&amp;"_"&amp;TEXT(L$1,"yyyy")),MATCH(TRIM($A68),PnL_Accounts,0))</f>
        <v>900</v>
      </c>
      <c r="M68" s="115">
        <f t="array" aca="1" ref="M68" ca="1">INDEX(INDIRECT("PnL_"&amp;TEXT(M$1,"mmm")&amp;"_"&amp;TEXT(M$1,"yyyy")),MATCH(TRIM($A68),PnL_Accounts,0))</f>
        <v>1350</v>
      </c>
      <c r="N68" s="115">
        <f t="array" aca="1" ref="N68" ca="1">INDEX(INDIRECT("PnL_"&amp;TEXT(N$1,"mmm")&amp;"_"&amp;TEXT(N$1,"yyyy")),MATCH(TRIM($A68),PnL_Accounts,0))</f>
        <v>1350</v>
      </c>
      <c r="O68" s="115">
        <f t="array" aca="1" ref="O68" ca="1">INDEX(INDIRECT("PnL_"&amp;TEXT(O$1,"mmm")&amp;"_"&amp;TEXT(O$1,"yyyy")),MATCH(TRIM($A68),PnL_Accounts,0))</f>
        <v>1350</v>
      </c>
      <c r="P68" s="115">
        <f t="array" aca="1" ref="P68" ca="1">INDEX(INDIRECT("PnL_"&amp;TEXT(P$1,"mmm")&amp;"_"&amp;TEXT(P$1,"yyyy")),MATCH(TRIM($A68),PnL_Accounts,0))</f>
        <v>1800</v>
      </c>
      <c r="Q68" s="115">
        <f t="array" aca="1" ref="Q68" ca="1">INDEX(INDIRECT("PnL_"&amp;TEXT(Q$1,"mmm")&amp;"_"&amp;TEXT(Q$1,"yyyy")),MATCH(TRIM($A68),PnL_Accounts,0))</f>
        <v>1800</v>
      </c>
      <c r="R68" s="115">
        <f t="array" aca="1" ref="R68" ca="1">INDEX(INDIRECT("PnL_"&amp;TEXT(R$1,"mmm")&amp;"_"&amp;TEXT(R$1,"yyyy")),MATCH(TRIM($A68),PnL_Accounts,0))</f>
        <v>1800</v>
      </c>
      <c r="S68" s="115">
        <f t="array" aca="1" ref="S68" ca="1">INDEX(INDIRECT("PnL_"&amp;TEXT(S$1,"mmm")&amp;"_"&amp;TEXT(S$1,"yyyy")),MATCH(TRIM($A68),PnL_Accounts,0))</f>
        <v>1800</v>
      </c>
      <c r="T68" s="115">
        <f t="array" aca="1" ref="T68" ca="1">INDEX(INDIRECT("PnL_"&amp;TEXT(T$1,"mmm")&amp;"_"&amp;TEXT(T$1,"yyyy")),MATCH(TRIM($A68),PnL_Accounts,0))</f>
        <v>1800</v>
      </c>
      <c r="U68" s="115">
        <f t="array" aca="1" ref="U68" ca="1">INDEX(INDIRECT("PnL_"&amp;TEXT(U$1,"mmm")&amp;"_"&amp;TEXT(U$1,"yyyy")),MATCH(TRIM($A68),PnL_Accounts,0))</f>
        <v>1800</v>
      </c>
      <c r="V68" s="115">
        <f t="array" aca="1" ref="V68" ca="1">INDEX(INDIRECT("PnL_"&amp;TEXT(V$1,"mmm")&amp;"_"&amp;TEXT(V$1,"yyyy")),MATCH(TRIM($A68),PnL_Accounts,0))</f>
        <v>1800</v>
      </c>
      <c r="W68" s="115">
        <f t="array" aca="1" ref="W68" ca="1">INDEX(INDIRECT("PnL_"&amp;TEXT(W$1,"mmm")&amp;"_"&amp;TEXT(W$1,"yyyy")),MATCH(TRIM($A68),PnL_Accounts,0))</f>
        <v>1800</v>
      </c>
      <c r="X68" s="115">
        <f t="array" aca="1" ref="X68" ca="1">INDEX(INDIRECT("PnL_"&amp;TEXT(X$1,"mmm")&amp;"_"&amp;TEXT(X$1,"yyyy")),MATCH(TRIM($A68),PnL_Accounts,0))</f>
        <v>1800</v>
      </c>
      <c r="Y68" s="115">
        <f t="array" aca="1" ref="Y68" ca="1">INDEX(INDIRECT("PnL_"&amp;TEXT(Y$1,"mmm")&amp;"_"&amp;TEXT(Y$1,"yyyy")),MATCH(TRIM($A68),PnL_Accounts,0))</f>
        <v>1800</v>
      </c>
      <c r="Z68" s="115">
        <f t="array" aca="1" ref="Z68" ca="1">INDEX(INDIRECT("PnL_"&amp;TEXT(Z$1,"mmm")&amp;"_"&amp;TEXT(Z$1,"yyyy")),MATCH(TRIM($A68),PnL_Accounts,0))</f>
        <v>1800</v>
      </c>
      <c r="AA68" s="115">
        <f t="array" aca="1" ref="AA68" ca="1">INDEX(INDIRECT("PnL_"&amp;TEXT(AA$1,"mmm")&amp;"_"&amp;TEXT(AA$1,"yyyy")),MATCH(TRIM($A68),PnL_Accounts,0))</f>
        <v>1800</v>
      </c>
      <c r="AB68" s="115">
        <f t="array" aca="1" ref="AB68" ca="1">INDEX(INDIRECT("PnL_"&amp;TEXT(AB$1,"mmm")&amp;"_"&amp;TEXT(AB$1,"yyyy")),MATCH(TRIM($A68),PnL_Accounts,0))</f>
        <v>1800</v>
      </c>
      <c r="AC68" s="115">
        <f t="array" aca="1" ref="AC68" ca="1">INDEX(INDIRECT("PnL_"&amp;TEXT(AC$1,"mmm")&amp;"_"&amp;TEXT(AC$1,"yyyy")),MATCH(TRIM($A68),PnL_Accounts,0))</f>
        <v>1800</v>
      </c>
      <c r="AD68" s="115">
        <f t="array" aca="1" ref="AD68" ca="1">INDEX(INDIRECT("PnL_"&amp;TEXT(AD$1,"mmm")&amp;"_"&amp;TEXT(AD$1,"yyyy")),MATCH(TRIM($A68),PnL_Accounts,0))</f>
        <v>1800</v>
      </c>
      <c r="AE68" s="115">
        <f t="array" aca="1" ref="AE68" ca="1">INDEX(INDIRECT("PnL_"&amp;TEXT(AE$1,"mmm")&amp;"_"&amp;TEXT(AE$1,"yyyy")),MATCH(TRIM($A68),PnL_Accounts,0))</f>
        <v>1800</v>
      </c>
      <c r="AF68" s="25">
        <f t="array" ref="AF68">INDEX(Hiring_Plan_Benefits_Marketing_Worst_Case,MATCH(AF$1,Hiring_Plan_Months_Worst_Case,0))</f>
        <v>2033.3333333333333</v>
      </c>
      <c r="AG68" s="25">
        <f t="array" ref="AG68">INDEX(Hiring_Plan_Benefits_Marketing_Worst_Case,MATCH(AG$1,Hiring_Plan_Months_Worst_Case,0))</f>
        <v>2033.3333333333333</v>
      </c>
      <c r="AH68" s="25">
        <f t="array" ref="AH68">INDEX(Hiring_Plan_Benefits_Marketing_Worst_Case,MATCH(AH$1,Hiring_Plan_Months_Worst_Case,0))</f>
        <v>2033.3333333333333</v>
      </c>
      <c r="AI68" s="25">
        <f t="array" ref="AI68">INDEX(Hiring_Plan_Benefits_Marketing_Worst_Case,MATCH(AI$1,Hiring_Plan_Months_Worst_Case,0))</f>
        <v>2033.3333333333333</v>
      </c>
      <c r="AJ68" s="25">
        <f t="array" ref="AJ68">INDEX(Hiring_Plan_Benefits_Marketing_Worst_Case,MATCH(AJ$1,Hiring_Plan_Months_Worst_Case,0))</f>
        <v>2033.3333333333333</v>
      </c>
      <c r="AK68" s="25">
        <f t="array" ref="AK68">INDEX(Hiring_Plan_Benefits_Marketing_Worst_Case,MATCH(AK$1,Hiring_Plan_Months_Worst_Case,0))</f>
        <v>2033.3333333333333</v>
      </c>
      <c r="AL68" s="25">
        <f t="array" ref="AL68">INDEX(Hiring_Plan_Benefits_Marketing_Worst_Case,MATCH(AL$1,Hiring_Plan_Months_Worst_Case,0))</f>
        <v>2033.3333333333333</v>
      </c>
      <c r="AM68" s="25">
        <f t="array" ref="AM68">INDEX(Hiring_Plan_Benefits_Marketing_Worst_Case,MATCH(AM$1,Hiring_Plan_Months_Worst_Case,0))</f>
        <v>2033.3333333333333</v>
      </c>
      <c r="AN68" s="25">
        <f t="array" ref="AN68">INDEX(Hiring_Plan_Benefits_Marketing_Worst_Case,MATCH(AN$1,Hiring_Plan_Months_Worst_Case,0))</f>
        <v>2033.3333333333333</v>
      </c>
      <c r="AO68" s="25">
        <f t="array" ref="AO68">INDEX(Hiring_Plan_Benefits_Marketing_Worst_Case,MATCH(AO$1,Hiring_Plan_Months_Worst_Case,0))</f>
        <v>2033.3333333333333</v>
      </c>
      <c r="AP68" s="25">
        <f t="array" ref="AP68">INDEX(Hiring_Plan_Benefits_Marketing_Worst_Case,MATCH(AP$1,Hiring_Plan_Months_Worst_Case,0))</f>
        <v>2033.3333333333333</v>
      </c>
      <c r="AQ68" s="25">
        <f t="array" ref="AQ68">INDEX(Hiring_Plan_Benefits_Marketing_Worst_Case,MATCH(AQ$1,Hiring_Plan_Months_Worst_Case,0))</f>
        <v>2033.3333333333333</v>
      </c>
      <c r="AR68" s="25">
        <f t="array" ref="AR68">INDEX(Hiring_Plan_Benefits_Marketing_Worst_Case,MATCH(AR$1,Hiring_Plan_Months_Worst_Case,0))</f>
        <v>2033.3333333333333</v>
      </c>
      <c r="AS68" s="25">
        <f t="array" ref="AS68">INDEX(Hiring_Plan_Benefits_Marketing_Worst_Case,MATCH(AS$1,Hiring_Plan_Months_Worst_Case,0))</f>
        <v>2033.3333333333333</v>
      </c>
      <c r="AT68" s="25">
        <f t="array" ref="AT68">INDEX(Hiring_Plan_Benefits_Marketing_Worst_Case,MATCH(AT$1,Hiring_Plan_Months_Worst_Case,0))</f>
        <v>2033.3333333333333</v>
      </c>
      <c r="AU68" s="25">
        <f t="array" ref="AU68">INDEX(Hiring_Plan_Benefits_Marketing_Worst_Case,MATCH(AU$1,Hiring_Plan_Months_Worst_Case,0))</f>
        <v>2033.3333333333333</v>
      </c>
      <c r="AV68" s="25">
        <f t="array" ref="AV68">INDEX(Hiring_Plan_Benefits_Marketing_Worst_Case,MATCH(AV$1,Hiring_Plan_Months_Worst_Case,0))</f>
        <v>2033.3333333333333</v>
      </c>
      <c r="AW68" s="25">
        <f t="array" ref="AW68">INDEX(Hiring_Plan_Benefits_Marketing_Worst_Case,MATCH(AW$1,Hiring_Plan_Months_Worst_Case,0))</f>
        <v>2033.3333333333333</v>
      </c>
      <c r="AX68" s="25">
        <f t="array" ref="AX68">INDEX(Hiring_Plan_Benefits_Marketing_Worst_Case,MATCH(AX$1,Hiring_Plan_Months_Worst_Case,0))</f>
        <v>2033.3333333333333</v>
      </c>
      <c r="AY68" s="25">
        <f t="array" ref="AY68">INDEX(Hiring_Plan_Benefits_Marketing_Worst_Case,MATCH(AY$1,Hiring_Plan_Months_Worst_Case,0))</f>
        <v>2033.3333333333333</v>
      </c>
      <c r="AZ68" s="25">
        <f t="array" ref="AZ68">INDEX(Hiring_Plan_Benefits_Marketing_Worst_Case,MATCH(AZ$1,Hiring_Plan_Months_Worst_Case,0))</f>
        <v>2033.3333333333333</v>
      </c>
      <c r="BA68" s="25">
        <f t="array" ref="BA68">INDEX(Hiring_Plan_Benefits_Marketing_Worst_Case,MATCH(BA$1,Hiring_Plan_Months_Worst_Case,0))</f>
        <v>2033.3333333333333</v>
      </c>
      <c r="BB68" s="25">
        <f t="array" ref="BB68">INDEX(Hiring_Plan_Benefits_Marketing_Worst_Case,MATCH(BB$1,Hiring_Plan_Months_Worst_Case,0))</f>
        <v>2033.3333333333333</v>
      </c>
      <c r="BC68" s="25">
        <f t="array" ref="BC68">INDEX(Hiring_Plan_Benefits_Marketing_Worst_Case,MATCH(BC$1,Hiring_Plan_Months_Worst_Case,0))</f>
        <v>2033.3333333333333</v>
      </c>
      <c r="BD68" s="25">
        <f t="array" ref="BD68">INDEX(Hiring_Plan_Benefits_Marketing_Worst_Case,MATCH(BD$1,Hiring_Plan_Months_Worst_Case,0))</f>
        <v>2033.3333333333333</v>
      </c>
      <c r="BE68" s="25">
        <f t="array" ref="BE68">INDEX(Hiring_Plan_Benefits_Marketing_Worst_Case,MATCH(BE$1,Hiring_Plan_Months_Worst_Case,0))</f>
        <v>2033.3333333333333</v>
      </c>
      <c r="BF68" s="25">
        <f t="array" ref="BF68">INDEX(Hiring_Plan_Benefits_Marketing_Worst_Case,MATCH(BF$1,Hiring_Plan_Months_Worst_Case,0))</f>
        <v>2033.3333333333333</v>
      </c>
      <c r="BG68" s="25">
        <f t="array" ref="BG68">INDEX(Hiring_Plan_Benefits_Marketing_Worst_Case,MATCH(BG$1,Hiring_Plan_Months_Worst_Case,0))</f>
        <v>2033.3333333333333</v>
      </c>
      <c r="BH68" s="25">
        <f t="array" ref="BH68">INDEX(Hiring_Plan_Benefits_Marketing_Worst_Case,MATCH(BH$1,Hiring_Plan_Months_Worst_Case,0))</f>
        <v>2033.3333333333333</v>
      </c>
      <c r="BI68" s="25">
        <f t="array" ref="BI68">INDEX(Hiring_Plan_Benefits_Marketing_Worst_Case,MATCH(BI$1,Hiring_Plan_Months_Worst_Case,0))</f>
        <v>2033.3333333333333</v>
      </c>
      <c r="BJ68" s="25">
        <f t="array" ref="BJ68">INDEX(Hiring_Plan_Benefits_Marketing_Worst_Case,MATCH(BJ$1,Hiring_Plan_Months_Worst_Case,0))</f>
        <v>2033.3333333333333</v>
      </c>
      <c r="BK68" s="25">
        <f t="array" ref="BK68">INDEX(Hiring_Plan_Benefits_Marketing_Worst_Case,MATCH(BK$1,Hiring_Plan_Months_Worst_Case,0))</f>
        <v>2033.3333333333333</v>
      </c>
      <c r="BL68" s="25">
        <f t="array" ref="BL68">INDEX(Hiring_Plan_Benefits_Marketing_Worst_Case,MATCH(BL$1,Hiring_Plan_Months_Worst_Case,0))</f>
        <v>2033.3333333333333</v>
      </c>
      <c r="BM68" s="25">
        <f t="array" ref="BM68">INDEX(Hiring_Plan_Benefits_Marketing_Worst_Case,MATCH(BM$1,Hiring_Plan_Months_Worst_Case,0))</f>
        <v>2033.3333333333333</v>
      </c>
      <c r="BN68" s="25">
        <f t="array" ref="BN68">INDEX(Hiring_Plan_Benefits_Marketing_Worst_Case,MATCH(BN$1,Hiring_Plan_Months_Worst_Case,0))</f>
        <v>2033.3333333333333</v>
      </c>
      <c r="BO68" s="25">
        <f t="array" ref="BO68">INDEX(Hiring_Plan_Benefits_Marketing_Worst_Case,MATCH(BO$1,Hiring_Plan_Months_Worst_Case,0))</f>
        <v>2033.3333333333333</v>
      </c>
      <c r="BP68" s="25">
        <f t="array" ref="BP68">INDEX(Hiring_Plan_Benefits_Marketing_Worst_Case,MATCH(BP$1,Hiring_Plan_Months_Worst_Case,0))</f>
        <v>2033.3333333333333</v>
      </c>
      <c r="BQ68" s="25">
        <f t="array" ref="BQ68">INDEX(Hiring_Plan_Benefits_Marketing_Worst_Case,MATCH(BQ$1,Hiring_Plan_Months_Worst_Case,0))</f>
        <v>2033.3333333333333</v>
      </c>
      <c r="BR68" s="25">
        <f t="array" ref="BR68">INDEX(Hiring_Plan_Benefits_Marketing_Worst_Case,MATCH(BR$1,Hiring_Plan_Months_Worst_Case,0))</f>
        <v>2033.3333333333333</v>
      </c>
      <c r="BS68" s="25">
        <f t="array" ref="BS68">INDEX(Hiring_Plan_Benefits_Marketing_Worst_Case,MATCH(BS$1,Hiring_Plan_Months_Worst_Case,0))</f>
        <v>2033.3333333333333</v>
      </c>
      <c r="BT68" s="25">
        <f t="array" ref="BT68">INDEX(Hiring_Plan_Benefits_Marketing_Worst_Case,MATCH(BT$1,Hiring_Plan_Months_Worst_Case,0))</f>
        <v>2033.3333333333333</v>
      </c>
      <c r="BU68" s="25">
        <f t="array" ref="BU68">INDEX(Hiring_Plan_Benefits_Marketing_Worst_Case,MATCH(BU$1,Hiring_Plan_Months_Worst_Case,0))</f>
        <v>2033.3333333333333</v>
      </c>
      <c r="BV68" s="25">
        <f t="array" ref="BV68">INDEX(Hiring_Plan_Benefits_Marketing_Worst_Case,MATCH(BV$1,Hiring_Plan_Months_Worst_Case,0))</f>
        <v>2033.3333333333333</v>
      </c>
      <c r="BW68" s="25">
        <f t="array" ref="BW68">INDEX(Hiring_Plan_Benefits_Marketing_Worst_Case,MATCH(BW$1,Hiring_Plan_Months_Worst_Case,0))</f>
        <v>2033.3333333333333</v>
      </c>
    </row>
    <row r="69" spans="1:75" ht="12.75" x14ac:dyDescent="0.2">
      <c r="A69" s="23" t="s">
        <v>321</v>
      </c>
      <c r="B69" s="224">
        <f ca="1">AVERAGEIFS(69:69,$1:$1,"&gt;="&amp;DATE(YEAR(Current_Month),MONTH(Current_Month)-2,DAY(Current_Month)),$1:$1,"&lt;="&amp;EOMONTH(Current_Month,0))</f>
        <v>2115</v>
      </c>
      <c r="D69" s="115">
        <f t="array" aca="1" ref="D69" ca="1">INDEX(INDIRECT("PnL_"&amp;TEXT(D$1,"mmm")&amp;"_"&amp;TEXT(D$1,"yyyy")),MATCH(TRIM($A69),PnL_Accounts,0))</f>
        <v>529</v>
      </c>
      <c r="E69" s="115">
        <f t="array" aca="1" ref="E69" ca="1">INDEX(INDIRECT("PnL_"&amp;TEXT(E$1,"mmm")&amp;"_"&amp;TEXT(E$1,"yyyy")),MATCH(TRIM($A69),PnL_Accounts,0))</f>
        <v>529</v>
      </c>
      <c r="F69" s="115">
        <f t="array" aca="1" ref="F69" ca="1">INDEX(INDIRECT("PnL_"&amp;TEXT(F$1,"mmm")&amp;"_"&amp;TEXT(F$1,"yyyy")),MATCH(TRIM($A69),PnL_Accounts,0))</f>
        <v>529</v>
      </c>
      <c r="G69" s="115">
        <f t="array" aca="1" ref="G69" ca="1">INDEX(INDIRECT("PnL_"&amp;TEXT(G$1,"mmm")&amp;"_"&amp;TEXT(G$1,"yyyy")),MATCH(TRIM($A69),PnL_Accounts,0))</f>
        <v>529</v>
      </c>
      <c r="H69" s="115">
        <f t="array" aca="1" ref="H69" ca="1">INDEX(INDIRECT("PnL_"&amp;TEXT(H$1,"mmm")&amp;"_"&amp;TEXT(H$1,"yyyy")),MATCH(TRIM($A69),PnL_Accounts,0))</f>
        <v>529</v>
      </c>
      <c r="I69" s="115">
        <f t="array" aca="1" ref="I69" ca="1">INDEX(INDIRECT("PnL_"&amp;TEXT(I$1,"mmm")&amp;"_"&amp;TEXT(I$1,"yyyy")),MATCH(TRIM($A69),PnL_Accounts,0))</f>
        <v>529</v>
      </c>
      <c r="J69" s="115">
        <f t="array" aca="1" ref="J69" ca="1">INDEX(INDIRECT("PnL_"&amp;TEXT(J$1,"mmm")&amp;"_"&amp;TEXT(J$1,"yyyy")),MATCH(TRIM($A69),PnL_Accounts,0))</f>
        <v>1058</v>
      </c>
      <c r="K69" s="115">
        <f t="array" aca="1" ref="K69" ca="1">INDEX(INDIRECT("PnL_"&amp;TEXT(K$1,"mmm")&amp;"_"&amp;TEXT(K$1,"yyyy")),MATCH(TRIM($A69),PnL_Accounts,0))</f>
        <v>1058</v>
      </c>
      <c r="L69" s="115">
        <f t="array" aca="1" ref="L69" ca="1">INDEX(INDIRECT("PnL_"&amp;TEXT(L$1,"mmm")&amp;"_"&amp;TEXT(L$1,"yyyy")),MATCH(TRIM($A69),PnL_Accounts,0))</f>
        <v>1058</v>
      </c>
      <c r="M69" s="115">
        <f t="array" aca="1" ref="M69" ca="1">INDEX(INDIRECT("PnL_"&amp;TEXT(M$1,"mmm")&amp;"_"&amp;TEXT(M$1,"yyyy")),MATCH(TRIM($A69),PnL_Accounts,0))</f>
        <v>1586</v>
      </c>
      <c r="N69" s="115">
        <f t="array" aca="1" ref="N69" ca="1">INDEX(INDIRECT("PnL_"&amp;TEXT(N$1,"mmm")&amp;"_"&amp;TEXT(N$1,"yyyy")),MATCH(TRIM($A69),PnL_Accounts,0))</f>
        <v>1586</v>
      </c>
      <c r="O69" s="115">
        <f t="array" aca="1" ref="O69" ca="1">INDEX(INDIRECT("PnL_"&amp;TEXT(O$1,"mmm")&amp;"_"&amp;TEXT(O$1,"yyyy")),MATCH(TRIM($A69),PnL_Accounts,0))</f>
        <v>1586</v>
      </c>
      <c r="P69" s="115">
        <f t="array" aca="1" ref="P69" ca="1">INDEX(INDIRECT("PnL_"&amp;TEXT(P$1,"mmm")&amp;"_"&amp;TEXT(P$1,"yyyy")),MATCH(TRIM($A69),PnL_Accounts,0))</f>
        <v>2115</v>
      </c>
      <c r="Q69" s="115">
        <f t="array" aca="1" ref="Q69" ca="1">INDEX(INDIRECT("PnL_"&amp;TEXT(Q$1,"mmm")&amp;"_"&amp;TEXT(Q$1,"yyyy")),MATCH(TRIM($A69),PnL_Accounts,0))</f>
        <v>2115</v>
      </c>
      <c r="R69" s="115">
        <f t="array" aca="1" ref="R69" ca="1">INDEX(INDIRECT("PnL_"&amp;TEXT(R$1,"mmm")&amp;"_"&amp;TEXT(R$1,"yyyy")),MATCH(TRIM($A69),PnL_Accounts,0))</f>
        <v>2115</v>
      </c>
      <c r="S69" s="115">
        <f t="array" aca="1" ref="S69" ca="1">INDEX(INDIRECT("PnL_"&amp;TEXT(S$1,"mmm")&amp;"_"&amp;TEXT(S$1,"yyyy")),MATCH(TRIM($A69),PnL_Accounts,0))</f>
        <v>2115</v>
      </c>
      <c r="T69" s="115">
        <f t="array" aca="1" ref="T69" ca="1">INDEX(INDIRECT("PnL_"&amp;TEXT(T$1,"mmm")&amp;"_"&amp;TEXT(T$1,"yyyy")),MATCH(TRIM($A69),PnL_Accounts,0))</f>
        <v>2115</v>
      </c>
      <c r="U69" s="115">
        <f t="array" aca="1" ref="U69" ca="1">INDEX(INDIRECT("PnL_"&amp;TEXT(U$1,"mmm")&amp;"_"&amp;TEXT(U$1,"yyyy")),MATCH(TRIM($A69),PnL_Accounts,0))</f>
        <v>2115</v>
      </c>
      <c r="V69" s="115">
        <f t="array" aca="1" ref="V69" ca="1">INDEX(INDIRECT("PnL_"&amp;TEXT(V$1,"mmm")&amp;"_"&amp;TEXT(V$1,"yyyy")),MATCH(TRIM($A69),PnL_Accounts,0))</f>
        <v>2115</v>
      </c>
      <c r="W69" s="115">
        <f t="array" aca="1" ref="W69" ca="1">INDEX(INDIRECT("PnL_"&amp;TEXT(W$1,"mmm")&amp;"_"&amp;TEXT(W$1,"yyyy")),MATCH(TRIM($A69),PnL_Accounts,0))</f>
        <v>2115</v>
      </c>
      <c r="X69" s="115">
        <f t="array" aca="1" ref="X69" ca="1">INDEX(INDIRECT("PnL_"&amp;TEXT(X$1,"mmm")&amp;"_"&amp;TEXT(X$1,"yyyy")),MATCH(TRIM($A69),PnL_Accounts,0))</f>
        <v>2115</v>
      </c>
      <c r="Y69" s="115">
        <f t="array" aca="1" ref="Y69" ca="1">INDEX(INDIRECT("PnL_"&amp;TEXT(Y$1,"mmm")&amp;"_"&amp;TEXT(Y$1,"yyyy")),MATCH(TRIM($A69),PnL_Accounts,0))</f>
        <v>2115</v>
      </c>
      <c r="Z69" s="115">
        <f t="array" aca="1" ref="Z69" ca="1">INDEX(INDIRECT("PnL_"&amp;TEXT(Z$1,"mmm")&amp;"_"&amp;TEXT(Z$1,"yyyy")),MATCH(TRIM($A69),PnL_Accounts,0))</f>
        <v>2115</v>
      </c>
      <c r="AA69" s="115">
        <f t="array" aca="1" ref="AA69" ca="1">INDEX(INDIRECT("PnL_"&amp;TEXT(AA$1,"mmm")&amp;"_"&amp;TEXT(AA$1,"yyyy")),MATCH(TRIM($A69),PnL_Accounts,0))</f>
        <v>2115</v>
      </c>
      <c r="AB69" s="115">
        <f t="array" aca="1" ref="AB69" ca="1">INDEX(INDIRECT("PnL_"&amp;TEXT(AB$1,"mmm")&amp;"_"&amp;TEXT(AB$1,"yyyy")),MATCH(TRIM($A69),PnL_Accounts,0))</f>
        <v>2115</v>
      </c>
      <c r="AC69" s="115">
        <f t="array" aca="1" ref="AC69" ca="1">INDEX(INDIRECT("PnL_"&amp;TEXT(AC$1,"mmm")&amp;"_"&amp;TEXT(AC$1,"yyyy")),MATCH(TRIM($A69),PnL_Accounts,0))</f>
        <v>2115</v>
      </c>
      <c r="AD69" s="115">
        <f t="array" aca="1" ref="AD69" ca="1">INDEX(INDIRECT("PnL_"&amp;TEXT(AD$1,"mmm")&amp;"_"&amp;TEXT(AD$1,"yyyy")),MATCH(TRIM($A69),PnL_Accounts,0))</f>
        <v>2115</v>
      </c>
      <c r="AE69" s="115">
        <f t="array" aca="1" ref="AE69" ca="1">INDEX(INDIRECT("PnL_"&amp;TEXT(AE$1,"mmm")&amp;"_"&amp;TEXT(AE$1,"yyyy")),MATCH(TRIM($A69),PnL_Accounts,0))</f>
        <v>2115</v>
      </c>
      <c r="AF69" s="25">
        <f t="array" ref="AF69">INDEX(Hiring_Plan_Payroll_Taxes_Marketing_Worst_Case,MATCH(AF$1,Hiring_Plan_Months_Worst_Case,0))</f>
        <v>2325</v>
      </c>
      <c r="AG69" s="25">
        <f t="array" ref="AG69">INDEX(Hiring_Plan_Payroll_Taxes_Marketing_Worst_Case,MATCH(AG$1,Hiring_Plan_Months_Worst_Case,0))</f>
        <v>2325</v>
      </c>
      <c r="AH69" s="25">
        <f t="array" ref="AH69">INDEX(Hiring_Plan_Payroll_Taxes_Marketing_Worst_Case,MATCH(AH$1,Hiring_Plan_Months_Worst_Case,0))</f>
        <v>2325</v>
      </c>
      <c r="AI69" s="25">
        <f t="array" ref="AI69">INDEX(Hiring_Plan_Payroll_Taxes_Marketing_Worst_Case,MATCH(AI$1,Hiring_Plan_Months_Worst_Case,0))</f>
        <v>2325</v>
      </c>
      <c r="AJ69" s="25">
        <f t="array" ref="AJ69">INDEX(Hiring_Plan_Payroll_Taxes_Marketing_Worst_Case,MATCH(AJ$1,Hiring_Plan_Months_Worst_Case,0))</f>
        <v>2325</v>
      </c>
      <c r="AK69" s="25">
        <f t="array" ref="AK69">INDEX(Hiring_Plan_Payroll_Taxes_Marketing_Worst_Case,MATCH(AK$1,Hiring_Plan_Months_Worst_Case,0))</f>
        <v>2325</v>
      </c>
      <c r="AL69" s="25">
        <f t="array" ref="AL69">INDEX(Hiring_Plan_Payroll_Taxes_Marketing_Worst_Case,MATCH(AL$1,Hiring_Plan_Months_Worst_Case,0))</f>
        <v>2325</v>
      </c>
      <c r="AM69" s="25">
        <f t="array" ref="AM69">INDEX(Hiring_Plan_Payroll_Taxes_Marketing_Worst_Case,MATCH(AM$1,Hiring_Plan_Months_Worst_Case,0))</f>
        <v>2325</v>
      </c>
      <c r="AN69" s="25">
        <f t="array" ref="AN69">INDEX(Hiring_Plan_Payroll_Taxes_Marketing_Worst_Case,MATCH(AN$1,Hiring_Plan_Months_Worst_Case,0))</f>
        <v>2325</v>
      </c>
      <c r="AO69" s="25">
        <f t="array" ref="AO69">INDEX(Hiring_Plan_Payroll_Taxes_Marketing_Worst_Case,MATCH(AO$1,Hiring_Plan_Months_Worst_Case,0))</f>
        <v>2325</v>
      </c>
      <c r="AP69" s="25">
        <f t="array" ref="AP69">INDEX(Hiring_Plan_Payroll_Taxes_Marketing_Worst_Case,MATCH(AP$1,Hiring_Plan_Months_Worst_Case,0))</f>
        <v>2325</v>
      </c>
      <c r="AQ69" s="25">
        <f t="array" ref="AQ69">INDEX(Hiring_Plan_Payroll_Taxes_Marketing_Worst_Case,MATCH(AQ$1,Hiring_Plan_Months_Worst_Case,0))</f>
        <v>2325</v>
      </c>
      <c r="AR69" s="25">
        <f t="array" ref="AR69">INDEX(Hiring_Plan_Payroll_Taxes_Marketing_Worst_Case,MATCH(AR$1,Hiring_Plan_Months_Worst_Case,0))</f>
        <v>2325</v>
      </c>
      <c r="AS69" s="25">
        <f t="array" ref="AS69">INDEX(Hiring_Plan_Payroll_Taxes_Marketing_Worst_Case,MATCH(AS$1,Hiring_Plan_Months_Worst_Case,0))</f>
        <v>2325</v>
      </c>
      <c r="AT69" s="25">
        <f t="array" ref="AT69">INDEX(Hiring_Plan_Payroll_Taxes_Marketing_Worst_Case,MATCH(AT$1,Hiring_Plan_Months_Worst_Case,0))</f>
        <v>2325</v>
      </c>
      <c r="AU69" s="25">
        <f t="array" ref="AU69">INDEX(Hiring_Plan_Payroll_Taxes_Marketing_Worst_Case,MATCH(AU$1,Hiring_Plan_Months_Worst_Case,0))</f>
        <v>2325</v>
      </c>
      <c r="AV69" s="25">
        <f t="array" ref="AV69">INDEX(Hiring_Plan_Payroll_Taxes_Marketing_Worst_Case,MATCH(AV$1,Hiring_Plan_Months_Worst_Case,0))</f>
        <v>2325</v>
      </c>
      <c r="AW69" s="25">
        <f t="array" ref="AW69">INDEX(Hiring_Plan_Payroll_Taxes_Marketing_Worst_Case,MATCH(AW$1,Hiring_Plan_Months_Worst_Case,0))</f>
        <v>2325</v>
      </c>
      <c r="AX69" s="25">
        <f t="array" ref="AX69">INDEX(Hiring_Plan_Payroll_Taxes_Marketing_Worst_Case,MATCH(AX$1,Hiring_Plan_Months_Worst_Case,0))</f>
        <v>2325</v>
      </c>
      <c r="AY69" s="25">
        <f t="array" ref="AY69">INDEX(Hiring_Plan_Payroll_Taxes_Marketing_Worst_Case,MATCH(AY$1,Hiring_Plan_Months_Worst_Case,0))</f>
        <v>2325</v>
      </c>
      <c r="AZ69" s="25">
        <f t="array" ref="AZ69">INDEX(Hiring_Plan_Payroll_Taxes_Marketing_Worst_Case,MATCH(AZ$1,Hiring_Plan_Months_Worst_Case,0))</f>
        <v>2325</v>
      </c>
      <c r="BA69" s="25">
        <f t="array" ref="BA69">INDEX(Hiring_Plan_Payroll_Taxes_Marketing_Worst_Case,MATCH(BA$1,Hiring_Plan_Months_Worst_Case,0))</f>
        <v>2325</v>
      </c>
      <c r="BB69" s="25">
        <f t="array" ref="BB69">INDEX(Hiring_Plan_Payroll_Taxes_Marketing_Worst_Case,MATCH(BB$1,Hiring_Plan_Months_Worst_Case,0))</f>
        <v>2325</v>
      </c>
      <c r="BC69" s="25">
        <f t="array" ref="BC69">INDEX(Hiring_Plan_Payroll_Taxes_Marketing_Worst_Case,MATCH(BC$1,Hiring_Plan_Months_Worst_Case,0))</f>
        <v>2325</v>
      </c>
      <c r="BD69" s="25">
        <f t="array" ref="BD69">INDEX(Hiring_Plan_Payroll_Taxes_Marketing_Worst_Case,MATCH(BD$1,Hiring_Plan_Months_Worst_Case,0))</f>
        <v>2325</v>
      </c>
      <c r="BE69" s="25">
        <f t="array" ref="BE69">INDEX(Hiring_Plan_Payroll_Taxes_Marketing_Worst_Case,MATCH(BE$1,Hiring_Plan_Months_Worst_Case,0))</f>
        <v>2325</v>
      </c>
      <c r="BF69" s="25">
        <f t="array" ref="BF69">INDEX(Hiring_Plan_Payroll_Taxes_Marketing_Worst_Case,MATCH(BF$1,Hiring_Plan_Months_Worst_Case,0))</f>
        <v>2325</v>
      </c>
      <c r="BG69" s="25">
        <f t="array" ref="BG69">INDEX(Hiring_Plan_Payroll_Taxes_Marketing_Worst_Case,MATCH(BG$1,Hiring_Plan_Months_Worst_Case,0))</f>
        <v>2325</v>
      </c>
      <c r="BH69" s="25">
        <f t="array" ref="BH69">INDEX(Hiring_Plan_Payroll_Taxes_Marketing_Worst_Case,MATCH(BH$1,Hiring_Plan_Months_Worst_Case,0))</f>
        <v>2325</v>
      </c>
      <c r="BI69" s="25">
        <f t="array" ref="BI69">INDEX(Hiring_Plan_Payroll_Taxes_Marketing_Worst_Case,MATCH(BI$1,Hiring_Plan_Months_Worst_Case,0))</f>
        <v>2325</v>
      </c>
      <c r="BJ69" s="25">
        <f t="array" ref="BJ69">INDEX(Hiring_Plan_Payroll_Taxes_Marketing_Worst_Case,MATCH(BJ$1,Hiring_Plan_Months_Worst_Case,0))</f>
        <v>2325</v>
      </c>
      <c r="BK69" s="25">
        <f t="array" ref="BK69">INDEX(Hiring_Plan_Payroll_Taxes_Marketing_Worst_Case,MATCH(BK$1,Hiring_Plan_Months_Worst_Case,0))</f>
        <v>2325</v>
      </c>
      <c r="BL69" s="25">
        <f t="array" ref="BL69">INDEX(Hiring_Plan_Payroll_Taxes_Marketing_Worst_Case,MATCH(BL$1,Hiring_Plan_Months_Worst_Case,0))</f>
        <v>2325</v>
      </c>
      <c r="BM69" s="25">
        <f t="array" ref="BM69">INDEX(Hiring_Plan_Payroll_Taxes_Marketing_Worst_Case,MATCH(BM$1,Hiring_Plan_Months_Worst_Case,0))</f>
        <v>2325</v>
      </c>
      <c r="BN69" s="25">
        <f t="array" ref="BN69">INDEX(Hiring_Plan_Payroll_Taxes_Marketing_Worst_Case,MATCH(BN$1,Hiring_Plan_Months_Worst_Case,0))</f>
        <v>2325</v>
      </c>
      <c r="BO69" s="25">
        <f t="array" ref="BO69">INDEX(Hiring_Plan_Payroll_Taxes_Marketing_Worst_Case,MATCH(BO$1,Hiring_Plan_Months_Worst_Case,0))</f>
        <v>2325</v>
      </c>
      <c r="BP69" s="25">
        <f t="array" ref="BP69">INDEX(Hiring_Plan_Payroll_Taxes_Marketing_Worst_Case,MATCH(BP$1,Hiring_Plan_Months_Worst_Case,0))</f>
        <v>2325</v>
      </c>
      <c r="BQ69" s="25">
        <f t="array" ref="BQ69">INDEX(Hiring_Plan_Payroll_Taxes_Marketing_Worst_Case,MATCH(BQ$1,Hiring_Plan_Months_Worst_Case,0))</f>
        <v>2325</v>
      </c>
      <c r="BR69" s="25">
        <f t="array" ref="BR69">INDEX(Hiring_Plan_Payroll_Taxes_Marketing_Worst_Case,MATCH(BR$1,Hiring_Plan_Months_Worst_Case,0))</f>
        <v>2325</v>
      </c>
      <c r="BS69" s="25">
        <f t="array" ref="BS69">INDEX(Hiring_Plan_Payroll_Taxes_Marketing_Worst_Case,MATCH(BS$1,Hiring_Plan_Months_Worst_Case,0))</f>
        <v>2325</v>
      </c>
      <c r="BT69" s="25">
        <f t="array" ref="BT69">INDEX(Hiring_Plan_Payroll_Taxes_Marketing_Worst_Case,MATCH(BT$1,Hiring_Plan_Months_Worst_Case,0))</f>
        <v>2325</v>
      </c>
      <c r="BU69" s="25">
        <f t="array" ref="BU69">INDEX(Hiring_Plan_Payroll_Taxes_Marketing_Worst_Case,MATCH(BU$1,Hiring_Plan_Months_Worst_Case,0))</f>
        <v>2325</v>
      </c>
      <c r="BV69" s="25">
        <f t="array" ref="BV69">INDEX(Hiring_Plan_Payroll_Taxes_Marketing_Worst_Case,MATCH(BV$1,Hiring_Plan_Months_Worst_Case,0))</f>
        <v>2325</v>
      </c>
      <c r="BW69" s="25">
        <f t="array" ref="BW69">INDEX(Hiring_Plan_Payroll_Taxes_Marketing_Worst_Case,MATCH(BW$1,Hiring_Plan_Months_Worst_Case,0))</f>
        <v>2325</v>
      </c>
    </row>
    <row r="70" spans="1:75" ht="12.75" x14ac:dyDescent="0.2">
      <c r="A70" s="23" t="s">
        <v>322</v>
      </c>
      <c r="B70" s="224">
        <f ca="1">AVERAGEIFS(70:70,$1:$1,"&gt;="&amp;DATE(YEAR(Current_Month),MONTH(Current_Month)-2,DAY(Current_Month)),$1:$1,"&lt;="&amp;EOMONTH(Current_Month,0))</f>
        <v>23500</v>
      </c>
      <c r="D70" s="115">
        <f t="array" aca="1" ref="D70" ca="1">INDEX(INDIRECT("PnL_"&amp;TEXT(D$1,"mmm")&amp;"_"&amp;TEXT(D$1,"yyyy")),MATCH(TRIM($A70),PnL_Accounts,0))</f>
        <v>5875</v>
      </c>
      <c r="E70" s="115">
        <f t="array" aca="1" ref="E70" ca="1">INDEX(INDIRECT("PnL_"&amp;TEXT(E$1,"mmm")&amp;"_"&amp;TEXT(E$1,"yyyy")),MATCH(TRIM($A70),PnL_Accounts,0))</f>
        <v>5875</v>
      </c>
      <c r="F70" s="115">
        <f t="array" aca="1" ref="F70" ca="1">INDEX(INDIRECT("PnL_"&amp;TEXT(F$1,"mmm")&amp;"_"&amp;TEXT(F$1,"yyyy")),MATCH(TRIM($A70),PnL_Accounts,0))</f>
        <v>5875</v>
      </c>
      <c r="G70" s="115">
        <f t="array" aca="1" ref="G70" ca="1">INDEX(INDIRECT("PnL_"&amp;TEXT(G$1,"mmm")&amp;"_"&amp;TEXT(G$1,"yyyy")),MATCH(TRIM($A70),PnL_Accounts,0))</f>
        <v>5875</v>
      </c>
      <c r="H70" s="115">
        <f t="array" aca="1" ref="H70" ca="1">INDEX(INDIRECT("PnL_"&amp;TEXT(H$1,"mmm")&amp;"_"&amp;TEXT(H$1,"yyyy")),MATCH(TRIM($A70),PnL_Accounts,0))</f>
        <v>5875</v>
      </c>
      <c r="I70" s="115">
        <f t="array" aca="1" ref="I70" ca="1">INDEX(INDIRECT("PnL_"&amp;TEXT(I$1,"mmm")&amp;"_"&amp;TEXT(I$1,"yyyy")),MATCH(TRIM($A70),PnL_Accounts,0))</f>
        <v>5875</v>
      </c>
      <c r="J70" s="115">
        <f t="array" aca="1" ref="J70" ca="1">INDEX(INDIRECT("PnL_"&amp;TEXT(J$1,"mmm")&amp;"_"&amp;TEXT(J$1,"yyyy")),MATCH(TRIM($A70),PnL_Accounts,0))</f>
        <v>11750</v>
      </c>
      <c r="K70" s="115">
        <f t="array" aca="1" ref="K70" ca="1">INDEX(INDIRECT("PnL_"&amp;TEXT(K$1,"mmm")&amp;"_"&amp;TEXT(K$1,"yyyy")),MATCH(TRIM($A70),PnL_Accounts,0))</f>
        <v>11750</v>
      </c>
      <c r="L70" s="115">
        <f t="array" aca="1" ref="L70" ca="1">INDEX(INDIRECT("PnL_"&amp;TEXT(L$1,"mmm")&amp;"_"&amp;TEXT(L$1,"yyyy")),MATCH(TRIM($A70),PnL_Accounts,0))</f>
        <v>11750</v>
      </c>
      <c r="M70" s="115">
        <f t="array" aca="1" ref="M70" ca="1">INDEX(INDIRECT("PnL_"&amp;TEXT(M$1,"mmm")&amp;"_"&amp;TEXT(M$1,"yyyy")),MATCH(TRIM($A70),PnL_Accounts,0))</f>
        <v>17625</v>
      </c>
      <c r="N70" s="115">
        <f t="array" aca="1" ref="N70" ca="1">INDEX(INDIRECT("PnL_"&amp;TEXT(N$1,"mmm")&amp;"_"&amp;TEXT(N$1,"yyyy")),MATCH(TRIM($A70),PnL_Accounts,0))</f>
        <v>17625</v>
      </c>
      <c r="O70" s="115">
        <f t="array" aca="1" ref="O70" ca="1">INDEX(INDIRECT("PnL_"&amp;TEXT(O$1,"mmm")&amp;"_"&amp;TEXT(O$1,"yyyy")),MATCH(TRIM($A70),PnL_Accounts,0))</f>
        <v>17625</v>
      </c>
      <c r="P70" s="115">
        <f t="array" aca="1" ref="P70" ca="1">INDEX(INDIRECT("PnL_"&amp;TEXT(P$1,"mmm")&amp;"_"&amp;TEXT(P$1,"yyyy")),MATCH(TRIM($A70),PnL_Accounts,0))</f>
        <v>23500</v>
      </c>
      <c r="Q70" s="115">
        <f t="array" aca="1" ref="Q70" ca="1">INDEX(INDIRECT("PnL_"&amp;TEXT(Q$1,"mmm")&amp;"_"&amp;TEXT(Q$1,"yyyy")),MATCH(TRIM($A70),PnL_Accounts,0))</f>
        <v>23500</v>
      </c>
      <c r="R70" s="115">
        <f t="array" aca="1" ref="R70" ca="1">INDEX(INDIRECT("PnL_"&amp;TEXT(R$1,"mmm")&amp;"_"&amp;TEXT(R$1,"yyyy")),MATCH(TRIM($A70),PnL_Accounts,0))</f>
        <v>23500</v>
      </c>
      <c r="S70" s="115">
        <f t="array" aca="1" ref="S70" ca="1">INDEX(INDIRECT("PnL_"&amp;TEXT(S$1,"mmm")&amp;"_"&amp;TEXT(S$1,"yyyy")),MATCH(TRIM($A70),PnL_Accounts,0))</f>
        <v>23500</v>
      </c>
      <c r="T70" s="115">
        <f t="array" aca="1" ref="T70" ca="1">INDEX(INDIRECT("PnL_"&amp;TEXT(T$1,"mmm")&amp;"_"&amp;TEXT(T$1,"yyyy")),MATCH(TRIM($A70),PnL_Accounts,0))</f>
        <v>23500</v>
      </c>
      <c r="U70" s="115">
        <f t="array" aca="1" ref="U70" ca="1">INDEX(INDIRECT("PnL_"&amp;TEXT(U$1,"mmm")&amp;"_"&amp;TEXT(U$1,"yyyy")),MATCH(TRIM($A70),PnL_Accounts,0))</f>
        <v>23500</v>
      </c>
      <c r="V70" s="115">
        <f t="array" aca="1" ref="V70" ca="1">INDEX(INDIRECT("PnL_"&amp;TEXT(V$1,"mmm")&amp;"_"&amp;TEXT(V$1,"yyyy")),MATCH(TRIM($A70),PnL_Accounts,0))</f>
        <v>23500</v>
      </c>
      <c r="W70" s="115">
        <f t="array" aca="1" ref="W70" ca="1">INDEX(INDIRECT("PnL_"&amp;TEXT(W$1,"mmm")&amp;"_"&amp;TEXT(W$1,"yyyy")),MATCH(TRIM($A70),PnL_Accounts,0))</f>
        <v>23500</v>
      </c>
      <c r="X70" s="115">
        <f t="array" aca="1" ref="X70" ca="1">INDEX(INDIRECT("PnL_"&amp;TEXT(X$1,"mmm")&amp;"_"&amp;TEXT(X$1,"yyyy")),MATCH(TRIM($A70),PnL_Accounts,0))</f>
        <v>23500</v>
      </c>
      <c r="Y70" s="115">
        <f t="array" aca="1" ref="Y70" ca="1">INDEX(INDIRECT("PnL_"&amp;TEXT(Y$1,"mmm")&amp;"_"&amp;TEXT(Y$1,"yyyy")),MATCH(TRIM($A70),PnL_Accounts,0))</f>
        <v>23500</v>
      </c>
      <c r="Z70" s="115">
        <f t="array" aca="1" ref="Z70" ca="1">INDEX(INDIRECT("PnL_"&amp;TEXT(Z$1,"mmm")&amp;"_"&amp;TEXT(Z$1,"yyyy")),MATCH(TRIM($A70),PnL_Accounts,0))</f>
        <v>23500</v>
      </c>
      <c r="AA70" s="115">
        <f t="array" aca="1" ref="AA70" ca="1">INDEX(INDIRECT("PnL_"&amp;TEXT(AA$1,"mmm")&amp;"_"&amp;TEXT(AA$1,"yyyy")),MATCH(TRIM($A70),PnL_Accounts,0))</f>
        <v>23500</v>
      </c>
      <c r="AB70" s="115">
        <f t="array" aca="1" ref="AB70" ca="1">INDEX(INDIRECT("PnL_"&amp;TEXT(AB$1,"mmm")&amp;"_"&amp;TEXT(AB$1,"yyyy")),MATCH(TRIM($A70),PnL_Accounts,0))</f>
        <v>23500</v>
      </c>
      <c r="AC70" s="115">
        <f t="array" aca="1" ref="AC70" ca="1">INDEX(INDIRECT("PnL_"&amp;TEXT(AC$1,"mmm")&amp;"_"&amp;TEXT(AC$1,"yyyy")),MATCH(TRIM($A70),PnL_Accounts,0))</f>
        <v>23500</v>
      </c>
      <c r="AD70" s="115">
        <f t="array" aca="1" ref="AD70" ca="1">INDEX(INDIRECT("PnL_"&amp;TEXT(AD$1,"mmm")&amp;"_"&amp;TEXT(AD$1,"yyyy")),MATCH(TRIM($A70),PnL_Accounts,0))</f>
        <v>23500</v>
      </c>
      <c r="AE70" s="115">
        <f t="array" aca="1" ref="AE70" ca="1">INDEX(INDIRECT("PnL_"&amp;TEXT(AE$1,"mmm")&amp;"_"&amp;TEXT(AE$1,"yyyy")),MATCH(TRIM($A70),PnL_Accounts,0))</f>
        <v>23500</v>
      </c>
      <c r="AF70" s="25">
        <f t="array" ref="AF70">INDEX(Hiring_Plan_Salaries_Marketing_Worst_Case,MATCH(AF$1,Hiring_Plan_Months_Worst_Case,0))</f>
        <v>25833.333333333336</v>
      </c>
      <c r="AG70" s="25">
        <f t="array" ref="AG70">INDEX(Hiring_Plan_Salaries_Marketing_Worst_Case,MATCH(AG$1,Hiring_Plan_Months_Worst_Case,0))</f>
        <v>25833.333333333336</v>
      </c>
      <c r="AH70" s="25">
        <f t="array" ref="AH70">INDEX(Hiring_Plan_Salaries_Marketing_Worst_Case,MATCH(AH$1,Hiring_Plan_Months_Worst_Case,0))</f>
        <v>25833.333333333336</v>
      </c>
      <c r="AI70" s="25">
        <f t="array" ref="AI70">INDEX(Hiring_Plan_Salaries_Marketing_Worst_Case,MATCH(AI$1,Hiring_Plan_Months_Worst_Case,0))</f>
        <v>25833.333333333336</v>
      </c>
      <c r="AJ70" s="25">
        <f t="array" ref="AJ70">INDEX(Hiring_Plan_Salaries_Marketing_Worst_Case,MATCH(AJ$1,Hiring_Plan_Months_Worst_Case,0))</f>
        <v>25833.333333333336</v>
      </c>
      <c r="AK70" s="25">
        <f t="array" ref="AK70">INDEX(Hiring_Plan_Salaries_Marketing_Worst_Case,MATCH(AK$1,Hiring_Plan_Months_Worst_Case,0))</f>
        <v>25833.333333333336</v>
      </c>
      <c r="AL70" s="25">
        <f t="array" ref="AL70">INDEX(Hiring_Plan_Salaries_Marketing_Worst_Case,MATCH(AL$1,Hiring_Plan_Months_Worst_Case,0))</f>
        <v>25833.333333333336</v>
      </c>
      <c r="AM70" s="25">
        <f t="array" ref="AM70">INDEX(Hiring_Plan_Salaries_Marketing_Worst_Case,MATCH(AM$1,Hiring_Plan_Months_Worst_Case,0))</f>
        <v>25833.333333333336</v>
      </c>
      <c r="AN70" s="25">
        <f t="array" ref="AN70">INDEX(Hiring_Plan_Salaries_Marketing_Worst_Case,MATCH(AN$1,Hiring_Plan_Months_Worst_Case,0))</f>
        <v>25833.333333333336</v>
      </c>
      <c r="AO70" s="25">
        <f t="array" ref="AO70">INDEX(Hiring_Plan_Salaries_Marketing_Worst_Case,MATCH(AO$1,Hiring_Plan_Months_Worst_Case,0))</f>
        <v>25833.333333333336</v>
      </c>
      <c r="AP70" s="25">
        <f t="array" ref="AP70">INDEX(Hiring_Plan_Salaries_Marketing_Worst_Case,MATCH(AP$1,Hiring_Plan_Months_Worst_Case,0))</f>
        <v>25833.333333333336</v>
      </c>
      <c r="AQ70" s="25">
        <f t="array" ref="AQ70">INDEX(Hiring_Plan_Salaries_Marketing_Worst_Case,MATCH(AQ$1,Hiring_Plan_Months_Worst_Case,0))</f>
        <v>25833.333333333336</v>
      </c>
      <c r="AR70" s="25">
        <f t="array" ref="AR70">INDEX(Hiring_Plan_Salaries_Marketing_Worst_Case,MATCH(AR$1,Hiring_Plan_Months_Worst_Case,0))</f>
        <v>25833.333333333336</v>
      </c>
      <c r="AS70" s="25">
        <f t="array" ref="AS70">INDEX(Hiring_Plan_Salaries_Marketing_Worst_Case,MATCH(AS$1,Hiring_Plan_Months_Worst_Case,0))</f>
        <v>25833.333333333336</v>
      </c>
      <c r="AT70" s="25">
        <f t="array" ref="AT70">INDEX(Hiring_Plan_Salaries_Marketing_Worst_Case,MATCH(AT$1,Hiring_Plan_Months_Worst_Case,0))</f>
        <v>25833.333333333336</v>
      </c>
      <c r="AU70" s="25">
        <f t="array" ref="AU70">INDEX(Hiring_Plan_Salaries_Marketing_Worst_Case,MATCH(AU$1,Hiring_Plan_Months_Worst_Case,0))</f>
        <v>25833.333333333336</v>
      </c>
      <c r="AV70" s="25">
        <f t="array" ref="AV70">INDEX(Hiring_Plan_Salaries_Marketing_Worst_Case,MATCH(AV$1,Hiring_Plan_Months_Worst_Case,0))</f>
        <v>25833.333333333336</v>
      </c>
      <c r="AW70" s="25">
        <f t="array" ref="AW70">INDEX(Hiring_Plan_Salaries_Marketing_Worst_Case,MATCH(AW$1,Hiring_Plan_Months_Worst_Case,0))</f>
        <v>25833.333333333336</v>
      </c>
      <c r="AX70" s="25">
        <f t="array" ref="AX70">INDEX(Hiring_Plan_Salaries_Marketing_Worst_Case,MATCH(AX$1,Hiring_Plan_Months_Worst_Case,0))</f>
        <v>25833.333333333336</v>
      </c>
      <c r="AY70" s="25">
        <f t="array" ref="AY70">INDEX(Hiring_Plan_Salaries_Marketing_Worst_Case,MATCH(AY$1,Hiring_Plan_Months_Worst_Case,0))</f>
        <v>25833.333333333336</v>
      </c>
      <c r="AZ70" s="25">
        <f t="array" ref="AZ70">INDEX(Hiring_Plan_Salaries_Marketing_Worst_Case,MATCH(AZ$1,Hiring_Plan_Months_Worst_Case,0))</f>
        <v>25833.333333333336</v>
      </c>
      <c r="BA70" s="25">
        <f t="array" ref="BA70">INDEX(Hiring_Plan_Salaries_Marketing_Worst_Case,MATCH(BA$1,Hiring_Plan_Months_Worst_Case,0))</f>
        <v>25833.333333333336</v>
      </c>
      <c r="BB70" s="25">
        <f t="array" ref="BB70">INDEX(Hiring_Plan_Salaries_Marketing_Worst_Case,MATCH(BB$1,Hiring_Plan_Months_Worst_Case,0))</f>
        <v>25833.333333333336</v>
      </c>
      <c r="BC70" s="25">
        <f t="array" ref="BC70">INDEX(Hiring_Plan_Salaries_Marketing_Worst_Case,MATCH(BC$1,Hiring_Plan_Months_Worst_Case,0))</f>
        <v>25833.333333333336</v>
      </c>
      <c r="BD70" s="25">
        <f t="array" ref="BD70">INDEX(Hiring_Plan_Salaries_Marketing_Worst_Case,MATCH(BD$1,Hiring_Plan_Months_Worst_Case,0))</f>
        <v>25833.333333333336</v>
      </c>
      <c r="BE70" s="25">
        <f t="array" ref="BE70">INDEX(Hiring_Plan_Salaries_Marketing_Worst_Case,MATCH(BE$1,Hiring_Plan_Months_Worst_Case,0))</f>
        <v>25833.333333333336</v>
      </c>
      <c r="BF70" s="25">
        <f t="array" ref="BF70">INDEX(Hiring_Plan_Salaries_Marketing_Worst_Case,MATCH(BF$1,Hiring_Plan_Months_Worst_Case,0))</f>
        <v>25833.333333333336</v>
      </c>
      <c r="BG70" s="25">
        <f t="array" ref="BG70">INDEX(Hiring_Plan_Salaries_Marketing_Worst_Case,MATCH(BG$1,Hiring_Plan_Months_Worst_Case,0))</f>
        <v>25833.333333333336</v>
      </c>
      <c r="BH70" s="25">
        <f t="array" ref="BH70">INDEX(Hiring_Plan_Salaries_Marketing_Worst_Case,MATCH(BH$1,Hiring_Plan_Months_Worst_Case,0))</f>
        <v>25833.333333333336</v>
      </c>
      <c r="BI70" s="25">
        <f t="array" ref="BI70">INDEX(Hiring_Plan_Salaries_Marketing_Worst_Case,MATCH(BI$1,Hiring_Plan_Months_Worst_Case,0))</f>
        <v>25833.333333333336</v>
      </c>
      <c r="BJ70" s="25">
        <f t="array" ref="BJ70">INDEX(Hiring_Plan_Salaries_Marketing_Worst_Case,MATCH(BJ$1,Hiring_Plan_Months_Worst_Case,0))</f>
        <v>25833.333333333336</v>
      </c>
      <c r="BK70" s="25">
        <f t="array" ref="BK70">INDEX(Hiring_Plan_Salaries_Marketing_Worst_Case,MATCH(BK$1,Hiring_Plan_Months_Worst_Case,0))</f>
        <v>25833.333333333336</v>
      </c>
      <c r="BL70" s="25">
        <f t="array" ref="BL70">INDEX(Hiring_Plan_Salaries_Marketing_Worst_Case,MATCH(BL$1,Hiring_Plan_Months_Worst_Case,0))</f>
        <v>25833.333333333336</v>
      </c>
      <c r="BM70" s="25">
        <f t="array" ref="BM70">INDEX(Hiring_Plan_Salaries_Marketing_Worst_Case,MATCH(BM$1,Hiring_Plan_Months_Worst_Case,0))</f>
        <v>25833.333333333336</v>
      </c>
      <c r="BN70" s="25">
        <f t="array" ref="BN70">INDEX(Hiring_Plan_Salaries_Marketing_Worst_Case,MATCH(BN$1,Hiring_Plan_Months_Worst_Case,0))</f>
        <v>25833.333333333336</v>
      </c>
      <c r="BO70" s="25">
        <f t="array" ref="BO70">INDEX(Hiring_Plan_Salaries_Marketing_Worst_Case,MATCH(BO$1,Hiring_Plan_Months_Worst_Case,0))</f>
        <v>25833.333333333336</v>
      </c>
      <c r="BP70" s="25">
        <f t="array" ref="BP70">INDEX(Hiring_Plan_Salaries_Marketing_Worst_Case,MATCH(BP$1,Hiring_Plan_Months_Worst_Case,0))</f>
        <v>25833.333333333336</v>
      </c>
      <c r="BQ70" s="25">
        <f t="array" ref="BQ70">INDEX(Hiring_Plan_Salaries_Marketing_Worst_Case,MATCH(BQ$1,Hiring_Plan_Months_Worst_Case,0))</f>
        <v>25833.333333333336</v>
      </c>
      <c r="BR70" s="25">
        <f t="array" ref="BR70">INDEX(Hiring_Plan_Salaries_Marketing_Worst_Case,MATCH(BR$1,Hiring_Plan_Months_Worst_Case,0))</f>
        <v>25833.333333333336</v>
      </c>
      <c r="BS70" s="25">
        <f t="array" ref="BS70">INDEX(Hiring_Plan_Salaries_Marketing_Worst_Case,MATCH(BS$1,Hiring_Plan_Months_Worst_Case,0))</f>
        <v>25833.333333333336</v>
      </c>
      <c r="BT70" s="25">
        <f t="array" ref="BT70">INDEX(Hiring_Plan_Salaries_Marketing_Worst_Case,MATCH(BT$1,Hiring_Plan_Months_Worst_Case,0))</f>
        <v>25833.333333333336</v>
      </c>
      <c r="BU70" s="25">
        <f t="array" ref="BU70">INDEX(Hiring_Plan_Salaries_Marketing_Worst_Case,MATCH(BU$1,Hiring_Plan_Months_Worst_Case,0))</f>
        <v>25833.333333333336</v>
      </c>
      <c r="BV70" s="25">
        <f t="array" ref="BV70">INDEX(Hiring_Plan_Salaries_Marketing_Worst_Case,MATCH(BV$1,Hiring_Plan_Months_Worst_Case,0))</f>
        <v>25833.333333333336</v>
      </c>
      <c r="BW70" s="25">
        <f t="array" ref="BW70">INDEX(Hiring_Plan_Salaries_Marketing_Worst_Case,MATCH(BW$1,Hiring_Plan_Months_Worst_Case,0))</f>
        <v>25833.333333333336</v>
      </c>
    </row>
    <row r="71" spans="1:75" ht="12.75" x14ac:dyDescent="0.2">
      <c r="A71" s="60" t="s">
        <v>323</v>
      </c>
      <c r="B71" s="238"/>
      <c r="C71" s="212"/>
      <c r="D71" s="226">
        <f t="shared" ref="D71:BW71" ca="1" si="35">SUM(D68:D70)</f>
        <v>6854</v>
      </c>
      <c r="E71" s="226">
        <f t="shared" ca="1" si="35"/>
        <v>6854</v>
      </c>
      <c r="F71" s="226">
        <f t="shared" ca="1" si="35"/>
        <v>6854</v>
      </c>
      <c r="G71" s="226">
        <f t="shared" ca="1" si="35"/>
        <v>6854</v>
      </c>
      <c r="H71" s="226">
        <f t="shared" ca="1" si="35"/>
        <v>6854</v>
      </c>
      <c r="I71" s="226">
        <f t="shared" ca="1" si="35"/>
        <v>6854</v>
      </c>
      <c r="J71" s="226">
        <f t="shared" ca="1" si="35"/>
        <v>13708</v>
      </c>
      <c r="K71" s="226">
        <f t="shared" ca="1" si="35"/>
        <v>13708</v>
      </c>
      <c r="L71" s="226">
        <f t="shared" ca="1" si="35"/>
        <v>13708</v>
      </c>
      <c r="M71" s="226">
        <f t="shared" ca="1" si="35"/>
        <v>20561</v>
      </c>
      <c r="N71" s="226">
        <f t="shared" ca="1" si="35"/>
        <v>20561</v>
      </c>
      <c r="O71" s="226">
        <f t="shared" ca="1" si="35"/>
        <v>20561</v>
      </c>
      <c r="P71" s="226">
        <f t="shared" ca="1" si="35"/>
        <v>27415</v>
      </c>
      <c r="Q71" s="226">
        <f t="shared" ca="1" si="35"/>
        <v>27415</v>
      </c>
      <c r="R71" s="226">
        <f t="shared" ca="1" si="35"/>
        <v>27415</v>
      </c>
      <c r="S71" s="226">
        <f t="shared" ca="1" si="35"/>
        <v>27415</v>
      </c>
      <c r="T71" s="226">
        <f t="shared" ca="1" si="35"/>
        <v>27415</v>
      </c>
      <c r="U71" s="226">
        <f t="shared" ca="1" si="35"/>
        <v>27415</v>
      </c>
      <c r="V71" s="226">
        <f t="shared" ca="1" si="35"/>
        <v>27415</v>
      </c>
      <c r="W71" s="226">
        <f t="shared" ca="1" si="35"/>
        <v>27415</v>
      </c>
      <c r="X71" s="226">
        <f t="shared" ca="1" si="35"/>
        <v>27415</v>
      </c>
      <c r="Y71" s="226">
        <f t="shared" ca="1" si="35"/>
        <v>27415</v>
      </c>
      <c r="Z71" s="226">
        <f t="shared" ca="1" si="35"/>
        <v>27415</v>
      </c>
      <c r="AA71" s="226">
        <f t="shared" ca="1" si="35"/>
        <v>27415</v>
      </c>
      <c r="AB71" s="226">
        <f t="shared" ca="1" si="35"/>
        <v>27415</v>
      </c>
      <c r="AC71" s="226">
        <f t="shared" ca="1" si="35"/>
        <v>27415</v>
      </c>
      <c r="AD71" s="226">
        <f t="shared" ca="1" si="35"/>
        <v>27415</v>
      </c>
      <c r="AE71" s="226">
        <f t="shared" ca="1" si="35"/>
        <v>27415</v>
      </c>
      <c r="AF71" s="226">
        <f t="shared" si="35"/>
        <v>30191.666666666668</v>
      </c>
      <c r="AG71" s="226">
        <f t="shared" si="35"/>
        <v>30191.666666666668</v>
      </c>
      <c r="AH71" s="226">
        <f t="shared" si="35"/>
        <v>30191.666666666668</v>
      </c>
      <c r="AI71" s="226">
        <f t="shared" si="35"/>
        <v>30191.666666666668</v>
      </c>
      <c r="AJ71" s="226">
        <f t="shared" si="35"/>
        <v>30191.666666666668</v>
      </c>
      <c r="AK71" s="226">
        <f t="shared" si="35"/>
        <v>30191.666666666668</v>
      </c>
      <c r="AL71" s="226">
        <f t="shared" si="35"/>
        <v>30191.666666666668</v>
      </c>
      <c r="AM71" s="226">
        <f t="shared" si="35"/>
        <v>30191.666666666668</v>
      </c>
      <c r="AN71" s="226">
        <f t="shared" si="35"/>
        <v>30191.666666666668</v>
      </c>
      <c r="AO71" s="226">
        <f t="shared" si="35"/>
        <v>30191.666666666668</v>
      </c>
      <c r="AP71" s="226">
        <f t="shared" si="35"/>
        <v>30191.666666666668</v>
      </c>
      <c r="AQ71" s="226">
        <f t="shared" si="35"/>
        <v>30191.666666666668</v>
      </c>
      <c r="AR71" s="226">
        <f t="shared" si="35"/>
        <v>30191.666666666668</v>
      </c>
      <c r="AS71" s="226">
        <f t="shared" si="35"/>
        <v>30191.666666666668</v>
      </c>
      <c r="AT71" s="226">
        <f t="shared" si="35"/>
        <v>30191.666666666668</v>
      </c>
      <c r="AU71" s="226">
        <f t="shared" si="35"/>
        <v>30191.666666666668</v>
      </c>
      <c r="AV71" s="226">
        <f t="shared" si="35"/>
        <v>30191.666666666668</v>
      </c>
      <c r="AW71" s="226">
        <f t="shared" si="35"/>
        <v>30191.666666666668</v>
      </c>
      <c r="AX71" s="226">
        <f t="shared" si="35"/>
        <v>30191.666666666668</v>
      </c>
      <c r="AY71" s="226">
        <f t="shared" si="35"/>
        <v>30191.666666666668</v>
      </c>
      <c r="AZ71" s="226">
        <f t="shared" si="35"/>
        <v>30191.666666666668</v>
      </c>
      <c r="BA71" s="226">
        <f t="shared" si="35"/>
        <v>30191.666666666668</v>
      </c>
      <c r="BB71" s="226">
        <f t="shared" si="35"/>
        <v>30191.666666666668</v>
      </c>
      <c r="BC71" s="226">
        <f t="shared" si="35"/>
        <v>30191.666666666668</v>
      </c>
      <c r="BD71" s="226">
        <f t="shared" si="35"/>
        <v>30191.666666666668</v>
      </c>
      <c r="BE71" s="226">
        <f t="shared" si="35"/>
        <v>30191.666666666668</v>
      </c>
      <c r="BF71" s="226">
        <f t="shared" si="35"/>
        <v>30191.666666666668</v>
      </c>
      <c r="BG71" s="226">
        <f t="shared" si="35"/>
        <v>30191.666666666668</v>
      </c>
      <c r="BH71" s="226">
        <f t="shared" si="35"/>
        <v>30191.666666666668</v>
      </c>
      <c r="BI71" s="226">
        <f t="shared" si="35"/>
        <v>30191.666666666668</v>
      </c>
      <c r="BJ71" s="226">
        <f t="shared" si="35"/>
        <v>30191.666666666668</v>
      </c>
      <c r="BK71" s="226">
        <f t="shared" si="35"/>
        <v>30191.666666666668</v>
      </c>
      <c r="BL71" s="226">
        <f t="shared" si="35"/>
        <v>30191.666666666668</v>
      </c>
      <c r="BM71" s="226">
        <f t="shared" si="35"/>
        <v>30191.666666666668</v>
      </c>
      <c r="BN71" s="226">
        <f t="shared" si="35"/>
        <v>30191.666666666668</v>
      </c>
      <c r="BO71" s="226">
        <f t="shared" si="35"/>
        <v>30191.666666666668</v>
      </c>
      <c r="BP71" s="226">
        <f t="shared" si="35"/>
        <v>30191.666666666668</v>
      </c>
      <c r="BQ71" s="226">
        <f t="shared" si="35"/>
        <v>30191.666666666668</v>
      </c>
      <c r="BR71" s="226">
        <f t="shared" si="35"/>
        <v>30191.666666666668</v>
      </c>
      <c r="BS71" s="226">
        <f t="shared" si="35"/>
        <v>30191.666666666668</v>
      </c>
      <c r="BT71" s="226">
        <f t="shared" si="35"/>
        <v>30191.666666666668</v>
      </c>
      <c r="BU71" s="226">
        <f t="shared" si="35"/>
        <v>30191.666666666668</v>
      </c>
      <c r="BV71" s="226">
        <f t="shared" si="35"/>
        <v>30191.666666666668</v>
      </c>
      <c r="BW71" s="226">
        <f t="shared" si="35"/>
        <v>30191.666666666668</v>
      </c>
    </row>
    <row r="72" spans="1:75" ht="12.75" x14ac:dyDescent="0.2">
      <c r="A72" s="23" t="s">
        <v>324</v>
      </c>
      <c r="B72" s="221"/>
      <c r="D72" s="115">
        <f t="array" aca="1" ref="D72" ca="1">INDEX(INDIRECT("PnL_"&amp;TEXT(D$1,"mmm")&amp;"_"&amp;TEXT(D$1,"yyyy")),MATCH(TRIM($A72),PnL_Accounts,0))</f>
        <v>0</v>
      </c>
      <c r="E72" s="115">
        <f t="array" aca="1" ref="E72" ca="1">INDEX(INDIRECT("PnL_"&amp;TEXT(E$1,"mmm")&amp;"_"&amp;TEXT(E$1,"yyyy")),MATCH(TRIM($A72),PnL_Accounts,0))</f>
        <v>500</v>
      </c>
      <c r="F72" s="115">
        <f t="array" aca="1" ref="F72" ca="1">INDEX(INDIRECT("PnL_"&amp;TEXT(F$1,"mmm")&amp;"_"&amp;TEXT(F$1,"yyyy")),MATCH(TRIM($A72),PnL_Accounts,0))</f>
        <v>0</v>
      </c>
      <c r="G72" s="115">
        <f t="array" aca="1" ref="G72" ca="1">INDEX(INDIRECT("PnL_"&amp;TEXT(G$1,"mmm")&amp;"_"&amp;TEXT(G$1,"yyyy")),MATCH(TRIM($A72),PnL_Accounts,0))</f>
        <v>0</v>
      </c>
      <c r="H72" s="115">
        <f t="array" aca="1" ref="H72" ca="1">INDEX(INDIRECT("PnL_"&amp;TEXT(H$1,"mmm")&amp;"_"&amp;TEXT(H$1,"yyyy")),MATCH(TRIM($A72),PnL_Accounts,0))</f>
        <v>0</v>
      </c>
      <c r="I72" s="115">
        <f t="array" aca="1" ref="I72" ca="1">INDEX(INDIRECT("PnL_"&amp;TEXT(I$1,"mmm")&amp;"_"&amp;TEXT(I$1,"yyyy")),MATCH(TRIM($A72),PnL_Accounts,0))</f>
        <v>0</v>
      </c>
      <c r="J72" s="115">
        <f t="array" aca="1" ref="J72" ca="1">INDEX(INDIRECT("PnL_"&amp;TEXT(J$1,"mmm")&amp;"_"&amp;TEXT(J$1,"yyyy")),MATCH(TRIM($A72),PnL_Accounts,0))</f>
        <v>0</v>
      </c>
      <c r="K72" s="115">
        <f t="array" aca="1" ref="K72" ca="1">INDEX(INDIRECT("PnL_"&amp;TEXT(K$1,"mmm")&amp;"_"&amp;TEXT(K$1,"yyyy")),MATCH(TRIM($A72),PnL_Accounts,0))</f>
        <v>0</v>
      </c>
      <c r="L72" s="115">
        <f t="array" aca="1" ref="L72" ca="1">INDEX(INDIRECT("PnL_"&amp;TEXT(L$1,"mmm")&amp;"_"&amp;TEXT(L$1,"yyyy")),MATCH(TRIM($A72),PnL_Accounts,0))</f>
        <v>0</v>
      </c>
      <c r="M72" s="115">
        <f t="array" aca="1" ref="M72" ca="1">INDEX(INDIRECT("PnL_"&amp;TEXT(M$1,"mmm")&amp;"_"&amp;TEXT(M$1,"yyyy")),MATCH(TRIM($A72),PnL_Accounts,0))</f>
        <v>0</v>
      </c>
      <c r="N72" s="115">
        <f t="array" aca="1" ref="N72" ca="1">INDEX(INDIRECT("PnL_"&amp;TEXT(N$1,"mmm")&amp;"_"&amp;TEXT(N$1,"yyyy")),MATCH(TRIM($A72),PnL_Accounts,0))</f>
        <v>0</v>
      </c>
      <c r="O72" s="115">
        <f t="array" aca="1" ref="O72" ca="1">INDEX(INDIRECT("PnL_"&amp;TEXT(O$1,"mmm")&amp;"_"&amp;TEXT(O$1,"yyyy")),MATCH(TRIM($A72),PnL_Accounts,0))</f>
        <v>0</v>
      </c>
      <c r="P72" s="115">
        <f t="array" aca="1" ref="P72" ca="1">INDEX(INDIRECT("PnL_"&amp;TEXT(P$1,"mmm")&amp;"_"&amp;TEXT(P$1,"yyyy")),MATCH(TRIM($A72),PnL_Accounts,0))</f>
        <v>0</v>
      </c>
      <c r="Q72" s="115">
        <f t="array" aca="1" ref="Q72" ca="1">INDEX(INDIRECT("PnL_"&amp;TEXT(Q$1,"mmm")&amp;"_"&amp;TEXT(Q$1,"yyyy")),MATCH(TRIM($A72),PnL_Accounts,0))</f>
        <v>0</v>
      </c>
      <c r="R72" s="115">
        <f t="array" aca="1" ref="R72" ca="1">INDEX(INDIRECT("PnL_"&amp;TEXT(R$1,"mmm")&amp;"_"&amp;TEXT(R$1,"yyyy")),MATCH(TRIM($A72),PnL_Accounts,0))</f>
        <v>0</v>
      </c>
      <c r="S72" s="115">
        <f t="array" aca="1" ref="S72" ca="1">INDEX(INDIRECT("PnL_"&amp;TEXT(S$1,"mmm")&amp;"_"&amp;TEXT(S$1,"yyyy")),MATCH(TRIM($A72),PnL_Accounts,0))</f>
        <v>0</v>
      </c>
      <c r="T72" s="115">
        <f t="array" aca="1" ref="T72" ca="1">INDEX(INDIRECT("PnL_"&amp;TEXT(T$1,"mmm")&amp;"_"&amp;TEXT(T$1,"yyyy")),MATCH(TRIM($A72),PnL_Accounts,0))</f>
        <v>0</v>
      </c>
      <c r="U72" s="115">
        <f t="array" aca="1" ref="U72" ca="1">INDEX(INDIRECT("PnL_"&amp;TEXT(U$1,"mmm")&amp;"_"&amp;TEXT(U$1,"yyyy")),MATCH(TRIM($A72),PnL_Accounts,0))</f>
        <v>0</v>
      </c>
      <c r="V72" s="115">
        <f t="array" aca="1" ref="V72" ca="1">INDEX(INDIRECT("PnL_"&amp;TEXT(V$1,"mmm")&amp;"_"&amp;TEXT(V$1,"yyyy")),MATCH(TRIM($A72),PnL_Accounts,0))</f>
        <v>0</v>
      </c>
      <c r="W72" s="115">
        <f t="array" aca="1" ref="W72" ca="1">INDEX(INDIRECT("PnL_"&amp;TEXT(W$1,"mmm")&amp;"_"&amp;TEXT(W$1,"yyyy")),MATCH(TRIM($A72),PnL_Accounts,0))</f>
        <v>0</v>
      </c>
      <c r="X72" s="115">
        <f t="array" aca="1" ref="X72" ca="1">INDEX(INDIRECT("PnL_"&amp;TEXT(X$1,"mmm")&amp;"_"&amp;TEXT(X$1,"yyyy")),MATCH(TRIM($A72),PnL_Accounts,0))</f>
        <v>0</v>
      </c>
      <c r="Y72" s="115">
        <f t="array" aca="1" ref="Y72" ca="1">INDEX(INDIRECT("PnL_"&amp;TEXT(Y$1,"mmm")&amp;"_"&amp;TEXT(Y$1,"yyyy")),MATCH(TRIM($A72),PnL_Accounts,0))</f>
        <v>0</v>
      </c>
      <c r="Z72" s="115">
        <f t="array" aca="1" ref="Z72" ca="1">INDEX(INDIRECT("PnL_"&amp;TEXT(Z$1,"mmm")&amp;"_"&amp;TEXT(Z$1,"yyyy")),MATCH(TRIM($A72),PnL_Accounts,0))</f>
        <v>0</v>
      </c>
      <c r="AA72" s="115">
        <f t="array" aca="1" ref="AA72" ca="1">INDEX(INDIRECT("PnL_"&amp;TEXT(AA$1,"mmm")&amp;"_"&amp;TEXT(AA$1,"yyyy")),MATCH(TRIM($A72),PnL_Accounts,0))</f>
        <v>0</v>
      </c>
      <c r="AB72" s="115">
        <f t="array" aca="1" ref="AB72" ca="1">INDEX(INDIRECT("PnL_"&amp;TEXT(AB$1,"mmm")&amp;"_"&amp;TEXT(AB$1,"yyyy")),MATCH(TRIM($A72),PnL_Accounts,0))</f>
        <v>0</v>
      </c>
      <c r="AC72" s="115">
        <f t="array" aca="1" ref="AC72" ca="1">INDEX(INDIRECT("PnL_"&amp;TEXT(AC$1,"mmm")&amp;"_"&amp;TEXT(AC$1,"yyyy")),MATCH(TRIM($A72),PnL_Accounts,0))</f>
        <v>0</v>
      </c>
      <c r="AD72" s="115">
        <f t="array" aca="1" ref="AD72" ca="1">INDEX(INDIRECT("PnL_"&amp;TEXT(AD$1,"mmm")&amp;"_"&amp;TEXT(AD$1,"yyyy")),MATCH(TRIM($A72),PnL_Accounts,0))</f>
        <v>0</v>
      </c>
      <c r="AE72" s="115">
        <f t="array" aca="1" ref="AE72" ca="1">INDEX(INDIRECT("PnL_"&amp;TEXT(AE$1,"mmm")&amp;"_"&amp;TEXT(AE$1,"yyyy")),MATCH(TRIM($A72),PnL_Accounts,0))</f>
        <v>0</v>
      </c>
    </row>
    <row r="73" spans="1:75" ht="12.75" x14ac:dyDescent="0.2">
      <c r="A73" s="23" t="s">
        <v>325</v>
      </c>
      <c r="B73" s="224">
        <f ca="1">AVERAGEIFS(73:73,$1:$1,"&gt;="&amp;DATE(YEAR(Current_Month),MONTH(Current_Month)-2,DAY(Current_Month)),$1:$1,"&lt;="&amp;EOMONTH(Current_Month,0))</f>
        <v>3869</v>
      </c>
      <c r="D73" s="115">
        <f t="array" aca="1" ref="D73" ca="1">INDEX(INDIRECT("PnL_"&amp;TEXT(D$1,"mmm")&amp;"_"&amp;TEXT(D$1,"yyyy")),MATCH(TRIM($A73),PnL_Accounts,0))</f>
        <v>352</v>
      </c>
      <c r="E73" s="115">
        <f t="array" aca="1" ref="E73" ca="1">INDEX(INDIRECT("PnL_"&amp;TEXT(E$1,"mmm")&amp;"_"&amp;TEXT(E$1,"yyyy")),MATCH(TRIM($A73),PnL_Accounts,0))</f>
        <v>0</v>
      </c>
      <c r="F73" s="115">
        <f t="array" aca="1" ref="F73" ca="1">INDEX(INDIRECT("PnL_"&amp;TEXT(F$1,"mmm")&amp;"_"&amp;TEXT(F$1,"yyyy")),MATCH(TRIM($A73),PnL_Accounts,0))</f>
        <v>0</v>
      </c>
      <c r="G73" s="115">
        <f t="array" aca="1" ref="G73" ca="1">INDEX(INDIRECT("PnL_"&amp;TEXT(G$1,"mmm")&amp;"_"&amp;TEXT(G$1,"yyyy")),MATCH(TRIM($A73),PnL_Accounts,0))</f>
        <v>0</v>
      </c>
      <c r="H73" s="115">
        <f t="array" aca="1" ref="H73" ca="1">INDEX(INDIRECT("PnL_"&amp;TEXT(H$1,"mmm")&amp;"_"&amp;TEXT(H$1,"yyyy")),MATCH(TRIM($A73),PnL_Accounts,0))</f>
        <v>0</v>
      </c>
      <c r="I73" s="115">
        <f t="array" aca="1" ref="I73" ca="1">INDEX(INDIRECT("PnL_"&amp;TEXT(I$1,"mmm")&amp;"_"&amp;TEXT(I$1,"yyyy")),MATCH(TRIM($A73),PnL_Accounts,0))</f>
        <v>0</v>
      </c>
      <c r="J73" s="115">
        <f t="array" aca="1" ref="J73" ca="1">INDEX(INDIRECT("PnL_"&amp;TEXT(J$1,"mmm")&amp;"_"&amp;TEXT(J$1,"yyyy")),MATCH(TRIM($A73),PnL_Accounts,0))</f>
        <v>0</v>
      </c>
      <c r="K73" s="115">
        <f t="array" aca="1" ref="K73" ca="1">INDEX(INDIRECT("PnL_"&amp;TEXT(K$1,"mmm")&amp;"_"&amp;TEXT(K$1,"yyyy")),MATCH(TRIM($A73),PnL_Accounts,0))</f>
        <v>0</v>
      </c>
      <c r="L73" s="115">
        <f t="array" aca="1" ref="L73" ca="1">INDEX(INDIRECT("PnL_"&amp;TEXT(L$1,"mmm")&amp;"_"&amp;TEXT(L$1,"yyyy")),MATCH(TRIM($A73),PnL_Accounts,0))</f>
        <v>0</v>
      </c>
      <c r="M73" s="115">
        <f t="array" aca="1" ref="M73" ca="1">INDEX(INDIRECT("PnL_"&amp;TEXT(M$1,"mmm")&amp;"_"&amp;TEXT(M$1,"yyyy")),MATCH(TRIM($A73),PnL_Accounts,0))</f>
        <v>0</v>
      </c>
      <c r="N73" s="115">
        <f t="array" aca="1" ref="N73" ca="1">INDEX(INDIRECT("PnL_"&amp;TEXT(N$1,"mmm")&amp;"_"&amp;TEXT(N$1,"yyyy")),MATCH(TRIM($A73),PnL_Accounts,0))</f>
        <v>0</v>
      </c>
      <c r="O73" s="115">
        <f t="array" aca="1" ref="O73" ca="1">INDEX(INDIRECT("PnL_"&amp;TEXT(O$1,"mmm")&amp;"_"&amp;TEXT(O$1,"yyyy")),MATCH(TRIM($A73),PnL_Accounts,0))</f>
        <v>0</v>
      </c>
      <c r="P73" s="115">
        <f t="array" aca="1" ref="P73" ca="1">INDEX(INDIRECT("PnL_"&amp;TEXT(P$1,"mmm")&amp;"_"&amp;TEXT(P$1,"yyyy")),MATCH(TRIM($A73),PnL_Accounts,0))</f>
        <v>2596</v>
      </c>
      <c r="Q73" s="115">
        <f t="array" aca="1" ref="Q73" ca="1">INDEX(INDIRECT("PnL_"&amp;TEXT(Q$1,"mmm")&amp;"_"&amp;TEXT(Q$1,"yyyy")),MATCH(TRIM($A73),PnL_Accounts,0))</f>
        <v>2743</v>
      </c>
      <c r="R73" s="115">
        <f t="array" aca="1" ref="R73" ca="1">INDEX(INDIRECT("PnL_"&amp;TEXT(R$1,"mmm")&amp;"_"&amp;TEXT(R$1,"yyyy")),MATCH(TRIM($A73),PnL_Accounts,0))</f>
        <v>2942</v>
      </c>
      <c r="S73" s="115">
        <f t="array" aca="1" ref="S73" ca="1">INDEX(INDIRECT("PnL_"&amp;TEXT(S$1,"mmm")&amp;"_"&amp;TEXT(S$1,"yyyy")),MATCH(TRIM($A73),PnL_Accounts,0))</f>
        <v>3086</v>
      </c>
      <c r="T73" s="115">
        <f t="array" aca="1" ref="T73" ca="1">INDEX(INDIRECT("PnL_"&amp;TEXT(T$1,"mmm")&amp;"_"&amp;TEXT(T$1,"yyyy")),MATCH(TRIM($A73),PnL_Accounts,0))</f>
        <v>3284</v>
      </c>
      <c r="U73" s="115">
        <f t="array" aca="1" ref="U73" ca="1">INDEX(INDIRECT("PnL_"&amp;TEXT(U$1,"mmm")&amp;"_"&amp;TEXT(U$1,"yyyy")),MATCH(TRIM($A73),PnL_Accounts,0))</f>
        <v>3398</v>
      </c>
      <c r="V73" s="115">
        <f t="array" aca="1" ref="V73" ca="1">INDEX(INDIRECT("PnL_"&amp;TEXT(V$1,"mmm")&amp;"_"&amp;TEXT(V$1,"yyyy")),MATCH(TRIM($A73),PnL_Accounts,0))</f>
        <v>3535</v>
      </c>
      <c r="W73" s="115">
        <f t="array" aca="1" ref="W73" ca="1">INDEX(INDIRECT("PnL_"&amp;TEXT(W$1,"mmm")&amp;"_"&amp;TEXT(W$1,"yyyy")),MATCH(TRIM($A73),PnL_Accounts,0))</f>
        <v>3755</v>
      </c>
      <c r="X73" s="115">
        <f t="array" aca="1" ref="X73" ca="1">INDEX(INDIRECT("PnL_"&amp;TEXT(X$1,"mmm")&amp;"_"&amp;TEXT(X$1,"yyyy")),MATCH(TRIM($A73),PnL_Accounts,0))</f>
        <v>3869</v>
      </c>
      <c r="Y73" s="115">
        <f t="array" aca="1" ref="Y73" ca="1">INDEX(INDIRECT("PnL_"&amp;TEXT(Y$1,"mmm")&amp;"_"&amp;TEXT(Y$1,"yyyy")),MATCH(TRIM($A73),PnL_Accounts,0))</f>
        <v>3869</v>
      </c>
      <c r="Z73" s="115">
        <f t="array" aca="1" ref="Z73" ca="1">INDEX(INDIRECT("PnL_"&amp;TEXT(Z$1,"mmm")&amp;"_"&amp;TEXT(Z$1,"yyyy")),MATCH(TRIM($A73),PnL_Accounts,0))</f>
        <v>4315</v>
      </c>
      <c r="AA73" s="115">
        <f t="array" aca="1" ref="AA73" ca="1">INDEX(INDIRECT("PnL_"&amp;TEXT(AA$1,"mmm")&amp;"_"&amp;TEXT(AA$1,"yyyy")),MATCH(TRIM($A73),PnL_Accounts,0))</f>
        <v>3869</v>
      </c>
      <c r="AB73" s="115">
        <f t="array" aca="1" ref="AB73" ca="1">INDEX(INDIRECT("PnL_"&amp;TEXT(AB$1,"mmm")&amp;"_"&amp;TEXT(AB$1,"yyyy")),MATCH(TRIM($A73),PnL_Accounts,0))</f>
        <v>3869</v>
      </c>
      <c r="AC73" s="115">
        <f t="array" aca="1" ref="AC73" ca="1">INDEX(INDIRECT("PnL_"&amp;TEXT(AC$1,"mmm")&amp;"_"&amp;TEXT(AC$1,"yyyy")),MATCH(TRIM($A73),PnL_Accounts,0))</f>
        <v>3869</v>
      </c>
      <c r="AD73" s="115">
        <f t="array" aca="1" ref="AD73" ca="1">INDEX(INDIRECT("PnL_"&amp;TEXT(AD$1,"mmm")&amp;"_"&amp;TEXT(AD$1,"yyyy")),MATCH(TRIM($A73),PnL_Accounts,0))</f>
        <v>3869</v>
      </c>
      <c r="AE73" s="115">
        <f t="array" aca="1" ref="AE73" ca="1">INDEX(INDIRECT("PnL_"&amp;TEXT(AE$1,"mmm")&amp;"_"&amp;TEXT(AE$1,"yyyy")),MATCH(TRIM($A73),PnL_Accounts,0))</f>
        <v>3869</v>
      </c>
      <c r="AF73" s="165">
        <f t="shared" ref="AF73:BW73" ca="1" si="36">$B73</f>
        <v>3869</v>
      </c>
      <c r="AG73" s="165">
        <f t="shared" ca="1" si="36"/>
        <v>3869</v>
      </c>
      <c r="AH73" s="165">
        <f t="shared" ca="1" si="36"/>
        <v>3869</v>
      </c>
      <c r="AI73" s="165">
        <f t="shared" ca="1" si="36"/>
        <v>3869</v>
      </c>
      <c r="AJ73" s="165">
        <f t="shared" ca="1" si="36"/>
        <v>3869</v>
      </c>
      <c r="AK73" s="165">
        <f t="shared" ca="1" si="36"/>
        <v>3869</v>
      </c>
      <c r="AL73" s="165">
        <f t="shared" ca="1" si="36"/>
        <v>3869</v>
      </c>
      <c r="AM73" s="165">
        <f t="shared" ca="1" si="36"/>
        <v>3869</v>
      </c>
      <c r="AN73" s="165">
        <f t="shared" ca="1" si="36"/>
        <v>3869</v>
      </c>
      <c r="AO73" s="165">
        <f t="shared" ca="1" si="36"/>
        <v>3869</v>
      </c>
      <c r="AP73" s="165">
        <f t="shared" ca="1" si="36"/>
        <v>3869</v>
      </c>
      <c r="AQ73" s="165">
        <f t="shared" ca="1" si="36"/>
        <v>3869</v>
      </c>
      <c r="AR73" s="165">
        <f t="shared" ca="1" si="36"/>
        <v>3869</v>
      </c>
      <c r="AS73" s="165">
        <f t="shared" ca="1" si="36"/>
        <v>3869</v>
      </c>
      <c r="AT73" s="165">
        <f t="shared" ca="1" si="36"/>
        <v>3869</v>
      </c>
      <c r="AU73" s="165">
        <f t="shared" ca="1" si="36"/>
        <v>3869</v>
      </c>
      <c r="AV73" s="165">
        <f t="shared" ca="1" si="36"/>
        <v>3869</v>
      </c>
      <c r="AW73" s="165">
        <f t="shared" ca="1" si="36"/>
        <v>3869</v>
      </c>
      <c r="AX73" s="165">
        <f t="shared" ca="1" si="36"/>
        <v>3869</v>
      </c>
      <c r="AY73" s="165">
        <f t="shared" ca="1" si="36"/>
        <v>3869</v>
      </c>
      <c r="AZ73" s="165">
        <f t="shared" ca="1" si="36"/>
        <v>3869</v>
      </c>
      <c r="BA73" s="165">
        <f t="shared" ca="1" si="36"/>
        <v>3869</v>
      </c>
      <c r="BB73" s="165">
        <f t="shared" ca="1" si="36"/>
        <v>3869</v>
      </c>
      <c r="BC73" s="165">
        <f t="shared" ca="1" si="36"/>
        <v>3869</v>
      </c>
      <c r="BD73" s="165">
        <f t="shared" ca="1" si="36"/>
        <v>3869</v>
      </c>
      <c r="BE73" s="165">
        <f t="shared" ca="1" si="36"/>
        <v>3869</v>
      </c>
      <c r="BF73" s="165">
        <f t="shared" ca="1" si="36"/>
        <v>3869</v>
      </c>
      <c r="BG73" s="165">
        <f t="shared" ca="1" si="36"/>
        <v>3869</v>
      </c>
      <c r="BH73" s="165">
        <f t="shared" ca="1" si="36"/>
        <v>3869</v>
      </c>
      <c r="BI73" s="165">
        <f t="shared" ca="1" si="36"/>
        <v>3869</v>
      </c>
      <c r="BJ73" s="165">
        <f t="shared" ca="1" si="36"/>
        <v>3869</v>
      </c>
      <c r="BK73" s="165">
        <f t="shared" ca="1" si="36"/>
        <v>3869</v>
      </c>
      <c r="BL73" s="165">
        <f t="shared" ca="1" si="36"/>
        <v>3869</v>
      </c>
      <c r="BM73" s="165">
        <f t="shared" ca="1" si="36"/>
        <v>3869</v>
      </c>
      <c r="BN73" s="165">
        <f t="shared" ca="1" si="36"/>
        <v>3869</v>
      </c>
      <c r="BO73" s="165">
        <f t="shared" ca="1" si="36"/>
        <v>3869</v>
      </c>
      <c r="BP73" s="165">
        <f t="shared" ca="1" si="36"/>
        <v>3869</v>
      </c>
      <c r="BQ73" s="165">
        <f t="shared" ca="1" si="36"/>
        <v>3869</v>
      </c>
      <c r="BR73" s="165">
        <f t="shared" ca="1" si="36"/>
        <v>3869</v>
      </c>
      <c r="BS73" s="165">
        <f t="shared" ca="1" si="36"/>
        <v>3869</v>
      </c>
      <c r="BT73" s="165">
        <f t="shared" ca="1" si="36"/>
        <v>3869</v>
      </c>
      <c r="BU73" s="165">
        <f t="shared" ca="1" si="36"/>
        <v>3869</v>
      </c>
      <c r="BV73" s="165">
        <f t="shared" ca="1" si="36"/>
        <v>3869</v>
      </c>
      <c r="BW73" s="165">
        <f t="shared" ca="1" si="36"/>
        <v>3869</v>
      </c>
    </row>
    <row r="74" spans="1:75" ht="12.75" x14ac:dyDescent="0.2">
      <c r="A74" s="60" t="s">
        <v>326</v>
      </c>
      <c r="B74" s="238"/>
      <c r="C74" s="212"/>
      <c r="D74" s="226">
        <f t="shared" ref="D74:BW74" ca="1" si="37">SUM(D66,D71:D73)</f>
        <v>50830</v>
      </c>
      <c r="E74" s="226">
        <f t="shared" ca="1" si="37"/>
        <v>53521</v>
      </c>
      <c r="F74" s="226">
        <f t="shared" ca="1" si="37"/>
        <v>55820</v>
      </c>
      <c r="G74" s="226">
        <f t="shared" ca="1" si="37"/>
        <v>58732</v>
      </c>
      <c r="H74" s="226">
        <f t="shared" ca="1" si="37"/>
        <v>62363</v>
      </c>
      <c r="I74" s="226">
        <f t="shared" ca="1" si="37"/>
        <v>64584</v>
      </c>
      <c r="J74" s="226">
        <f t="shared" ca="1" si="37"/>
        <v>80386</v>
      </c>
      <c r="K74" s="226">
        <f t="shared" ca="1" si="37"/>
        <v>85883</v>
      </c>
      <c r="L74" s="226">
        <f t="shared" ca="1" si="37"/>
        <v>109291</v>
      </c>
      <c r="M74" s="226">
        <f t="shared" ca="1" si="37"/>
        <v>121314</v>
      </c>
      <c r="N74" s="226">
        <f t="shared" ca="1" si="37"/>
        <v>142427</v>
      </c>
      <c r="O74" s="226">
        <f t="shared" ca="1" si="37"/>
        <v>152755</v>
      </c>
      <c r="P74" s="226">
        <f t="shared" ca="1" si="37"/>
        <v>165245</v>
      </c>
      <c r="Q74" s="226">
        <f t="shared" ca="1" si="37"/>
        <v>186540</v>
      </c>
      <c r="R74" s="226">
        <f t="shared" ca="1" si="37"/>
        <v>188578</v>
      </c>
      <c r="S74" s="226">
        <f t="shared" ca="1" si="37"/>
        <v>186883</v>
      </c>
      <c r="T74" s="226">
        <f t="shared" ca="1" si="37"/>
        <v>201833</v>
      </c>
      <c r="U74" s="226">
        <f t="shared" ca="1" si="37"/>
        <v>199585</v>
      </c>
      <c r="V74" s="226">
        <f t="shared" ca="1" si="37"/>
        <v>197169</v>
      </c>
      <c r="W74" s="226">
        <f t="shared" ca="1" si="37"/>
        <v>199191</v>
      </c>
      <c r="X74" s="226">
        <f t="shared" ca="1" si="37"/>
        <v>203398</v>
      </c>
      <c r="Y74" s="226">
        <f t="shared" ca="1" si="37"/>
        <v>183327</v>
      </c>
      <c r="Z74" s="226">
        <f t="shared" ca="1" si="37"/>
        <v>194742</v>
      </c>
      <c r="AA74" s="226">
        <f t="shared" ca="1" si="37"/>
        <v>206705</v>
      </c>
      <c r="AB74" s="226">
        <f t="shared" ca="1" si="37"/>
        <v>210711</v>
      </c>
      <c r="AC74" s="226">
        <f t="shared" ca="1" si="37"/>
        <v>217048</v>
      </c>
      <c r="AD74" s="226">
        <f t="shared" ca="1" si="37"/>
        <v>207048</v>
      </c>
      <c r="AE74" s="226">
        <f t="shared" ca="1" si="37"/>
        <v>198753</v>
      </c>
      <c r="AF74" s="226">
        <f t="shared" ca="1" si="37"/>
        <v>184060.66666666666</v>
      </c>
      <c r="AG74" s="226">
        <f t="shared" ca="1" si="37"/>
        <v>184060.66666666666</v>
      </c>
      <c r="AH74" s="226">
        <f t="shared" ca="1" si="37"/>
        <v>184060.66666666666</v>
      </c>
      <c r="AI74" s="226">
        <f t="shared" ca="1" si="37"/>
        <v>184060.66666666666</v>
      </c>
      <c r="AJ74" s="226">
        <f t="shared" ca="1" si="37"/>
        <v>219060.66666666666</v>
      </c>
      <c r="AK74" s="226">
        <f t="shared" ca="1" si="37"/>
        <v>234060.66666666666</v>
      </c>
      <c r="AL74" s="226">
        <f t="shared" ca="1" si="37"/>
        <v>249060.66666666666</v>
      </c>
      <c r="AM74" s="226">
        <f t="shared" ca="1" si="37"/>
        <v>264060.66666666663</v>
      </c>
      <c r="AN74" s="226">
        <f t="shared" ca="1" si="37"/>
        <v>279060.66666666669</v>
      </c>
      <c r="AO74" s="226">
        <f t="shared" ca="1" si="37"/>
        <v>294060.66666666669</v>
      </c>
      <c r="AP74" s="226">
        <f t="shared" ca="1" si="37"/>
        <v>309060.66666666669</v>
      </c>
      <c r="AQ74" s="226">
        <f t="shared" ca="1" si="37"/>
        <v>324060.66666666669</v>
      </c>
      <c r="AR74" s="226">
        <f t="shared" ca="1" si="37"/>
        <v>339060.66666666669</v>
      </c>
      <c r="AS74" s="226">
        <f t="shared" ca="1" si="37"/>
        <v>354060.66666666669</v>
      </c>
      <c r="AT74" s="226">
        <f t="shared" ca="1" si="37"/>
        <v>369060.66666666669</v>
      </c>
      <c r="AU74" s="226">
        <f t="shared" ca="1" si="37"/>
        <v>384060.66666666669</v>
      </c>
      <c r="AV74" s="226">
        <f t="shared" ca="1" si="37"/>
        <v>399060.66666666669</v>
      </c>
      <c r="AW74" s="226">
        <f t="shared" ca="1" si="37"/>
        <v>414060.66666666669</v>
      </c>
      <c r="AX74" s="226">
        <f t="shared" ca="1" si="37"/>
        <v>429060.66666666669</v>
      </c>
      <c r="AY74" s="226">
        <f t="shared" ca="1" si="37"/>
        <v>444060.66666666669</v>
      </c>
      <c r="AZ74" s="226">
        <f t="shared" ca="1" si="37"/>
        <v>429132.0809571211</v>
      </c>
      <c r="BA74" s="226">
        <f t="shared" ca="1" si="37"/>
        <v>441797.73493824608</v>
      </c>
      <c r="BB74" s="226">
        <f t="shared" ca="1" si="37"/>
        <v>452361.69228393724</v>
      </c>
      <c r="BC74" s="226">
        <f t="shared" ca="1" si="37"/>
        <v>460092.28935775429</v>
      </c>
      <c r="BD74" s="226">
        <f t="shared" ca="1" si="37"/>
        <v>464279.60982594232</v>
      </c>
      <c r="BE74" s="226">
        <f t="shared" ca="1" si="37"/>
        <v>473459.83879430889</v>
      </c>
      <c r="BF74" s="226">
        <f t="shared" ca="1" si="37"/>
        <v>481729.70505158365</v>
      </c>
      <c r="BG74" s="226">
        <f t="shared" ca="1" si="37"/>
        <v>489400.3746613629</v>
      </c>
      <c r="BH74" s="226">
        <f t="shared" ca="1" si="37"/>
        <v>497055.39173854422</v>
      </c>
      <c r="BI74" s="226">
        <f t="shared" ca="1" si="37"/>
        <v>505616.14102188416</v>
      </c>
      <c r="BJ74" s="226">
        <f t="shared" ca="1" si="37"/>
        <v>514015.08759724372</v>
      </c>
      <c r="BK74" s="226">
        <f t="shared" ca="1" si="37"/>
        <v>522447.74882946437</v>
      </c>
      <c r="BL74" s="226">
        <f t="shared" ca="1" si="37"/>
        <v>531079.43564872106</v>
      </c>
      <c r="BM74" s="226">
        <f t="shared" ca="1" si="37"/>
        <v>539966.22011345369</v>
      </c>
      <c r="BN74" s="226">
        <f t="shared" ca="1" si="37"/>
        <v>548938.16213302023</v>
      </c>
      <c r="BO74" s="226">
        <f t="shared" ca="1" si="37"/>
        <v>558059.76558099862</v>
      </c>
      <c r="BP74" s="226">
        <f t="shared" ca="1" si="37"/>
        <v>567361.3147460781</v>
      </c>
      <c r="BQ74" s="226">
        <f t="shared" ca="1" si="37"/>
        <v>576837.82613211172</v>
      </c>
      <c r="BR74" s="226">
        <f t="shared" ca="1" si="37"/>
        <v>586468.3690629109</v>
      </c>
      <c r="BS74" s="226">
        <f t="shared" ca="1" si="37"/>
        <v>596270.93282585603</v>
      </c>
      <c r="BT74" s="226">
        <f t="shared" ca="1" si="37"/>
        <v>606251.35750280996</v>
      </c>
      <c r="BU74" s="226">
        <f t="shared" ca="1" si="37"/>
        <v>616409.0985613307</v>
      </c>
      <c r="BV74" s="226">
        <f t="shared" ca="1" si="37"/>
        <v>626744.77088770259</v>
      </c>
      <c r="BW74" s="226">
        <f t="shared" ca="1" si="37"/>
        <v>637264.61688181246</v>
      </c>
    </row>
    <row r="75" spans="1:75" ht="12.75" x14ac:dyDescent="0.2">
      <c r="A75" s="23" t="s">
        <v>327</v>
      </c>
      <c r="B75" s="221"/>
      <c r="D75" s="115">
        <f t="array" aca="1" ref="D75" ca="1">INDEX(INDIRECT("PnL_"&amp;TEXT(D$1,"mmm")&amp;"_"&amp;TEXT(D$1,"yyyy")),MATCH(TRIM($A75),PnL_Accounts,0))</f>
        <v>0</v>
      </c>
      <c r="E75" s="115">
        <f t="array" aca="1" ref="E75" ca="1">INDEX(INDIRECT("PnL_"&amp;TEXT(E$1,"mmm")&amp;"_"&amp;TEXT(E$1,"yyyy")),MATCH(TRIM($A75),PnL_Accounts,0))</f>
        <v>0</v>
      </c>
      <c r="F75" s="115">
        <f t="array" aca="1" ref="F75" ca="1">INDEX(INDIRECT("PnL_"&amp;TEXT(F$1,"mmm")&amp;"_"&amp;TEXT(F$1,"yyyy")),MATCH(TRIM($A75),PnL_Accounts,0))</f>
        <v>0</v>
      </c>
      <c r="G75" s="115">
        <f t="array" aca="1" ref="G75" ca="1">INDEX(INDIRECT("PnL_"&amp;TEXT(G$1,"mmm")&amp;"_"&amp;TEXT(G$1,"yyyy")),MATCH(TRIM($A75),PnL_Accounts,0))</f>
        <v>0</v>
      </c>
      <c r="H75" s="115">
        <f t="array" aca="1" ref="H75" ca="1">INDEX(INDIRECT("PnL_"&amp;TEXT(H$1,"mmm")&amp;"_"&amp;TEXT(H$1,"yyyy")),MATCH(TRIM($A75),PnL_Accounts,0))</f>
        <v>0</v>
      </c>
      <c r="I75" s="115">
        <f t="array" aca="1" ref="I75" ca="1">INDEX(INDIRECT("PnL_"&amp;TEXT(I$1,"mmm")&amp;"_"&amp;TEXT(I$1,"yyyy")),MATCH(TRIM($A75),PnL_Accounts,0))</f>
        <v>0</v>
      </c>
      <c r="J75" s="115">
        <f t="array" aca="1" ref="J75" ca="1">INDEX(INDIRECT("PnL_"&amp;TEXT(J$1,"mmm")&amp;"_"&amp;TEXT(J$1,"yyyy")),MATCH(TRIM($A75),PnL_Accounts,0))</f>
        <v>0</v>
      </c>
      <c r="K75" s="115">
        <f t="array" aca="1" ref="K75" ca="1">INDEX(INDIRECT("PnL_"&amp;TEXT(K$1,"mmm")&amp;"_"&amp;TEXT(K$1,"yyyy")),MATCH(TRIM($A75),PnL_Accounts,0))</f>
        <v>0</v>
      </c>
      <c r="L75" s="115">
        <f t="array" aca="1" ref="L75" ca="1">INDEX(INDIRECT("PnL_"&amp;TEXT(L$1,"mmm")&amp;"_"&amp;TEXT(L$1,"yyyy")),MATCH(TRIM($A75),PnL_Accounts,0))</f>
        <v>0</v>
      </c>
      <c r="M75" s="115">
        <f t="array" aca="1" ref="M75" ca="1">INDEX(INDIRECT("PnL_"&amp;TEXT(M$1,"mmm")&amp;"_"&amp;TEXT(M$1,"yyyy")),MATCH(TRIM($A75),PnL_Accounts,0))</f>
        <v>0</v>
      </c>
      <c r="N75" s="115">
        <f t="array" aca="1" ref="N75" ca="1">INDEX(INDIRECT("PnL_"&amp;TEXT(N$1,"mmm")&amp;"_"&amp;TEXT(N$1,"yyyy")),MATCH(TRIM($A75),PnL_Accounts,0))</f>
        <v>0</v>
      </c>
      <c r="O75" s="115">
        <f t="array" aca="1" ref="O75" ca="1">INDEX(INDIRECT("PnL_"&amp;TEXT(O$1,"mmm")&amp;"_"&amp;TEXT(O$1,"yyyy")),MATCH(TRIM($A75),PnL_Accounts,0))</f>
        <v>0</v>
      </c>
      <c r="P75" s="115">
        <f t="array" aca="1" ref="P75" ca="1">INDEX(INDIRECT("PnL_"&amp;TEXT(P$1,"mmm")&amp;"_"&amp;TEXT(P$1,"yyyy")),MATCH(TRIM($A75),PnL_Accounts,0))</f>
        <v>0</v>
      </c>
      <c r="Q75" s="115">
        <f t="array" aca="1" ref="Q75" ca="1">INDEX(INDIRECT("PnL_"&amp;TEXT(Q$1,"mmm")&amp;"_"&amp;TEXT(Q$1,"yyyy")),MATCH(TRIM($A75),PnL_Accounts,0))</f>
        <v>0</v>
      </c>
      <c r="R75" s="115">
        <f t="array" aca="1" ref="R75" ca="1">INDEX(INDIRECT("PnL_"&amp;TEXT(R$1,"mmm")&amp;"_"&amp;TEXT(R$1,"yyyy")),MATCH(TRIM($A75),PnL_Accounts,0))</f>
        <v>0</v>
      </c>
      <c r="S75" s="115">
        <f t="array" aca="1" ref="S75" ca="1">INDEX(INDIRECT("PnL_"&amp;TEXT(S$1,"mmm")&amp;"_"&amp;TEXT(S$1,"yyyy")),MATCH(TRIM($A75),PnL_Accounts,0))</f>
        <v>0</v>
      </c>
      <c r="T75" s="115">
        <f t="array" aca="1" ref="T75" ca="1">INDEX(INDIRECT("PnL_"&amp;TEXT(T$1,"mmm")&amp;"_"&amp;TEXT(T$1,"yyyy")),MATCH(TRIM($A75),PnL_Accounts,0))</f>
        <v>0</v>
      </c>
      <c r="U75" s="115">
        <f t="array" aca="1" ref="U75" ca="1">INDEX(INDIRECT("PnL_"&amp;TEXT(U$1,"mmm")&amp;"_"&amp;TEXT(U$1,"yyyy")),MATCH(TRIM($A75),PnL_Accounts,0))</f>
        <v>0</v>
      </c>
      <c r="V75" s="115">
        <f t="array" aca="1" ref="V75" ca="1">INDEX(INDIRECT("PnL_"&amp;TEXT(V$1,"mmm")&amp;"_"&amp;TEXT(V$1,"yyyy")),MATCH(TRIM($A75),PnL_Accounts,0))</f>
        <v>0</v>
      </c>
      <c r="W75" s="115">
        <f t="array" aca="1" ref="W75" ca="1">INDEX(INDIRECT("PnL_"&amp;TEXT(W$1,"mmm")&amp;"_"&amp;TEXT(W$1,"yyyy")),MATCH(TRIM($A75),PnL_Accounts,0))</f>
        <v>0</v>
      </c>
      <c r="X75" s="115">
        <f t="array" aca="1" ref="X75" ca="1">INDEX(INDIRECT("PnL_"&amp;TEXT(X$1,"mmm")&amp;"_"&amp;TEXT(X$1,"yyyy")),MATCH(TRIM($A75),PnL_Accounts,0))</f>
        <v>0</v>
      </c>
      <c r="Y75" s="115">
        <f t="array" aca="1" ref="Y75" ca="1">INDEX(INDIRECT("PnL_"&amp;TEXT(Y$1,"mmm")&amp;"_"&amp;TEXT(Y$1,"yyyy")),MATCH(TRIM($A75),PnL_Accounts,0))</f>
        <v>0</v>
      </c>
      <c r="Z75" s="115">
        <f t="array" aca="1" ref="Z75" ca="1">INDEX(INDIRECT("PnL_"&amp;TEXT(Z$1,"mmm")&amp;"_"&amp;TEXT(Z$1,"yyyy")),MATCH(TRIM($A75),PnL_Accounts,0))</f>
        <v>0</v>
      </c>
      <c r="AA75" s="115">
        <f t="array" aca="1" ref="AA75" ca="1">INDEX(INDIRECT("PnL_"&amp;TEXT(AA$1,"mmm")&amp;"_"&amp;TEXT(AA$1,"yyyy")),MATCH(TRIM($A75),PnL_Accounts,0))</f>
        <v>0</v>
      </c>
      <c r="AB75" s="115">
        <f t="array" aca="1" ref="AB75" ca="1">INDEX(INDIRECT("PnL_"&amp;TEXT(AB$1,"mmm")&amp;"_"&amp;TEXT(AB$1,"yyyy")),MATCH(TRIM($A75),PnL_Accounts,0))</f>
        <v>0</v>
      </c>
      <c r="AC75" s="115">
        <f t="array" aca="1" ref="AC75" ca="1">INDEX(INDIRECT("PnL_"&amp;TEXT(AC$1,"mmm")&amp;"_"&amp;TEXT(AC$1,"yyyy")),MATCH(TRIM($A75),PnL_Accounts,0))</f>
        <v>0</v>
      </c>
      <c r="AD75" s="115">
        <f t="array" aca="1" ref="AD75" ca="1">INDEX(INDIRECT("PnL_"&amp;TEXT(AD$1,"mmm")&amp;"_"&amp;TEXT(AD$1,"yyyy")),MATCH(TRIM($A75),PnL_Accounts,0))</f>
        <v>0</v>
      </c>
      <c r="AE75" s="115">
        <f t="array" aca="1" ref="AE75" ca="1">INDEX(INDIRECT("PnL_"&amp;TEXT(AE$1,"mmm")&amp;"_"&amp;TEXT(AE$1,"yyyy")),MATCH(TRIM($A75),PnL_Accounts,0))</f>
        <v>0</v>
      </c>
    </row>
    <row r="76" spans="1:75" ht="12.75" x14ac:dyDescent="0.2">
      <c r="A76" s="23" t="s">
        <v>328</v>
      </c>
      <c r="B76" s="221"/>
      <c r="D76" s="115">
        <f t="array" aca="1" ref="D76" ca="1">INDEX(INDIRECT("PnL_"&amp;TEXT(D$1,"mmm")&amp;"_"&amp;TEXT(D$1,"yyyy")),MATCH(TRIM($A76),PnL_Accounts,0))</f>
        <v>0</v>
      </c>
      <c r="E76" s="115">
        <f t="array" aca="1" ref="E76" ca="1">INDEX(INDIRECT("PnL_"&amp;TEXT(E$1,"mmm")&amp;"_"&amp;TEXT(E$1,"yyyy")),MATCH(TRIM($A76),PnL_Accounts,0))</f>
        <v>0</v>
      </c>
      <c r="F76" s="115">
        <f t="array" aca="1" ref="F76" ca="1">INDEX(INDIRECT("PnL_"&amp;TEXT(F$1,"mmm")&amp;"_"&amp;TEXT(F$1,"yyyy")),MATCH(TRIM($A76),PnL_Accounts,0))</f>
        <v>0</v>
      </c>
      <c r="G76" s="115">
        <f t="array" aca="1" ref="G76" ca="1">INDEX(INDIRECT("PnL_"&amp;TEXT(G$1,"mmm")&amp;"_"&amp;TEXT(G$1,"yyyy")),MATCH(TRIM($A76),PnL_Accounts,0))</f>
        <v>0</v>
      </c>
      <c r="H76" s="115">
        <f t="array" aca="1" ref="H76" ca="1">INDEX(INDIRECT("PnL_"&amp;TEXT(H$1,"mmm")&amp;"_"&amp;TEXT(H$1,"yyyy")),MATCH(TRIM($A76),PnL_Accounts,0))</f>
        <v>0</v>
      </c>
      <c r="I76" s="115">
        <f t="array" aca="1" ref="I76" ca="1">INDEX(INDIRECT("PnL_"&amp;TEXT(I$1,"mmm")&amp;"_"&amp;TEXT(I$1,"yyyy")),MATCH(TRIM($A76),PnL_Accounts,0))</f>
        <v>0</v>
      </c>
      <c r="J76" s="115">
        <f t="array" aca="1" ref="J76" ca="1">INDEX(INDIRECT("PnL_"&amp;TEXT(J$1,"mmm")&amp;"_"&amp;TEXT(J$1,"yyyy")),MATCH(TRIM($A76),PnL_Accounts,0))</f>
        <v>0</v>
      </c>
      <c r="K76" s="115">
        <f t="array" aca="1" ref="K76" ca="1">INDEX(INDIRECT("PnL_"&amp;TEXT(K$1,"mmm")&amp;"_"&amp;TEXT(K$1,"yyyy")),MATCH(TRIM($A76),PnL_Accounts,0))</f>
        <v>0</v>
      </c>
      <c r="L76" s="115">
        <f t="array" aca="1" ref="L76" ca="1">INDEX(INDIRECT("PnL_"&amp;TEXT(L$1,"mmm")&amp;"_"&amp;TEXT(L$1,"yyyy")),MATCH(TRIM($A76),PnL_Accounts,0))</f>
        <v>0</v>
      </c>
      <c r="M76" s="115">
        <f t="array" aca="1" ref="M76" ca="1">INDEX(INDIRECT("PnL_"&amp;TEXT(M$1,"mmm")&amp;"_"&amp;TEXT(M$1,"yyyy")),MATCH(TRIM($A76),PnL_Accounts,0))</f>
        <v>0</v>
      </c>
      <c r="N76" s="115">
        <f t="array" aca="1" ref="N76" ca="1">INDEX(INDIRECT("PnL_"&amp;TEXT(N$1,"mmm")&amp;"_"&amp;TEXT(N$1,"yyyy")),MATCH(TRIM($A76),PnL_Accounts,0))</f>
        <v>0</v>
      </c>
      <c r="O76" s="115">
        <f t="array" aca="1" ref="O76" ca="1">INDEX(INDIRECT("PnL_"&amp;TEXT(O$1,"mmm")&amp;"_"&amp;TEXT(O$1,"yyyy")),MATCH(TRIM($A76),PnL_Accounts,0))</f>
        <v>0</v>
      </c>
      <c r="P76" s="115">
        <f t="array" aca="1" ref="P76" ca="1">INDEX(INDIRECT("PnL_"&amp;TEXT(P$1,"mmm")&amp;"_"&amp;TEXT(P$1,"yyyy")),MATCH(TRIM($A76),PnL_Accounts,0))</f>
        <v>0</v>
      </c>
      <c r="Q76" s="115">
        <f t="array" aca="1" ref="Q76" ca="1">INDEX(INDIRECT("PnL_"&amp;TEXT(Q$1,"mmm")&amp;"_"&amp;TEXT(Q$1,"yyyy")),MATCH(TRIM($A76),PnL_Accounts,0))</f>
        <v>0</v>
      </c>
      <c r="R76" s="115">
        <f t="array" aca="1" ref="R76" ca="1">INDEX(INDIRECT("PnL_"&amp;TEXT(R$1,"mmm")&amp;"_"&amp;TEXT(R$1,"yyyy")),MATCH(TRIM($A76),PnL_Accounts,0))</f>
        <v>0</v>
      </c>
      <c r="S76" s="115">
        <f t="array" aca="1" ref="S76" ca="1">INDEX(INDIRECT("PnL_"&amp;TEXT(S$1,"mmm")&amp;"_"&amp;TEXT(S$1,"yyyy")),MATCH(TRIM($A76),PnL_Accounts,0))</f>
        <v>0</v>
      </c>
      <c r="T76" s="115">
        <f t="array" aca="1" ref="T76" ca="1">INDEX(INDIRECT("PnL_"&amp;TEXT(T$1,"mmm")&amp;"_"&amp;TEXT(T$1,"yyyy")),MATCH(TRIM($A76),PnL_Accounts,0))</f>
        <v>0</v>
      </c>
      <c r="U76" s="115">
        <f t="array" aca="1" ref="U76" ca="1">INDEX(INDIRECT("PnL_"&amp;TEXT(U$1,"mmm")&amp;"_"&amp;TEXT(U$1,"yyyy")),MATCH(TRIM($A76),PnL_Accounts,0))</f>
        <v>0</v>
      </c>
      <c r="V76" s="115">
        <f t="array" aca="1" ref="V76" ca="1">INDEX(INDIRECT("PnL_"&amp;TEXT(V$1,"mmm")&amp;"_"&amp;TEXT(V$1,"yyyy")),MATCH(TRIM($A76),PnL_Accounts,0))</f>
        <v>0</v>
      </c>
      <c r="W76" s="115">
        <f t="array" aca="1" ref="W76" ca="1">INDEX(INDIRECT("PnL_"&amp;TEXT(W$1,"mmm")&amp;"_"&amp;TEXT(W$1,"yyyy")),MATCH(TRIM($A76),PnL_Accounts,0))</f>
        <v>0</v>
      </c>
      <c r="X76" s="115">
        <f t="array" aca="1" ref="X76" ca="1">INDEX(INDIRECT("PnL_"&amp;TEXT(X$1,"mmm")&amp;"_"&amp;TEXT(X$1,"yyyy")),MATCH(TRIM($A76),PnL_Accounts,0))</f>
        <v>0</v>
      </c>
      <c r="Y76" s="115">
        <f t="array" aca="1" ref="Y76" ca="1">INDEX(INDIRECT("PnL_"&amp;TEXT(Y$1,"mmm")&amp;"_"&amp;TEXT(Y$1,"yyyy")),MATCH(TRIM($A76),PnL_Accounts,0))</f>
        <v>0</v>
      </c>
      <c r="Z76" s="115">
        <f t="array" aca="1" ref="Z76" ca="1">INDEX(INDIRECT("PnL_"&amp;TEXT(Z$1,"mmm")&amp;"_"&amp;TEXT(Z$1,"yyyy")),MATCH(TRIM($A76),PnL_Accounts,0))</f>
        <v>0</v>
      </c>
      <c r="AA76" s="115">
        <f t="array" aca="1" ref="AA76" ca="1">INDEX(INDIRECT("PnL_"&amp;TEXT(AA$1,"mmm")&amp;"_"&amp;TEXT(AA$1,"yyyy")),MATCH(TRIM($A76),PnL_Accounts,0))</f>
        <v>0</v>
      </c>
      <c r="AB76" s="115">
        <f t="array" aca="1" ref="AB76" ca="1">INDEX(INDIRECT("PnL_"&amp;TEXT(AB$1,"mmm")&amp;"_"&amp;TEXT(AB$1,"yyyy")),MATCH(TRIM($A76),PnL_Accounts,0))</f>
        <v>0</v>
      </c>
      <c r="AC76" s="115">
        <f t="array" aca="1" ref="AC76" ca="1">INDEX(INDIRECT("PnL_"&amp;TEXT(AC$1,"mmm")&amp;"_"&amp;TEXT(AC$1,"yyyy")),MATCH(TRIM($A76),PnL_Accounts,0))</f>
        <v>0</v>
      </c>
      <c r="AD76" s="115">
        <f t="array" aca="1" ref="AD76" ca="1">INDEX(INDIRECT("PnL_"&amp;TEXT(AD$1,"mmm")&amp;"_"&amp;TEXT(AD$1,"yyyy")),MATCH(TRIM($A76),PnL_Accounts,0))</f>
        <v>0</v>
      </c>
      <c r="AE76" s="115">
        <f t="array" aca="1" ref="AE76" ca="1">INDEX(INDIRECT("PnL_"&amp;TEXT(AE$1,"mmm")&amp;"_"&amp;TEXT(AE$1,"yyyy")),MATCH(TRIM($A76),PnL_Accounts,0))</f>
        <v>0</v>
      </c>
    </row>
    <row r="77" spans="1:75" ht="12.75" x14ac:dyDescent="0.2">
      <c r="A77" s="23" t="s">
        <v>329</v>
      </c>
      <c r="B77" s="224">
        <f ca="1">AVERAGEIFS(77:77,$1:$1,"&gt;="&amp;DATE(YEAR(Current_Month),MONTH(Current_Month)-2,DAY(Current_Month)),$1:$1,"&lt;="&amp;EOMONTH(Current_Month,0))</f>
        <v>1576</v>
      </c>
      <c r="D77" s="115">
        <f t="array" aca="1" ref="D77" ca="1">INDEX(INDIRECT("PnL_"&amp;TEXT(D$1,"mmm")&amp;"_"&amp;TEXT(D$1,"yyyy")),MATCH(TRIM($A77),PnL_Accounts,0))</f>
        <v>394</v>
      </c>
      <c r="E77" s="115">
        <f t="array" aca="1" ref="E77" ca="1">INDEX(INDIRECT("PnL_"&amp;TEXT(E$1,"mmm")&amp;"_"&amp;TEXT(E$1,"yyyy")),MATCH(TRIM($A77),PnL_Accounts,0))</f>
        <v>394</v>
      </c>
      <c r="F77" s="115">
        <f t="array" aca="1" ref="F77" ca="1">INDEX(INDIRECT("PnL_"&amp;TEXT(F$1,"mmm")&amp;"_"&amp;TEXT(F$1,"yyyy")),MATCH(TRIM($A77),PnL_Accounts,0))</f>
        <v>591</v>
      </c>
      <c r="G77" s="115">
        <f t="array" aca="1" ref="G77" ca="1">INDEX(INDIRECT("PnL_"&amp;TEXT(G$1,"mmm")&amp;"_"&amp;TEXT(G$1,"yyyy")),MATCH(TRIM($A77),PnL_Accounts,0))</f>
        <v>591</v>
      </c>
      <c r="H77" s="115">
        <f t="array" aca="1" ref="H77" ca="1">INDEX(INDIRECT("PnL_"&amp;TEXT(H$1,"mmm")&amp;"_"&amp;TEXT(H$1,"yyyy")),MATCH(TRIM($A77),PnL_Accounts,0))</f>
        <v>591</v>
      </c>
      <c r="I77" s="115">
        <f t="array" aca="1" ref="I77" ca="1">INDEX(INDIRECT("PnL_"&amp;TEXT(I$1,"mmm")&amp;"_"&amp;TEXT(I$1,"yyyy")),MATCH(TRIM($A77),PnL_Accounts,0))</f>
        <v>788</v>
      </c>
      <c r="J77" s="115">
        <f t="array" aca="1" ref="J77" ca="1">INDEX(INDIRECT("PnL_"&amp;TEXT(J$1,"mmm")&amp;"_"&amp;TEXT(J$1,"yyyy")),MATCH(TRIM($A77),PnL_Accounts,0))</f>
        <v>985</v>
      </c>
      <c r="K77" s="115">
        <f t="array" aca="1" ref="K77" ca="1">INDEX(INDIRECT("PnL_"&amp;TEXT(K$1,"mmm")&amp;"_"&amp;TEXT(K$1,"yyyy")),MATCH(TRIM($A77),PnL_Accounts,0))</f>
        <v>985</v>
      </c>
      <c r="L77" s="115">
        <f t="array" aca="1" ref="L77" ca="1">INDEX(INDIRECT("PnL_"&amp;TEXT(L$1,"mmm")&amp;"_"&amp;TEXT(L$1,"yyyy")),MATCH(TRIM($A77),PnL_Accounts,0))</f>
        <v>985</v>
      </c>
      <c r="M77" s="115">
        <f t="array" aca="1" ref="M77" ca="1">INDEX(INDIRECT("PnL_"&amp;TEXT(M$1,"mmm")&amp;"_"&amp;TEXT(M$1,"yyyy")),MATCH(TRIM($A77),PnL_Accounts,0))</f>
        <v>1182</v>
      </c>
      <c r="N77" s="115">
        <f t="array" aca="1" ref="N77" ca="1">INDEX(INDIRECT("PnL_"&amp;TEXT(N$1,"mmm")&amp;"_"&amp;TEXT(N$1,"yyyy")),MATCH(TRIM($A77),PnL_Accounts,0))</f>
        <v>1182</v>
      </c>
      <c r="O77" s="115">
        <f t="array" aca="1" ref="O77" ca="1">INDEX(INDIRECT("PnL_"&amp;TEXT(O$1,"mmm")&amp;"_"&amp;TEXT(O$1,"yyyy")),MATCH(TRIM($A77),PnL_Accounts,0))</f>
        <v>1379</v>
      </c>
      <c r="P77" s="115">
        <f t="array" aca="1" ref="P77" ca="1">INDEX(INDIRECT("PnL_"&amp;TEXT(P$1,"mmm")&amp;"_"&amp;TEXT(P$1,"yyyy")),MATCH(TRIM($A77),PnL_Accounts,0))</f>
        <v>1379</v>
      </c>
      <c r="Q77" s="115">
        <f t="array" aca="1" ref="Q77" ca="1">INDEX(INDIRECT("PnL_"&amp;TEXT(Q$1,"mmm")&amp;"_"&amp;TEXT(Q$1,"yyyy")),MATCH(TRIM($A77),PnL_Accounts,0))</f>
        <v>1576</v>
      </c>
      <c r="R77" s="115">
        <f t="array" aca="1" ref="R77" ca="1">INDEX(INDIRECT("PnL_"&amp;TEXT(R$1,"mmm")&amp;"_"&amp;TEXT(R$1,"yyyy")),MATCH(TRIM($A77),PnL_Accounts,0))</f>
        <v>1576</v>
      </c>
      <c r="S77" s="115">
        <f t="array" aca="1" ref="S77" ca="1">INDEX(INDIRECT("PnL_"&amp;TEXT(S$1,"mmm")&amp;"_"&amp;TEXT(S$1,"yyyy")),MATCH(TRIM($A77),PnL_Accounts,0))</f>
        <v>1576</v>
      </c>
      <c r="T77" s="115">
        <f t="array" aca="1" ref="T77" ca="1">INDEX(INDIRECT("PnL_"&amp;TEXT(T$1,"mmm")&amp;"_"&amp;TEXT(T$1,"yyyy")),MATCH(TRIM($A77),PnL_Accounts,0))</f>
        <v>1576</v>
      </c>
      <c r="U77" s="115">
        <f t="array" aca="1" ref="U77" ca="1">INDEX(INDIRECT("PnL_"&amp;TEXT(U$1,"mmm")&amp;"_"&amp;TEXT(U$1,"yyyy")),MATCH(TRIM($A77),PnL_Accounts,0))</f>
        <v>1576</v>
      </c>
      <c r="V77" s="115">
        <f t="array" aca="1" ref="V77" ca="1">INDEX(INDIRECT("PnL_"&amp;TEXT(V$1,"mmm")&amp;"_"&amp;TEXT(V$1,"yyyy")),MATCH(TRIM($A77),PnL_Accounts,0))</f>
        <v>1576</v>
      </c>
      <c r="W77" s="115">
        <f t="array" aca="1" ref="W77" ca="1">INDEX(INDIRECT("PnL_"&amp;TEXT(W$1,"mmm")&amp;"_"&amp;TEXT(W$1,"yyyy")),MATCH(TRIM($A77),PnL_Accounts,0))</f>
        <v>1576</v>
      </c>
      <c r="X77" s="115">
        <f t="array" aca="1" ref="X77" ca="1">INDEX(INDIRECT("PnL_"&amp;TEXT(X$1,"mmm")&amp;"_"&amp;TEXT(X$1,"yyyy")),MATCH(TRIM($A77),PnL_Accounts,0))</f>
        <v>1576</v>
      </c>
      <c r="Y77" s="115">
        <f t="array" aca="1" ref="Y77" ca="1">INDEX(INDIRECT("PnL_"&amp;TEXT(Y$1,"mmm")&amp;"_"&amp;TEXT(Y$1,"yyyy")),MATCH(TRIM($A77),PnL_Accounts,0))</f>
        <v>1576</v>
      </c>
      <c r="Z77" s="115">
        <f t="array" aca="1" ref="Z77" ca="1">INDEX(INDIRECT("PnL_"&amp;TEXT(Z$1,"mmm")&amp;"_"&amp;TEXT(Z$1,"yyyy")),MATCH(TRIM($A77),PnL_Accounts,0))</f>
        <v>1576</v>
      </c>
      <c r="AA77" s="115">
        <f t="array" aca="1" ref="AA77" ca="1">INDEX(INDIRECT("PnL_"&amp;TEXT(AA$1,"mmm")&amp;"_"&amp;TEXT(AA$1,"yyyy")),MATCH(TRIM($A77),PnL_Accounts,0))</f>
        <v>1576</v>
      </c>
      <c r="AB77" s="115">
        <f t="array" aca="1" ref="AB77" ca="1">INDEX(INDIRECT("PnL_"&amp;TEXT(AB$1,"mmm")&amp;"_"&amp;TEXT(AB$1,"yyyy")),MATCH(TRIM($A77),PnL_Accounts,0))</f>
        <v>1576</v>
      </c>
      <c r="AC77" s="115">
        <f t="array" aca="1" ref="AC77" ca="1">INDEX(INDIRECT("PnL_"&amp;TEXT(AC$1,"mmm")&amp;"_"&amp;TEXT(AC$1,"yyyy")),MATCH(TRIM($A77),PnL_Accounts,0))</f>
        <v>1576</v>
      </c>
      <c r="AD77" s="115">
        <f t="array" aca="1" ref="AD77" ca="1">INDEX(INDIRECT("PnL_"&amp;TEXT(AD$1,"mmm")&amp;"_"&amp;TEXT(AD$1,"yyyy")),MATCH(TRIM($A77),PnL_Accounts,0))</f>
        <v>1576</v>
      </c>
      <c r="AE77" s="115">
        <f t="array" aca="1" ref="AE77" ca="1">INDEX(INDIRECT("PnL_"&amp;TEXT(AE$1,"mmm")&amp;"_"&amp;TEXT(AE$1,"yyyy")),MATCH(TRIM($A77),PnL_Accounts,0))</f>
        <v>1576</v>
      </c>
      <c r="AF77" s="25">
        <f t="array" ref="AF77">INDEX(Hiring_Plan_Benefits_Sales_Worst_Case,MATCH(AF$1,Hiring_Plan_Months_Worst_Case,0))</f>
        <v>1891.6666666666667</v>
      </c>
      <c r="AG77" s="25">
        <f t="array" ref="AG77">INDEX(Hiring_Plan_Benefits_Sales_Worst_Case,MATCH(AG$1,Hiring_Plan_Months_Worst_Case,0))</f>
        <v>1891.6666666666667</v>
      </c>
      <c r="AH77" s="25">
        <f t="array" ref="AH77">INDEX(Hiring_Plan_Benefits_Sales_Worst_Case,MATCH(AH$1,Hiring_Plan_Months_Worst_Case,0))</f>
        <v>1891.6666666666667</v>
      </c>
      <c r="AI77" s="25">
        <f t="array" ref="AI77">INDEX(Hiring_Plan_Benefits_Sales_Worst_Case,MATCH(AI$1,Hiring_Plan_Months_Worst_Case,0))</f>
        <v>1891.6666666666667</v>
      </c>
      <c r="AJ77" s="25">
        <f t="array" ref="AJ77">INDEX(Hiring_Plan_Benefits_Sales_Worst_Case,MATCH(AJ$1,Hiring_Plan_Months_Worst_Case,0))</f>
        <v>1891.6666666666667</v>
      </c>
      <c r="AK77" s="25">
        <f t="array" ref="AK77">INDEX(Hiring_Plan_Benefits_Sales_Worst_Case,MATCH(AK$1,Hiring_Plan_Months_Worst_Case,0))</f>
        <v>1891.6666666666667</v>
      </c>
      <c r="AL77" s="25">
        <f t="array" ref="AL77">INDEX(Hiring_Plan_Benefits_Sales_Worst_Case,MATCH(AL$1,Hiring_Plan_Months_Worst_Case,0))</f>
        <v>1891.6666666666667</v>
      </c>
      <c r="AM77" s="25">
        <f t="array" ref="AM77">INDEX(Hiring_Plan_Benefits_Sales_Worst_Case,MATCH(AM$1,Hiring_Plan_Months_Worst_Case,0))</f>
        <v>1891.6666666666667</v>
      </c>
      <c r="AN77" s="25">
        <f t="array" ref="AN77">INDEX(Hiring_Plan_Benefits_Sales_Worst_Case,MATCH(AN$1,Hiring_Plan_Months_Worst_Case,0))</f>
        <v>1891.6666666666667</v>
      </c>
      <c r="AO77" s="25">
        <f t="array" ref="AO77">INDEX(Hiring_Plan_Benefits_Sales_Worst_Case,MATCH(AO$1,Hiring_Plan_Months_Worst_Case,0))</f>
        <v>1891.6666666666667</v>
      </c>
      <c r="AP77" s="25">
        <f t="array" ref="AP77">INDEX(Hiring_Plan_Benefits_Sales_Worst_Case,MATCH(AP$1,Hiring_Plan_Months_Worst_Case,0))</f>
        <v>1891.6666666666667</v>
      </c>
      <c r="AQ77" s="25">
        <f t="array" ref="AQ77">INDEX(Hiring_Plan_Benefits_Sales_Worst_Case,MATCH(AQ$1,Hiring_Plan_Months_Worst_Case,0))</f>
        <v>1891.6666666666667</v>
      </c>
      <c r="AR77" s="25">
        <f t="array" ref="AR77">INDEX(Hiring_Plan_Benefits_Sales_Worst_Case,MATCH(AR$1,Hiring_Plan_Months_Worst_Case,0))</f>
        <v>1891.6666666666667</v>
      </c>
      <c r="AS77" s="25">
        <f t="array" ref="AS77">INDEX(Hiring_Plan_Benefits_Sales_Worst_Case,MATCH(AS$1,Hiring_Plan_Months_Worst_Case,0))</f>
        <v>1891.6666666666667</v>
      </c>
      <c r="AT77" s="25">
        <f t="array" ref="AT77">INDEX(Hiring_Plan_Benefits_Sales_Worst_Case,MATCH(AT$1,Hiring_Plan_Months_Worst_Case,0))</f>
        <v>1891.6666666666667</v>
      </c>
      <c r="AU77" s="25">
        <f t="array" ref="AU77">INDEX(Hiring_Plan_Benefits_Sales_Worst_Case,MATCH(AU$1,Hiring_Plan_Months_Worst_Case,0))</f>
        <v>1891.6666666666667</v>
      </c>
      <c r="AV77" s="25">
        <f t="array" ref="AV77">INDEX(Hiring_Plan_Benefits_Sales_Worst_Case,MATCH(AV$1,Hiring_Plan_Months_Worst_Case,0))</f>
        <v>1891.6666666666667</v>
      </c>
      <c r="AW77" s="25">
        <f t="array" ref="AW77">INDEX(Hiring_Plan_Benefits_Sales_Worst_Case,MATCH(AW$1,Hiring_Plan_Months_Worst_Case,0))</f>
        <v>1891.6666666666667</v>
      </c>
      <c r="AX77" s="25">
        <f t="array" ref="AX77">INDEX(Hiring_Plan_Benefits_Sales_Worst_Case,MATCH(AX$1,Hiring_Plan_Months_Worst_Case,0))</f>
        <v>1891.6666666666667</v>
      </c>
      <c r="AY77" s="25">
        <f t="array" ref="AY77">INDEX(Hiring_Plan_Benefits_Sales_Worst_Case,MATCH(AY$1,Hiring_Plan_Months_Worst_Case,0))</f>
        <v>1891.6666666666667</v>
      </c>
      <c r="AZ77" s="25">
        <f t="array" ref="AZ77">INDEX(Hiring_Plan_Benefits_Sales_Worst_Case,MATCH(AZ$1,Hiring_Plan_Months_Worst_Case,0))</f>
        <v>1891.6666666666667</v>
      </c>
      <c r="BA77" s="25">
        <f t="array" ref="BA77">INDEX(Hiring_Plan_Benefits_Sales_Worst_Case,MATCH(BA$1,Hiring_Plan_Months_Worst_Case,0))</f>
        <v>1891.6666666666667</v>
      </c>
      <c r="BB77" s="25">
        <f t="array" ref="BB77">INDEX(Hiring_Plan_Benefits_Sales_Worst_Case,MATCH(BB$1,Hiring_Plan_Months_Worst_Case,0))</f>
        <v>1891.6666666666667</v>
      </c>
      <c r="BC77" s="25">
        <f t="array" ref="BC77">INDEX(Hiring_Plan_Benefits_Sales_Worst_Case,MATCH(BC$1,Hiring_Plan_Months_Worst_Case,0))</f>
        <v>1891.6666666666667</v>
      </c>
      <c r="BD77" s="25">
        <f t="array" ref="BD77">INDEX(Hiring_Plan_Benefits_Sales_Worst_Case,MATCH(BD$1,Hiring_Plan_Months_Worst_Case,0))</f>
        <v>1891.6666666666667</v>
      </c>
      <c r="BE77" s="25">
        <f t="array" ref="BE77">INDEX(Hiring_Plan_Benefits_Sales_Worst_Case,MATCH(BE$1,Hiring_Plan_Months_Worst_Case,0))</f>
        <v>1891.6666666666667</v>
      </c>
      <c r="BF77" s="25">
        <f t="array" ref="BF77">INDEX(Hiring_Plan_Benefits_Sales_Worst_Case,MATCH(BF$1,Hiring_Plan_Months_Worst_Case,0))</f>
        <v>1891.6666666666667</v>
      </c>
      <c r="BG77" s="25">
        <f t="array" ref="BG77">INDEX(Hiring_Plan_Benefits_Sales_Worst_Case,MATCH(BG$1,Hiring_Plan_Months_Worst_Case,0))</f>
        <v>1891.6666666666667</v>
      </c>
      <c r="BH77" s="25">
        <f t="array" ref="BH77">INDEX(Hiring_Plan_Benefits_Sales_Worst_Case,MATCH(BH$1,Hiring_Plan_Months_Worst_Case,0))</f>
        <v>1891.6666666666667</v>
      </c>
      <c r="BI77" s="25">
        <f t="array" ref="BI77">INDEX(Hiring_Plan_Benefits_Sales_Worst_Case,MATCH(BI$1,Hiring_Plan_Months_Worst_Case,0))</f>
        <v>1891.6666666666667</v>
      </c>
      <c r="BJ77" s="25">
        <f t="array" ref="BJ77">INDEX(Hiring_Plan_Benefits_Sales_Worst_Case,MATCH(BJ$1,Hiring_Plan_Months_Worst_Case,0))</f>
        <v>1891.6666666666667</v>
      </c>
      <c r="BK77" s="25">
        <f t="array" ref="BK77">INDEX(Hiring_Plan_Benefits_Sales_Worst_Case,MATCH(BK$1,Hiring_Plan_Months_Worst_Case,0))</f>
        <v>1891.6666666666667</v>
      </c>
      <c r="BL77" s="25">
        <f t="array" ref="BL77">INDEX(Hiring_Plan_Benefits_Sales_Worst_Case,MATCH(BL$1,Hiring_Plan_Months_Worst_Case,0))</f>
        <v>1891.6666666666667</v>
      </c>
      <c r="BM77" s="25">
        <f t="array" ref="BM77">INDEX(Hiring_Plan_Benefits_Sales_Worst_Case,MATCH(BM$1,Hiring_Plan_Months_Worst_Case,0))</f>
        <v>1891.6666666666667</v>
      </c>
      <c r="BN77" s="25">
        <f t="array" ref="BN77">INDEX(Hiring_Plan_Benefits_Sales_Worst_Case,MATCH(BN$1,Hiring_Plan_Months_Worst_Case,0))</f>
        <v>1891.6666666666667</v>
      </c>
      <c r="BO77" s="25">
        <f t="array" ref="BO77">INDEX(Hiring_Plan_Benefits_Sales_Worst_Case,MATCH(BO$1,Hiring_Plan_Months_Worst_Case,0))</f>
        <v>1891.6666666666667</v>
      </c>
      <c r="BP77" s="25">
        <f t="array" ref="BP77">INDEX(Hiring_Plan_Benefits_Sales_Worst_Case,MATCH(BP$1,Hiring_Plan_Months_Worst_Case,0))</f>
        <v>1891.6666666666667</v>
      </c>
      <c r="BQ77" s="25">
        <f t="array" ref="BQ77">INDEX(Hiring_Plan_Benefits_Sales_Worst_Case,MATCH(BQ$1,Hiring_Plan_Months_Worst_Case,0))</f>
        <v>1891.6666666666667</v>
      </c>
      <c r="BR77" s="25">
        <f t="array" ref="BR77">INDEX(Hiring_Plan_Benefits_Sales_Worst_Case,MATCH(BR$1,Hiring_Plan_Months_Worst_Case,0))</f>
        <v>1891.6666666666667</v>
      </c>
      <c r="BS77" s="25">
        <f t="array" ref="BS77">INDEX(Hiring_Plan_Benefits_Sales_Worst_Case,MATCH(BS$1,Hiring_Plan_Months_Worst_Case,0))</f>
        <v>1891.6666666666667</v>
      </c>
      <c r="BT77" s="25">
        <f t="array" ref="BT77">INDEX(Hiring_Plan_Benefits_Sales_Worst_Case,MATCH(BT$1,Hiring_Plan_Months_Worst_Case,0))</f>
        <v>1891.6666666666667</v>
      </c>
      <c r="BU77" s="25">
        <f t="array" ref="BU77">INDEX(Hiring_Plan_Benefits_Sales_Worst_Case,MATCH(BU$1,Hiring_Plan_Months_Worst_Case,0))</f>
        <v>1891.6666666666667</v>
      </c>
      <c r="BV77" s="25">
        <f t="array" ref="BV77">INDEX(Hiring_Plan_Benefits_Sales_Worst_Case,MATCH(BV$1,Hiring_Plan_Months_Worst_Case,0))</f>
        <v>1891.6666666666667</v>
      </c>
      <c r="BW77" s="25">
        <f t="array" ref="BW77">INDEX(Hiring_Plan_Benefits_Sales_Worst_Case,MATCH(BW$1,Hiring_Plan_Months_Worst_Case,0))</f>
        <v>1891.6666666666667</v>
      </c>
    </row>
    <row r="78" spans="1:75" ht="12.75" x14ac:dyDescent="0.2">
      <c r="A78" s="23" t="s">
        <v>333</v>
      </c>
      <c r="B78" s="224">
        <f ca="1">AVERAGEIFS(78:78,$1:$1,"&gt;="&amp;DATE(YEAR(Current_Month),MONTH(Current_Month)-2,DAY(Current_Month)),$1:$1,"&lt;="&amp;EOMONTH(Current_Month,0))</f>
        <v>3645</v>
      </c>
      <c r="D78" s="115">
        <f t="array" aca="1" ref="D78" ca="1">INDEX(INDIRECT("PnL_"&amp;TEXT(D$1,"mmm")&amp;"_"&amp;TEXT(D$1,"yyyy")),MATCH(TRIM($A78),PnL_Accounts,0))</f>
        <v>900</v>
      </c>
      <c r="E78" s="115">
        <f t="array" aca="1" ref="E78" ca="1">INDEX(INDIRECT("PnL_"&amp;TEXT(E$1,"mmm")&amp;"_"&amp;TEXT(E$1,"yyyy")),MATCH(TRIM($A78),PnL_Accounts,0))</f>
        <v>900</v>
      </c>
      <c r="F78" s="115">
        <f t="array" aca="1" ref="F78" ca="1">INDEX(INDIRECT("PnL_"&amp;TEXT(F$1,"mmm")&amp;"_"&amp;TEXT(F$1,"yyyy")),MATCH(TRIM($A78),PnL_Accounts,0))</f>
        <v>1350</v>
      </c>
      <c r="G78" s="115">
        <f t="array" aca="1" ref="G78" ca="1">INDEX(INDIRECT("PnL_"&amp;TEXT(G$1,"mmm")&amp;"_"&amp;TEXT(G$1,"yyyy")),MATCH(TRIM($A78),PnL_Accounts,0))</f>
        <v>1350</v>
      </c>
      <c r="H78" s="115">
        <f t="array" aca="1" ref="H78" ca="1">INDEX(INDIRECT("PnL_"&amp;TEXT(H$1,"mmm")&amp;"_"&amp;TEXT(H$1,"yyyy")),MATCH(TRIM($A78),PnL_Accounts,0))</f>
        <v>1350</v>
      </c>
      <c r="I78" s="115">
        <f t="array" aca="1" ref="I78" ca="1">INDEX(INDIRECT("PnL_"&amp;TEXT(I$1,"mmm")&amp;"_"&amp;TEXT(I$1,"yyyy")),MATCH(TRIM($A78),PnL_Accounts,0))</f>
        <v>1800</v>
      </c>
      <c r="J78" s="115">
        <f t="array" aca="1" ref="J78" ca="1">INDEX(INDIRECT("PnL_"&amp;TEXT(J$1,"mmm")&amp;"_"&amp;TEXT(J$1,"yyyy")),MATCH(TRIM($A78),PnL_Accounts,0))</f>
        <v>2205</v>
      </c>
      <c r="K78" s="115">
        <f t="array" aca="1" ref="K78" ca="1">INDEX(INDIRECT("PnL_"&amp;TEXT(K$1,"mmm")&amp;"_"&amp;TEXT(K$1,"yyyy")),MATCH(TRIM($A78),PnL_Accounts,0))</f>
        <v>2205</v>
      </c>
      <c r="L78" s="115">
        <f t="array" aca="1" ref="L78" ca="1">INDEX(INDIRECT("PnL_"&amp;TEXT(L$1,"mmm")&amp;"_"&amp;TEXT(L$1,"yyyy")),MATCH(TRIM($A78),PnL_Accounts,0))</f>
        <v>2205</v>
      </c>
      <c r="M78" s="115">
        <f t="array" aca="1" ref="M78" ca="1">INDEX(INDIRECT("PnL_"&amp;TEXT(M$1,"mmm")&amp;"_"&amp;TEXT(M$1,"yyyy")),MATCH(TRIM($A78),PnL_Accounts,0))</f>
        <v>2700</v>
      </c>
      <c r="N78" s="115">
        <f t="array" aca="1" ref="N78" ca="1">INDEX(INDIRECT("PnL_"&amp;TEXT(N$1,"mmm")&amp;"_"&amp;TEXT(N$1,"yyyy")),MATCH(TRIM($A78),PnL_Accounts,0))</f>
        <v>2700</v>
      </c>
      <c r="O78" s="115">
        <f t="array" aca="1" ref="O78" ca="1">INDEX(INDIRECT("PnL_"&amp;TEXT(O$1,"mmm")&amp;"_"&amp;TEXT(O$1,"yyyy")),MATCH(TRIM($A78),PnL_Accounts,0))</f>
        <v>3150</v>
      </c>
      <c r="P78" s="115">
        <f t="array" aca="1" ref="P78" ca="1">INDEX(INDIRECT("PnL_"&amp;TEXT(P$1,"mmm")&amp;"_"&amp;TEXT(P$1,"yyyy")),MATCH(TRIM($A78),PnL_Accounts,0))</f>
        <v>3150</v>
      </c>
      <c r="Q78" s="115">
        <f t="array" aca="1" ref="Q78" ca="1">INDEX(INDIRECT("PnL_"&amp;TEXT(Q$1,"mmm")&amp;"_"&amp;TEXT(Q$1,"yyyy")),MATCH(TRIM($A78),PnL_Accounts,0))</f>
        <v>3645</v>
      </c>
      <c r="R78" s="115">
        <f t="array" aca="1" ref="R78" ca="1">INDEX(INDIRECT("PnL_"&amp;TEXT(R$1,"mmm")&amp;"_"&amp;TEXT(R$1,"yyyy")),MATCH(TRIM($A78),PnL_Accounts,0))</f>
        <v>3645</v>
      </c>
      <c r="S78" s="115">
        <f t="array" aca="1" ref="S78" ca="1">INDEX(INDIRECT("PnL_"&amp;TEXT(S$1,"mmm")&amp;"_"&amp;TEXT(S$1,"yyyy")),MATCH(TRIM($A78),PnL_Accounts,0))</f>
        <v>3645</v>
      </c>
      <c r="T78" s="115">
        <f t="array" aca="1" ref="T78" ca="1">INDEX(INDIRECT("PnL_"&amp;TEXT(T$1,"mmm")&amp;"_"&amp;TEXT(T$1,"yyyy")),MATCH(TRIM($A78),PnL_Accounts,0))</f>
        <v>3645</v>
      </c>
      <c r="U78" s="115">
        <f t="array" aca="1" ref="U78" ca="1">INDEX(INDIRECT("PnL_"&amp;TEXT(U$1,"mmm")&amp;"_"&amp;TEXT(U$1,"yyyy")),MATCH(TRIM($A78),PnL_Accounts,0))</f>
        <v>3645</v>
      </c>
      <c r="V78" s="115">
        <f t="array" aca="1" ref="V78" ca="1">INDEX(INDIRECT("PnL_"&amp;TEXT(V$1,"mmm")&amp;"_"&amp;TEXT(V$1,"yyyy")),MATCH(TRIM($A78),PnL_Accounts,0))</f>
        <v>3645</v>
      </c>
      <c r="W78" s="115">
        <f t="array" aca="1" ref="W78" ca="1">INDEX(INDIRECT("PnL_"&amp;TEXT(W$1,"mmm")&amp;"_"&amp;TEXT(W$1,"yyyy")),MATCH(TRIM($A78),PnL_Accounts,0))</f>
        <v>3645</v>
      </c>
      <c r="X78" s="115">
        <f t="array" aca="1" ref="X78" ca="1">INDEX(INDIRECT("PnL_"&amp;TEXT(X$1,"mmm")&amp;"_"&amp;TEXT(X$1,"yyyy")),MATCH(TRIM($A78),PnL_Accounts,0))</f>
        <v>3645</v>
      </c>
      <c r="Y78" s="115">
        <f t="array" aca="1" ref="Y78" ca="1">INDEX(INDIRECT("PnL_"&amp;TEXT(Y$1,"mmm")&amp;"_"&amp;TEXT(Y$1,"yyyy")),MATCH(TRIM($A78),PnL_Accounts,0))</f>
        <v>3645</v>
      </c>
      <c r="Z78" s="115">
        <f t="array" aca="1" ref="Z78" ca="1">INDEX(INDIRECT("PnL_"&amp;TEXT(Z$1,"mmm")&amp;"_"&amp;TEXT(Z$1,"yyyy")),MATCH(TRIM($A78),PnL_Accounts,0))</f>
        <v>3645</v>
      </c>
      <c r="AA78" s="115">
        <f t="array" aca="1" ref="AA78" ca="1">INDEX(INDIRECT("PnL_"&amp;TEXT(AA$1,"mmm")&amp;"_"&amp;TEXT(AA$1,"yyyy")),MATCH(TRIM($A78),PnL_Accounts,0))</f>
        <v>3645</v>
      </c>
      <c r="AB78" s="115">
        <f t="array" aca="1" ref="AB78" ca="1">INDEX(INDIRECT("PnL_"&amp;TEXT(AB$1,"mmm")&amp;"_"&amp;TEXT(AB$1,"yyyy")),MATCH(TRIM($A78),PnL_Accounts,0))</f>
        <v>3645</v>
      </c>
      <c r="AC78" s="115">
        <f t="array" aca="1" ref="AC78" ca="1">INDEX(INDIRECT("PnL_"&amp;TEXT(AC$1,"mmm")&amp;"_"&amp;TEXT(AC$1,"yyyy")),MATCH(TRIM($A78),PnL_Accounts,0))</f>
        <v>3645</v>
      </c>
      <c r="AD78" s="115">
        <f t="array" aca="1" ref="AD78" ca="1">INDEX(INDIRECT("PnL_"&amp;TEXT(AD$1,"mmm")&amp;"_"&amp;TEXT(AD$1,"yyyy")),MATCH(TRIM($A78),PnL_Accounts,0))</f>
        <v>3645</v>
      </c>
      <c r="AE78" s="115">
        <f t="array" aca="1" ref="AE78" ca="1">INDEX(INDIRECT("PnL_"&amp;TEXT(AE$1,"mmm")&amp;"_"&amp;TEXT(AE$1,"yyyy")),MATCH(TRIM($A78),PnL_Accounts,0))</f>
        <v>3645</v>
      </c>
      <c r="AF78" s="25">
        <f t="array" ref="AF78">INDEX(Hiring_Plan_Payroll_Taxes_Sales_Worst_Case,MATCH(AF$1,Hiring_Plan_Months_Worst_Case,0))</f>
        <v>2006.25</v>
      </c>
      <c r="AG78" s="25">
        <f t="array" ref="AG78">INDEX(Hiring_Plan_Payroll_Taxes_Sales_Worst_Case,MATCH(AG$1,Hiring_Plan_Months_Worst_Case,0))</f>
        <v>2006.25</v>
      </c>
      <c r="AH78" s="25">
        <f t="array" ref="AH78">INDEX(Hiring_Plan_Payroll_Taxes_Sales_Worst_Case,MATCH(AH$1,Hiring_Plan_Months_Worst_Case,0))</f>
        <v>2006.25</v>
      </c>
      <c r="AI78" s="25">
        <f t="array" ref="AI78">INDEX(Hiring_Plan_Payroll_Taxes_Sales_Worst_Case,MATCH(AI$1,Hiring_Plan_Months_Worst_Case,0))</f>
        <v>2006.25</v>
      </c>
      <c r="AJ78" s="25">
        <f t="array" ref="AJ78">INDEX(Hiring_Plan_Payroll_Taxes_Sales_Worst_Case,MATCH(AJ$1,Hiring_Plan_Months_Worst_Case,0))</f>
        <v>2006.25</v>
      </c>
      <c r="AK78" s="25">
        <f t="array" ref="AK78">INDEX(Hiring_Plan_Payroll_Taxes_Sales_Worst_Case,MATCH(AK$1,Hiring_Plan_Months_Worst_Case,0))</f>
        <v>2006.25</v>
      </c>
      <c r="AL78" s="25">
        <f t="array" ref="AL78">INDEX(Hiring_Plan_Payroll_Taxes_Sales_Worst_Case,MATCH(AL$1,Hiring_Plan_Months_Worst_Case,0))</f>
        <v>2006.25</v>
      </c>
      <c r="AM78" s="25">
        <f t="array" ref="AM78">INDEX(Hiring_Plan_Payroll_Taxes_Sales_Worst_Case,MATCH(AM$1,Hiring_Plan_Months_Worst_Case,0))</f>
        <v>2006.25</v>
      </c>
      <c r="AN78" s="25">
        <f t="array" ref="AN78">INDEX(Hiring_Plan_Payroll_Taxes_Sales_Worst_Case,MATCH(AN$1,Hiring_Plan_Months_Worst_Case,0))</f>
        <v>2006.25</v>
      </c>
      <c r="AO78" s="25">
        <f t="array" ref="AO78">INDEX(Hiring_Plan_Payroll_Taxes_Sales_Worst_Case,MATCH(AO$1,Hiring_Plan_Months_Worst_Case,0))</f>
        <v>2006.25</v>
      </c>
      <c r="AP78" s="25">
        <f t="array" ref="AP78">INDEX(Hiring_Plan_Payroll_Taxes_Sales_Worst_Case,MATCH(AP$1,Hiring_Plan_Months_Worst_Case,0))</f>
        <v>2006.25</v>
      </c>
      <c r="AQ78" s="25">
        <f t="array" ref="AQ78">INDEX(Hiring_Plan_Payroll_Taxes_Sales_Worst_Case,MATCH(AQ$1,Hiring_Plan_Months_Worst_Case,0))</f>
        <v>2006.25</v>
      </c>
      <c r="AR78" s="25">
        <f t="array" ref="AR78">INDEX(Hiring_Plan_Payroll_Taxes_Sales_Worst_Case,MATCH(AR$1,Hiring_Plan_Months_Worst_Case,0))</f>
        <v>2006.25</v>
      </c>
      <c r="AS78" s="25">
        <f t="array" ref="AS78">INDEX(Hiring_Plan_Payroll_Taxes_Sales_Worst_Case,MATCH(AS$1,Hiring_Plan_Months_Worst_Case,0))</f>
        <v>2006.25</v>
      </c>
      <c r="AT78" s="25">
        <f t="array" ref="AT78">INDEX(Hiring_Plan_Payroll_Taxes_Sales_Worst_Case,MATCH(AT$1,Hiring_Plan_Months_Worst_Case,0))</f>
        <v>2006.25</v>
      </c>
      <c r="AU78" s="25">
        <f t="array" ref="AU78">INDEX(Hiring_Plan_Payroll_Taxes_Sales_Worst_Case,MATCH(AU$1,Hiring_Plan_Months_Worst_Case,0))</f>
        <v>2006.25</v>
      </c>
      <c r="AV78" s="25">
        <f t="array" ref="AV78">INDEX(Hiring_Plan_Payroll_Taxes_Sales_Worst_Case,MATCH(AV$1,Hiring_Plan_Months_Worst_Case,0))</f>
        <v>2006.25</v>
      </c>
      <c r="AW78" s="25">
        <f t="array" ref="AW78">INDEX(Hiring_Plan_Payroll_Taxes_Sales_Worst_Case,MATCH(AW$1,Hiring_Plan_Months_Worst_Case,0))</f>
        <v>2006.25</v>
      </c>
      <c r="AX78" s="25">
        <f t="array" ref="AX78">INDEX(Hiring_Plan_Payroll_Taxes_Sales_Worst_Case,MATCH(AX$1,Hiring_Plan_Months_Worst_Case,0))</f>
        <v>2006.25</v>
      </c>
      <c r="AY78" s="25">
        <f t="array" ref="AY78">INDEX(Hiring_Plan_Payroll_Taxes_Sales_Worst_Case,MATCH(AY$1,Hiring_Plan_Months_Worst_Case,0))</f>
        <v>2006.25</v>
      </c>
      <c r="AZ78" s="25">
        <f t="array" ref="AZ78">INDEX(Hiring_Plan_Payroll_Taxes_Sales_Worst_Case,MATCH(AZ$1,Hiring_Plan_Months_Worst_Case,0))</f>
        <v>2006.25</v>
      </c>
      <c r="BA78" s="25">
        <f t="array" ref="BA78">INDEX(Hiring_Plan_Payroll_Taxes_Sales_Worst_Case,MATCH(BA$1,Hiring_Plan_Months_Worst_Case,0))</f>
        <v>2006.25</v>
      </c>
      <c r="BB78" s="25">
        <f t="array" ref="BB78">INDEX(Hiring_Plan_Payroll_Taxes_Sales_Worst_Case,MATCH(BB$1,Hiring_Plan_Months_Worst_Case,0))</f>
        <v>2006.25</v>
      </c>
      <c r="BC78" s="25">
        <f t="array" ref="BC78">INDEX(Hiring_Plan_Payroll_Taxes_Sales_Worst_Case,MATCH(BC$1,Hiring_Plan_Months_Worst_Case,0))</f>
        <v>2006.25</v>
      </c>
      <c r="BD78" s="25">
        <f t="array" ref="BD78">INDEX(Hiring_Plan_Payroll_Taxes_Sales_Worst_Case,MATCH(BD$1,Hiring_Plan_Months_Worst_Case,0))</f>
        <v>2006.25</v>
      </c>
      <c r="BE78" s="25">
        <f t="array" ref="BE78">INDEX(Hiring_Plan_Payroll_Taxes_Sales_Worst_Case,MATCH(BE$1,Hiring_Plan_Months_Worst_Case,0))</f>
        <v>2006.25</v>
      </c>
      <c r="BF78" s="25">
        <f t="array" ref="BF78">INDEX(Hiring_Plan_Payroll_Taxes_Sales_Worst_Case,MATCH(BF$1,Hiring_Plan_Months_Worst_Case,0))</f>
        <v>2006.25</v>
      </c>
      <c r="BG78" s="25">
        <f t="array" ref="BG78">INDEX(Hiring_Plan_Payroll_Taxes_Sales_Worst_Case,MATCH(BG$1,Hiring_Plan_Months_Worst_Case,0))</f>
        <v>2006.25</v>
      </c>
      <c r="BH78" s="25">
        <f t="array" ref="BH78">INDEX(Hiring_Plan_Payroll_Taxes_Sales_Worst_Case,MATCH(BH$1,Hiring_Plan_Months_Worst_Case,0))</f>
        <v>2006.25</v>
      </c>
      <c r="BI78" s="25">
        <f t="array" ref="BI78">INDEX(Hiring_Plan_Payroll_Taxes_Sales_Worst_Case,MATCH(BI$1,Hiring_Plan_Months_Worst_Case,0))</f>
        <v>2006.25</v>
      </c>
      <c r="BJ78" s="25">
        <f t="array" ref="BJ78">INDEX(Hiring_Plan_Payroll_Taxes_Sales_Worst_Case,MATCH(BJ$1,Hiring_Plan_Months_Worst_Case,0))</f>
        <v>2006.25</v>
      </c>
      <c r="BK78" s="25">
        <f t="array" ref="BK78">INDEX(Hiring_Plan_Payroll_Taxes_Sales_Worst_Case,MATCH(BK$1,Hiring_Plan_Months_Worst_Case,0))</f>
        <v>2006.25</v>
      </c>
      <c r="BL78" s="25">
        <f t="array" ref="BL78">INDEX(Hiring_Plan_Payroll_Taxes_Sales_Worst_Case,MATCH(BL$1,Hiring_Plan_Months_Worst_Case,0))</f>
        <v>2006.25</v>
      </c>
      <c r="BM78" s="25">
        <f t="array" ref="BM78">INDEX(Hiring_Plan_Payroll_Taxes_Sales_Worst_Case,MATCH(BM$1,Hiring_Plan_Months_Worst_Case,0))</f>
        <v>2006.25</v>
      </c>
      <c r="BN78" s="25">
        <f t="array" ref="BN78">INDEX(Hiring_Plan_Payroll_Taxes_Sales_Worst_Case,MATCH(BN$1,Hiring_Plan_Months_Worst_Case,0))</f>
        <v>2006.25</v>
      </c>
      <c r="BO78" s="25">
        <f t="array" ref="BO78">INDEX(Hiring_Plan_Payroll_Taxes_Sales_Worst_Case,MATCH(BO$1,Hiring_Plan_Months_Worst_Case,0))</f>
        <v>2006.25</v>
      </c>
      <c r="BP78" s="25">
        <f t="array" ref="BP78">INDEX(Hiring_Plan_Payroll_Taxes_Sales_Worst_Case,MATCH(BP$1,Hiring_Plan_Months_Worst_Case,0))</f>
        <v>2006.25</v>
      </c>
      <c r="BQ78" s="25">
        <f t="array" ref="BQ78">INDEX(Hiring_Plan_Payroll_Taxes_Sales_Worst_Case,MATCH(BQ$1,Hiring_Plan_Months_Worst_Case,0))</f>
        <v>2006.25</v>
      </c>
      <c r="BR78" s="25">
        <f t="array" ref="BR78">INDEX(Hiring_Plan_Payroll_Taxes_Sales_Worst_Case,MATCH(BR$1,Hiring_Plan_Months_Worst_Case,0))</f>
        <v>2006.25</v>
      </c>
      <c r="BS78" s="25">
        <f t="array" ref="BS78">INDEX(Hiring_Plan_Payroll_Taxes_Sales_Worst_Case,MATCH(BS$1,Hiring_Plan_Months_Worst_Case,0))</f>
        <v>2006.25</v>
      </c>
      <c r="BT78" s="25">
        <f t="array" ref="BT78">INDEX(Hiring_Plan_Payroll_Taxes_Sales_Worst_Case,MATCH(BT$1,Hiring_Plan_Months_Worst_Case,0))</f>
        <v>2006.25</v>
      </c>
      <c r="BU78" s="25">
        <f t="array" ref="BU78">INDEX(Hiring_Plan_Payroll_Taxes_Sales_Worst_Case,MATCH(BU$1,Hiring_Plan_Months_Worst_Case,0))</f>
        <v>2006.25</v>
      </c>
      <c r="BV78" s="25">
        <f t="array" ref="BV78">INDEX(Hiring_Plan_Payroll_Taxes_Sales_Worst_Case,MATCH(BV$1,Hiring_Plan_Months_Worst_Case,0))</f>
        <v>2006.25</v>
      </c>
      <c r="BW78" s="25">
        <f t="array" ref="BW78">INDEX(Hiring_Plan_Payroll_Taxes_Sales_Worst_Case,MATCH(BW$1,Hiring_Plan_Months_Worst_Case,0))</f>
        <v>2006.25</v>
      </c>
    </row>
    <row r="79" spans="1:75" ht="12.75" x14ac:dyDescent="0.2">
      <c r="A79" s="23" t="s">
        <v>334</v>
      </c>
      <c r="B79" s="224">
        <f ca="1">AVERAGEIFS(79:79,$1:$1,"&gt;="&amp;DATE(YEAR(Current_Month),MONTH(Current_Month)-2,DAY(Current_Month)),$1:$1,"&lt;="&amp;EOMONTH(Current_Month,0))</f>
        <v>44743.333333333336</v>
      </c>
      <c r="D79" s="115">
        <f t="array" aca="1" ref="D79" ca="1">INDEX(INDIRECT("PnL_"&amp;TEXT(D$1,"mmm")&amp;"_"&amp;TEXT(D$1,"yyyy")),MATCH(TRIM($A79),PnL_Accounts,0))</f>
        <v>11652</v>
      </c>
      <c r="E79" s="115">
        <f t="array" aca="1" ref="E79" ca="1">INDEX(INDIRECT("PnL_"&amp;TEXT(E$1,"mmm")&amp;"_"&amp;TEXT(E$1,"yyyy")),MATCH(TRIM($A79),PnL_Accounts,0))</f>
        <v>14166</v>
      </c>
      <c r="F79" s="115">
        <f t="array" aca="1" ref="F79" ca="1">INDEX(INDIRECT("PnL_"&amp;TEXT(F$1,"mmm")&amp;"_"&amp;TEXT(F$1,"yyyy")),MATCH(TRIM($A79),PnL_Accounts,0))</f>
        <v>21021</v>
      </c>
      <c r="G79" s="115">
        <f t="array" aca="1" ref="G79" ca="1">INDEX(INDIRECT("PnL_"&amp;TEXT(G$1,"mmm")&amp;"_"&amp;TEXT(G$1,"yyyy")),MATCH(TRIM($A79),PnL_Accounts,0))</f>
        <v>21868</v>
      </c>
      <c r="H79" s="115">
        <f t="array" aca="1" ref="H79" ca="1">INDEX(INDIRECT("PnL_"&amp;TEXT(H$1,"mmm")&amp;"_"&amp;TEXT(H$1,"yyyy")),MATCH(TRIM($A79),PnL_Accounts,0))</f>
        <v>27274</v>
      </c>
      <c r="I79" s="115">
        <f t="array" aca="1" ref="I79" ca="1">INDEX(INDIRECT("PnL_"&amp;TEXT(I$1,"mmm")&amp;"_"&amp;TEXT(I$1,"yyyy")),MATCH(TRIM($A79),PnL_Accounts,0))</f>
        <v>16676</v>
      </c>
      <c r="J79" s="115">
        <f t="array" aca="1" ref="J79" ca="1">INDEX(INDIRECT("PnL_"&amp;TEXT(J$1,"mmm")&amp;"_"&amp;TEXT(J$1,"yyyy")),MATCH(TRIM($A79),PnL_Accounts,0))</f>
        <v>24845</v>
      </c>
      <c r="K79" s="115">
        <f t="array" aca="1" ref="K79" ca="1">INDEX(INDIRECT("PnL_"&amp;TEXT(K$1,"mmm")&amp;"_"&amp;TEXT(K$1,"yyyy")),MATCH(TRIM($A79),PnL_Accounts,0))</f>
        <v>25937</v>
      </c>
      <c r="L79" s="115">
        <f t="array" aca="1" ref="L79" ca="1">INDEX(INDIRECT("PnL_"&amp;TEXT(L$1,"mmm")&amp;"_"&amp;TEXT(L$1,"yyyy")),MATCH(TRIM($A79),PnL_Accounts,0))</f>
        <v>26800</v>
      </c>
      <c r="M79" s="115">
        <f t="array" aca="1" ref="M79" ca="1">INDEX(INDIRECT("PnL_"&amp;TEXT(M$1,"mmm")&amp;"_"&amp;TEXT(M$1,"yyyy")),MATCH(TRIM($A79),PnL_Accounts,0))</f>
        <v>29607</v>
      </c>
      <c r="N79" s="115">
        <f t="array" aca="1" ref="N79" ca="1">INDEX(INDIRECT("PnL_"&amp;TEXT(N$1,"mmm")&amp;"_"&amp;TEXT(N$1,"yyyy")),MATCH(TRIM($A79),PnL_Accounts,0))</f>
        <v>28195</v>
      </c>
      <c r="O79" s="115">
        <f t="array" aca="1" ref="O79" ca="1">INDEX(INDIRECT("PnL_"&amp;TEXT(O$1,"mmm")&amp;"_"&amp;TEXT(O$1,"yyyy")),MATCH(TRIM($A79),PnL_Accounts,0))</f>
        <v>31733</v>
      </c>
      <c r="P79" s="115">
        <f t="array" aca="1" ref="P79" ca="1">INDEX(INDIRECT("PnL_"&amp;TEXT(P$1,"mmm")&amp;"_"&amp;TEXT(P$1,"yyyy")),MATCH(TRIM($A79),PnL_Accounts,0))</f>
        <v>29875</v>
      </c>
      <c r="Q79" s="115">
        <f t="array" aca="1" ref="Q79" ca="1">INDEX(INDIRECT("PnL_"&amp;TEXT(Q$1,"mmm")&amp;"_"&amp;TEXT(Q$1,"yyyy")),MATCH(TRIM($A79),PnL_Accounts,0))</f>
        <v>31767</v>
      </c>
      <c r="R79" s="115">
        <f t="array" aca="1" ref="R79" ca="1">INDEX(INDIRECT("PnL_"&amp;TEXT(R$1,"mmm")&amp;"_"&amp;TEXT(R$1,"yyyy")),MATCH(TRIM($A79),PnL_Accounts,0))</f>
        <v>33744</v>
      </c>
      <c r="S79" s="115">
        <f t="array" aca="1" ref="S79" ca="1">INDEX(INDIRECT("PnL_"&amp;TEXT(S$1,"mmm")&amp;"_"&amp;TEXT(S$1,"yyyy")),MATCH(TRIM($A79),PnL_Accounts,0))</f>
        <v>32911</v>
      </c>
      <c r="T79" s="115">
        <f t="array" aca="1" ref="T79" ca="1">INDEX(INDIRECT("PnL_"&amp;TEXT(T$1,"mmm")&amp;"_"&amp;TEXT(T$1,"yyyy")),MATCH(TRIM($A79),PnL_Accounts,0))</f>
        <v>38116</v>
      </c>
      <c r="U79" s="115">
        <f t="array" aca="1" ref="U79" ca="1">INDEX(INDIRECT("PnL_"&amp;TEXT(U$1,"mmm")&amp;"_"&amp;TEXT(U$1,"yyyy")),MATCH(TRIM($A79),PnL_Accounts,0))</f>
        <v>37096</v>
      </c>
      <c r="V79" s="115">
        <f t="array" aca="1" ref="V79" ca="1">INDEX(INDIRECT("PnL_"&amp;TEXT(V$1,"mmm")&amp;"_"&amp;TEXT(V$1,"yyyy")),MATCH(TRIM($A79),PnL_Accounts,0))</f>
        <v>37962</v>
      </c>
      <c r="W79" s="115">
        <f t="array" aca="1" ref="W79" ca="1">INDEX(INDIRECT("PnL_"&amp;TEXT(W$1,"mmm")&amp;"_"&amp;TEXT(W$1,"yyyy")),MATCH(TRIM($A79),PnL_Accounts,0))</f>
        <v>38719</v>
      </c>
      <c r="X79" s="115">
        <f t="array" aca="1" ref="X79" ca="1">INDEX(INDIRECT("PnL_"&amp;TEXT(X$1,"mmm")&amp;"_"&amp;TEXT(X$1,"yyyy")),MATCH(TRIM($A79),PnL_Accounts,0))</f>
        <v>41789</v>
      </c>
      <c r="Y79" s="115">
        <f t="array" aca="1" ref="Y79" ca="1">INDEX(INDIRECT("PnL_"&amp;TEXT(Y$1,"mmm")&amp;"_"&amp;TEXT(Y$1,"yyyy")),MATCH(TRIM($A79),PnL_Accounts,0))</f>
        <v>44555</v>
      </c>
      <c r="Z79" s="115">
        <f t="array" aca="1" ref="Z79" ca="1">INDEX(INDIRECT("PnL_"&amp;TEXT(Z$1,"mmm")&amp;"_"&amp;TEXT(Z$1,"yyyy")),MATCH(TRIM($A79),PnL_Accounts,0))</f>
        <v>49785</v>
      </c>
      <c r="AA79" s="115">
        <f t="array" aca="1" ref="AA79" ca="1">INDEX(INDIRECT("PnL_"&amp;TEXT(AA$1,"mmm")&amp;"_"&amp;TEXT(AA$1,"yyyy")),MATCH(TRIM($A79),PnL_Accounts,0))</f>
        <v>52007</v>
      </c>
      <c r="AB79" s="115">
        <f t="array" aca="1" ref="AB79" ca="1">INDEX(INDIRECT("PnL_"&amp;TEXT(AB$1,"mmm")&amp;"_"&amp;TEXT(AB$1,"yyyy")),MATCH(TRIM($A79),PnL_Accounts,0))</f>
        <v>52007</v>
      </c>
      <c r="AC79" s="115">
        <f t="array" aca="1" ref="AC79" ca="1">INDEX(INDIRECT("PnL_"&amp;TEXT(AC$1,"mmm")&amp;"_"&amp;TEXT(AC$1,"yyyy")),MATCH(TRIM($A79),PnL_Accounts,0))</f>
        <v>59124</v>
      </c>
      <c r="AD79" s="115">
        <f t="array" aca="1" ref="AD79" ca="1">INDEX(INDIRECT("PnL_"&amp;TEXT(AD$1,"mmm")&amp;"_"&amp;TEXT(AD$1,"yyyy")),MATCH(TRIM($A79),PnL_Accounts,0))</f>
        <v>39117</v>
      </c>
      <c r="AE79" s="115">
        <f t="array" aca="1" ref="AE79" ca="1">INDEX(INDIRECT("PnL_"&amp;TEXT(AE$1,"mmm")&amp;"_"&amp;TEXT(AE$1,"yyyy")),MATCH(TRIM($A79),PnL_Accounts,0))</f>
        <v>35989</v>
      </c>
      <c r="AF79" s="165">
        <f t="shared" ref="AF79:BW79" ca="1" si="38">$B79</f>
        <v>44743.333333333336</v>
      </c>
      <c r="AG79" s="165">
        <f t="shared" ca="1" si="38"/>
        <v>44743.333333333336</v>
      </c>
      <c r="AH79" s="165">
        <f t="shared" ca="1" si="38"/>
        <v>44743.333333333336</v>
      </c>
      <c r="AI79" s="165">
        <f t="shared" ca="1" si="38"/>
        <v>44743.333333333336</v>
      </c>
      <c r="AJ79" s="165">
        <f t="shared" ca="1" si="38"/>
        <v>44743.333333333336</v>
      </c>
      <c r="AK79" s="165">
        <f t="shared" ca="1" si="38"/>
        <v>44743.333333333336</v>
      </c>
      <c r="AL79" s="165">
        <f t="shared" ca="1" si="38"/>
        <v>44743.333333333336</v>
      </c>
      <c r="AM79" s="165">
        <f t="shared" ca="1" si="38"/>
        <v>44743.333333333336</v>
      </c>
      <c r="AN79" s="165">
        <f t="shared" ca="1" si="38"/>
        <v>44743.333333333336</v>
      </c>
      <c r="AO79" s="165">
        <f t="shared" ca="1" si="38"/>
        <v>44743.333333333336</v>
      </c>
      <c r="AP79" s="165">
        <f t="shared" ca="1" si="38"/>
        <v>44743.333333333336</v>
      </c>
      <c r="AQ79" s="165">
        <f t="shared" ca="1" si="38"/>
        <v>44743.333333333336</v>
      </c>
      <c r="AR79" s="165">
        <f t="shared" ca="1" si="38"/>
        <v>44743.333333333336</v>
      </c>
      <c r="AS79" s="165">
        <f t="shared" ca="1" si="38"/>
        <v>44743.333333333336</v>
      </c>
      <c r="AT79" s="165">
        <f t="shared" ca="1" si="38"/>
        <v>44743.333333333336</v>
      </c>
      <c r="AU79" s="165">
        <f t="shared" ca="1" si="38"/>
        <v>44743.333333333336</v>
      </c>
      <c r="AV79" s="165">
        <f t="shared" ca="1" si="38"/>
        <v>44743.333333333336</v>
      </c>
      <c r="AW79" s="165">
        <f t="shared" ca="1" si="38"/>
        <v>44743.333333333336</v>
      </c>
      <c r="AX79" s="165">
        <f t="shared" ca="1" si="38"/>
        <v>44743.333333333336</v>
      </c>
      <c r="AY79" s="165">
        <f t="shared" ca="1" si="38"/>
        <v>44743.333333333336</v>
      </c>
      <c r="AZ79" s="165">
        <f t="shared" ca="1" si="38"/>
        <v>44743.333333333336</v>
      </c>
      <c r="BA79" s="165">
        <f t="shared" ca="1" si="38"/>
        <v>44743.333333333336</v>
      </c>
      <c r="BB79" s="165">
        <f t="shared" ca="1" si="38"/>
        <v>44743.333333333336</v>
      </c>
      <c r="BC79" s="165">
        <f t="shared" ca="1" si="38"/>
        <v>44743.333333333336</v>
      </c>
      <c r="BD79" s="165">
        <f t="shared" ca="1" si="38"/>
        <v>44743.333333333336</v>
      </c>
      <c r="BE79" s="165">
        <f t="shared" ca="1" si="38"/>
        <v>44743.333333333336</v>
      </c>
      <c r="BF79" s="165">
        <f t="shared" ca="1" si="38"/>
        <v>44743.333333333336</v>
      </c>
      <c r="BG79" s="165">
        <f t="shared" ca="1" si="38"/>
        <v>44743.333333333336</v>
      </c>
      <c r="BH79" s="165">
        <f t="shared" ca="1" si="38"/>
        <v>44743.333333333336</v>
      </c>
      <c r="BI79" s="165">
        <f t="shared" ca="1" si="38"/>
        <v>44743.333333333336</v>
      </c>
      <c r="BJ79" s="165">
        <f t="shared" ca="1" si="38"/>
        <v>44743.333333333336</v>
      </c>
      <c r="BK79" s="165">
        <f t="shared" ca="1" si="38"/>
        <v>44743.333333333336</v>
      </c>
      <c r="BL79" s="165">
        <f t="shared" ca="1" si="38"/>
        <v>44743.333333333336</v>
      </c>
      <c r="BM79" s="165">
        <f t="shared" ca="1" si="38"/>
        <v>44743.333333333336</v>
      </c>
      <c r="BN79" s="165">
        <f t="shared" ca="1" si="38"/>
        <v>44743.333333333336</v>
      </c>
      <c r="BO79" s="165">
        <f t="shared" ca="1" si="38"/>
        <v>44743.333333333336</v>
      </c>
      <c r="BP79" s="165">
        <f t="shared" ca="1" si="38"/>
        <v>44743.333333333336</v>
      </c>
      <c r="BQ79" s="165">
        <f t="shared" ca="1" si="38"/>
        <v>44743.333333333336</v>
      </c>
      <c r="BR79" s="165">
        <f t="shared" ca="1" si="38"/>
        <v>44743.333333333336</v>
      </c>
      <c r="BS79" s="165">
        <f t="shared" ca="1" si="38"/>
        <v>44743.333333333336</v>
      </c>
      <c r="BT79" s="165">
        <f t="shared" ca="1" si="38"/>
        <v>44743.333333333336</v>
      </c>
      <c r="BU79" s="165">
        <f t="shared" ca="1" si="38"/>
        <v>44743.333333333336</v>
      </c>
      <c r="BV79" s="165">
        <f t="shared" ca="1" si="38"/>
        <v>44743.333333333336</v>
      </c>
      <c r="BW79" s="165">
        <f t="shared" ca="1" si="38"/>
        <v>44743.333333333336</v>
      </c>
    </row>
    <row r="80" spans="1:75" ht="12.75" x14ac:dyDescent="0.2">
      <c r="A80" s="23" t="s">
        <v>335</v>
      </c>
      <c r="B80" s="224">
        <f ca="1">AVERAGEIFS(80:80,$1:$1,"&gt;="&amp;DATE(YEAR(Current_Month),MONTH(Current_Month)-2,DAY(Current_Month)),$1:$1,"&lt;="&amp;EOMONTH(Current_Month,0))</f>
        <v>40500</v>
      </c>
      <c r="D80" s="115">
        <f t="array" aca="1" ref="D80" ca="1">INDEX(INDIRECT("PnL_"&amp;TEXT(D$1,"mmm")&amp;"_"&amp;TEXT(D$1,"yyyy")),MATCH(TRIM($A80),PnL_Accounts,0))</f>
        <v>10000</v>
      </c>
      <c r="E80" s="115">
        <f t="array" aca="1" ref="E80" ca="1">INDEX(INDIRECT("PnL_"&amp;TEXT(E$1,"mmm")&amp;"_"&amp;TEXT(E$1,"yyyy")),MATCH(TRIM($A80),PnL_Accounts,0))</f>
        <v>10000</v>
      </c>
      <c r="F80" s="115">
        <f t="array" aca="1" ref="F80" ca="1">INDEX(INDIRECT("PnL_"&amp;TEXT(F$1,"mmm")&amp;"_"&amp;TEXT(F$1,"yyyy")),MATCH(TRIM($A80),PnL_Accounts,0))</f>
        <v>15000</v>
      </c>
      <c r="G80" s="115">
        <f t="array" aca="1" ref="G80" ca="1">INDEX(INDIRECT("PnL_"&amp;TEXT(G$1,"mmm")&amp;"_"&amp;TEXT(G$1,"yyyy")),MATCH(TRIM($A80),PnL_Accounts,0))</f>
        <v>15000</v>
      </c>
      <c r="H80" s="115">
        <f t="array" aca="1" ref="H80" ca="1">INDEX(INDIRECT("PnL_"&amp;TEXT(H$1,"mmm")&amp;"_"&amp;TEXT(H$1,"yyyy")),MATCH(TRIM($A80),PnL_Accounts,0))</f>
        <v>15000</v>
      </c>
      <c r="I80" s="115">
        <f t="array" aca="1" ref="I80" ca="1">INDEX(INDIRECT("PnL_"&amp;TEXT(I$1,"mmm")&amp;"_"&amp;TEXT(I$1,"yyyy")),MATCH(TRIM($A80),PnL_Accounts,0))</f>
        <v>20000</v>
      </c>
      <c r="J80" s="115">
        <f t="array" aca="1" ref="J80" ca="1">INDEX(INDIRECT("PnL_"&amp;TEXT(J$1,"mmm")&amp;"_"&amp;TEXT(J$1,"yyyy")),MATCH(TRIM($A80),PnL_Accounts,0))</f>
        <v>24500</v>
      </c>
      <c r="K80" s="115">
        <f t="array" aca="1" ref="K80" ca="1">INDEX(INDIRECT("PnL_"&amp;TEXT(K$1,"mmm")&amp;"_"&amp;TEXT(K$1,"yyyy")),MATCH(TRIM($A80),PnL_Accounts,0))</f>
        <v>24500</v>
      </c>
      <c r="L80" s="115">
        <f t="array" aca="1" ref="L80" ca="1">INDEX(INDIRECT("PnL_"&amp;TEXT(L$1,"mmm")&amp;"_"&amp;TEXT(L$1,"yyyy")),MATCH(TRIM($A80),PnL_Accounts,0))</f>
        <v>24500</v>
      </c>
      <c r="M80" s="115">
        <f t="array" aca="1" ref="M80" ca="1">INDEX(INDIRECT("PnL_"&amp;TEXT(M$1,"mmm")&amp;"_"&amp;TEXT(M$1,"yyyy")),MATCH(TRIM($A80),PnL_Accounts,0))</f>
        <v>30000</v>
      </c>
      <c r="N80" s="115">
        <f t="array" aca="1" ref="N80" ca="1">INDEX(INDIRECT("PnL_"&amp;TEXT(N$1,"mmm")&amp;"_"&amp;TEXT(N$1,"yyyy")),MATCH(TRIM($A80),PnL_Accounts,0))</f>
        <v>30000</v>
      </c>
      <c r="O80" s="115">
        <f t="array" aca="1" ref="O80" ca="1">INDEX(INDIRECT("PnL_"&amp;TEXT(O$1,"mmm")&amp;"_"&amp;TEXT(O$1,"yyyy")),MATCH(TRIM($A80),PnL_Accounts,0))</f>
        <v>35000</v>
      </c>
      <c r="P80" s="115">
        <f t="array" aca="1" ref="P80" ca="1">INDEX(INDIRECT("PnL_"&amp;TEXT(P$1,"mmm")&amp;"_"&amp;TEXT(P$1,"yyyy")),MATCH(TRIM($A80),PnL_Accounts,0))</f>
        <v>35000</v>
      </c>
      <c r="Q80" s="115">
        <f t="array" aca="1" ref="Q80" ca="1">INDEX(INDIRECT("PnL_"&amp;TEXT(Q$1,"mmm")&amp;"_"&amp;TEXT(Q$1,"yyyy")),MATCH(TRIM($A80),PnL_Accounts,0))</f>
        <v>40500</v>
      </c>
      <c r="R80" s="115">
        <f t="array" aca="1" ref="R80" ca="1">INDEX(INDIRECT("PnL_"&amp;TEXT(R$1,"mmm")&amp;"_"&amp;TEXT(R$1,"yyyy")),MATCH(TRIM($A80),PnL_Accounts,0))</f>
        <v>40500</v>
      </c>
      <c r="S80" s="115">
        <f t="array" aca="1" ref="S80" ca="1">INDEX(INDIRECT("PnL_"&amp;TEXT(S$1,"mmm")&amp;"_"&amp;TEXT(S$1,"yyyy")),MATCH(TRIM($A80),PnL_Accounts,0))</f>
        <v>40500</v>
      </c>
      <c r="T80" s="115">
        <f t="array" aca="1" ref="T80" ca="1">INDEX(INDIRECT("PnL_"&amp;TEXT(T$1,"mmm")&amp;"_"&amp;TEXT(T$1,"yyyy")),MATCH(TRIM($A80),PnL_Accounts,0))</f>
        <v>40500</v>
      </c>
      <c r="U80" s="115">
        <f t="array" aca="1" ref="U80" ca="1">INDEX(INDIRECT("PnL_"&amp;TEXT(U$1,"mmm")&amp;"_"&amp;TEXT(U$1,"yyyy")),MATCH(TRIM($A80),PnL_Accounts,0))</f>
        <v>40500</v>
      </c>
      <c r="V80" s="115">
        <f t="array" aca="1" ref="V80" ca="1">INDEX(INDIRECT("PnL_"&amp;TEXT(V$1,"mmm")&amp;"_"&amp;TEXT(V$1,"yyyy")),MATCH(TRIM($A80),PnL_Accounts,0))</f>
        <v>40500</v>
      </c>
      <c r="W80" s="115">
        <f t="array" aca="1" ref="W80" ca="1">INDEX(INDIRECT("PnL_"&amp;TEXT(W$1,"mmm")&amp;"_"&amp;TEXT(W$1,"yyyy")),MATCH(TRIM($A80),PnL_Accounts,0))</f>
        <v>40500</v>
      </c>
      <c r="X80" s="115">
        <f t="array" aca="1" ref="X80" ca="1">INDEX(INDIRECT("PnL_"&amp;TEXT(X$1,"mmm")&amp;"_"&amp;TEXT(X$1,"yyyy")),MATCH(TRIM($A80),PnL_Accounts,0))</f>
        <v>40500</v>
      </c>
      <c r="Y80" s="115">
        <f t="array" aca="1" ref="Y80" ca="1">INDEX(INDIRECT("PnL_"&amp;TEXT(Y$1,"mmm")&amp;"_"&amp;TEXT(Y$1,"yyyy")),MATCH(TRIM($A80),PnL_Accounts,0))</f>
        <v>40500</v>
      </c>
      <c r="Z80" s="115">
        <f t="array" aca="1" ref="Z80" ca="1">INDEX(INDIRECT("PnL_"&amp;TEXT(Z$1,"mmm")&amp;"_"&amp;TEXT(Z$1,"yyyy")),MATCH(TRIM($A80),PnL_Accounts,0))</f>
        <v>40500</v>
      </c>
      <c r="AA80" s="115">
        <f t="array" aca="1" ref="AA80" ca="1">INDEX(INDIRECT("PnL_"&amp;TEXT(AA$1,"mmm")&amp;"_"&amp;TEXT(AA$1,"yyyy")),MATCH(TRIM($A80),PnL_Accounts,0))</f>
        <v>40500</v>
      </c>
      <c r="AB80" s="115">
        <f t="array" aca="1" ref="AB80" ca="1">INDEX(INDIRECT("PnL_"&amp;TEXT(AB$1,"mmm")&amp;"_"&amp;TEXT(AB$1,"yyyy")),MATCH(TRIM($A80),PnL_Accounts,0))</f>
        <v>40500</v>
      </c>
      <c r="AC80" s="115">
        <f t="array" aca="1" ref="AC80" ca="1">INDEX(INDIRECT("PnL_"&amp;TEXT(AC$1,"mmm")&amp;"_"&amp;TEXT(AC$1,"yyyy")),MATCH(TRIM($A80),PnL_Accounts,0))</f>
        <v>40500</v>
      </c>
      <c r="AD80" s="115">
        <f t="array" aca="1" ref="AD80" ca="1">INDEX(INDIRECT("PnL_"&amp;TEXT(AD$1,"mmm")&amp;"_"&amp;TEXT(AD$1,"yyyy")),MATCH(TRIM($A80),PnL_Accounts,0))</f>
        <v>40500</v>
      </c>
      <c r="AE80" s="115">
        <f t="array" aca="1" ref="AE80" ca="1">INDEX(INDIRECT("PnL_"&amp;TEXT(AE$1,"mmm")&amp;"_"&amp;TEXT(AE$1,"yyyy")),MATCH(TRIM($A80),PnL_Accounts,0))</f>
        <v>40500</v>
      </c>
      <c r="AF80" s="25">
        <f t="array" ref="AF80">INDEX(Hiring_Plan_Salaries_Sales_Worst_Case,MATCH(AF$1,Hiring_Plan_Months_Worst_Case,0))</f>
        <v>22291.666666666668</v>
      </c>
      <c r="AG80" s="25">
        <f t="array" ref="AG80">INDEX(Hiring_Plan_Salaries_Sales_Worst_Case,MATCH(AG$1,Hiring_Plan_Months_Worst_Case,0))</f>
        <v>22291.666666666668</v>
      </c>
      <c r="AH80" s="25">
        <f t="array" ref="AH80">INDEX(Hiring_Plan_Salaries_Sales_Worst_Case,MATCH(AH$1,Hiring_Plan_Months_Worst_Case,0))</f>
        <v>22291.666666666668</v>
      </c>
      <c r="AI80" s="25">
        <f t="array" ref="AI80">INDEX(Hiring_Plan_Salaries_Sales_Worst_Case,MATCH(AI$1,Hiring_Plan_Months_Worst_Case,0))</f>
        <v>22291.666666666668</v>
      </c>
      <c r="AJ80" s="25">
        <f t="array" ref="AJ80">INDEX(Hiring_Plan_Salaries_Sales_Worst_Case,MATCH(AJ$1,Hiring_Plan_Months_Worst_Case,0))</f>
        <v>22291.666666666668</v>
      </c>
      <c r="AK80" s="25">
        <f t="array" ref="AK80">INDEX(Hiring_Plan_Salaries_Sales_Worst_Case,MATCH(AK$1,Hiring_Plan_Months_Worst_Case,0))</f>
        <v>22291.666666666668</v>
      </c>
      <c r="AL80" s="25">
        <f t="array" ref="AL80">INDEX(Hiring_Plan_Salaries_Sales_Worst_Case,MATCH(AL$1,Hiring_Plan_Months_Worst_Case,0))</f>
        <v>22291.666666666668</v>
      </c>
      <c r="AM80" s="25">
        <f t="array" ref="AM80">INDEX(Hiring_Plan_Salaries_Sales_Worst_Case,MATCH(AM$1,Hiring_Plan_Months_Worst_Case,0))</f>
        <v>22291.666666666668</v>
      </c>
      <c r="AN80" s="25">
        <f t="array" ref="AN80">INDEX(Hiring_Plan_Salaries_Sales_Worst_Case,MATCH(AN$1,Hiring_Plan_Months_Worst_Case,0))</f>
        <v>22291.666666666668</v>
      </c>
      <c r="AO80" s="25">
        <f t="array" ref="AO80">INDEX(Hiring_Plan_Salaries_Sales_Worst_Case,MATCH(AO$1,Hiring_Plan_Months_Worst_Case,0))</f>
        <v>22291.666666666668</v>
      </c>
      <c r="AP80" s="25">
        <f t="array" ref="AP80">INDEX(Hiring_Plan_Salaries_Sales_Worst_Case,MATCH(AP$1,Hiring_Plan_Months_Worst_Case,0))</f>
        <v>22291.666666666668</v>
      </c>
      <c r="AQ80" s="25">
        <f t="array" ref="AQ80">INDEX(Hiring_Plan_Salaries_Sales_Worst_Case,MATCH(AQ$1,Hiring_Plan_Months_Worst_Case,0))</f>
        <v>22291.666666666668</v>
      </c>
      <c r="AR80" s="25">
        <f t="array" ref="AR80">INDEX(Hiring_Plan_Salaries_Sales_Worst_Case,MATCH(AR$1,Hiring_Plan_Months_Worst_Case,0))</f>
        <v>22291.666666666668</v>
      </c>
      <c r="AS80" s="25">
        <f t="array" ref="AS80">INDEX(Hiring_Plan_Salaries_Sales_Worst_Case,MATCH(AS$1,Hiring_Plan_Months_Worst_Case,0))</f>
        <v>22291.666666666668</v>
      </c>
      <c r="AT80" s="25">
        <f t="array" ref="AT80">INDEX(Hiring_Plan_Salaries_Sales_Worst_Case,MATCH(AT$1,Hiring_Plan_Months_Worst_Case,0))</f>
        <v>22291.666666666668</v>
      </c>
      <c r="AU80" s="25">
        <f t="array" ref="AU80">INDEX(Hiring_Plan_Salaries_Sales_Worst_Case,MATCH(AU$1,Hiring_Plan_Months_Worst_Case,0))</f>
        <v>22291.666666666668</v>
      </c>
      <c r="AV80" s="25">
        <f t="array" ref="AV80">INDEX(Hiring_Plan_Salaries_Sales_Worst_Case,MATCH(AV$1,Hiring_Plan_Months_Worst_Case,0))</f>
        <v>22291.666666666668</v>
      </c>
      <c r="AW80" s="25">
        <f t="array" ref="AW80">INDEX(Hiring_Plan_Salaries_Sales_Worst_Case,MATCH(AW$1,Hiring_Plan_Months_Worst_Case,0))</f>
        <v>22291.666666666668</v>
      </c>
      <c r="AX80" s="25">
        <f t="array" ref="AX80">INDEX(Hiring_Plan_Salaries_Sales_Worst_Case,MATCH(AX$1,Hiring_Plan_Months_Worst_Case,0))</f>
        <v>22291.666666666668</v>
      </c>
      <c r="AY80" s="25">
        <f t="array" ref="AY80">INDEX(Hiring_Plan_Salaries_Sales_Worst_Case,MATCH(AY$1,Hiring_Plan_Months_Worst_Case,0))</f>
        <v>22291.666666666668</v>
      </c>
      <c r="AZ80" s="25">
        <f t="array" ref="AZ80">INDEX(Hiring_Plan_Salaries_Sales_Worst_Case,MATCH(AZ$1,Hiring_Plan_Months_Worst_Case,0))</f>
        <v>22291.666666666668</v>
      </c>
      <c r="BA80" s="25">
        <f t="array" ref="BA80">INDEX(Hiring_Plan_Salaries_Sales_Worst_Case,MATCH(BA$1,Hiring_Plan_Months_Worst_Case,0))</f>
        <v>22291.666666666668</v>
      </c>
      <c r="BB80" s="25">
        <f t="array" ref="BB80">INDEX(Hiring_Plan_Salaries_Sales_Worst_Case,MATCH(BB$1,Hiring_Plan_Months_Worst_Case,0))</f>
        <v>22291.666666666668</v>
      </c>
      <c r="BC80" s="25">
        <f t="array" ref="BC80">INDEX(Hiring_Plan_Salaries_Sales_Worst_Case,MATCH(BC$1,Hiring_Plan_Months_Worst_Case,0))</f>
        <v>22291.666666666668</v>
      </c>
      <c r="BD80" s="25">
        <f t="array" ref="BD80">INDEX(Hiring_Plan_Salaries_Sales_Worst_Case,MATCH(BD$1,Hiring_Plan_Months_Worst_Case,0))</f>
        <v>22291.666666666668</v>
      </c>
      <c r="BE80" s="25">
        <f t="array" ref="BE80">INDEX(Hiring_Plan_Salaries_Sales_Worst_Case,MATCH(BE$1,Hiring_Plan_Months_Worst_Case,0))</f>
        <v>22291.666666666668</v>
      </c>
      <c r="BF80" s="25">
        <f t="array" ref="BF80">INDEX(Hiring_Plan_Salaries_Sales_Worst_Case,MATCH(BF$1,Hiring_Plan_Months_Worst_Case,0))</f>
        <v>22291.666666666668</v>
      </c>
      <c r="BG80" s="25">
        <f t="array" ref="BG80">INDEX(Hiring_Plan_Salaries_Sales_Worst_Case,MATCH(BG$1,Hiring_Plan_Months_Worst_Case,0))</f>
        <v>22291.666666666668</v>
      </c>
      <c r="BH80" s="25">
        <f t="array" ref="BH80">INDEX(Hiring_Plan_Salaries_Sales_Worst_Case,MATCH(BH$1,Hiring_Plan_Months_Worst_Case,0))</f>
        <v>22291.666666666668</v>
      </c>
      <c r="BI80" s="25">
        <f t="array" ref="BI80">INDEX(Hiring_Plan_Salaries_Sales_Worst_Case,MATCH(BI$1,Hiring_Plan_Months_Worst_Case,0))</f>
        <v>22291.666666666668</v>
      </c>
      <c r="BJ80" s="25">
        <f t="array" ref="BJ80">INDEX(Hiring_Plan_Salaries_Sales_Worst_Case,MATCH(BJ$1,Hiring_Plan_Months_Worst_Case,0))</f>
        <v>22291.666666666668</v>
      </c>
      <c r="BK80" s="25">
        <f t="array" ref="BK80">INDEX(Hiring_Plan_Salaries_Sales_Worst_Case,MATCH(BK$1,Hiring_Plan_Months_Worst_Case,0))</f>
        <v>22291.666666666668</v>
      </c>
      <c r="BL80" s="25">
        <f t="array" ref="BL80">INDEX(Hiring_Plan_Salaries_Sales_Worst_Case,MATCH(BL$1,Hiring_Plan_Months_Worst_Case,0))</f>
        <v>22291.666666666668</v>
      </c>
      <c r="BM80" s="25">
        <f t="array" ref="BM80">INDEX(Hiring_Plan_Salaries_Sales_Worst_Case,MATCH(BM$1,Hiring_Plan_Months_Worst_Case,0))</f>
        <v>22291.666666666668</v>
      </c>
      <c r="BN80" s="25">
        <f t="array" ref="BN80">INDEX(Hiring_Plan_Salaries_Sales_Worst_Case,MATCH(BN$1,Hiring_Plan_Months_Worst_Case,0))</f>
        <v>22291.666666666668</v>
      </c>
      <c r="BO80" s="25">
        <f t="array" ref="BO80">INDEX(Hiring_Plan_Salaries_Sales_Worst_Case,MATCH(BO$1,Hiring_Plan_Months_Worst_Case,0))</f>
        <v>22291.666666666668</v>
      </c>
      <c r="BP80" s="25">
        <f t="array" ref="BP80">INDEX(Hiring_Plan_Salaries_Sales_Worst_Case,MATCH(BP$1,Hiring_Plan_Months_Worst_Case,0))</f>
        <v>22291.666666666668</v>
      </c>
      <c r="BQ80" s="25">
        <f t="array" ref="BQ80">INDEX(Hiring_Plan_Salaries_Sales_Worst_Case,MATCH(BQ$1,Hiring_Plan_Months_Worst_Case,0))</f>
        <v>22291.666666666668</v>
      </c>
      <c r="BR80" s="25">
        <f t="array" ref="BR80">INDEX(Hiring_Plan_Salaries_Sales_Worst_Case,MATCH(BR$1,Hiring_Plan_Months_Worst_Case,0))</f>
        <v>22291.666666666668</v>
      </c>
      <c r="BS80" s="25">
        <f t="array" ref="BS80">INDEX(Hiring_Plan_Salaries_Sales_Worst_Case,MATCH(BS$1,Hiring_Plan_Months_Worst_Case,0))</f>
        <v>22291.666666666668</v>
      </c>
      <c r="BT80" s="25">
        <f t="array" ref="BT80">INDEX(Hiring_Plan_Salaries_Sales_Worst_Case,MATCH(BT$1,Hiring_Plan_Months_Worst_Case,0))</f>
        <v>22291.666666666668</v>
      </c>
      <c r="BU80" s="25">
        <f t="array" ref="BU80">INDEX(Hiring_Plan_Salaries_Sales_Worst_Case,MATCH(BU$1,Hiring_Plan_Months_Worst_Case,0))</f>
        <v>22291.666666666668</v>
      </c>
      <c r="BV80" s="25">
        <f t="array" ref="BV80">INDEX(Hiring_Plan_Salaries_Sales_Worst_Case,MATCH(BV$1,Hiring_Plan_Months_Worst_Case,0))</f>
        <v>22291.666666666668</v>
      </c>
      <c r="BW80" s="25">
        <f t="array" ref="BW80">INDEX(Hiring_Plan_Salaries_Sales_Worst_Case,MATCH(BW$1,Hiring_Plan_Months_Worst_Case,0))</f>
        <v>22291.666666666668</v>
      </c>
    </row>
    <row r="81" spans="1:75" ht="12.75" x14ac:dyDescent="0.2">
      <c r="A81" s="60" t="s">
        <v>336</v>
      </c>
      <c r="B81" s="238"/>
      <c r="C81" s="212"/>
      <c r="D81" s="226">
        <f t="shared" ref="D81:BW81" ca="1" si="39">SUM(D77:D80)</f>
        <v>22946</v>
      </c>
      <c r="E81" s="226">
        <f t="shared" ca="1" si="39"/>
        <v>25460</v>
      </c>
      <c r="F81" s="226">
        <f t="shared" ca="1" si="39"/>
        <v>37962</v>
      </c>
      <c r="G81" s="226">
        <f t="shared" ca="1" si="39"/>
        <v>38809</v>
      </c>
      <c r="H81" s="226">
        <f t="shared" ca="1" si="39"/>
        <v>44215</v>
      </c>
      <c r="I81" s="226">
        <f t="shared" ca="1" si="39"/>
        <v>39264</v>
      </c>
      <c r="J81" s="226">
        <f t="shared" ca="1" si="39"/>
        <v>52535</v>
      </c>
      <c r="K81" s="226">
        <f t="shared" ca="1" si="39"/>
        <v>53627</v>
      </c>
      <c r="L81" s="226">
        <f t="shared" ca="1" si="39"/>
        <v>54490</v>
      </c>
      <c r="M81" s="226">
        <f t="shared" ca="1" si="39"/>
        <v>63489</v>
      </c>
      <c r="N81" s="226">
        <f t="shared" ca="1" si="39"/>
        <v>62077</v>
      </c>
      <c r="O81" s="226">
        <f t="shared" ca="1" si="39"/>
        <v>71262</v>
      </c>
      <c r="P81" s="226">
        <f t="shared" ca="1" si="39"/>
        <v>69404</v>
      </c>
      <c r="Q81" s="226">
        <f t="shared" ca="1" si="39"/>
        <v>77488</v>
      </c>
      <c r="R81" s="226">
        <f t="shared" ca="1" si="39"/>
        <v>79465</v>
      </c>
      <c r="S81" s="226">
        <f t="shared" ca="1" si="39"/>
        <v>78632</v>
      </c>
      <c r="T81" s="226">
        <f t="shared" ca="1" si="39"/>
        <v>83837</v>
      </c>
      <c r="U81" s="226">
        <f t="shared" ca="1" si="39"/>
        <v>82817</v>
      </c>
      <c r="V81" s="226">
        <f t="shared" ca="1" si="39"/>
        <v>83683</v>
      </c>
      <c r="W81" s="226">
        <f t="shared" ca="1" si="39"/>
        <v>84440</v>
      </c>
      <c r="X81" s="226">
        <f t="shared" ca="1" si="39"/>
        <v>87510</v>
      </c>
      <c r="Y81" s="226">
        <f t="shared" ca="1" si="39"/>
        <v>90276</v>
      </c>
      <c r="Z81" s="226">
        <f t="shared" ca="1" si="39"/>
        <v>95506</v>
      </c>
      <c r="AA81" s="226">
        <f t="shared" ca="1" si="39"/>
        <v>97728</v>
      </c>
      <c r="AB81" s="226">
        <f t="shared" ca="1" si="39"/>
        <v>97728</v>
      </c>
      <c r="AC81" s="226">
        <f t="shared" ca="1" si="39"/>
        <v>104845</v>
      </c>
      <c r="AD81" s="226">
        <f t="shared" ca="1" si="39"/>
        <v>84838</v>
      </c>
      <c r="AE81" s="226">
        <f t="shared" ca="1" si="39"/>
        <v>81710</v>
      </c>
      <c r="AF81" s="226">
        <f t="shared" ca="1" si="39"/>
        <v>70932.916666666672</v>
      </c>
      <c r="AG81" s="226">
        <f t="shared" ca="1" si="39"/>
        <v>70932.916666666672</v>
      </c>
      <c r="AH81" s="226">
        <f t="shared" ca="1" si="39"/>
        <v>70932.916666666672</v>
      </c>
      <c r="AI81" s="226">
        <f t="shared" ca="1" si="39"/>
        <v>70932.916666666672</v>
      </c>
      <c r="AJ81" s="226">
        <f t="shared" ca="1" si="39"/>
        <v>70932.916666666672</v>
      </c>
      <c r="AK81" s="226">
        <f t="shared" ca="1" si="39"/>
        <v>70932.916666666672</v>
      </c>
      <c r="AL81" s="226">
        <f t="shared" ca="1" si="39"/>
        <v>70932.916666666672</v>
      </c>
      <c r="AM81" s="226">
        <f t="shared" ca="1" si="39"/>
        <v>70932.916666666672</v>
      </c>
      <c r="AN81" s="226">
        <f t="shared" ca="1" si="39"/>
        <v>70932.916666666672</v>
      </c>
      <c r="AO81" s="226">
        <f t="shared" ca="1" si="39"/>
        <v>70932.916666666672</v>
      </c>
      <c r="AP81" s="226">
        <f t="shared" ca="1" si="39"/>
        <v>70932.916666666672</v>
      </c>
      <c r="AQ81" s="226">
        <f t="shared" ca="1" si="39"/>
        <v>70932.916666666672</v>
      </c>
      <c r="AR81" s="226">
        <f t="shared" ca="1" si="39"/>
        <v>70932.916666666672</v>
      </c>
      <c r="AS81" s="226">
        <f t="shared" ca="1" si="39"/>
        <v>70932.916666666672</v>
      </c>
      <c r="AT81" s="226">
        <f t="shared" ca="1" si="39"/>
        <v>70932.916666666672</v>
      </c>
      <c r="AU81" s="226">
        <f t="shared" ca="1" si="39"/>
        <v>70932.916666666672</v>
      </c>
      <c r="AV81" s="226">
        <f t="shared" ca="1" si="39"/>
        <v>70932.916666666672</v>
      </c>
      <c r="AW81" s="226">
        <f t="shared" ca="1" si="39"/>
        <v>70932.916666666672</v>
      </c>
      <c r="AX81" s="226">
        <f t="shared" ca="1" si="39"/>
        <v>70932.916666666672</v>
      </c>
      <c r="AY81" s="226">
        <f t="shared" ca="1" si="39"/>
        <v>70932.916666666672</v>
      </c>
      <c r="AZ81" s="226">
        <f t="shared" ca="1" si="39"/>
        <v>70932.916666666672</v>
      </c>
      <c r="BA81" s="226">
        <f t="shared" ca="1" si="39"/>
        <v>70932.916666666672</v>
      </c>
      <c r="BB81" s="226">
        <f t="shared" ca="1" si="39"/>
        <v>70932.916666666672</v>
      </c>
      <c r="BC81" s="226">
        <f t="shared" ca="1" si="39"/>
        <v>70932.916666666672</v>
      </c>
      <c r="BD81" s="226">
        <f t="shared" ca="1" si="39"/>
        <v>70932.916666666672</v>
      </c>
      <c r="BE81" s="226">
        <f t="shared" ca="1" si="39"/>
        <v>70932.916666666672</v>
      </c>
      <c r="BF81" s="226">
        <f t="shared" ca="1" si="39"/>
        <v>70932.916666666672</v>
      </c>
      <c r="BG81" s="226">
        <f t="shared" ca="1" si="39"/>
        <v>70932.916666666672</v>
      </c>
      <c r="BH81" s="226">
        <f t="shared" ca="1" si="39"/>
        <v>70932.916666666672</v>
      </c>
      <c r="BI81" s="226">
        <f t="shared" ca="1" si="39"/>
        <v>70932.916666666672</v>
      </c>
      <c r="BJ81" s="226">
        <f t="shared" ca="1" si="39"/>
        <v>70932.916666666672</v>
      </c>
      <c r="BK81" s="226">
        <f t="shared" ca="1" si="39"/>
        <v>70932.916666666672</v>
      </c>
      <c r="BL81" s="226">
        <f t="shared" ca="1" si="39"/>
        <v>70932.916666666672</v>
      </c>
      <c r="BM81" s="226">
        <f t="shared" ca="1" si="39"/>
        <v>70932.916666666672</v>
      </c>
      <c r="BN81" s="226">
        <f t="shared" ca="1" si="39"/>
        <v>70932.916666666672</v>
      </c>
      <c r="BO81" s="226">
        <f t="shared" ca="1" si="39"/>
        <v>70932.916666666672</v>
      </c>
      <c r="BP81" s="226">
        <f t="shared" ca="1" si="39"/>
        <v>70932.916666666672</v>
      </c>
      <c r="BQ81" s="226">
        <f t="shared" ca="1" si="39"/>
        <v>70932.916666666672</v>
      </c>
      <c r="BR81" s="226">
        <f t="shared" ca="1" si="39"/>
        <v>70932.916666666672</v>
      </c>
      <c r="BS81" s="226">
        <f t="shared" ca="1" si="39"/>
        <v>70932.916666666672</v>
      </c>
      <c r="BT81" s="226">
        <f t="shared" ca="1" si="39"/>
        <v>70932.916666666672</v>
      </c>
      <c r="BU81" s="226">
        <f t="shared" ca="1" si="39"/>
        <v>70932.916666666672</v>
      </c>
      <c r="BV81" s="226">
        <f t="shared" ca="1" si="39"/>
        <v>70932.916666666672</v>
      </c>
      <c r="BW81" s="226">
        <f t="shared" ca="1" si="39"/>
        <v>70932.916666666672</v>
      </c>
    </row>
    <row r="82" spans="1:75" ht="12.75" x14ac:dyDescent="0.2">
      <c r="A82" s="23" t="s">
        <v>407</v>
      </c>
      <c r="B82" s="224">
        <f ca="1">AVERAGEIFS(82:82,$1:$1,"&gt;="&amp;DATE(YEAR(Current_Month),MONTH(Current_Month)-2,DAY(Current_Month)),$1:$1,"&lt;="&amp;EOMONTH(Current_Month,0))</f>
        <v>4618.333333333333</v>
      </c>
      <c r="D82" s="115">
        <f t="array" aca="1" ref="D82" ca="1">INDEX(INDIRECT("PnL_"&amp;TEXT(D$1,"mmm")&amp;"_"&amp;TEXT(D$1,"yyyy")),MATCH(TRIM($A82),PnL_Accounts,0))</f>
        <v>77</v>
      </c>
      <c r="E82" s="115">
        <f t="array" aca="1" ref="E82" ca="1">INDEX(INDIRECT("PnL_"&amp;TEXT(E$1,"mmm")&amp;"_"&amp;TEXT(E$1,"yyyy")),MATCH(TRIM($A82),PnL_Accounts,0))</f>
        <v>0</v>
      </c>
      <c r="F82" s="115">
        <f t="array" aca="1" ref="F82" ca="1">INDEX(INDIRECT("PnL_"&amp;TEXT(F$1,"mmm")&amp;"_"&amp;TEXT(F$1,"yyyy")),MATCH(TRIM($A82),PnL_Accounts,0))</f>
        <v>0</v>
      </c>
      <c r="G82" s="115">
        <f t="array" aca="1" ref="G82" ca="1">INDEX(INDIRECT("PnL_"&amp;TEXT(G$1,"mmm")&amp;"_"&amp;TEXT(G$1,"yyyy")),MATCH(TRIM($A82),PnL_Accounts,0))</f>
        <v>0</v>
      </c>
      <c r="H82" s="115">
        <f t="array" aca="1" ref="H82" ca="1">INDEX(INDIRECT("PnL_"&amp;TEXT(H$1,"mmm")&amp;"_"&amp;TEXT(H$1,"yyyy")),MATCH(TRIM($A82),PnL_Accounts,0))</f>
        <v>0</v>
      </c>
      <c r="I82" s="115">
        <f t="array" aca="1" ref="I82" ca="1">INDEX(INDIRECT("PnL_"&amp;TEXT(I$1,"mmm")&amp;"_"&amp;TEXT(I$1,"yyyy")),MATCH(TRIM($A82),PnL_Accounts,0))</f>
        <v>0</v>
      </c>
      <c r="J82" s="115">
        <f t="array" aca="1" ref="J82" ca="1">INDEX(INDIRECT("PnL_"&amp;TEXT(J$1,"mmm")&amp;"_"&amp;TEXT(J$1,"yyyy")),MATCH(TRIM($A82),PnL_Accounts,0))</f>
        <v>0</v>
      </c>
      <c r="K82" s="115">
        <f t="array" aca="1" ref="K82" ca="1">INDEX(INDIRECT("PnL_"&amp;TEXT(K$1,"mmm")&amp;"_"&amp;TEXT(K$1,"yyyy")),MATCH(TRIM($A82),PnL_Accounts,0))</f>
        <v>0</v>
      </c>
      <c r="L82" s="115">
        <f t="array" aca="1" ref="L82" ca="1">INDEX(INDIRECT("PnL_"&amp;TEXT(L$1,"mmm")&amp;"_"&amp;TEXT(L$1,"yyyy")),MATCH(TRIM($A82),PnL_Accounts,0))</f>
        <v>0</v>
      </c>
      <c r="M82" s="115">
        <f t="array" aca="1" ref="M82" ca="1">INDEX(INDIRECT("PnL_"&amp;TEXT(M$1,"mmm")&amp;"_"&amp;TEXT(M$1,"yyyy")),MATCH(TRIM($A82),PnL_Accounts,0))</f>
        <v>0</v>
      </c>
      <c r="N82" s="115">
        <f t="array" aca="1" ref="N82" ca="1">INDEX(INDIRECT("PnL_"&amp;TEXT(N$1,"mmm")&amp;"_"&amp;TEXT(N$1,"yyyy")),MATCH(TRIM($A82),PnL_Accounts,0))</f>
        <v>0</v>
      </c>
      <c r="O82" s="115">
        <f t="array" aca="1" ref="O82" ca="1">INDEX(INDIRECT("PnL_"&amp;TEXT(O$1,"mmm")&amp;"_"&amp;TEXT(O$1,"yyyy")),MATCH(TRIM($A82),PnL_Accounts,0))</f>
        <v>0</v>
      </c>
      <c r="P82" s="115">
        <f t="array" aca="1" ref="P82" ca="1">INDEX(INDIRECT("PnL_"&amp;TEXT(P$1,"mmm")&amp;"_"&amp;TEXT(P$1,"yyyy")),MATCH(TRIM($A82),PnL_Accounts,0))</f>
        <v>2042</v>
      </c>
      <c r="Q82" s="115">
        <f t="array" aca="1" ref="Q82" ca="1">INDEX(INDIRECT("PnL_"&amp;TEXT(Q$1,"mmm")&amp;"_"&amp;TEXT(Q$1,"yyyy")),MATCH(TRIM($A82),PnL_Accounts,0))</f>
        <v>2190</v>
      </c>
      <c r="R82" s="115">
        <f t="array" aca="1" ref="R82" ca="1">INDEX(INDIRECT("PnL_"&amp;TEXT(R$1,"mmm")&amp;"_"&amp;TEXT(R$1,"yyyy")),MATCH(TRIM($A82),PnL_Accounts,0))</f>
        <v>2465</v>
      </c>
      <c r="S82" s="115">
        <f t="array" aca="1" ref="S82" ca="1">INDEX(INDIRECT("PnL_"&amp;TEXT(S$1,"mmm")&amp;"_"&amp;TEXT(S$1,"yyyy")),MATCH(TRIM($A82),PnL_Accounts,0))</f>
        <v>2747</v>
      </c>
      <c r="T82" s="115">
        <f t="array" aca="1" ref="T82" ca="1">INDEX(INDIRECT("PnL_"&amp;TEXT(T$1,"mmm")&amp;"_"&amp;TEXT(T$1,"yyyy")),MATCH(TRIM($A82),PnL_Accounts,0))</f>
        <v>2874</v>
      </c>
      <c r="U82" s="115">
        <f t="array" aca="1" ref="U82" ca="1">INDEX(INDIRECT("PnL_"&amp;TEXT(U$1,"mmm")&amp;"_"&amp;TEXT(U$1,"yyyy")),MATCH(TRIM($A82),PnL_Accounts,0))</f>
        <v>3124</v>
      </c>
      <c r="V82" s="115">
        <f t="array" aca="1" ref="V82" ca="1">INDEX(INDIRECT("PnL_"&amp;TEXT(V$1,"mmm")&amp;"_"&amp;TEXT(V$1,"yyyy")),MATCH(TRIM($A82),PnL_Accounts,0))</f>
        <v>3274</v>
      </c>
      <c r="W82" s="115">
        <f t="array" aca="1" ref="W82" ca="1">INDEX(INDIRECT("PnL_"&amp;TEXT(W$1,"mmm")&amp;"_"&amp;TEXT(W$1,"yyyy")),MATCH(TRIM($A82),PnL_Accounts,0))</f>
        <v>3414</v>
      </c>
      <c r="X82" s="115">
        <f t="array" aca="1" ref="X82" ca="1">INDEX(INDIRECT("PnL_"&amp;TEXT(X$1,"mmm")&amp;"_"&amp;TEXT(X$1,"yyyy")),MATCH(TRIM($A82),PnL_Accounts,0))</f>
        <v>3414</v>
      </c>
      <c r="Y82" s="115">
        <f t="array" aca="1" ref="Y82" ca="1">INDEX(INDIRECT("PnL_"&amp;TEXT(Y$1,"mmm")&amp;"_"&amp;TEXT(Y$1,"yyyy")),MATCH(TRIM($A82),PnL_Accounts,0))</f>
        <v>3898</v>
      </c>
      <c r="Z82" s="115">
        <f t="array" aca="1" ref="Z82" ca="1">INDEX(INDIRECT("PnL_"&amp;TEXT(Z$1,"mmm")&amp;"_"&amp;TEXT(Z$1,"yyyy")),MATCH(TRIM($A82),PnL_Accounts,0))</f>
        <v>4129</v>
      </c>
      <c r="AA82" s="115">
        <f t="array" aca="1" ref="AA82" ca="1">INDEX(INDIRECT("PnL_"&amp;TEXT(AA$1,"mmm")&amp;"_"&amp;TEXT(AA$1,"yyyy")),MATCH(TRIM($A82),PnL_Accounts,0))</f>
        <v>4243</v>
      </c>
      <c r="AB82" s="115">
        <f t="array" aca="1" ref="AB82" ca="1">INDEX(INDIRECT("PnL_"&amp;TEXT(AB$1,"mmm")&amp;"_"&amp;TEXT(AB$1,"yyyy")),MATCH(TRIM($A82),PnL_Accounts,0))</f>
        <v>4243</v>
      </c>
      <c r="AC82" s="115">
        <f t="array" aca="1" ref="AC82" ca="1">INDEX(INDIRECT("PnL_"&amp;TEXT(AC$1,"mmm")&amp;"_"&amp;TEXT(AC$1,"yyyy")),MATCH(TRIM($A82),PnL_Accounts,0))</f>
        <v>4987</v>
      </c>
      <c r="AD82" s="115">
        <f t="array" aca="1" ref="AD82" ca="1">INDEX(INDIRECT("PnL_"&amp;TEXT(AD$1,"mmm")&amp;"_"&amp;TEXT(AD$1,"yyyy")),MATCH(TRIM($A82),PnL_Accounts,0))</f>
        <v>4756</v>
      </c>
      <c r="AE82" s="115">
        <f t="array" aca="1" ref="AE82" ca="1">INDEX(INDIRECT("PnL_"&amp;TEXT(AE$1,"mmm")&amp;"_"&amp;TEXT(AE$1,"yyyy")),MATCH(TRIM($A82),PnL_Accounts,0))</f>
        <v>4112</v>
      </c>
      <c r="AF82" s="165">
        <f t="shared" ref="AF82:BW82" ca="1" si="40">$B82</f>
        <v>4618.333333333333</v>
      </c>
      <c r="AG82" s="165">
        <f t="shared" ca="1" si="40"/>
        <v>4618.333333333333</v>
      </c>
      <c r="AH82" s="165">
        <f t="shared" ca="1" si="40"/>
        <v>4618.333333333333</v>
      </c>
      <c r="AI82" s="165">
        <f t="shared" ca="1" si="40"/>
        <v>4618.333333333333</v>
      </c>
      <c r="AJ82" s="165">
        <f t="shared" ca="1" si="40"/>
        <v>4618.333333333333</v>
      </c>
      <c r="AK82" s="165">
        <f t="shared" ca="1" si="40"/>
        <v>4618.333333333333</v>
      </c>
      <c r="AL82" s="165">
        <f t="shared" ca="1" si="40"/>
        <v>4618.333333333333</v>
      </c>
      <c r="AM82" s="165">
        <f t="shared" ca="1" si="40"/>
        <v>4618.333333333333</v>
      </c>
      <c r="AN82" s="165">
        <f t="shared" ca="1" si="40"/>
        <v>4618.333333333333</v>
      </c>
      <c r="AO82" s="165">
        <f t="shared" ca="1" si="40"/>
        <v>4618.333333333333</v>
      </c>
      <c r="AP82" s="165">
        <f t="shared" ca="1" si="40"/>
        <v>4618.333333333333</v>
      </c>
      <c r="AQ82" s="165">
        <f t="shared" ca="1" si="40"/>
        <v>4618.333333333333</v>
      </c>
      <c r="AR82" s="165">
        <f t="shared" ca="1" si="40"/>
        <v>4618.333333333333</v>
      </c>
      <c r="AS82" s="165">
        <f t="shared" ca="1" si="40"/>
        <v>4618.333333333333</v>
      </c>
      <c r="AT82" s="165">
        <f t="shared" ca="1" si="40"/>
        <v>4618.333333333333</v>
      </c>
      <c r="AU82" s="165">
        <f t="shared" ca="1" si="40"/>
        <v>4618.333333333333</v>
      </c>
      <c r="AV82" s="165">
        <f t="shared" ca="1" si="40"/>
        <v>4618.333333333333</v>
      </c>
      <c r="AW82" s="165">
        <f t="shared" ca="1" si="40"/>
        <v>4618.333333333333</v>
      </c>
      <c r="AX82" s="165">
        <f t="shared" ca="1" si="40"/>
        <v>4618.333333333333</v>
      </c>
      <c r="AY82" s="165">
        <f t="shared" ca="1" si="40"/>
        <v>4618.333333333333</v>
      </c>
      <c r="AZ82" s="165">
        <f t="shared" ca="1" si="40"/>
        <v>4618.333333333333</v>
      </c>
      <c r="BA82" s="165">
        <f t="shared" ca="1" si="40"/>
        <v>4618.333333333333</v>
      </c>
      <c r="BB82" s="165">
        <f t="shared" ca="1" si="40"/>
        <v>4618.333333333333</v>
      </c>
      <c r="BC82" s="165">
        <f t="shared" ca="1" si="40"/>
        <v>4618.333333333333</v>
      </c>
      <c r="BD82" s="165">
        <f t="shared" ca="1" si="40"/>
        <v>4618.333333333333</v>
      </c>
      <c r="BE82" s="165">
        <f t="shared" ca="1" si="40"/>
        <v>4618.333333333333</v>
      </c>
      <c r="BF82" s="165">
        <f t="shared" ca="1" si="40"/>
        <v>4618.333333333333</v>
      </c>
      <c r="BG82" s="165">
        <f t="shared" ca="1" si="40"/>
        <v>4618.333333333333</v>
      </c>
      <c r="BH82" s="165">
        <f t="shared" ca="1" si="40"/>
        <v>4618.333333333333</v>
      </c>
      <c r="BI82" s="165">
        <f t="shared" ca="1" si="40"/>
        <v>4618.333333333333</v>
      </c>
      <c r="BJ82" s="165">
        <f t="shared" ca="1" si="40"/>
        <v>4618.333333333333</v>
      </c>
      <c r="BK82" s="165">
        <f t="shared" ca="1" si="40"/>
        <v>4618.333333333333</v>
      </c>
      <c r="BL82" s="165">
        <f t="shared" ca="1" si="40"/>
        <v>4618.333333333333</v>
      </c>
      <c r="BM82" s="165">
        <f t="shared" ca="1" si="40"/>
        <v>4618.333333333333</v>
      </c>
      <c r="BN82" s="165">
        <f t="shared" ca="1" si="40"/>
        <v>4618.333333333333</v>
      </c>
      <c r="BO82" s="165">
        <f t="shared" ca="1" si="40"/>
        <v>4618.333333333333</v>
      </c>
      <c r="BP82" s="165">
        <f t="shared" ca="1" si="40"/>
        <v>4618.333333333333</v>
      </c>
      <c r="BQ82" s="165">
        <f t="shared" ca="1" si="40"/>
        <v>4618.333333333333</v>
      </c>
      <c r="BR82" s="165">
        <f t="shared" ca="1" si="40"/>
        <v>4618.333333333333</v>
      </c>
      <c r="BS82" s="165">
        <f t="shared" ca="1" si="40"/>
        <v>4618.333333333333</v>
      </c>
      <c r="BT82" s="165">
        <f t="shared" ca="1" si="40"/>
        <v>4618.333333333333</v>
      </c>
      <c r="BU82" s="165">
        <f t="shared" ca="1" si="40"/>
        <v>4618.333333333333</v>
      </c>
      <c r="BV82" s="165">
        <f t="shared" ca="1" si="40"/>
        <v>4618.333333333333</v>
      </c>
      <c r="BW82" s="165">
        <f t="shared" ca="1" si="40"/>
        <v>4618.333333333333</v>
      </c>
    </row>
    <row r="83" spans="1:75" ht="12.75" x14ac:dyDescent="0.2">
      <c r="A83" s="60" t="s">
        <v>337</v>
      </c>
      <c r="B83" s="238"/>
      <c r="C83" s="212"/>
      <c r="D83" s="226">
        <f t="shared" ref="D83:BW83" ca="1" si="41">SUM(D81:D82)</f>
        <v>23023</v>
      </c>
      <c r="E83" s="226">
        <f t="shared" ca="1" si="41"/>
        <v>25460</v>
      </c>
      <c r="F83" s="226">
        <f t="shared" ca="1" si="41"/>
        <v>37962</v>
      </c>
      <c r="G83" s="226">
        <f t="shared" ca="1" si="41"/>
        <v>38809</v>
      </c>
      <c r="H83" s="226">
        <f t="shared" ca="1" si="41"/>
        <v>44215</v>
      </c>
      <c r="I83" s="226">
        <f t="shared" ca="1" si="41"/>
        <v>39264</v>
      </c>
      <c r="J83" s="226">
        <f t="shared" ca="1" si="41"/>
        <v>52535</v>
      </c>
      <c r="K83" s="226">
        <f t="shared" ca="1" si="41"/>
        <v>53627</v>
      </c>
      <c r="L83" s="226">
        <f t="shared" ca="1" si="41"/>
        <v>54490</v>
      </c>
      <c r="M83" s="226">
        <f t="shared" ca="1" si="41"/>
        <v>63489</v>
      </c>
      <c r="N83" s="226">
        <f t="shared" ca="1" si="41"/>
        <v>62077</v>
      </c>
      <c r="O83" s="226">
        <f t="shared" ca="1" si="41"/>
        <v>71262</v>
      </c>
      <c r="P83" s="226">
        <f t="shared" ca="1" si="41"/>
        <v>71446</v>
      </c>
      <c r="Q83" s="226">
        <f t="shared" ca="1" si="41"/>
        <v>79678</v>
      </c>
      <c r="R83" s="226">
        <f t="shared" ca="1" si="41"/>
        <v>81930</v>
      </c>
      <c r="S83" s="226">
        <f t="shared" ca="1" si="41"/>
        <v>81379</v>
      </c>
      <c r="T83" s="226">
        <f t="shared" ca="1" si="41"/>
        <v>86711</v>
      </c>
      <c r="U83" s="226">
        <f t="shared" ca="1" si="41"/>
        <v>85941</v>
      </c>
      <c r="V83" s="226">
        <f t="shared" ca="1" si="41"/>
        <v>86957</v>
      </c>
      <c r="W83" s="226">
        <f t="shared" ca="1" si="41"/>
        <v>87854</v>
      </c>
      <c r="X83" s="226">
        <f t="shared" ca="1" si="41"/>
        <v>90924</v>
      </c>
      <c r="Y83" s="226">
        <f t="shared" ca="1" si="41"/>
        <v>94174</v>
      </c>
      <c r="Z83" s="226">
        <f t="shared" ca="1" si="41"/>
        <v>99635</v>
      </c>
      <c r="AA83" s="226">
        <f t="shared" ca="1" si="41"/>
        <v>101971</v>
      </c>
      <c r="AB83" s="226">
        <f t="shared" ca="1" si="41"/>
        <v>101971</v>
      </c>
      <c r="AC83" s="226">
        <f t="shared" ca="1" si="41"/>
        <v>109832</v>
      </c>
      <c r="AD83" s="226">
        <f t="shared" ca="1" si="41"/>
        <v>89594</v>
      </c>
      <c r="AE83" s="226">
        <f t="shared" ca="1" si="41"/>
        <v>85822</v>
      </c>
      <c r="AF83" s="226">
        <f t="shared" ca="1" si="41"/>
        <v>75551.25</v>
      </c>
      <c r="AG83" s="226">
        <f t="shared" ca="1" si="41"/>
        <v>75551.25</v>
      </c>
      <c r="AH83" s="226">
        <f t="shared" ca="1" si="41"/>
        <v>75551.25</v>
      </c>
      <c r="AI83" s="226">
        <f t="shared" ca="1" si="41"/>
        <v>75551.25</v>
      </c>
      <c r="AJ83" s="226">
        <f t="shared" ca="1" si="41"/>
        <v>75551.25</v>
      </c>
      <c r="AK83" s="226">
        <f t="shared" ca="1" si="41"/>
        <v>75551.25</v>
      </c>
      <c r="AL83" s="226">
        <f t="shared" ca="1" si="41"/>
        <v>75551.25</v>
      </c>
      <c r="AM83" s="226">
        <f t="shared" ca="1" si="41"/>
        <v>75551.25</v>
      </c>
      <c r="AN83" s="226">
        <f t="shared" ca="1" si="41"/>
        <v>75551.25</v>
      </c>
      <c r="AO83" s="226">
        <f t="shared" ca="1" si="41"/>
        <v>75551.25</v>
      </c>
      <c r="AP83" s="226">
        <f t="shared" ca="1" si="41"/>
        <v>75551.25</v>
      </c>
      <c r="AQ83" s="226">
        <f t="shared" ca="1" si="41"/>
        <v>75551.25</v>
      </c>
      <c r="AR83" s="226">
        <f t="shared" ca="1" si="41"/>
        <v>75551.25</v>
      </c>
      <c r="AS83" s="226">
        <f t="shared" ca="1" si="41"/>
        <v>75551.25</v>
      </c>
      <c r="AT83" s="226">
        <f t="shared" ca="1" si="41"/>
        <v>75551.25</v>
      </c>
      <c r="AU83" s="226">
        <f t="shared" ca="1" si="41"/>
        <v>75551.25</v>
      </c>
      <c r="AV83" s="226">
        <f t="shared" ca="1" si="41"/>
        <v>75551.25</v>
      </c>
      <c r="AW83" s="226">
        <f t="shared" ca="1" si="41"/>
        <v>75551.25</v>
      </c>
      <c r="AX83" s="226">
        <f t="shared" ca="1" si="41"/>
        <v>75551.25</v>
      </c>
      <c r="AY83" s="226">
        <f t="shared" ca="1" si="41"/>
        <v>75551.25</v>
      </c>
      <c r="AZ83" s="226">
        <f t="shared" ca="1" si="41"/>
        <v>75551.25</v>
      </c>
      <c r="BA83" s="226">
        <f t="shared" ca="1" si="41"/>
        <v>75551.25</v>
      </c>
      <c r="BB83" s="226">
        <f t="shared" ca="1" si="41"/>
        <v>75551.25</v>
      </c>
      <c r="BC83" s="226">
        <f t="shared" ca="1" si="41"/>
        <v>75551.25</v>
      </c>
      <c r="BD83" s="226">
        <f t="shared" ca="1" si="41"/>
        <v>75551.25</v>
      </c>
      <c r="BE83" s="226">
        <f t="shared" ca="1" si="41"/>
        <v>75551.25</v>
      </c>
      <c r="BF83" s="226">
        <f t="shared" ca="1" si="41"/>
        <v>75551.25</v>
      </c>
      <c r="BG83" s="226">
        <f t="shared" ca="1" si="41"/>
        <v>75551.25</v>
      </c>
      <c r="BH83" s="226">
        <f t="shared" ca="1" si="41"/>
        <v>75551.25</v>
      </c>
      <c r="BI83" s="226">
        <f t="shared" ca="1" si="41"/>
        <v>75551.25</v>
      </c>
      <c r="BJ83" s="226">
        <f t="shared" ca="1" si="41"/>
        <v>75551.25</v>
      </c>
      <c r="BK83" s="226">
        <f t="shared" ca="1" si="41"/>
        <v>75551.25</v>
      </c>
      <c r="BL83" s="226">
        <f t="shared" ca="1" si="41"/>
        <v>75551.25</v>
      </c>
      <c r="BM83" s="226">
        <f t="shared" ca="1" si="41"/>
        <v>75551.25</v>
      </c>
      <c r="BN83" s="226">
        <f t="shared" ca="1" si="41"/>
        <v>75551.25</v>
      </c>
      <c r="BO83" s="226">
        <f t="shared" ca="1" si="41"/>
        <v>75551.25</v>
      </c>
      <c r="BP83" s="226">
        <f t="shared" ca="1" si="41"/>
        <v>75551.25</v>
      </c>
      <c r="BQ83" s="226">
        <f t="shared" ca="1" si="41"/>
        <v>75551.25</v>
      </c>
      <c r="BR83" s="226">
        <f t="shared" ca="1" si="41"/>
        <v>75551.25</v>
      </c>
      <c r="BS83" s="226">
        <f t="shared" ca="1" si="41"/>
        <v>75551.25</v>
      </c>
      <c r="BT83" s="226">
        <f t="shared" ca="1" si="41"/>
        <v>75551.25</v>
      </c>
      <c r="BU83" s="226">
        <f t="shared" ca="1" si="41"/>
        <v>75551.25</v>
      </c>
      <c r="BV83" s="226">
        <f t="shared" ca="1" si="41"/>
        <v>75551.25</v>
      </c>
      <c r="BW83" s="226">
        <f t="shared" ca="1" si="41"/>
        <v>75551.25</v>
      </c>
    </row>
    <row r="84" spans="1:75" ht="12.75" x14ac:dyDescent="0.2">
      <c r="A84" s="60" t="s">
        <v>338</v>
      </c>
      <c r="B84" s="238"/>
      <c r="C84" s="212"/>
      <c r="D84" s="213">
        <f t="shared" ref="D84:BW84" ca="1" si="42">SUM(D74,D83)</f>
        <v>73853</v>
      </c>
      <c r="E84" s="213">
        <f t="shared" ca="1" si="42"/>
        <v>78981</v>
      </c>
      <c r="F84" s="213">
        <f t="shared" ca="1" si="42"/>
        <v>93782</v>
      </c>
      <c r="G84" s="213">
        <f t="shared" ca="1" si="42"/>
        <v>97541</v>
      </c>
      <c r="H84" s="213">
        <f t="shared" ca="1" si="42"/>
        <v>106578</v>
      </c>
      <c r="I84" s="213">
        <f t="shared" ca="1" si="42"/>
        <v>103848</v>
      </c>
      <c r="J84" s="213">
        <f t="shared" ca="1" si="42"/>
        <v>132921</v>
      </c>
      <c r="K84" s="213">
        <f t="shared" ca="1" si="42"/>
        <v>139510</v>
      </c>
      <c r="L84" s="213">
        <f t="shared" ca="1" si="42"/>
        <v>163781</v>
      </c>
      <c r="M84" s="213">
        <f t="shared" ca="1" si="42"/>
        <v>184803</v>
      </c>
      <c r="N84" s="213">
        <f t="shared" ca="1" si="42"/>
        <v>204504</v>
      </c>
      <c r="O84" s="213">
        <f t="shared" ca="1" si="42"/>
        <v>224017</v>
      </c>
      <c r="P84" s="213">
        <f t="shared" ca="1" si="42"/>
        <v>236691</v>
      </c>
      <c r="Q84" s="213">
        <f t="shared" ca="1" si="42"/>
        <v>266218</v>
      </c>
      <c r="R84" s="213">
        <f t="shared" ca="1" si="42"/>
        <v>270508</v>
      </c>
      <c r="S84" s="213">
        <f t="shared" ca="1" si="42"/>
        <v>268262</v>
      </c>
      <c r="T84" s="213">
        <f t="shared" ca="1" si="42"/>
        <v>288544</v>
      </c>
      <c r="U84" s="213">
        <f t="shared" ca="1" si="42"/>
        <v>285526</v>
      </c>
      <c r="V84" s="213">
        <f t="shared" ca="1" si="42"/>
        <v>284126</v>
      </c>
      <c r="W84" s="213">
        <f t="shared" ca="1" si="42"/>
        <v>287045</v>
      </c>
      <c r="X84" s="213">
        <f t="shared" ca="1" si="42"/>
        <v>294322</v>
      </c>
      <c r="Y84" s="213">
        <f t="shared" ca="1" si="42"/>
        <v>277501</v>
      </c>
      <c r="Z84" s="213">
        <f t="shared" ca="1" si="42"/>
        <v>294377</v>
      </c>
      <c r="AA84" s="213">
        <f t="shared" ca="1" si="42"/>
        <v>308676</v>
      </c>
      <c r="AB84" s="213">
        <f t="shared" ca="1" si="42"/>
        <v>312682</v>
      </c>
      <c r="AC84" s="213">
        <f t="shared" ca="1" si="42"/>
        <v>326880</v>
      </c>
      <c r="AD84" s="213">
        <f t="shared" ca="1" si="42"/>
        <v>296642</v>
      </c>
      <c r="AE84" s="213">
        <f t="shared" ca="1" si="42"/>
        <v>284575</v>
      </c>
      <c r="AF84" s="213">
        <f t="shared" ca="1" si="42"/>
        <v>259611.91666666666</v>
      </c>
      <c r="AG84" s="213">
        <f t="shared" ca="1" si="42"/>
        <v>259611.91666666666</v>
      </c>
      <c r="AH84" s="213">
        <f t="shared" ca="1" si="42"/>
        <v>259611.91666666666</v>
      </c>
      <c r="AI84" s="213">
        <f t="shared" ca="1" si="42"/>
        <v>259611.91666666666</v>
      </c>
      <c r="AJ84" s="213">
        <f t="shared" ca="1" si="42"/>
        <v>294611.91666666663</v>
      </c>
      <c r="AK84" s="213">
        <f t="shared" ca="1" si="42"/>
        <v>309611.91666666663</v>
      </c>
      <c r="AL84" s="213">
        <f t="shared" ca="1" si="42"/>
        <v>324611.91666666663</v>
      </c>
      <c r="AM84" s="213">
        <f t="shared" ca="1" si="42"/>
        <v>339611.91666666663</v>
      </c>
      <c r="AN84" s="213">
        <f t="shared" ca="1" si="42"/>
        <v>354611.91666666669</v>
      </c>
      <c r="AO84" s="213">
        <f t="shared" ca="1" si="42"/>
        <v>369611.91666666669</v>
      </c>
      <c r="AP84" s="213">
        <f t="shared" ca="1" si="42"/>
        <v>384611.91666666669</v>
      </c>
      <c r="AQ84" s="213">
        <f t="shared" ca="1" si="42"/>
        <v>399611.91666666669</v>
      </c>
      <c r="AR84" s="213">
        <f t="shared" ca="1" si="42"/>
        <v>414611.91666666669</v>
      </c>
      <c r="AS84" s="213">
        <f t="shared" ca="1" si="42"/>
        <v>429611.91666666669</v>
      </c>
      <c r="AT84" s="213">
        <f t="shared" ca="1" si="42"/>
        <v>444611.91666666669</v>
      </c>
      <c r="AU84" s="213">
        <f t="shared" ca="1" si="42"/>
        <v>459611.91666666669</v>
      </c>
      <c r="AV84" s="213">
        <f t="shared" ca="1" si="42"/>
        <v>474611.91666666669</v>
      </c>
      <c r="AW84" s="213">
        <f t="shared" ca="1" si="42"/>
        <v>489611.91666666669</v>
      </c>
      <c r="AX84" s="213">
        <f t="shared" ca="1" si="42"/>
        <v>504611.91666666669</v>
      </c>
      <c r="AY84" s="213">
        <f t="shared" ca="1" si="42"/>
        <v>519611.91666666669</v>
      </c>
      <c r="AZ84" s="213">
        <f t="shared" ca="1" si="42"/>
        <v>504683.3309571211</v>
      </c>
      <c r="BA84" s="213">
        <f t="shared" ca="1" si="42"/>
        <v>517348.98493824608</v>
      </c>
      <c r="BB84" s="213">
        <f t="shared" ca="1" si="42"/>
        <v>527912.94228393724</v>
      </c>
      <c r="BC84" s="213">
        <f t="shared" ca="1" si="42"/>
        <v>535643.53935775429</v>
      </c>
      <c r="BD84" s="213">
        <f t="shared" ca="1" si="42"/>
        <v>539830.85982594232</v>
      </c>
      <c r="BE84" s="213">
        <f t="shared" ca="1" si="42"/>
        <v>549011.08879430895</v>
      </c>
      <c r="BF84" s="213">
        <f t="shared" ca="1" si="42"/>
        <v>557280.9550515837</v>
      </c>
      <c r="BG84" s="213">
        <f t="shared" ca="1" si="42"/>
        <v>564951.62466136296</v>
      </c>
      <c r="BH84" s="213">
        <f t="shared" ca="1" si="42"/>
        <v>572606.64173854422</v>
      </c>
      <c r="BI84" s="213">
        <f t="shared" ca="1" si="42"/>
        <v>581167.39102188416</v>
      </c>
      <c r="BJ84" s="213">
        <f t="shared" ca="1" si="42"/>
        <v>589566.33759724372</v>
      </c>
      <c r="BK84" s="213">
        <f t="shared" ca="1" si="42"/>
        <v>597998.99882946443</v>
      </c>
      <c r="BL84" s="213">
        <f t="shared" ca="1" si="42"/>
        <v>606630.68564872106</v>
      </c>
      <c r="BM84" s="213">
        <f t="shared" ca="1" si="42"/>
        <v>615517.47011345369</v>
      </c>
      <c r="BN84" s="213">
        <f t="shared" ca="1" si="42"/>
        <v>624489.41213302023</v>
      </c>
      <c r="BO84" s="213">
        <f t="shared" ca="1" si="42"/>
        <v>633611.01558099862</v>
      </c>
      <c r="BP84" s="213">
        <f t="shared" ca="1" si="42"/>
        <v>642912.5647460781</v>
      </c>
      <c r="BQ84" s="213">
        <f t="shared" ca="1" si="42"/>
        <v>652389.07613211172</v>
      </c>
      <c r="BR84" s="213">
        <f t="shared" ca="1" si="42"/>
        <v>662019.6190629109</v>
      </c>
      <c r="BS84" s="213">
        <f t="shared" ca="1" si="42"/>
        <v>671822.18282585603</v>
      </c>
      <c r="BT84" s="213">
        <f t="shared" ca="1" si="42"/>
        <v>681802.60750280996</v>
      </c>
      <c r="BU84" s="213">
        <f t="shared" ca="1" si="42"/>
        <v>691960.3485613307</v>
      </c>
      <c r="BV84" s="213">
        <f t="shared" ca="1" si="42"/>
        <v>702296.02088770259</v>
      </c>
      <c r="BW84" s="213">
        <f t="shared" ca="1" si="42"/>
        <v>712815.86688181246</v>
      </c>
    </row>
    <row r="85" spans="1:75" ht="12.75" x14ac:dyDescent="0.2">
      <c r="A85" s="69" t="s">
        <v>244</v>
      </c>
      <c r="B85" s="221"/>
      <c r="D85" s="115">
        <f t="array" aca="1" ref="D85" ca="1">INDEX(INDIRECT("PnL_"&amp;TEXT(D$1,"mmm")&amp;"_"&amp;TEXT(D$1,"yyyy")),MATCH(TRIM($A84),PnL_Accounts,0))-D84</f>
        <v>0</v>
      </c>
      <c r="E85" s="115">
        <f t="array" aca="1" ref="E85" ca="1">INDEX(INDIRECT("PnL_"&amp;TEXT(E$1,"mmm")&amp;"_"&amp;TEXT(E$1,"yyyy")),MATCH(TRIM($A84),PnL_Accounts,0))-E84</f>
        <v>0</v>
      </c>
      <c r="F85" s="115">
        <f t="array" aca="1" ref="F85" ca="1">INDEX(INDIRECT("PnL_"&amp;TEXT(F$1,"mmm")&amp;"_"&amp;TEXT(F$1,"yyyy")),MATCH(TRIM($A84),PnL_Accounts,0))-F84</f>
        <v>0</v>
      </c>
      <c r="G85" s="115">
        <f t="array" aca="1" ref="G85" ca="1">INDEX(INDIRECT("PnL_"&amp;TEXT(G$1,"mmm")&amp;"_"&amp;TEXT(G$1,"yyyy")),MATCH(TRIM($A84),PnL_Accounts,0))-G84</f>
        <v>0</v>
      </c>
      <c r="H85" s="115">
        <f t="array" aca="1" ref="H85" ca="1">INDEX(INDIRECT("PnL_"&amp;TEXT(H$1,"mmm")&amp;"_"&amp;TEXT(H$1,"yyyy")),MATCH(TRIM($A84),PnL_Accounts,0))-H84</f>
        <v>0</v>
      </c>
      <c r="I85" s="115">
        <f t="array" aca="1" ref="I85" ca="1">INDEX(INDIRECT("PnL_"&amp;TEXT(I$1,"mmm")&amp;"_"&amp;TEXT(I$1,"yyyy")),MATCH(TRIM($A84),PnL_Accounts,0))-I84</f>
        <v>0</v>
      </c>
      <c r="J85" s="115">
        <f t="array" aca="1" ref="J85" ca="1">INDEX(INDIRECT("PnL_"&amp;TEXT(J$1,"mmm")&amp;"_"&amp;TEXT(J$1,"yyyy")),MATCH(TRIM($A84),PnL_Accounts,0))-J84</f>
        <v>0</v>
      </c>
      <c r="K85" s="115">
        <f t="array" aca="1" ref="K85" ca="1">INDEX(INDIRECT("PnL_"&amp;TEXT(K$1,"mmm")&amp;"_"&amp;TEXT(K$1,"yyyy")),MATCH(TRIM($A84),PnL_Accounts,0))-K84</f>
        <v>0</v>
      </c>
      <c r="L85" s="115">
        <f t="array" aca="1" ref="L85" ca="1">INDEX(INDIRECT("PnL_"&amp;TEXT(L$1,"mmm")&amp;"_"&amp;TEXT(L$1,"yyyy")),MATCH(TRIM($A84),PnL_Accounts,0))-L84</f>
        <v>0</v>
      </c>
      <c r="M85" s="115">
        <f t="array" aca="1" ref="M85" ca="1">INDEX(INDIRECT("PnL_"&amp;TEXT(M$1,"mmm")&amp;"_"&amp;TEXT(M$1,"yyyy")),MATCH(TRIM($A84),PnL_Accounts,0))-M84</f>
        <v>0</v>
      </c>
      <c r="N85" s="115">
        <f t="array" aca="1" ref="N85" ca="1">INDEX(INDIRECT("PnL_"&amp;TEXT(N$1,"mmm")&amp;"_"&amp;TEXT(N$1,"yyyy")),MATCH(TRIM($A84),PnL_Accounts,0))-N84</f>
        <v>0</v>
      </c>
      <c r="O85" s="115">
        <f t="array" aca="1" ref="O85" ca="1">INDEX(INDIRECT("PnL_"&amp;TEXT(O$1,"mmm")&amp;"_"&amp;TEXT(O$1,"yyyy")),MATCH(TRIM($A84),PnL_Accounts,0))-O84</f>
        <v>0</v>
      </c>
      <c r="P85" s="115">
        <f t="array" aca="1" ref="P85" ca="1">INDEX(INDIRECT("PnL_"&amp;TEXT(P$1,"mmm")&amp;"_"&amp;TEXT(P$1,"yyyy")),MATCH(TRIM($A84),PnL_Accounts,0))-P84</f>
        <v>0</v>
      </c>
      <c r="Q85" s="115">
        <f t="array" aca="1" ref="Q85" ca="1">INDEX(INDIRECT("PnL_"&amp;TEXT(Q$1,"mmm")&amp;"_"&amp;TEXT(Q$1,"yyyy")),MATCH(TRIM($A84),PnL_Accounts,0))-Q84</f>
        <v>0</v>
      </c>
      <c r="R85" s="115">
        <f t="array" aca="1" ref="R85" ca="1">INDEX(INDIRECT("PnL_"&amp;TEXT(R$1,"mmm")&amp;"_"&amp;TEXT(R$1,"yyyy")),MATCH(TRIM($A84),PnL_Accounts,0))-R84</f>
        <v>0</v>
      </c>
      <c r="S85" s="115">
        <f t="array" aca="1" ref="S85" ca="1">INDEX(INDIRECT("PnL_"&amp;TEXT(S$1,"mmm")&amp;"_"&amp;TEXT(S$1,"yyyy")),MATCH(TRIM($A84),PnL_Accounts,0))-S84</f>
        <v>0</v>
      </c>
      <c r="T85" s="115">
        <f t="array" aca="1" ref="T85" ca="1">INDEX(INDIRECT("PnL_"&amp;TEXT(T$1,"mmm")&amp;"_"&amp;TEXT(T$1,"yyyy")),MATCH(TRIM($A84),PnL_Accounts,0))-T84</f>
        <v>0</v>
      </c>
      <c r="U85" s="115">
        <f t="array" aca="1" ref="U85" ca="1">INDEX(INDIRECT("PnL_"&amp;TEXT(U$1,"mmm")&amp;"_"&amp;TEXT(U$1,"yyyy")),MATCH(TRIM($A84),PnL_Accounts,0))-U84</f>
        <v>0</v>
      </c>
      <c r="V85" s="115">
        <f t="array" aca="1" ref="V85" ca="1">INDEX(INDIRECT("PnL_"&amp;TEXT(V$1,"mmm")&amp;"_"&amp;TEXT(V$1,"yyyy")),MATCH(TRIM($A84),PnL_Accounts,0))-V84</f>
        <v>0</v>
      </c>
      <c r="W85" s="115">
        <f t="array" aca="1" ref="W85" ca="1">INDEX(INDIRECT("PnL_"&amp;TEXT(W$1,"mmm")&amp;"_"&amp;TEXT(W$1,"yyyy")),MATCH(TRIM($A84),PnL_Accounts,0))-W84</f>
        <v>0</v>
      </c>
      <c r="X85" s="115">
        <f t="array" aca="1" ref="X85" ca="1">INDEX(INDIRECT("PnL_"&amp;TEXT(X$1,"mmm")&amp;"_"&amp;TEXT(X$1,"yyyy")),MATCH(TRIM($A84),PnL_Accounts,0))-X84</f>
        <v>0</v>
      </c>
      <c r="Y85" s="115">
        <f t="array" aca="1" ref="Y85" ca="1">INDEX(INDIRECT("PnL_"&amp;TEXT(Y$1,"mmm")&amp;"_"&amp;TEXT(Y$1,"yyyy")),MATCH(TRIM($A84),PnL_Accounts,0))-Y84</f>
        <v>0</v>
      </c>
      <c r="Z85" s="115">
        <f t="array" aca="1" ref="Z85" ca="1">INDEX(INDIRECT("PnL_"&amp;TEXT(Z$1,"mmm")&amp;"_"&amp;TEXT(Z$1,"yyyy")),MATCH(TRIM($A84),PnL_Accounts,0))-Z84</f>
        <v>0</v>
      </c>
      <c r="AA85" s="115">
        <f t="array" aca="1" ref="AA85" ca="1">INDEX(INDIRECT("PnL_"&amp;TEXT(AA$1,"mmm")&amp;"_"&amp;TEXT(AA$1,"yyyy")),MATCH(TRIM($A84),PnL_Accounts,0))-AA84</f>
        <v>0</v>
      </c>
      <c r="AB85" s="115">
        <f t="array" aca="1" ref="AB85" ca="1">INDEX(INDIRECT("PnL_"&amp;TEXT(AB$1,"mmm")&amp;"_"&amp;TEXT(AB$1,"yyyy")),MATCH(TRIM($A84),PnL_Accounts,0))-AB84</f>
        <v>0</v>
      </c>
      <c r="AC85" s="115">
        <f t="array" aca="1" ref="AC85" ca="1">INDEX(INDIRECT("PnL_"&amp;TEXT(AC$1,"mmm")&amp;"_"&amp;TEXT(AC$1,"yyyy")),MATCH(TRIM($A84),PnL_Accounts,0))-AC84</f>
        <v>0</v>
      </c>
      <c r="AD85" s="115">
        <f t="array" aca="1" ref="AD85" ca="1">INDEX(INDIRECT("PnL_"&amp;TEXT(AD$1,"mmm")&amp;"_"&amp;TEXT(AD$1,"yyyy")),MATCH(TRIM($A84),PnL_Accounts,0))-AD84</f>
        <v>0</v>
      </c>
      <c r="AE85" s="115">
        <f t="array" aca="1" ref="AE85" ca="1">INDEX(INDIRECT("PnL_"&amp;TEXT(AE$1,"mmm")&amp;"_"&amp;TEXT(AE$1,"yyyy")),MATCH(TRIM($A84),PnL_Accounts,0))-AE84</f>
        <v>0</v>
      </c>
    </row>
    <row r="86" spans="1:75" ht="12.75" x14ac:dyDescent="0.2">
      <c r="A86" s="60" t="s">
        <v>23</v>
      </c>
      <c r="B86" s="225"/>
      <c r="C86" s="226"/>
      <c r="D86" s="226">
        <f t="shared" ref="D86:BW86" ca="1" si="43">SUM(D84,D62,D30)</f>
        <v>328011</v>
      </c>
      <c r="E86" s="226">
        <f t="shared" ca="1" si="43"/>
        <v>342504</v>
      </c>
      <c r="F86" s="226">
        <f t="shared" ca="1" si="43"/>
        <v>373037</v>
      </c>
      <c r="G86" s="226">
        <f t="shared" ca="1" si="43"/>
        <v>378693</v>
      </c>
      <c r="H86" s="226">
        <f t="shared" ca="1" si="43"/>
        <v>389569</v>
      </c>
      <c r="I86" s="226">
        <f t="shared" ca="1" si="43"/>
        <v>400628</v>
      </c>
      <c r="J86" s="226">
        <f t="shared" ca="1" si="43"/>
        <v>433445</v>
      </c>
      <c r="K86" s="226">
        <f t="shared" ca="1" si="43"/>
        <v>441986</v>
      </c>
      <c r="L86" s="226">
        <f t="shared" ca="1" si="43"/>
        <v>476779</v>
      </c>
      <c r="M86" s="226">
        <f t="shared" ca="1" si="43"/>
        <v>501961</v>
      </c>
      <c r="N86" s="226">
        <f t="shared" ca="1" si="43"/>
        <v>523426</v>
      </c>
      <c r="O86" s="226">
        <f t="shared" ca="1" si="43"/>
        <v>555326</v>
      </c>
      <c r="P86" s="226">
        <f t="shared" ca="1" si="43"/>
        <v>570318</v>
      </c>
      <c r="Q86" s="226">
        <f t="shared" ca="1" si="43"/>
        <v>603679</v>
      </c>
      <c r="R86" s="226">
        <f t="shared" ca="1" si="43"/>
        <v>612058</v>
      </c>
      <c r="S86" s="226">
        <f t="shared" ca="1" si="43"/>
        <v>612015</v>
      </c>
      <c r="T86" s="226">
        <f t="shared" ca="1" si="43"/>
        <v>642491</v>
      </c>
      <c r="U86" s="226">
        <f t="shared" ca="1" si="43"/>
        <v>638079</v>
      </c>
      <c r="V86" s="226">
        <f t="shared" ca="1" si="43"/>
        <v>637176</v>
      </c>
      <c r="W86" s="226">
        <f t="shared" ca="1" si="43"/>
        <v>643183</v>
      </c>
      <c r="X86" s="226">
        <f t="shared" ca="1" si="43"/>
        <v>652025</v>
      </c>
      <c r="Y86" s="226">
        <f t="shared" ca="1" si="43"/>
        <v>649057</v>
      </c>
      <c r="Z86" s="226">
        <f t="shared" ca="1" si="43"/>
        <v>668368</v>
      </c>
      <c r="AA86" s="226">
        <f t="shared" ca="1" si="43"/>
        <v>689501</v>
      </c>
      <c r="AB86" s="226">
        <f t="shared" ca="1" si="43"/>
        <v>693794</v>
      </c>
      <c r="AC86" s="226">
        <f t="shared" ca="1" si="43"/>
        <v>723324</v>
      </c>
      <c r="AD86" s="226">
        <f t="shared" ca="1" si="43"/>
        <v>663911</v>
      </c>
      <c r="AE86" s="226">
        <f t="shared" ca="1" si="43"/>
        <v>650853</v>
      </c>
      <c r="AF86" s="226">
        <f t="shared" ca="1" si="43"/>
        <v>553155.25</v>
      </c>
      <c r="AG86" s="226">
        <f t="shared" ca="1" si="43"/>
        <v>553155.25</v>
      </c>
      <c r="AH86" s="226">
        <f t="shared" ca="1" si="43"/>
        <v>553155.25</v>
      </c>
      <c r="AI86" s="226">
        <f t="shared" ca="1" si="43"/>
        <v>553155.25</v>
      </c>
      <c r="AJ86" s="226">
        <f t="shared" ca="1" si="43"/>
        <v>588155.25</v>
      </c>
      <c r="AK86" s="226">
        <f t="shared" ca="1" si="43"/>
        <v>603155.25</v>
      </c>
      <c r="AL86" s="226">
        <f t="shared" ca="1" si="43"/>
        <v>618155.25</v>
      </c>
      <c r="AM86" s="226">
        <f t="shared" ca="1" si="43"/>
        <v>633155.25</v>
      </c>
      <c r="AN86" s="226">
        <f t="shared" ca="1" si="43"/>
        <v>648155.25</v>
      </c>
      <c r="AO86" s="226">
        <f t="shared" ca="1" si="43"/>
        <v>663155.25</v>
      </c>
      <c r="AP86" s="226">
        <f t="shared" ca="1" si="43"/>
        <v>678155.25</v>
      </c>
      <c r="AQ86" s="226">
        <f t="shared" ca="1" si="43"/>
        <v>693155.25</v>
      </c>
      <c r="AR86" s="226">
        <f t="shared" ca="1" si="43"/>
        <v>708155.25</v>
      </c>
      <c r="AS86" s="226">
        <f t="shared" ca="1" si="43"/>
        <v>723155.25</v>
      </c>
      <c r="AT86" s="226">
        <f t="shared" ca="1" si="43"/>
        <v>738155.25</v>
      </c>
      <c r="AU86" s="226">
        <f t="shared" ca="1" si="43"/>
        <v>753155.25</v>
      </c>
      <c r="AV86" s="226">
        <f t="shared" ca="1" si="43"/>
        <v>768155.25</v>
      </c>
      <c r="AW86" s="226">
        <f t="shared" ca="1" si="43"/>
        <v>783155.25</v>
      </c>
      <c r="AX86" s="226">
        <f t="shared" ca="1" si="43"/>
        <v>798155.25</v>
      </c>
      <c r="AY86" s="226">
        <f t="shared" ca="1" si="43"/>
        <v>813155.25</v>
      </c>
      <c r="AZ86" s="226">
        <f t="shared" ca="1" si="43"/>
        <v>798226.66429045447</v>
      </c>
      <c r="BA86" s="226">
        <f t="shared" ca="1" si="43"/>
        <v>810892.31827157945</v>
      </c>
      <c r="BB86" s="226">
        <f t="shared" ca="1" si="43"/>
        <v>821456.27561727061</v>
      </c>
      <c r="BC86" s="226">
        <f t="shared" ca="1" si="43"/>
        <v>829186.87269108766</v>
      </c>
      <c r="BD86" s="226">
        <f t="shared" ca="1" si="43"/>
        <v>833374.19315927569</v>
      </c>
      <c r="BE86" s="226">
        <f t="shared" ca="1" si="43"/>
        <v>842554.42212764232</v>
      </c>
      <c r="BF86" s="226">
        <f t="shared" ca="1" si="43"/>
        <v>850824.28838491708</v>
      </c>
      <c r="BG86" s="226">
        <f t="shared" ca="1" si="43"/>
        <v>858494.95799469633</v>
      </c>
      <c r="BH86" s="226">
        <f t="shared" ca="1" si="43"/>
        <v>866149.97507187759</v>
      </c>
      <c r="BI86" s="226">
        <f t="shared" ca="1" si="43"/>
        <v>874710.72435521754</v>
      </c>
      <c r="BJ86" s="226">
        <f t="shared" ca="1" si="43"/>
        <v>883109.67093057709</v>
      </c>
      <c r="BK86" s="226">
        <f t="shared" ca="1" si="43"/>
        <v>891542.3321627978</v>
      </c>
      <c r="BL86" s="226">
        <f t="shared" ca="1" si="43"/>
        <v>900174.01898205443</v>
      </c>
      <c r="BM86" s="226">
        <f t="shared" ca="1" si="43"/>
        <v>909060.80344678706</v>
      </c>
      <c r="BN86" s="226">
        <f t="shared" ca="1" si="43"/>
        <v>918032.7454663536</v>
      </c>
      <c r="BO86" s="226">
        <f t="shared" ca="1" si="43"/>
        <v>927154.34891433199</v>
      </c>
      <c r="BP86" s="226">
        <f t="shared" ca="1" si="43"/>
        <v>936455.89807941148</v>
      </c>
      <c r="BQ86" s="226">
        <f t="shared" ca="1" si="43"/>
        <v>945932.40946544509</v>
      </c>
      <c r="BR86" s="226">
        <f t="shared" ca="1" si="43"/>
        <v>955562.95239624428</v>
      </c>
      <c r="BS86" s="226">
        <f t="shared" ca="1" si="43"/>
        <v>965365.5161591894</v>
      </c>
      <c r="BT86" s="226">
        <f t="shared" ca="1" si="43"/>
        <v>975345.94083614333</v>
      </c>
      <c r="BU86" s="226">
        <f t="shared" ca="1" si="43"/>
        <v>985503.68189466407</v>
      </c>
      <c r="BV86" s="226">
        <f t="shared" ca="1" si="43"/>
        <v>995839.35422103596</v>
      </c>
      <c r="BW86" s="226">
        <f t="shared" ca="1" si="43"/>
        <v>1006359.2002151458</v>
      </c>
    </row>
    <row r="87" spans="1:75" ht="12.75" x14ac:dyDescent="0.2">
      <c r="A87" s="60" t="s">
        <v>339</v>
      </c>
      <c r="B87" s="238"/>
      <c r="C87" s="212"/>
      <c r="D87" s="213">
        <f t="shared" ref="D87:BW87" ca="1" si="44">D20-D86</f>
        <v>-89438</v>
      </c>
      <c r="E87" s="213">
        <f t="shared" ca="1" si="44"/>
        <v>-88124</v>
      </c>
      <c r="F87" s="213">
        <f t="shared" ca="1" si="44"/>
        <v>-102956</v>
      </c>
      <c r="G87" s="213">
        <f t="shared" ca="1" si="44"/>
        <v>-94595</v>
      </c>
      <c r="H87" s="213">
        <f t="shared" ca="1" si="44"/>
        <v>-82065</v>
      </c>
      <c r="I87" s="213">
        <f t="shared" ca="1" si="44"/>
        <v>-78132</v>
      </c>
      <c r="J87" s="213">
        <f t="shared" ca="1" si="44"/>
        <v>-94045</v>
      </c>
      <c r="K87" s="213">
        <f t="shared" ca="1" si="44"/>
        <v>-89766</v>
      </c>
      <c r="L87" s="213">
        <f t="shared" ca="1" si="44"/>
        <v>-114445</v>
      </c>
      <c r="M87" s="213">
        <f t="shared" ca="1" si="44"/>
        <v>-131881</v>
      </c>
      <c r="N87" s="213">
        <f t="shared" ca="1" si="44"/>
        <v>-140597</v>
      </c>
      <c r="O87" s="213">
        <f t="shared" ca="1" si="44"/>
        <v>-177194</v>
      </c>
      <c r="P87" s="213">
        <f t="shared" ca="1" si="44"/>
        <v>-177124</v>
      </c>
      <c r="Q87" s="213">
        <f t="shared" ca="1" si="44"/>
        <v>-189575</v>
      </c>
      <c r="R87" s="213">
        <f t="shared" ca="1" si="44"/>
        <v>-184131</v>
      </c>
      <c r="S87" s="213">
        <f t="shared" ca="1" si="44"/>
        <v>-128941</v>
      </c>
      <c r="T87" s="213">
        <f t="shared" ca="1" si="44"/>
        <v>-151754</v>
      </c>
      <c r="U87" s="213">
        <f t="shared" ca="1" si="44"/>
        <v>-122283</v>
      </c>
      <c r="V87" s="213">
        <f t="shared" ca="1" si="44"/>
        <v>-102474</v>
      </c>
      <c r="W87" s="213">
        <f t="shared" ca="1" si="44"/>
        <v>-82495</v>
      </c>
      <c r="X87" s="213">
        <f t="shared" ca="1" si="44"/>
        <v>-60038</v>
      </c>
      <c r="Y87" s="213">
        <f t="shared" ca="1" si="44"/>
        <v>-27320</v>
      </c>
      <c r="Z87" s="213">
        <f t="shared" ca="1" si="44"/>
        <v>-18905</v>
      </c>
      <c r="AA87" s="213">
        <f t="shared" ca="1" si="44"/>
        <v>-24211</v>
      </c>
      <c r="AB87" s="213">
        <f t="shared" ca="1" si="44"/>
        <v>-13824</v>
      </c>
      <c r="AC87" s="213">
        <f t="shared" ca="1" si="44"/>
        <v>-26169</v>
      </c>
      <c r="AD87" s="213">
        <f t="shared" ca="1" si="44"/>
        <v>8407.1899999999441</v>
      </c>
      <c r="AE87" s="213">
        <f t="shared" ca="1" si="44"/>
        <v>-117</v>
      </c>
      <c r="AF87" s="213">
        <f t="shared" ca="1" si="44"/>
        <v>71361.272841736441</v>
      </c>
      <c r="AG87" s="213">
        <f t="shared" ca="1" si="44"/>
        <v>42352.790587507654</v>
      </c>
      <c r="AH87" s="213">
        <f t="shared" ca="1" si="44"/>
        <v>24009.245411858778</v>
      </c>
      <c r="AI87" s="213">
        <f t="shared" ca="1" si="44"/>
        <v>21236.749603149481</v>
      </c>
      <c r="AJ87" s="213">
        <f t="shared" ca="1" si="44"/>
        <v>-8913.1736388280988</v>
      </c>
      <c r="AK87" s="213">
        <f t="shared" ca="1" si="44"/>
        <v>-17715.02036441362</v>
      </c>
      <c r="AL87" s="213">
        <f t="shared" ca="1" si="44"/>
        <v>-27169.104950513691</v>
      </c>
      <c r="AM87" s="213">
        <f t="shared" ca="1" si="44"/>
        <v>-35868.178680648562</v>
      </c>
      <c r="AN87" s="213">
        <f t="shared" ca="1" si="44"/>
        <v>-44861.504663905594</v>
      </c>
      <c r="AO87" s="213">
        <f t="shared" ca="1" si="44"/>
        <v>-53021.981902484316</v>
      </c>
      <c r="AP87" s="213">
        <f t="shared" ca="1" si="44"/>
        <v>-61530.060507574584</v>
      </c>
      <c r="AQ87" s="213">
        <f t="shared" ca="1" si="44"/>
        <v>-69231.399770826334</v>
      </c>
      <c r="AR87" s="213">
        <f t="shared" ca="1" si="44"/>
        <v>-76151.565669838688</v>
      </c>
      <c r="AS87" s="213">
        <f t="shared" ca="1" si="44"/>
        <v>-83444.15559429198</v>
      </c>
      <c r="AT87" s="213">
        <f t="shared" ca="1" si="44"/>
        <v>-89972.216468288447</v>
      </c>
      <c r="AU87" s="213">
        <f t="shared" ca="1" si="44"/>
        <v>-96886.175092146615</v>
      </c>
      <c r="AV87" s="213">
        <f t="shared" ca="1" si="44"/>
        <v>-103054.02454770228</v>
      </c>
      <c r="AW87" s="213">
        <f t="shared" ca="1" si="44"/>
        <v>-108495.295622773</v>
      </c>
      <c r="AX87" s="213">
        <f t="shared" ca="1" si="44"/>
        <v>-114358.86816822272</v>
      </c>
      <c r="AY87" s="213">
        <f t="shared" ca="1" si="44"/>
        <v>-119511.83627717709</v>
      </c>
      <c r="AZ87" s="213">
        <f t="shared" ca="1" si="44"/>
        <v>-82130.73565594689</v>
      </c>
      <c r="BA87" s="213">
        <f t="shared" ca="1" si="44"/>
        <v>-71670.299278036575</v>
      </c>
      <c r="BB87" s="213">
        <f t="shared" ca="1" si="44"/>
        <v>-58414.383553921478</v>
      </c>
      <c r="BC87" s="213">
        <f t="shared" ca="1" si="44"/>
        <v>-41610.511365838</v>
      </c>
      <c r="BD87" s="213">
        <f t="shared" ca="1" si="44"/>
        <v>-20527.328494268586</v>
      </c>
      <c r="BE87" s="213">
        <f t="shared" ca="1" si="44"/>
        <v>-3678.9390226850519</v>
      </c>
      <c r="BF87" s="213">
        <f t="shared" ca="1" si="44"/>
        <v>14860.671713188873</v>
      </c>
      <c r="BG87" s="213">
        <f t="shared" ca="1" si="44"/>
        <v>34803.763406352955</v>
      </c>
      <c r="BH87" s="213">
        <f t="shared" ca="1" si="44"/>
        <v>55590.920471203164</v>
      </c>
      <c r="BI87" s="213">
        <f t="shared" ca="1" si="44"/>
        <v>76325.610554155661</v>
      </c>
      <c r="BJ87" s="213">
        <f t="shared" ca="1" si="44"/>
        <v>98100.966526077478</v>
      </c>
      <c r="BK87" s="213">
        <f t="shared" ca="1" si="44"/>
        <v>120747.83691755636</v>
      </c>
      <c r="BL87" s="213">
        <f t="shared" ca="1" si="44"/>
        <v>144128.06767071027</v>
      </c>
      <c r="BM87" s="213">
        <f t="shared" ca="1" si="44"/>
        <v>168213.55830556049</v>
      </c>
      <c r="BN87" s="213">
        <f t="shared" ca="1" si="44"/>
        <v>193203.05963856424</v>
      </c>
      <c r="BO87" s="213">
        <f t="shared" ca="1" si="44"/>
        <v>219061.7428437334</v>
      </c>
      <c r="BP87" s="213">
        <f t="shared" ca="1" si="44"/>
        <v>245789.88893139607</v>
      </c>
      <c r="BQ87" s="213">
        <f t="shared" ca="1" si="44"/>
        <v>273423.96365568659</v>
      </c>
      <c r="BR87" s="213">
        <f t="shared" ca="1" si="44"/>
        <v>302017.32441852149</v>
      </c>
      <c r="BS87" s="213">
        <f t="shared" ca="1" si="44"/>
        <v>331585.38146001939</v>
      </c>
      <c r="BT87" s="213">
        <f t="shared" ca="1" si="44"/>
        <v>362156.69621164154</v>
      </c>
      <c r="BU87" s="213">
        <f t="shared" ca="1" si="44"/>
        <v>393767.24676455429</v>
      </c>
      <c r="BV87" s="213">
        <f t="shared" ca="1" si="44"/>
        <v>426452.91479795915</v>
      </c>
      <c r="BW87" s="213">
        <f t="shared" ca="1" si="44"/>
        <v>460245.04937441915</v>
      </c>
    </row>
    <row r="88" spans="1:75" ht="12.75" x14ac:dyDescent="0.2">
      <c r="A88" s="69" t="s">
        <v>244</v>
      </c>
      <c r="B88" s="221"/>
      <c r="D88" s="115">
        <f t="array" aca="1" ref="D88" ca="1">ROUND(INDEX(INDIRECT("PnL_"&amp;TEXT(D$1,"mmm")&amp;"_"&amp;TEXT(D$1,"yyyy")),MATCH(TRIM($A87),PnL_Accounts,0))-D87,2)</f>
        <v>0</v>
      </c>
      <c r="E88" s="115">
        <f t="array" aca="1" ref="E88" ca="1">ROUND(INDEX(INDIRECT("PnL_"&amp;TEXT(E$1,"mmm")&amp;"_"&amp;TEXT(E$1,"yyyy")),MATCH(TRIM($A87),PnL_Accounts,0))-E87,2)</f>
        <v>0</v>
      </c>
      <c r="F88" s="115">
        <f t="array" aca="1" ref="F88" ca="1">ROUND(INDEX(INDIRECT("PnL_"&amp;TEXT(F$1,"mmm")&amp;"_"&amp;TEXT(F$1,"yyyy")),MATCH(TRIM($A87),PnL_Accounts,0))-F87,2)</f>
        <v>0</v>
      </c>
      <c r="G88" s="115">
        <f t="array" aca="1" ref="G88" ca="1">ROUND(INDEX(INDIRECT("PnL_"&amp;TEXT(G$1,"mmm")&amp;"_"&amp;TEXT(G$1,"yyyy")),MATCH(TRIM($A87),PnL_Accounts,0))-G87,2)</f>
        <v>0</v>
      </c>
      <c r="H88" s="115">
        <f t="array" aca="1" ref="H88" ca="1">ROUND(INDEX(INDIRECT("PnL_"&amp;TEXT(H$1,"mmm")&amp;"_"&amp;TEXT(H$1,"yyyy")),MATCH(TRIM($A87),PnL_Accounts,0))-H87,2)</f>
        <v>0</v>
      </c>
      <c r="I88" s="115">
        <f t="array" aca="1" ref="I88" ca="1">ROUND(INDEX(INDIRECT("PnL_"&amp;TEXT(I$1,"mmm")&amp;"_"&amp;TEXT(I$1,"yyyy")),MATCH(TRIM($A87),PnL_Accounts,0))-I87,2)</f>
        <v>0</v>
      </c>
      <c r="J88" s="115">
        <f t="array" aca="1" ref="J88" ca="1">ROUND(INDEX(INDIRECT("PnL_"&amp;TEXT(J$1,"mmm")&amp;"_"&amp;TEXT(J$1,"yyyy")),MATCH(TRIM($A87),PnL_Accounts,0))-J87,2)</f>
        <v>0</v>
      </c>
      <c r="K88" s="115">
        <f t="array" aca="1" ref="K88" ca="1">ROUND(INDEX(INDIRECT("PnL_"&amp;TEXT(K$1,"mmm")&amp;"_"&amp;TEXT(K$1,"yyyy")),MATCH(TRIM($A87),PnL_Accounts,0))-K87,2)</f>
        <v>0</v>
      </c>
      <c r="L88" s="115">
        <f t="array" aca="1" ref="L88" ca="1">ROUND(INDEX(INDIRECT("PnL_"&amp;TEXT(L$1,"mmm")&amp;"_"&amp;TEXT(L$1,"yyyy")),MATCH(TRIM($A87),PnL_Accounts,0))-L87,2)</f>
        <v>0</v>
      </c>
      <c r="M88" s="115">
        <f t="array" aca="1" ref="M88" ca="1">ROUND(INDEX(INDIRECT("PnL_"&amp;TEXT(M$1,"mmm")&amp;"_"&amp;TEXT(M$1,"yyyy")),MATCH(TRIM($A87),PnL_Accounts,0))-M87,2)</f>
        <v>0</v>
      </c>
      <c r="N88" s="115">
        <f t="array" aca="1" ref="N88" ca="1">ROUND(INDEX(INDIRECT("PnL_"&amp;TEXT(N$1,"mmm")&amp;"_"&amp;TEXT(N$1,"yyyy")),MATCH(TRIM($A87),PnL_Accounts,0))-N87,2)</f>
        <v>0</v>
      </c>
      <c r="O88" s="115">
        <f t="array" aca="1" ref="O88" ca="1">ROUND(INDEX(INDIRECT("PnL_"&amp;TEXT(O$1,"mmm")&amp;"_"&amp;TEXT(O$1,"yyyy")),MATCH(TRIM($A87),PnL_Accounts,0))-O87,2)</f>
        <v>0</v>
      </c>
      <c r="P88" s="115">
        <f t="array" aca="1" ref="P88" ca="1">ROUND(INDEX(INDIRECT("PnL_"&amp;TEXT(P$1,"mmm")&amp;"_"&amp;TEXT(P$1,"yyyy")),MATCH(TRIM($A87),PnL_Accounts,0))-P87,2)</f>
        <v>0</v>
      </c>
      <c r="Q88" s="115">
        <f t="array" aca="1" ref="Q88" ca="1">ROUND(INDEX(INDIRECT("PnL_"&amp;TEXT(Q$1,"mmm")&amp;"_"&amp;TEXT(Q$1,"yyyy")),MATCH(TRIM($A87),PnL_Accounts,0))-Q87,2)</f>
        <v>0</v>
      </c>
      <c r="R88" s="115">
        <f t="array" aca="1" ref="R88" ca="1">ROUND(INDEX(INDIRECT("PnL_"&amp;TEXT(R$1,"mmm")&amp;"_"&amp;TEXT(R$1,"yyyy")),MATCH(TRIM($A87),PnL_Accounts,0))-R87,2)</f>
        <v>0</v>
      </c>
      <c r="S88" s="115">
        <f t="array" aca="1" ref="S88" ca="1">ROUND(INDEX(INDIRECT("PnL_"&amp;TEXT(S$1,"mmm")&amp;"_"&amp;TEXT(S$1,"yyyy")),MATCH(TRIM($A87),PnL_Accounts,0))-S87,2)</f>
        <v>0</v>
      </c>
      <c r="T88" s="115">
        <f t="array" aca="1" ref="T88" ca="1">ROUND(INDEX(INDIRECT("PnL_"&amp;TEXT(T$1,"mmm")&amp;"_"&amp;TEXT(T$1,"yyyy")),MATCH(TRIM($A87),PnL_Accounts,0))-T87,2)</f>
        <v>0</v>
      </c>
      <c r="U88" s="115">
        <f t="array" aca="1" ref="U88" ca="1">ROUND(INDEX(INDIRECT("PnL_"&amp;TEXT(U$1,"mmm")&amp;"_"&amp;TEXT(U$1,"yyyy")),MATCH(TRIM($A87),PnL_Accounts,0))-U87,2)</f>
        <v>0</v>
      </c>
      <c r="V88" s="115">
        <f t="array" aca="1" ref="V88" ca="1">ROUND(INDEX(INDIRECT("PnL_"&amp;TEXT(V$1,"mmm")&amp;"_"&amp;TEXT(V$1,"yyyy")),MATCH(TRIM($A87),PnL_Accounts,0))-V87,2)</f>
        <v>0</v>
      </c>
      <c r="W88" s="115">
        <f t="array" aca="1" ref="W88" ca="1">ROUND(INDEX(INDIRECT("PnL_"&amp;TEXT(W$1,"mmm")&amp;"_"&amp;TEXT(W$1,"yyyy")),MATCH(TRIM($A87),PnL_Accounts,0))-W87,2)</f>
        <v>0</v>
      </c>
      <c r="X88" s="115">
        <f t="array" aca="1" ref="X88" ca="1">ROUND(INDEX(INDIRECT("PnL_"&amp;TEXT(X$1,"mmm")&amp;"_"&amp;TEXT(X$1,"yyyy")),MATCH(TRIM($A87),PnL_Accounts,0))-X87,2)</f>
        <v>0</v>
      </c>
      <c r="Y88" s="115">
        <f t="array" aca="1" ref="Y88" ca="1">ROUND(INDEX(INDIRECT("PnL_"&amp;TEXT(Y$1,"mmm")&amp;"_"&amp;TEXT(Y$1,"yyyy")),MATCH(TRIM($A87),PnL_Accounts,0))-Y87,2)</f>
        <v>0</v>
      </c>
      <c r="Z88" s="115">
        <f t="array" aca="1" ref="Z88" ca="1">ROUND(INDEX(INDIRECT("PnL_"&amp;TEXT(Z$1,"mmm")&amp;"_"&amp;TEXT(Z$1,"yyyy")),MATCH(TRIM($A87),PnL_Accounts,0))-Z87,2)</f>
        <v>0</v>
      </c>
      <c r="AA88" s="115">
        <f t="array" aca="1" ref="AA88" ca="1">ROUND(INDEX(INDIRECT("PnL_"&amp;TEXT(AA$1,"mmm")&amp;"_"&amp;TEXT(AA$1,"yyyy")),MATCH(TRIM($A87),PnL_Accounts,0))-AA87,2)</f>
        <v>0</v>
      </c>
      <c r="AB88" s="115">
        <f t="array" aca="1" ref="AB88" ca="1">ROUND(INDEX(INDIRECT("PnL_"&amp;TEXT(AB$1,"mmm")&amp;"_"&amp;TEXT(AB$1,"yyyy")),MATCH(TRIM($A87),PnL_Accounts,0))-AB87,2)</f>
        <v>0</v>
      </c>
      <c r="AC88" s="115">
        <f t="array" aca="1" ref="AC88" ca="1">ROUND(INDEX(INDIRECT("PnL_"&amp;TEXT(AC$1,"mmm")&amp;"_"&amp;TEXT(AC$1,"yyyy")),MATCH(TRIM($A87),PnL_Accounts,0))-AC87,2)</f>
        <v>0</v>
      </c>
      <c r="AD88" s="115">
        <f t="array" aca="1" ref="AD88" ca="1">ROUND(INDEX(INDIRECT("PnL_"&amp;TEXT(AD$1,"mmm")&amp;"_"&amp;TEXT(AD$1,"yyyy")),MATCH(TRIM($A87),PnL_Accounts,0))-AD87,2)</f>
        <v>0</v>
      </c>
      <c r="AE88" s="115">
        <f t="array" aca="1" ref="AE88" ca="1">ROUND(INDEX(INDIRECT("PnL_"&amp;TEXT(AE$1,"mmm")&amp;"_"&amp;TEXT(AE$1,"yyyy")),MATCH(TRIM($A87),PnL_Accounts,0))-AE87,2)</f>
        <v>0</v>
      </c>
    </row>
    <row r="89" spans="1:75" ht="12.75" x14ac:dyDescent="0.2">
      <c r="A89" s="69" t="s">
        <v>340</v>
      </c>
      <c r="B89" s="221"/>
    </row>
    <row r="90" spans="1:75" ht="12.75" x14ac:dyDescent="0.2">
      <c r="A90" s="23" t="s">
        <v>416</v>
      </c>
      <c r="B90" s="221"/>
      <c r="AF90" s="25">
        <f t="shared" ref="AF90:BW90" si="45">_xlfn.IFNA(INDEX(Loans_Forgivable_Loan_Forgivable_Income,MATCH(AF$1,Loans_Months,0)),0)</f>
        <v>0</v>
      </c>
      <c r="AG90" s="25">
        <f t="shared" si="45"/>
        <v>0</v>
      </c>
      <c r="AH90" s="25">
        <f t="shared" si="45"/>
        <v>0</v>
      </c>
      <c r="AI90" s="25">
        <f t="shared" si="45"/>
        <v>0</v>
      </c>
      <c r="AJ90" s="25">
        <f t="shared" si="45"/>
        <v>0</v>
      </c>
      <c r="AK90" s="25">
        <f t="shared" si="45"/>
        <v>0</v>
      </c>
      <c r="AL90" s="25">
        <f t="shared" si="45"/>
        <v>0</v>
      </c>
      <c r="AM90" s="25">
        <f t="shared" si="45"/>
        <v>0</v>
      </c>
      <c r="AN90" s="25">
        <f t="shared" si="45"/>
        <v>0</v>
      </c>
      <c r="AO90" s="25">
        <f t="shared" si="45"/>
        <v>0</v>
      </c>
      <c r="AP90" s="25">
        <f t="shared" si="45"/>
        <v>0</v>
      </c>
      <c r="AQ90" s="25">
        <f t="shared" si="45"/>
        <v>0</v>
      </c>
      <c r="AR90" s="25">
        <f t="shared" si="45"/>
        <v>0</v>
      </c>
      <c r="AS90" s="25">
        <f t="shared" si="45"/>
        <v>0</v>
      </c>
      <c r="AT90" s="25">
        <f t="shared" si="45"/>
        <v>0</v>
      </c>
      <c r="AU90" s="25">
        <f t="shared" si="45"/>
        <v>0</v>
      </c>
      <c r="AV90" s="25">
        <f t="shared" si="45"/>
        <v>0</v>
      </c>
      <c r="AW90" s="25">
        <f t="shared" si="45"/>
        <v>0</v>
      </c>
      <c r="AX90" s="25">
        <f t="shared" si="45"/>
        <v>0</v>
      </c>
      <c r="AY90" s="25">
        <f t="shared" si="45"/>
        <v>0</v>
      </c>
      <c r="AZ90" s="25">
        <f t="shared" si="45"/>
        <v>0</v>
      </c>
      <c r="BA90" s="25">
        <f t="shared" si="45"/>
        <v>0</v>
      </c>
      <c r="BB90" s="25">
        <f t="shared" si="45"/>
        <v>0</v>
      </c>
      <c r="BC90" s="25">
        <f t="shared" si="45"/>
        <v>0</v>
      </c>
      <c r="BD90" s="25">
        <f t="shared" si="45"/>
        <v>0</v>
      </c>
      <c r="BE90" s="25">
        <f t="shared" si="45"/>
        <v>0</v>
      </c>
      <c r="BF90" s="25">
        <f t="shared" si="45"/>
        <v>0</v>
      </c>
      <c r="BG90" s="25">
        <f t="shared" si="45"/>
        <v>0</v>
      </c>
      <c r="BH90" s="25">
        <f t="shared" si="45"/>
        <v>0</v>
      </c>
      <c r="BI90" s="25">
        <f t="shared" si="45"/>
        <v>0</v>
      </c>
      <c r="BJ90" s="25">
        <f t="shared" si="45"/>
        <v>0</v>
      </c>
      <c r="BK90" s="25">
        <f t="shared" si="45"/>
        <v>0</v>
      </c>
      <c r="BL90" s="25">
        <f t="shared" si="45"/>
        <v>0</v>
      </c>
      <c r="BM90" s="25">
        <f t="shared" si="45"/>
        <v>0</v>
      </c>
      <c r="BN90" s="25">
        <f t="shared" si="45"/>
        <v>0</v>
      </c>
      <c r="BO90" s="25">
        <f t="shared" si="45"/>
        <v>0</v>
      </c>
      <c r="BP90" s="25">
        <f t="shared" si="45"/>
        <v>0</v>
      </c>
      <c r="BQ90" s="25">
        <f t="shared" si="45"/>
        <v>0</v>
      </c>
      <c r="BR90" s="25">
        <f t="shared" si="45"/>
        <v>0</v>
      </c>
      <c r="BS90" s="25">
        <f t="shared" si="45"/>
        <v>0</v>
      </c>
      <c r="BT90" s="25">
        <f t="shared" si="45"/>
        <v>0</v>
      </c>
      <c r="BU90" s="25">
        <f t="shared" si="45"/>
        <v>0</v>
      </c>
      <c r="BV90" s="25">
        <f t="shared" si="45"/>
        <v>0</v>
      </c>
      <c r="BW90" s="25">
        <f t="shared" si="45"/>
        <v>0</v>
      </c>
    </row>
    <row r="91" spans="1:75" ht="12.75" hidden="1" x14ac:dyDescent="0.2">
      <c r="B91" s="221"/>
    </row>
    <row r="92" spans="1:75" ht="12.75" x14ac:dyDescent="0.2">
      <c r="A92" s="60" t="s">
        <v>341</v>
      </c>
      <c r="B92" s="225"/>
      <c r="C92" s="226"/>
      <c r="D92" s="226">
        <f t="shared" ref="D92:BW92" si="46">SUM(D89:D91)</f>
        <v>0</v>
      </c>
      <c r="E92" s="226">
        <f t="shared" si="46"/>
        <v>0</v>
      </c>
      <c r="F92" s="226">
        <f t="shared" si="46"/>
        <v>0</v>
      </c>
      <c r="G92" s="226">
        <f t="shared" si="46"/>
        <v>0</v>
      </c>
      <c r="H92" s="226">
        <f t="shared" si="46"/>
        <v>0</v>
      </c>
      <c r="I92" s="226">
        <f t="shared" si="46"/>
        <v>0</v>
      </c>
      <c r="J92" s="226">
        <f t="shared" si="46"/>
        <v>0</v>
      </c>
      <c r="K92" s="226">
        <f t="shared" si="46"/>
        <v>0</v>
      </c>
      <c r="L92" s="226">
        <f t="shared" si="46"/>
        <v>0</v>
      </c>
      <c r="M92" s="226">
        <f t="shared" si="46"/>
        <v>0</v>
      </c>
      <c r="N92" s="226">
        <f t="shared" si="46"/>
        <v>0</v>
      </c>
      <c r="O92" s="226">
        <f t="shared" si="46"/>
        <v>0</v>
      </c>
      <c r="P92" s="226">
        <f t="shared" si="46"/>
        <v>0</v>
      </c>
      <c r="Q92" s="226">
        <f t="shared" si="46"/>
        <v>0</v>
      </c>
      <c r="R92" s="226">
        <f t="shared" si="46"/>
        <v>0</v>
      </c>
      <c r="S92" s="226">
        <f t="shared" si="46"/>
        <v>0</v>
      </c>
      <c r="T92" s="226">
        <f t="shared" si="46"/>
        <v>0</v>
      </c>
      <c r="U92" s="226">
        <f t="shared" si="46"/>
        <v>0</v>
      </c>
      <c r="V92" s="226">
        <f t="shared" si="46"/>
        <v>0</v>
      </c>
      <c r="W92" s="226">
        <f t="shared" si="46"/>
        <v>0</v>
      </c>
      <c r="X92" s="226">
        <f t="shared" si="46"/>
        <v>0</v>
      </c>
      <c r="Y92" s="226">
        <f t="shared" si="46"/>
        <v>0</v>
      </c>
      <c r="Z92" s="226">
        <f t="shared" si="46"/>
        <v>0</v>
      </c>
      <c r="AA92" s="226">
        <f t="shared" si="46"/>
        <v>0</v>
      </c>
      <c r="AB92" s="226">
        <f t="shared" si="46"/>
        <v>0</v>
      </c>
      <c r="AC92" s="226">
        <f t="shared" si="46"/>
        <v>0</v>
      </c>
      <c r="AD92" s="226">
        <f t="shared" si="46"/>
        <v>0</v>
      </c>
      <c r="AE92" s="226">
        <f t="shared" si="46"/>
        <v>0</v>
      </c>
      <c r="AF92" s="226">
        <f t="shared" si="46"/>
        <v>0</v>
      </c>
      <c r="AG92" s="226">
        <f t="shared" si="46"/>
        <v>0</v>
      </c>
      <c r="AH92" s="226">
        <f t="shared" si="46"/>
        <v>0</v>
      </c>
      <c r="AI92" s="226">
        <f t="shared" si="46"/>
        <v>0</v>
      </c>
      <c r="AJ92" s="226">
        <f t="shared" si="46"/>
        <v>0</v>
      </c>
      <c r="AK92" s="226">
        <f t="shared" si="46"/>
        <v>0</v>
      </c>
      <c r="AL92" s="226">
        <f t="shared" si="46"/>
        <v>0</v>
      </c>
      <c r="AM92" s="226">
        <f t="shared" si="46"/>
        <v>0</v>
      </c>
      <c r="AN92" s="226">
        <f t="shared" si="46"/>
        <v>0</v>
      </c>
      <c r="AO92" s="226">
        <f t="shared" si="46"/>
        <v>0</v>
      </c>
      <c r="AP92" s="226">
        <f t="shared" si="46"/>
        <v>0</v>
      </c>
      <c r="AQ92" s="226">
        <f t="shared" si="46"/>
        <v>0</v>
      </c>
      <c r="AR92" s="226">
        <f t="shared" si="46"/>
        <v>0</v>
      </c>
      <c r="AS92" s="226">
        <f t="shared" si="46"/>
        <v>0</v>
      </c>
      <c r="AT92" s="226">
        <f t="shared" si="46"/>
        <v>0</v>
      </c>
      <c r="AU92" s="226">
        <f t="shared" si="46"/>
        <v>0</v>
      </c>
      <c r="AV92" s="226">
        <f t="shared" si="46"/>
        <v>0</v>
      </c>
      <c r="AW92" s="226">
        <f t="shared" si="46"/>
        <v>0</v>
      </c>
      <c r="AX92" s="226">
        <f t="shared" si="46"/>
        <v>0</v>
      </c>
      <c r="AY92" s="226">
        <f t="shared" si="46"/>
        <v>0</v>
      </c>
      <c r="AZ92" s="226">
        <f t="shared" si="46"/>
        <v>0</v>
      </c>
      <c r="BA92" s="226">
        <f t="shared" si="46"/>
        <v>0</v>
      </c>
      <c r="BB92" s="226">
        <f t="shared" si="46"/>
        <v>0</v>
      </c>
      <c r="BC92" s="226">
        <f t="shared" si="46"/>
        <v>0</v>
      </c>
      <c r="BD92" s="226">
        <f t="shared" si="46"/>
        <v>0</v>
      </c>
      <c r="BE92" s="226">
        <f t="shared" si="46"/>
        <v>0</v>
      </c>
      <c r="BF92" s="226">
        <f t="shared" si="46"/>
        <v>0</v>
      </c>
      <c r="BG92" s="226">
        <f t="shared" si="46"/>
        <v>0</v>
      </c>
      <c r="BH92" s="226">
        <f t="shared" si="46"/>
        <v>0</v>
      </c>
      <c r="BI92" s="226">
        <f t="shared" si="46"/>
        <v>0</v>
      </c>
      <c r="BJ92" s="226">
        <f t="shared" si="46"/>
        <v>0</v>
      </c>
      <c r="BK92" s="226">
        <f t="shared" si="46"/>
        <v>0</v>
      </c>
      <c r="BL92" s="226">
        <f t="shared" si="46"/>
        <v>0</v>
      </c>
      <c r="BM92" s="226">
        <f t="shared" si="46"/>
        <v>0</v>
      </c>
      <c r="BN92" s="226">
        <f t="shared" si="46"/>
        <v>0</v>
      </c>
      <c r="BO92" s="226">
        <f t="shared" si="46"/>
        <v>0</v>
      </c>
      <c r="BP92" s="226">
        <f t="shared" si="46"/>
        <v>0</v>
      </c>
      <c r="BQ92" s="226">
        <f t="shared" si="46"/>
        <v>0</v>
      </c>
      <c r="BR92" s="226">
        <f t="shared" si="46"/>
        <v>0</v>
      </c>
      <c r="BS92" s="226">
        <f t="shared" si="46"/>
        <v>0</v>
      </c>
      <c r="BT92" s="226">
        <f t="shared" si="46"/>
        <v>0</v>
      </c>
      <c r="BU92" s="226">
        <f t="shared" si="46"/>
        <v>0</v>
      </c>
      <c r="BV92" s="226">
        <f t="shared" si="46"/>
        <v>0</v>
      </c>
      <c r="BW92" s="226">
        <f t="shared" si="46"/>
        <v>0</v>
      </c>
    </row>
    <row r="93" spans="1:75" ht="12.75" x14ac:dyDescent="0.2">
      <c r="A93" s="69" t="s">
        <v>342</v>
      </c>
      <c r="B93" s="221"/>
    </row>
    <row r="94" spans="1:75" ht="12.75" x14ac:dyDescent="0.2">
      <c r="A94" s="23" t="s">
        <v>421</v>
      </c>
      <c r="B94" s="221"/>
      <c r="AF94" s="25">
        <f t="shared" ref="AF94:BW94" si="47">_xlfn.IFNA(INDEX(Loans_Forgivable_Loan_Interest_Owed,MATCH(AF$1,Loans_Months,0)),0)</f>
        <v>0</v>
      </c>
      <c r="AG94" s="25">
        <f t="shared" si="47"/>
        <v>0</v>
      </c>
      <c r="AH94" s="25">
        <f t="shared" si="47"/>
        <v>0</v>
      </c>
      <c r="AI94" s="25">
        <f t="shared" si="47"/>
        <v>0</v>
      </c>
      <c r="AJ94" s="25">
        <f t="shared" si="47"/>
        <v>0</v>
      </c>
      <c r="AK94" s="25">
        <f t="shared" si="47"/>
        <v>0</v>
      </c>
      <c r="AL94" s="25">
        <f t="shared" si="47"/>
        <v>0</v>
      </c>
      <c r="AM94" s="25">
        <f t="shared" si="47"/>
        <v>0</v>
      </c>
      <c r="AN94" s="25">
        <f t="shared" si="47"/>
        <v>0</v>
      </c>
      <c r="AO94" s="25">
        <f t="shared" si="47"/>
        <v>0</v>
      </c>
      <c r="AP94" s="25">
        <f t="shared" si="47"/>
        <v>0</v>
      </c>
      <c r="AQ94" s="25">
        <f t="shared" si="47"/>
        <v>0</v>
      </c>
      <c r="AR94" s="25">
        <f t="shared" si="47"/>
        <v>0</v>
      </c>
      <c r="AS94" s="25">
        <f t="shared" si="47"/>
        <v>0</v>
      </c>
      <c r="AT94" s="25">
        <f t="shared" si="47"/>
        <v>0</v>
      </c>
      <c r="AU94" s="25">
        <f t="shared" si="47"/>
        <v>0</v>
      </c>
      <c r="AV94" s="25">
        <f t="shared" si="47"/>
        <v>0</v>
      </c>
      <c r="AW94" s="25">
        <f t="shared" si="47"/>
        <v>0</v>
      </c>
      <c r="AX94" s="25">
        <f t="shared" si="47"/>
        <v>0</v>
      </c>
      <c r="AY94" s="25">
        <f t="shared" si="47"/>
        <v>0</v>
      </c>
      <c r="AZ94" s="25">
        <f t="shared" si="47"/>
        <v>0</v>
      </c>
      <c r="BA94" s="25">
        <f t="shared" si="47"/>
        <v>0</v>
      </c>
      <c r="BB94" s="25">
        <f t="shared" si="47"/>
        <v>0</v>
      </c>
      <c r="BC94" s="25">
        <f t="shared" si="47"/>
        <v>0</v>
      </c>
      <c r="BD94" s="25">
        <f t="shared" si="47"/>
        <v>0</v>
      </c>
      <c r="BE94" s="25">
        <f t="shared" si="47"/>
        <v>0</v>
      </c>
      <c r="BF94" s="25">
        <f t="shared" si="47"/>
        <v>0</v>
      </c>
      <c r="BG94" s="25">
        <f t="shared" si="47"/>
        <v>0</v>
      </c>
      <c r="BH94" s="25">
        <f t="shared" si="47"/>
        <v>0</v>
      </c>
      <c r="BI94" s="25">
        <f t="shared" si="47"/>
        <v>0</v>
      </c>
      <c r="BJ94" s="25">
        <f t="shared" si="47"/>
        <v>0</v>
      </c>
      <c r="BK94" s="25">
        <f t="shared" si="47"/>
        <v>0</v>
      </c>
      <c r="BL94" s="25">
        <f t="shared" si="47"/>
        <v>0</v>
      </c>
      <c r="BM94" s="25">
        <f t="shared" si="47"/>
        <v>0</v>
      </c>
      <c r="BN94" s="25">
        <f t="shared" si="47"/>
        <v>0</v>
      </c>
      <c r="BO94" s="25">
        <f t="shared" si="47"/>
        <v>0</v>
      </c>
      <c r="BP94" s="25">
        <f t="shared" si="47"/>
        <v>0</v>
      </c>
      <c r="BQ94" s="25">
        <f t="shared" si="47"/>
        <v>0</v>
      </c>
      <c r="BR94" s="25">
        <f t="shared" si="47"/>
        <v>0</v>
      </c>
      <c r="BS94" s="25">
        <f t="shared" si="47"/>
        <v>0</v>
      </c>
      <c r="BT94" s="25">
        <f t="shared" si="47"/>
        <v>0</v>
      </c>
      <c r="BU94" s="25">
        <f t="shared" si="47"/>
        <v>0</v>
      </c>
      <c r="BV94" s="25">
        <f t="shared" si="47"/>
        <v>0</v>
      </c>
      <c r="BW94" s="25">
        <f t="shared" si="47"/>
        <v>0</v>
      </c>
    </row>
    <row r="95" spans="1:75" ht="12.75" x14ac:dyDescent="0.2">
      <c r="A95" s="23" t="s">
        <v>422</v>
      </c>
      <c r="B95" s="221"/>
      <c r="AF95" s="25">
        <f t="shared" ref="AF95:BW95" si="48">_xlfn.IFNA(INDEX(Loans_Standard_Loan_Interest_Owed,MATCH(AF$1,Loans_Months,0)),0)</f>
        <v>0</v>
      </c>
      <c r="AG95" s="25">
        <f t="shared" si="48"/>
        <v>0</v>
      </c>
      <c r="AH95" s="25">
        <f t="shared" si="48"/>
        <v>0</v>
      </c>
      <c r="AI95" s="25">
        <f t="shared" si="48"/>
        <v>0</v>
      </c>
      <c r="AJ95" s="25">
        <f t="shared" si="48"/>
        <v>0</v>
      </c>
      <c r="AK95" s="25">
        <f t="shared" si="48"/>
        <v>0</v>
      </c>
      <c r="AL95" s="25">
        <f t="shared" si="48"/>
        <v>0</v>
      </c>
      <c r="AM95" s="25">
        <f t="shared" si="48"/>
        <v>0</v>
      </c>
      <c r="AN95" s="25">
        <f t="shared" si="48"/>
        <v>0</v>
      </c>
      <c r="AO95" s="25">
        <f t="shared" si="48"/>
        <v>0</v>
      </c>
      <c r="AP95" s="25">
        <f t="shared" si="48"/>
        <v>0</v>
      </c>
      <c r="AQ95" s="25">
        <f t="shared" si="48"/>
        <v>0</v>
      </c>
      <c r="AR95" s="25">
        <f t="shared" si="48"/>
        <v>0</v>
      </c>
      <c r="AS95" s="25">
        <f t="shared" si="48"/>
        <v>0</v>
      </c>
      <c r="AT95" s="25">
        <f t="shared" si="48"/>
        <v>0</v>
      </c>
      <c r="AU95" s="25">
        <f t="shared" si="48"/>
        <v>0</v>
      </c>
      <c r="AV95" s="25">
        <f t="shared" si="48"/>
        <v>0</v>
      </c>
      <c r="AW95" s="25">
        <f t="shared" si="48"/>
        <v>0</v>
      </c>
      <c r="AX95" s="25">
        <f t="shared" si="48"/>
        <v>0</v>
      </c>
      <c r="AY95" s="25">
        <f t="shared" si="48"/>
        <v>0</v>
      </c>
      <c r="AZ95" s="25">
        <f t="shared" si="48"/>
        <v>0</v>
      </c>
      <c r="BA95" s="25">
        <f t="shared" si="48"/>
        <v>0</v>
      </c>
      <c r="BB95" s="25">
        <f t="shared" si="48"/>
        <v>0</v>
      </c>
      <c r="BC95" s="25">
        <f t="shared" si="48"/>
        <v>0</v>
      </c>
      <c r="BD95" s="25">
        <f t="shared" si="48"/>
        <v>0</v>
      </c>
      <c r="BE95" s="25">
        <f t="shared" si="48"/>
        <v>0</v>
      </c>
      <c r="BF95" s="25">
        <f t="shared" si="48"/>
        <v>0</v>
      </c>
      <c r="BG95" s="25">
        <f t="shared" si="48"/>
        <v>0</v>
      </c>
      <c r="BH95" s="25">
        <f t="shared" si="48"/>
        <v>0</v>
      </c>
      <c r="BI95" s="25">
        <f t="shared" si="48"/>
        <v>0</v>
      </c>
      <c r="BJ95" s="25">
        <f t="shared" si="48"/>
        <v>0</v>
      </c>
      <c r="BK95" s="25">
        <f t="shared" si="48"/>
        <v>0</v>
      </c>
      <c r="BL95" s="25">
        <f t="shared" si="48"/>
        <v>0</v>
      </c>
      <c r="BM95" s="25">
        <f t="shared" si="48"/>
        <v>0</v>
      </c>
      <c r="BN95" s="25">
        <f t="shared" si="48"/>
        <v>0</v>
      </c>
      <c r="BO95" s="25">
        <f t="shared" si="48"/>
        <v>0</v>
      </c>
      <c r="BP95" s="25">
        <f t="shared" si="48"/>
        <v>0</v>
      </c>
      <c r="BQ95" s="25">
        <f t="shared" si="48"/>
        <v>0</v>
      </c>
      <c r="BR95" s="25">
        <f t="shared" si="48"/>
        <v>0</v>
      </c>
      <c r="BS95" s="25">
        <f t="shared" si="48"/>
        <v>0</v>
      </c>
      <c r="BT95" s="25">
        <f t="shared" si="48"/>
        <v>0</v>
      </c>
      <c r="BU95" s="25">
        <f t="shared" si="48"/>
        <v>0</v>
      </c>
      <c r="BV95" s="25">
        <f t="shared" si="48"/>
        <v>0</v>
      </c>
      <c r="BW95" s="25">
        <f t="shared" si="48"/>
        <v>0</v>
      </c>
    </row>
    <row r="96" spans="1:75" ht="12.75" x14ac:dyDescent="0.2">
      <c r="A96" s="60" t="s">
        <v>343</v>
      </c>
      <c r="B96" s="225"/>
      <c r="C96" s="226"/>
      <c r="D96" s="226">
        <f t="shared" ref="D96:BW96" si="49">SUM(D93:D95)</f>
        <v>0</v>
      </c>
      <c r="E96" s="226">
        <f t="shared" si="49"/>
        <v>0</v>
      </c>
      <c r="F96" s="226">
        <f t="shared" si="49"/>
        <v>0</v>
      </c>
      <c r="G96" s="226">
        <f t="shared" si="49"/>
        <v>0</v>
      </c>
      <c r="H96" s="226">
        <f t="shared" si="49"/>
        <v>0</v>
      </c>
      <c r="I96" s="226">
        <f t="shared" si="49"/>
        <v>0</v>
      </c>
      <c r="J96" s="226">
        <f t="shared" si="49"/>
        <v>0</v>
      </c>
      <c r="K96" s="226">
        <f t="shared" si="49"/>
        <v>0</v>
      </c>
      <c r="L96" s="226">
        <f t="shared" si="49"/>
        <v>0</v>
      </c>
      <c r="M96" s="226">
        <f t="shared" si="49"/>
        <v>0</v>
      </c>
      <c r="N96" s="226">
        <f t="shared" si="49"/>
        <v>0</v>
      </c>
      <c r="O96" s="226">
        <f t="shared" si="49"/>
        <v>0</v>
      </c>
      <c r="P96" s="226">
        <f t="shared" si="49"/>
        <v>0</v>
      </c>
      <c r="Q96" s="226">
        <f t="shared" si="49"/>
        <v>0</v>
      </c>
      <c r="R96" s="226">
        <f t="shared" si="49"/>
        <v>0</v>
      </c>
      <c r="S96" s="226">
        <f t="shared" si="49"/>
        <v>0</v>
      </c>
      <c r="T96" s="226">
        <f t="shared" si="49"/>
        <v>0</v>
      </c>
      <c r="U96" s="226">
        <f t="shared" si="49"/>
        <v>0</v>
      </c>
      <c r="V96" s="226">
        <f t="shared" si="49"/>
        <v>0</v>
      </c>
      <c r="W96" s="226">
        <f t="shared" si="49"/>
        <v>0</v>
      </c>
      <c r="X96" s="226">
        <f t="shared" si="49"/>
        <v>0</v>
      </c>
      <c r="Y96" s="226">
        <f t="shared" si="49"/>
        <v>0</v>
      </c>
      <c r="Z96" s="226">
        <f t="shared" si="49"/>
        <v>0</v>
      </c>
      <c r="AA96" s="226">
        <f t="shared" si="49"/>
        <v>0</v>
      </c>
      <c r="AB96" s="226">
        <f t="shared" si="49"/>
        <v>0</v>
      </c>
      <c r="AC96" s="226">
        <f t="shared" si="49"/>
        <v>0</v>
      </c>
      <c r="AD96" s="226">
        <f t="shared" si="49"/>
        <v>0</v>
      </c>
      <c r="AE96" s="226">
        <f t="shared" si="49"/>
        <v>0</v>
      </c>
      <c r="AF96" s="226">
        <f t="shared" si="49"/>
        <v>0</v>
      </c>
      <c r="AG96" s="226">
        <f t="shared" si="49"/>
        <v>0</v>
      </c>
      <c r="AH96" s="226">
        <f t="shared" si="49"/>
        <v>0</v>
      </c>
      <c r="AI96" s="226">
        <f t="shared" si="49"/>
        <v>0</v>
      </c>
      <c r="AJ96" s="226">
        <f t="shared" si="49"/>
        <v>0</v>
      </c>
      <c r="AK96" s="226">
        <f t="shared" si="49"/>
        <v>0</v>
      </c>
      <c r="AL96" s="226">
        <f t="shared" si="49"/>
        <v>0</v>
      </c>
      <c r="AM96" s="226">
        <f t="shared" si="49"/>
        <v>0</v>
      </c>
      <c r="AN96" s="226">
        <f t="shared" si="49"/>
        <v>0</v>
      </c>
      <c r="AO96" s="226">
        <f t="shared" si="49"/>
        <v>0</v>
      </c>
      <c r="AP96" s="226">
        <f t="shared" si="49"/>
        <v>0</v>
      </c>
      <c r="AQ96" s="226">
        <f t="shared" si="49"/>
        <v>0</v>
      </c>
      <c r="AR96" s="226">
        <f t="shared" si="49"/>
        <v>0</v>
      </c>
      <c r="AS96" s="226">
        <f t="shared" si="49"/>
        <v>0</v>
      </c>
      <c r="AT96" s="226">
        <f t="shared" si="49"/>
        <v>0</v>
      </c>
      <c r="AU96" s="226">
        <f t="shared" si="49"/>
        <v>0</v>
      </c>
      <c r="AV96" s="226">
        <f t="shared" si="49"/>
        <v>0</v>
      </c>
      <c r="AW96" s="226">
        <f t="shared" si="49"/>
        <v>0</v>
      </c>
      <c r="AX96" s="226">
        <f t="shared" si="49"/>
        <v>0</v>
      </c>
      <c r="AY96" s="226">
        <f t="shared" si="49"/>
        <v>0</v>
      </c>
      <c r="AZ96" s="226">
        <f t="shared" si="49"/>
        <v>0</v>
      </c>
      <c r="BA96" s="226">
        <f t="shared" si="49"/>
        <v>0</v>
      </c>
      <c r="BB96" s="226">
        <f t="shared" si="49"/>
        <v>0</v>
      </c>
      <c r="BC96" s="226">
        <f t="shared" si="49"/>
        <v>0</v>
      </c>
      <c r="BD96" s="226">
        <f t="shared" si="49"/>
        <v>0</v>
      </c>
      <c r="BE96" s="226">
        <f t="shared" si="49"/>
        <v>0</v>
      </c>
      <c r="BF96" s="226">
        <f t="shared" si="49"/>
        <v>0</v>
      </c>
      <c r="BG96" s="226">
        <f t="shared" si="49"/>
        <v>0</v>
      </c>
      <c r="BH96" s="226">
        <f t="shared" si="49"/>
        <v>0</v>
      </c>
      <c r="BI96" s="226">
        <f t="shared" si="49"/>
        <v>0</v>
      </c>
      <c r="BJ96" s="226">
        <f t="shared" si="49"/>
        <v>0</v>
      </c>
      <c r="BK96" s="226">
        <f t="shared" si="49"/>
        <v>0</v>
      </c>
      <c r="BL96" s="226">
        <f t="shared" si="49"/>
        <v>0</v>
      </c>
      <c r="BM96" s="226">
        <f t="shared" si="49"/>
        <v>0</v>
      </c>
      <c r="BN96" s="226">
        <f t="shared" si="49"/>
        <v>0</v>
      </c>
      <c r="BO96" s="226">
        <f t="shared" si="49"/>
        <v>0</v>
      </c>
      <c r="BP96" s="226">
        <f t="shared" si="49"/>
        <v>0</v>
      </c>
      <c r="BQ96" s="226">
        <f t="shared" si="49"/>
        <v>0</v>
      </c>
      <c r="BR96" s="226">
        <f t="shared" si="49"/>
        <v>0</v>
      </c>
      <c r="BS96" s="226">
        <f t="shared" si="49"/>
        <v>0</v>
      </c>
      <c r="BT96" s="226">
        <f t="shared" si="49"/>
        <v>0</v>
      </c>
      <c r="BU96" s="226">
        <f t="shared" si="49"/>
        <v>0</v>
      </c>
      <c r="BV96" s="226">
        <f t="shared" si="49"/>
        <v>0</v>
      </c>
      <c r="BW96" s="226">
        <f t="shared" si="49"/>
        <v>0</v>
      </c>
    </row>
    <row r="97" spans="1:75" ht="12.75" x14ac:dyDescent="0.2">
      <c r="A97" s="60" t="s">
        <v>24</v>
      </c>
      <c r="B97" s="238"/>
      <c r="C97" s="212"/>
      <c r="D97" s="213">
        <f t="shared" ref="D97:BW97" ca="1" si="50">D87+D92-D96</f>
        <v>-89438</v>
      </c>
      <c r="E97" s="213">
        <f t="shared" ca="1" si="50"/>
        <v>-88124</v>
      </c>
      <c r="F97" s="213">
        <f t="shared" ca="1" si="50"/>
        <v>-102956</v>
      </c>
      <c r="G97" s="213">
        <f t="shared" ca="1" si="50"/>
        <v>-94595</v>
      </c>
      <c r="H97" s="213">
        <f t="shared" ca="1" si="50"/>
        <v>-82065</v>
      </c>
      <c r="I97" s="213">
        <f t="shared" ca="1" si="50"/>
        <v>-78132</v>
      </c>
      <c r="J97" s="213">
        <f t="shared" ca="1" si="50"/>
        <v>-94045</v>
      </c>
      <c r="K97" s="213">
        <f t="shared" ca="1" si="50"/>
        <v>-89766</v>
      </c>
      <c r="L97" s="213">
        <f t="shared" ca="1" si="50"/>
        <v>-114445</v>
      </c>
      <c r="M97" s="213">
        <f t="shared" ca="1" si="50"/>
        <v>-131881</v>
      </c>
      <c r="N97" s="213">
        <f t="shared" ca="1" si="50"/>
        <v>-140597</v>
      </c>
      <c r="O97" s="213">
        <f t="shared" ca="1" si="50"/>
        <v>-177194</v>
      </c>
      <c r="P97" s="213">
        <f t="shared" ca="1" si="50"/>
        <v>-177124</v>
      </c>
      <c r="Q97" s="213">
        <f t="shared" ca="1" si="50"/>
        <v>-189575</v>
      </c>
      <c r="R97" s="213">
        <f t="shared" ca="1" si="50"/>
        <v>-184131</v>
      </c>
      <c r="S97" s="213">
        <f t="shared" ca="1" si="50"/>
        <v>-128941</v>
      </c>
      <c r="T97" s="213">
        <f t="shared" ca="1" si="50"/>
        <v>-151754</v>
      </c>
      <c r="U97" s="213">
        <f t="shared" ca="1" si="50"/>
        <v>-122283</v>
      </c>
      <c r="V97" s="213">
        <f t="shared" ca="1" si="50"/>
        <v>-102474</v>
      </c>
      <c r="W97" s="213">
        <f t="shared" ca="1" si="50"/>
        <v>-82495</v>
      </c>
      <c r="X97" s="213">
        <f t="shared" ca="1" si="50"/>
        <v>-60038</v>
      </c>
      <c r="Y97" s="213">
        <f t="shared" ca="1" si="50"/>
        <v>-27320</v>
      </c>
      <c r="Z97" s="213">
        <f t="shared" ca="1" si="50"/>
        <v>-18905</v>
      </c>
      <c r="AA97" s="213">
        <f t="shared" ca="1" si="50"/>
        <v>-24211</v>
      </c>
      <c r="AB97" s="213">
        <f t="shared" ca="1" si="50"/>
        <v>-13824</v>
      </c>
      <c r="AC97" s="213">
        <f t="shared" ca="1" si="50"/>
        <v>-26169</v>
      </c>
      <c r="AD97" s="213">
        <f t="shared" ca="1" si="50"/>
        <v>8407.1899999999441</v>
      </c>
      <c r="AE97" s="213">
        <f t="shared" ca="1" si="50"/>
        <v>-117</v>
      </c>
      <c r="AF97" s="213">
        <f t="shared" ca="1" si="50"/>
        <v>71361.272841736441</v>
      </c>
      <c r="AG97" s="213">
        <f t="shared" ca="1" si="50"/>
        <v>42352.790587507654</v>
      </c>
      <c r="AH97" s="213">
        <f t="shared" ca="1" si="50"/>
        <v>24009.245411858778</v>
      </c>
      <c r="AI97" s="213">
        <f t="shared" ca="1" si="50"/>
        <v>21236.749603149481</v>
      </c>
      <c r="AJ97" s="213">
        <f t="shared" ca="1" si="50"/>
        <v>-8913.1736388280988</v>
      </c>
      <c r="AK97" s="213">
        <f t="shared" ca="1" si="50"/>
        <v>-17715.02036441362</v>
      </c>
      <c r="AL97" s="213">
        <f t="shared" ca="1" si="50"/>
        <v>-27169.104950513691</v>
      </c>
      <c r="AM97" s="213">
        <f t="shared" ca="1" si="50"/>
        <v>-35868.178680648562</v>
      </c>
      <c r="AN97" s="213">
        <f t="shared" ca="1" si="50"/>
        <v>-44861.504663905594</v>
      </c>
      <c r="AO97" s="213">
        <f t="shared" ca="1" si="50"/>
        <v>-53021.981902484316</v>
      </c>
      <c r="AP97" s="213">
        <f t="shared" ca="1" si="50"/>
        <v>-61530.060507574584</v>
      </c>
      <c r="AQ97" s="213">
        <f t="shared" ca="1" si="50"/>
        <v>-69231.399770826334</v>
      </c>
      <c r="AR97" s="213">
        <f t="shared" ca="1" si="50"/>
        <v>-76151.565669838688</v>
      </c>
      <c r="AS97" s="213">
        <f t="shared" ca="1" si="50"/>
        <v>-83444.15559429198</v>
      </c>
      <c r="AT97" s="213">
        <f t="shared" ca="1" si="50"/>
        <v>-89972.216468288447</v>
      </c>
      <c r="AU97" s="213">
        <f t="shared" ca="1" si="50"/>
        <v>-96886.175092146615</v>
      </c>
      <c r="AV97" s="213">
        <f t="shared" ca="1" si="50"/>
        <v>-103054.02454770228</v>
      </c>
      <c r="AW97" s="213">
        <f t="shared" ca="1" si="50"/>
        <v>-108495.295622773</v>
      </c>
      <c r="AX97" s="213">
        <f t="shared" ca="1" si="50"/>
        <v>-114358.86816822272</v>
      </c>
      <c r="AY97" s="213">
        <f t="shared" ca="1" si="50"/>
        <v>-119511.83627717709</v>
      </c>
      <c r="AZ97" s="213">
        <f t="shared" ca="1" si="50"/>
        <v>-82130.73565594689</v>
      </c>
      <c r="BA97" s="213">
        <f t="shared" ca="1" si="50"/>
        <v>-71670.299278036575</v>
      </c>
      <c r="BB97" s="213">
        <f t="shared" ca="1" si="50"/>
        <v>-58414.383553921478</v>
      </c>
      <c r="BC97" s="213">
        <f t="shared" ca="1" si="50"/>
        <v>-41610.511365838</v>
      </c>
      <c r="BD97" s="213">
        <f t="shared" ca="1" si="50"/>
        <v>-20527.328494268586</v>
      </c>
      <c r="BE97" s="213">
        <f t="shared" ca="1" si="50"/>
        <v>-3678.9390226850519</v>
      </c>
      <c r="BF97" s="213">
        <f t="shared" ca="1" si="50"/>
        <v>14860.671713188873</v>
      </c>
      <c r="BG97" s="213">
        <f t="shared" ca="1" si="50"/>
        <v>34803.763406352955</v>
      </c>
      <c r="BH97" s="213">
        <f t="shared" ca="1" si="50"/>
        <v>55590.920471203164</v>
      </c>
      <c r="BI97" s="213">
        <f t="shared" ca="1" si="50"/>
        <v>76325.610554155661</v>
      </c>
      <c r="BJ97" s="213">
        <f t="shared" ca="1" si="50"/>
        <v>98100.966526077478</v>
      </c>
      <c r="BK97" s="213">
        <f t="shared" ca="1" si="50"/>
        <v>120747.83691755636</v>
      </c>
      <c r="BL97" s="213">
        <f t="shared" ca="1" si="50"/>
        <v>144128.06767071027</v>
      </c>
      <c r="BM97" s="213">
        <f t="shared" ca="1" si="50"/>
        <v>168213.55830556049</v>
      </c>
      <c r="BN97" s="213">
        <f t="shared" ca="1" si="50"/>
        <v>193203.05963856424</v>
      </c>
      <c r="BO97" s="213">
        <f t="shared" ca="1" si="50"/>
        <v>219061.7428437334</v>
      </c>
      <c r="BP97" s="213">
        <f t="shared" ca="1" si="50"/>
        <v>245789.88893139607</v>
      </c>
      <c r="BQ97" s="213">
        <f t="shared" ca="1" si="50"/>
        <v>273423.96365568659</v>
      </c>
      <c r="BR97" s="213">
        <f t="shared" ca="1" si="50"/>
        <v>302017.32441852149</v>
      </c>
      <c r="BS97" s="213">
        <f t="shared" ca="1" si="50"/>
        <v>331585.38146001939</v>
      </c>
      <c r="BT97" s="213">
        <f t="shared" ca="1" si="50"/>
        <v>362156.69621164154</v>
      </c>
      <c r="BU97" s="213">
        <f t="shared" ca="1" si="50"/>
        <v>393767.24676455429</v>
      </c>
      <c r="BV97" s="213">
        <f t="shared" ca="1" si="50"/>
        <v>426452.91479795915</v>
      </c>
      <c r="BW97" s="213">
        <f t="shared" ca="1" si="50"/>
        <v>460245.04937441915</v>
      </c>
    </row>
    <row r="98" spans="1:75" ht="12.75" x14ac:dyDescent="0.2">
      <c r="A98" s="69" t="s">
        <v>244</v>
      </c>
      <c r="B98" s="221"/>
      <c r="D98" s="115">
        <f t="array" aca="1" ref="D98" ca="1">ROUND(INDEX(INDIRECT("PnL_"&amp;TEXT(D$1,"mmm")&amp;"_"&amp;TEXT(D$1,"yyyy")),MATCH(TRIM($A97),PnL_Accounts,0))-D97,2)</f>
        <v>0</v>
      </c>
      <c r="E98" s="115">
        <f t="array" aca="1" ref="E98" ca="1">ROUND(INDEX(INDIRECT("PnL_"&amp;TEXT(E$1,"mmm")&amp;"_"&amp;TEXT(E$1,"yyyy")),MATCH(TRIM($A97),PnL_Accounts,0))-E97,2)</f>
        <v>0</v>
      </c>
      <c r="F98" s="115">
        <f t="array" aca="1" ref="F98" ca="1">ROUND(INDEX(INDIRECT("PnL_"&amp;TEXT(F$1,"mmm")&amp;"_"&amp;TEXT(F$1,"yyyy")),MATCH(TRIM($A97),PnL_Accounts,0))-F97,2)</f>
        <v>0</v>
      </c>
      <c r="G98" s="115">
        <f t="array" aca="1" ref="G98" ca="1">ROUND(INDEX(INDIRECT("PnL_"&amp;TEXT(G$1,"mmm")&amp;"_"&amp;TEXT(G$1,"yyyy")),MATCH(TRIM($A97),PnL_Accounts,0))-G97,2)</f>
        <v>0</v>
      </c>
      <c r="H98" s="115">
        <f t="array" aca="1" ref="H98" ca="1">ROUND(INDEX(INDIRECT("PnL_"&amp;TEXT(H$1,"mmm")&amp;"_"&amp;TEXT(H$1,"yyyy")),MATCH(TRIM($A97),PnL_Accounts,0))-H97,2)</f>
        <v>0</v>
      </c>
      <c r="I98" s="115">
        <f t="array" aca="1" ref="I98" ca="1">ROUND(INDEX(INDIRECT("PnL_"&amp;TEXT(I$1,"mmm")&amp;"_"&amp;TEXT(I$1,"yyyy")),MATCH(TRIM($A97),PnL_Accounts,0))-I97,2)</f>
        <v>0</v>
      </c>
      <c r="J98" s="115">
        <f t="array" aca="1" ref="J98" ca="1">ROUND(INDEX(INDIRECT("PnL_"&amp;TEXT(J$1,"mmm")&amp;"_"&amp;TEXT(J$1,"yyyy")),MATCH(TRIM($A97),PnL_Accounts,0))-J97,2)</f>
        <v>0</v>
      </c>
      <c r="K98" s="115">
        <f t="array" aca="1" ref="K98" ca="1">ROUND(INDEX(INDIRECT("PnL_"&amp;TEXT(K$1,"mmm")&amp;"_"&amp;TEXT(K$1,"yyyy")),MATCH(TRIM($A97),PnL_Accounts,0))-K97,2)</f>
        <v>0</v>
      </c>
      <c r="L98" s="115">
        <f t="array" aca="1" ref="L98" ca="1">ROUND(INDEX(INDIRECT("PnL_"&amp;TEXT(L$1,"mmm")&amp;"_"&amp;TEXT(L$1,"yyyy")),MATCH(TRIM($A97),PnL_Accounts,0))-L97,2)</f>
        <v>0</v>
      </c>
      <c r="M98" s="115">
        <f t="array" aca="1" ref="M98" ca="1">ROUND(INDEX(INDIRECT("PnL_"&amp;TEXT(M$1,"mmm")&amp;"_"&amp;TEXT(M$1,"yyyy")),MATCH(TRIM($A97),PnL_Accounts,0))-M97,2)</f>
        <v>0</v>
      </c>
      <c r="N98" s="115">
        <f t="array" aca="1" ref="N98" ca="1">ROUND(INDEX(INDIRECT("PnL_"&amp;TEXT(N$1,"mmm")&amp;"_"&amp;TEXT(N$1,"yyyy")),MATCH(TRIM($A97),PnL_Accounts,0))-N97,2)</f>
        <v>0</v>
      </c>
      <c r="O98" s="115">
        <f t="array" aca="1" ref="O98" ca="1">ROUND(INDEX(INDIRECT("PnL_"&amp;TEXT(O$1,"mmm")&amp;"_"&amp;TEXT(O$1,"yyyy")),MATCH(TRIM($A97),PnL_Accounts,0))-O97,2)</f>
        <v>0</v>
      </c>
      <c r="P98" s="115">
        <f t="array" aca="1" ref="P98" ca="1">ROUND(INDEX(INDIRECT("PnL_"&amp;TEXT(P$1,"mmm")&amp;"_"&amp;TEXT(P$1,"yyyy")),MATCH(TRIM($A97),PnL_Accounts,0))-P97,2)</f>
        <v>0</v>
      </c>
      <c r="Q98" s="115">
        <f t="array" aca="1" ref="Q98" ca="1">ROUND(INDEX(INDIRECT("PnL_"&amp;TEXT(Q$1,"mmm")&amp;"_"&amp;TEXT(Q$1,"yyyy")),MATCH(TRIM($A97),PnL_Accounts,0))-Q97,2)</f>
        <v>0</v>
      </c>
      <c r="R98" s="115">
        <f t="array" aca="1" ref="R98" ca="1">ROUND(INDEX(INDIRECT("PnL_"&amp;TEXT(R$1,"mmm")&amp;"_"&amp;TEXT(R$1,"yyyy")),MATCH(TRIM($A97),PnL_Accounts,0))-R97,2)</f>
        <v>0</v>
      </c>
      <c r="S98" s="115">
        <f t="array" aca="1" ref="S98" ca="1">ROUND(INDEX(INDIRECT("PnL_"&amp;TEXT(S$1,"mmm")&amp;"_"&amp;TEXT(S$1,"yyyy")),MATCH(TRIM($A97),PnL_Accounts,0))-S97,2)</f>
        <v>0</v>
      </c>
      <c r="T98" s="115">
        <f t="array" aca="1" ref="T98" ca="1">ROUND(INDEX(INDIRECT("PnL_"&amp;TEXT(T$1,"mmm")&amp;"_"&amp;TEXT(T$1,"yyyy")),MATCH(TRIM($A97),PnL_Accounts,0))-T97,2)</f>
        <v>0</v>
      </c>
      <c r="U98" s="115">
        <f t="array" aca="1" ref="U98" ca="1">ROUND(INDEX(INDIRECT("PnL_"&amp;TEXT(U$1,"mmm")&amp;"_"&amp;TEXT(U$1,"yyyy")),MATCH(TRIM($A97),PnL_Accounts,0))-U97,2)</f>
        <v>0</v>
      </c>
      <c r="V98" s="115">
        <f t="array" aca="1" ref="V98" ca="1">ROUND(INDEX(INDIRECT("PnL_"&amp;TEXT(V$1,"mmm")&amp;"_"&amp;TEXT(V$1,"yyyy")),MATCH(TRIM($A97),PnL_Accounts,0))-V97,2)</f>
        <v>0</v>
      </c>
      <c r="W98" s="115">
        <f t="array" aca="1" ref="W98" ca="1">ROUND(INDEX(INDIRECT("PnL_"&amp;TEXT(W$1,"mmm")&amp;"_"&amp;TEXT(W$1,"yyyy")),MATCH(TRIM($A97),PnL_Accounts,0))-W97,2)</f>
        <v>0</v>
      </c>
      <c r="X98" s="115">
        <f t="array" aca="1" ref="X98" ca="1">ROUND(INDEX(INDIRECT("PnL_"&amp;TEXT(X$1,"mmm")&amp;"_"&amp;TEXT(X$1,"yyyy")),MATCH(TRIM($A97),PnL_Accounts,0))-X97,2)</f>
        <v>0</v>
      </c>
      <c r="Y98" s="115">
        <f t="array" aca="1" ref="Y98" ca="1">ROUND(INDEX(INDIRECT("PnL_"&amp;TEXT(Y$1,"mmm")&amp;"_"&amp;TEXT(Y$1,"yyyy")),MATCH(TRIM($A97),PnL_Accounts,0))-Y97,2)</f>
        <v>0</v>
      </c>
      <c r="Z98" s="115">
        <f t="array" aca="1" ref="Z98" ca="1">ROUND(INDEX(INDIRECT("PnL_"&amp;TEXT(Z$1,"mmm")&amp;"_"&amp;TEXT(Z$1,"yyyy")),MATCH(TRIM($A97),PnL_Accounts,0))-Z97,2)</f>
        <v>0</v>
      </c>
      <c r="AA98" s="115">
        <f t="array" aca="1" ref="AA98" ca="1">ROUND(INDEX(INDIRECT("PnL_"&amp;TEXT(AA$1,"mmm")&amp;"_"&amp;TEXT(AA$1,"yyyy")),MATCH(TRIM($A97),PnL_Accounts,0))-AA97,2)</f>
        <v>0</v>
      </c>
      <c r="AB98" s="115">
        <f t="array" aca="1" ref="AB98" ca="1">ROUND(INDEX(INDIRECT("PnL_"&amp;TEXT(AB$1,"mmm")&amp;"_"&amp;TEXT(AB$1,"yyyy")),MATCH(TRIM($A97),PnL_Accounts,0))-AB97,2)</f>
        <v>0</v>
      </c>
      <c r="AC98" s="115">
        <f t="array" aca="1" ref="AC98" ca="1">ROUND(INDEX(INDIRECT("PnL_"&amp;TEXT(AC$1,"mmm")&amp;"_"&amp;TEXT(AC$1,"yyyy")),MATCH(TRIM($A97),PnL_Accounts,0))-AC97,2)</f>
        <v>0</v>
      </c>
      <c r="AD98" s="115">
        <f t="array" aca="1" ref="AD98" ca="1">ROUND(INDEX(INDIRECT("PnL_"&amp;TEXT(AD$1,"mmm")&amp;"_"&amp;TEXT(AD$1,"yyyy")),MATCH(TRIM($A97),PnL_Accounts,0))-AD97,2)</f>
        <v>0</v>
      </c>
      <c r="AE98" s="115">
        <f t="array" aca="1" ref="AE98" ca="1">ROUND(INDEX(INDIRECT("PnL_"&amp;TEXT(AE$1,"mmm")&amp;"_"&amp;TEXT(AE$1,"yyyy")),MATCH(TRIM($A97),PnL_Accounts,0))-AE97,2)</f>
        <v>0</v>
      </c>
    </row>
    <row r="99" spans="1:75" ht="12.75" x14ac:dyDescent="0.2">
      <c r="B99" s="221"/>
    </row>
    <row r="100" spans="1:75" ht="12.75" x14ac:dyDescent="0.2">
      <c r="A100" s="21" t="s">
        <v>344</v>
      </c>
      <c r="B100" s="221"/>
    </row>
    <row r="101" spans="1:75" ht="12.75" x14ac:dyDescent="0.2">
      <c r="A101" s="23" t="s">
        <v>345</v>
      </c>
      <c r="B101" s="221"/>
    </row>
    <row r="102" spans="1:75" ht="12.75" x14ac:dyDescent="0.2">
      <c r="A102" s="23" t="s">
        <v>346</v>
      </c>
      <c r="B102" s="221"/>
    </row>
    <row r="103" spans="1:75" ht="12.75" x14ac:dyDescent="0.2">
      <c r="A103" s="23" t="s">
        <v>347</v>
      </c>
      <c r="B103" s="221"/>
      <c r="AF103" s="165">
        <f ca="1">AE105+AF181</f>
        <v>335061.46284173644</v>
      </c>
      <c r="AG103" s="165">
        <f t="shared" ref="AG103:BW103" ca="1" si="51">AF105+AG181</f>
        <v>377414.2534292441</v>
      </c>
      <c r="AH103" s="165">
        <f t="shared" ca="1" si="51"/>
        <v>401423.49884110288</v>
      </c>
      <c r="AI103" s="165">
        <f t="shared" ca="1" si="51"/>
        <v>422660.24844425236</v>
      </c>
      <c r="AJ103" s="165">
        <f t="shared" ca="1" si="51"/>
        <v>413747.07480542426</v>
      </c>
      <c r="AK103" s="165">
        <f t="shared" ca="1" si="51"/>
        <v>396032.05444101064</v>
      </c>
      <c r="AL103" s="165">
        <f t="shared" ca="1" si="51"/>
        <v>368862.94949049695</v>
      </c>
      <c r="AM103" s="165">
        <f t="shared" ca="1" si="51"/>
        <v>332994.77080984839</v>
      </c>
      <c r="AN103" s="165">
        <f t="shared" ca="1" si="51"/>
        <v>288133.26614594279</v>
      </c>
      <c r="AO103" s="165">
        <f t="shared" ca="1" si="51"/>
        <v>235111.28424345847</v>
      </c>
      <c r="AP103" s="165">
        <f t="shared" ca="1" si="51"/>
        <v>173581.22373588389</v>
      </c>
      <c r="AQ103" s="165">
        <f t="shared" ca="1" si="51"/>
        <v>104349.82396505756</v>
      </c>
      <c r="AR103" s="165">
        <f t="shared" ca="1" si="51"/>
        <v>28198.258295218868</v>
      </c>
      <c r="AS103" s="165">
        <f t="shared" ca="1" si="51"/>
        <v>-55245.897299073113</v>
      </c>
      <c r="AT103" s="165">
        <f t="shared" ca="1" si="51"/>
        <v>-145218.11376736156</v>
      </c>
      <c r="AU103" s="165">
        <f t="shared" ca="1" si="51"/>
        <v>-242104.28885950817</v>
      </c>
      <c r="AV103" s="165">
        <f t="shared" ca="1" si="51"/>
        <v>-345158.31340721046</v>
      </c>
      <c r="AW103" s="165">
        <f t="shared" ca="1" si="51"/>
        <v>-453653.60902998346</v>
      </c>
      <c r="AX103" s="165">
        <f t="shared" ca="1" si="51"/>
        <v>-568012.47719820612</v>
      </c>
      <c r="AY103" s="165">
        <f t="shared" ca="1" si="51"/>
        <v>-687524.31347538321</v>
      </c>
      <c r="AZ103" s="165">
        <f t="shared" ca="1" si="51"/>
        <v>-769655.0491313301</v>
      </c>
      <c r="BA103" s="165">
        <f t="shared" ca="1" si="51"/>
        <v>-841325.34840936668</v>
      </c>
      <c r="BB103" s="165">
        <f t="shared" ca="1" si="51"/>
        <v>-899739.73196328816</v>
      </c>
      <c r="BC103" s="165">
        <f t="shared" ca="1" si="51"/>
        <v>-941350.24332912616</v>
      </c>
      <c r="BD103" s="165">
        <f t="shared" ca="1" si="51"/>
        <v>-961877.57182339474</v>
      </c>
      <c r="BE103" s="165">
        <f t="shared" ca="1" si="51"/>
        <v>-965556.51084607979</v>
      </c>
      <c r="BF103" s="165">
        <f t="shared" ca="1" si="51"/>
        <v>-950695.83913289092</v>
      </c>
      <c r="BG103" s="165">
        <f t="shared" ca="1" si="51"/>
        <v>-915892.07572653797</v>
      </c>
      <c r="BH103" s="165">
        <f t="shared" ca="1" si="51"/>
        <v>-860301.1552553348</v>
      </c>
      <c r="BI103" s="165">
        <f t="shared" ca="1" si="51"/>
        <v>-783975.54470117914</v>
      </c>
      <c r="BJ103" s="165">
        <f t="shared" ca="1" si="51"/>
        <v>-685874.57817510166</v>
      </c>
      <c r="BK103" s="165">
        <f t="shared" ca="1" si="51"/>
        <v>-565126.74125754531</v>
      </c>
      <c r="BL103" s="165">
        <f t="shared" ca="1" si="51"/>
        <v>-420998.67358683504</v>
      </c>
      <c r="BM103" s="165">
        <f t="shared" ca="1" si="51"/>
        <v>-252785.11528127454</v>
      </c>
      <c r="BN103" s="165">
        <f t="shared" ca="1" si="51"/>
        <v>-59582.0556427103</v>
      </c>
      <c r="BO103" s="165">
        <f t="shared" ca="1" si="51"/>
        <v>159479.6872010231</v>
      </c>
      <c r="BP103" s="165" t="e">
        <f t="shared" ca="1" si="51"/>
        <v>#N/A</v>
      </c>
      <c r="BQ103" s="165" t="e">
        <f t="shared" ca="1" si="51"/>
        <v>#N/A</v>
      </c>
      <c r="BR103" s="165" t="e">
        <f t="shared" ca="1" si="51"/>
        <v>#N/A</v>
      </c>
      <c r="BS103" s="165" t="e">
        <f t="shared" ca="1" si="51"/>
        <v>#N/A</v>
      </c>
      <c r="BT103" s="165" t="e">
        <f t="shared" ca="1" si="51"/>
        <v>#N/A</v>
      </c>
      <c r="BU103" s="165" t="e">
        <f t="shared" ca="1" si="51"/>
        <v>#N/A</v>
      </c>
      <c r="BV103" s="165" t="e">
        <f t="shared" ca="1" si="51"/>
        <v>#N/A</v>
      </c>
      <c r="BW103" s="165" t="e">
        <f t="shared" ca="1" si="51"/>
        <v>#N/A</v>
      </c>
    </row>
    <row r="104" spans="1:75" ht="12.75" x14ac:dyDescent="0.2">
      <c r="A104" s="23" t="s">
        <v>348</v>
      </c>
      <c r="B104" s="221"/>
      <c r="D104" s="115">
        <f t="array" aca="1" ref="D104" ca="1">INDEX(INDIRECT("BS_"&amp;TEXT(D$1,"mmm")&amp;"_"&amp;TEXT(D$1,"yyyy")),MATCH(TRIM($A104),BS_Accounts,0))</f>
        <v>960680</v>
      </c>
      <c r="E104" s="115">
        <f t="array" aca="1" ref="E104" ca="1">INDEX(INDIRECT("BS_"&amp;TEXT(E$1,"mmm")&amp;"_"&amp;TEXT(E$1,"yyyy")),MATCH(TRIM($A104),BS_Accounts,0))</f>
        <v>970330</v>
      </c>
      <c r="F104" s="115">
        <f t="array" aca="1" ref="F104" ca="1">INDEX(INDIRECT("BS_"&amp;TEXT(F$1,"mmm")&amp;"_"&amp;TEXT(F$1,"yyyy")),MATCH(TRIM($A104),BS_Accounts,0))</f>
        <v>867374</v>
      </c>
      <c r="G104" s="115">
        <f t="array" aca="1" ref="G104" ca="1">INDEX(INDIRECT("BS_"&amp;TEXT(G$1,"mmm")&amp;"_"&amp;TEXT(G$1,"yyyy")),MATCH(TRIM($A104),BS_Accounts,0))</f>
        <v>772779</v>
      </c>
      <c r="H104" s="115">
        <f t="array" aca="1" ref="H104" ca="1">INDEX(INDIRECT("BS_"&amp;TEXT(H$1,"mmm")&amp;"_"&amp;TEXT(H$1,"yyyy")),MATCH(TRIM($A104),BS_Accounts,0))</f>
        <v>690714</v>
      </c>
      <c r="I104" s="115">
        <f t="array" aca="1" ref="I104" ca="1">INDEX(INDIRECT("BS_"&amp;TEXT(I$1,"mmm")&amp;"_"&amp;TEXT(I$1,"yyyy")),MATCH(TRIM($A104),BS_Accounts,0))</f>
        <v>612582</v>
      </c>
      <c r="J104" s="115">
        <f t="array" aca="1" ref="J104" ca="1">INDEX(INDIRECT("BS_"&amp;TEXT(J$1,"mmm")&amp;"_"&amp;TEXT(J$1,"yyyy")),MATCH(TRIM($A104),BS_Accounts,0))</f>
        <v>518537</v>
      </c>
      <c r="K104" s="115">
        <f t="array" aca="1" ref="K104" ca="1">INDEX(INDIRECT("BS_"&amp;TEXT(K$1,"mmm")&amp;"_"&amp;TEXT(K$1,"yyyy")),MATCH(TRIM($A104),BS_Accounts,0))</f>
        <v>428771</v>
      </c>
      <c r="L104" s="115">
        <f t="array" aca="1" ref="L104" ca="1">INDEX(INDIRECT("BS_"&amp;TEXT(L$1,"mmm")&amp;"_"&amp;TEXT(L$1,"yyyy")),MATCH(TRIM($A104),BS_Accounts,0))</f>
        <v>314326</v>
      </c>
      <c r="M104" s="115">
        <f t="array" aca="1" ref="M104" ca="1">INDEX(INDIRECT("BS_"&amp;TEXT(M$1,"mmm")&amp;"_"&amp;TEXT(M$1,"yyyy")),MATCH(TRIM($A104),BS_Accounts,0))</f>
        <v>782445</v>
      </c>
      <c r="N104" s="115">
        <f t="array" aca="1" ref="N104" ca="1">INDEX(INDIRECT("BS_"&amp;TEXT(N$1,"mmm")&amp;"_"&amp;TEXT(N$1,"yyyy")),MATCH(TRIM($A104),BS_Accounts,0))</f>
        <v>641848</v>
      </c>
      <c r="O104" s="115">
        <f t="array" aca="1" ref="O104" ca="1">INDEX(INDIRECT("BS_"&amp;TEXT(O$1,"mmm")&amp;"_"&amp;TEXT(O$1,"yyyy")),MATCH(TRIM($A104),BS_Accounts,0))</f>
        <v>464654</v>
      </c>
      <c r="P104" s="115">
        <f t="array" aca="1" ref="P104" ca="1">INDEX(INDIRECT("BS_"&amp;TEXT(P$1,"mmm")&amp;"_"&amp;TEXT(P$1,"yyyy")),MATCH(TRIM($A104),BS_Accounts,0))</f>
        <v>787530</v>
      </c>
      <c r="Q104" s="115">
        <f t="array" aca="1" ref="Q104" ca="1">INDEX(INDIRECT("BS_"&amp;TEXT(Q$1,"mmm")&amp;"_"&amp;TEXT(Q$1,"yyyy")),MATCH(TRIM($A104),BS_Accounts,0))</f>
        <v>597955</v>
      </c>
      <c r="R104" s="115">
        <f t="array" aca="1" ref="R104" ca="1">INDEX(INDIRECT("BS_"&amp;TEXT(R$1,"mmm")&amp;"_"&amp;TEXT(R$1,"yyyy")),MATCH(TRIM($A104),BS_Accounts,0))</f>
        <v>413824</v>
      </c>
      <c r="S104" s="115">
        <f t="array" aca="1" ref="S104" ca="1">INDEX(INDIRECT("BS_"&amp;TEXT(S$1,"mmm")&amp;"_"&amp;TEXT(S$1,"yyyy")),MATCH(TRIM($A104),BS_Accounts,0))</f>
        <v>284883</v>
      </c>
      <c r="T104" s="115">
        <f t="array" aca="1" ref="T104" ca="1">INDEX(INDIRECT("BS_"&amp;TEXT(T$1,"mmm")&amp;"_"&amp;TEXT(T$1,"yyyy")),MATCH(TRIM($A104),BS_Accounts,0))</f>
        <v>433129</v>
      </c>
      <c r="U104" s="115">
        <f t="array" aca="1" ref="U104" ca="1">INDEX(INDIRECT("BS_"&amp;TEXT(U$1,"mmm")&amp;"_"&amp;TEXT(U$1,"yyyy")),MATCH(TRIM($A104),BS_Accounts,0))</f>
        <v>310846</v>
      </c>
      <c r="V104" s="115">
        <f t="array" aca="1" ref="V104" ca="1">INDEX(INDIRECT("BS_"&amp;TEXT(V$1,"mmm")&amp;"_"&amp;TEXT(V$1,"yyyy")),MATCH(TRIM($A104),BS_Accounts,0))</f>
        <v>208372</v>
      </c>
      <c r="W104" s="115">
        <f t="array" aca="1" ref="W104" ca="1">INDEX(INDIRECT("BS_"&amp;TEXT(W$1,"mmm")&amp;"_"&amp;TEXT(W$1,"yyyy")),MATCH(TRIM($A104),BS_Accounts,0))</f>
        <v>125877</v>
      </c>
      <c r="X104" s="115">
        <f t="array" aca="1" ref="X104" ca="1">INDEX(INDIRECT("BS_"&amp;TEXT(X$1,"mmm")&amp;"_"&amp;TEXT(X$1,"yyyy")),MATCH(TRIM($A104),BS_Accounts,0))</f>
        <v>65839</v>
      </c>
      <c r="Y104" s="115">
        <f t="array" aca="1" ref="Y104" ca="1">INDEX(INDIRECT("BS_"&amp;TEXT(Y$1,"mmm")&amp;"_"&amp;TEXT(Y$1,"yyyy")),MATCH(TRIM($A104),BS_Accounts,0))</f>
        <v>338519</v>
      </c>
      <c r="Z104" s="115">
        <f t="array" aca="1" ref="Z104" ca="1">INDEX(INDIRECT("BS_"&amp;TEXT(Z$1,"mmm")&amp;"_"&amp;TEXT(Z$1,"yyyy")),MATCH(TRIM($A104),BS_Accounts,0))</f>
        <v>319614</v>
      </c>
      <c r="AA104" s="115">
        <f t="array" aca="1" ref="AA104" ca="1">INDEX(INDIRECT("BS_"&amp;TEXT(AA$1,"mmm")&amp;"_"&amp;TEXT(AA$1,"yyyy")),MATCH(TRIM($A104),BS_Accounts,0))</f>
        <v>295403</v>
      </c>
      <c r="AB104" s="115">
        <f t="array" aca="1" ref="AB104" ca="1">INDEX(INDIRECT("BS_"&amp;TEXT(AB$1,"mmm")&amp;"_"&amp;TEXT(AB$1,"yyyy")),MATCH(TRIM($A104),BS_Accounts,0))</f>
        <v>281579</v>
      </c>
      <c r="AC104" s="115">
        <f t="array" aca="1" ref="AC104" ca="1">INDEX(INDIRECT("BS_"&amp;TEXT(AC$1,"mmm")&amp;"_"&amp;TEXT(AC$1,"yyyy")),MATCH(TRIM($A104),BS_Accounts,0))</f>
        <v>255410</v>
      </c>
      <c r="AD104" s="115">
        <f t="array" aca="1" ref="AD104" ca="1">INDEX(INDIRECT("BS_"&amp;TEXT(AD$1,"mmm")&amp;"_"&amp;TEXT(AD$1,"yyyy")),MATCH(TRIM($A104),BS_Accounts,0))</f>
        <v>263817.19</v>
      </c>
      <c r="AE104" s="115">
        <f t="array" aca="1" ref="AE104" ca="1">INDEX(INDIRECT("BS_"&amp;TEXT(AE$1,"mmm")&amp;"_"&amp;TEXT(AE$1,"yyyy")),MATCH(TRIM($A104),BS_Accounts,0))</f>
        <v>263700.19</v>
      </c>
    </row>
    <row r="105" spans="1:75" ht="12.75" x14ac:dyDescent="0.2">
      <c r="A105" s="60" t="s">
        <v>349</v>
      </c>
      <c r="B105" s="238"/>
      <c r="C105" s="212"/>
      <c r="D105" s="226">
        <f t="shared" ref="D105:BW105" ca="1" si="52">SUM(D103:D104)</f>
        <v>960680</v>
      </c>
      <c r="E105" s="226">
        <f t="shared" ca="1" si="52"/>
        <v>970330</v>
      </c>
      <c r="F105" s="226">
        <f t="shared" ca="1" si="52"/>
        <v>867374</v>
      </c>
      <c r="G105" s="226">
        <f t="shared" ca="1" si="52"/>
        <v>772779</v>
      </c>
      <c r="H105" s="226">
        <f t="shared" ca="1" si="52"/>
        <v>690714</v>
      </c>
      <c r="I105" s="226">
        <f t="shared" ca="1" si="52"/>
        <v>612582</v>
      </c>
      <c r="J105" s="226">
        <f t="shared" ca="1" si="52"/>
        <v>518537</v>
      </c>
      <c r="K105" s="226">
        <f t="shared" ca="1" si="52"/>
        <v>428771</v>
      </c>
      <c r="L105" s="226">
        <f t="shared" ca="1" si="52"/>
        <v>314326</v>
      </c>
      <c r="M105" s="226">
        <f t="shared" ca="1" si="52"/>
        <v>782445</v>
      </c>
      <c r="N105" s="226">
        <f t="shared" ca="1" si="52"/>
        <v>641848</v>
      </c>
      <c r="O105" s="226">
        <f t="shared" ca="1" si="52"/>
        <v>464654</v>
      </c>
      <c r="P105" s="226">
        <f t="shared" ca="1" si="52"/>
        <v>787530</v>
      </c>
      <c r="Q105" s="226">
        <f t="shared" ca="1" si="52"/>
        <v>597955</v>
      </c>
      <c r="R105" s="226">
        <f t="shared" ca="1" si="52"/>
        <v>413824</v>
      </c>
      <c r="S105" s="226">
        <f t="shared" ca="1" si="52"/>
        <v>284883</v>
      </c>
      <c r="T105" s="226">
        <f t="shared" ca="1" si="52"/>
        <v>433129</v>
      </c>
      <c r="U105" s="226">
        <f t="shared" ca="1" si="52"/>
        <v>310846</v>
      </c>
      <c r="V105" s="226">
        <f t="shared" ca="1" si="52"/>
        <v>208372</v>
      </c>
      <c r="W105" s="226">
        <f t="shared" ca="1" si="52"/>
        <v>125877</v>
      </c>
      <c r="X105" s="226">
        <f t="shared" ca="1" si="52"/>
        <v>65839</v>
      </c>
      <c r="Y105" s="226">
        <f t="shared" ca="1" si="52"/>
        <v>338519</v>
      </c>
      <c r="Z105" s="226">
        <f t="shared" ca="1" si="52"/>
        <v>319614</v>
      </c>
      <c r="AA105" s="226">
        <f t="shared" ca="1" si="52"/>
        <v>295403</v>
      </c>
      <c r="AB105" s="226">
        <f t="shared" ca="1" si="52"/>
        <v>281579</v>
      </c>
      <c r="AC105" s="226">
        <f t="shared" ca="1" si="52"/>
        <v>255410</v>
      </c>
      <c r="AD105" s="226">
        <f t="shared" ca="1" si="52"/>
        <v>263817.19</v>
      </c>
      <c r="AE105" s="226">
        <f t="shared" ca="1" si="52"/>
        <v>263700.19</v>
      </c>
      <c r="AF105" s="226">
        <f t="shared" ca="1" si="52"/>
        <v>335061.46284173644</v>
      </c>
      <c r="AG105" s="226">
        <f t="shared" ca="1" si="52"/>
        <v>377414.2534292441</v>
      </c>
      <c r="AH105" s="226">
        <f t="shared" ca="1" si="52"/>
        <v>401423.49884110288</v>
      </c>
      <c r="AI105" s="226">
        <f t="shared" ca="1" si="52"/>
        <v>422660.24844425236</v>
      </c>
      <c r="AJ105" s="226">
        <f t="shared" ca="1" si="52"/>
        <v>413747.07480542426</v>
      </c>
      <c r="AK105" s="226">
        <f t="shared" ca="1" si="52"/>
        <v>396032.05444101064</v>
      </c>
      <c r="AL105" s="226">
        <f t="shared" ca="1" si="52"/>
        <v>368862.94949049695</v>
      </c>
      <c r="AM105" s="226">
        <f t="shared" ca="1" si="52"/>
        <v>332994.77080984839</v>
      </c>
      <c r="AN105" s="226">
        <f t="shared" ca="1" si="52"/>
        <v>288133.26614594279</v>
      </c>
      <c r="AO105" s="226">
        <f t="shared" ca="1" si="52"/>
        <v>235111.28424345847</v>
      </c>
      <c r="AP105" s="226">
        <f t="shared" ca="1" si="52"/>
        <v>173581.22373588389</v>
      </c>
      <c r="AQ105" s="226">
        <f t="shared" ca="1" si="52"/>
        <v>104349.82396505756</v>
      </c>
      <c r="AR105" s="226">
        <f t="shared" ca="1" si="52"/>
        <v>28198.258295218868</v>
      </c>
      <c r="AS105" s="226">
        <f t="shared" ca="1" si="52"/>
        <v>-55245.897299073113</v>
      </c>
      <c r="AT105" s="226">
        <f t="shared" ca="1" si="52"/>
        <v>-145218.11376736156</v>
      </c>
      <c r="AU105" s="226">
        <f t="shared" ca="1" si="52"/>
        <v>-242104.28885950817</v>
      </c>
      <c r="AV105" s="226">
        <f t="shared" ca="1" si="52"/>
        <v>-345158.31340721046</v>
      </c>
      <c r="AW105" s="226">
        <f t="shared" ca="1" si="52"/>
        <v>-453653.60902998346</v>
      </c>
      <c r="AX105" s="226">
        <f t="shared" ca="1" si="52"/>
        <v>-568012.47719820612</v>
      </c>
      <c r="AY105" s="226">
        <f t="shared" ca="1" si="52"/>
        <v>-687524.31347538321</v>
      </c>
      <c r="AZ105" s="226">
        <f t="shared" ca="1" si="52"/>
        <v>-769655.0491313301</v>
      </c>
      <c r="BA105" s="226">
        <f t="shared" ca="1" si="52"/>
        <v>-841325.34840936668</v>
      </c>
      <c r="BB105" s="226">
        <f t="shared" ca="1" si="52"/>
        <v>-899739.73196328816</v>
      </c>
      <c r="BC105" s="226">
        <f t="shared" ca="1" si="52"/>
        <v>-941350.24332912616</v>
      </c>
      <c r="BD105" s="226">
        <f t="shared" ca="1" si="52"/>
        <v>-961877.57182339474</v>
      </c>
      <c r="BE105" s="226">
        <f t="shared" ca="1" si="52"/>
        <v>-965556.51084607979</v>
      </c>
      <c r="BF105" s="226">
        <f t="shared" ca="1" si="52"/>
        <v>-950695.83913289092</v>
      </c>
      <c r="BG105" s="226">
        <f t="shared" ca="1" si="52"/>
        <v>-915892.07572653797</v>
      </c>
      <c r="BH105" s="226">
        <f t="shared" ca="1" si="52"/>
        <v>-860301.1552553348</v>
      </c>
      <c r="BI105" s="226">
        <f t="shared" ca="1" si="52"/>
        <v>-783975.54470117914</v>
      </c>
      <c r="BJ105" s="226">
        <f t="shared" ca="1" si="52"/>
        <v>-685874.57817510166</v>
      </c>
      <c r="BK105" s="226">
        <f t="shared" ca="1" si="52"/>
        <v>-565126.74125754531</v>
      </c>
      <c r="BL105" s="226">
        <f t="shared" ca="1" si="52"/>
        <v>-420998.67358683504</v>
      </c>
      <c r="BM105" s="226">
        <f t="shared" ca="1" si="52"/>
        <v>-252785.11528127454</v>
      </c>
      <c r="BN105" s="226">
        <f t="shared" ca="1" si="52"/>
        <v>-59582.0556427103</v>
      </c>
      <c r="BO105" s="226">
        <f t="shared" ca="1" si="52"/>
        <v>159479.6872010231</v>
      </c>
      <c r="BP105" s="226" t="e">
        <f t="shared" ca="1" si="52"/>
        <v>#N/A</v>
      </c>
      <c r="BQ105" s="226" t="e">
        <f t="shared" ca="1" si="52"/>
        <v>#N/A</v>
      </c>
      <c r="BR105" s="226" t="e">
        <f t="shared" ca="1" si="52"/>
        <v>#N/A</v>
      </c>
      <c r="BS105" s="226" t="e">
        <f t="shared" ca="1" si="52"/>
        <v>#N/A</v>
      </c>
      <c r="BT105" s="226" t="e">
        <f t="shared" ca="1" si="52"/>
        <v>#N/A</v>
      </c>
      <c r="BU105" s="226" t="e">
        <f t="shared" ca="1" si="52"/>
        <v>#N/A</v>
      </c>
      <c r="BV105" s="226" t="e">
        <f t="shared" ca="1" si="52"/>
        <v>#N/A</v>
      </c>
      <c r="BW105" s="226" t="e">
        <f t="shared" ca="1" si="52"/>
        <v>#N/A</v>
      </c>
    </row>
    <row r="106" spans="1:75" ht="12.75" x14ac:dyDescent="0.2">
      <c r="A106" s="60" t="s">
        <v>350</v>
      </c>
      <c r="B106" s="238"/>
      <c r="C106" s="212"/>
      <c r="D106" s="226">
        <f t="shared" ref="D106:BW106" ca="1" si="53">SUM(D105)</f>
        <v>960680</v>
      </c>
      <c r="E106" s="226">
        <f t="shared" ca="1" si="53"/>
        <v>970330</v>
      </c>
      <c r="F106" s="226">
        <f t="shared" ca="1" si="53"/>
        <v>867374</v>
      </c>
      <c r="G106" s="226">
        <f t="shared" ca="1" si="53"/>
        <v>772779</v>
      </c>
      <c r="H106" s="226">
        <f t="shared" ca="1" si="53"/>
        <v>690714</v>
      </c>
      <c r="I106" s="226">
        <f t="shared" ca="1" si="53"/>
        <v>612582</v>
      </c>
      <c r="J106" s="226">
        <f t="shared" ca="1" si="53"/>
        <v>518537</v>
      </c>
      <c r="K106" s="226">
        <f t="shared" ca="1" si="53"/>
        <v>428771</v>
      </c>
      <c r="L106" s="226">
        <f t="shared" ca="1" si="53"/>
        <v>314326</v>
      </c>
      <c r="M106" s="226">
        <f t="shared" ca="1" si="53"/>
        <v>782445</v>
      </c>
      <c r="N106" s="226">
        <f t="shared" ca="1" si="53"/>
        <v>641848</v>
      </c>
      <c r="O106" s="226">
        <f t="shared" ca="1" si="53"/>
        <v>464654</v>
      </c>
      <c r="P106" s="226">
        <f t="shared" ca="1" si="53"/>
        <v>787530</v>
      </c>
      <c r="Q106" s="226">
        <f t="shared" ca="1" si="53"/>
        <v>597955</v>
      </c>
      <c r="R106" s="226">
        <f t="shared" ca="1" si="53"/>
        <v>413824</v>
      </c>
      <c r="S106" s="226">
        <f t="shared" ca="1" si="53"/>
        <v>284883</v>
      </c>
      <c r="T106" s="226">
        <f t="shared" ca="1" si="53"/>
        <v>433129</v>
      </c>
      <c r="U106" s="226">
        <f t="shared" ca="1" si="53"/>
        <v>310846</v>
      </c>
      <c r="V106" s="226">
        <f t="shared" ca="1" si="53"/>
        <v>208372</v>
      </c>
      <c r="W106" s="226">
        <f t="shared" ca="1" si="53"/>
        <v>125877</v>
      </c>
      <c r="X106" s="226">
        <f t="shared" ca="1" si="53"/>
        <v>65839</v>
      </c>
      <c r="Y106" s="226">
        <f t="shared" ca="1" si="53"/>
        <v>338519</v>
      </c>
      <c r="Z106" s="226">
        <f t="shared" ca="1" si="53"/>
        <v>319614</v>
      </c>
      <c r="AA106" s="226">
        <f t="shared" ca="1" si="53"/>
        <v>295403</v>
      </c>
      <c r="AB106" s="226">
        <f t="shared" ca="1" si="53"/>
        <v>281579</v>
      </c>
      <c r="AC106" s="226">
        <f t="shared" ca="1" si="53"/>
        <v>255410</v>
      </c>
      <c r="AD106" s="226">
        <f t="shared" ca="1" si="53"/>
        <v>263817.19</v>
      </c>
      <c r="AE106" s="226">
        <f t="shared" ca="1" si="53"/>
        <v>263700.19</v>
      </c>
      <c r="AF106" s="226">
        <f t="shared" ca="1" si="53"/>
        <v>335061.46284173644</v>
      </c>
      <c r="AG106" s="226">
        <f t="shared" ca="1" si="53"/>
        <v>377414.2534292441</v>
      </c>
      <c r="AH106" s="226">
        <f t="shared" ca="1" si="53"/>
        <v>401423.49884110288</v>
      </c>
      <c r="AI106" s="226">
        <f t="shared" ca="1" si="53"/>
        <v>422660.24844425236</v>
      </c>
      <c r="AJ106" s="226">
        <f t="shared" ca="1" si="53"/>
        <v>413747.07480542426</v>
      </c>
      <c r="AK106" s="226">
        <f t="shared" ca="1" si="53"/>
        <v>396032.05444101064</v>
      </c>
      <c r="AL106" s="226">
        <f t="shared" ca="1" si="53"/>
        <v>368862.94949049695</v>
      </c>
      <c r="AM106" s="226">
        <f t="shared" ca="1" si="53"/>
        <v>332994.77080984839</v>
      </c>
      <c r="AN106" s="226">
        <f t="shared" ca="1" si="53"/>
        <v>288133.26614594279</v>
      </c>
      <c r="AO106" s="226">
        <f t="shared" ca="1" si="53"/>
        <v>235111.28424345847</v>
      </c>
      <c r="AP106" s="226">
        <f t="shared" ca="1" si="53"/>
        <v>173581.22373588389</v>
      </c>
      <c r="AQ106" s="226">
        <f t="shared" ca="1" si="53"/>
        <v>104349.82396505756</v>
      </c>
      <c r="AR106" s="226">
        <f t="shared" ca="1" si="53"/>
        <v>28198.258295218868</v>
      </c>
      <c r="AS106" s="226">
        <f t="shared" ca="1" si="53"/>
        <v>-55245.897299073113</v>
      </c>
      <c r="AT106" s="226">
        <f t="shared" ca="1" si="53"/>
        <v>-145218.11376736156</v>
      </c>
      <c r="AU106" s="226">
        <f t="shared" ca="1" si="53"/>
        <v>-242104.28885950817</v>
      </c>
      <c r="AV106" s="226">
        <f t="shared" ca="1" si="53"/>
        <v>-345158.31340721046</v>
      </c>
      <c r="AW106" s="226">
        <f t="shared" ca="1" si="53"/>
        <v>-453653.60902998346</v>
      </c>
      <c r="AX106" s="226">
        <f t="shared" ca="1" si="53"/>
        <v>-568012.47719820612</v>
      </c>
      <c r="AY106" s="226">
        <f t="shared" ca="1" si="53"/>
        <v>-687524.31347538321</v>
      </c>
      <c r="AZ106" s="226">
        <f t="shared" ca="1" si="53"/>
        <v>-769655.0491313301</v>
      </c>
      <c r="BA106" s="226">
        <f t="shared" ca="1" si="53"/>
        <v>-841325.34840936668</v>
      </c>
      <c r="BB106" s="226">
        <f t="shared" ca="1" si="53"/>
        <v>-899739.73196328816</v>
      </c>
      <c r="BC106" s="226">
        <f t="shared" ca="1" si="53"/>
        <v>-941350.24332912616</v>
      </c>
      <c r="BD106" s="226">
        <f t="shared" ca="1" si="53"/>
        <v>-961877.57182339474</v>
      </c>
      <c r="BE106" s="226">
        <f t="shared" ca="1" si="53"/>
        <v>-965556.51084607979</v>
      </c>
      <c r="BF106" s="226">
        <f t="shared" ca="1" si="53"/>
        <v>-950695.83913289092</v>
      </c>
      <c r="BG106" s="226">
        <f t="shared" ca="1" si="53"/>
        <v>-915892.07572653797</v>
      </c>
      <c r="BH106" s="226">
        <f t="shared" ca="1" si="53"/>
        <v>-860301.1552553348</v>
      </c>
      <c r="BI106" s="226">
        <f t="shared" ca="1" si="53"/>
        <v>-783975.54470117914</v>
      </c>
      <c r="BJ106" s="226">
        <f t="shared" ca="1" si="53"/>
        <v>-685874.57817510166</v>
      </c>
      <c r="BK106" s="226">
        <f t="shared" ca="1" si="53"/>
        <v>-565126.74125754531</v>
      </c>
      <c r="BL106" s="226">
        <f t="shared" ca="1" si="53"/>
        <v>-420998.67358683504</v>
      </c>
      <c r="BM106" s="226">
        <f t="shared" ca="1" si="53"/>
        <v>-252785.11528127454</v>
      </c>
      <c r="BN106" s="226">
        <f t="shared" ca="1" si="53"/>
        <v>-59582.0556427103</v>
      </c>
      <c r="BO106" s="226">
        <f t="shared" ca="1" si="53"/>
        <v>159479.6872010231</v>
      </c>
      <c r="BP106" s="226" t="e">
        <f t="shared" ca="1" si="53"/>
        <v>#N/A</v>
      </c>
      <c r="BQ106" s="226" t="e">
        <f t="shared" ca="1" si="53"/>
        <v>#N/A</v>
      </c>
      <c r="BR106" s="226" t="e">
        <f t="shared" ca="1" si="53"/>
        <v>#N/A</v>
      </c>
      <c r="BS106" s="226" t="e">
        <f t="shared" ca="1" si="53"/>
        <v>#N/A</v>
      </c>
      <c r="BT106" s="226" t="e">
        <f t="shared" ca="1" si="53"/>
        <v>#N/A</v>
      </c>
      <c r="BU106" s="226" t="e">
        <f t="shared" ca="1" si="53"/>
        <v>#N/A</v>
      </c>
      <c r="BV106" s="226" t="e">
        <f t="shared" ca="1" si="53"/>
        <v>#N/A</v>
      </c>
      <c r="BW106" s="226" t="e">
        <f t="shared" ca="1" si="53"/>
        <v>#N/A</v>
      </c>
    </row>
    <row r="107" spans="1:75" ht="12.75" x14ac:dyDescent="0.2">
      <c r="A107" s="69" t="s">
        <v>244</v>
      </c>
      <c r="B107" s="221"/>
      <c r="D107" s="115">
        <f t="array" aca="1" ref="D107" ca="1">INDEX(INDIRECT("BS_"&amp;TEXT(D$1,"mmm")&amp;"_"&amp;TEXT(D$1,"yyyy")),MATCH(TRIM($A106),BS_Accounts,0))-D106</f>
        <v>0</v>
      </c>
      <c r="E107" s="115">
        <f t="array" aca="1" ref="E107" ca="1">INDEX(INDIRECT("BS_"&amp;TEXT(E$1,"mmm")&amp;"_"&amp;TEXT(E$1,"yyyy")),MATCH(TRIM($A106),BS_Accounts,0))-E106</f>
        <v>0</v>
      </c>
      <c r="F107" s="115">
        <f t="array" aca="1" ref="F107" ca="1">INDEX(INDIRECT("BS_"&amp;TEXT(F$1,"mmm")&amp;"_"&amp;TEXT(F$1,"yyyy")),MATCH(TRIM($A106),BS_Accounts,0))-F106</f>
        <v>0</v>
      </c>
      <c r="G107" s="115">
        <f t="array" aca="1" ref="G107" ca="1">INDEX(INDIRECT("BS_"&amp;TEXT(G$1,"mmm")&amp;"_"&amp;TEXT(G$1,"yyyy")),MATCH(TRIM($A106),BS_Accounts,0))-G106</f>
        <v>0</v>
      </c>
      <c r="H107" s="115">
        <f t="array" aca="1" ref="H107" ca="1">INDEX(INDIRECT("BS_"&amp;TEXT(H$1,"mmm")&amp;"_"&amp;TEXT(H$1,"yyyy")),MATCH(TRIM($A106),BS_Accounts,0))-H106</f>
        <v>0</v>
      </c>
      <c r="I107" s="115">
        <f t="array" aca="1" ref="I107" ca="1">INDEX(INDIRECT("BS_"&amp;TEXT(I$1,"mmm")&amp;"_"&amp;TEXT(I$1,"yyyy")),MATCH(TRIM($A106),BS_Accounts,0))-I106</f>
        <v>0</v>
      </c>
      <c r="J107" s="115">
        <f t="array" aca="1" ref="J107" ca="1">INDEX(INDIRECT("BS_"&amp;TEXT(J$1,"mmm")&amp;"_"&amp;TEXT(J$1,"yyyy")),MATCH(TRIM($A106),BS_Accounts,0))-J106</f>
        <v>0</v>
      </c>
      <c r="K107" s="115">
        <f t="array" aca="1" ref="K107" ca="1">INDEX(INDIRECT("BS_"&amp;TEXT(K$1,"mmm")&amp;"_"&amp;TEXT(K$1,"yyyy")),MATCH(TRIM($A106),BS_Accounts,0))-K106</f>
        <v>0</v>
      </c>
      <c r="L107" s="115">
        <f t="array" aca="1" ref="L107" ca="1">INDEX(INDIRECT("BS_"&amp;TEXT(L$1,"mmm")&amp;"_"&amp;TEXT(L$1,"yyyy")),MATCH(TRIM($A106),BS_Accounts,0))-L106</f>
        <v>0</v>
      </c>
      <c r="M107" s="115">
        <f t="array" aca="1" ref="M107" ca="1">INDEX(INDIRECT("BS_"&amp;TEXT(M$1,"mmm")&amp;"_"&amp;TEXT(M$1,"yyyy")),MATCH(TRIM($A106),BS_Accounts,0))-M106</f>
        <v>0</v>
      </c>
      <c r="N107" s="115">
        <f t="array" aca="1" ref="N107" ca="1">INDEX(INDIRECT("BS_"&amp;TEXT(N$1,"mmm")&amp;"_"&amp;TEXT(N$1,"yyyy")),MATCH(TRIM($A106),BS_Accounts,0))-N106</f>
        <v>0</v>
      </c>
      <c r="O107" s="115">
        <f t="array" aca="1" ref="O107" ca="1">INDEX(INDIRECT("BS_"&amp;TEXT(O$1,"mmm")&amp;"_"&amp;TEXT(O$1,"yyyy")),MATCH(TRIM($A106),BS_Accounts,0))-O106</f>
        <v>0</v>
      </c>
      <c r="P107" s="115">
        <f t="array" aca="1" ref="P107" ca="1">INDEX(INDIRECT("BS_"&amp;TEXT(P$1,"mmm")&amp;"_"&amp;TEXT(P$1,"yyyy")),MATCH(TRIM($A106),BS_Accounts,0))-P106</f>
        <v>0</v>
      </c>
      <c r="Q107" s="115">
        <f t="array" aca="1" ref="Q107" ca="1">INDEX(INDIRECT("BS_"&amp;TEXT(Q$1,"mmm")&amp;"_"&amp;TEXT(Q$1,"yyyy")),MATCH(TRIM($A106),BS_Accounts,0))-Q106</f>
        <v>0</v>
      </c>
      <c r="R107" s="115">
        <f t="array" aca="1" ref="R107" ca="1">INDEX(INDIRECT("BS_"&amp;TEXT(R$1,"mmm")&amp;"_"&amp;TEXT(R$1,"yyyy")),MATCH(TRIM($A106),BS_Accounts,0))-R106</f>
        <v>0</v>
      </c>
      <c r="S107" s="115">
        <f t="array" aca="1" ref="S107" ca="1">INDEX(INDIRECT("BS_"&amp;TEXT(S$1,"mmm")&amp;"_"&amp;TEXT(S$1,"yyyy")),MATCH(TRIM($A106),BS_Accounts,0))-S106</f>
        <v>0</v>
      </c>
      <c r="T107" s="115">
        <f t="array" aca="1" ref="T107" ca="1">INDEX(INDIRECT("BS_"&amp;TEXT(T$1,"mmm")&amp;"_"&amp;TEXT(T$1,"yyyy")),MATCH(TRIM($A106),BS_Accounts,0))-T106</f>
        <v>0</v>
      </c>
      <c r="U107" s="115">
        <f t="array" aca="1" ref="U107" ca="1">INDEX(INDIRECT("BS_"&amp;TEXT(U$1,"mmm")&amp;"_"&amp;TEXT(U$1,"yyyy")),MATCH(TRIM($A106),BS_Accounts,0))-U106</f>
        <v>0</v>
      </c>
      <c r="V107" s="115">
        <f t="array" aca="1" ref="V107" ca="1">INDEX(INDIRECT("BS_"&amp;TEXT(V$1,"mmm")&amp;"_"&amp;TEXT(V$1,"yyyy")),MATCH(TRIM($A106),BS_Accounts,0))-V106</f>
        <v>0</v>
      </c>
      <c r="W107" s="115">
        <f t="array" aca="1" ref="W107" ca="1">INDEX(INDIRECT("BS_"&amp;TEXT(W$1,"mmm")&amp;"_"&amp;TEXT(W$1,"yyyy")),MATCH(TRIM($A106),BS_Accounts,0))-W106</f>
        <v>0</v>
      </c>
      <c r="X107" s="115">
        <f t="array" aca="1" ref="X107" ca="1">INDEX(INDIRECT("BS_"&amp;TEXT(X$1,"mmm")&amp;"_"&amp;TEXT(X$1,"yyyy")),MATCH(TRIM($A106),BS_Accounts,0))-X106</f>
        <v>0</v>
      </c>
      <c r="Y107" s="115">
        <f t="array" aca="1" ref="Y107" ca="1">INDEX(INDIRECT("BS_"&amp;TEXT(Y$1,"mmm")&amp;"_"&amp;TEXT(Y$1,"yyyy")),MATCH(TRIM($A106),BS_Accounts,0))-Y106</f>
        <v>0</v>
      </c>
      <c r="Z107" s="115">
        <f t="array" aca="1" ref="Z107" ca="1">INDEX(INDIRECT("BS_"&amp;TEXT(Z$1,"mmm")&amp;"_"&amp;TEXT(Z$1,"yyyy")),MATCH(TRIM($A106),BS_Accounts,0))-Z106</f>
        <v>0</v>
      </c>
      <c r="AA107" s="115">
        <f t="array" aca="1" ref="AA107" ca="1">INDEX(INDIRECT("BS_"&amp;TEXT(AA$1,"mmm")&amp;"_"&amp;TEXT(AA$1,"yyyy")),MATCH(TRIM($A106),BS_Accounts,0))-AA106</f>
        <v>0</v>
      </c>
      <c r="AB107" s="115">
        <f t="array" aca="1" ref="AB107" ca="1">INDEX(INDIRECT("BS_"&amp;TEXT(AB$1,"mmm")&amp;"_"&amp;TEXT(AB$1,"yyyy")),MATCH(TRIM($A106),BS_Accounts,0))-AB106</f>
        <v>0</v>
      </c>
      <c r="AC107" s="115">
        <f t="array" aca="1" ref="AC107" ca="1">INDEX(INDIRECT("BS_"&amp;TEXT(AC$1,"mmm")&amp;"_"&amp;TEXT(AC$1,"yyyy")),MATCH(TRIM($A106),BS_Accounts,0))-AC106</f>
        <v>0</v>
      </c>
      <c r="AD107" s="115">
        <f t="array" aca="1" ref="AD107" ca="1">INDEX(INDIRECT("BS_"&amp;TEXT(AD$1,"mmm")&amp;"_"&amp;TEXT(AD$1,"yyyy")),MATCH(TRIM($A106),BS_Accounts,0))-AD106</f>
        <v>0</v>
      </c>
      <c r="AE107" s="115">
        <f t="array" aca="1" ref="AE107" ca="1">INDEX(INDIRECT("BS_"&amp;TEXT(AE$1,"mmm")&amp;"_"&amp;TEXT(AE$1,"yyyy")),MATCH(TRIM($A106),BS_Accounts,0))-AE106</f>
        <v>0</v>
      </c>
    </row>
    <row r="108" spans="1:75" ht="12.75" x14ac:dyDescent="0.2">
      <c r="A108" s="23" t="s">
        <v>351</v>
      </c>
      <c r="B108" s="221"/>
    </row>
    <row r="109" spans="1:75" ht="12.75" x14ac:dyDescent="0.2">
      <c r="A109" s="23" t="s">
        <v>352</v>
      </c>
      <c r="B109" s="224">
        <f ca="1">AVERAGEIFS(109:109,$1:$1,"&gt;="&amp;DATE(YEAR(Current_Month),MONTH(Current_Month),DAY(Current_Month)),$1:$1,"&lt;="&amp;EOMONTH(Current_Month,0))</f>
        <v>0</v>
      </c>
      <c r="D109" s="115">
        <f t="array" aca="1" ref="D109" ca="1">INDEX(INDIRECT("BS_"&amp;TEXT(D$1,"mmm")&amp;"_"&amp;TEXT(D$1,"yyyy")),MATCH(TRIM($A109),BS_Accounts,0))</f>
        <v>0</v>
      </c>
      <c r="E109" s="115">
        <f t="array" aca="1" ref="E109" ca="1">INDEX(INDIRECT("BS_"&amp;TEXT(E$1,"mmm")&amp;"_"&amp;TEXT(E$1,"yyyy")),MATCH(TRIM($A109),BS_Accounts,0))</f>
        <v>0</v>
      </c>
      <c r="F109" s="115">
        <f t="array" aca="1" ref="F109" ca="1">INDEX(INDIRECT("BS_"&amp;TEXT(F$1,"mmm")&amp;"_"&amp;TEXT(F$1,"yyyy")),MATCH(TRIM($A109),BS_Accounts,0))</f>
        <v>0</v>
      </c>
      <c r="G109" s="115">
        <f t="array" aca="1" ref="G109" ca="1">INDEX(INDIRECT("BS_"&amp;TEXT(G$1,"mmm")&amp;"_"&amp;TEXT(G$1,"yyyy")),MATCH(TRIM($A109),BS_Accounts,0))</f>
        <v>0</v>
      </c>
      <c r="H109" s="115">
        <f t="array" aca="1" ref="H109" ca="1">INDEX(INDIRECT("BS_"&amp;TEXT(H$1,"mmm")&amp;"_"&amp;TEXT(H$1,"yyyy")),MATCH(TRIM($A109),BS_Accounts,0))</f>
        <v>0</v>
      </c>
      <c r="I109" s="115">
        <f t="array" aca="1" ref="I109" ca="1">INDEX(INDIRECT("BS_"&amp;TEXT(I$1,"mmm")&amp;"_"&amp;TEXT(I$1,"yyyy")),MATCH(TRIM($A109),BS_Accounts,0))</f>
        <v>0</v>
      </c>
      <c r="J109" s="115">
        <f t="array" aca="1" ref="J109" ca="1">INDEX(INDIRECT("BS_"&amp;TEXT(J$1,"mmm")&amp;"_"&amp;TEXT(J$1,"yyyy")),MATCH(TRIM($A109),BS_Accounts,0))</f>
        <v>0</v>
      </c>
      <c r="K109" s="115">
        <f t="array" aca="1" ref="K109" ca="1">INDEX(INDIRECT("BS_"&amp;TEXT(K$1,"mmm")&amp;"_"&amp;TEXT(K$1,"yyyy")),MATCH(TRIM($A109),BS_Accounts,0))</f>
        <v>0</v>
      </c>
      <c r="L109" s="115">
        <f t="array" aca="1" ref="L109" ca="1">INDEX(INDIRECT("BS_"&amp;TEXT(L$1,"mmm")&amp;"_"&amp;TEXT(L$1,"yyyy")),MATCH(TRIM($A109),BS_Accounts,0))</f>
        <v>0</v>
      </c>
      <c r="M109" s="115">
        <f t="array" aca="1" ref="M109" ca="1">INDEX(INDIRECT("BS_"&amp;TEXT(M$1,"mmm")&amp;"_"&amp;TEXT(M$1,"yyyy")),MATCH(TRIM($A109),BS_Accounts,0))</f>
        <v>0</v>
      </c>
      <c r="N109" s="115">
        <f t="array" aca="1" ref="N109" ca="1">INDEX(INDIRECT("BS_"&amp;TEXT(N$1,"mmm")&amp;"_"&amp;TEXT(N$1,"yyyy")),MATCH(TRIM($A109),BS_Accounts,0))</f>
        <v>0</v>
      </c>
      <c r="O109" s="115">
        <f t="array" aca="1" ref="O109" ca="1">INDEX(INDIRECT("BS_"&amp;TEXT(O$1,"mmm")&amp;"_"&amp;TEXT(O$1,"yyyy")),MATCH(TRIM($A109),BS_Accounts,0))</f>
        <v>0</v>
      </c>
      <c r="P109" s="115">
        <f t="array" aca="1" ref="P109" ca="1">INDEX(INDIRECT("BS_"&amp;TEXT(P$1,"mmm")&amp;"_"&amp;TEXT(P$1,"yyyy")),MATCH(TRIM($A109),BS_Accounts,0))</f>
        <v>0</v>
      </c>
      <c r="Q109" s="115">
        <f t="array" aca="1" ref="Q109" ca="1">INDEX(INDIRECT("BS_"&amp;TEXT(Q$1,"mmm")&amp;"_"&amp;TEXT(Q$1,"yyyy")),MATCH(TRIM($A109),BS_Accounts,0))</f>
        <v>0</v>
      </c>
      <c r="R109" s="115">
        <f t="array" aca="1" ref="R109" ca="1">INDEX(INDIRECT("BS_"&amp;TEXT(R$1,"mmm")&amp;"_"&amp;TEXT(R$1,"yyyy")),MATCH(TRIM($A109),BS_Accounts,0))</f>
        <v>0</v>
      </c>
      <c r="S109" s="115">
        <f t="array" aca="1" ref="S109" ca="1">INDEX(INDIRECT("BS_"&amp;TEXT(S$1,"mmm")&amp;"_"&amp;TEXT(S$1,"yyyy")),MATCH(TRIM($A109),BS_Accounts,0))</f>
        <v>0</v>
      </c>
      <c r="T109" s="115">
        <f t="array" aca="1" ref="T109" ca="1">INDEX(INDIRECT("BS_"&amp;TEXT(T$1,"mmm")&amp;"_"&amp;TEXT(T$1,"yyyy")),MATCH(TRIM($A109),BS_Accounts,0))</f>
        <v>0</v>
      </c>
      <c r="U109" s="115">
        <f t="array" aca="1" ref="U109" ca="1">INDEX(INDIRECT("BS_"&amp;TEXT(U$1,"mmm")&amp;"_"&amp;TEXT(U$1,"yyyy")),MATCH(TRIM($A109),BS_Accounts,0))</f>
        <v>0</v>
      </c>
      <c r="V109" s="115">
        <f t="array" aca="1" ref="V109" ca="1">INDEX(INDIRECT("BS_"&amp;TEXT(V$1,"mmm")&amp;"_"&amp;TEXT(V$1,"yyyy")),MATCH(TRIM($A109),BS_Accounts,0))</f>
        <v>0</v>
      </c>
      <c r="W109" s="115">
        <f t="array" aca="1" ref="W109" ca="1">INDEX(INDIRECT("BS_"&amp;TEXT(W$1,"mmm")&amp;"_"&amp;TEXT(W$1,"yyyy")),MATCH(TRIM($A109),BS_Accounts,0))</f>
        <v>0</v>
      </c>
      <c r="X109" s="115">
        <f t="array" aca="1" ref="X109" ca="1">INDEX(INDIRECT("BS_"&amp;TEXT(X$1,"mmm")&amp;"_"&amp;TEXT(X$1,"yyyy")),MATCH(TRIM($A109),BS_Accounts,0))</f>
        <v>0</v>
      </c>
      <c r="Y109" s="115">
        <f t="array" aca="1" ref="Y109" ca="1">INDEX(INDIRECT("BS_"&amp;TEXT(Y$1,"mmm")&amp;"_"&amp;TEXT(Y$1,"yyyy")),MATCH(TRIM($A109),BS_Accounts,0))</f>
        <v>0</v>
      </c>
      <c r="Z109" s="115">
        <f t="array" aca="1" ref="Z109" ca="1">INDEX(INDIRECT("BS_"&amp;TEXT(Z$1,"mmm")&amp;"_"&amp;TEXT(Z$1,"yyyy")),MATCH(TRIM($A109),BS_Accounts,0))</f>
        <v>0</v>
      </c>
      <c r="AA109" s="115">
        <f t="array" aca="1" ref="AA109" ca="1">INDEX(INDIRECT("BS_"&amp;TEXT(AA$1,"mmm")&amp;"_"&amp;TEXT(AA$1,"yyyy")),MATCH(TRIM($A109),BS_Accounts,0))</f>
        <v>0</v>
      </c>
      <c r="AB109" s="115">
        <f t="array" aca="1" ref="AB109" ca="1">INDEX(INDIRECT("BS_"&amp;TEXT(AB$1,"mmm")&amp;"_"&amp;TEXT(AB$1,"yyyy")),MATCH(TRIM($A109),BS_Accounts,0))</f>
        <v>0</v>
      </c>
      <c r="AC109" s="115">
        <f t="array" aca="1" ref="AC109" ca="1">INDEX(INDIRECT("BS_"&amp;TEXT(AC$1,"mmm")&amp;"_"&amp;TEXT(AC$1,"yyyy")),MATCH(TRIM($A109),BS_Accounts,0))</f>
        <v>0</v>
      </c>
      <c r="AD109" s="115">
        <f t="array" aca="1" ref="AD109" ca="1">INDEX(INDIRECT("BS_"&amp;TEXT(AD$1,"mmm")&amp;"_"&amp;TEXT(AD$1,"yyyy")),MATCH(TRIM($A109),BS_Accounts,0))</f>
        <v>0</v>
      </c>
      <c r="AE109" s="115">
        <f t="array" aca="1" ref="AE109" ca="1">INDEX(INDIRECT("BS_"&amp;TEXT(AE$1,"mmm")&amp;"_"&amp;TEXT(AE$1,"yyyy")),MATCH(TRIM($A109),BS_Accounts,0))</f>
        <v>0</v>
      </c>
      <c r="AF109" s="165">
        <f t="shared" ref="AF109:BW109" ca="1" si="54">$B109</f>
        <v>0</v>
      </c>
      <c r="AG109" s="165">
        <f t="shared" ca="1" si="54"/>
        <v>0</v>
      </c>
      <c r="AH109" s="165">
        <f t="shared" ca="1" si="54"/>
        <v>0</v>
      </c>
      <c r="AI109" s="165">
        <f t="shared" ca="1" si="54"/>
        <v>0</v>
      </c>
      <c r="AJ109" s="165">
        <f t="shared" ca="1" si="54"/>
        <v>0</v>
      </c>
      <c r="AK109" s="165">
        <f t="shared" ca="1" si="54"/>
        <v>0</v>
      </c>
      <c r="AL109" s="165">
        <f t="shared" ca="1" si="54"/>
        <v>0</v>
      </c>
      <c r="AM109" s="165">
        <f t="shared" ca="1" si="54"/>
        <v>0</v>
      </c>
      <c r="AN109" s="165">
        <f t="shared" ca="1" si="54"/>
        <v>0</v>
      </c>
      <c r="AO109" s="165">
        <f t="shared" ca="1" si="54"/>
        <v>0</v>
      </c>
      <c r="AP109" s="165">
        <f t="shared" ca="1" si="54"/>
        <v>0</v>
      </c>
      <c r="AQ109" s="165">
        <f t="shared" ca="1" si="54"/>
        <v>0</v>
      </c>
      <c r="AR109" s="165">
        <f t="shared" ca="1" si="54"/>
        <v>0</v>
      </c>
      <c r="AS109" s="165">
        <f t="shared" ca="1" si="54"/>
        <v>0</v>
      </c>
      <c r="AT109" s="165">
        <f t="shared" ca="1" si="54"/>
        <v>0</v>
      </c>
      <c r="AU109" s="165">
        <f t="shared" ca="1" si="54"/>
        <v>0</v>
      </c>
      <c r="AV109" s="165">
        <f t="shared" ca="1" si="54"/>
        <v>0</v>
      </c>
      <c r="AW109" s="165">
        <f t="shared" ca="1" si="54"/>
        <v>0</v>
      </c>
      <c r="AX109" s="165">
        <f t="shared" ca="1" si="54"/>
        <v>0</v>
      </c>
      <c r="AY109" s="165">
        <f t="shared" ca="1" si="54"/>
        <v>0</v>
      </c>
      <c r="AZ109" s="165">
        <f t="shared" ca="1" si="54"/>
        <v>0</v>
      </c>
      <c r="BA109" s="165">
        <f t="shared" ca="1" si="54"/>
        <v>0</v>
      </c>
      <c r="BB109" s="165">
        <f t="shared" ca="1" si="54"/>
        <v>0</v>
      </c>
      <c r="BC109" s="165">
        <f t="shared" ca="1" si="54"/>
        <v>0</v>
      </c>
      <c r="BD109" s="165">
        <f t="shared" ca="1" si="54"/>
        <v>0</v>
      </c>
      <c r="BE109" s="165">
        <f t="shared" ca="1" si="54"/>
        <v>0</v>
      </c>
      <c r="BF109" s="165">
        <f t="shared" ca="1" si="54"/>
        <v>0</v>
      </c>
      <c r="BG109" s="165">
        <f t="shared" ca="1" si="54"/>
        <v>0</v>
      </c>
      <c r="BH109" s="165">
        <f t="shared" ca="1" si="54"/>
        <v>0</v>
      </c>
      <c r="BI109" s="165">
        <f t="shared" ca="1" si="54"/>
        <v>0</v>
      </c>
      <c r="BJ109" s="165">
        <f t="shared" ca="1" si="54"/>
        <v>0</v>
      </c>
      <c r="BK109" s="165">
        <f t="shared" ca="1" si="54"/>
        <v>0</v>
      </c>
      <c r="BL109" s="165">
        <f t="shared" ca="1" si="54"/>
        <v>0</v>
      </c>
      <c r="BM109" s="165">
        <f t="shared" ca="1" si="54"/>
        <v>0</v>
      </c>
      <c r="BN109" s="165">
        <f t="shared" ca="1" si="54"/>
        <v>0</v>
      </c>
      <c r="BO109" s="165">
        <f t="shared" ca="1" si="54"/>
        <v>0</v>
      </c>
      <c r="BP109" s="165">
        <f t="shared" ca="1" si="54"/>
        <v>0</v>
      </c>
      <c r="BQ109" s="165">
        <f t="shared" ca="1" si="54"/>
        <v>0</v>
      </c>
      <c r="BR109" s="165">
        <f t="shared" ca="1" si="54"/>
        <v>0</v>
      </c>
      <c r="BS109" s="165">
        <f t="shared" ca="1" si="54"/>
        <v>0</v>
      </c>
      <c r="BT109" s="165">
        <f t="shared" ca="1" si="54"/>
        <v>0</v>
      </c>
      <c r="BU109" s="165">
        <f t="shared" ca="1" si="54"/>
        <v>0</v>
      </c>
      <c r="BV109" s="165">
        <f t="shared" ca="1" si="54"/>
        <v>0</v>
      </c>
      <c r="BW109" s="165">
        <f t="shared" ca="1" si="54"/>
        <v>0</v>
      </c>
    </row>
    <row r="110" spans="1:75" ht="12.75" x14ac:dyDescent="0.2">
      <c r="A110" s="23" t="s">
        <v>353</v>
      </c>
      <c r="B110" s="224">
        <f ca="1">AVERAGEIFS(110:110,$1:$1,"&gt;="&amp;DATE(YEAR(Current_Month),MONTH(Current_Month),DAY(Current_Month)),$1:$1,"&lt;="&amp;EOMONTH(Current_Month,0))</f>
        <v>0</v>
      </c>
      <c r="D110" s="115">
        <f t="array" aca="1" ref="D110" ca="1">INDEX(INDIRECT("BS_"&amp;TEXT(D$1,"mmm")&amp;"_"&amp;TEXT(D$1,"yyyy")),MATCH(TRIM($A110),BS_Accounts,0))</f>
        <v>0</v>
      </c>
      <c r="E110" s="115">
        <f t="array" aca="1" ref="E110" ca="1">INDEX(INDIRECT("BS_"&amp;TEXT(E$1,"mmm")&amp;"_"&amp;TEXT(E$1,"yyyy")),MATCH(TRIM($A110),BS_Accounts,0))</f>
        <v>0</v>
      </c>
      <c r="F110" s="115">
        <f t="array" aca="1" ref="F110" ca="1">INDEX(INDIRECT("BS_"&amp;TEXT(F$1,"mmm")&amp;"_"&amp;TEXT(F$1,"yyyy")),MATCH(TRIM($A110),BS_Accounts,0))</f>
        <v>0</v>
      </c>
      <c r="G110" s="115">
        <f t="array" aca="1" ref="G110" ca="1">INDEX(INDIRECT("BS_"&amp;TEXT(G$1,"mmm")&amp;"_"&amp;TEXT(G$1,"yyyy")),MATCH(TRIM($A110),BS_Accounts,0))</f>
        <v>0</v>
      </c>
      <c r="H110" s="115">
        <f t="array" aca="1" ref="H110" ca="1">INDEX(INDIRECT("BS_"&amp;TEXT(H$1,"mmm")&amp;"_"&amp;TEXT(H$1,"yyyy")),MATCH(TRIM($A110),BS_Accounts,0))</f>
        <v>0</v>
      </c>
      <c r="I110" s="115">
        <f t="array" aca="1" ref="I110" ca="1">INDEX(INDIRECT("BS_"&amp;TEXT(I$1,"mmm")&amp;"_"&amp;TEXT(I$1,"yyyy")),MATCH(TRIM($A110),BS_Accounts,0))</f>
        <v>0</v>
      </c>
      <c r="J110" s="115">
        <f t="array" aca="1" ref="J110" ca="1">INDEX(INDIRECT("BS_"&amp;TEXT(J$1,"mmm")&amp;"_"&amp;TEXT(J$1,"yyyy")),MATCH(TRIM($A110),BS_Accounts,0))</f>
        <v>0</v>
      </c>
      <c r="K110" s="115">
        <f t="array" aca="1" ref="K110" ca="1">INDEX(INDIRECT("BS_"&amp;TEXT(K$1,"mmm")&amp;"_"&amp;TEXT(K$1,"yyyy")),MATCH(TRIM($A110),BS_Accounts,0))</f>
        <v>0</v>
      </c>
      <c r="L110" s="115">
        <f t="array" aca="1" ref="L110" ca="1">INDEX(INDIRECT("BS_"&amp;TEXT(L$1,"mmm")&amp;"_"&amp;TEXT(L$1,"yyyy")),MATCH(TRIM($A110),BS_Accounts,0))</f>
        <v>0</v>
      </c>
      <c r="M110" s="115">
        <f t="array" aca="1" ref="M110" ca="1">INDEX(INDIRECT("BS_"&amp;TEXT(M$1,"mmm")&amp;"_"&amp;TEXT(M$1,"yyyy")),MATCH(TRIM($A110),BS_Accounts,0))</f>
        <v>0</v>
      </c>
      <c r="N110" s="115">
        <f t="array" aca="1" ref="N110" ca="1">INDEX(INDIRECT("BS_"&amp;TEXT(N$1,"mmm")&amp;"_"&amp;TEXT(N$1,"yyyy")),MATCH(TRIM($A110),BS_Accounts,0))</f>
        <v>0</v>
      </c>
      <c r="O110" s="115">
        <f t="array" aca="1" ref="O110" ca="1">INDEX(INDIRECT("BS_"&amp;TEXT(O$1,"mmm")&amp;"_"&amp;TEXT(O$1,"yyyy")),MATCH(TRIM($A110),BS_Accounts,0))</f>
        <v>0</v>
      </c>
      <c r="P110" s="115">
        <f t="array" aca="1" ref="P110" ca="1">INDEX(INDIRECT("BS_"&amp;TEXT(P$1,"mmm")&amp;"_"&amp;TEXT(P$1,"yyyy")),MATCH(TRIM($A110),BS_Accounts,0))</f>
        <v>0</v>
      </c>
      <c r="Q110" s="115">
        <f t="array" aca="1" ref="Q110" ca="1">INDEX(INDIRECT("BS_"&amp;TEXT(Q$1,"mmm")&amp;"_"&amp;TEXT(Q$1,"yyyy")),MATCH(TRIM($A110),BS_Accounts,0))</f>
        <v>0</v>
      </c>
      <c r="R110" s="115">
        <f t="array" aca="1" ref="R110" ca="1">INDEX(INDIRECT("BS_"&amp;TEXT(R$1,"mmm")&amp;"_"&amp;TEXT(R$1,"yyyy")),MATCH(TRIM($A110),BS_Accounts,0))</f>
        <v>0</v>
      </c>
      <c r="S110" s="115">
        <f t="array" aca="1" ref="S110" ca="1">INDEX(INDIRECT("BS_"&amp;TEXT(S$1,"mmm")&amp;"_"&amp;TEXT(S$1,"yyyy")),MATCH(TRIM($A110),BS_Accounts,0))</f>
        <v>0</v>
      </c>
      <c r="T110" s="115">
        <f t="array" aca="1" ref="T110" ca="1">INDEX(INDIRECT("BS_"&amp;TEXT(T$1,"mmm")&amp;"_"&amp;TEXT(T$1,"yyyy")),MATCH(TRIM($A110),BS_Accounts,0))</f>
        <v>0</v>
      </c>
      <c r="U110" s="115">
        <f t="array" aca="1" ref="U110" ca="1">INDEX(INDIRECT("BS_"&amp;TEXT(U$1,"mmm")&amp;"_"&amp;TEXT(U$1,"yyyy")),MATCH(TRIM($A110),BS_Accounts,0))</f>
        <v>0</v>
      </c>
      <c r="V110" s="115">
        <f t="array" aca="1" ref="V110" ca="1">INDEX(INDIRECT("BS_"&amp;TEXT(V$1,"mmm")&amp;"_"&amp;TEXT(V$1,"yyyy")),MATCH(TRIM($A110),BS_Accounts,0))</f>
        <v>0</v>
      </c>
      <c r="W110" s="115">
        <f t="array" aca="1" ref="W110" ca="1">INDEX(INDIRECT("BS_"&amp;TEXT(W$1,"mmm")&amp;"_"&amp;TEXT(W$1,"yyyy")),MATCH(TRIM($A110),BS_Accounts,0))</f>
        <v>0</v>
      </c>
      <c r="X110" s="115">
        <f t="array" aca="1" ref="X110" ca="1">INDEX(INDIRECT("BS_"&amp;TEXT(X$1,"mmm")&amp;"_"&amp;TEXT(X$1,"yyyy")),MATCH(TRIM($A110),BS_Accounts,0))</f>
        <v>0</v>
      </c>
      <c r="Y110" s="115">
        <f t="array" aca="1" ref="Y110" ca="1">INDEX(INDIRECT("BS_"&amp;TEXT(Y$1,"mmm")&amp;"_"&amp;TEXT(Y$1,"yyyy")),MATCH(TRIM($A110),BS_Accounts,0))</f>
        <v>0</v>
      </c>
      <c r="Z110" s="115">
        <f t="array" aca="1" ref="Z110" ca="1">INDEX(INDIRECT("BS_"&amp;TEXT(Z$1,"mmm")&amp;"_"&amp;TEXT(Z$1,"yyyy")),MATCH(TRIM($A110),BS_Accounts,0))</f>
        <v>0</v>
      </c>
      <c r="AA110" s="115">
        <f t="array" aca="1" ref="AA110" ca="1">INDEX(INDIRECT("BS_"&amp;TEXT(AA$1,"mmm")&amp;"_"&amp;TEXT(AA$1,"yyyy")),MATCH(TRIM($A110),BS_Accounts,0))</f>
        <v>0</v>
      </c>
      <c r="AB110" s="115">
        <f t="array" aca="1" ref="AB110" ca="1">INDEX(INDIRECT("BS_"&amp;TEXT(AB$1,"mmm")&amp;"_"&amp;TEXT(AB$1,"yyyy")),MATCH(TRIM($A110),BS_Accounts,0))</f>
        <v>0</v>
      </c>
      <c r="AC110" s="115">
        <f t="array" aca="1" ref="AC110" ca="1">INDEX(INDIRECT("BS_"&amp;TEXT(AC$1,"mmm")&amp;"_"&amp;TEXT(AC$1,"yyyy")),MATCH(TRIM($A110),BS_Accounts,0))</f>
        <v>0</v>
      </c>
      <c r="AD110" s="115">
        <f t="array" aca="1" ref="AD110" ca="1">INDEX(INDIRECT("BS_"&amp;TEXT(AD$1,"mmm")&amp;"_"&amp;TEXT(AD$1,"yyyy")),MATCH(TRIM($A110),BS_Accounts,0))</f>
        <v>0</v>
      </c>
      <c r="AE110" s="115">
        <f t="array" aca="1" ref="AE110" ca="1">INDEX(INDIRECT("BS_"&amp;TEXT(AE$1,"mmm")&amp;"_"&amp;TEXT(AE$1,"yyyy")),MATCH(TRIM($A110),BS_Accounts,0))</f>
        <v>0</v>
      </c>
      <c r="AF110" s="165">
        <f t="shared" ref="AF110:BW110" ca="1" si="55">$B110</f>
        <v>0</v>
      </c>
      <c r="AG110" s="165">
        <f t="shared" ca="1" si="55"/>
        <v>0</v>
      </c>
      <c r="AH110" s="165">
        <f t="shared" ca="1" si="55"/>
        <v>0</v>
      </c>
      <c r="AI110" s="165">
        <f t="shared" ca="1" si="55"/>
        <v>0</v>
      </c>
      <c r="AJ110" s="165">
        <f t="shared" ca="1" si="55"/>
        <v>0</v>
      </c>
      <c r="AK110" s="165">
        <f t="shared" ca="1" si="55"/>
        <v>0</v>
      </c>
      <c r="AL110" s="165">
        <f t="shared" ca="1" si="55"/>
        <v>0</v>
      </c>
      <c r="AM110" s="165">
        <f t="shared" ca="1" si="55"/>
        <v>0</v>
      </c>
      <c r="AN110" s="165">
        <f t="shared" ca="1" si="55"/>
        <v>0</v>
      </c>
      <c r="AO110" s="165">
        <f t="shared" ca="1" si="55"/>
        <v>0</v>
      </c>
      <c r="AP110" s="165">
        <f t="shared" ca="1" si="55"/>
        <v>0</v>
      </c>
      <c r="AQ110" s="165">
        <f t="shared" ca="1" si="55"/>
        <v>0</v>
      </c>
      <c r="AR110" s="165">
        <f t="shared" ca="1" si="55"/>
        <v>0</v>
      </c>
      <c r="AS110" s="165">
        <f t="shared" ca="1" si="55"/>
        <v>0</v>
      </c>
      <c r="AT110" s="165">
        <f t="shared" ca="1" si="55"/>
        <v>0</v>
      </c>
      <c r="AU110" s="165">
        <f t="shared" ca="1" si="55"/>
        <v>0</v>
      </c>
      <c r="AV110" s="165">
        <f t="shared" ca="1" si="55"/>
        <v>0</v>
      </c>
      <c r="AW110" s="165">
        <f t="shared" ca="1" si="55"/>
        <v>0</v>
      </c>
      <c r="AX110" s="165">
        <f t="shared" ca="1" si="55"/>
        <v>0</v>
      </c>
      <c r="AY110" s="165">
        <f t="shared" ca="1" si="55"/>
        <v>0</v>
      </c>
      <c r="AZ110" s="165">
        <f t="shared" ca="1" si="55"/>
        <v>0</v>
      </c>
      <c r="BA110" s="165">
        <f t="shared" ca="1" si="55"/>
        <v>0</v>
      </c>
      <c r="BB110" s="165">
        <f t="shared" ca="1" si="55"/>
        <v>0</v>
      </c>
      <c r="BC110" s="165">
        <f t="shared" ca="1" si="55"/>
        <v>0</v>
      </c>
      <c r="BD110" s="165">
        <f t="shared" ca="1" si="55"/>
        <v>0</v>
      </c>
      <c r="BE110" s="165">
        <f t="shared" ca="1" si="55"/>
        <v>0</v>
      </c>
      <c r="BF110" s="165">
        <f t="shared" ca="1" si="55"/>
        <v>0</v>
      </c>
      <c r="BG110" s="165">
        <f t="shared" ca="1" si="55"/>
        <v>0</v>
      </c>
      <c r="BH110" s="165">
        <f t="shared" ca="1" si="55"/>
        <v>0</v>
      </c>
      <c r="BI110" s="165">
        <f t="shared" ca="1" si="55"/>
        <v>0</v>
      </c>
      <c r="BJ110" s="165">
        <f t="shared" ca="1" si="55"/>
        <v>0</v>
      </c>
      <c r="BK110" s="165">
        <f t="shared" ca="1" si="55"/>
        <v>0</v>
      </c>
      <c r="BL110" s="165">
        <f t="shared" ca="1" si="55"/>
        <v>0</v>
      </c>
      <c r="BM110" s="165">
        <f t="shared" ca="1" si="55"/>
        <v>0</v>
      </c>
      <c r="BN110" s="165">
        <f t="shared" ca="1" si="55"/>
        <v>0</v>
      </c>
      <c r="BO110" s="165">
        <f t="shared" ca="1" si="55"/>
        <v>0</v>
      </c>
      <c r="BP110" s="165">
        <f t="shared" ca="1" si="55"/>
        <v>0</v>
      </c>
      <c r="BQ110" s="165">
        <f t="shared" ca="1" si="55"/>
        <v>0</v>
      </c>
      <c r="BR110" s="165">
        <f t="shared" ca="1" si="55"/>
        <v>0</v>
      </c>
      <c r="BS110" s="165">
        <f t="shared" ca="1" si="55"/>
        <v>0</v>
      </c>
      <c r="BT110" s="165">
        <f t="shared" ca="1" si="55"/>
        <v>0</v>
      </c>
      <c r="BU110" s="165">
        <f t="shared" ca="1" si="55"/>
        <v>0</v>
      </c>
      <c r="BV110" s="165">
        <f t="shared" ca="1" si="55"/>
        <v>0</v>
      </c>
      <c r="BW110" s="165">
        <f t="shared" ca="1" si="55"/>
        <v>0</v>
      </c>
    </row>
    <row r="111" spans="1:75" ht="12.75" x14ac:dyDescent="0.2">
      <c r="A111" s="60" t="s">
        <v>354</v>
      </c>
      <c r="B111" s="238"/>
      <c r="C111" s="212"/>
      <c r="D111" s="226">
        <f t="shared" ref="D111:BW111" ca="1" si="56">SUM(D109:D110)</f>
        <v>0</v>
      </c>
      <c r="E111" s="226">
        <f t="shared" ca="1" si="56"/>
        <v>0</v>
      </c>
      <c r="F111" s="226">
        <f t="shared" ca="1" si="56"/>
        <v>0</v>
      </c>
      <c r="G111" s="226">
        <f t="shared" ca="1" si="56"/>
        <v>0</v>
      </c>
      <c r="H111" s="226">
        <f t="shared" ca="1" si="56"/>
        <v>0</v>
      </c>
      <c r="I111" s="226">
        <f t="shared" ca="1" si="56"/>
        <v>0</v>
      </c>
      <c r="J111" s="226">
        <f t="shared" ca="1" si="56"/>
        <v>0</v>
      </c>
      <c r="K111" s="226">
        <f t="shared" ca="1" si="56"/>
        <v>0</v>
      </c>
      <c r="L111" s="226">
        <f t="shared" ca="1" si="56"/>
        <v>0</v>
      </c>
      <c r="M111" s="226">
        <f t="shared" ca="1" si="56"/>
        <v>0</v>
      </c>
      <c r="N111" s="226">
        <f t="shared" ca="1" si="56"/>
        <v>0</v>
      </c>
      <c r="O111" s="226">
        <f t="shared" ca="1" si="56"/>
        <v>0</v>
      </c>
      <c r="P111" s="226">
        <f t="shared" ca="1" si="56"/>
        <v>0</v>
      </c>
      <c r="Q111" s="226">
        <f t="shared" ca="1" si="56"/>
        <v>0</v>
      </c>
      <c r="R111" s="226">
        <f t="shared" ca="1" si="56"/>
        <v>0</v>
      </c>
      <c r="S111" s="226">
        <f t="shared" ca="1" si="56"/>
        <v>0</v>
      </c>
      <c r="T111" s="226">
        <f t="shared" ca="1" si="56"/>
        <v>0</v>
      </c>
      <c r="U111" s="226">
        <f t="shared" ca="1" si="56"/>
        <v>0</v>
      </c>
      <c r="V111" s="226">
        <f t="shared" ca="1" si="56"/>
        <v>0</v>
      </c>
      <c r="W111" s="226">
        <f t="shared" ca="1" si="56"/>
        <v>0</v>
      </c>
      <c r="X111" s="226">
        <f t="shared" ca="1" si="56"/>
        <v>0</v>
      </c>
      <c r="Y111" s="226">
        <f t="shared" ca="1" si="56"/>
        <v>0</v>
      </c>
      <c r="Z111" s="226">
        <f t="shared" ca="1" si="56"/>
        <v>0</v>
      </c>
      <c r="AA111" s="226">
        <f t="shared" ca="1" si="56"/>
        <v>0</v>
      </c>
      <c r="AB111" s="226">
        <f t="shared" ca="1" si="56"/>
        <v>0</v>
      </c>
      <c r="AC111" s="226">
        <f t="shared" ca="1" si="56"/>
        <v>0</v>
      </c>
      <c r="AD111" s="226">
        <f t="shared" ca="1" si="56"/>
        <v>0</v>
      </c>
      <c r="AE111" s="226">
        <f t="shared" ca="1" si="56"/>
        <v>0</v>
      </c>
      <c r="AF111" s="226">
        <f t="shared" ca="1" si="56"/>
        <v>0</v>
      </c>
      <c r="AG111" s="226">
        <f t="shared" ca="1" si="56"/>
        <v>0</v>
      </c>
      <c r="AH111" s="226">
        <f t="shared" ca="1" si="56"/>
        <v>0</v>
      </c>
      <c r="AI111" s="226">
        <f t="shared" ca="1" si="56"/>
        <v>0</v>
      </c>
      <c r="AJ111" s="226">
        <f t="shared" ca="1" si="56"/>
        <v>0</v>
      </c>
      <c r="AK111" s="226">
        <f t="shared" ca="1" si="56"/>
        <v>0</v>
      </c>
      <c r="AL111" s="226">
        <f t="shared" ca="1" si="56"/>
        <v>0</v>
      </c>
      <c r="AM111" s="226">
        <f t="shared" ca="1" si="56"/>
        <v>0</v>
      </c>
      <c r="AN111" s="226">
        <f t="shared" ca="1" si="56"/>
        <v>0</v>
      </c>
      <c r="AO111" s="226">
        <f t="shared" ca="1" si="56"/>
        <v>0</v>
      </c>
      <c r="AP111" s="226">
        <f t="shared" ca="1" si="56"/>
        <v>0</v>
      </c>
      <c r="AQ111" s="226">
        <f t="shared" ca="1" si="56"/>
        <v>0</v>
      </c>
      <c r="AR111" s="226">
        <f t="shared" ca="1" si="56"/>
        <v>0</v>
      </c>
      <c r="AS111" s="226">
        <f t="shared" ca="1" si="56"/>
        <v>0</v>
      </c>
      <c r="AT111" s="226">
        <f t="shared" ca="1" si="56"/>
        <v>0</v>
      </c>
      <c r="AU111" s="226">
        <f t="shared" ca="1" si="56"/>
        <v>0</v>
      </c>
      <c r="AV111" s="226">
        <f t="shared" ca="1" si="56"/>
        <v>0</v>
      </c>
      <c r="AW111" s="226">
        <f t="shared" ca="1" si="56"/>
        <v>0</v>
      </c>
      <c r="AX111" s="226">
        <f t="shared" ca="1" si="56"/>
        <v>0</v>
      </c>
      <c r="AY111" s="226">
        <f t="shared" ca="1" si="56"/>
        <v>0</v>
      </c>
      <c r="AZ111" s="226">
        <f t="shared" ca="1" si="56"/>
        <v>0</v>
      </c>
      <c r="BA111" s="226">
        <f t="shared" ca="1" si="56"/>
        <v>0</v>
      </c>
      <c r="BB111" s="226">
        <f t="shared" ca="1" si="56"/>
        <v>0</v>
      </c>
      <c r="BC111" s="226">
        <f t="shared" ca="1" si="56"/>
        <v>0</v>
      </c>
      <c r="BD111" s="226">
        <f t="shared" ca="1" si="56"/>
        <v>0</v>
      </c>
      <c r="BE111" s="226">
        <f t="shared" ca="1" si="56"/>
        <v>0</v>
      </c>
      <c r="BF111" s="226">
        <f t="shared" ca="1" si="56"/>
        <v>0</v>
      </c>
      <c r="BG111" s="226">
        <f t="shared" ca="1" si="56"/>
        <v>0</v>
      </c>
      <c r="BH111" s="226">
        <f t="shared" ca="1" si="56"/>
        <v>0</v>
      </c>
      <c r="BI111" s="226">
        <f t="shared" ca="1" si="56"/>
        <v>0</v>
      </c>
      <c r="BJ111" s="226">
        <f t="shared" ca="1" si="56"/>
        <v>0</v>
      </c>
      <c r="BK111" s="226">
        <f t="shared" ca="1" si="56"/>
        <v>0</v>
      </c>
      <c r="BL111" s="226">
        <f t="shared" ca="1" si="56"/>
        <v>0</v>
      </c>
      <c r="BM111" s="226">
        <f t="shared" ca="1" si="56"/>
        <v>0</v>
      </c>
      <c r="BN111" s="226">
        <f t="shared" ca="1" si="56"/>
        <v>0</v>
      </c>
      <c r="BO111" s="226">
        <f t="shared" ca="1" si="56"/>
        <v>0</v>
      </c>
      <c r="BP111" s="226">
        <f t="shared" ca="1" si="56"/>
        <v>0</v>
      </c>
      <c r="BQ111" s="226">
        <f t="shared" ca="1" si="56"/>
        <v>0</v>
      </c>
      <c r="BR111" s="226">
        <f t="shared" ca="1" si="56"/>
        <v>0</v>
      </c>
      <c r="BS111" s="226">
        <f t="shared" ca="1" si="56"/>
        <v>0</v>
      </c>
      <c r="BT111" s="226">
        <f t="shared" ca="1" si="56"/>
        <v>0</v>
      </c>
      <c r="BU111" s="226">
        <f t="shared" ca="1" si="56"/>
        <v>0</v>
      </c>
      <c r="BV111" s="226">
        <f t="shared" ca="1" si="56"/>
        <v>0</v>
      </c>
      <c r="BW111" s="226">
        <f t="shared" ca="1" si="56"/>
        <v>0</v>
      </c>
    </row>
    <row r="112" spans="1:75" ht="12.75" x14ac:dyDescent="0.2">
      <c r="A112" s="69" t="s">
        <v>244</v>
      </c>
      <c r="B112" s="221"/>
      <c r="D112" s="115">
        <f t="array" aca="1" ref="D112" ca="1">INDEX(INDIRECT("BS_"&amp;TEXT(D$1,"mmm")&amp;"_"&amp;TEXT(D$1,"yyyy")),MATCH(TRIM($A111),BS_Accounts,0))-D111</f>
        <v>0</v>
      </c>
      <c r="E112" s="115">
        <f t="array" aca="1" ref="E112" ca="1">INDEX(INDIRECT("BS_"&amp;TEXT(E$1,"mmm")&amp;"_"&amp;TEXT(E$1,"yyyy")),MATCH(TRIM($A111),BS_Accounts,0))-E111</f>
        <v>0</v>
      </c>
      <c r="F112" s="115">
        <f t="array" aca="1" ref="F112" ca="1">INDEX(INDIRECT("BS_"&amp;TEXT(F$1,"mmm")&amp;"_"&amp;TEXT(F$1,"yyyy")),MATCH(TRIM($A111),BS_Accounts,0))-F111</f>
        <v>0</v>
      </c>
      <c r="G112" s="115">
        <f t="array" aca="1" ref="G112" ca="1">INDEX(INDIRECT("BS_"&amp;TEXT(G$1,"mmm")&amp;"_"&amp;TEXT(G$1,"yyyy")),MATCH(TRIM($A111),BS_Accounts,0))-G111</f>
        <v>0</v>
      </c>
      <c r="H112" s="115">
        <f t="array" aca="1" ref="H112" ca="1">INDEX(INDIRECT("BS_"&amp;TEXT(H$1,"mmm")&amp;"_"&amp;TEXT(H$1,"yyyy")),MATCH(TRIM($A111),BS_Accounts,0))-H111</f>
        <v>0</v>
      </c>
      <c r="I112" s="115">
        <f t="array" aca="1" ref="I112" ca="1">INDEX(INDIRECT("BS_"&amp;TEXT(I$1,"mmm")&amp;"_"&amp;TEXT(I$1,"yyyy")),MATCH(TRIM($A111),BS_Accounts,0))-I111</f>
        <v>0</v>
      </c>
      <c r="J112" s="115">
        <f t="array" aca="1" ref="J112" ca="1">INDEX(INDIRECT("BS_"&amp;TEXT(J$1,"mmm")&amp;"_"&amp;TEXT(J$1,"yyyy")),MATCH(TRIM($A111),BS_Accounts,0))-J111</f>
        <v>0</v>
      </c>
      <c r="K112" s="115">
        <f t="array" aca="1" ref="K112" ca="1">INDEX(INDIRECT("BS_"&amp;TEXT(K$1,"mmm")&amp;"_"&amp;TEXT(K$1,"yyyy")),MATCH(TRIM($A111),BS_Accounts,0))-K111</f>
        <v>0</v>
      </c>
      <c r="L112" s="115">
        <f t="array" aca="1" ref="L112" ca="1">INDEX(INDIRECT("BS_"&amp;TEXT(L$1,"mmm")&amp;"_"&amp;TEXT(L$1,"yyyy")),MATCH(TRIM($A111),BS_Accounts,0))-L111</f>
        <v>0</v>
      </c>
      <c r="M112" s="115">
        <f t="array" aca="1" ref="M112" ca="1">INDEX(INDIRECT("BS_"&amp;TEXT(M$1,"mmm")&amp;"_"&amp;TEXT(M$1,"yyyy")),MATCH(TRIM($A111),BS_Accounts,0))-M111</f>
        <v>0</v>
      </c>
      <c r="N112" s="115">
        <f t="array" aca="1" ref="N112" ca="1">INDEX(INDIRECT("BS_"&amp;TEXT(N$1,"mmm")&amp;"_"&amp;TEXT(N$1,"yyyy")),MATCH(TRIM($A111),BS_Accounts,0))-N111</f>
        <v>0</v>
      </c>
      <c r="O112" s="115">
        <f t="array" aca="1" ref="O112" ca="1">INDEX(INDIRECT("BS_"&amp;TEXT(O$1,"mmm")&amp;"_"&amp;TEXT(O$1,"yyyy")),MATCH(TRIM($A111),BS_Accounts,0))-O111</f>
        <v>0</v>
      </c>
      <c r="P112" s="115">
        <f t="array" aca="1" ref="P112" ca="1">INDEX(INDIRECT("BS_"&amp;TEXT(P$1,"mmm")&amp;"_"&amp;TEXT(P$1,"yyyy")),MATCH(TRIM($A111),BS_Accounts,0))-P111</f>
        <v>0</v>
      </c>
      <c r="Q112" s="115">
        <f t="array" aca="1" ref="Q112" ca="1">INDEX(INDIRECT("BS_"&amp;TEXT(Q$1,"mmm")&amp;"_"&amp;TEXT(Q$1,"yyyy")),MATCH(TRIM($A111),BS_Accounts,0))-Q111</f>
        <v>0</v>
      </c>
      <c r="R112" s="115">
        <f t="array" aca="1" ref="R112" ca="1">INDEX(INDIRECT("BS_"&amp;TEXT(R$1,"mmm")&amp;"_"&amp;TEXT(R$1,"yyyy")),MATCH(TRIM($A111),BS_Accounts,0))-R111</f>
        <v>0</v>
      </c>
      <c r="S112" s="115">
        <f t="array" aca="1" ref="S112" ca="1">INDEX(INDIRECT("BS_"&amp;TEXT(S$1,"mmm")&amp;"_"&amp;TEXT(S$1,"yyyy")),MATCH(TRIM($A111),BS_Accounts,0))-S111</f>
        <v>0</v>
      </c>
      <c r="T112" s="115">
        <f t="array" aca="1" ref="T112" ca="1">INDEX(INDIRECT("BS_"&amp;TEXT(T$1,"mmm")&amp;"_"&amp;TEXT(T$1,"yyyy")),MATCH(TRIM($A111),BS_Accounts,0))-T111</f>
        <v>0</v>
      </c>
      <c r="U112" s="115">
        <f t="array" aca="1" ref="U112" ca="1">INDEX(INDIRECT("BS_"&amp;TEXT(U$1,"mmm")&amp;"_"&amp;TEXT(U$1,"yyyy")),MATCH(TRIM($A111),BS_Accounts,0))-U111</f>
        <v>0</v>
      </c>
      <c r="V112" s="115">
        <f t="array" aca="1" ref="V112" ca="1">INDEX(INDIRECT("BS_"&amp;TEXT(V$1,"mmm")&amp;"_"&amp;TEXT(V$1,"yyyy")),MATCH(TRIM($A111),BS_Accounts,0))-V111</f>
        <v>0</v>
      </c>
      <c r="W112" s="115">
        <f t="array" aca="1" ref="W112" ca="1">INDEX(INDIRECT("BS_"&amp;TEXT(W$1,"mmm")&amp;"_"&amp;TEXT(W$1,"yyyy")),MATCH(TRIM($A111),BS_Accounts,0))-W111</f>
        <v>0</v>
      </c>
      <c r="X112" s="115">
        <f t="array" aca="1" ref="X112" ca="1">INDEX(INDIRECT("BS_"&amp;TEXT(X$1,"mmm")&amp;"_"&amp;TEXT(X$1,"yyyy")),MATCH(TRIM($A111),BS_Accounts,0))-X111</f>
        <v>0</v>
      </c>
      <c r="Y112" s="115">
        <f t="array" aca="1" ref="Y112" ca="1">INDEX(INDIRECT("BS_"&amp;TEXT(Y$1,"mmm")&amp;"_"&amp;TEXT(Y$1,"yyyy")),MATCH(TRIM($A111),BS_Accounts,0))-Y111</f>
        <v>0</v>
      </c>
      <c r="Z112" s="115">
        <f t="array" aca="1" ref="Z112" ca="1">INDEX(INDIRECT("BS_"&amp;TEXT(Z$1,"mmm")&amp;"_"&amp;TEXT(Z$1,"yyyy")),MATCH(TRIM($A111),BS_Accounts,0))-Z111</f>
        <v>0</v>
      </c>
      <c r="AA112" s="115">
        <f t="array" aca="1" ref="AA112" ca="1">INDEX(INDIRECT("BS_"&amp;TEXT(AA$1,"mmm")&amp;"_"&amp;TEXT(AA$1,"yyyy")),MATCH(TRIM($A111),BS_Accounts,0))-AA111</f>
        <v>0</v>
      </c>
      <c r="AB112" s="115">
        <f t="array" aca="1" ref="AB112" ca="1">INDEX(INDIRECT("BS_"&amp;TEXT(AB$1,"mmm")&amp;"_"&amp;TEXT(AB$1,"yyyy")),MATCH(TRIM($A111),BS_Accounts,0))-AB111</f>
        <v>0</v>
      </c>
      <c r="AC112" s="115">
        <f t="array" aca="1" ref="AC112" ca="1">INDEX(INDIRECT("BS_"&amp;TEXT(AC$1,"mmm")&amp;"_"&amp;TEXT(AC$1,"yyyy")),MATCH(TRIM($A111),BS_Accounts,0))-AC111</f>
        <v>0</v>
      </c>
      <c r="AD112" s="115">
        <f t="array" aca="1" ref="AD112" ca="1">INDEX(INDIRECT("BS_"&amp;TEXT(AD$1,"mmm")&amp;"_"&amp;TEXT(AD$1,"yyyy")),MATCH(TRIM($A111),BS_Accounts,0))-AD111</f>
        <v>0</v>
      </c>
      <c r="AE112" s="115">
        <f t="array" aca="1" ref="AE112" ca="1">INDEX(INDIRECT("BS_"&amp;TEXT(AE$1,"mmm")&amp;"_"&amp;TEXT(AE$1,"yyyy")),MATCH(TRIM($A111),BS_Accounts,0))-AE111</f>
        <v>0</v>
      </c>
    </row>
    <row r="113" spans="1:75" ht="12.75" x14ac:dyDescent="0.2">
      <c r="A113" s="23" t="s">
        <v>355</v>
      </c>
      <c r="B113" s="221"/>
    </row>
    <row r="114" spans="1:75" ht="12.75" x14ac:dyDescent="0.2">
      <c r="A114" s="23" t="s">
        <v>356</v>
      </c>
      <c r="B114" s="224">
        <f ca="1">AVERAGEIFS(114:114,$1:$1,"&gt;="&amp;DATE(YEAR(Current_Month),MONTH(Current_Month),DAY(Current_Month)),$1:$1,"&lt;="&amp;EOMONTH(Current_Month,0))</f>
        <v>0</v>
      </c>
      <c r="D114" s="115">
        <f t="array" aca="1" ref="D114" ca="1">INDEX(INDIRECT("BS_"&amp;TEXT(D$1,"mmm")&amp;"_"&amp;TEXT(D$1,"yyyy")),MATCH(TRIM($A114),BS_Accounts,0))</f>
        <v>0</v>
      </c>
      <c r="E114" s="115">
        <f t="array" aca="1" ref="E114" ca="1">INDEX(INDIRECT("BS_"&amp;TEXT(E$1,"mmm")&amp;"_"&amp;TEXT(E$1,"yyyy")),MATCH(TRIM($A114),BS_Accounts,0))</f>
        <v>0</v>
      </c>
      <c r="F114" s="115">
        <f t="array" aca="1" ref="F114" ca="1">INDEX(INDIRECT("BS_"&amp;TEXT(F$1,"mmm")&amp;"_"&amp;TEXT(F$1,"yyyy")),MATCH(TRIM($A114),BS_Accounts,0))</f>
        <v>0</v>
      </c>
      <c r="G114" s="115">
        <f t="array" aca="1" ref="G114" ca="1">INDEX(INDIRECT("BS_"&amp;TEXT(G$1,"mmm")&amp;"_"&amp;TEXT(G$1,"yyyy")),MATCH(TRIM($A114),BS_Accounts,0))</f>
        <v>0</v>
      </c>
      <c r="H114" s="115">
        <f t="array" aca="1" ref="H114" ca="1">INDEX(INDIRECT("BS_"&amp;TEXT(H$1,"mmm")&amp;"_"&amp;TEXT(H$1,"yyyy")),MATCH(TRIM($A114),BS_Accounts,0))</f>
        <v>0</v>
      </c>
      <c r="I114" s="115">
        <f t="array" aca="1" ref="I114" ca="1">INDEX(INDIRECT("BS_"&amp;TEXT(I$1,"mmm")&amp;"_"&amp;TEXT(I$1,"yyyy")),MATCH(TRIM($A114),BS_Accounts,0))</f>
        <v>0</v>
      </c>
      <c r="J114" s="115">
        <f t="array" aca="1" ref="J114" ca="1">INDEX(INDIRECT("BS_"&amp;TEXT(J$1,"mmm")&amp;"_"&amp;TEXT(J$1,"yyyy")),MATCH(TRIM($A114),BS_Accounts,0))</f>
        <v>0</v>
      </c>
      <c r="K114" s="115">
        <f t="array" aca="1" ref="K114" ca="1">INDEX(INDIRECT("BS_"&amp;TEXT(K$1,"mmm")&amp;"_"&amp;TEXT(K$1,"yyyy")),MATCH(TRIM($A114),BS_Accounts,0))</f>
        <v>0</v>
      </c>
      <c r="L114" s="115">
        <f t="array" aca="1" ref="L114" ca="1">INDEX(INDIRECT("BS_"&amp;TEXT(L$1,"mmm")&amp;"_"&amp;TEXT(L$1,"yyyy")),MATCH(TRIM($A114),BS_Accounts,0))</f>
        <v>0</v>
      </c>
      <c r="M114" s="115">
        <f t="array" aca="1" ref="M114" ca="1">INDEX(INDIRECT("BS_"&amp;TEXT(M$1,"mmm")&amp;"_"&amp;TEXT(M$1,"yyyy")),MATCH(TRIM($A114),BS_Accounts,0))</f>
        <v>0</v>
      </c>
      <c r="N114" s="115">
        <f t="array" aca="1" ref="N114" ca="1">INDEX(INDIRECT("BS_"&amp;TEXT(N$1,"mmm")&amp;"_"&amp;TEXT(N$1,"yyyy")),MATCH(TRIM($A114),BS_Accounts,0))</f>
        <v>0</v>
      </c>
      <c r="O114" s="115">
        <f t="array" aca="1" ref="O114" ca="1">INDEX(INDIRECT("BS_"&amp;TEXT(O$1,"mmm")&amp;"_"&amp;TEXT(O$1,"yyyy")),MATCH(TRIM($A114),BS_Accounts,0))</f>
        <v>0</v>
      </c>
      <c r="P114" s="115">
        <f t="array" aca="1" ref="P114" ca="1">INDEX(INDIRECT("BS_"&amp;TEXT(P$1,"mmm")&amp;"_"&amp;TEXT(P$1,"yyyy")),MATCH(TRIM($A114),BS_Accounts,0))</f>
        <v>0</v>
      </c>
      <c r="Q114" s="115">
        <f t="array" aca="1" ref="Q114" ca="1">INDEX(INDIRECT("BS_"&amp;TEXT(Q$1,"mmm")&amp;"_"&amp;TEXT(Q$1,"yyyy")),MATCH(TRIM($A114),BS_Accounts,0))</f>
        <v>0</v>
      </c>
      <c r="R114" s="115">
        <f t="array" aca="1" ref="R114" ca="1">INDEX(INDIRECT("BS_"&amp;TEXT(R$1,"mmm")&amp;"_"&amp;TEXT(R$1,"yyyy")),MATCH(TRIM($A114),BS_Accounts,0))</f>
        <v>0</v>
      </c>
      <c r="S114" s="115">
        <f t="array" aca="1" ref="S114" ca="1">INDEX(INDIRECT("BS_"&amp;TEXT(S$1,"mmm")&amp;"_"&amp;TEXT(S$1,"yyyy")),MATCH(TRIM($A114),BS_Accounts,0))</f>
        <v>0</v>
      </c>
      <c r="T114" s="115">
        <f t="array" aca="1" ref="T114" ca="1">INDEX(INDIRECT("BS_"&amp;TEXT(T$1,"mmm")&amp;"_"&amp;TEXT(T$1,"yyyy")),MATCH(TRIM($A114),BS_Accounts,0))</f>
        <v>0</v>
      </c>
      <c r="U114" s="115">
        <f t="array" aca="1" ref="U114" ca="1">INDEX(INDIRECT("BS_"&amp;TEXT(U$1,"mmm")&amp;"_"&amp;TEXT(U$1,"yyyy")),MATCH(TRIM($A114),BS_Accounts,0))</f>
        <v>0</v>
      </c>
      <c r="V114" s="115">
        <f t="array" aca="1" ref="V114" ca="1">INDEX(INDIRECT("BS_"&amp;TEXT(V$1,"mmm")&amp;"_"&amp;TEXT(V$1,"yyyy")),MATCH(TRIM($A114),BS_Accounts,0))</f>
        <v>0</v>
      </c>
      <c r="W114" s="115">
        <f t="array" aca="1" ref="W114" ca="1">INDEX(INDIRECT("BS_"&amp;TEXT(W$1,"mmm")&amp;"_"&amp;TEXT(W$1,"yyyy")),MATCH(TRIM($A114),BS_Accounts,0))</f>
        <v>0</v>
      </c>
      <c r="X114" s="115">
        <f t="array" aca="1" ref="X114" ca="1">INDEX(INDIRECT("BS_"&amp;TEXT(X$1,"mmm")&amp;"_"&amp;TEXT(X$1,"yyyy")),MATCH(TRIM($A114),BS_Accounts,0))</f>
        <v>0</v>
      </c>
      <c r="Y114" s="115">
        <f t="array" aca="1" ref="Y114" ca="1">INDEX(INDIRECT("BS_"&amp;TEXT(Y$1,"mmm")&amp;"_"&amp;TEXT(Y$1,"yyyy")),MATCH(TRIM($A114),BS_Accounts,0))</f>
        <v>0</v>
      </c>
      <c r="Z114" s="115">
        <f t="array" aca="1" ref="Z114" ca="1">INDEX(INDIRECT("BS_"&amp;TEXT(Z$1,"mmm")&amp;"_"&amp;TEXT(Z$1,"yyyy")),MATCH(TRIM($A114),BS_Accounts,0))</f>
        <v>0</v>
      </c>
      <c r="AA114" s="115">
        <f t="array" aca="1" ref="AA114" ca="1">INDEX(INDIRECT("BS_"&amp;TEXT(AA$1,"mmm")&amp;"_"&amp;TEXT(AA$1,"yyyy")),MATCH(TRIM($A114),BS_Accounts,0))</f>
        <v>0</v>
      </c>
      <c r="AB114" s="115">
        <f t="array" aca="1" ref="AB114" ca="1">INDEX(INDIRECT("BS_"&amp;TEXT(AB$1,"mmm")&amp;"_"&amp;TEXT(AB$1,"yyyy")),MATCH(TRIM($A114),BS_Accounts,0))</f>
        <v>0</v>
      </c>
      <c r="AC114" s="115">
        <f t="array" aca="1" ref="AC114" ca="1">INDEX(INDIRECT("BS_"&amp;TEXT(AC$1,"mmm")&amp;"_"&amp;TEXT(AC$1,"yyyy")),MATCH(TRIM($A114),BS_Accounts,0))</f>
        <v>0</v>
      </c>
      <c r="AD114" s="115">
        <f t="array" aca="1" ref="AD114" ca="1">INDEX(INDIRECT("BS_"&amp;TEXT(AD$1,"mmm")&amp;"_"&amp;TEXT(AD$1,"yyyy")),MATCH(TRIM($A114),BS_Accounts,0))</f>
        <v>0</v>
      </c>
      <c r="AE114" s="115">
        <f t="array" aca="1" ref="AE114" ca="1">INDEX(INDIRECT("BS_"&amp;TEXT(AE$1,"mmm")&amp;"_"&amp;TEXT(AE$1,"yyyy")),MATCH(TRIM($A114),BS_Accounts,0))</f>
        <v>0</v>
      </c>
      <c r="AF114" s="165">
        <f t="shared" ref="AF114:BW114" ca="1" si="57">$B114</f>
        <v>0</v>
      </c>
      <c r="AG114" s="165">
        <f t="shared" ca="1" si="57"/>
        <v>0</v>
      </c>
      <c r="AH114" s="165">
        <f t="shared" ca="1" si="57"/>
        <v>0</v>
      </c>
      <c r="AI114" s="165">
        <f t="shared" ca="1" si="57"/>
        <v>0</v>
      </c>
      <c r="AJ114" s="165">
        <f t="shared" ca="1" si="57"/>
        <v>0</v>
      </c>
      <c r="AK114" s="165">
        <f t="shared" ca="1" si="57"/>
        <v>0</v>
      </c>
      <c r="AL114" s="165">
        <f t="shared" ca="1" si="57"/>
        <v>0</v>
      </c>
      <c r="AM114" s="165">
        <f t="shared" ca="1" si="57"/>
        <v>0</v>
      </c>
      <c r="AN114" s="165">
        <f t="shared" ca="1" si="57"/>
        <v>0</v>
      </c>
      <c r="AO114" s="165">
        <f t="shared" ca="1" si="57"/>
        <v>0</v>
      </c>
      <c r="AP114" s="165">
        <f t="shared" ca="1" si="57"/>
        <v>0</v>
      </c>
      <c r="AQ114" s="165">
        <f t="shared" ca="1" si="57"/>
        <v>0</v>
      </c>
      <c r="AR114" s="165">
        <f t="shared" ca="1" si="57"/>
        <v>0</v>
      </c>
      <c r="AS114" s="165">
        <f t="shared" ca="1" si="57"/>
        <v>0</v>
      </c>
      <c r="AT114" s="165">
        <f t="shared" ca="1" si="57"/>
        <v>0</v>
      </c>
      <c r="AU114" s="165">
        <f t="shared" ca="1" si="57"/>
        <v>0</v>
      </c>
      <c r="AV114" s="165">
        <f t="shared" ca="1" si="57"/>
        <v>0</v>
      </c>
      <c r="AW114" s="165">
        <f t="shared" ca="1" si="57"/>
        <v>0</v>
      </c>
      <c r="AX114" s="165">
        <f t="shared" ca="1" si="57"/>
        <v>0</v>
      </c>
      <c r="AY114" s="165">
        <f t="shared" ca="1" si="57"/>
        <v>0</v>
      </c>
      <c r="AZ114" s="165">
        <f t="shared" ca="1" si="57"/>
        <v>0</v>
      </c>
      <c r="BA114" s="165">
        <f t="shared" ca="1" si="57"/>
        <v>0</v>
      </c>
      <c r="BB114" s="165">
        <f t="shared" ca="1" si="57"/>
        <v>0</v>
      </c>
      <c r="BC114" s="165">
        <f t="shared" ca="1" si="57"/>
        <v>0</v>
      </c>
      <c r="BD114" s="165">
        <f t="shared" ca="1" si="57"/>
        <v>0</v>
      </c>
      <c r="BE114" s="165">
        <f t="shared" ca="1" si="57"/>
        <v>0</v>
      </c>
      <c r="BF114" s="165">
        <f t="shared" ca="1" si="57"/>
        <v>0</v>
      </c>
      <c r="BG114" s="165">
        <f t="shared" ca="1" si="57"/>
        <v>0</v>
      </c>
      <c r="BH114" s="165">
        <f t="shared" ca="1" si="57"/>
        <v>0</v>
      </c>
      <c r="BI114" s="165">
        <f t="shared" ca="1" si="57"/>
        <v>0</v>
      </c>
      <c r="BJ114" s="165">
        <f t="shared" ca="1" si="57"/>
        <v>0</v>
      </c>
      <c r="BK114" s="165">
        <f t="shared" ca="1" si="57"/>
        <v>0</v>
      </c>
      <c r="BL114" s="165">
        <f t="shared" ca="1" si="57"/>
        <v>0</v>
      </c>
      <c r="BM114" s="165">
        <f t="shared" ca="1" si="57"/>
        <v>0</v>
      </c>
      <c r="BN114" s="165">
        <f t="shared" ca="1" si="57"/>
        <v>0</v>
      </c>
      <c r="BO114" s="165">
        <f t="shared" ca="1" si="57"/>
        <v>0</v>
      </c>
      <c r="BP114" s="165">
        <f t="shared" ca="1" si="57"/>
        <v>0</v>
      </c>
      <c r="BQ114" s="165">
        <f t="shared" ca="1" si="57"/>
        <v>0</v>
      </c>
      <c r="BR114" s="165">
        <f t="shared" ca="1" si="57"/>
        <v>0</v>
      </c>
      <c r="BS114" s="165">
        <f t="shared" ca="1" si="57"/>
        <v>0</v>
      </c>
      <c r="BT114" s="165">
        <f t="shared" ca="1" si="57"/>
        <v>0</v>
      </c>
      <c r="BU114" s="165">
        <f t="shared" ca="1" si="57"/>
        <v>0</v>
      </c>
      <c r="BV114" s="165">
        <f t="shared" ca="1" si="57"/>
        <v>0</v>
      </c>
      <c r="BW114" s="165">
        <f t="shared" ca="1" si="57"/>
        <v>0</v>
      </c>
    </row>
    <row r="115" spans="1:75" ht="12.75" x14ac:dyDescent="0.2">
      <c r="A115" s="23" t="s">
        <v>357</v>
      </c>
      <c r="B115" s="224">
        <f ca="1">AVERAGEIFS(115:115,$1:$1,"&gt;="&amp;DATE(YEAR(Current_Month),MONTH(Current_Month),DAY(Current_Month)),$1:$1,"&lt;="&amp;EOMONTH(Current_Month,0))</f>
        <v>0</v>
      </c>
      <c r="D115" s="115">
        <f t="array" aca="1" ref="D115" ca="1">INDEX(INDIRECT("BS_"&amp;TEXT(D$1,"mmm")&amp;"_"&amp;TEXT(D$1,"yyyy")),MATCH(TRIM($A115),BS_Accounts,0))</f>
        <v>0</v>
      </c>
      <c r="E115" s="115">
        <f t="array" aca="1" ref="E115" ca="1">INDEX(INDIRECT("BS_"&amp;TEXT(E$1,"mmm")&amp;"_"&amp;TEXT(E$1,"yyyy")),MATCH(TRIM($A115),BS_Accounts,0))</f>
        <v>0</v>
      </c>
      <c r="F115" s="115">
        <f t="array" aca="1" ref="F115" ca="1">INDEX(INDIRECT("BS_"&amp;TEXT(F$1,"mmm")&amp;"_"&amp;TEXT(F$1,"yyyy")),MATCH(TRIM($A115),BS_Accounts,0))</f>
        <v>0</v>
      </c>
      <c r="G115" s="115">
        <f t="array" aca="1" ref="G115" ca="1">INDEX(INDIRECT("BS_"&amp;TEXT(G$1,"mmm")&amp;"_"&amp;TEXT(G$1,"yyyy")),MATCH(TRIM($A115),BS_Accounts,0))</f>
        <v>0</v>
      </c>
      <c r="H115" s="115">
        <f t="array" aca="1" ref="H115" ca="1">INDEX(INDIRECT("BS_"&amp;TEXT(H$1,"mmm")&amp;"_"&amp;TEXT(H$1,"yyyy")),MATCH(TRIM($A115),BS_Accounts,0))</f>
        <v>0</v>
      </c>
      <c r="I115" s="115">
        <f t="array" aca="1" ref="I115" ca="1">INDEX(INDIRECT("BS_"&amp;TEXT(I$1,"mmm")&amp;"_"&amp;TEXT(I$1,"yyyy")),MATCH(TRIM($A115),BS_Accounts,0))</f>
        <v>0</v>
      </c>
      <c r="J115" s="115">
        <f t="array" aca="1" ref="J115" ca="1">INDEX(INDIRECT("BS_"&amp;TEXT(J$1,"mmm")&amp;"_"&amp;TEXT(J$1,"yyyy")),MATCH(TRIM($A115),BS_Accounts,0))</f>
        <v>0</v>
      </c>
      <c r="K115" s="115">
        <f t="array" aca="1" ref="K115" ca="1">INDEX(INDIRECT("BS_"&amp;TEXT(K$1,"mmm")&amp;"_"&amp;TEXT(K$1,"yyyy")),MATCH(TRIM($A115),BS_Accounts,0))</f>
        <v>0</v>
      </c>
      <c r="L115" s="115">
        <f t="array" aca="1" ref="L115" ca="1">INDEX(INDIRECT("BS_"&amp;TEXT(L$1,"mmm")&amp;"_"&amp;TEXT(L$1,"yyyy")),MATCH(TRIM($A115),BS_Accounts,0))</f>
        <v>0</v>
      </c>
      <c r="M115" s="115">
        <f t="array" aca="1" ref="M115" ca="1">INDEX(INDIRECT("BS_"&amp;TEXT(M$1,"mmm")&amp;"_"&amp;TEXT(M$1,"yyyy")),MATCH(TRIM($A115),BS_Accounts,0))</f>
        <v>0</v>
      </c>
      <c r="N115" s="115">
        <f t="array" aca="1" ref="N115" ca="1">INDEX(INDIRECT("BS_"&amp;TEXT(N$1,"mmm")&amp;"_"&amp;TEXT(N$1,"yyyy")),MATCH(TRIM($A115),BS_Accounts,0))</f>
        <v>0</v>
      </c>
      <c r="O115" s="115">
        <f t="array" aca="1" ref="O115" ca="1">INDEX(INDIRECT("BS_"&amp;TEXT(O$1,"mmm")&amp;"_"&amp;TEXT(O$1,"yyyy")),MATCH(TRIM($A115),BS_Accounts,0))</f>
        <v>0</v>
      </c>
      <c r="P115" s="115">
        <f t="array" aca="1" ref="P115" ca="1">INDEX(INDIRECT("BS_"&amp;TEXT(P$1,"mmm")&amp;"_"&amp;TEXT(P$1,"yyyy")),MATCH(TRIM($A115),BS_Accounts,0))</f>
        <v>0</v>
      </c>
      <c r="Q115" s="115">
        <f t="array" aca="1" ref="Q115" ca="1">INDEX(INDIRECT("BS_"&amp;TEXT(Q$1,"mmm")&amp;"_"&amp;TEXT(Q$1,"yyyy")),MATCH(TRIM($A115),BS_Accounts,0))</f>
        <v>0</v>
      </c>
      <c r="R115" s="115">
        <f t="array" aca="1" ref="R115" ca="1">INDEX(INDIRECT("BS_"&amp;TEXT(R$1,"mmm")&amp;"_"&amp;TEXT(R$1,"yyyy")),MATCH(TRIM($A115),BS_Accounts,0))</f>
        <v>0</v>
      </c>
      <c r="S115" s="115">
        <f t="array" aca="1" ref="S115" ca="1">INDEX(INDIRECT("BS_"&amp;TEXT(S$1,"mmm")&amp;"_"&amp;TEXT(S$1,"yyyy")),MATCH(TRIM($A115),BS_Accounts,0))</f>
        <v>0</v>
      </c>
      <c r="T115" s="115">
        <f t="array" aca="1" ref="T115" ca="1">INDEX(INDIRECT("BS_"&amp;TEXT(T$1,"mmm")&amp;"_"&amp;TEXT(T$1,"yyyy")),MATCH(TRIM($A115),BS_Accounts,0))</f>
        <v>0</v>
      </c>
      <c r="U115" s="115">
        <f t="array" aca="1" ref="U115" ca="1">INDEX(INDIRECT("BS_"&amp;TEXT(U$1,"mmm")&amp;"_"&amp;TEXT(U$1,"yyyy")),MATCH(TRIM($A115),BS_Accounts,0))</f>
        <v>0</v>
      </c>
      <c r="V115" s="115">
        <f t="array" aca="1" ref="V115" ca="1">INDEX(INDIRECT("BS_"&amp;TEXT(V$1,"mmm")&amp;"_"&amp;TEXT(V$1,"yyyy")),MATCH(TRIM($A115),BS_Accounts,0))</f>
        <v>0</v>
      </c>
      <c r="W115" s="115">
        <f t="array" aca="1" ref="W115" ca="1">INDEX(INDIRECT("BS_"&amp;TEXT(W$1,"mmm")&amp;"_"&amp;TEXT(W$1,"yyyy")),MATCH(TRIM($A115),BS_Accounts,0))</f>
        <v>0</v>
      </c>
      <c r="X115" s="115">
        <f t="array" aca="1" ref="X115" ca="1">INDEX(INDIRECT("BS_"&amp;TEXT(X$1,"mmm")&amp;"_"&amp;TEXT(X$1,"yyyy")),MATCH(TRIM($A115),BS_Accounts,0))</f>
        <v>0</v>
      </c>
      <c r="Y115" s="115">
        <f t="array" aca="1" ref="Y115" ca="1">INDEX(INDIRECT("BS_"&amp;TEXT(Y$1,"mmm")&amp;"_"&amp;TEXT(Y$1,"yyyy")),MATCH(TRIM($A115),BS_Accounts,0))</f>
        <v>0</v>
      </c>
      <c r="Z115" s="115">
        <f t="array" aca="1" ref="Z115" ca="1">INDEX(INDIRECT("BS_"&amp;TEXT(Z$1,"mmm")&amp;"_"&amp;TEXT(Z$1,"yyyy")),MATCH(TRIM($A115),BS_Accounts,0))</f>
        <v>0</v>
      </c>
      <c r="AA115" s="115">
        <f t="array" aca="1" ref="AA115" ca="1">INDEX(INDIRECT("BS_"&amp;TEXT(AA$1,"mmm")&amp;"_"&amp;TEXT(AA$1,"yyyy")),MATCH(TRIM($A115),BS_Accounts,0))</f>
        <v>0</v>
      </c>
      <c r="AB115" s="115">
        <f t="array" aca="1" ref="AB115" ca="1">INDEX(INDIRECT("BS_"&amp;TEXT(AB$1,"mmm")&amp;"_"&amp;TEXT(AB$1,"yyyy")),MATCH(TRIM($A115),BS_Accounts,0))</f>
        <v>0</v>
      </c>
      <c r="AC115" s="115">
        <f t="array" aca="1" ref="AC115" ca="1">INDEX(INDIRECT("BS_"&amp;TEXT(AC$1,"mmm")&amp;"_"&amp;TEXT(AC$1,"yyyy")),MATCH(TRIM($A115),BS_Accounts,0))</f>
        <v>0</v>
      </c>
      <c r="AD115" s="115">
        <f t="array" aca="1" ref="AD115" ca="1">INDEX(INDIRECT("BS_"&amp;TEXT(AD$1,"mmm")&amp;"_"&amp;TEXT(AD$1,"yyyy")),MATCH(TRIM($A115),BS_Accounts,0))</f>
        <v>0</v>
      </c>
      <c r="AE115" s="115">
        <f t="array" aca="1" ref="AE115" ca="1">INDEX(INDIRECT("BS_"&amp;TEXT(AE$1,"mmm")&amp;"_"&amp;TEXT(AE$1,"yyyy")),MATCH(TRIM($A115),BS_Accounts,0))</f>
        <v>0</v>
      </c>
      <c r="AF115" s="165">
        <f t="shared" ref="AF115:BW115" ca="1" si="58">$B115</f>
        <v>0</v>
      </c>
      <c r="AG115" s="165">
        <f t="shared" ca="1" si="58"/>
        <v>0</v>
      </c>
      <c r="AH115" s="165">
        <f t="shared" ca="1" si="58"/>
        <v>0</v>
      </c>
      <c r="AI115" s="165">
        <f t="shared" ca="1" si="58"/>
        <v>0</v>
      </c>
      <c r="AJ115" s="165">
        <f t="shared" ca="1" si="58"/>
        <v>0</v>
      </c>
      <c r="AK115" s="165">
        <f t="shared" ca="1" si="58"/>
        <v>0</v>
      </c>
      <c r="AL115" s="165">
        <f t="shared" ca="1" si="58"/>
        <v>0</v>
      </c>
      <c r="AM115" s="165">
        <f t="shared" ca="1" si="58"/>
        <v>0</v>
      </c>
      <c r="AN115" s="165">
        <f t="shared" ca="1" si="58"/>
        <v>0</v>
      </c>
      <c r="AO115" s="165">
        <f t="shared" ca="1" si="58"/>
        <v>0</v>
      </c>
      <c r="AP115" s="165">
        <f t="shared" ca="1" si="58"/>
        <v>0</v>
      </c>
      <c r="AQ115" s="165">
        <f t="shared" ca="1" si="58"/>
        <v>0</v>
      </c>
      <c r="AR115" s="165">
        <f t="shared" ca="1" si="58"/>
        <v>0</v>
      </c>
      <c r="AS115" s="165">
        <f t="shared" ca="1" si="58"/>
        <v>0</v>
      </c>
      <c r="AT115" s="165">
        <f t="shared" ca="1" si="58"/>
        <v>0</v>
      </c>
      <c r="AU115" s="165">
        <f t="shared" ca="1" si="58"/>
        <v>0</v>
      </c>
      <c r="AV115" s="165">
        <f t="shared" ca="1" si="58"/>
        <v>0</v>
      </c>
      <c r="AW115" s="165">
        <f t="shared" ca="1" si="58"/>
        <v>0</v>
      </c>
      <c r="AX115" s="165">
        <f t="shared" ca="1" si="58"/>
        <v>0</v>
      </c>
      <c r="AY115" s="165">
        <f t="shared" ca="1" si="58"/>
        <v>0</v>
      </c>
      <c r="AZ115" s="165">
        <f t="shared" ca="1" si="58"/>
        <v>0</v>
      </c>
      <c r="BA115" s="165">
        <f t="shared" ca="1" si="58"/>
        <v>0</v>
      </c>
      <c r="BB115" s="165">
        <f t="shared" ca="1" si="58"/>
        <v>0</v>
      </c>
      <c r="BC115" s="165">
        <f t="shared" ca="1" si="58"/>
        <v>0</v>
      </c>
      <c r="BD115" s="165">
        <f t="shared" ca="1" si="58"/>
        <v>0</v>
      </c>
      <c r="BE115" s="165">
        <f t="shared" ca="1" si="58"/>
        <v>0</v>
      </c>
      <c r="BF115" s="165">
        <f t="shared" ca="1" si="58"/>
        <v>0</v>
      </c>
      <c r="BG115" s="165">
        <f t="shared" ca="1" si="58"/>
        <v>0</v>
      </c>
      <c r="BH115" s="165">
        <f t="shared" ca="1" si="58"/>
        <v>0</v>
      </c>
      <c r="BI115" s="165">
        <f t="shared" ca="1" si="58"/>
        <v>0</v>
      </c>
      <c r="BJ115" s="165">
        <f t="shared" ca="1" si="58"/>
        <v>0</v>
      </c>
      <c r="BK115" s="165">
        <f t="shared" ca="1" si="58"/>
        <v>0</v>
      </c>
      <c r="BL115" s="165">
        <f t="shared" ca="1" si="58"/>
        <v>0</v>
      </c>
      <c r="BM115" s="165">
        <f t="shared" ca="1" si="58"/>
        <v>0</v>
      </c>
      <c r="BN115" s="165">
        <f t="shared" ca="1" si="58"/>
        <v>0</v>
      </c>
      <c r="BO115" s="165">
        <f t="shared" ca="1" si="58"/>
        <v>0</v>
      </c>
      <c r="BP115" s="165">
        <f t="shared" ca="1" si="58"/>
        <v>0</v>
      </c>
      <c r="BQ115" s="165">
        <f t="shared" ca="1" si="58"/>
        <v>0</v>
      </c>
      <c r="BR115" s="165">
        <f t="shared" ca="1" si="58"/>
        <v>0</v>
      </c>
      <c r="BS115" s="165">
        <f t="shared" ca="1" si="58"/>
        <v>0</v>
      </c>
      <c r="BT115" s="165">
        <f t="shared" ca="1" si="58"/>
        <v>0</v>
      </c>
      <c r="BU115" s="165">
        <f t="shared" ca="1" si="58"/>
        <v>0</v>
      </c>
      <c r="BV115" s="165">
        <f t="shared" ca="1" si="58"/>
        <v>0</v>
      </c>
      <c r="BW115" s="165">
        <f t="shared" ca="1" si="58"/>
        <v>0</v>
      </c>
    </row>
    <row r="116" spans="1:75" ht="12.75" x14ac:dyDescent="0.2">
      <c r="A116" s="23" t="s">
        <v>358</v>
      </c>
      <c r="B116" s="224">
        <f ca="1">AVERAGEIFS(116:116,$1:$1,"&gt;="&amp;DATE(YEAR(Current_Month),MONTH(Current_Month),DAY(Current_Month)),$1:$1,"&lt;="&amp;EOMONTH(Current_Month,0))</f>
        <v>0</v>
      </c>
      <c r="D116" s="115">
        <f t="array" aca="1" ref="D116" ca="1">INDEX(INDIRECT("BS_"&amp;TEXT(D$1,"mmm")&amp;"_"&amp;TEXT(D$1,"yyyy")),MATCH(TRIM($A116),BS_Accounts,0))</f>
        <v>0</v>
      </c>
      <c r="E116" s="115">
        <f t="array" aca="1" ref="E116" ca="1">INDEX(INDIRECT("BS_"&amp;TEXT(E$1,"mmm")&amp;"_"&amp;TEXT(E$1,"yyyy")),MATCH(TRIM($A116),BS_Accounts,0))</f>
        <v>0</v>
      </c>
      <c r="F116" s="115">
        <f t="array" aca="1" ref="F116" ca="1">INDEX(INDIRECT("BS_"&amp;TEXT(F$1,"mmm")&amp;"_"&amp;TEXT(F$1,"yyyy")),MATCH(TRIM($A116),BS_Accounts,0))</f>
        <v>0</v>
      </c>
      <c r="G116" s="115">
        <f t="array" aca="1" ref="G116" ca="1">INDEX(INDIRECT("BS_"&amp;TEXT(G$1,"mmm")&amp;"_"&amp;TEXT(G$1,"yyyy")),MATCH(TRIM($A116),BS_Accounts,0))</f>
        <v>0</v>
      </c>
      <c r="H116" s="115">
        <f t="array" aca="1" ref="H116" ca="1">INDEX(INDIRECT("BS_"&amp;TEXT(H$1,"mmm")&amp;"_"&amp;TEXT(H$1,"yyyy")),MATCH(TRIM($A116),BS_Accounts,0))</f>
        <v>0</v>
      </c>
      <c r="I116" s="115">
        <f t="array" aca="1" ref="I116" ca="1">INDEX(INDIRECT("BS_"&amp;TEXT(I$1,"mmm")&amp;"_"&amp;TEXT(I$1,"yyyy")),MATCH(TRIM($A116),BS_Accounts,0))</f>
        <v>0</v>
      </c>
      <c r="J116" s="115">
        <f t="array" aca="1" ref="J116" ca="1">INDEX(INDIRECT("BS_"&amp;TEXT(J$1,"mmm")&amp;"_"&amp;TEXT(J$1,"yyyy")),MATCH(TRIM($A116),BS_Accounts,0))</f>
        <v>0</v>
      </c>
      <c r="K116" s="115">
        <f t="array" aca="1" ref="K116" ca="1">INDEX(INDIRECT("BS_"&amp;TEXT(K$1,"mmm")&amp;"_"&amp;TEXT(K$1,"yyyy")),MATCH(TRIM($A116),BS_Accounts,0))</f>
        <v>0</v>
      </c>
      <c r="L116" s="115">
        <f t="array" aca="1" ref="L116" ca="1">INDEX(INDIRECT("BS_"&amp;TEXT(L$1,"mmm")&amp;"_"&amp;TEXT(L$1,"yyyy")),MATCH(TRIM($A116),BS_Accounts,0))</f>
        <v>0</v>
      </c>
      <c r="M116" s="115">
        <f t="array" aca="1" ref="M116" ca="1">INDEX(INDIRECT("BS_"&amp;TEXT(M$1,"mmm")&amp;"_"&amp;TEXT(M$1,"yyyy")),MATCH(TRIM($A116),BS_Accounts,0))</f>
        <v>0</v>
      </c>
      <c r="N116" s="115">
        <f t="array" aca="1" ref="N116" ca="1">INDEX(INDIRECT("BS_"&amp;TEXT(N$1,"mmm")&amp;"_"&amp;TEXT(N$1,"yyyy")),MATCH(TRIM($A116),BS_Accounts,0))</f>
        <v>0</v>
      </c>
      <c r="O116" s="115">
        <f t="array" aca="1" ref="O116" ca="1">INDEX(INDIRECT("BS_"&amp;TEXT(O$1,"mmm")&amp;"_"&amp;TEXT(O$1,"yyyy")),MATCH(TRIM($A116),BS_Accounts,0))</f>
        <v>0</v>
      </c>
      <c r="P116" s="115">
        <f t="array" aca="1" ref="P116" ca="1">INDEX(INDIRECT("BS_"&amp;TEXT(P$1,"mmm")&amp;"_"&amp;TEXT(P$1,"yyyy")),MATCH(TRIM($A116),BS_Accounts,0))</f>
        <v>0</v>
      </c>
      <c r="Q116" s="115">
        <f t="array" aca="1" ref="Q116" ca="1">INDEX(INDIRECT("BS_"&amp;TEXT(Q$1,"mmm")&amp;"_"&amp;TEXT(Q$1,"yyyy")),MATCH(TRIM($A116),BS_Accounts,0))</f>
        <v>0</v>
      </c>
      <c r="R116" s="115">
        <f t="array" aca="1" ref="R116" ca="1">INDEX(INDIRECT("BS_"&amp;TEXT(R$1,"mmm")&amp;"_"&amp;TEXT(R$1,"yyyy")),MATCH(TRIM($A116),BS_Accounts,0))</f>
        <v>0</v>
      </c>
      <c r="S116" s="115">
        <f t="array" aca="1" ref="S116" ca="1">INDEX(INDIRECT("BS_"&amp;TEXT(S$1,"mmm")&amp;"_"&amp;TEXT(S$1,"yyyy")),MATCH(TRIM($A116),BS_Accounts,0))</f>
        <v>0</v>
      </c>
      <c r="T116" s="115">
        <f t="array" aca="1" ref="T116" ca="1">INDEX(INDIRECT("BS_"&amp;TEXT(T$1,"mmm")&amp;"_"&amp;TEXT(T$1,"yyyy")),MATCH(TRIM($A116),BS_Accounts,0))</f>
        <v>0</v>
      </c>
      <c r="U116" s="115">
        <f t="array" aca="1" ref="U116" ca="1">INDEX(INDIRECT("BS_"&amp;TEXT(U$1,"mmm")&amp;"_"&amp;TEXT(U$1,"yyyy")),MATCH(TRIM($A116),BS_Accounts,0))</f>
        <v>0</v>
      </c>
      <c r="V116" s="115">
        <f t="array" aca="1" ref="V116" ca="1">INDEX(INDIRECT("BS_"&amp;TEXT(V$1,"mmm")&amp;"_"&amp;TEXT(V$1,"yyyy")),MATCH(TRIM($A116),BS_Accounts,0))</f>
        <v>0</v>
      </c>
      <c r="W116" s="115">
        <f t="array" aca="1" ref="W116" ca="1">INDEX(INDIRECT("BS_"&amp;TEXT(W$1,"mmm")&amp;"_"&amp;TEXT(W$1,"yyyy")),MATCH(TRIM($A116),BS_Accounts,0))</f>
        <v>0</v>
      </c>
      <c r="X116" s="115">
        <f t="array" aca="1" ref="X116" ca="1">INDEX(INDIRECT("BS_"&amp;TEXT(X$1,"mmm")&amp;"_"&amp;TEXT(X$1,"yyyy")),MATCH(TRIM($A116),BS_Accounts,0))</f>
        <v>0</v>
      </c>
      <c r="Y116" s="115">
        <f t="array" aca="1" ref="Y116" ca="1">INDEX(INDIRECT("BS_"&amp;TEXT(Y$1,"mmm")&amp;"_"&amp;TEXT(Y$1,"yyyy")),MATCH(TRIM($A116),BS_Accounts,0))</f>
        <v>0</v>
      </c>
      <c r="Z116" s="115">
        <f t="array" aca="1" ref="Z116" ca="1">INDEX(INDIRECT("BS_"&amp;TEXT(Z$1,"mmm")&amp;"_"&amp;TEXT(Z$1,"yyyy")),MATCH(TRIM($A116),BS_Accounts,0))</f>
        <v>0</v>
      </c>
      <c r="AA116" s="115">
        <f t="array" aca="1" ref="AA116" ca="1">INDEX(INDIRECT("BS_"&amp;TEXT(AA$1,"mmm")&amp;"_"&amp;TEXT(AA$1,"yyyy")),MATCH(TRIM($A116),BS_Accounts,0))</f>
        <v>0</v>
      </c>
      <c r="AB116" s="115">
        <f t="array" aca="1" ref="AB116" ca="1">INDEX(INDIRECT("BS_"&amp;TEXT(AB$1,"mmm")&amp;"_"&amp;TEXT(AB$1,"yyyy")),MATCH(TRIM($A116),BS_Accounts,0))</f>
        <v>0</v>
      </c>
      <c r="AC116" s="115">
        <f t="array" aca="1" ref="AC116" ca="1">INDEX(INDIRECT("BS_"&amp;TEXT(AC$1,"mmm")&amp;"_"&amp;TEXT(AC$1,"yyyy")),MATCH(TRIM($A116),BS_Accounts,0))</f>
        <v>0</v>
      </c>
      <c r="AD116" s="115">
        <f t="array" aca="1" ref="AD116" ca="1">INDEX(INDIRECT("BS_"&amp;TEXT(AD$1,"mmm")&amp;"_"&amp;TEXT(AD$1,"yyyy")),MATCH(TRIM($A116),BS_Accounts,0))</f>
        <v>0</v>
      </c>
      <c r="AE116" s="115">
        <f t="array" aca="1" ref="AE116" ca="1">INDEX(INDIRECT("BS_"&amp;TEXT(AE$1,"mmm")&amp;"_"&amp;TEXT(AE$1,"yyyy")),MATCH(TRIM($A116),BS_Accounts,0))</f>
        <v>0</v>
      </c>
      <c r="AF116" s="165">
        <f t="shared" ref="AF116:BW116" ca="1" si="59">$B116</f>
        <v>0</v>
      </c>
      <c r="AG116" s="165">
        <f t="shared" ca="1" si="59"/>
        <v>0</v>
      </c>
      <c r="AH116" s="165">
        <f t="shared" ca="1" si="59"/>
        <v>0</v>
      </c>
      <c r="AI116" s="165">
        <f t="shared" ca="1" si="59"/>
        <v>0</v>
      </c>
      <c r="AJ116" s="165">
        <f t="shared" ca="1" si="59"/>
        <v>0</v>
      </c>
      <c r="AK116" s="165">
        <f t="shared" ca="1" si="59"/>
        <v>0</v>
      </c>
      <c r="AL116" s="165">
        <f t="shared" ca="1" si="59"/>
        <v>0</v>
      </c>
      <c r="AM116" s="165">
        <f t="shared" ca="1" si="59"/>
        <v>0</v>
      </c>
      <c r="AN116" s="165">
        <f t="shared" ca="1" si="59"/>
        <v>0</v>
      </c>
      <c r="AO116" s="165">
        <f t="shared" ca="1" si="59"/>
        <v>0</v>
      </c>
      <c r="AP116" s="165">
        <f t="shared" ca="1" si="59"/>
        <v>0</v>
      </c>
      <c r="AQ116" s="165">
        <f t="shared" ca="1" si="59"/>
        <v>0</v>
      </c>
      <c r="AR116" s="165">
        <f t="shared" ca="1" si="59"/>
        <v>0</v>
      </c>
      <c r="AS116" s="165">
        <f t="shared" ca="1" si="59"/>
        <v>0</v>
      </c>
      <c r="AT116" s="165">
        <f t="shared" ca="1" si="59"/>
        <v>0</v>
      </c>
      <c r="AU116" s="165">
        <f t="shared" ca="1" si="59"/>
        <v>0</v>
      </c>
      <c r="AV116" s="165">
        <f t="shared" ca="1" si="59"/>
        <v>0</v>
      </c>
      <c r="AW116" s="165">
        <f t="shared" ca="1" si="59"/>
        <v>0</v>
      </c>
      <c r="AX116" s="165">
        <f t="shared" ca="1" si="59"/>
        <v>0</v>
      </c>
      <c r="AY116" s="165">
        <f t="shared" ca="1" si="59"/>
        <v>0</v>
      </c>
      <c r="AZ116" s="165">
        <f t="shared" ca="1" si="59"/>
        <v>0</v>
      </c>
      <c r="BA116" s="165">
        <f t="shared" ca="1" si="59"/>
        <v>0</v>
      </c>
      <c r="BB116" s="165">
        <f t="shared" ca="1" si="59"/>
        <v>0</v>
      </c>
      <c r="BC116" s="165">
        <f t="shared" ca="1" si="59"/>
        <v>0</v>
      </c>
      <c r="BD116" s="165">
        <f t="shared" ca="1" si="59"/>
        <v>0</v>
      </c>
      <c r="BE116" s="165">
        <f t="shared" ca="1" si="59"/>
        <v>0</v>
      </c>
      <c r="BF116" s="165">
        <f t="shared" ca="1" si="59"/>
        <v>0</v>
      </c>
      <c r="BG116" s="165">
        <f t="shared" ca="1" si="59"/>
        <v>0</v>
      </c>
      <c r="BH116" s="165">
        <f t="shared" ca="1" si="59"/>
        <v>0</v>
      </c>
      <c r="BI116" s="165">
        <f t="shared" ca="1" si="59"/>
        <v>0</v>
      </c>
      <c r="BJ116" s="165">
        <f t="shared" ca="1" si="59"/>
        <v>0</v>
      </c>
      <c r="BK116" s="165">
        <f t="shared" ca="1" si="59"/>
        <v>0</v>
      </c>
      <c r="BL116" s="165">
        <f t="shared" ca="1" si="59"/>
        <v>0</v>
      </c>
      <c r="BM116" s="165">
        <f t="shared" ca="1" si="59"/>
        <v>0</v>
      </c>
      <c r="BN116" s="165">
        <f t="shared" ca="1" si="59"/>
        <v>0</v>
      </c>
      <c r="BO116" s="165">
        <f t="shared" ca="1" si="59"/>
        <v>0</v>
      </c>
      <c r="BP116" s="165">
        <f t="shared" ca="1" si="59"/>
        <v>0</v>
      </c>
      <c r="BQ116" s="165">
        <f t="shared" ca="1" si="59"/>
        <v>0</v>
      </c>
      <c r="BR116" s="165">
        <f t="shared" ca="1" si="59"/>
        <v>0</v>
      </c>
      <c r="BS116" s="165">
        <f t="shared" ca="1" si="59"/>
        <v>0</v>
      </c>
      <c r="BT116" s="165">
        <f t="shared" ca="1" si="59"/>
        <v>0</v>
      </c>
      <c r="BU116" s="165">
        <f t="shared" ca="1" si="59"/>
        <v>0</v>
      </c>
      <c r="BV116" s="165">
        <f t="shared" ca="1" si="59"/>
        <v>0</v>
      </c>
      <c r="BW116" s="165">
        <f t="shared" ca="1" si="59"/>
        <v>0</v>
      </c>
    </row>
    <row r="117" spans="1:75" ht="12.75" x14ac:dyDescent="0.2">
      <c r="A117" s="60" t="s">
        <v>359</v>
      </c>
      <c r="B117" s="238"/>
      <c r="C117" s="212"/>
      <c r="D117" s="226">
        <f t="shared" ref="D117:BW117" ca="1" si="60">SUM(D114:D116)</f>
        <v>0</v>
      </c>
      <c r="E117" s="226">
        <f t="shared" ca="1" si="60"/>
        <v>0</v>
      </c>
      <c r="F117" s="226">
        <f t="shared" ca="1" si="60"/>
        <v>0</v>
      </c>
      <c r="G117" s="226">
        <f t="shared" ca="1" si="60"/>
        <v>0</v>
      </c>
      <c r="H117" s="226">
        <f t="shared" ca="1" si="60"/>
        <v>0</v>
      </c>
      <c r="I117" s="226">
        <f t="shared" ca="1" si="60"/>
        <v>0</v>
      </c>
      <c r="J117" s="226">
        <f t="shared" ca="1" si="60"/>
        <v>0</v>
      </c>
      <c r="K117" s="226">
        <f t="shared" ca="1" si="60"/>
        <v>0</v>
      </c>
      <c r="L117" s="226">
        <f t="shared" ca="1" si="60"/>
        <v>0</v>
      </c>
      <c r="M117" s="226">
        <f t="shared" ca="1" si="60"/>
        <v>0</v>
      </c>
      <c r="N117" s="226">
        <f t="shared" ca="1" si="60"/>
        <v>0</v>
      </c>
      <c r="O117" s="226">
        <f t="shared" ca="1" si="60"/>
        <v>0</v>
      </c>
      <c r="P117" s="226">
        <f t="shared" ca="1" si="60"/>
        <v>0</v>
      </c>
      <c r="Q117" s="226">
        <f t="shared" ca="1" si="60"/>
        <v>0</v>
      </c>
      <c r="R117" s="226">
        <f t="shared" ca="1" si="60"/>
        <v>0</v>
      </c>
      <c r="S117" s="226">
        <f t="shared" ca="1" si="60"/>
        <v>0</v>
      </c>
      <c r="T117" s="226">
        <f t="shared" ca="1" si="60"/>
        <v>0</v>
      </c>
      <c r="U117" s="226">
        <f t="shared" ca="1" si="60"/>
        <v>0</v>
      </c>
      <c r="V117" s="226">
        <f t="shared" ca="1" si="60"/>
        <v>0</v>
      </c>
      <c r="W117" s="226">
        <f t="shared" ca="1" si="60"/>
        <v>0</v>
      </c>
      <c r="X117" s="226">
        <f t="shared" ca="1" si="60"/>
        <v>0</v>
      </c>
      <c r="Y117" s="226">
        <f t="shared" ca="1" si="60"/>
        <v>0</v>
      </c>
      <c r="Z117" s="226">
        <f t="shared" ca="1" si="60"/>
        <v>0</v>
      </c>
      <c r="AA117" s="226">
        <f t="shared" ca="1" si="60"/>
        <v>0</v>
      </c>
      <c r="AB117" s="226">
        <f t="shared" ca="1" si="60"/>
        <v>0</v>
      </c>
      <c r="AC117" s="226">
        <f t="shared" ca="1" si="60"/>
        <v>0</v>
      </c>
      <c r="AD117" s="226">
        <f t="shared" ca="1" si="60"/>
        <v>0</v>
      </c>
      <c r="AE117" s="226">
        <f t="shared" ca="1" si="60"/>
        <v>0</v>
      </c>
      <c r="AF117" s="226">
        <f t="shared" ca="1" si="60"/>
        <v>0</v>
      </c>
      <c r="AG117" s="226">
        <f t="shared" ca="1" si="60"/>
        <v>0</v>
      </c>
      <c r="AH117" s="226">
        <f t="shared" ca="1" si="60"/>
        <v>0</v>
      </c>
      <c r="AI117" s="226">
        <f t="shared" ca="1" si="60"/>
        <v>0</v>
      </c>
      <c r="AJ117" s="226">
        <f t="shared" ca="1" si="60"/>
        <v>0</v>
      </c>
      <c r="AK117" s="226">
        <f t="shared" ca="1" si="60"/>
        <v>0</v>
      </c>
      <c r="AL117" s="226">
        <f t="shared" ca="1" si="60"/>
        <v>0</v>
      </c>
      <c r="AM117" s="226">
        <f t="shared" ca="1" si="60"/>
        <v>0</v>
      </c>
      <c r="AN117" s="226">
        <f t="shared" ca="1" si="60"/>
        <v>0</v>
      </c>
      <c r="AO117" s="226">
        <f t="shared" ca="1" si="60"/>
        <v>0</v>
      </c>
      <c r="AP117" s="226">
        <f t="shared" ca="1" si="60"/>
        <v>0</v>
      </c>
      <c r="AQ117" s="226">
        <f t="shared" ca="1" si="60"/>
        <v>0</v>
      </c>
      <c r="AR117" s="226">
        <f t="shared" ca="1" si="60"/>
        <v>0</v>
      </c>
      <c r="AS117" s="226">
        <f t="shared" ca="1" si="60"/>
        <v>0</v>
      </c>
      <c r="AT117" s="226">
        <f t="shared" ca="1" si="60"/>
        <v>0</v>
      </c>
      <c r="AU117" s="226">
        <f t="shared" ca="1" si="60"/>
        <v>0</v>
      </c>
      <c r="AV117" s="226">
        <f t="shared" ca="1" si="60"/>
        <v>0</v>
      </c>
      <c r="AW117" s="226">
        <f t="shared" ca="1" si="60"/>
        <v>0</v>
      </c>
      <c r="AX117" s="226">
        <f t="shared" ca="1" si="60"/>
        <v>0</v>
      </c>
      <c r="AY117" s="226">
        <f t="shared" ca="1" si="60"/>
        <v>0</v>
      </c>
      <c r="AZ117" s="226">
        <f t="shared" ca="1" si="60"/>
        <v>0</v>
      </c>
      <c r="BA117" s="226">
        <f t="shared" ca="1" si="60"/>
        <v>0</v>
      </c>
      <c r="BB117" s="226">
        <f t="shared" ca="1" si="60"/>
        <v>0</v>
      </c>
      <c r="BC117" s="226">
        <f t="shared" ca="1" si="60"/>
        <v>0</v>
      </c>
      <c r="BD117" s="226">
        <f t="shared" ca="1" si="60"/>
        <v>0</v>
      </c>
      <c r="BE117" s="226">
        <f t="shared" ca="1" si="60"/>
        <v>0</v>
      </c>
      <c r="BF117" s="226">
        <f t="shared" ca="1" si="60"/>
        <v>0</v>
      </c>
      <c r="BG117" s="226">
        <f t="shared" ca="1" si="60"/>
        <v>0</v>
      </c>
      <c r="BH117" s="226">
        <f t="shared" ca="1" si="60"/>
        <v>0</v>
      </c>
      <c r="BI117" s="226">
        <f t="shared" ca="1" si="60"/>
        <v>0</v>
      </c>
      <c r="BJ117" s="226">
        <f t="shared" ca="1" si="60"/>
        <v>0</v>
      </c>
      <c r="BK117" s="226">
        <f t="shared" ca="1" si="60"/>
        <v>0</v>
      </c>
      <c r="BL117" s="226">
        <f t="shared" ca="1" si="60"/>
        <v>0</v>
      </c>
      <c r="BM117" s="226">
        <f t="shared" ca="1" si="60"/>
        <v>0</v>
      </c>
      <c r="BN117" s="226">
        <f t="shared" ca="1" si="60"/>
        <v>0</v>
      </c>
      <c r="BO117" s="226">
        <f t="shared" ca="1" si="60"/>
        <v>0</v>
      </c>
      <c r="BP117" s="226">
        <f t="shared" ca="1" si="60"/>
        <v>0</v>
      </c>
      <c r="BQ117" s="226">
        <f t="shared" ca="1" si="60"/>
        <v>0</v>
      </c>
      <c r="BR117" s="226">
        <f t="shared" ca="1" si="60"/>
        <v>0</v>
      </c>
      <c r="BS117" s="226">
        <f t="shared" ca="1" si="60"/>
        <v>0</v>
      </c>
      <c r="BT117" s="226">
        <f t="shared" ca="1" si="60"/>
        <v>0</v>
      </c>
      <c r="BU117" s="226">
        <f t="shared" ca="1" si="60"/>
        <v>0</v>
      </c>
      <c r="BV117" s="226">
        <f t="shared" ca="1" si="60"/>
        <v>0</v>
      </c>
      <c r="BW117" s="226">
        <f t="shared" ca="1" si="60"/>
        <v>0</v>
      </c>
    </row>
    <row r="118" spans="1:75" ht="12.75" x14ac:dyDescent="0.2">
      <c r="A118" s="69" t="s">
        <v>244</v>
      </c>
      <c r="B118" s="221"/>
      <c r="D118" s="115">
        <f t="array" aca="1" ref="D118" ca="1">INDEX(INDIRECT("BS_"&amp;TEXT(D$1,"mmm")&amp;"_"&amp;TEXT(D$1,"yyyy")),MATCH(TRIM($A117),BS_Accounts,0))-D117</f>
        <v>0</v>
      </c>
      <c r="E118" s="115">
        <f t="array" aca="1" ref="E118" ca="1">INDEX(INDIRECT("BS_"&amp;TEXT(E$1,"mmm")&amp;"_"&amp;TEXT(E$1,"yyyy")),MATCH(TRIM($A117),BS_Accounts,0))-E117</f>
        <v>0</v>
      </c>
      <c r="F118" s="115">
        <f t="array" aca="1" ref="F118" ca="1">INDEX(INDIRECT("BS_"&amp;TEXT(F$1,"mmm")&amp;"_"&amp;TEXT(F$1,"yyyy")),MATCH(TRIM($A117),BS_Accounts,0))-F117</f>
        <v>0</v>
      </c>
      <c r="G118" s="115">
        <f t="array" aca="1" ref="G118" ca="1">INDEX(INDIRECT("BS_"&amp;TEXT(G$1,"mmm")&amp;"_"&amp;TEXT(G$1,"yyyy")),MATCH(TRIM($A117),BS_Accounts,0))-G117</f>
        <v>0</v>
      </c>
      <c r="H118" s="115">
        <f t="array" aca="1" ref="H118" ca="1">INDEX(INDIRECT("BS_"&amp;TEXT(H$1,"mmm")&amp;"_"&amp;TEXT(H$1,"yyyy")),MATCH(TRIM($A117),BS_Accounts,0))-H117</f>
        <v>0</v>
      </c>
      <c r="I118" s="115">
        <f t="array" aca="1" ref="I118" ca="1">INDEX(INDIRECT("BS_"&amp;TEXT(I$1,"mmm")&amp;"_"&amp;TEXT(I$1,"yyyy")),MATCH(TRIM($A117),BS_Accounts,0))-I117</f>
        <v>0</v>
      </c>
      <c r="J118" s="115">
        <f t="array" aca="1" ref="J118" ca="1">INDEX(INDIRECT("BS_"&amp;TEXT(J$1,"mmm")&amp;"_"&amp;TEXT(J$1,"yyyy")),MATCH(TRIM($A117),BS_Accounts,0))-J117</f>
        <v>0</v>
      </c>
      <c r="K118" s="115">
        <f t="array" aca="1" ref="K118" ca="1">INDEX(INDIRECT("BS_"&amp;TEXT(K$1,"mmm")&amp;"_"&amp;TEXT(K$1,"yyyy")),MATCH(TRIM($A117),BS_Accounts,0))-K117</f>
        <v>0</v>
      </c>
      <c r="L118" s="115">
        <f t="array" aca="1" ref="L118" ca="1">INDEX(INDIRECT("BS_"&amp;TEXT(L$1,"mmm")&amp;"_"&amp;TEXT(L$1,"yyyy")),MATCH(TRIM($A117),BS_Accounts,0))-L117</f>
        <v>0</v>
      </c>
      <c r="M118" s="115">
        <f t="array" aca="1" ref="M118" ca="1">INDEX(INDIRECT("BS_"&amp;TEXT(M$1,"mmm")&amp;"_"&amp;TEXT(M$1,"yyyy")),MATCH(TRIM($A117),BS_Accounts,0))-M117</f>
        <v>0</v>
      </c>
      <c r="N118" s="115">
        <f t="array" aca="1" ref="N118" ca="1">INDEX(INDIRECT("BS_"&amp;TEXT(N$1,"mmm")&amp;"_"&amp;TEXT(N$1,"yyyy")),MATCH(TRIM($A117),BS_Accounts,0))-N117</f>
        <v>0</v>
      </c>
      <c r="O118" s="115">
        <f t="array" aca="1" ref="O118" ca="1">INDEX(INDIRECT("BS_"&amp;TEXT(O$1,"mmm")&amp;"_"&amp;TEXT(O$1,"yyyy")),MATCH(TRIM($A117),BS_Accounts,0))-O117</f>
        <v>0</v>
      </c>
      <c r="P118" s="115">
        <f t="array" aca="1" ref="P118" ca="1">INDEX(INDIRECT("BS_"&amp;TEXT(P$1,"mmm")&amp;"_"&amp;TEXT(P$1,"yyyy")),MATCH(TRIM($A117),BS_Accounts,0))-P117</f>
        <v>0</v>
      </c>
      <c r="Q118" s="115">
        <f t="array" aca="1" ref="Q118" ca="1">INDEX(INDIRECT("BS_"&amp;TEXT(Q$1,"mmm")&amp;"_"&amp;TEXT(Q$1,"yyyy")),MATCH(TRIM($A117),BS_Accounts,0))-Q117</f>
        <v>0</v>
      </c>
      <c r="R118" s="115">
        <f t="array" aca="1" ref="R118" ca="1">INDEX(INDIRECT("BS_"&amp;TEXT(R$1,"mmm")&amp;"_"&amp;TEXT(R$1,"yyyy")),MATCH(TRIM($A117),BS_Accounts,0))-R117</f>
        <v>0</v>
      </c>
      <c r="S118" s="115">
        <f t="array" aca="1" ref="S118" ca="1">INDEX(INDIRECT("BS_"&amp;TEXT(S$1,"mmm")&amp;"_"&amp;TEXT(S$1,"yyyy")),MATCH(TRIM($A117),BS_Accounts,0))-S117</f>
        <v>0</v>
      </c>
      <c r="T118" s="115">
        <f t="array" aca="1" ref="T118" ca="1">INDEX(INDIRECT("BS_"&amp;TEXT(T$1,"mmm")&amp;"_"&amp;TEXT(T$1,"yyyy")),MATCH(TRIM($A117),BS_Accounts,0))-T117</f>
        <v>0</v>
      </c>
      <c r="U118" s="115">
        <f t="array" aca="1" ref="U118" ca="1">INDEX(INDIRECT("BS_"&amp;TEXT(U$1,"mmm")&amp;"_"&amp;TEXT(U$1,"yyyy")),MATCH(TRIM($A117),BS_Accounts,0))-U117</f>
        <v>0</v>
      </c>
      <c r="V118" s="115">
        <f t="array" aca="1" ref="V118" ca="1">INDEX(INDIRECT("BS_"&amp;TEXT(V$1,"mmm")&amp;"_"&amp;TEXT(V$1,"yyyy")),MATCH(TRIM($A117),BS_Accounts,0))-V117</f>
        <v>0</v>
      </c>
      <c r="W118" s="115">
        <f t="array" aca="1" ref="W118" ca="1">INDEX(INDIRECT("BS_"&amp;TEXT(W$1,"mmm")&amp;"_"&amp;TEXT(W$1,"yyyy")),MATCH(TRIM($A117),BS_Accounts,0))-W117</f>
        <v>0</v>
      </c>
      <c r="X118" s="115">
        <f t="array" aca="1" ref="X118" ca="1">INDEX(INDIRECT("BS_"&amp;TEXT(X$1,"mmm")&amp;"_"&amp;TEXT(X$1,"yyyy")),MATCH(TRIM($A117),BS_Accounts,0))-X117</f>
        <v>0</v>
      </c>
      <c r="Y118" s="115">
        <f t="array" aca="1" ref="Y118" ca="1">INDEX(INDIRECT("BS_"&amp;TEXT(Y$1,"mmm")&amp;"_"&amp;TEXT(Y$1,"yyyy")),MATCH(TRIM($A117),BS_Accounts,0))-Y117</f>
        <v>0</v>
      </c>
      <c r="Z118" s="115">
        <f t="array" aca="1" ref="Z118" ca="1">INDEX(INDIRECT("BS_"&amp;TEXT(Z$1,"mmm")&amp;"_"&amp;TEXT(Z$1,"yyyy")),MATCH(TRIM($A117),BS_Accounts,0))-Z117</f>
        <v>0</v>
      </c>
      <c r="AA118" s="115">
        <f t="array" aca="1" ref="AA118" ca="1">INDEX(INDIRECT("BS_"&amp;TEXT(AA$1,"mmm")&amp;"_"&amp;TEXT(AA$1,"yyyy")),MATCH(TRIM($A117),BS_Accounts,0))-AA117</f>
        <v>0</v>
      </c>
      <c r="AB118" s="115">
        <f t="array" aca="1" ref="AB118" ca="1">INDEX(INDIRECT("BS_"&amp;TEXT(AB$1,"mmm")&amp;"_"&amp;TEXT(AB$1,"yyyy")),MATCH(TRIM($A117),BS_Accounts,0))-AB117</f>
        <v>0</v>
      </c>
      <c r="AC118" s="115">
        <f t="array" aca="1" ref="AC118" ca="1">INDEX(INDIRECT("BS_"&amp;TEXT(AC$1,"mmm")&amp;"_"&amp;TEXT(AC$1,"yyyy")),MATCH(TRIM($A117),BS_Accounts,0))-AC117</f>
        <v>0</v>
      </c>
      <c r="AD118" s="115">
        <f t="array" aca="1" ref="AD118" ca="1">INDEX(INDIRECT("BS_"&amp;TEXT(AD$1,"mmm")&amp;"_"&amp;TEXT(AD$1,"yyyy")),MATCH(TRIM($A117),BS_Accounts,0))-AD117</f>
        <v>0</v>
      </c>
      <c r="AE118" s="115">
        <f t="array" aca="1" ref="AE118" ca="1">INDEX(INDIRECT("BS_"&amp;TEXT(AE$1,"mmm")&amp;"_"&amp;TEXT(AE$1,"yyyy")),MATCH(TRIM($A117),BS_Accounts,0))-AE117</f>
        <v>0</v>
      </c>
    </row>
    <row r="119" spans="1:75" ht="12.75" x14ac:dyDescent="0.2">
      <c r="A119" s="60" t="s">
        <v>360</v>
      </c>
      <c r="B119" s="238"/>
      <c r="C119" s="212"/>
      <c r="D119" s="213">
        <f t="shared" ref="D119:BW119" ca="1" si="61">SUM(D117,D111,D106)</f>
        <v>960680</v>
      </c>
      <c r="E119" s="213">
        <f t="shared" ca="1" si="61"/>
        <v>970330</v>
      </c>
      <c r="F119" s="213">
        <f t="shared" ca="1" si="61"/>
        <v>867374</v>
      </c>
      <c r="G119" s="213">
        <f t="shared" ca="1" si="61"/>
        <v>772779</v>
      </c>
      <c r="H119" s="213">
        <f t="shared" ca="1" si="61"/>
        <v>690714</v>
      </c>
      <c r="I119" s="213">
        <f t="shared" ca="1" si="61"/>
        <v>612582</v>
      </c>
      <c r="J119" s="213">
        <f t="shared" ca="1" si="61"/>
        <v>518537</v>
      </c>
      <c r="K119" s="213">
        <f t="shared" ca="1" si="61"/>
        <v>428771</v>
      </c>
      <c r="L119" s="213">
        <f t="shared" ca="1" si="61"/>
        <v>314326</v>
      </c>
      <c r="M119" s="213">
        <f t="shared" ca="1" si="61"/>
        <v>782445</v>
      </c>
      <c r="N119" s="213">
        <f t="shared" ca="1" si="61"/>
        <v>641848</v>
      </c>
      <c r="O119" s="213">
        <f t="shared" ca="1" si="61"/>
        <v>464654</v>
      </c>
      <c r="P119" s="213">
        <f t="shared" ca="1" si="61"/>
        <v>787530</v>
      </c>
      <c r="Q119" s="213">
        <f t="shared" ca="1" si="61"/>
        <v>597955</v>
      </c>
      <c r="R119" s="213">
        <f t="shared" ca="1" si="61"/>
        <v>413824</v>
      </c>
      <c r="S119" s="213">
        <f t="shared" ca="1" si="61"/>
        <v>284883</v>
      </c>
      <c r="T119" s="213">
        <f t="shared" ca="1" si="61"/>
        <v>433129</v>
      </c>
      <c r="U119" s="213">
        <f t="shared" ca="1" si="61"/>
        <v>310846</v>
      </c>
      <c r="V119" s="213">
        <f t="shared" ca="1" si="61"/>
        <v>208372</v>
      </c>
      <c r="W119" s="213">
        <f t="shared" ca="1" si="61"/>
        <v>125877</v>
      </c>
      <c r="X119" s="213">
        <f t="shared" ca="1" si="61"/>
        <v>65839</v>
      </c>
      <c r="Y119" s="213">
        <f t="shared" ca="1" si="61"/>
        <v>338519</v>
      </c>
      <c r="Z119" s="213">
        <f t="shared" ca="1" si="61"/>
        <v>319614</v>
      </c>
      <c r="AA119" s="213">
        <f t="shared" ca="1" si="61"/>
        <v>295403</v>
      </c>
      <c r="AB119" s="213">
        <f t="shared" ca="1" si="61"/>
        <v>281579</v>
      </c>
      <c r="AC119" s="213">
        <f t="shared" ca="1" si="61"/>
        <v>255410</v>
      </c>
      <c r="AD119" s="213">
        <f t="shared" ca="1" si="61"/>
        <v>263817.19</v>
      </c>
      <c r="AE119" s="213">
        <f t="shared" ca="1" si="61"/>
        <v>263700.19</v>
      </c>
      <c r="AF119" s="213">
        <f t="shared" ca="1" si="61"/>
        <v>335061.46284173644</v>
      </c>
      <c r="AG119" s="213">
        <f t="shared" ca="1" si="61"/>
        <v>377414.2534292441</v>
      </c>
      <c r="AH119" s="213">
        <f t="shared" ca="1" si="61"/>
        <v>401423.49884110288</v>
      </c>
      <c r="AI119" s="213">
        <f t="shared" ca="1" si="61"/>
        <v>422660.24844425236</v>
      </c>
      <c r="AJ119" s="213">
        <f t="shared" ca="1" si="61"/>
        <v>413747.07480542426</v>
      </c>
      <c r="AK119" s="213">
        <f t="shared" ca="1" si="61"/>
        <v>396032.05444101064</v>
      </c>
      <c r="AL119" s="213">
        <f t="shared" ca="1" si="61"/>
        <v>368862.94949049695</v>
      </c>
      <c r="AM119" s="213">
        <f t="shared" ca="1" si="61"/>
        <v>332994.77080984839</v>
      </c>
      <c r="AN119" s="213">
        <f t="shared" ca="1" si="61"/>
        <v>288133.26614594279</v>
      </c>
      <c r="AO119" s="213">
        <f t="shared" ca="1" si="61"/>
        <v>235111.28424345847</v>
      </c>
      <c r="AP119" s="213">
        <f t="shared" ca="1" si="61"/>
        <v>173581.22373588389</v>
      </c>
      <c r="AQ119" s="213">
        <f t="shared" ca="1" si="61"/>
        <v>104349.82396505756</v>
      </c>
      <c r="AR119" s="213">
        <f t="shared" ca="1" si="61"/>
        <v>28198.258295218868</v>
      </c>
      <c r="AS119" s="213">
        <f t="shared" ca="1" si="61"/>
        <v>-55245.897299073113</v>
      </c>
      <c r="AT119" s="213">
        <f t="shared" ca="1" si="61"/>
        <v>-145218.11376736156</v>
      </c>
      <c r="AU119" s="213">
        <f t="shared" ca="1" si="61"/>
        <v>-242104.28885950817</v>
      </c>
      <c r="AV119" s="213">
        <f t="shared" ca="1" si="61"/>
        <v>-345158.31340721046</v>
      </c>
      <c r="AW119" s="213">
        <f t="shared" ca="1" si="61"/>
        <v>-453653.60902998346</v>
      </c>
      <c r="AX119" s="213">
        <f t="shared" ca="1" si="61"/>
        <v>-568012.47719820612</v>
      </c>
      <c r="AY119" s="213">
        <f t="shared" ca="1" si="61"/>
        <v>-687524.31347538321</v>
      </c>
      <c r="AZ119" s="213">
        <f t="shared" ca="1" si="61"/>
        <v>-769655.0491313301</v>
      </c>
      <c r="BA119" s="213">
        <f t="shared" ca="1" si="61"/>
        <v>-841325.34840936668</v>
      </c>
      <c r="BB119" s="213">
        <f t="shared" ca="1" si="61"/>
        <v>-899739.73196328816</v>
      </c>
      <c r="BC119" s="213">
        <f t="shared" ca="1" si="61"/>
        <v>-941350.24332912616</v>
      </c>
      <c r="BD119" s="213">
        <f t="shared" ca="1" si="61"/>
        <v>-961877.57182339474</v>
      </c>
      <c r="BE119" s="213">
        <f t="shared" ca="1" si="61"/>
        <v>-965556.51084607979</v>
      </c>
      <c r="BF119" s="213">
        <f t="shared" ca="1" si="61"/>
        <v>-950695.83913289092</v>
      </c>
      <c r="BG119" s="213">
        <f t="shared" ca="1" si="61"/>
        <v>-915892.07572653797</v>
      </c>
      <c r="BH119" s="213">
        <f t="shared" ca="1" si="61"/>
        <v>-860301.1552553348</v>
      </c>
      <c r="BI119" s="213">
        <f t="shared" ca="1" si="61"/>
        <v>-783975.54470117914</v>
      </c>
      <c r="BJ119" s="213">
        <f t="shared" ca="1" si="61"/>
        <v>-685874.57817510166</v>
      </c>
      <c r="BK119" s="213">
        <f t="shared" ca="1" si="61"/>
        <v>-565126.74125754531</v>
      </c>
      <c r="BL119" s="213">
        <f t="shared" ca="1" si="61"/>
        <v>-420998.67358683504</v>
      </c>
      <c r="BM119" s="213">
        <f t="shared" ca="1" si="61"/>
        <v>-252785.11528127454</v>
      </c>
      <c r="BN119" s="213">
        <f t="shared" ca="1" si="61"/>
        <v>-59582.0556427103</v>
      </c>
      <c r="BO119" s="213">
        <f t="shared" ca="1" si="61"/>
        <v>159479.6872010231</v>
      </c>
      <c r="BP119" s="213" t="e">
        <f t="shared" ca="1" si="61"/>
        <v>#N/A</v>
      </c>
      <c r="BQ119" s="213" t="e">
        <f t="shared" ca="1" si="61"/>
        <v>#N/A</v>
      </c>
      <c r="BR119" s="213" t="e">
        <f t="shared" ca="1" si="61"/>
        <v>#N/A</v>
      </c>
      <c r="BS119" s="213" t="e">
        <f t="shared" ca="1" si="61"/>
        <v>#N/A</v>
      </c>
      <c r="BT119" s="213" t="e">
        <f t="shared" ca="1" si="61"/>
        <v>#N/A</v>
      </c>
      <c r="BU119" s="213" t="e">
        <f t="shared" ca="1" si="61"/>
        <v>#N/A</v>
      </c>
      <c r="BV119" s="213" t="e">
        <f t="shared" ca="1" si="61"/>
        <v>#N/A</v>
      </c>
      <c r="BW119" s="213" t="e">
        <f t="shared" ca="1" si="61"/>
        <v>#N/A</v>
      </c>
    </row>
    <row r="120" spans="1:75" ht="12.75" x14ac:dyDescent="0.2">
      <c r="A120" s="69" t="s">
        <v>244</v>
      </c>
      <c r="B120" s="221"/>
      <c r="D120" s="115">
        <f t="array" aca="1" ref="D120" ca="1">INDEX(INDIRECT("BS_"&amp;TEXT(D$1,"mmm")&amp;"_"&amp;TEXT(D$1,"yyyy")),MATCH(TRIM($A119),BS_Accounts,0))-D119</f>
        <v>0</v>
      </c>
      <c r="E120" s="115">
        <f t="array" aca="1" ref="E120" ca="1">INDEX(INDIRECT("BS_"&amp;TEXT(E$1,"mmm")&amp;"_"&amp;TEXT(E$1,"yyyy")),MATCH(TRIM($A119),BS_Accounts,0))-E119</f>
        <v>0</v>
      </c>
      <c r="F120" s="115">
        <f t="array" aca="1" ref="F120" ca="1">INDEX(INDIRECT("BS_"&amp;TEXT(F$1,"mmm")&amp;"_"&amp;TEXT(F$1,"yyyy")),MATCH(TRIM($A119),BS_Accounts,0))-F119</f>
        <v>0</v>
      </c>
      <c r="G120" s="115">
        <f t="array" aca="1" ref="G120" ca="1">INDEX(INDIRECT("BS_"&amp;TEXT(G$1,"mmm")&amp;"_"&amp;TEXT(G$1,"yyyy")),MATCH(TRIM($A119),BS_Accounts,0))-G119</f>
        <v>0</v>
      </c>
      <c r="H120" s="115">
        <f t="array" aca="1" ref="H120" ca="1">INDEX(INDIRECT("BS_"&amp;TEXT(H$1,"mmm")&amp;"_"&amp;TEXT(H$1,"yyyy")),MATCH(TRIM($A119),BS_Accounts,0))-H119</f>
        <v>0</v>
      </c>
      <c r="I120" s="115">
        <f t="array" aca="1" ref="I120" ca="1">INDEX(INDIRECT("BS_"&amp;TEXT(I$1,"mmm")&amp;"_"&amp;TEXT(I$1,"yyyy")),MATCH(TRIM($A119),BS_Accounts,0))-I119</f>
        <v>0</v>
      </c>
      <c r="J120" s="115">
        <f t="array" aca="1" ref="J120" ca="1">INDEX(INDIRECT("BS_"&amp;TEXT(J$1,"mmm")&amp;"_"&amp;TEXT(J$1,"yyyy")),MATCH(TRIM($A119),BS_Accounts,0))-J119</f>
        <v>0</v>
      </c>
      <c r="K120" s="115">
        <f t="array" aca="1" ref="K120" ca="1">INDEX(INDIRECT("BS_"&amp;TEXT(K$1,"mmm")&amp;"_"&amp;TEXT(K$1,"yyyy")),MATCH(TRIM($A119),BS_Accounts,0))-K119</f>
        <v>0</v>
      </c>
      <c r="L120" s="115">
        <f t="array" aca="1" ref="L120" ca="1">INDEX(INDIRECT("BS_"&amp;TEXT(L$1,"mmm")&amp;"_"&amp;TEXT(L$1,"yyyy")),MATCH(TRIM($A119),BS_Accounts,0))-L119</f>
        <v>0</v>
      </c>
      <c r="M120" s="115">
        <f t="array" aca="1" ref="M120" ca="1">INDEX(INDIRECT("BS_"&amp;TEXT(M$1,"mmm")&amp;"_"&amp;TEXT(M$1,"yyyy")),MATCH(TRIM($A119),BS_Accounts,0))-M119</f>
        <v>0</v>
      </c>
      <c r="N120" s="115">
        <f t="array" aca="1" ref="N120" ca="1">INDEX(INDIRECT("BS_"&amp;TEXT(N$1,"mmm")&amp;"_"&amp;TEXT(N$1,"yyyy")),MATCH(TRIM($A119),BS_Accounts,0))-N119</f>
        <v>0</v>
      </c>
      <c r="O120" s="115">
        <f t="array" aca="1" ref="O120" ca="1">INDEX(INDIRECT("BS_"&amp;TEXT(O$1,"mmm")&amp;"_"&amp;TEXT(O$1,"yyyy")),MATCH(TRIM($A119),BS_Accounts,0))-O119</f>
        <v>0</v>
      </c>
      <c r="P120" s="115">
        <f t="array" aca="1" ref="P120" ca="1">INDEX(INDIRECT("BS_"&amp;TEXT(P$1,"mmm")&amp;"_"&amp;TEXT(P$1,"yyyy")),MATCH(TRIM($A119),BS_Accounts,0))-P119</f>
        <v>0</v>
      </c>
      <c r="Q120" s="115">
        <f t="array" aca="1" ref="Q120" ca="1">INDEX(INDIRECT("BS_"&amp;TEXT(Q$1,"mmm")&amp;"_"&amp;TEXT(Q$1,"yyyy")),MATCH(TRIM($A119),BS_Accounts,0))-Q119</f>
        <v>0</v>
      </c>
      <c r="R120" s="115">
        <f t="array" aca="1" ref="R120" ca="1">INDEX(INDIRECT("BS_"&amp;TEXT(R$1,"mmm")&amp;"_"&amp;TEXT(R$1,"yyyy")),MATCH(TRIM($A119),BS_Accounts,0))-R119</f>
        <v>0</v>
      </c>
      <c r="S120" s="115">
        <f t="array" aca="1" ref="S120" ca="1">INDEX(INDIRECT("BS_"&amp;TEXT(S$1,"mmm")&amp;"_"&amp;TEXT(S$1,"yyyy")),MATCH(TRIM($A119),BS_Accounts,0))-S119</f>
        <v>0</v>
      </c>
      <c r="T120" s="115">
        <f t="array" aca="1" ref="T120" ca="1">INDEX(INDIRECT("BS_"&amp;TEXT(T$1,"mmm")&amp;"_"&amp;TEXT(T$1,"yyyy")),MATCH(TRIM($A119),BS_Accounts,0))-T119</f>
        <v>0</v>
      </c>
      <c r="U120" s="115">
        <f t="array" aca="1" ref="U120" ca="1">INDEX(INDIRECT("BS_"&amp;TEXT(U$1,"mmm")&amp;"_"&amp;TEXT(U$1,"yyyy")),MATCH(TRIM($A119),BS_Accounts,0))-U119</f>
        <v>0</v>
      </c>
      <c r="V120" s="115">
        <f t="array" aca="1" ref="V120" ca="1">INDEX(INDIRECT("BS_"&amp;TEXT(V$1,"mmm")&amp;"_"&amp;TEXT(V$1,"yyyy")),MATCH(TRIM($A119),BS_Accounts,0))-V119</f>
        <v>0</v>
      </c>
      <c r="W120" s="115">
        <f t="array" aca="1" ref="W120" ca="1">INDEX(INDIRECT("BS_"&amp;TEXT(W$1,"mmm")&amp;"_"&amp;TEXT(W$1,"yyyy")),MATCH(TRIM($A119),BS_Accounts,0))-W119</f>
        <v>0</v>
      </c>
      <c r="X120" s="115">
        <f t="array" aca="1" ref="X120" ca="1">INDEX(INDIRECT("BS_"&amp;TEXT(X$1,"mmm")&amp;"_"&amp;TEXT(X$1,"yyyy")),MATCH(TRIM($A119),BS_Accounts,0))-X119</f>
        <v>0</v>
      </c>
      <c r="Y120" s="115">
        <f t="array" aca="1" ref="Y120" ca="1">INDEX(INDIRECT("BS_"&amp;TEXT(Y$1,"mmm")&amp;"_"&amp;TEXT(Y$1,"yyyy")),MATCH(TRIM($A119),BS_Accounts,0))-Y119</f>
        <v>0</v>
      </c>
      <c r="Z120" s="115">
        <f t="array" aca="1" ref="Z120" ca="1">INDEX(INDIRECT("BS_"&amp;TEXT(Z$1,"mmm")&amp;"_"&amp;TEXT(Z$1,"yyyy")),MATCH(TRIM($A119),BS_Accounts,0))-Z119</f>
        <v>0</v>
      </c>
      <c r="AA120" s="115">
        <f t="array" aca="1" ref="AA120" ca="1">INDEX(INDIRECT("BS_"&amp;TEXT(AA$1,"mmm")&amp;"_"&amp;TEXT(AA$1,"yyyy")),MATCH(TRIM($A119),BS_Accounts,0))-AA119</f>
        <v>0</v>
      </c>
      <c r="AB120" s="115">
        <f t="array" aca="1" ref="AB120" ca="1">INDEX(INDIRECT("BS_"&amp;TEXT(AB$1,"mmm")&amp;"_"&amp;TEXT(AB$1,"yyyy")),MATCH(TRIM($A119),BS_Accounts,0))-AB119</f>
        <v>0</v>
      </c>
      <c r="AC120" s="115">
        <f t="array" aca="1" ref="AC120" ca="1">INDEX(INDIRECT("BS_"&amp;TEXT(AC$1,"mmm")&amp;"_"&amp;TEXT(AC$1,"yyyy")),MATCH(TRIM($A119),BS_Accounts,0))-AC119</f>
        <v>0</v>
      </c>
      <c r="AD120" s="115">
        <f t="array" aca="1" ref="AD120" ca="1">INDEX(INDIRECT("BS_"&amp;TEXT(AD$1,"mmm")&amp;"_"&amp;TEXT(AD$1,"yyyy")),MATCH(TRIM($A119),BS_Accounts,0))-AD119</f>
        <v>0</v>
      </c>
      <c r="AE120" s="115">
        <f t="array" aca="1" ref="AE120" ca="1">INDEX(INDIRECT("BS_"&amp;TEXT(AE$1,"mmm")&amp;"_"&amp;TEXT(AE$1,"yyyy")),MATCH(TRIM($A119),BS_Accounts,0))-AE119</f>
        <v>0</v>
      </c>
    </row>
    <row r="121" spans="1:75" ht="12.75" x14ac:dyDescent="0.2">
      <c r="A121" s="23" t="s">
        <v>361</v>
      </c>
      <c r="B121" s="221"/>
    </row>
    <row r="122" spans="1:75" ht="12.75" x14ac:dyDescent="0.2">
      <c r="A122" s="23" t="s">
        <v>362</v>
      </c>
      <c r="B122" s="221"/>
    </row>
    <row r="123" spans="1:75" ht="12.75" x14ac:dyDescent="0.2">
      <c r="A123" s="23" t="s">
        <v>363</v>
      </c>
      <c r="B123" s="221"/>
      <c r="D123" s="115">
        <f t="array" aca="1" ref="D123" ca="1">INDEX(INDIRECT("BS_"&amp;TEXT(D$1,"mmm")&amp;"_"&amp;TEXT(D$1,"yyyy")),MATCH(TRIM($A123),BS_Accounts,0))</f>
        <v>0</v>
      </c>
      <c r="E123" s="115">
        <f t="array" aca="1" ref="E123" ca="1">INDEX(INDIRECT("BS_"&amp;TEXT(E$1,"mmm")&amp;"_"&amp;TEXT(E$1,"yyyy")),MATCH(TRIM($A123),BS_Accounts,0))</f>
        <v>0</v>
      </c>
      <c r="F123" s="115">
        <f t="array" aca="1" ref="F123" ca="1">INDEX(INDIRECT("BS_"&amp;TEXT(F$1,"mmm")&amp;"_"&amp;TEXT(F$1,"yyyy")),MATCH(TRIM($A123),BS_Accounts,0))</f>
        <v>0</v>
      </c>
      <c r="G123" s="115">
        <f t="array" aca="1" ref="G123" ca="1">INDEX(INDIRECT("BS_"&amp;TEXT(G$1,"mmm")&amp;"_"&amp;TEXT(G$1,"yyyy")),MATCH(TRIM($A123),BS_Accounts,0))</f>
        <v>0</v>
      </c>
      <c r="H123" s="115">
        <f t="array" aca="1" ref="H123" ca="1">INDEX(INDIRECT("BS_"&amp;TEXT(H$1,"mmm")&amp;"_"&amp;TEXT(H$1,"yyyy")),MATCH(TRIM($A123),BS_Accounts,0))</f>
        <v>0</v>
      </c>
      <c r="I123" s="115">
        <f t="array" aca="1" ref="I123" ca="1">INDEX(INDIRECT("BS_"&amp;TEXT(I$1,"mmm")&amp;"_"&amp;TEXT(I$1,"yyyy")),MATCH(TRIM($A123),BS_Accounts,0))</f>
        <v>0</v>
      </c>
      <c r="J123" s="115">
        <f t="array" aca="1" ref="J123" ca="1">INDEX(INDIRECT("BS_"&amp;TEXT(J$1,"mmm")&amp;"_"&amp;TEXT(J$1,"yyyy")),MATCH(TRIM($A123),BS_Accounts,0))</f>
        <v>0</v>
      </c>
      <c r="K123" s="115">
        <f t="array" aca="1" ref="K123" ca="1">INDEX(INDIRECT("BS_"&amp;TEXT(K$1,"mmm")&amp;"_"&amp;TEXT(K$1,"yyyy")),MATCH(TRIM($A123),BS_Accounts,0))</f>
        <v>0</v>
      </c>
      <c r="L123" s="115">
        <f t="array" aca="1" ref="L123" ca="1">INDEX(INDIRECT("BS_"&amp;TEXT(L$1,"mmm")&amp;"_"&amp;TEXT(L$1,"yyyy")),MATCH(TRIM($A123),BS_Accounts,0))</f>
        <v>0</v>
      </c>
      <c r="M123" s="115">
        <f t="array" aca="1" ref="M123" ca="1">INDEX(INDIRECT("BS_"&amp;TEXT(M$1,"mmm")&amp;"_"&amp;TEXT(M$1,"yyyy")),MATCH(TRIM($A123),BS_Accounts,0))</f>
        <v>0</v>
      </c>
      <c r="N123" s="115">
        <f t="array" aca="1" ref="N123" ca="1">INDEX(INDIRECT("BS_"&amp;TEXT(N$1,"mmm")&amp;"_"&amp;TEXT(N$1,"yyyy")),MATCH(TRIM($A123),BS_Accounts,0))</f>
        <v>0</v>
      </c>
      <c r="O123" s="115">
        <f t="array" aca="1" ref="O123" ca="1">INDEX(INDIRECT("BS_"&amp;TEXT(O$1,"mmm")&amp;"_"&amp;TEXT(O$1,"yyyy")),MATCH(TRIM($A123),BS_Accounts,0))</f>
        <v>0</v>
      </c>
      <c r="P123" s="115">
        <f t="array" aca="1" ref="P123" ca="1">INDEX(INDIRECT("BS_"&amp;TEXT(P$1,"mmm")&amp;"_"&amp;TEXT(P$1,"yyyy")),MATCH(TRIM($A123),BS_Accounts,0))</f>
        <v>0</v>
      </c>
      <c r="Q123" s="115">
        <f t="array" aca="1" ref="Q123" ca="1">INDEX(INDIRECT("BS_"&amp;TEXT(Q$1,"mmm")&amp;"_"&amp;TEXT(Q$1,"yyyy")),MATCH(TRIM($A123),BS_Accounts,0))</f>
        <v>0</v>
      </c>
      <c r="R123" s="115">
        <f t="array" aca="1" ref="R123" ca="1">INDEX(INDIRECT("BS_"&amp;TEXT(R$1,"mmm")&amp;"_"&amp;TEXT(R$1,"yyyy")),MATCH(TRIM($A123),BS_Accounts,0))</f>
        <v>0</v>
      </c>
      <c r="S123" s="115">
        <f t="array" aca="1" ref="S123" ca="1">INDEX(INDIRECT("BS_"&amp;TEXT(S$1,"mmm")&amp;"_"&amp;TEXT(S$1,"yyyy")),MATCH(TRIM($A123),BS_Accounts,0))</f>
        <v>0</v>
      </c>
      <c r="T123" s="115">
        <f t="array" aca="1" ref="T123" ca="1">INDEX(INDIRECT("BS_"&amp;TEXT(T$1,"mmm")&amp;"_"&amp;TEXT(T$1,"yyyy")),MATCH(TRIM($A123),BS_Accounts,0))</f>
        <v>0</v>
      </c>
      <c r="U123" s="115">
        <f t="array" aca="1" ref="U123" ca="1">INDEX(INDIRECT("BS_"&amp;TEXT(U$1,"mmm")&amp;"_"&amp;TEXT(U$1,"yyyy")),MATCH(TRIM($A123),BS_Accounts,0))</f>
        <v>0</v>
      </c>
      <c r="V123" s="115">
        <f t="array" aca="1" ref="V123" ca="1">INDEX(INDIRECT("BS_"&amp;TEXT(V$1,"mmm")&amp;"_"&amp;TEXT(V$1,"yyyy")),MATCH(TRIM($A123),BS_Accounts,0))</f>
        <v>0</v>
      </c>
      <c r="W123" s="115">
        <f t="array" aca="1" ref="W123" ca="1">INDEX(INDIRECT("BS_"&amp;TEXT(W$1,"mmm")&amp;"_"&amp;TEXT(W$1,"yyyy")),MATCH(TRIM($A123),BS_Accounts,0))</f>
        <v>0</v>
      </c>
      <c r="X123" s="115">
        <f t="array" aca="1" ref="X123" ca="1">INDEX(INDIRECT("BS_"&amp;TEXT(X$1,"mmm")&amp;"_"&amp;TEXT(X$1,"yyyy")),MATCH(TRIM($A123),BS_Accounts,0))</f>
        <v>0</v>
      </c>
      <c r="Y123" s="115">
        <f t="array" aca="1" ref="Y123" ca="1">INDEX(INDIRECT("BS_"&amp;TEXT(Y$1,"mmm")&amp;"_"&amp;TEXT(Y$1,"yyyy")),MATCH(TRIM($A123),BS_Accounts,0))</f>
        <v>0</v>
      </c>
      <c r="Z123" s="115">
        <f t="array" aca="1" ref="Z123" ca="1">INDEX(INDIRECT("BS_"&amp;TEXT(Z$1,"mmm")&amp;"_"&amp;TEXT(Z$1,"yyyy")),MATCH(TRIM($A123),BS_Accounts,0))</f>
        <v>0</v>
      </c>
      <c r="AA123" s="115">
        <f t="array" aca="1" ref="AA123" ca="1">INDEX(INDIRECT("BS_"&amp;TEXT(AA$1,"mmm")&amp;"_"&amp;TEXT(AA$1,"yyyy")),MATCH(TRIM($A123),BS_Accounts,0))</f>
        <v>0</v>
      </c>
      <c r="AB123" s="115">
        <f t="array" aca="1" ref="AB123" ca="1">INDEX(INDIRECT("BS_"&amp;TEXT(AB$1,"mmm")&amp;"_"&amp;TEXT(AB$1,"yyyy")),MATCH(TRIM($A123),BS_Accounts,0))</f>
        <v>0</v>
      </c>
      <c r="AC123" s="115">
        <f t="array" aca="1" ref="AC123" ca="1">INDEX(INDIRECT("BS_"&amp;TEXT(AC$1,"mmm")&amp;"_"&amp;TEXT(AC$1,"yyyy")),MATCH(TRIM($A123),BS_Accounts,0))</f>
        <v>0</v>
      </c>
      <c r="AD123" s="115">
        <f t="array" aca="1" ref="AD123" ca="1">INDEX(INDIRECT("BS_"&amp;TEXT(AD$1,"mmm")&amp;"_"&amp;TEXT(AD$1,"yyyy")),MATCH(TRIM($A123),BS_Accounts,0))</f>
        <v>0</v>
      </c>
      <c r="AE123" s="115">
        <f t="array" aca="1" ref="AE123" ca="1">INDEX(INDIRECT("BS_"&amp;TEXT(AE$1,"mmm")&amp;"_"&amp;TEXT(AE$1,"yyyy")),MATCH(TRIM($A123),BS_Accounts,0))</f>
        <v>0</v>
      </c>
    </row>
    <row r="124" spans="1:75" ht="12.75" x14ac:dyDescent="0.2">
      <c r="A124" s="23" t="s">
        <v>364</v>
      </c>
      <c r="B124" s="221"/>
      <c r="D124" s="115">
        <f t="array" aca="1" ref="D124" ca="1">INDEX(INDIRECT("BS_"&amp;TEXT(D$1,"mmm")&amp;"_"&amp;TEXT(D$1,"yyyy")),MATCH(TRIM($A124),BS_Accounts,0))</f>
        <v>0</v>
      </c>
      <c r="E124" s="115">
        <f t="array" aca="1" ref="E124" ca="1">INDEX(INDIRECT("BS_"&amp;TEXT(E$1,"mmm")&amp;"_"&amp;TEXT(E$1,"yyyy")),MATCH(TRIM($A124),BS_Accounts,0))</f>
        <v>0</v>
      </c>
      <c r="F124" s="115">
        <f t="array" aca="1" ref="F124" ca="1">INDEX(INDIRECT("BS_"&amp;TEXT(F$1,"mmm")&amp;"_"&amp;TEXT(F$1,"yyyy")),MATCH(TRIM($A124),BS_Accounts,0))</f>
        <v>0</v>
      </c>
      <c r="G124" s="115">
        <f t="array" aca="1" ref="G124" ca="1">INDEX(INDIRECT("BS_"&amp;TEXT(G$1,"mmm")&amp;"_"&amp;TEXT(G$1,"yyyy")),MATCH(TRIM($A124),BS_Accounts,0))</f>
        <v>0</v>
      </c>
      <c r="H124" s="115">
        <f t="array" aca="1" ref="H124" ca="1">INDEX(INDIRECT("BS_"&amp;TEXT(H$1,"mmm")&amp;"_"&amp;TEXT(H$1,"yyyy")),MATCH(TRIM($A124),BS_Accounts,0))</f>
        <v>0</v>
      </c>
      <c r="I124" s="115">
        <f t="array" aca="1" ref="I124" ca="1">INDEX(INDIRECT("BS_"&amp;TEXT(I$1,"mmm")&amp;"_"&amp;TEXT(I$1,"yyyy")),MATCH(TRIM($A124),BS_Accounts,0))</f>
        <v>0</v>
      </c>
      <c r="J124" s="115">
        <f t="array" aca="1" ref="J124" ca="1">INDEX(INDIRECT("BS_"&amp;TEXT(J$1,"mmm")&amp;"_"&amp;TEXT(J$1,"yyyy")),MATCH(TRIM($A124),BS_Accounts,0))</f>
        <v>0</v>
      </c>
      <c r="K124" s="115">
        <f t="array" aca="1" ref="K124" ca="1">INDEX(INDIRECT("BS_"&amp;TEXT(K$1,"mmm")&amp;"_"&amp;TEXT(K$1,"yyyy")),MATCH(TRIM($A124),BS_Accounts,0))</f>
        <v>0</v>
      </c>
      <c r="L124" s="115">
        <f t="array" aca="1" ref="L124" ca="1">INDEX(INDIRECT("BS_"&amp;TEXT(L$1,"mmm")&amp;"_"&amp;TEXT(L$1,"yyyy")),MATCH(TRIM($A124),BS_Accounts,0))</f>
        <v>0</v>
      </c>
      <c r="M124" s="115">
        <f t="array" aca="1" ref="M124" ca="1">INDEX(INDIRECT("BS_"&amp;TEXT(M$1,"mmm")&amp;"_"&amp;TEXT(M$1,"yyyy")),MATCH(TRIM($A124),BS_Accounts,0))</f>
        <v>0</v>
      </c>
      <c r="N124" s="115">
        <f t="array" aca="1" ref="N124" ca="1">INDEX(INDIRECT("BS_"&amp;TEXT(N$1,"mmm")&amp;"_"&amp;TEXT(N$1,"yyyy")),MATCH(TRIM($A124),BS_Accounts,0))</f>
        <v>0</v>
      </c>
      <c r="O124" s="115">
        <f t="array" aca="1" ref="O124" ca="1">INDEX(INDIRECT("BS_"&amp;TEXT(O$1,"mmm")&amp;"_"&amp;TEXT(O$1,"yyyy")),MATCH(TRIM($A124),BS_Accounts,0))</f>
        <v>0</v>
      </c>
      <c r="P124" s="115">
        <f t="array" aca="1" ref="P124" ca="1">INDEX(INDIRECT("BS_"&amp;TEXT(P$1,"mmm")&amp;"_"&amp;TEXT(P$1,"yyyy")),MATCH(TRIM($A124),BS_Accounts,0))</f>
        <v>0</v>
      </c>
      <c r="Q124" s="115">
        <f t="array" aca="1" ref="Q124" ca="1">INDEX(INDIRECT("BS_"&amp;TEXT(Q$1,"mmm")&amp;"_"&amp;TEXT(Q$1,"yyyy")),MATCH(TRIM($A124),BS_Accounts,0))</f>
        <v>0</v>
      </c>
      <c r="R124" s="115">
        <f t="array" aca="1" ref="R124" ca="1">INDEX(INDIRECT("BS_"&amp;TEXT(R$1,"mmm")&amp;"_"&amp;TEXT(R$1,"yyyy")),MATCH(TRIM($A124),BS_Accounts,0))</f>
        <v>0</v>
      </c>
      <c r="S124" s="115">
        <f t="array" aca="1" ref="S124" ca="1">INDEX(INDIRECT("BS_"&amp;TEXT(S$1,"mmm")&amp;"_"&amp;TEXT(S$1,"yyyy")),MATCH(TRIM($A124),BS_Accounts,0))</f>
        <v>0</v>
      </c>
      <c r="T124" s="115">
        <f t="array" aca="1" ref="T124" ca="1">INDEX(INDIRECT("BS_"&amp;TEXT(T$1,"mmm")&amp;"_"&amp;TEXT(T$1,"yyyy")),MATCH(TRIM($A124),BS_Accounts,0))</f>
        <v>0</v>
      </c>
      <c r="U124" s="115">
        <f t="array" aca="1" ref="U124" ca="1">INDEX(INDIRECT("BS_"&amp;TEXT(U$1,"mmm")&amp;"_"&amp;TEXT(U$1,"yyyy")),MATCH(TRIM($A124),BS_Accounts,0))</f>
        <v>0</v>
      </c>
      <c r="V124" s="115">
        <f t="array" aca="1" ref="V124" ca="1">INDEX(INDIRECT("BS_"&amp;TEXT(V$1,"mmm")&amp;"_"&amp;TEXT(V$1,"yyyy")),MATCH(TRIM($A124),BS_Accounts,0))</f>
        <v>0</v>
      </c>
      <c r="W124" s="115">
        <f t="array" aca="1" ref="W124" ca="1">INDEX(INDIRECT("BS_"&amp;TEXT(W$1,"mmm")&amp;"_"&amp;TEXT(W$1,"yyyy")),MATCH(TRIM($A124),BS_Accounts,0))</f>
        <v>0</v>
      </c>
      <c r="X124" s="115">
        <f t="array" aca="1" ref="X124" ca="1">INDEX(INDIRECT("BS_"&amp;TEXT(X$1,"mmm")&amp;"_"&amp;TEXT(X$1,"yyyy")),MATCH(TRIM($A124),BS_Accounts,0))</f>
        <v>0</v>
      </c>
      <c r="Y124" s="115">
        <f t="array" aca="1" ref="Y124" ca="1">INDEX(INDIRECT("BS_"&amp;TEXT(Y$1,"mmm")&amp;"_"&amp;TEXT(Y$1,"yyyy")),MATCH(TRIM($A124),BS_Accounts,0))</f>
        <v>0</v>
      </c>
      <c r="Z124" s="115">
        <f t="array" aca="1" ref="Z124" ca="1">INDEX(INDIRECT("BS_"&amp;TEXT(Z$1,"mmm")&amp;"_"&amp;TEXT(Z$1,"yyyy")),MATCH(TRIM($A124),BS_Accounts,0))</f>
        <v>0</v>
      </c>
      <c r="AA124" s="115">
        <f t="array" aca="1" ref="AA124" ca="1">INDEX(INDIRECT("BS_"&amp;TEXT(AA$1,"mmm")&amp;"_"&amp;TEXT(AA$1,"yyyy")),MATCH(TRIM($A124),BS_Accounts,0))</f>
        <v>0</v>
      </c>
      <c r="AB124" s="115">
        <f t="array" aca="1" ref="AB124" ca="1">INDEX(INDIRECT("BS_"&amp;TEXT(AB$1,"mmm")&amp;"_"&amp;TEXT(AB$1,"yyyy")),MATCH(TRIM($A124),BS_Accounts,0))</f>
        <v>0</v>
      </c>
      <c r="AC124" s="115">
        <f t="array" aca="1" ref="AC124" ca="1">INDEX(INDIRECT("BS_"&amp;TEXT(AC$1,"mmm")&amp;"_"&amp;TEXT(AC$1,"yyyy")),MATCH(TRIM($A124),BS_Accounts,0))</f>
        <v>0</v>
      </c>
      <c r="AD124" s="115">
        <f t="array" aca="1" ref="AD124" ca="1">INDEX(INDIRECT("BS_"&amp;TEXT(AD$1,"mmm")&amp;"_"&amp;TEXT(AD$1,"yyyy")),MATCH(TRIM($A124),BS_Accounts,0))</f>
        <v>0</v>
      </c>
      <c r="AE124" s="115">
        <f t="array" aca="1" ref="AE124" ca="1">INDEX(INDIRECT("BS_"&amp;TEXT(AE$1,"mmm")&amp;"_"&amp;TEXT(AE$1,"yyyy")),MATCH(TRIM($A124),BS_Accounts,0))</f>
        <v>0</v>
      </c>
    </row>
    <row r="125" spans="1:75" ht="12.75" x14ac:dyDescent="0.2">
      <c r="A125" s="23" t="s">
        <v>365</v>
      </c>
      <c r="B125" s="224">
        <f ca="1">AVERAGEIFS(125:125,$1:$1,"&gt;="&amp;DATE(YEAR(Current_Month),MONTH(Current_Month),DAY(Current_Month)),$1:$1,"&lt;="&amp;EOMONTH(Current_Month,0))</f>
        <v>-1756</v>
      </c>
      <c r="D125" s="115">
        <f t="array" aca="1" ref="D125" ca="1">INDEX(INDIRECT("BS_"&amp;TEXT(D$1,"mmm")&amp;"_"&amp;TEXT(D$1,"yyyy")),MATCH(TRIM($A125),BS_Accounts,0))</f>
        <v>357</v>
      </c>
      <c r="E125" s="115">
        <f t="array" aca="1" ref="E125" ca="1">INDEX(INDIRECT("BS_"&amp;TEXT(E$1,"mmm")&amp;"_"&amp;TEXT(E$1,"yyyy")),MATCH(TRIM($A125),BS_Accounts,0))</f>
        <v>-1756</v>
      </c>
      <c r="F125" s="115">
        <f t="array" aca="1" ref="F125" ca="1">INDEX(INDIRECT("BS_"&amp;TEXT(F$1,"mmm")&amp;"_"&amp;TEXT(F$1,"yyyy")),MATCH(TRIM($A125),BS_Accounts,0))</f>
        <v>-1756</v>
      </c>
      <c r="G125" s="115">
        <f t="array" aca="1" ref="G125" ca="1">INDEX(INDIRECT("BS_"&amp;TEXT(G$1,"mmm")&amp;"_"&amp;TEXT(G$1,"yyyy")),MATCH(TRIM($A125),BS_Accounts,0))</f>
        <v>-1756</v>
      </c>
      <c r="H125" s="115">
        <f t="array" aca="1" ref="H125" ca="1">INDEX(INDIRECT("BS_"&amp;TEXT(H$1,"mmm")&amp;"_"&amp;TEXT(H$1,"yyyy")),MATCH(TRIM($A125),BS_Accounts,0))</f>
        <v>-1756</v>
      </c>
      <c r="I125" s="115">
        <f t="array" aca="1" ref="I125" ca="1">INDEX(INDIRECT("BS_"&amp;TEXT(I$1,"mmm")&amp;"_"&amp;TEXT(I$1,"yyyy")),MATCH(TRIM($A125),BS_Accounts,0))</f>
        <v>-1756</v>
      </c>
      <c r="J125" s="115">
        <f t="array" aca="1" ref="J125" ca="1">INDEX(INDIRECT("BS_"&amp;TEXT(J$1,"mmm")&amp;"_"&amp;TEXT(J$1,"yyyy")),MATCH(TRIM($A125),BS_Accounts,0))</f>
        <v>-1756</v>
      </c>
      <c r="K125" s="115">
        <f t="array" aca="1" ref="K125" ca="1">INDEX(INDIRECT("BS_"&amp;TEXT(K$1,"mmm")&amp;"_"&amp;TEXT(K$1,"yyyy")),MATCH(TRIM($A125),BS_Accounts,0))</f>
        <v>-1756</v>
      </c>
      <c r="L125" s="115">
        <f t="array" aca="1" ref="L125" ca="1">INDEX(INDIRECT("BS_"&amp;TEXT(L$1,"mmm")&amp;"_"&amp;TEXT(L$1,"yyyy")),MATCH(TRIM($A125),BS_Accounts,0))</f>
        <v>-1756</v>
      </c>
      <c r="M125" s="115">
        <f t="array" aca="1" ref="M125" ca="1">INDEX(INDIRECT("BS_"&amp;TEXT(M$1,"mmm")&amp;"_"&amp;TEXT(M$1,"yyyy")),MATCH(TRIM($A125),BS_Accounts,0))</f>
        <v>-1756</v>
      </c>
      <c r="N125" s="115">
        <f t="array" aca="1" ref="N125" ca="1">INDEX(INDIRECT("BS_"&amp;TEXT(N$1,"mmm")&amp;"_"&amp;TEXT(N$1,"yyyy")),MATCH(TRIM($A125),BS_Accounts,0))</f>
        <v>-1756</v>
      </c>
      <c r="O125" s="115">
        <f t="array" aca="1" ref="O125" ca="1">INDEX(INDIRECT("BS_"&amp;TEXT(O$1,"mmm")&amp;"_"&amp;TEXT(O$1,"yyyy")),MATCH(TRIM($A125),BS_Accounts,0))</f>
        <v>-1756</v>
      </c>
      <c r="P125" s="115">
        <f t="array" aca="1" ref="P125" ca="1">INDEX(INDIRECT("BS_"&amp;TEXT(P$1,"mmm")&amp;"_"&amp;TEXT(P$1,"yyyy")),MATCH(TRIM($A125),BS_Accounts,0))</f>
        <v>-1756</v>
      </c>
      <c r="Q125" s="115">
        <f t="array" aca="1" ref="Q125" ca="1">INDEX(INDIRECT("BS_"&amp;TEXT(Q$1,"mmm")&amp;"_"&amp;TEXT(Q$1,"yyyy")),MATCH(TRIM($A125),BS_Accounts,0))</f>
        <v>-1756</v>
      </c>
      <c r="R125" s="115">
        <f t="array" aca="1" ref="R125" ca="1">INDEX(INDIRECT("BS_"&amp;TEXT(R$1,"mmm")&amp;"_"&amp;TEXT(R$1,"yyyy")),MATCH(TRIM($A125),BS_Accounts,0))</f>
        <v>-1756</v>
      </c>
      <c r="S125" s="115">
        <f t="array" aca="1" ref="S125" ca="1">INDEX(INDIRECT("BS_"&amp;TEXT(S$1,"mmm")&amp;"_"&amp;TEXT(S$1,"yyyy")),MATCH(TRIM($A125),BS_Accounts,0))</f>
        <v>-1756</v>
      </c>
      <c r="T125" s="115">
        <f t="array" aca="1" ref="T125" ca="1">INDEX(INDIRECT("BS_"&amp;TEXT(T$1,"mmm")&amp;"_"&amp;TEXT(T$1,"yyyy")),MATCH(TRIM($A125),BS_Accounts,0))</f>
        <v>-1756</v>
      </c>
      <c r="U125" s="115">
        <f t="array" aca="1" ref="U125" ca="1">INDEX(INDIRECT("BS_"&amp;TEXT(U$1,"mmm")&amp;"_"&amp;TEXT(U$1,"yyyy")),MATCH(TRIM($A125),BS_Accounts,0))</f>
        <v>-1756</v>
      </c>
      <c r="V125" s="115">
        <f t="array" aca="1" ref="V125" ca="1">INDEX(INDIRECT("BS_"&amp;TEXT(V$1,"mmm")&amp;"_"&amp;TEXT(V$1,"yyyy")),MATCH(TRIM($A125),BS_Accounts,0))</f>
        <v>-1756</v>
      </c>
      <c r="W125" s="115">
        <f t="array" aca="1" ref="W125" ca="1">INDEX(INDIRECT("BS_"&amp;TEXT(W$1,"mmm")&amp;"_"&amp;TEXT(W$1,"yyyy")),MATCH(TRIM($A125),BS_Accounts,0))</f>
        <v>-1756</v>
      </c>
      <c r="X125" s="115">
        <f t="array" aca="1" ref="X125" ca="1">INDEX(INDIRECT("BS_"&amp;TEXT(X$1,"mmm")&amp;"_"&amp;TEXT(X$1,"yyyy")),MATCH(TRIM($A125),BS_Accounts,0))</f>
        <v>-1756</v>
      </c>
      <c r="Y125" s="115">
        <f t="array" aca="1" ref="Y125" ca="1">INDEX(INDIRECT("BS_"&amp;TEXT(Y$1,"mmm")&amp;"_"&amp;TEXT(Y$1,"yyyy")),MATCH(TRIM($A125),BS_Accounts,0))</f>
        <v>-1756</v>
      </c>
      <c r="Z125" s="115">
        <f t="array" aca="1" ref="Z125" ca="1">INDEX(INDIRECT("BS_"&amp;TEXT(Z$1,"mmm")&amp;"_"&amp;TEXT(Z$1,"yyyy")),MATCH(TRIM($A125),BS_Accounts,0))</f>
        <v>-1756</v>
      </c>
      <c r="AA125" s="115">
        <f t="array" aca="1" ref="AA125" ca="1">INDEX(INDIRECT("BS_"&amp;TEXT(AA$1,"mmm")&amp;"_"&amp;TEXT(AA$1,"yyyy")),MATCH(TRIM($A125),BS_Accounts,0))</f>
        <v>-1756</v>
      </c>
      <c r="AB125" s="115">
        <f t="array" aca="1" ref="AB125" ca="1">INDEX(INDIRECT("BS_"&amp;TEXT(AB$1,"mmm")&amp;"_"&amp;TEXT(AB$1,"yyyy")),MATCH(TRIM($A125),BS_Accounts,0))</f>
        <v>-1756</v>
      </c>
      <c r="AC125" s="115">
        <f t="array" aca="1" ref="AC125" ca="1">INDEX(INDIRECT("BS_"&amp;TEXT(AC$1,"mmm")&amp;"_"&amp;TEXT(AC$1,"yyyy")),MATCH(TRIM($A125),BS_Accounts,0))</f>
        <v>-1756</v>
      </c>
      <c r="AD125" s="115">
        <f t="array" aca="1" ref="AD125" ca="1">INDEX(INDIRECT("BS_"&amp;TEXT(AD$1,"mmm")&amp;"_"&amp;TEXT(AD$1,"yyyy")),MATCH(TRIM($A125),BS_Accounts,0))</f>
        <v>-1756</v>
      </c>
      <c r="AE125" s="115">
        <f t="array" aca="1" ref="AE125" ca="1">INDEX(INDIRECT("BS_"&amp;TEXT(AE$1,"mmm")&amp;"_"&amp;TEXT(AE$1,"yyyy")),MATCH(TRIM($A125),BS_Accounts,0))</f>
        <v>-1756</v>
      </c>
      <c r="AF125" s="165">
        <f t="shared" ref="AF125:BW125" ca="1" si="62">$B125</f>
        <v>-1756</v>
      </c>
      <c r="AG125" s="165">
        <f t="shared" ca="1" si="62"/>
        <v>-1756</v>
      </c>
      <c r="AH125" s="165">
        <f t="shared" ca="1" si="62"/>
        <v>-1756</v>
      </c>
      <c r="AI125" s="165">
        <f t="shared" ca="1" si="62"/>
        <v>-1756</v>
      </c>
      <c r="AJ125" s="165">
        <f t="shared" ca="1" si="62"/>
        <v>-1756</v>
      </c>
      <c r="AK125" s="165">
        <f t="shared" ca="1" si="62"/>
        <v>-1756</v>
      </c>
      <c r="AL125" s="165">
        <f t="shared" ca="1" si="62"/>
        <v>-1756</v>
      </c>
      <c r="AM125" s="165">
        <f t="shared" ca="1" si="62"/>
        <v>-1756</v>
      </c>
      <c r="AN125" s="165">
        <f t="shared" ca="1" si="62"/>
        <v>-1756</v>
      </c>
      <c r="AO125" s="165">
        <f t="shared" ca="1" si="62"/>
        <v>-1756</v>
      </c>
      <c r="AP125" s="165">
        <f t="shared" ca="1" si="62"/>
        <v>-1756</v>
      </c>
      <c r="AQ125" s="165">
        <f t="shared" ca="1" si="62"/>
        <v>-1756</v>
      </c>
      <c r="AR125" s="165">
        <f t="shared" ca="1" si="62"/>
        <v>-1756</v>
      </c>
      <c r="AS125" s="165">
        <f t="shared" ca="1" si="62"/>
        <v>-1756</v>
      </c>
      <c r="AT125" s="165">
        <f t="shared" ca="1" si="62"/>
        <v>-1756</v>
      </c>
      <c r="AU125" s="165">
        <f t="shared" ca="1" si="62"/>
        <v>-1756</v>
      </c>
      <c r="AV125" s="165">
        <f t="shared" ca="1" si="62"/>
        <v>-1756</v>
      </c>
      <c r="AW125" s="165">
        <f t="shared" ca="1" si="62"/>
        <v>-1756</v>
      </c>
      <c r="AX125" s="165">
        <f t="shared" ca="1" si="62"/>
        <v>-1756</v>
      </c>
      <c r="AY125" s="165">
        <f t="shared" ca="1" si="62"/>
        <v>-1756</v>
      </c>
      <c r="AZ125" s="165">
        <f t="shared" ca="1" si="62"/>
        <v>-1756</v>
      </c>
      <c r="BA125" s="165">
        <f t="shared" ca="1" si="62"/>
        <v>-1756</v>
      </c>
      <c r="BB125" s="165">
        <f t="shared" ca="1" si="62"/>
        <v>-1756</v>
      </c>
      <c r="BC125" s="165">
        <f t="shared" ca="1" si="62"/>
        <v>-1756</v>
      </c>
      <c r="BD125" s="165">
        <f t="shared" ca="1" si="62"/>
        <v>-1756</v>
      </c>
      <c r="BE125" s="165">
        <f t="shared" ca="1" si="62"/>
        <v>-1756</v>
      </c>
      <c r="BF125" s="165">
        <f t="shared" ca="1" si="62"/>
        <v>-1756</v>
      </c>
      <c r="BG125" s="165">
        <f t="shared" ca="1" si="62"/>
        <v>-1756</v>
      </c>
      <c r="BH125" s="165">
        <f t="shared" ca="1" si="62"/>
        <v>-1756</v>
      </c>
      <c r="BI125" s="165">
        <f t="shared" ca="1" si="62"/>
        <v>-1756</v>
      </c>
      <c r="BJ125" s="165">
        <f t="shared" ca="1" si="62"/>
        <v>-1756</v>
      </c>
      <c r="BK125" s="165">
        <f t="shared" ca="1" si="62"/>
        <v>-1756</v>
      </c>
      <c r="BL125" s="165">
        <f t="shared" ca="1" si="62"/>
        <v>-1756</v>
      </c>
      <c r="BM125" s="165">
        <f t="shared" ca="1" si="62"/>
        <v>-1756</v>
      </c>
      <c r="BN125" s="165">
        <f t="shared" ca="1" si="62"/>
        <v>-1756</v>
      </c>
      <c r="BO125" s="165">
        <f t="shared" ca="1" si="62"/>
        <v>-1756</v>
      </c>
      <c r="BP125" s="165">
        <f t="shared" ca="1" si="62"/>
        <v>-1756</v>
      </c>
      <c r="BQ125" s="165">
        <f t="shared" ca="1" si="62"/>
        <v>-1756</v>
      </c>
      <c r="BR125" s="165">
        <f t="shared" ca="1" si="62"/>
        <v>-1756</v>
      </c>
      <c r="BS125" s="165">
        <f t="shared" ca="1" si="62"/>
        <v>-1756</v>
      </c>
      <c r="BT125" s="165">
        <f t="shared" ca="1" si="62"/>
        <v>-1756</v>
      </c>
      <c r="BU125" s="165">
        <f t="shared" ca="1" si="62"/>
        <v>-1756</v>
      </c>
      <c r="BV125" s="165">
        <f t="shared" ca="1" si="62"/>
        <v>-1756</v>
      </c>
      <c r="BW125" s="165">
        <f t="shared" ca="1" si="62"/>
        <v>-1756</v>
      </c>
    </row>
    <row r="126" spans="1:75" ht="12.75" x14ac:dyDescent="0.2">
      <c r="A126" s="60" t="s">
        <v>366</v>
      </c>
      <c r="B126" s="238"/>
      <c r="C126" s="212"/>
      <c r="D126" s="226">
        <f t="shared" ref="D126:BW126" ca="1" si="63">SUM(D124:D125)</f>
        <v>357</v>
      </c>
      <c r="E126" s="226">
        <f t="shared" ca="1" si="63"/>
        <v>-1756</v>
      </c>
      <c r="F126" s="226">
        <f t="shared" ca="1" si="63"/>
        <v>-1756</v>
      </c>
      <c r="G126" s="226">
        <f t="shared" ca="1" si="63"/>
        <v>-1756</v>
      </c>
      <c r="H126" s="226">
        <f t="shared" ca="1" si="63"/>
        <v>-1756</v>
      </c>
      <c r="I126" s="226">
        <f t="shared" ca="1" si="63"/>
        <v>-1756</v>
      </c>
      <c r="J126" s="226">
        <f t="shared" ca="1" si="63"/>
        <v>-1756</v>
      </c>
      <c r="K126" s="226">
        <f t="shared" ca="1" si="63"/>
        <v>-1756</v>
      </c>
      <c r="L126" s="226">
        <f t="shared" ca="1" si="63"/>
        <v>-1756</v>
      </c>
      <c r="M126" s="226">
        <f t="shared" ca="1" si="63"/>
        <v>-1756</v>
      </c>
      <c r="N126" s="226">
        <f t="shared" ca="1" si="63"/>
        <v>-1756</v>
      </c>
      <c r="O126" s="226">
        <f t="shared" ca="1" si="63"/>
        <v>-1756</v>
      </c>
      <c r="P126" s="226">
        <f t="shared" ca="1" si="63"/>
        <v>-1756</v>
      </c>
      <c r="Q126" s="226">
        <f t="shared" ca="1" si="63"/>
        <v>-1756</v>
      </c>
      <c r="R126" s="226">
        <f t="shared" ca="1" si="63"/>
        <v>-1756</v>
      </c>
      <c r="S126" s="226">
        <f t="shared" ca="1" si="63"/>
        <v>-1756</v>
      </c>
      <c r="T126" s="226">
        <f t="shared" ca="1" si="63"/>
        <v>-1756</v>
      </c>
      <c r="U126" s="226">
        <f t="shared" ca="1" si="63"/>
        <v>-1756</v>
      </c>
      <c r="V126" s="226">
        <f t="shared" ca="1" si="63"/>
        <v>-1756</v>
      </c>
      <c r="W126" s="226">
        <f t="shared" ca="1" si="63"/>
        <v>-1756</v>
      </c>
      <c r="X126" s="226">
        <f t="shared" ca="1" si="63"/>
        <v>-1756</v>
      </c>
      <c r="Y126" s="226">
        <f t="shared" ca="1" si="63"/>
        <v>-1756</v>
      </c>
      <c r="Z126" s="226">
        <f t="shared" ca="1" si="63"/>
        <v>-1756</v>
      </c>
      <c r="AA126" s="226">
        <f t="shared" ca="1" si="63"/>
        <v>-1756</v>
      </c>
      <c r="AB126" s="226">
        <f t="shared" ca="1" si="63"/>
        <v>-1756</v>
      </c>
      <c r="AC126" s="226">
        <f t="shared" ca="1" si="63"/>
        <v>-1756</v>
      </c>
      <c r="AD126" s="226">
        <f t="shared" ca="1" si="63"/>
        <v>-1756</v>
      </c>
      <c r="AE126" s="226">
        <f t="shared" ca="1" si="63"/>
        <v>-1756</v>
      </c>
      <c r="AF126" s="226">
        <f t="shared" ca="1" si="63"/>
        <v>-1756</v>
      </c>
      <c r="AG126" s="226">
        <f t="shared" ca="1" si="63"/>
        <v>-1756</v>
      </c>
      <c r="AH126" s="226">
        <f t="shared" ca="1" si="63"/>
        <v>-1756</v>
      </c>
      <c r="AI126" s="226">
        <f t="shared" ca="1" si="63"/>
        <v>-1756</v>
      </c>
      <c r="AJ126" s="226">
        <f t="shared" ca="1" si="63"/>
        <v>-1756</v>
      </c>
      <c r="AK126" s="226">
        <f t="shared" ca="1" si="63"/>
        <v>-1756</v>
      </c>
      <c r="AL126" s="226">
        <f t="shared" ca="1" si="63"/>
        <v>-1756</v>
      </c>
      <c r="AM126" s="226">
        <f t="shared" ca="1" si="63"/>
        <v>-1756</v>
      </c>
      <c r="AN126" s="226">
        <f t="shared" ca="1" si="63"/>
        <v>-1756</v>
      </c>
      <c r="AO126" s="226">
        <f t="shared" ca="1" si="63"/>
        <v>-1756</v>
      </c>
      <c r="AP126" s="226">
        <f t="shared" ca="1" si="63"/>
        <v>-1756</v>
      </c>
      <c r="AQ126" s="226">
        <f t="shared" ca="1" si="63"/>
        <v>-1756</v>
      </c>
      <c r="AR126" s="226">
        <f t="shared" ca="1" si="63"/>
        <v>-1756</v>
      </c>
      <c r="AS126" s="226">
        <f t="shared" ca="1" si="63"/>
        <v>-1756</v>
      </c>
      <c r="AT126" s="226">
        <f t="shared" ca="1" si="63"/>
        <v>-1756</v>
      </c>
      <c r="AU126" s="226">
        <f t="shared" ca="1" si="63"/>
        <v>-1756</v>
      </c>
      <c r="AV126" s="226">
        <f t="shared" ca="1" si="63"/>
        <v>-1756</v>
      </c>
      <c r="AW126" s="226">
        <f t="shared" ca="1" si="63"/>
        <v>-1756</v>
      </c>
      <c r="AX126" s="226">
        <f t="shared" ca="1" si="63"/>
        <v>-1756</v>
      </c>
      <c r="AY126" s="226">
        <f t="shared" ca="1" si="63"/>
        <v>-1756</v>
      </c>
      <c r="AZ126" s="226">
        <f t="shared" ca="1" si="63"/>
        <v>-1756</v>
      </c>
      <c r="BA126" s="226">
        <f t="shared" ca="1" si="63"/>
        <v>-1756</v>
      </c>
      <c r="BB126" s="226">
        <f t="shared" ca="1" si="63"/>
        <v>-1756</v>
      </c>
      <c r="BC126" s="226">
        <f t="shared" ca="1" si="63"/>
        <v>-1756</v>
      </c>
      <c r="BD126" s="226">
        <f t="shared" ca="1" si="63"/>
        <v>-1756</v>
      </c>
      <c r="BE126" s="226">
        <f t="shared" ca="1" si="63"/>
        <v>-1756</v>
      </c>
      <c r="BF126" s="226">
        <f t="shared" ca="1" si="63"/>
        <v>-1756</v>
      </c>
      <c r="BG126" s="226">
        <f t="shared" ca="1" si="63"/>
        <v>-1756</v>
      </c>
      <c r="BH126" s="226">
        <f t="shared" ca="1" si="63"/>
        <v>-1756</v>
      </c>
      <c r="BI126" s="226">
        <f t="shared" ca="1" si="63"/>
        <v>-1756</v>
      </c>
      <c r="BJ126" s="226">
        <f t="shared" ca="1" si="63"/>
        <v>-1756</v>
      </c>
      <c r="BK126" s="226">
        <f t="shared" ca="1" si="63"/>
        <v>-1756</v>
      </c>
      <c r="BL126" s="226">
        <f t="shared" ca="1" si="63"/>
        <v>-1756</v>
      </c>
      <c r="BM126" s="226">
        <f t="shared" ca="1" si="63"/>
        <v>-1756</v>
      </c>
      <c r="BN126" s="226">
        <f t="shared" ca="1" si="63"/>
        <v>-1756</v>
      </c>
      <c r="BO126" s="226">
        <f t="shared" ca="1" si="63"/>
        <v>-1756</v>
      </c>
      <c r="BP126" s="226">
        <f t="shared" ca="1" si="63"/>
        <v>-1756</v>
      </c>
      <c r="BQ126" s="226">
        <f t="shared" ca="1" si="63"/>
        <v>-1756</v>
      </c>
      <c r="BR126" s="226">
        <f t="shared" ca="1" si="63"/>
        <v>-1756</v>
      </c>
      <c r="BS126" s="226">
        <f t="shared" ca="1" si="63"/>
        <v>-1756</v>
      </c>
      <c r="BT126" s="226">
        <f t="shared" ca="1" si="63"/>
        <v>-1756</v>
      </c>
      <c r="BU126" s="226">
        <f t="shared" ca="1" si="63"/>
        <v>-1756</v>
      </c>
      <c r="BV126" s="226">
        <f t="shared" ca="1" si="63"/>
        <v>-1756</v>
      </c>
      <c r="BW126" s="226">
        <f t="shared" ca="1" si="63"/>
        <v>-1756</v>
      </c>
    </row>
    <row r="127" spans="1:75" ht="12.75" x14ac:dyDescent="0.2">
      <c r="A127" s="23" t="s">
        <v>367</v>
      </c>
      <c r="B127" s="221"/>
      <c r="D127" s="115">
        <f t="array" aca="1" ref="D127" ca="1">INDEX(INDIRECT("BS_"&amp;TEXT(D$1,"mmm")&amp;"_"&amp;TEXT(D$1,"yyyy")),MATCH(TRIM($A127),BS_Accounts,0))</f>
        <v>0</v>
      </c>
      <c r="E127" s="115">
        <f t="array" aca="1" ref="E127" ca="1">INDEX(INDIRECT("BS_"&amp;TEXT(E$1,"mmm")&amp;"_"&amp;TEXT(E$1,"yyyy")),MATCH(TRIM($A127),BS_Accounts,0))</f>
        <v>0</v>
      </c>
      <c r="F127" s="115">
        <f t="array" aca="1" ref="F127" ca="1">INDEX(INDIRECT("BS_"&amp;TEXT(F$1,"mmm")&amp;"_"&amp;TEXT(F$1,"yyyy")),MATCH(TRIM($A127),BS_Accounts,0))</f>
        <v>0</v>
      </c>
      <c r="G127" s="115">
        <f t="array" aca="1" ref="G127" ca="1">INDEX(INDIRECT("BS_"&amp;TEXT(G$1,"mmm")&amp;"_"&amp;TEXT(G$1,"yyyy")),MATCH(TRIM($A127),BS_Accounts,0))</f>
        <v>0</v>
      </c>
      <c r="H127" s="115">
        <f t="array" aca="1" ref="H127" ca="1">INDEX(INDIRECT("BS_"&amp;TEXT(H$1,"mmm")&amp;"_"&amp;TEXT(H$1,"yyyy")),MATCH(TRIM($A127),BS_Accounts,0))</f>
        <v>0</v>
      </c>
      <c r="I127" s="115">
        <f t="array" aca="1" ref="I127" ca="1">INDEX(INDIRECT("BS_"&amp;TEXT(I$1,"mmm")&amp;"_"&amp;TEXT(I$1,"yyyy")),MATCH(TRIM($A127),BS_Accounts,0))</f>
        <v>0</v>
      </c>
      <c r="J127" s="115">
        <f t="array" aca="1" ref="J127" ca="1">INDEX(INDIRECT("BS_"&amp;TEXT(J$1,"mmm")&amp;"_"&amp;TEXT(J$1,"yyyy")),MATCH(TRIM($A127),BS_Accounts,0))</f>
        <v>0</v>
      </c>
      <c r="K127" s="115">
        <f t="array" aca="1" ref="K127" ca="1">INDEX(INDIRECT("BS_"&amp;TEXT(K$1,"mmm")&amp;"_"&amp;TEXT(K$1,"yyyy")),MATCH(TRIM($A127),BS_Accounts,0))</f>
        <v>0</v>
      </c>
      <c r="L127" s="115">
        <f t="array" aca="1" ref="L127" ca="1">INDEX(INDIRECT("BS_"&amp;TEXT(L$1,"mmm")&amp;"_"&amp;TEXT(L$1,"yyyy")),MATCH(TRIM($A127),BS_Accounts,0))</f>
        <v>0</v>
      </c>
      <c r="M127" s="115">
        <f t="array" aca="1" ref="M127" ca="1">INDEX(INDIRECT("BS_"&amp;TEXT(M$1,"mmm")&amp;"_"&amp;TEXT(M$1,"yyyy")),MATCH(TRIM($A127),BS_Accounts,0))</f>
        <v>0</v>
      </c>
      <c r="N127" s="115">
        <f t="array" aca="1" ref="N127" ca="1">INDEX(INDIRECT("BS_"&amp;TEXT(N$1,"mmm")&amp;"_"&amp;TEXT(N$1,"yyyy")),MATCH(TRIM($A127),BS_Accounts,0))</f>
        <v>0</v>
      </c>
      <c r="O127" s="115">
        <f t="array" aca="1" ref="O127" ca="1">INDEX(INDIRECT("BS_"&amp;TEXT(O$1,"mmm")&amp;"_"&amp;TEXT(O$1,"yyyy")),MATCH(TRIM($A127),BS_Accounts,0))</f>
        <v>0</v>
      </c>
      <c r="P127" s="115">
        <f t="array" aca="1" ref="P127" ca="1">INDEX(INDIRECT("BS_"&amp;TEXT(P$1,"mmm")&amp;"_"&amp;TEXT(P$1,"yyyy")),MATCH(TRIM($A127),BS_Accounts,0))</f>
        <v>0</v>
      </c>
      <c r="Q127" s="115">
        <f t="array" aca="1" ref="Q127" ca="1">INDEX(INDIRECT("BS_"&amp;TEXT(Q$1,"mmm")&amp;"_"&amp;TEXT(Q$1,"yyyy")),MATCH(TRIM($A127),BS_Accounts,0))</f>
        <v>0</v>
      </c>
      <c r="R127" s="115">
        <f t="array" aca="1" ref="R127" ca="1">INDEX(INDIRECT("BS_"&amp;TEXT(R$1,"mmm")&amp;"_"&amp;TEXT(R$1,"yyyy")),MATCH(TRIM($A127),BS_Accounts,0))</f>
        <v>0</v>
      </c>
      <c r="S127" s="115">
        <f t="array" aca="1" ref="S127" ca="1">INDEX(INDIRECT("BS_"&amp;TEXT(S$1,"mmm")&amp;"_"&amp;TEXT(S$1,"yyyy")),MATCH(TRIM($A127),BS_Accounts,0))</f>
        <v>0</v>
      </c>
      <c r="T127" s="115">
        <f t="array" aca="1" ref="T127" ca="1">INDEX(INDIRECT("BS_"&amp;TEXT(T$1,"mmm")&amp;"_"&amp;TEXT(T$1,"yyyy")),MATCH(TRIM($A127),BS_Accounts,0))</f>
        <v>0</v>
      </c>
      <c r="U127" s="115">
        <f t="array" aca="1" ref="U127" ca="1">INDEX(INDIRECT("BS_"&amp;TEXT(U$1,"mmm")&amp;"_"&amp;TEXT(U$1,"yyyy")),MATCH(TRIM($A127),BS_Accounts,0))</f>
        <v>0</v>
      </c>
      <c r="V127" s="115">
        <f t="array" aca="1" ref="V127" ca="1">INDEX(INDIRECT("BS_"&amp;TEXT(V$1,"mmm")&amp;"_"&amp;TEXT(V$1,"yyyy")),MATCH(TRIM($A127),BS_Accounts,0))</f>
        <v>0</v>
      </c>
      <c r="W127" s="115">
        <f t="array" aca="1" ref="W127" ca="1">INDEX(INDIRECT("BS_"&amp;TEXT(W$1,"mmm")&amp;"_"&amp;TEXT(W$1,"yyyy")),MATCH(TRIM($A127),BS_Accounts,0))</f>
        <v>0</v>
      </c>
      <c r="X127" s="115">
        <f t="array" aca="1" ref="X127" ca="1">INDEX(INDIRECT("BS_"&amp;TEXT(X$1,"mmm")&amp;"_"&amp;TEXT(X$1,"yyyy")),MATCH(TRIM($A127),BS_Accounts,0))</f>
        <v>0</v>
      </c>
      <c r="Y127" s="115">
        <f t="array" aca="1" ref="Y127" ca="1">INDEX(INDIRECT("BS_"&amp;TEXT(Y$1,"mmm")&amp;"_"&amp;TEXT(Y$1,"yyyy")),MATCH(TRIM($A127),BS_Accounts,0))</f>
        <v>0</v>
      </c>
      <c r="Z127" s="115">
        <f t="array" aca="1" ref="Z127" ca="1">INDEX(INDIRECT("BS_"&amp;TEXT(Z$1,"mmm")&amp;"_"&amp;TEXT(Z$1,"yyyy")),MATCH(TRIM($A127),BS_Accounts,0))</f>
        <v>0</v>
      </c>
      <c r="AA127" s="115">
        <f t="array" aca="1" ref="AA127" ca="1">INDEX(INDIRECT("BS_"&amp;TEXT(AA$1,"mmm")&amp;"_"&amp;TEXT(AA$1,"yyyy")),MATCH(TRIM($A127),BS_Accounts,0))</f>
        <v>0</v>
      </c>
      <c r="AB127" s="115">
        <f t="array" aca="1" ref="AB127" ca="1">INDEX(INDIRECT("BS_"&amp;TEXT(AB$1,"mmm")&amp;"_"&amp;TEXT(AB$1,"yyyy")),MATCH(TRIM($A127),BS_Accounts,0))</f>
        <v>0</v>
      </c>
      <c r="AC127" s="115">
        <f t="array" aca="1" ref="AC127" ca="1">INDEX(INDIRECT("BS_"&amp;TEXT(AC$1,"mmm")&amp;"_"&amp;TEXT(AC$1,"yyyy")),MATCH(TRIM($A127),BS_Accounts,0))</f>
        <v>0</v>
      </c>
      <c r="AD127" s="115">
        <f t="array" aca="1" ref="AD127" ca="1">INDEX(INDIRECT("BS_"&amp;TEXT(AD$1,"mmm")&amp;"_"&amp;TEXT(AD$1,"yyyy")),MATCH(TRIM($A127),BS_Accounts,0))</f>
        <v>0</v>
      </c>
      <c r="AE127" s="115">
        <f t="array" aca="1" ref="AE127" ca="1">INDEX(INDIRECT("BS_"&amp;TEXT(AE$1,"mmm")&amp;"_"&amp;TEXT(AE$1,"yyyy")),MATCH(TRIM($A127),BS_Accounts,0))</f>
        <v>0</v>
      </c>
    </row>
    <row r="128" spans="1:75" ht="12.75" x14ac:dyDescent="0.2">
      <c r="A128" s="23" t="s">
        <v>368</v>
      </c>
      <c r="B128" s="221"/>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25">
        <f t="array" aca="1" ref="AF128" ca="1">INDEX(Deferred_Revenue_Balance,MATCH(AF$1,Deferred_Revenue_Months,0))</f>
        <v>0</v>
      </c>
      <c r="AG128" s="25">
        <f t="array" aca="1" ref="AG128" ca="1">INDEX(Deferred_Revenue_Balance,MATCH(AG$1,Deferred_Revenue_Months,0))</f>
        <v>0</v>
      </c>
      <c r="AH128" s="25">
        <f t="array" aca="1" ref="AH128" ca="1">INDEX(Deferred_Revenue_Balance,MATCH(AH$1,Deferred_Revenue_Months,0))</f>
        <v>0</v>
      </c>
      <c r="AI128" s="25">
        <f t="array" aca="1" ref="AI128" ca="1">INDEX(Deferred_Revenue_Balance,MATCH(AI$1,Deferred_Revenue_Months,0))</f>
        <v>0</v>
      </c>
      <c r="AJ128" s="25">
        <f t="array" aca="1" ref="AJ128" ca="1">INDEX(Deferred_Revenue_Balance,MATCH(AJ$1,Deferred_Revenue_Months,0))</f>
        <v>0</v>
      </c>
      <c r="AK128" s="25">
        <f t="array" aca="1" ref="AK128" ca="1">INDEX(Deferred_Revenue_Balance,MATCH(AK$1,Deferred_Revenue_Months,0))</f>
        <v>0</v>
      </c>
      <c r="AL128" s="25">
        <f t="array" aca="1" ref="AL128" ca="1">INDEX(Deferred_Revenue_Balance,MATCH(AL$1,Deferred_Revenue_Months,0))</f>
        <v>0</v>
      </c>
      <c r="AM128" s="25">
        <f t="array" aca="1" ref="AM128" ca="1">INDEX(Deferred_Revenue_Balance,MATCH(AM$1,Deferred_Revenue_Months,0))</f>
        <v>0</v>
      </c>
      <c r="AN128" s="25">
        <f t="array" aca="1" ref="AN128" ca="1">INDEX(Deferred_Revenue_Balance,MATCH(AN$1,Deferred_Revenue_Months,0))</f>
        <v>0</v>
      </c>
      <c r="AO128" s="25">
        <f t="array" aca="1" ref="AO128" ca="1">INDEX(Deferred_Revenue_Balance,MATCH(AO$1,Deferred_Revenue_Months,0))</f>
        <v>0</v>
      </c>
      <c r="AP128" s="25">
        <f t="array" aca="1" ref="AP128" ca="1">INDEX(Deferred_Revenue_Balance,MATCH(AP$1,Deferred_Revenue_Months,0))</f>
        <v>0</v>
      </c>
      <c r="AQ128" s="25">
        <f t="array" aca="1" ref="AQ128" ca="1">INDEX(Deferred_Revenue_Balance,MATCH(AQ$1,Deferred_Revenue_Months,0))</f>
        <v>0</v>
      </c>
      <c r="AR128" s="25">
        <f t="array" aca="1" ref="AR128" ca="1">INDEX(Deferred_Revenue_Balance,MATCH(AR$1,Deferred_Revenue_Months,0))</f>
        <v>0</v>
      </c>
      <c r="AS128" s="25">
        <f t="array" aca="1" ref="AS128" ca="1">INDEX(Deferred_Revenue_Balance,MATCH(AS$1,Deferred_Revenue_Months,0))</f>
        <v>0</v>
      </c>
      <c r="AT128" s="25">
        <f t="array" aca="1" ref="AT128" ca="1">INDEX(Deferred_Revenue_Balance,MATCH(AT$1,Deferred_Revenue_Months,0))</f>
        <v>0</v>
      </c>
      <c r="AU128" s="25">
        <f t="array" aca="1" ref="AU128" ca="1">INDEX(Deferred_Revenue_Balance,MATCH(AU$1,Deferred_Revenue_Months,0))</f>
        <v>0</v>
      </c>
      <c r="AV128" s="25">
        <f t="array" aca="1" ref="AV128" ca="1">INDEX(Deferred_Revenue_Balance,MATCH(AV$1,Deferred_Revenue_Months,0))</f>
        <v>0</v>
      </c>
      <c r="AW128" s="25">
        <f t="array" aca="1" ref="AW128" ca="1">INDEX(Deferred_Revenue_Balance,MATCH(AW$1,Deferred_Revenue_Months,0))</f>
        <v>0</v>
      </c>
      <c r="AX128" s="25">
        <f t="array" aca="1" ref="AX128" ca="1">INDEX(Deferred_Revenue_Balance,MATCH(AX$1,Deferred_Revenue_Months,0))</f>
        <v>0</v>
      </c>
      <c r="AY128" s="25">
        <f t="array" aca="1" ref="AY128" ca="1">INDEX(Deferred_Revenue_Balance,MATCH(AY$1,Deferred_Revenue_Months,0))</f>
        <v>0</v>
      </c>
      <c r="AZ128" s="25">
        <f t="array" aca="1" ref="AZ128" ca="1">INDEX(Deferred_Revenue_Balance,MATCH(AZ$1,Deferred_Revenue_Months,0))</f>
        <v>0</v>
      </c>
      <c r="BA128" s="25">
        <f t="array" aca="1" ref="BA128" ca="1">INDEX(Deferred_Revenue_Balance,MATCH(BA$1,Deferred_Revenue_Months,0))</f>
        <v>0</v>
      </c>
      <c r="BB128" s="25">
        <f t="array" aca="1" ref="BB128" ca="1">INDEX(Deferred_Revenue_Balance,MATCH(BB$1,Deferred_Revenue_Months,0))</f>
        <v>0</v>
      </c>
      <c r="BC128" s="25">
        <f t="array" aca="1" ref="BC128" ca="1">INDEX(Deferred_Revenue_Balance,MATCH(BC$1,Deferred_Revenue_Months,0))</f>
        <v>0</v>
      </c>
      <c r="BD128" s="25">
        <f t="array" aca="1" ref="BD128" ca="1">INDEX(Deferred_Revenue_Balance,MATCH(BD$1,Deferred_Revenue_Months,0))</f>
        <v>0</v>
      </c>
      <c r="BE128" s="25">
        <f t="array" aca="1" ref="BE128" ca="1">INDEX(Deferred_Revenue_Balance,MATCH(BE$1,Deferred_Revenue_Months,0))</f>
        <v>0</v>
      </c>
      <c r="BF128" s="25">
        <f t="array" aca="1" ref="BF128" ca="1">INDEX(Deferred_Revenue_Balance,MATCH(BF$1,Deferred_Revenue_Months,0))</f>
        <v>0</v>
      </c>
      <c r="BG128" s="25">
        <f t="array" aca="1" ref="BG128" ca="1">INDEX(Deferred_Revenue_Balance,MATCH(BG$1,Deferred_Revenue_Months,0))</f>
        <v>0</v>
      </c>
      <c r="BH128" s="25">
        <f t="array" aca="1" ref="BH128" ca="1">INDEX(Deferred_Revenue_Balance,MATCH(BH$1,Deferred_Revenue_Months,0))</f>
        <v>0</v>
      </c>
      <c r="BI128" s="25">
        <f t="array" aca="1" ref="BI128" ca="1">INDEX(Deferred_Revenue_Balance,MATCH(BI$1,Deferred_Revenue_Months,0))</f>
        <v>0</v>
      </c>
      <c r="BJ128" s="25">
        <f t="array" aca="1" ref="BJ128" ca="1">INDEX(Deferred_Revenue_Balance,MATCH(BJ$1,Deferred_Revenue_Months,0))</f>
        <v>0</v>
      </c>
      <c r="BK128" s="25">
        <f t="array" aca="1" ref="BK128" ca="1">INDEX(Deferred_Revenue_Balance,MATCH(BK$1,Deferred_Revenue_Months,0))</f>
        <v>0</v>
      </c>
      <c r="BL128" s="25">
        <f t="array" aca="1" ref="BL128" ca="1">INDEX(Deferred_Revenue_Balance,MATCH(BL$1,Deferred_Revenue_Months,0))</f>
        <v>0</v>
      </c>
      <c r="BM128" s="25">
        <f t="array" aca="1" ref="BM128" ca="1">INDEX(Deferred_Revenue_Balance,MATCH(BM$1,Deferred_Revenue_Months,0))</f>
        <v>0</v>
      </c>
      <c r="BN128" s="25">
        <f t="array" aca="1" ref="BN128" ca="1">INDEX(Deferred_Revenue_Balance,MATCH(BN$1,Deferred_Revenue_Months,0))</f>
        <v>0</v>
      </c>
      <c r="BO128" s="25">
        <f t="array" aca="1" ref="BO128" ca="1">INDEX(Deferred_Revenue_Balance,MATCH(BO$1,Deferred_Revenue_Months,0))</f>
        <v>0</v>
      </c>
      <c r="BP128" s="25" t="e">
        <f t="array" ref="BP128">INDEX(Deferred_Revenue_Balance,MATCH(BP$1,Deferred_Revenue_Months,0))</f>
        <v>#N/A</v>
      </c>
      <c r="BQ128" s="25" t="e">
        <f t="array" ref="BQ128">INDEX(Deferred_Revenue_Balance,MATCH(BQ$1,Deferred_Revenue_Months,0))</f>
        <v>#N/A</v>
      </c>
      <c r="BR128" s="25" t="e">
        <f t="array" ref="BR128">INDEX(Deferred_Revenue_Balance,MATCH(BR$1,Deferred_Revenue_Months,0))</f>
        <v>#N/A</v>
      </c>
      <c r="BS128" s="25" t="e">
        <f t="array" ref="BS128">INDEX(Deferred_Revenue_Balance,MATCH(BS$1,Deferred_Revenue_Months,0))</f>
        <v>#N/A</v>
      </c>
      <c r="BT128" s="25" t="e">
        <f t="array" ref="BT128">INDEX(Deferred_Revenue_Balance,MATCH(BT$1,Deferred_Revenue_Months,0))</f>
        <v>#N/A</v>
      </c>
      <c r="BU128" s="25" t="e">
        <f t="array" ref="BU128">INDEX(Deferred_Revenue_Balance,MATCH(BU$1,Deferred_Revenue_Months,0))</f>
        <v>#N/A</v>
      </c>
      <c r="BV128" s="25" t="e">
        <f t="array" ref="BV128">INDEX(Deferred_Revenue_Balance,MATCH(BV$1,Deferred_Revenue_Months,0))</f>
        <v>#N/A</v>
      </c>
      <c r="BW128" s="25" t="e">
        <f t="array" ref="BW128">INDEX(Deferred_Revenue_Balance,MATCH(BW$1,Deferred_Revenue_Months,0))</f>
        <v>#N/A</v>
      </c>
    </row>
    <row r="129" spans="1:75" ht="12.75" x14ac:dyDescent="0.2">
      <c r="A129" s="23" t="s">
        <v>369</v>
      </c>
      <c r="B129" s="224">
        <f ca="1">AVERAGEIFS(129:129,$1:$1,"&gt;="&amp;DATE(YEAR(Current_Month),MONTH(Current_Month),DAY(Current_Month)),$1:$1,"&lt;="&amp;EOMONTH(Current_Month,0))</f>
        <v>-352</v>
      </c>
      <c r="D129" s="115">
        <f t="array" aca="1" ref="D129" ca="1">INDEX(INDIRECT("BS_"&amp;TEXT(D$1,"mmm")&amp;"_"&amp;TEXT(D$1,"yyyy")),MATCH(TRIM($A129),BS_Accounts,0))</f>
        <v>-239</v>
      </c>
      <c r="E129" s="115">
        <f t="array" aca="1" ref="E129" ca="1">INDEX(INDIRECT("BS_"&amp;TEXT(E$1,"mmm")&amp;"_"&amp;TEXT(E$1,"yyyy")),MATCH(TRIM($A129),BS_Accounts,0))</f>
        <v>-352</v>
      </c>
      <c r="F129" s="115">
        <f t="array" aca="1" ref="F129" ca="1">INDEX(INDIRECT("BS_"&amp;TEXT(F$1,"mmm")&amp;"_"&amp;TEXT(F$1,"yyyy")),MATCH(TRIM($A129),BS_Accounts,0))</f>
        <v>-352</v>
      </c>
      <c r="G129" s="115">
        <f t="array" aca="1" ref="G129" ca="1">INDEX(INDIRECT("BS_"&amp;TEXT(G$1,"mmm")&amp;"_"&amp;TEXT(G$1,"yyyy")),MATCH(TRIM($A129),BS_Accounts,0))</f>
        <v>-352</v>
      </c>
      <c r="H129" s="115">
        <f t="array" aca="1" ref="H129" ca="1">INDEX(INDIRECT("BS_"&amp;TEXT(H$1,"mmm")&amp;"_"&amp;TEXT(H$1,"yyyy")),MATCH(TRIM($A129),BS_Accounts,0))</f>
        <v>-352</v>
      </c>
      <c r="I129" s="115">
        <f t="array" aca="1" ref="I129" ca="1">INDEX(INDIRECT("BS_"&amp;TEXT(I$1,"mmm")&amp;"_"&amp;TEXT(I$1,"yyyy")),MATCH(TRIM($A129),BS_Accounts,0))</f>
        <v>-352</v>
      </c>
      <c r="J129" s="115">
        <f t="array" aca="1" ref="J129" ca="1">INDEX(INDIRECT("BS_"&amp;TEXT(J$1,"mmm")&amp;"_"&amp;TEXT(J$1,"yyyy")),MATCH(TRIM($A129),BS_Accounts,0))</f>
        <v>-352</v>
      </c>
      <c r="K129" s="115">
        <f t="array" aca="1" ref="K129" ca="1">INDEX(INDIRECT("BS_"&amp;TEXT(K$1,"mmm")&amp;"_"&amp;TEXT(K$1,"yyyy")),MATCH(TRIM($A129),BS_Accounts,0))</f>
        <v>-352</v>
      </c>
      <c r="L129" s="115">
        <f t="array" aca="1" ref="L129" ca="1">INDEX(INDIRECT("BS_"&amp;TEXT(L$1,"mmm")&amp;"_"&amp;TEXT(L$1,"yyyy")),MATCH(TRIM($A129),BS_Accounts,0))</f>
        <v>-352</v>
      </c>
      <c r="M129" s="115">
        <f t="array" aca="1" ref="M129" ca="1">INDEX(INDIRECT("BS_"&amp;TEXT(M$1,"mmm")&amp;"_"&amp;TEXT(M$1,"yyyy")),MATCH(TRIM($A129),BS_Accounts,0))</f>
        <v>-352</v>
      </c>
      <c r="N129" s="115">
        <f t="array" aca="1" ref="N129" ca="1">INDEX(INDIRECT("BS_"&amp;TEXT(N$1,"mmm")&amp;"_"&amp;TEXT(N$1,"yyyy")),MATCH(TRIM($A129),BS_Accounts,0))</f>
        <v>-352</v>
      </c>
      <c r="O129" s="115">
        <f t="array" aca="1" ref="O129" ca="1">INDEX(INDIRECT("BS_"&amp;TEXT(O$1,"mmm")&amp;"_"&amp;TEXT(O$1,"yyyy")),MATCH(TRIM($A129),BS_Accounts,0))</f>
        <v>-352</v>
      </c>
      <c r="P129" s="115">
        <f t="array" aca="1" ref="P129" ca="1">INDEX(INDIRECT("BS_"&amp;TEXT(P$1,"mmm")&amp;"_"&amp;TEXT(P$1,"yyyy")),MATCH(TRIM($A129),BS_Accounts,0))</f>
        <v>-352</v>
      </c>
      <c r="Q129" s="115">
        <f t="array" aca="1" ref="Q129" ca="1">INDEX(INDIRECT("BS_"&amp;TEXT(Q$1,"mmm")&amp;"_"&amp;TEXT(Q$1,"yyyy")),MATCH(TRIM($A129),BS_Accounts,0))</f>
        <v>-352</v>
      </c>
      <c r="R129" s="115">
        <f t="array" aca="1" ref="R129" ca="1">INDEX(INDIRECT("BS_"&amp;TEXT(R$1,"mmm")&amp;"_"&amp;TEXT(R$1,"yyyy")),MATCH(TRIM($A129),BS_Accounts,0))</f>
        <v>-352</v>
      </c>
      <c r="S129" s="115">
        <f t="array" aca="1" ref="S129" ca="1">INDEX(INDIRECT("BS_"&amp;TEXT(S$1,"mmm")&amp;"_"&amp;TEXT(S$1,"yyyy")),MATCH(TRIM($A129),BS_Accounts,0))</f>
        <v>-352</v>
      </c>
      <c r="T129" s="115">
        <f t="array" aca="1" ref="T129" ca="1">INDEX(INDIRECT("BS_"&amp;TEXT(T$1,"mmm")&amp;"_"&amp;TEXT(T$1,"yyyy")),MATCH(TRIM($A129),BS_Accounts,0))</f>
        <v>-352</v>
      </c>
      <c r="U129" s="115">
        <f t="array" aca="1" ref="U129" ca="1">INDEX(INDIRECT("BS_"&amp;TEXT(U$1,"mmm")&amp;"_"&amp;TEXT(U$1,"yyyy")),MATCH(TRIM($A129),BS_Accounts,0))</f>
        <v>-352</v>
      </c>
      <c r="V129" s="115">
        <f t="array" aca="1" ref="V129" ca="1">INDEX(INDIRECT("BS_"&amp;TEXT(V$1,"mmm")&amp;"_"&amp;TEXT(V$1,"yyyy")),MATCH(TRIM($A129),BS_Accounts,0))</f>
        <v>-352</v>
      </c>
      <c r="W129" s="115">
        <f t="array" aca="1" ref="W129" ca="1">INDEX(INDIRECT("BS_"&amp;TEXT(W$1,"mmm")&amp;"_"&amp;TEXT(W$1,"yyyy")),MATCH(TRIM($A129),BS_Accounts,0))</f>
        <v>-352</v>
      </c>
      <c r="X129" s="115">
        <f t="array" aca="1" ref="X129" ca="1">INDEX(INDIRECT("BS_"&amp;TEXT(X$1,"mmm")&amp;"_"&amp;TEXT(X$1,"yyyy")),MATCH(TRIM($A129),BS_Accounts,0))</f>
        <v>-352</v>
      </c>
      <c r="Y129" s="115">
        <f t="array" aca="1" ref="Y129" ca="1">INDEX(INDIRECT("BS_"&amp;TEXT(Y$1,"mmm")&amp;"_"&amp;TEXT(Y$1,"yyyy")),MATCH(TRIM($A129),BS_Accounts,0))</f>
        <v>-352</v>
      </c>
      <c r="Z129" s="115">
        <f t="array" aca="1" ref="Z129" ca="1">INDEX(INDIRECT("BS_"&amp;TEXT(Z$1,"mmm")&amp;"_"&amp;TEXT(Z$1,"yyyy")),MATCH(TRIM($A129),BS_Accounts,0))</f>
        <v>-352</v>
      </c>
      <c r="AA129" s="115">
        <f t="array" aca="1" ref="AA129" ca="1">INDEX(INDIRECT("BS_"&amp;TEXT(AA$1,"mmm")&amp;"_"&amp;TEXT(AA$1,"yyyy")),MATCH(TRIM($A129),BS_Accounts,0))</f>
        <v>-352</v>
      </c>
      <c r="AB129" s="115">
        <f t="array" aca="1" ref="AB129" ca="1">INDEX(INDIRECT("BS_"&amp;TEXT(AB$1,"mmm")&amp;"_"&amp;TEXT(AB$1,"yyyy")),MATCH(TRIM($A129),BS_Accounts,0))</f>
        <v>-352</v>
      </c>
      <c r="AC129" s="115">
        <f t="array" aca="1" ref="AC129" ca="1">INDEX(INDIRECT("BS_"&amp;TEXT(AC$1,"mmm")&amp;"_"&amp;TEXT(AC$1,"yyyy")),MATCH(TRIM($A129),BS_Accounts,0))</f>
        <v>-352</v>
      </c>
      <c r="AD129" s="115">
        <f t="array" aca="1" ref="AD129" ca="1">INDEX(INDIRECT("BS_"&amp;TEXT(AD$1,"mmm")&amp;"_"&amp;TEXT(AD$1,"yyyy")),MATCH(TRIM($A129),BS_Accounts,0))</f>
        <v>-352</v>
      </c>
      <c r="AE129" s="115">
        <f t="array" aca="1" ref="AE129" ca="1">INDEX(INDIRECT("BS_"&amp;TEXT(AE$1,"mmm")&amp;"_"&amp;TEXT(AE$1,"yyyy")),MATCH(TRIM($A129),BS_Accounts,0))</f>
        <v>-352</v>
      </c>
      <c r="AF129" s="165">
        <f t="shared" ref="AF129:BW129" ca="1" si="64">$B129</f>
        <v>-352</v>
      </c>
      <c r="AG129" s="165">
        <f t="shared" ca="1" si="64"/>
        <v>-352</v>
      </c>
      <c r="AH129" s="165">
        <f t="shared" ca="1" si="64"/>
        <v>-352</v>
      </c>
      <c r="AI129" s="165">
        <f t="shared" ca="1" si="64"/>
        <v>-352</v>
      </c>
      <c r="AJ129" s="165">
        <f t="shared" ca="1" si="64"/>
        <v>-352</v>
      </c>
      <c r="AK129" s="165">
        <f t="shared" ca="1" si="64"/>
        <v>-352</v>
      </c>
      <c r="AL129" s="165">
        <f t="shared" ca="1" si="64"/>
        <v>-352</v>
      </c>
      <c r="AM129" s="165">
        <f t="shared" ca="1" si="64"/>
        <v>-352</v>
      </c>
      <c r="AN129" s="165">
        <f t="shared" ca="1" si="64"/>
        <v>-352</v>
      </c>
      <c r="AO129" s="165">
        <f t="shared" ca="1" si="64"/>
        <v>-352</v>
      </c>
      <c r="AP129" s="165">
        <f t="shared" ca="1" si="64"/>
        <v>-352</v>
      </c>
      <c r="AQ129" s="165">
        <f t="shared" ca="1" si="64"/>
        <v>-352</v>
      </c>
      <c r="AR129" s="165">
        <f t="shared" ca="1" si="64"/>
        <v>-352</v>
      </c>
      <c r="AS129" s="165">
        <f t="shared" ca="1" si="64"/>
        <v>-352</v>
      </c>
      <c r="AT129" s="165">
        <f t="shared" ca="1" si="64"/>
        <v>-352</v>
      </c>
      <c r="AU129" s="165">
        <f t="shared" ca="1" si="64"/>
        <v>-352</v>
      </c>
      <c r="AV129" s="165">
        <f t="shared" ca="1" si="64"/>
        <v>-352</v>
      </c>
      <c r="AW129" s="165">
        <f t="shared" ca="1" si="64"/>
        <v>-352</v>
      </c>
      <c r="AX129" s="165">
        <f t="shared" ca="1" si="64"/>
        <v>-352</v>
      </c>
      <c r="AY129" s="165">
        <f t="shared" ca="1" si="64"/>
        <v>-352</v>
      </c>
      <c r="AZ129" s="165">
        <f t="shared" ca="1" si="64"/>
        <v>-352</v>
      </c>
      <c r="BA129" s="165">
        <f t="shared" ca="1" si="64"/>
        <v>-352</v>
      </c>
      <c r="BB129" s="165">
        <f t="shared" ca="1" si="64"/>
        <v>-352</v>
      </c>
      <c r="BC129" s="165">
        <f t="shared" ca="1" si="64"/>
        <v>-352</v>
      </c>
      <c r="BD129" s="165">
        <f t="shared" ca="1" si="64"/>
        <v>-352</v>
      </c>
      <c r="BE129" s="165">
        <f t="shared" ca="1" si="64"/>
        <v>-352</v>
      </c>
      <c r="BF129" s="165">
        <f t="shared" ca="1" si="64"/>
        <v>-352</v>
      </c>
      <c r="BG129" s="165">
        <f t="shared" ca="1" si="64"/>
        <v>-352</v>
      </c>
      <c r="BH129" s="165">
        <f t="shared" ca="1" si="64"/>
        <v>-352</v>
      </c>
      <c r="BI129" s="165">
        <f t="shared" ca="1" si="64"/>
        <v>-352</v>
      </c>
      <c r="BJ129" s="165">
        <f t="shared" ca="1" si="64"/>
        <v>-352</v>
      </c>
      <c r="BK129" s="165">
        <f t="shared" ca="1" si="64"/>
        <v>-352</v>
      </c>
      <c r="BL129" s="165">
        <f t="shared" ca="1" si="64"/>
        <v>-352</v>
      </c>
      <c r="BM129" s="165">
        <f t="shared" ca="1" si="64"/>
        <v>-352</v>
      </c>
      <c r="BN129" s="165">
        <f t="shared" ca="1" si="64"/>
        <v>-352</v>
      </c>
      <c r="BO129" s="165">
        <f t="shared" ca="1" si="64"/>
        <v>-352</v>
      </c>
      <c r="BP129" s="165">
        <f t="shared" ca="1" si="64"/>
        <v>-352</v>
      </c>
      <c r="BQ129" s="165">
        <f t="shared" ca="1" si="64"/>
        <v>-352</v>
      </c>
      <c r="BR129" s="165">
        <f t="shared" ca="1" si="64"/>
        <v>-352</v>
      </c>
      <c r="BS129" s="165">
        <f t="shared" ca="1" si="64"/>
        <v>-352</v>
      </c>
      <c r="BT129" s="165">
        <f t="shared" ca="1" si="64"/>
        <v>-352</v>
      </c>
      <c r="BU129" s="165">
        <f t="shared" ca="1" si="64"/>
        <v>-352</v>
      </c>
      <c r="BV129" s="165">
        <f t="shared" ca="1" si="64"/>
        <v>-352</v>
      </c>
      <c r="BW129" s="165">
        <f t="shared" ca="1" si="64"/>
        <v>-352</v>
      </c>
    </row>
    <row r="130" spans="1:75" ht="12.75" x14ac:dyDescent="0.2">
      <c r="A130" s="60" t="s">
        <v>370</v>
      </c>
      <c r="B130" s="238"/>
      <c r="C130" s="212"/>
      <c r="D130" s="226">
        <f t="shared" ref="D130:BW130" ca="1" si="65">SUM(D127:D129)</f>
        <v>-239</v>
      </c>
      <c r="E130" s="226">
        <f t="shared" ca="1" si="65"/>
        <v>-352</v>
      </c>
      <c r="F130" s="226">
        <f t="shared" ca="1" si="65"/>
        <v>-352</v>
      </c>
      <c r="G130" s="226">
        <f t="shared" ca="1" si="65"/>
        <v>-352</v>
      </c>
      <c r="H130" s="226">
        <f t="shared" ca="1" si="65"/>
        <v>-352</v>
      </c>
      <c r="I130" s="226">
        <f t="shared" ca="1" si="65"/>
        <v>-352</v>
      </c>
      <c r="J130" s="226">
        <f t="shared" ca="1" si="65"/>
        <v>-352</v>
      </c>
      <c r="K130" s="226">
        <f t="shared" ca="1" si="65"/>
        <v>-352</v>
      </c>
      <c r="L130" s="226">
        <f t="shared" ca="1" si="65"/>
        <v>-352</v>
      </c>
      <c r="M130" s="226">
        <f t="shared" ca="1" si="65"/>
        <v>-352</v>
      </c>
      <c r="N130" s="226">
        <f t="shared" ca="1" si="65"/>
        <v>-352</v>
      </c>
      <c r="O130" s="226">
        <f t="shared" ca="1" si="65"/>
        <v>-352</v>
      </c>
      <c r="P130" s="226">
        <f t="shared" ca="1" si="65"/>
        <v>-352</v>
      </c>
      <c r="Q130" s="226">
        <f t="shared" ca="1" si="65"/>
        <v>-352</v>
      </c>
      <c r="R130" s="226">
        <f t="shared" ca="1" si="65"/>
        <v>-352</v>
      </c>
      <c r="S130" s="226">
        <f t="shared" ca="1" si="65"/>
        <v>-352</v>
      </c>
      <c r="T130" s="226">
        <f t="shared" ca="1" si="65"/>
        <v>-352</v>
      </c>
      <c r="U130" s="226">
        <f t="shared" ca="1" si="65"/>
        <v>-352</v>
      </c>
      <c r="V130" s="226">
        <f t="shared" ca="1" si="65"/>
        <v>-352</v>
      </c>
      <c r="W130" s="226">
        <f t="shared" ca="1" si="65"/>
        <v>-352</v>
      </c>
      <c r="X130" s="226">
        <f t="shared" ca="1" si="65"/>
        <v>-352</v>
      </c>
      <c r="Y130" s="226">
        <f t="shared" ca="1" si="65"/>
        <v>-352</v>
      </c>
      <c r="Z130" s="226">
        <f t="shared" ca="1" si="65"/>
        <v>-352</v>
      </c>
      <c r="AA130" s="226">
        <f t="shared" ca="1" si="65"/>
        <v>-352</v>
      </c>
      <c r="AB130" s="226">
        <f t="shared" ca="1" si="65"/>
        <v>-352</v>
      </c>
      <c r="AC130" s="226">
        <f t="shared" ca="1" si="65"/>
        <v>-352</v>
      </c>
      <c r="AD130" s="226">
        <f t="shared" ca="1" si="65"/>
        <v>-352</v>
      </c>
      <c r="AE130" s="226">
        <f t="shared" ca="1" si="65"/>
        <v>-352</v>
      </c>
      <c r="AF130" s="226">
        <f t="shared" ca="1" si="65"/>
        <v>-352</v>
      </c>
      <c r="AG130" s="226">
        <f t="shared" ca="1" si="65"/>
        <v>-352</v>
      </c>
      <c r="AH130" s="226">
        <f t="shared" ca="1" si="65"/>
        <v>-352</v>
      </c>
      <c r="AI130" s="226">
        <f t="shared" ca="1" si="65"/>
        <v>-352</v>
      </c>
      <c r="AJ130" s="226">
        <f t="shared" ca="1" si="65"/>
        <v>-352</v>
      </c>
      <c r="AK130" s="226">
        <f t="shared" ca="1" si="65"/>
        <v>-352</v>
      </c>
      <c r="AL130" s="226">
        <f t="shared" ca="1" si="65"/>
        <v>-352</v>
      </c>
      <c r="AM130" s="226">
        <f t="shared" ca="1" si="65"/>
        <v>-352</v>
      </c>
      <c r="AN130" s="226">
        <f t="shared" ca="1" si="65"/>
        <v>-352</v>
      </c>
      <c r="AO130" s="226">
        <f t="shared" ca="1" si="65"/>
        <v>-352</v>
      </c>
      <c r="AP130" s="226">
        <f t="shared" ca="1" si="65"/>
        <v>-352</v>
      </c>
      <c r="AQ130" s="226">
        <f t="shared" ca="1" si="65"/>
        <v>-352</v>
      </c>
      <c r="AR130" s="226">
        <f t="shared" ca="1" si="65"/>
        <v>-352</v>
      </c>
      <c r="AS130" s="226">
        <f t="shared" ca="1" si="65"/>
        <v>-352</v>
      </c>
      <c r="AT130" s="226">
        <f t="shared" ca="1" si="65"/>
        <v>-352</v>
      </c>
      <c r="AU130" s="226">
        <f t="shared" ca="1" si="65"/>
        <v>-352</v>
      </c>
      <c r="AV130" s="226">
        <f t="shared" ca="1" si="65"/>
        <v>-352</v>
      </c>
      <c r="AW130" s="226">
        <f t="shared" ca="1" si="65"/>
        <v>-352</v>
      </c>
      <c r="AX130" s="226">
        <f t="shared" ca="1" si="65"/>
        <v>-352</v>
      </c>
      <c r="AY130" s="226">
        <f t="shared" ca="1" si="65"/>
        <v>-352</v>
      </c>
      <c r="AZ130" s="226">
        <f t="shared" ca="1" si="65"/>
        <v>-352</v>
      </c>
      <c r="BA130" s="226">
        <f t="shared" ca="1" si="65"/>
        <v>-352</v>
      </c>
      <c r="BB130" s="226">
        <f t="shared" ca="1" si="65"/>
        <v>-352</v>
      </c>
      <c r="BC130" s="226">
        <f t="shared" ca="1" si="65"/>
        <v>-352</v>
      </c>
      <c r="BD130" s="226">
        <f t="shared" ca="1" si="65"/>
        <v>-352</v>
      </c>
      <c r="BE130" s="226">
        <f t="shared" ca="1" si="65"/>
        <v>-352</v>
      </c>
      <c r="BF130" s="226">
        <f t="shared" ca="1" si="65"/>
        <v>-352</v>
      </c>
      <c r="BG130" s="226">
        <f t="shared" ca="1" si="65"/>
        <v>-352</v>
      </c>
      <c r="BH130" s="226">
        <f t="shared" ca="1" si="65"/>
        <v>-352</v>
      </c>
      <c r="BI130" s="226">
        <f t="shared" ca="1" si="65"/>
        <v>-352</v>
      </c>
      <c r="BJ130" s="226">
        <f t="shared" ca="1" si="65"/>
        <v>-352</v>
      </c>
      <c r="BK130" s="226">
        <f t="shared" ca="1" si="65"/>
        <v>-352</v>
      </c>
      <c r="BL130" s="226">
        <f t="shared" ca="1" si="65"/>
        <v>-352</v>
      </c>
      <c r="BM130" s="226">
        <f t="shared" ca="1" si="65"/>
        <v>-352</v>
      </c>
      <c r="BN130" s="226">
        <f t="shared" ca="1" si="65"/>
        <v>-352</v>
      </c>
      <c r="BO130" s="226">
        <f t="shared" ca="1" si="65"/>
        <v>-352</v>
      </c>
      <c r="BP130" s="226" t="e">
        <f t="shared" si="65"/>
        <v>#N/A</v>
      </c>
      <c r="BQ130" s="226" t="e">
        <f t="shared" si="65"/>
        <v>#N/A</v>
      </c>
      <c r="BR130" s="226" t="e">
        <f t="shared" si="65"/>
        <v>#N/A</v>
      </c>
      <c r="BS130" s="226" t="e">
        <f t="shared" si="65"/>
        <v>#N/A</v>
      </c>
      <c r="BT130" s="226" t="e">
        <f t="shared" si="65"/>
        <v>#N/A</v>
      </c>
      <c r="BU130" s="226" t="e">
        <f t="shared" si="65"/>
        <v>#N/A</v>
      </c>
      <c r="BV130" s="226" t="e">
        <f t="shared" si="65"/>
        <v>#N/A</v>
      </c>
      <c r="BW130" s="226" t="e">
        <f t="shared" si="65"/>
        <v>#N/A</v>
      </c>
    </row>
    <row r="131" spans="1:75" ht="12.75" x14ac:dyDescent="0.2">
      <c r="A131" s="60" t="s">
        <v>371</v>
      </c>
      <c r="B131" s="238"/>
      <c r="C131" s="212"/>
      <c r="D131" s="226">
        <f t="shared" ref="D131:BW131" ca="1" si="66">SUM(D130,D126)</f>
        <v>118</v>
      </c>
      <c r="E131" s="226">
        <f t="shared" ca="1" si="66"/>
        <v>-2108</v>
      </c>
      <c r="F131" s="226">
        <f t="shared" ca="1" si="66"/>
        <v>-2108</v>
      </c>
      <c r="G131" s="226">
        <f t="shared" ca="1" si="66"/>
        <v>-2108</v>
      </c>
      <c r="H131" s="226">
        <f t="shared" ca="1" si="66"/>
        <v>-2108</v>
      </c>
      <c r="I131" s="226">
        <f t="shared" ca="1" si="66"/>
        <v>-2108</v>
      </c>
      <c r="J131" s="226">
        <f t="shared" ca="1" si="66"/>
        <v>-2108</v>
      </c>
      <c r="K131" s="226">
        <f t="shared" ca="1" si="66"/>
        <v>-2108</v>
      </c>
      <c r="L131" s="226">
        <f t="shared" ca="1" si="66"/>
        <v>-2108</v>
      </c>
      <c r="M131" s="226">
        <f t="shared" ca="1" si="66"/>
        <v>-2108</v>
      </c>
      <c r="N131" s="226">
        <f t="shared" ca="1" si="66"/>
        <v>-2108</v>
      </c>
      <c r="O131" s="226">
        <f t="shared" ca="1" si="66"/>
        <v>-2108</v>
      </c>
      <c r="P131" s="226">
        <f t="shared" ca="1" si="66"/>
        <v>-2108</v>
      </c>
      <c r="Q131" s="226">
        <f t="shared" ca="1" si="66"/>
        <v>-2108</v>
      </c>
      <c r="R131" s="226">
        <f t="shared" ca="1" si="66"/>
        <v>-2108</v>
      </c>
      <c r="S131" s="226">
        <f t="shared" ca="1" si="66"/>
        <v>-2108</v>
      </c>
      <c r="T131" s="226">
        <f t="shared" ca="1" si="66"/>
        <v>-2108</v>
      </c>
      <c r="U131" s="226">
        <f t="shared" ca="1" si="66"/>
        <v>-2108</v>
      </c>
      <c r="V131" s="226">
        <f t="shared" ca="1" si="66"/>
        <v>-2108</v>
      </c>
      <c r="W131" s="226">
        <f t="shared" ca="1" si="66"/>
        <v>-2108</v>
      </c>
      <c r="X131" s="226">
        <f t="shared" ca="1" si="66"/>
        <v>-2108</v>
      </c>
      <c r="Y131" s="226">
        <f t="shared" ca="1" si="66"/>
        <v>-2108</v>
      </c>
      <c r="Z131" s="226">
        <f t="shared" ca="1" si="66"/>
        <v>-2108</v>
      </c>
      <c r="AA131" s="226">
        <f t="shared" ca="1" si="66"/>
        <v>-2108</v>
      </c>
      <c r="AB131" s="226">
        <f t="shared" ca="1" si="66"/>
        <v>-2108</v>
      </c>
      <c r="AC131" s="226">
        <f t="shared" ca="1" si="66"/>
        <v>-2108</v>
      </c>
      <c r="AD131" s="226">
        <f t="shared" ca="1" si="66"/>
        <v>-2108</v>
      </c>
      <c r="AE131" s="226">
        <f t="shared" ca="1" si="66"/>
        <v>-2108</v>
      </c>
      <c r="AF131" s="226">
        <f t="shared" ca="1" si="66"/>
        <v>-2108</v>
      </c>
      <c r="AG131" s="226">
        <f t="shared" ca="1" si="66"/>
        <v>-2108</v>
      </c>
      <c r="AH131" s="226">
        <f t="shared" ca="1" si="66"/>
        <v>-2108</v>
      </c>
      <c r="AI131" s="226">
        <f t="shared" ca="1" si="66"/>
        <v>-2108</v>
      </c>
      <c r="AJ131" s="226">
        <f t="shared" ca="1" si="66"/>
        <v>-2108</v>
      </c>
      <c r="AK131" s="226">
        <f t="shared" ca="1" si="66"/>
        <v>-2108</v>
      </c>
      <c r="AL131" s="226">
        <f t="shared" ca="1" si="66"/>
        <v>-2108</v>
      </c>
      <c r="AM131" s="226">
        <f t="shared" ca="1" si="66"/>
        <v>-2108</v>
      </c>
      <c r="AN131" s="226">
        <f t="shared" ca="1" si="66"/>
        <v>-2108</v>
      </c>
      <c r="AO131" s="226">
        <f t="shared" ca="1" si="66"/>
        <v>-2108</v>
      </c>
      <c r="AP131" s="226">
        <f t="shared" ca="1" si="66"/>
        <v>-2108</v>
      </c>
      <c r="AQ131" s="226">
        <f t="shared" ca="1" si="66"/>
        <v>-2108</v>
      </c>
      <c r="AR131" s="226">
        <f t="shared" ca="1" si="66"/>
        <v>-2108</v>
      </c>
      <c r="AS131" s="226">
        <f t="shared" ca="1" si="66"/>
        <v>-2108</v>
      </c>
      <c r="AT131" s="226">
        <f t="shared" ca="1" si="66"/>
        <v>-2108</v>
      </c>
      <c r="AU131" s="226">
        <f t="shared" ca="1" si="66"/>
        <v>-2108</v>
      </c>
      <c r="AV131" s="226">
        <f t="shared" ca="1" si="66"/>
        <v>-2108</v>
      </c>
      <c r="AW131" s="226">
        <f t="shared" ca="1" si="66"/>
        <v>-2108</v>
      </c>
      <c r="AX131" s="226">
        <f t="shared" ca="1" si="66"/>
        <v>-2108</v>
      </c>
      <c r="AY131" s="226">
        <f t="shared" ca="1" si="66"/>
        <v>-2108</v>
      </c>
      <c r="AZ131" s="226">
        <f t="shared" ca="1" si="66"/>
        <v>-2108</v>
      </c>
      <c r="BA131" s="226">
        <f t="shared" ca="1" si="66"/>
        <v>-2108</v>
      </c>
      <c r="BB131" s="226">
        <f t="shared" ca="1" si="66"/>
        <v>-2108</v>
      </c>
      <c r="BC131" s="226">
        <f t="shared" ca="1" si="66"/>
        <v>-2108</v>
      </c>
      <c r="BD131" s="226">
        <f t="shared" ca="1" si="66"/>
        <v>-2108</v>
      </c>
      <c r="BE131" s="226">
        <f t="shared" ca="1" si="66"/>
        <v>-2108</v>
      </c>
      <c r="BF131" s="226">
        <f t="shared" ca="1" si="66"/>
        <v>-2108</v>
      </c>
      <c r="BG131" s="226">
        <f t="shared" ca="1" si="66"/>
        <v>-2108</v>
      </c>
      <c r="BH131" s="226">
        <f t="shared" ca="1" si="66"/>
        <v>-2108</v>
      </c>
      <c r="BI131" s="226">
        <f t="shared" ca="1" si="66"/>
        <v>-2108</v>
      </c>
      <c r="BJ131" s="226">
        <f t="shared" ca="1" si="66"/>
        <v>-2108</v>
      </c>
      <c r="BK131" s="226">
        <f t="shared" ca="1" si="66"/>
        <v>-2108</v>
      </c>
      <c r="BL131" s="226">
        <f t="shared" ca="1" si="66"/>
        <v>-2108</v>
      </c>
      <c r="BM131" s="226">
        <f t="shared" ca="1" si="66"/>
        <v>-2108</v>
      </c>
      <c r="BN131" s="226">
        <f t="shared" ca="1" si="66"/>
        <v>-2108</v>
      </c>
      <c r="BO131" s="226">
        <f t="shared" ca="1" si="66"/>
        <v>-2108</v>
      </c>
      <c r="BP131" s="226" t="e">
        <f t="shared" si="66"/>
        <v>#N/A</v>
      </c>
      <c r="BQ131" s="226" t="e">
        <f t="shared" si="66"/>
        <v>#N/A</v>
      </c>
      <c r="BR131" s="226" t="e">
        <f t="shared" si="66"/>
        <v>#N/A</v>
      </c>
      <c r="BS131" s="226" t="e">
        <f t="shared" si="66"/>
        <v>#N/A</v>
      </c>
      <c r="BT131" s="226" t="e">
        <f t="shared" si="66"/>
        <v>#N/A</v>
      </c>
      <c r="BU131" s="226" t="e">
        <f t="shared" si="66"/>
        <v>#N/A</v>
      </c>
      <c r="BV131" s="226" t="e">
        <f t="shared" si="66"/>
        <v>#N/A</v>
      </c>
      <c r="BW131" s="226" t="e">
        <f t="shared" si="66"/>
        <v>#N/A</v>
      </c>
    </row>
    <row r="132" spans="1:75" ht="12.75" x14ac:dyDescent="0.2">
      <c r="A132" s="69" t="s">
        <v>244</v>
      </c>
      <c r="B132" s="221"/>
      <c r="D132" s="115">
        <f t="array" aca="1" ref="D132" ca="1">INDEX(INDIRECT("BS_"&amp;TEXT(D$1,"mmm")&amp;"_"&amp;TEXT(D$1,"yyyy")),MATCH(TRIM($A131),BS_Accounts,0))-D131</f>
        <v>0</v>
      </c>
      <c r="E132" s="115">
        <f t="array" aca="1" ref="E132" ca="1">INDEX(INDIRECT("BS_"&amp;TEXT(E$1,"mmm")&amp;"_"&amp;TEXT(E$1,"yyyy")),MATCH(TRIM($A131),BS_Accounts,0))-E131</f>
        <v>0</v>
      </c>
      <c r="F132" s="115">
        <f t="array" aca="1" ref="F132" ca="1">INDEX(INDIRECT("BS_"&amp;TEXT(F$1,"mmm")&amp;"_"&amp;TEXT(F$1,"yyyy")),MATCH(TRIM($A131),BS_Accounts,0))-F131</f>
        <v>0</v>
      </c>
      <c r="G132" s="115">
        <f t="array" aca="1" ref="G132" ca="1">INDEX(INDIRECT("BS_"&amp;TEXT(G$1,"mmm")&amp;"_"&amp;TEXT(G$1,"yyyy")),MATCH(TRIM($A131),BS_Accounts,0))-G131</f>
        <v>0</v>
      </c>
      <c r="H132" s="115">
        <f t="array" aca="1" ref="H132" ca="1">INDEX(INDIRECT("BS_"&amp;TEXT(H$1,"mmm")&amp;"_"&amp;TEXT(H$1,"yyyy")),MATCH(TRIM($A131),BS_Accounts,0))-H131</f>
        <v>0</v>
      </c>
      <c r="I132" s="115">
        <f t="array" aca="1" ref="I132" ca="1">INDEX(INDIRECT("BS_"&amp;TEXT(I$1,"mmm")&amp;"_"&amp;TEXT(I$1,"yyyy")),MATCH(TRIM($A131),BS_Accounts,0))-I131</f>
        <v>0</v>
      </c>
      <c r="J132" s="115">
        <f t="array" aca="1" ref="J132" ca="1">INDEX(INDIRECT("BS_"&amp;TEXT(J$1,"mmm")&amp;"_"&amp;TEXT(J$1,"yyyy")),MATCH(TRIM($A131),BS_Accounts,0))-J131</f>
        <v>0</v>
      </c>
      <c r="K132" s="115">
        <f t="array" aca="1" ref="K132" ca="1">INDEX(INDIRECT("BS_"&amp;TEXT(K$1,"mmm")&amp;"_"&amp;TEXT(K$1,"yyyy")),MATCH(TRIM($A131),BS_Accounts,0))-K131</f>
        <v>0</v>
      </c>
      <c r="L132" s="115">
        <f t="array" aca="1" ref="L132" ca="1">INDEX(INDIRECT("BS_"&amp;TEXT(L$1,"mmm")&amp;"_"&amp;TEXT(L$1,"yyyy")),MATCH(TRIM($A131),BS_Accounts,0))-L131</f>
        <v>0</v>
      </c>
      <c r="M132" s="115">
        <f t="array" aca="1" ref="M132" ca="1">INDEX(INDIRECT("BS_"&amp;TEXT(M$1,"mmm")&amp;"_"&amp;TEXT(M$1,"yyyy")),MATCH(TRIM($A131),BS_Accounts,0))-M131</f>
        <v>0</v>
      </c>
      <c r="N132" s="115">
        <f t="array" aca="1" ref="N132" ca="1">INDEX(INDIRECT("BS_"&amp;TEXT(N$1,"mmm")&amp;"_"&amp;TEXT(N$1,"yyyy")),MATCH(TRIM($A131),BS_Accounts,0))-N131</f>
        <v>0</v>
      </c>
      <c r="O132" s="115">
        <f t="array" aca="1" ref="O132" ca="1">INDEX(INDIRECT("BS_"&amp;TEXT(O$1,"mmm")&amp;"_"&amp;TEXT(O$1,"yyyy")),MATCH(TRIM($A131),BS_Accounts,0))-O131</f>
        <v>0</v>
      </c>
      <c r="P132" s="115">
        <f t="array" aca="1" ref="P132" ca="1">INDEX(INDIRECT("BS_"&amp;TEXT(P$1,"mmm")&amp;"_"&amp;TEXT(P$1,"yyyy")),MATCH(TRIM($A131),BS_Accounts,0))-P131</f>
        <v>0</v>
      </c>
      <c r="Q132" s="115">
        <f t="array" aca="1" ref="Q132" ca="1">INDEX(INDIRECT("BS_"&amp;TEXT(Q$1,"mmm")&amp;"_"&amp;TEXT(Q$1,"yyyy")),MATCH(TRIM($A131),BS_Accounts,0))-Q131</f>
        <v>0</v>
      </c>
      <c r="R132" s="115">
        <f t="array" aca="1" ref="R132" ca="1">INDEX(INDIRECT("BS_"&amp;TEXT(R$1,"mmm")&amp;"_"&amp;TEXT(R$1,"yyyy")),MATCH(TRIM($A131),BS_Accounts,0))-R131</f>
        <v>0</v>
      </c>
      <c r="S132" s="115">
        <f t="array" aca="1" ref="S132" ca="1">INDEX(INDIRECT("BS_"&amp;TEXT(S$1,"mmm")&amp;"_"&amp;TEXT(S$1,"yyyy")),MATCH(TRIM($A131),BS_Accounts,0))-S131</f>
        <v>0</v>
      </c>
      <c r="T132" s="115">
        <f t="array" aca="1" ref="T132" ca="1">INDEX(INDIRECT("BS_"&amp;TEXT(T$1,"mmm")&amp;"_"&amp;TEXT(T$1,"yyyy")),MATCH(TRIM($A131),BS_Accounts,0))-T131</f>
        <v>0</v>
      </c>
      <c r="U132" s="115">
        <f t="array" aca="1" ref="U132" ca="1">INDEX(INDIRECT("BS_"&amp;TEXT(U$1,"mmm")&amp;"_"&amp;TEXT(U$1,"yyyy")),MATCH(TRIM($A131),BS_Accounts,0))-U131</f>
        <v>0</v>
      </c>
      <c r="V132" s="115">
        <f t="array" aca="1" ref="V132" ca="1">INDEX(INDIRECT("BS_"&amp;TEXT(V$1,"mmm")&amp;"_"&amp;TEXT(V$1,"yyyy")),MATCH(TRIM($A131),BS_Accounts,0))-V131</f>
        <v>0</v>
      </c>
      <c r="W132" s="115">
        <f t="array" aca="1" ref="W132" ca="1">INDEX(INDIRECT("BS_"&amp;TEXT(W$1,"mmm")&amp;"_"&amp;TEXT(W$1,"yyyy")),MATCH(TRIM($A131),BS_Accounts,0))-W131</f>
        <v>0</v>
      </c>
      <c r="X132" s="115">
        <f t="array" aca="1" ref="X132" ca="1">INDEX(INDIRECT("BS_"&amp;TEXT(X$1,"mmm")&amp;"_"&amp;TEXT(X$1,"yyyy")),MATCH(TRIM($A131),BS_Accounts,0))-X131</f>
        <v>0</v>
      </c>
      <c r="Y132" s="115">
        <f t="array" aca="1" ref="Y132" ca="1">INDEX(INDIRECT("BS_"&amp;TEXT(Y$1,"mmm")&amp;"_"&amp;TEXT(Y$1,"yyyy")),MATCH(TRIM($A131),BS_Accounts,0))-Y131</f>
        <v>0</v>
      </c>
      <c r="Z132" s="115">
        <f t="array" aca="1" ref="Z132" ca="1">INDEX(INDIRECT("BS_"&amp;TEXT(Z$1,"mmm")&amp;"_"&amp;TEXT(Z$1,"yyyy")),MATCH(TRIM($A131),BS_Accounts,0))-Z131</f>
        <v>0</v>
      </c>
      <c r="AA132" s="115">
        <f t="array" aca="1" ref="AA132" ca="1">INDEX(INDIRECT("BS_"&amp;TEXT(AA$1,"mmm")&amp;"_"&amp;TEXT(AA$1,"yyyy")),MATCH(TRIM($A131),BS_Accounts,0))-AA131</f>
        <v>0</v>
      </c>
      <c r="AB132" s="115">
        <f t="array" aca="1" ref="AB132" ca="1">INDEX(INDIRECT("BS_"&amp;TEXT(AB$1,"mmm")&amp;"_"&amp;TEXT(AB$1,"yyyy")),MATCH(TRIM($A131),BS_Accounts,0))-AB131</f>
        <v>0</v>
      </c>
      <c r="AC132" s="115">
        <f t="array" aca="1" ref="AC132" ca="1">INDEX(INDIRECT("BS_"&amp;TEXT(AC$1,"mmm")&amp;"_"&amp;TEXT(AC$1,"yyyy")),MATCH(TRIM($A131),BS_Accounts,0))-AC131</f>
        <v>0</v>
      </c>
      <c r="AD132" s="115">
        <f t="array" aca="1" ref="AD132" ca="1">INDEX(INDIRECT("BS_"&amp;TEXT(AD$1,"mmm")&amp;"_"&amp;TEXT(AD$1,"yyyy")),MATCH(TRIM($A131),BS_Accounts,0))-AD131</f>
        <v>0</v>
      </c>
      <c r="AE132" s="115">
        <f t="array" aca="1" ref="AE132" ca="1">INDEX(INDIRECT("BS_"&amp;TEXT(AE$1,"mmm")&amp;"_"&amp;TEXT(AE$1,"yyyy")),MATCH(TRIM($A131),BS_Accounts,0))-AE131</f>
        <v>0</v>
      </c>
    </row>
    <row r="133" spans="1:75" ht="12.75" x14ac:dyDescent="0.2">
      <c r="A133" s="23" t="s">
        <v>372</v>
      </c>
      <c r="B133" s="221"/>
      <c r="D133" s="123">
        <f t="array" aca="1" ref="D133" ca="1">INDEX(INDIRECT("BS_"&amp;TEXT(D$1,"mmm")&amp;"_"&amp;TEXT(D$1,"yyyy")),MATCH(TRIM($A133),BS_Accounts,0))</f>
        <v>0</v>
      </c>
      <c r="E133" s="123">
        <f t="array" aca="1" ref="E133" ca="1">INDEX(INDIRECT("BS_"&amp;TEXT(E$1,"mmm")&amp;"_"&amp;TEXT(E$1,"yyyy")),MATCH(TRIM($A133),BS_Accounts,0))</f>
        <v>0</v>
      </c>
      <c r="F133" s="123">
        <f t="array" aca="1" ref="F133" ca="1">INDEX(INDIRECT("BS_"&amp;TEXT(F$1,"mmm")&amp;"_"&amp;TEXT(F$1,"yyyy")),MATCH(TRIM($A133),BS_Accounts,0))</f>
        <v>0</v>
      </c>
      <c r="G133" s="123">
        <f t="array" aca="1" ref="G133" ca="1">INDEX(INDIRECT("BS_"&amp;TEXT(G$1,"mmm")&amp;"_"&amp;TEXT(G$1,"yyyy")),MATCH(TRIM($A133),BS_Accounts,0))</f>
        <v>0</v>
      </c>
      <c r="H133" s="123">
        <f t="array" aca="1" ref="H133" ca="1">INDEX(INDIRECT("BS_"&amp;TEXT(H$1,"mmm")&amp;"_"&amp;TEXT(H$1,"yyyy")),MATCH(TRIM($A133),BS_Accounts,0))</f>
        <v>0</v>
      </c>
      <c r="I133" s="123">
        <f t="array" aca="1" ref="I133" ca="1">INDEX(INDIRECT("BS_"&amp;TEXT(I$1,"mmm")&amp;"_"&amp;TEXT(I$1,"yyyy")),MATCH(TRIM($A133),BS_Accounts,0))</f>
        <v>0</v>
      </c>
      <c r="J133" s="123">
        <f t="array" aca="1" ref="J133" ca="1">INDEX(INDIRECT("BS_"&amp;TEXT(J$1,"mmm")&amp;"_"&amp;TEXT(J$1,"yyyy")),MATCH(TRIM($A133),BS_Accounts,0))</f>
        <v>0</v>
      </c>
      <c r="K133" s="123">
        <f t="array" aca="1" ref="K133" ca="1">INDEX(INDIRECT("BS_"&amp;TEXT(K$1,"mmm")&amp;"_"&amp;TEXT(K$1,"yyyy")),MATCH(TRIM($A133),BS_Accounts,0))</f>
        <v>0</v>
      </c>
      <c r="L133" s="123">
        <f t="array" aca="1" ref="L133" ca="1">INDEX(INDIRECT("BS_"&amp;TEXT(L$1,"mmm")&amp;"_"&amp;TEXT(L$1,"yyyy")),MATCH(TRIM($A133),BS_Accounts,0))</f>
        <v>0</v>
      </c>
      <c r="M133" s="123">
        <f t="array" aca="1" ref="M133" ca="1">INDEX(INDIRECT("BS_"&amp;TEXT(M$1,"mmm")&amp;"_"&amp;TEXT(M$1,"yyyy")),MATCH(TRIM($A133),BS_Accounts,0))</f>
        <v>0</v>
      </c>
      <c r="N133" s="123">
        <f t="array" aca="1" ref="N133" ca="1">INDEX(INDIRECT("BS_"&amp;TEXT(N$1,"mmm")&amp;"_"&amp;TEXT(N$1,"yyyy")),MATCH(TRIM($A133),BS_Accounts,0))</f>
        <v>0</v>
      </c>
      <c r="O133" s="123">
        <f t="array" aca="1" ref="O133" ca="1">INDEX(INDIRECT("BS_"&amp;TEXT(O$1,"mmm")&amp;"_"&amp;TEXT(O$1,"yyyy")),MATCH(TRIM($A133),BS_Accounts,0))</f>
        <v>0</v>
      </c>
      <c r="P133" s="123">
        <f t="array" aca="1" ref="P133" ca="1">INDEX(INDIRECT("BS_"&amp;TEXT(P$1,"mmm")&amp;"_"&amp;TEXT(P$1,"yyyy")),MATCH(TRIM($A133),BS_Accounts,0))</f>
        <v>0</v>
      </c>
      <c r="Q133" s="123">
        <f t="array" aca="1" ref="Q133" ca="1">INDEX(INDIRECT("BS_"&amp;TEXT(Q$1,"mmm")&amp;"_"&amp;TEXT(Q$1,"yyyy")),MATCH(TRIM($A133),BS_Accounts,0))</f>
        <v>0</v>
      </c>
      <c r="R133" s="123">
        <f t="array" aca="1" ref="R133" ca="1">INDEX(INDIRECT("BS_"&amp;TEXT(R$1,"mmm")&amp;"_"&amp;TEXT(R$1,"yyyy")),MATCH(TRIM($A133),BS_Accounts,0))</f>
        <v>0</v>
      </c>
      <c r="S133" s="123">
        <f t="array" aca="1" ref="S133" ca="1">INDEX(INDIRECT("BS_"&amp;TEXT(S$1,"mmm")&amp;"_"&amp;TEXT(S$1,"yyyy")),MATCH(TRIM($A133),BS_Accounts,0))</f>
        <v>0</v>
      </c>
      <c r="T133" s="123">
        <f t="array" aca="1" ref="T133" ca="1">INDEX(INDIRECT("BS_"&amp;TEXT(T$1,"mmm")&amp;"_"&amp;TEXT(T$1,"yyyy")),MATCH(TRIM($A133),BS_Accounts,0))</f>
        <v>0</v>
      </c>
      <c r="U133" s="123">
        <f t="array" aca="1" ref="U133" ca="1">INDEX(INDIRECT("BS_"&amp;TEXT(U$1,"mmm")&amp;"_"&amp;TEXT(U$1,"yyyy")),MATCH(TRIM($A133),BS_Accounts,0))</f>
        <v>0</v>
      </c>
      <c r="V133" s="123">
        <f t="array" aca="1" ref="V133" ca="1">INDEX(INDIRECT("BS_"&amp;TEXT(V$1,"mmm")&amp;"_"&amp;TEXT(V$1,"yyyy")),MATCH(TRIM($A133),BS_Accounts,0))</f>
        <v>0</v>
      </c>
      <c r="W133" s="123">
        <f t="array" aca="1" ref="W133" ca="1">INDEX(INDIRECT("BS_"&amp;TEXT(W$1,"mmm")&amp;"_"&amp;TEXT(W$1,"yyyy")),MATCH(TRIM($A133),BS_Accounts,0))</f>
        <v>0</v>
      </c>
      <c r="X133" s="123">
        <f t="array" aca="1" ref="X133" ca="1">INDEX(INDIRECT("BS_"&amp;TEXT(X$1,"mmm")&amp;"_"&amp;TEXT(X$1,"yyyy")),MATCH(TRIM($A133),BS_Accounts,0))</f>
        <v>0</v>
      </c>
      <c r="Y133" s="123">
        <f t="array" aca="1" ref="Y133" ca="1">INDEX(INDIRECT("BS_"&amp;TEXT(Y$1,"mmm")&amp;"_"&amp;TEXT(Y$1,"yyyy")),MATCH(TRIM($A133),BS_Accounts,0))</f>
        <v>0</v>
      </c>
      <c r="Z133" s="123">
        <f t="array" aca="1" ref="Z133" ca="1">INDEX(INDIRECT("BS_"&amp;TEXT(Z$1,"mmm")&amp;"_"&amp;TEXT(Z$1,"yyyy")),MATCH(TRIM($A133),BS_Accounts,0))</f>
        <v>0</v>
      </c>
      <c r="AA133" s="123">
        <f t="array" aca="1" ref="AA133" ca="1">INDEX(INDIRECT("BS_"&amp;TEXT(AA$1,"mmm")&amp;"_"&amp;TEXT(AA$1,"yyyy")),MATCH(TRIM($A133),BS_Accounts,0))</f>
        <v>0</v>
      </c>
      <c r="AB133" s="123">
        <f t="array" aca="1" ref="AB133" ca="1">INDEX(INDIRECT("BS_"&amp;TEXT(AB$1,"mmm")&amp;"_"&amp;TEXT(AB$1,"yyyy")),MATCH(TRIM($A133),BS_Accounts,0))</f>
        <v>0</v>
      </c>
      <c r="AC133" s="123">
        <f t="array" aca="1" ref="AC133" ca="1">INDEX(INDIRECT("BS_"&amp;TEXT(AC$1,"mmm")&amp;"_"&amp;TEXT(AC$1,"yyyy")),MATCH(TRIM($A133),BS_Accounts,0))</f>
        <v>0</v>
      </c>
      <c r="AD133" s="123">
        <f t="array" aca="1" ref="AD133" ca="1">INDEX(INDIRECT("BS_"&amp;TEXT(AD$1,"mmm")&amp;"_"&amp;TEXT(AD$1,"yyyy")),MATCH(TRIM($A133),BS_Accounts,0))</f>
        <v>0</v>
      </c>
      <c r="AE133" s="123">
        <f t="array" aca="1" ref="AE133" ca="1">INDEX(INDIRECT("BS_"&amp;TEXT(AE$1,"mmm")&amp;"_"&amp;TEXT(AE$1,"yyyy")),MATCH(TRIM($A133),BS_Accounts,0))</f>
        <v>0</v>
      </c>
    </row>
    <row r="134" spans="1:75" ht="12.75" x14ac:dyDescent="0.2">
      <c r="A134" s="23" t="s">
        <v>373</v>
      </c>
      <c r="B134" s="224">
        <f ca="1">AVERAGEIFS(134:134,$1:$1,"&gt;="&amp;DATE(YEAR(Current_Month),MONTH(Current_Month),DAY(Current_Month)),$1:$1,"&lt;="&amp;EOMONTH(Current_Month,0))</f>
        <v>2350000</v>
      </c>
      <c r="D134" s="115">
        <f t="array" aca="1" ref="D134" ca="1">INDEX(INDIRECT("BS_"&amp;TEXT(D$1,"mmm")&amp;"_"&amp;TEXT(D$1,"yyyy")),MATCH(TRIM($A134),BS_Accounts,0))</f>
        <v>550000</v>
      </c>
      <c r="E134" s="115">
        <f t="array" aca="1" ref="E134" ca="1">INDEX(INDIRECT("BS_"&amp;TEXT(E$1,"mmm")&amp;"_"&amp;TEXT(E$1,"yyyy")),MATCH(TRIM($A134),BS_Accounts,0))</f>
        <v>650000</v>
      </c>
      <c r="F134" s="115">
        <f t="array" aca="1" ref="F134" ca="1">INDEX(INDIRECT("BS_"&amp;TEXT(F$1,"mmm")&amp;"_"&amp;TEXT(F$1,"yyyy")),MATCH(TRIM($A134),BS_Accounts,0))</f>
        <v>650000</v>
      </c>
      <c r="G134" s="115">
        <f t="array" aca="1" ref="G134" ca="1">INDEX(INDIRECT("BS_"&amp;TEXT(G$1,"mmm")&amp;"_"&amp;TEXT(G$1,"yyyy")),MATCH(TRIM($A134),BS_Accounts,0))</f>
        <v>650000</v>
      </c>
      <c r="H134" s="115">
        <f t="array" aca="1" ref="H134" ca="1">INDEX(INDIRECT("BS_"&amp;TEXT(H$1,"mmm")&amp;"_"&amp;TEXT(H$1,"yyyy")),MATCH(TRIM($A134),BS_Accounts,0))</f>
        <v>650000</v>
      </c>
      <c r="I134" s="115">
        <f t="array" aca="1" ref="I134" ca="1">INDEX(INDIRECT("BS_"&amp;TEXT(I$1,"mmm")&amp;"_"&amp;TEXT(I$1,"yyyy")),MATCH(TRIM($A134),BS_Accounts,0))</f>
        <v>650000</v>
      </c>
      <c r="J134" s="115">
        <f t="array" aca="1" ref="J134" ca="1">INDEX(INDIRECT("BS_"&amp;TEXT(J$1,"mmm")&amp;"_"&amp;TEXT(J$1,"yyyy")),MATCH(TRIM($A134),BS_Accounts,0))</f>
        <v>650000</v>
      </c>
      <c r="K134" s="115">
        <f t="array" aca="1" ref="K134" ca="1">INDEX(INDIRECT("BS_"&amp;TEXT(K$1,"mmm")&amp;"_"&amp;TEXT(K$1,"yyyy")),MATCH(TRIM($A134),BS_Accounts,0))</f>
        <v>650000</v>
      </c>
      <c r="L134" s="115">
        <f t="array" aca="1" ref="L134" ca="1">INDEX(INDIRECT("BS_"&amp;TEXT(L$1,"mmm")&amp;"_"&amp;TEXT(L$1,"yyyy")),MATCH(TRIM($A134),BS_Accounts,0))</f>
        <v>650000</v>
      </c>
      <c r="M134" s="115">
        <f t="array" aca="1" ref="M134" ca="1">INDEX(INDIRECT("BS_"&amp;TEXT(M$1,"mmm")&amp;"_"&amp;TEXT(M$1,"yyyy")),MATCH(TRIM($A134),BS_Accounts,0))</f>
        <v>1250000</v>
      </c>
      <c r="N134" s="115">
        <f t="array" aca="1" ref="N134" ca="1">INDEX(INDIRECT("BS_"&amp;TEXT(N$1,"mmm")&amp;"_"&amp;TEXT(N$1,"yyyy")),MATCH(TRIM($A134),BS_Accounts,0))</f>
        <v>1250000</v>
      </c>
      <c r="O134" s="115">
        <f t="array" aca="1" ref="O134" ca="1">INDEX(INDIRECT("BS_"&amp;TEXT(O$1,"mmm")&amp;"_"&amp;TEXT(O$1,"yyyy")),MATCH(TRIM($A134),BS_Accounts,0))</f>
        <v>1250000</v>
      </c>
      <c r="P134" s="115">
        <f t="array" aca="1" ref="P134" ca="1">INDEX(INDIRECT("BS_"&amp;TEXT(P$1,"mmm")&amp;"_"&amp;TEXT(P$1,"yyyy")),MATCH(TRIM($A134),BS_Accounts,0))</f>
        <v>1750000</v>
      </c>
      <c r="Q134" s="115">
        <f t="array" aca="1" ref="Q134" ca="1">INDEX(INDIRECT("BS_"&amp;TEXT(Q$1,"mmm")&amp;"_"&amp;TEXT(Q$1,"yyyy")),MATCH(TRIM($A134),BS_Accounts,0))</f>
        <v>1750000</v>
      </c>
      <c r="R134" s="115">
        <f t="array" aca="1" ref="R134" ca="1">INDEX(INDIRECT("BS_"&amp;TEXT(R$1,"mmm")&amp;"_"&amp;TEXT(R$1,"yyyy")),MATCH(TRIM($A134),BS_Accounts,0))</f>
        <v>1750000</v>
      </c>
      <c r="S134" s="115">
        <f t="array" aca="1" ref="S134" ca="1">INDEX(INDIRECT("BS_"&amp;TEXT(S$1,"mmm")&amp;"_"&amp;TEXT(S$1,"yyyy")),MATCH(TRIM($A134),BS_Accounts,0))</f>
        <v>1750000</v>
      </c>
      <c r="T134" s="115">
        <f t="array" aca="1" ref="T134" ca="1">INDEX(INDIRECT("BS_"&amp;TEXT(T$1,"mmm")&amp;"_"&amp;TEXT(T$1,"yyyy")),MATCH(TRIM($A134),BS_Accounts,0))</f>
        <v>2050000</v>
      </c>
      <c r="U134" s="115">
        <f t="array" aca="1" ref="U134" ca="1">INDEX(INDIRECT("BS_"&amp;TEXT(U$1,"mmm")&amp;"_"&amp;TEXT(U$1,"yyyy")),MATCH(TRIM($A134),BS_Accounts,0))</f>
        <v>2050000</v>
      </c>
      <c r="V134" s="115">
        <f t="array" aca="1" ref="V134" ca="1">INDEX(INDIRECT("BS_"&amp;TEXT(V$1,"mmm")&amp;"_"&amp;TEXT(V$1,"yyyy")),MATCH(TRIM($A134),BS_Accounts,0))</f>
        <v>2050000</v>
      </c>
      <c r="W134" s="115">
        <f t="array" aca="1" ref="W134" ca="1">INDEX(INDIRECT("BS_"&amp;TEXT(W$1,"mmm")&amp;"_"&amp;TEXT(W$1,"yyyy")),MATCH(TRIM($A134),BS_Accounts,0))</f>
        <v>2050000</v>
      </c>
      <c r="X134" s="115">
        <f t="array" aca="1" ref="X134" ca="1">INDEX(INDIRECT("BS_"&amp;TEXT(X$1,"mmm")&amp;"_"&amp;TEXT(X$1,"yyyy")),MATCH(TRIM($A134),BS_Accounts,0))</f>
        <v>2050000</v>
      </c>
      <c r="Y134" s="115">
        <f t="array" aca="1" ref="Y134" ca="1">INDEX(INDIRECT("BS_"&amp;TEXT(Y$1,"mmm")&amp;"_"&amp;TEXT(Y$1,"yyyy")),MATCH(TRIM($A134),BS_Accounts,0))</f>
        <v>2350000</v>
      </c>
      <c r="Z134" s="115">
        <f t="array" aca="1" ref="Z134" ca="1">INDEX(INDIRECT("BS_"&amp;TEXT(Z$1,"mmm")&amp;"_"&amp;TEXT(Z$1,"yyyy")),MATCH(TRIM($A134),BS_Accounts,0))</f>
        <v>2350000</v>
      </c>
      <c r="AA134" s="115">
        <f t="array" aca="1" ref="AA134" ca="1">INDEX(INDIRECT("BS_"&amp;TEXT(AA$1,"mmm")&amp;"_"&amp;TEXT(AA$1,"yyyy")),MATCH(TRIM($A134),BS_Accounts,0))</f>
        <v>2350000</v>
      </c>
      <c r="AB134" s="115">
        <f t="array" aca="1" ref="AB134" ca="1">INDEX(INDIRECT("BS_"&amp;TEXT(AB$1,"mmm")&amp;"_"&amp;TEXT(AB$1,"yyyy")),MATCH(TRIM($A134),BS_Accounts,0))</f>
        <v>2350000</v>
      </c>
      <c r="AC134" s="115">
        <f t="array" aca="1" ref="AC134" ca="1">INDEX(INDIRECT("BS_"&amp;TEXT(AC$1,"mmm")&amp;"_"&amp;TEXT(AC$1,"yyyy")),MATCH(TRIM($A134),BS_Accounts,0))</f>
        <v>2350000</v>
      </c>
      <c r="AD134" s="115">
        <f t="array" aca="1" ref="AD134" ca="1">INDEX(INDIRECT("BS_"&amp;TEXT(AD$1,"mmm")&amp;"_"&amp;TEXT(AD$1,"yyyy")),MATCH(TRIM($A134),BS_Accounts,0))</f>
        <v>2350000</v>
      </c>
      <c r="AE134" s="115">
        <f t="array" aca="1" ref="AE134" ca="1">INDEX(INDIRECT("BS_"&amp;TEXT(AE$1,"mmm")&amp;"_"&amp;TEXT(AE$1,"yyyy")),MATCH(TRIM($A134),BS_Accounts,0))</f>
        <v>2350000</v>
      </c>
      <c r="AF134" s="165">
        <f t="shared" ref="AF134:BW134" ca="1" si="67">$B134</f>
        <v>2350000</v>
      </c>
      <c r="AG134" s="165">
        <f t="shared" ca="1" si="67"/>
        <v>2350000</v>
      </c>
      <c r="AH134" s="165">
        <f t="shared" ca="1" si="67"/>
        <v>2350000</v>
      </c>
      <c r="AI134" s="165">
        <f t="shared" ca="1" si="67"/>
        <v>2350000</v>
      </c>
      <c r="AJ134" s="165">
        <f t="shared" ca="1" si="67"/>
        <v>2350000</v>
      </c>
      <c r="AK134" s="165">
        <f t="shared" ca="1" si="67"/>
        <v>2350000</v>
      </c>
      <c r="AL134" s="165">
        <f t="shared" ca="1" si="67"/>
        <v>2350000</v>
      </c>
      <c r="AM134" s="165">
        <f t="shared" ca="1" si="67"/>
        <v>2350000</v>
      </c>
      <c r="AN134" s="165">
        <f t="shared" ca="1" si="67"/>
        <v>2350000</v>
      </c>
      <c r="AO134" s="165">
        <f t="shared" ca="1" si="67"/>
        <v>2350000</v>
      </c>
      <c r="AP134" s="165">
        <f t="shared" ca="1" si="67"/>
        <v>2350000</v>
      </c>
      <c r="AQ134" s="165">
        <f t="shared" ca="1" si="67"/>
        <v>2350000</v>
      </c>
      <c r="AR134" s="165">
        <f t="shared" ca="1" si="67"/>
        <v>2350000</v>
      </c>
      <c r="AS134" s="165">
        <f t="shared" ca="1" si="67"/>
        <v>2350000</v>
      </c>
      <c r="AT134" s="165">
        <f t="shared" ca="1" si="67"/>
        <v>2350000</v>
      </c>
      <c r="AU134" s="165">
        <f t="shared" ca="1" si="67"/>
        <v>2350000</v>
      </c>
      <c r="AV134" s="165">
        <f t="shared" ca="1" si="67"/>
        <v>2350000</v>
      </c>
      <c r="AW134" s="165">
        <f t="shared" ca="1" si="67"/>
        <v>2350000</v>
      </c>
      <c r="AX134" s="165">
        <f t="shared" ca="1" si="67"/>
        <v>2350000</v>
      </c>
      <c r="AY134" s="165">
        <f t="shared" ca="1" si="67"/>
        <v>2350000</v>
      </c>
      <c r="AZ134" s="165">
        <f t="shared" ca="1" si="67"/>
        <v>2350000</v>
      </c>
      <c r="BA134" s="165">
        <f t="shared" ca="1" si="67"/>
        <v>2350000</v>
      </c>
      <c r="BB134" s="165">
        <f t="shared" ca="1" si="67"/>
        <v>2350000</v>
      </c>
      <c r="BC134" s="165">
        <f t="shared" ca="1" si="67"/>
        <v>2350000</v>
      </c>
      <c r="BD134" s="165">
        <f t="shared" ca="1" si="67"/>
        <v>2350000</v>
      </c>
      <c r="BE134" s="165">
        <f t="shared" ca="1" si="67"/>
        <v>2350000</v>
      </c>
      <c r="BF134" s="165">
        <f t="shared" ca="1" si="67"/>
        <v>2350000</v>
      </c>
      <c r="BG134" s="165">
        <f t="shared" ca="1" si="67"/>
        <v>2350000</v>
      </c>
      <c r="BH134" s="165">
        <f t="shared" ca="1" si="67"/>
        <v>2350000</v>
      </c>
      <c r="BI134" s="165">
        <f t="shared" ca="1" si="67"/>
        <v>2350000</v>
      </c>
      <c r="BJ134" s="165">
        <f t="shared" ca="1" si="67"/>
        <v>2350000</v>
      </c>
      <c r="BK134" s="165">
        <f t="shared" ca="1" si="67"/>
        <v>2350000</v>
      </c>
      <c r="BL134" s="165">
        <f t="shared" ca="1" si="67"/>
        <v>2350000</v>
      </c>
      <c r="BM134" s="165">
        <f t="shared" ca="1" si="67"/>
        <v>2350000</v>
      </c>
      <c r="BN134" s="165">
        <f t="shared" ca="1" si="67"/>
        <v>2350000</v>
      </c>
      <c r="BO134" s="165">
        <f t="shared" ca="1" si="67"/>
        <v>2350000</v>
      </c>
      <c r="BP134" s="165">
        <f t="shared" ca="1" si="67"/>
        <v>2350000</v>
      </c>
      <c r="BQ134" s="165">
        <f t="shared" ca="1" si="67"/>
        <v>2350000</v>
      </c>
      <c r="BR134" s="165">
        <f t="shared" ca="1" si="67"/>
        <v>2350000</v>
      </c>
      <c r="BS134" s="165">
        <f t="shared" ca="1" si="67"/>
        <v>2350000</v>
      </c>
      <c r="BT134" s="165">
        <f t="shared" ca="1" si="67"/>
        <v>2350000</v>
      </c>
      <c r="BU134" s="165">
        <f t="shared" ca="1" si="67"/>
        <v>2350000</v>
      </c>
      <c r="BV134" s="165">
        <f t="shared" ca="1" si="67"/>
        <v>2350000</v>
      </c>
      <c r="BW134" s="165">
        <f t="shared" ca="1" si="67"/>
        <v>2350000</v>
      </c>
    </row>
    <row r="135" spans="1:75" ht="12.75" x14ac:dyDescent="0.2">
      <c r="A135" s="23" t="s">
        <v>374</v>
      </c>
      <c r="B135" s="224">
        <f ca="1">AVERAGEIFS(135:135,$1:$1,"&gt;="&amp;DATE(YEAR(Current_Month),MONTH(Current_Month),DAY(Current_Month)),$1:$1,"&lt;="&amp;EOMONTH(Current_Month,0))</f>
        <v>500000</v>
      </c>
      <c r="D135" s="115">
        <f t="array" aca="1" ref="D135" ca="1">INDEX(INDIRECT("BS_"&amp;TEXT(D$1,"mmm")&amp;"_"&amp;TEXT(D$1,"yyyy")),MATCH(TRIM($A135),BS_Accounts,0))</f>
        <v>500000</v>
      </c>
      <c r="E135" s="115">
        <f t="array" aca="1" ref="E135" ca="1">INDEX(INDIRECT("BS_"&amp;TEXT(E$1,"mmm")&amp;"_"&amp;TEXT(E$1,"yyyy")),MATCH(TRIM($A135),BS_Accounts,0))</f>
        <v>500000</v>
      </c>
      <c r="F135" s="115">
        <f t="array" aca="1" ref="F135" ca="1">INDEX(INDIRECT("BS_"&amp;TEXT(F$1,"mmm")&amp;"_"&amp;TEXT(F$1,"yyyy")),MATCH(TRIM($A135),BS_Accounts,0))</f>
        <v>500000</v>
      </c>
      <c r="G135" s="115">
        <f t="array" aca="1" ref="G135" ca="1">INDEX(INDIRECT("BS_"&amp;TEXT(G$1,"mmm")&amp;"_"&amp;TEXT(G$1,"yyyy")),MATCH(TRIM($A135),BS_Accounts,0))</f>
        <v>500000</v>
      </c>
      <c r="H135" s="115">
        <f t="array" aca="1" ref="H135" ca="1">INDEX(INDIRECT("BS_"&amp;TEXT(H$1,"mmm")&amp;"_"&amp;TEXT(H$1,"yyyy")),MATCH(TRIM($A135),BS_Accounts,0))</f>
        <v>500000</v>
      </c>
      <c r="I135" s="115">
        <f t="array" aca="1" ref="I135" ca="1">INDEX(INDIRECT("BS_"&amp;TEXT(I$1,"mmm")&amp;"_"&amp;TEXT(I$1,"yyyy")),MATCH(TRIM($A135),BS_Accounts,0))</f>
        <v>500000</v>
      </c>
      <c r="J135" s="115">
        <f t="array" aca="1" ref="J135" ca="1">INDEX(INDIRECT("BS_"&amp;TEXT(J$1,"mmm")&amp;"_"&amp;TEXT(J$1,"yyyy")),MATCH(TRIM($A135),BS_Accounts,0))</f>
        <v>500000</v>
      </c>
      <c r="K135" s="115">
        <f t="array" aca="1" ref="K135" ca="1">INDEX(INDIRECT("BS_"&amp;TEXT(K$1,"mmm")&amp;"_"&amp;TEXT(K$1,"yyyy")),MATCH(TRIM($A135),BS_Accounts,0))</f>
        <v>500000</v>
      </c>
      <c r="L135" s="115">
        <f t="array" aca="1" ref="L135" ca="1">INDEX(INDIRECT("BS_"&amp;TEXT(L$1,"mmm")&amp;"_"&amp;TEXT(L$1,"yyyy")),MATCH(TRIM($A135),BS_Accounts,0))</f>
        <v>500000</v>
      </c>
      <c r="M135" s="115">
        <f t="array" aca="1" ref="M135" ca="1">INDEX(INDIRECT("BS_"&amp;TEXT(M$1,"mmm")&amp;"_"&amp;TEXT(M$1,"yyyy")),MATCH(TRIM($A135),BS_Accounts,0))</f>
        <v>500000</v>
      </c>
      <c r="N135" s="115">
        <f t="array" aca="1" ref="N135" ca="1">INDEX(INDIRECT("BS_"&amp;TEXT(N$1,"mmm")&amp;"_"&amp;TEXT(N$1,"yyyy")),MATCH(TRIM($A135),BS_Accounts,0))</f>
        <v>500000</v>
      </c>
      <c r="O135" s="115">
        <f t="array" aca="1" ref="O135" ca="1">INDEX(INDIRECT("BS_"&amp;TEXT(O$1,"mmm")&amp;"_"&amp;TEXT(O$1,"yyyy")),MATCH(TRIM($A135),BS_Accounts,0))</f>
        <v>500000</v>
      </c>
      <c r="P135" s="115">
        <f t="array" aca="1" ref="P135" ca="1">INDEX(INDIRECT("BS_"&amp;TEXT(P$1,"mmm")&amp;"_"&amp;TEXT(P$1,"yyyy")),MATCH(TRIM($A135),BS_Accounts,0))</f>
        <v>500000</v>
      </c>
      <c r="Q135" s="115">
        <f t="array" aca="1" ref="Q135" ca="1">INDEX(INDIRECT("BS_"&amp;TEXT(Q$1,"mmm")&amp;"_"&amp;TEXT(Q$1,"yyyy")),MATCH(TRIM($A135),BS_Accounts,0))</f>
        <v>500000</v>
      </c>
      <c r="R135" s="115">
        <f t="array" aca="1" ref="R135" ca="1">INDEX(INDIRECT("BS_"&amp;TEXT(R$1,"mmm")&amp;"_"&amp;TEXT(R$1,"yyyy")),MATCH(TRIM($A135),BS_Accounts,0))</f>
        <v>500000</v>
      </c>
      <c r="S135" s="115">
        <f t="array" aca="1" ref="S135" ca="1">INDEX(INDIRECT("BS_"&amp;TEXT(S$1,"mmm")&amp;"_"&amp;TEXT(S$1,"yyyy")),MATCH(TRIM($A135),BS_Accounts,0))</f>
        <v>500000</v>
      </c>
      <c r="T135" s="115">
        <f t="array" aca="1" ref="T135" ca="1">INDEX(INDIRECT("BS_"&amp;TEXT(T$1,"mmm")&amp;"_"&amp;TEXT(T$1,"yyyy")),MATCH(TRIM($A135),BS_Accounts,0))</f>
        <v>500000</v>
      </c>
      <c r="U135" s="115">
        <f t="array" aca="1" ref="U135" ca="1">INDEX(INDIRECT("BS_"&amp;TEXT(U$1,"mmm")&amp;"_"&amp;TEXT(U$1,"yyyy")),MATCH(TRIM($A135),BS_Accounts,0))</f>
        <v>500000</v>
      </c>
      <c r="V135" s="115">
        <f t="array" aca="1" ref="V135" ca="1">INDEX(INDIRECT("BS_"&amp;TEXT(V$1,"mmm")&amp;"_"&amp;TEXT(V$1,"yyyy")),MATCH(TRIM($A135),BS_Accounts,0))</f>
        <v>500000</v>
      </c>
      <c r="W135" s="115">
        <f t="array" aca="1" ref="W135" ca="1">INDEX(INDIRECT("BS_"&amp;TEXT(W$1,"mmm")&amp;"_"&amp;TEXT(W$1,"yyyy")),MATCH(TRIM($A135),BS_Accounts,0))</f>
        <v>500000</v>
      </c>
      <c r="X135" s="115">
        <f t="array" aca="1" ref="X135" ca="1">INDEX(INDIRECT("BS_"&amp;TEXT(X$1,"mmm")&amp;"_"&amp;TEXT(X$1,"yyyy")),MATCH(TRIM($A135),BS_Accounts,0))</f>
        <v>500000</v>
      </c>
      <c r="Y135" s="115">
        <f t="array" aca="1" ref="Y135" ca="1">INDEX(INDIRECT("BS_"&amp;TEXT(Y$1,"mmm")&amp;"_"&amp;TEXT(Y$1,"yyyy")),MATCH(TRIM($A135),BS_Accounts,0))</f>
        <v>500000</v>
      </c>
      <c r="Z135" s="115">
        <f t="array" aca="1" ref="Z135" ca="1">INDEX(INDIRECT("BS_"&amp;TEXT(Z$1,"mmm")&amp;"_"&amp;TEXT(Z$1,"yyyy")),MATCH(TRIM($A135),BS_Accounts,0))</f>
        <v>500000</v>
      </c>
      <c r="AA135" s="115">
        <f t="array" aca="1" ref="AA135" ca="1">INDEX(INDIRECT("BS_"&amp;TEXT(AA$1,"mmm")&amp;"_"&amp;TEXT(AA$1,"yyyy")),MATCH(TRIM($A135),BS_Accounts,0))</f>
        <v>500000</v>
      </c>
      <c r="AB135" s="115">
        <f t="array" aca="1" ref="AB135" ca="1">INDEX(INDIRECT("BS_"&amp;TEXT(AB$1,"mmm")&amp;"_"&amp;TEXT(AB$1,"yyyy")),MATCH(TRIM($A135),BS_Accounts,0))</f>
        <v>500000</v>
      </c>
      <c r="AC135" s="115">
        <f t="array" aca="1" ref="AC135" ca="1">INDEX(INDIRECT("BS_"&amp;TEXT(AC$1,"mmm")&amp;"_"&amp;TEXT(AC$1,"yyyy")),MATCH(TRIM($A135),BS_Accounts,0))</f>
        <v>500000</v>
      </c>
      <c r="AD135" s="115">
        <f t="array" aca="1" ref="AD135" ca="1">INDEX(INDIRECT("BS_"&amp;TEXT(AD$1,"mmm")&amp;"_"&amp;TEXT(AD$1,"yyyy")),MATCH(TRIM($A135),BS_Accounts,0))</f>
        <v>500000</v>
      </c>
      <c r="AE135" s="115">
        <f t="array" aca="1" ref="AE135" ca="1">INDEX(INDIRECT("BS_"&amp;TEXT(AE$1,"mmm")&amp;"_"&amp;TEXT(AE$1,"yyyy")),MATCH(TRIM($A135),BS_Accounts,0))</f>
        <v>500000</v>
      </c>
      <c r="AF135" s="165">
        <f t="shared" ref="AF135:BW135" ca="1" si="68">$B135</f>
        <v>500000</v>
      </c>
      <c r="AG135" s="165">
        <f t="shared" ca="1" si="68"/>
        <v>500000</v>
      </c>
      <c r="AH135" s="165">
        <f t="shared" ca="1" si="68"/>
        <v>500000</v>
      </c>
      <c r="AI135" s="165">
        <f t="shared" ca="1" si="68"/>
        <v>500000</v>
      </c>
      <c r="AJ135" s="165">
        <f t="shared" ca="1" si="68"/>
        <v>500000</v>
      </c>
      <c r="AK135" s="165">
        <f t="shared" ca="1" si="68"/>
        <v>500000</v>
      </c>
      <c r="AL135" s="165">
        <f t="shared" ca="1" si="68"/>
        <v>500000</v>
      </c>
      <c r="AM135" s="165">
        <f t="shared" ca="1" si="68"/>
        <v>500000</v>
      </c>
      <c r="AN135" s="165">
        <f t="shared" ca="1" si="68"/>
        <v>500000</v>
      </c>
      <c r="AO135" s="165">
        <f t="shared" ca="1" si="68"/>
        <v>500000</v>
      </c>
      <c r="AP135" s="165">
        <f t="shared" ca="1" si="68"/>
        <v>500000</v>
      </c>
      <c r="AQ135" s="165">
        <f t="shared" ca="1" si="68"/>
        <v>500000</v>
      </c>
      <c r="AR135" s="165">
        <f t="shared" ca="1" si="68"/>
        <v>500000</v>
      </c>
      <c r="AS135" s="165">
        <f t="shared" ca="1" si="68"/>
        <v>500000</v>
      </c>
      <c r="AT135" s="165">
        <f t="shared" ca="1" si="68"/>
        <v>500000</v>
      </c>
      <c r="AU135" s="165">
        <f t="shared" ca="1" si="68"/>
        <v>500000</v>
      </c>
      <c r="AV135" s="165">
        <f t="shared" ca="1" si="68"/>
        <v>500000</v>
      </c>
      <c r="AW135" s="165">
        <f t="shared" ca="1" si="68"/>
        <v>500000</v>
      </c>
      <c r="AX135" s="165">
        <f t="shared" ca="1" si="68"/>
        <v>500000</v>
      </c>
      <c r="AY135" s="165">
        <f t="shared" ca="1" si="68"/>
        <v>500000</v>
      </c>
      <c r="AZ135" s="165">
        <f t="shared" ca="1" si="68"/>
        <v>500000</v>
      </c>
      <c r="BA135" s="165">
        <f t="shared" ca="1" si="68"/>
        <v>500000</v>
      </c>
      <c r="BB135" s="165">
        <f t="shared" ca="1" si="68"/>
        <v>500000</v>
      </c>
      <c r="BC135" s="165">
        <f t="shared" ca="1" si="68"/>
        <v>500000</v>
      </c>
      <c r="BD135" s="165">
        <f t="shared" ca="1" si="68"/>
        <v>500000</v>
      </c>
      <c r="BE135" s="165">
        <f t="shared" ca="1" si="68"/>
        <v>500000</v>
      </c>
      <c r="BF135" s="165">
        <f t="shared" ca="1" si="68"/>
        <v>500000</v>
      </c>
      <c r="BG135" s="165">
        <f t="shared" ca="1" si="68"/>
        <v>500000</v>
      </c>
      <c r="BH135" s="165">
        <f t="shared" ca="1" si="68"/>
        <v>500000</v>
      </c>
      <c r="BI135" s="165">
        <f t="shared" ca="1" si="68"/>
        <v>500000</v>
      </c>
      <c r="BJ135" s="165">
        <f t="shared" ca="1" si="68"/>
        <v>500000</v>
      </c>
      <c r="BK135" s="165">
        <f t="shared" ca="1" si="68"/>
        <v>500000</v>
      </c>
      <c r="BL135" s="165">
        <f t="shared" ca="1" si="68"/>
        <v>500000</v>
      </c>
      <c r="BM135" s="165">
        <f t="shared" ca="1" si="68"/>
        <v>500000</v>
      </c>
      <c r="BN135" s="165">
        <f t="shared" ca="1" si="68"/>
        <v>500000</v>
      </c>
      <c r="BO135" s="165">
        <f t="shared" ca="1" si="68"/>
        <v>500000</v>
      </c>
      <c r="BP135" s="165">
        <f t="shared" ca="1" si="68"/>
        <v>500000</v>
      </c>
      <c r="BQ135" s="165">
        <f t="shared" ca="1" si="68"/>
        <v>500000</v>
      </c>
      <c r="BR135" s="165">
        <f t="shared" ca="1" si="68"/>
        <v>500000</v>
      </c>
      <c r="BS135" s="165">
        <f t="shared" ca="1" si="68"/>
        <v>500000</v>
      </c>
      <c r="BT135" s="165">
        <f t="shared" ca="1" si="68"/>
        <v>500000</v>
      </c>
      <c r="BU135" s="165">
        <f t="shared" ca="1" si="68"/>
        <v>500000</v>
      </c>
      <c r="BV135" s="165">
        <f t="shared" ca="1" si="68"/>
        <v>500000</v>
      </c>
      <c r="BW135" s="165">
        <f t="shared" ca="1" si="68"/>
        <v>500000</v>
      </c>
    </row>
    <row r="136" spans="1:75" ht="12.75" x14ac:dyDescent="0.2">
      <c r="A136" s="23" t="s">
        <v>375</v>
      </c>
      <c r="B136" s="224">
        <f ca="1">AVERAGEIFS(136:136,$1:$1,"&gt;="&amp;DATE(YEAR(Current_Month),MONTH(Current_Month),DAY(Current_Month)),$1:$1,"&lt;="&amp;EOMONTH(Current_Month,0))</f>
        <v>0</v>
      </c>
      <c r="D136" s="115">
        <f t="array" aca="1" ref="D136" ca="1">INDEX(INDIRECT("BS_"&amp;TEXT(D$1,"mmm")&amp;"_"&amp;TEXT(D$1,"yyyy")),MATCH(TRIM($A136),BS_Accounts,0))</f>
        <v>0</v>
      </c>
      <c r="E136" s="115">
        <f t="array" aca="1" ref="E136" ca="1">INDEX(INDIRECT("BS_"&amp;TEXT(E$1,"mmm")&amp;"_"&amp;TEXT(E$1,"yyyy")),MATCH(TRIM($A136),BS_Accounts,0))</f>
        <v>0</v>
      </c>
      <c r="F136" s="115">
        <f t="array" aca="1" ref="F136" ca="1">INDEX(INDIRECT("BS_"&amp;TEXT(F$1,"mmm")&amp;"_"&amp;TEXT(F$1,"yyyy")),MATCH(TRIM($A136),BS_Accounts,0))</f>
        <v>0</v>
      </c>
      <c r="G136" s="115">
        <f t="array" aca="1" ref="G136" ca="1">INDEX(INDIRECT("BS_"&amp;TEXT(G$1,"mmm")&amp;"_"&amp;TEXT(G$1,"yyyy")),MATCH(TRIM($A136),BS_Accounts,0))</f>
        <v>0</v>
      </c>
      <c r="H136" s="115">
        <f t="array" aca="1" ref="H136" ca="1">INDEX(INDIRECT("BS_"&amp;TEXT(H$1,"mmm")&amp;"_"&amp;TEXT(H$1,"yyyy")),MATCH(TRIM($A136),BS_Accounts,0))</f>
        <v>0</v>
      </c>
      <c r="I136" s="115">
        <f t="array" aca="1" ref="I136" ca="1">INDEX(INDIRECT("BS_"&amp;TEXT(I$1,"mmm")&amp;"_"&amp;TEXT(I$1,"yyyy")),MATCH(TRIM($A136),BS_Accounts,0))</f>
        <v>0</v>
      </c>
      <c r="J136" s="115">
        <f t="array" aca="1" ref="J136" ca="1">INDEX(INDIRECT("BS_"&amp;TEXT(J$1,"mmm")&amp;"_"&amp;TEXT(J$1,"yyyy")),MATCH(TRIM($A136),BS_Accounts,0))</f>
        <v>0</v>
      </c>
      <c r="K136" s="115">
        <f t="array" aca="1" ref="K136" ca="1">INDEX(INDIRECT("BS_"&amp;TEXT(K$1,"mmm")&amp;"_"&amp;TEXT(K$1,"yyyy")),MATCH(TRIM($A136),BS_Accounts,0))</f>
        <v>0</v>
      </c>
      <c r="L136" s="115">
        <f t="array" aca="1" ref="L136" ca="1">INDEX(INDIRECT("BS_"&amp;TEXT(L$1,"mmm")&amp;"_"&amp;TEXT(L$1,"yyyy")),MATCH(TRIM($A136),BS_Accounts,0))</f>
        <v>0</v>
      </c>
      <c r="M136" s="115">
        <f t="array" aca="1" ref="M136" ca="1">INDEX(INDIRECT("BS_"&amp;TEXT(M$1,"mmm")&amp;"_"&amp;TEXT(M$1,"yyyy")),MATCH(TRIM($A136),BS_Accounts,0))</f>
        <v>0</v>
      </c>
      <c r="N136" s="115">
        <f t="array" aca="1" ref="N136" ca="1">INDEX(INDIRECT("BS_"&amp;TEXT(N$1,"mmm")&amp;"_"&amp;TEXT(N$1,"yyyy")),MATCH(TRIM($A136),BS_Accounts,0))</f>
        <v>0</v>
      </c>
      <c r="O136" s="115">
        <f t="array" aca="1" ref="O136" ca="1">INDEX(INDIRECT("BS_"&amp;TEXT(O$1,"mmm")&amp;"_"&amp;TEXT(O$1,"yyyy")),MATCH(TRIM($A136),BS_Accounts,0))</f>
        <v>0</v>
      </c>
      <c r="P136" s="115">
        <f t="array" aca="1" ref="P136" ca="1">INDEX(INDIRECT("BS_"&amp;TEXT(P$1,"mmm")&amp;"_"&amp;TEXT(P$1,"yyyy")),MATCH(TRIM($A136),BS_Accounts,0))</f>
        <v>0</v>
      </c>
      <c r="Q136" s="115">
        <f t="array" aca="1" ref="Q136" ca="1">INDEX(INDIRECT("BS_"&amp;TEXT(Q$1,"mmm")&amp;"_"&amp;TEXT(Q$1,"yyyy")),MATCH(TRIM($A136),BS_Accounts,0))</f>
        <v>0</v>
      </c>
      <c r="R136" s="115">
        <f t="array" aca="1" ref="R136" ca="1">INDEX(INDIRECT("BS_"&amp;TEXT(R$1,"mmm")&amp;"_"&amp;TEXT(R$1,"yyyy")),MATCH(TRIM($A136),BS_Accounts,0))</f>
        <v>0</v>
      </c>
      <c r="S136" s="115">
        <f t="array" aca="1" ref="S136" ca="1">INDEX(INDIRECT("BS_"&amp;TEXT(S$1,"mmm")&amp;"_"&amp;TEXT(S$1,"yyyy")),MATCH(TRIM($A136),BS_Accounts,0))</f>
        <v>0</v>
      </c>
      <c r="T136" s="115">
        <f t="array" aca="1" ref="T136" ca="1">INDEX(INDIRECT("BS_"&amp;TEXT(T$1,"mmm")&amp;"_"&amp;TEXT(T$1,"yyyy")),MATCH(TRIM($A136),BS_Accounts,0))</f>
        <v>0</v>
      </c>
      <c r="U136" s="115">
        <f t="array" aca="1" ref="U136" ca="1">INDEX(INDIRECT("BS_"&amp;TEXT(U$1,"mmm")&amp;"_"&amp;TEXT(U$1,"yyyy")),MATCH(TRIM($A136),BS_Accounts,0))</f>
        <v>0</v>
      </c>
      <c r="V136" s="115">
        <f t="array" aca="1" ref="V136" ca="1">INDEX(INDIRECT("BS_"&amp;TEXT(V$1,"mmm")&amp;"_"&amp;TEXT(V$1,"yyyy")),MATCH(TRIM($A136),BS_Accounts,0))</f>
        <v>0</v>
      </c>
      <c r="W136" s="115">
        <f t="array" aca="1" ref="W136" ca="1">INDEX(INDIRECT("BS_"&amp;TEXT(W$1,"mmm")&amp;"_"&amp;TEXT(W$1,"yyyy")),MATCH(TRIM($A136),BS_Accounts,0))</f>
        <v>0</v>
      </c>
      <c r="X136" s="115">
        <f t="array" aca="1" ref="X136" ca="1">INDEX(INDIRECT("BS_"&amp;TEXT(X$1,"mmm")&amp;"_"&amp;TEXT(X$1,"yyyy")),MATCH(TRIM($A136),BS_Accounts,0))</f>
        <v>0</v>
      </c>
      <c r="Y136" s="115">
        <f t="array" aca="1" ref="Y136" ca="1">INDEX(INDIRECT("BS_"&amp;TEXT(Y$1,"mmm")&amp;"_"&amp;TEXT(Y$1,"yyyy")),MATCH(TRIM($A136),BS_Accounts,0))</f>
        <v>0</v>
      </c>
      <c r="Z136" s="115">
        <f t="array" aca="1" ref="Z136" ca="1">INDEX(INDIRECT("BS_"&amp;TEXT(Z$1,"mmm")&amp;"_"&amp;TEXT(Z$1,"yyyy")),MATCH(TRIM($A136),BS_Accounts,0))</f>
        <v>0</v>
      </c>
      <c r="AA136" s="115">
        <f t="array" aca="1" ref="AA136" ca="1">INDEX(INDIRECT("BS_"&amp;TEXT(AA$1,"mmm")&amp;"_"&amp;TEXT(AA$1,"yyyy")),MATCH(TRIM($A136),BS_Accounts,0))</f>
        <v>0</v>
      </c>
      <c r="AB136" s="115">
        <f t="array" aca="1" ref="AB136" ca="1">INDEX(INDIRECT("BS_"&amp;TEXT(AB$1,"mmm")&amp;"_"&amp;TEXT(AB$1,"yyyy")),MATCH(TRIM($A136),BS_Accounts,0))</f>
        <v>0</v>
      </c>
      <c r="AC136" s="115">
        <f t="array" aca="1" ref="AC136" ca="1">INDEX(INDIRECT("BS_"&amp;TEXT(AC$1,"mmm")&amp;"_"&amp;TEXT(AC$1,"yyyy")),MATCH(TRIM($A136),BS_Accounts,0))</f>
        <v>0</v>
      </c>
      <c r="AD136" s="115">
        <f t="array" aca="1" ref="AD136" ca="1">INDEX(INDIRECT("BS_"&amp;TEXT(AD$1,"mmm")&amp;"_"&amp;TEXT(AD$1,"yyyy")),MATCH(TRIM($A136),BS_Accounts,0))</f>
        <v>0</v>
      </c>
      <c r="AE136" s="115">
        <f t="array" aca="1" ref="AE136" ca="1">INDEX(INDIRECT("BS_"&amp;TEXT(AE$1,"mmm")&amp;"_"&amp;TEXT(AE$1,"yyyy")),MATCH(TRIM($A136),BS_Accounts,0))</f>
        <v>0</v>
      </c>
      <c r="AF136" s="165">
        <f t="shared" ref="AF136:BW136" ca="1" si="69">$B136</f>
        <v>0</v>
      </c>
      <c r="AG136" s="165">
        <f t="shared" ca="1" si="69"/>
        <v>0</v>
      </c>
      <c r="AH136" s="165">
        <f t="shared" ca="1" si="69"/>
        <v>0</v>
      </c>
      <c r="AI136" s="165">
        <f t="shared" ca="1" si="69"/>
        <v>0</v>
      </c>
      <c r="AJ136" s="165">
        <f t="shared" ca="1" si="69"/>
        <v>0</v>
      </c>
      <c r="AK136" s="165">
        <f t="shared" ca="1" si="69"/>
        <v>0</v>
      </c>
      <c r="AL136" s="165">
        <f t="shared" ca="1" si="69"/>
        <v>0</v>
      </c>
      <c r="AM136" s="165">
        <f t="shared" ca="1" si="69"/>
        <v>0</v>
      </c>
      <c r="AN136" s="165">
        <f t="shared" ca="1" si="69"/>
        <v>0</v>
      </c>
      <c r="AO136" s="165">
        <f t="shared" ca="1" si="69"/>
        <v>0</v>
      </c>
      <c r="AP136" s="165">
        <f t="shared" ca="1" si="69"/>
        <v>0</v>
      </c>
      <c r="AQ136" s="165">
        <f t="shared" ca="1" si="69"/>
        <v>0</v>
      </c>
      <c r="AR136" s="165">
        <f t="shared" ca="1" si="69"/>
        <v>0</v>
      </c>
      <c r="AS136" s="165">
        <f t="shared" ca="1" si="69"/>
        <v>0</v>
      </c>
      <c r="AT136" s="165">
        <f t="shared" ca="1" si="69"/>
        <v>0</v>
      </c>
      <c r="AU136" s="165">
        <f t="shared" ca="1" si="69"/>
        <v>0</v>
      </c>
      <c r="AV136" s="165">
        <f t="shared" ca="1" si="69"/>
        <v>0</v>
      </c>
      <c r="AW136" s="165">
        <f t="shared" ca="1" si="69"/>
        <v>0</v>
      </c>
      <c r="AX136" s="165">
        <f t="shared" ca="1" si="69"/>
        <v>0</v>
      </c>
      <c r="AY136" s="165">
        <f t="shared" ca="1" si="69"/>
        <v>0</v>
      </c>
      <c r="AZ136" s="165">
        <f t="shared" ca="1" si="69"/>
        <v>0</v>
      </c>
      <c r="BA136" s="165">
        <f t="shared" ca="1" si="69"/>
        <v>0</v>
      </c>
      <c r="BB136" s="165">
        <f t="shared" ca="1" si="69"/>
        <v>0</v>
      </c>
      <c r="BC136" s="165">
        <f t="shared" ca="1" si="69"/>
        <v>0</v>
      </c>
      <c r="BD136" s="165">
        <f t="shared" ca="1" si="69"/>
        <v>0</v>
      </c>
      <c r="BE136" s="165">
        <f t="shared" ca="1" si="69"/>
        <v>0</v>
      </c>
      <c r="BF136" s="165">
        <f t="shared" ca="1" si="69"/>
        <v>0</v>
      </c>
      <c r="BG136" s="165">
        <f t="shared" ca="1" si="69"/>
        <v>0</v>
      </c>
      <c r="BH136" s="165">
        <f t="shared" ca="1" si="69"/>
        <v>0</v>
      </c>
      <c r="BI136" s="165">
        <f t="shared" ca="1" si="69"/>
        <v>0</v>
      </c>
      <c r="BJ136" s="165">
        <f t="shared" ca="1" si="69"/>
        <v>0</v>
      </c>
      <c r="BK136" s="165">
        <f t="shared" ca="1" si="69"/>
        <v>0</v>
      </c>
      <c r="BL136" s="165">
        <f t="shared" ca="1" si="69"/>
        <v>0</v>
      </c>
      <c r="BM136" s="165">
        <f t="shared" ca="1" si="69"/>
        <v>0</v>
      </c>
      <c r="BN136" s="165">
        <f t="shared" ca="1" si="69"/>
        <v>0</v>
      </c>
      <c r="BO136" s="165">
        <f t="shared" ca="1" si="69"/>
        <v>0</v>
      </c>
      <c r="BP136" s="165">
        <f t="shared" ca="1" si="69"/>
        <v>0</v>
      </c>
      <c r="BQ136" s="165">
        <f t="shared" ca="1" si="69"/>
        <v>0</v>
      </c>
      <c r="BR136" s="165">
        <f t="shared" ca="1" si="69"/>
        <v>0</v>
      </c>
      <c r="BS136" s="165">
        <f t="shared" ca="1" si="69"/>
        <v>0</v>
      </c>
      <c r="BT136" s="165">
        <f t="shared" ca="1" si="69"/>
        <v>0</v>
      </c>
      <c r="BU136" s="165">
        <f t="shared" ca="1" si="69"/>
        <v>0</v>
      </c>
      <c r="BV136" s="165">
        <f t="shared" ca="1" si="69"/>
        <v>0</v>
      </c>
      <c r="BW136" s="165">
        <f t="shared" ca="1" si="69"/>
        <v>0</v>
      </c>
    </row>
    <row r="137" spans="1:75" ht="12.75" x14ac:dyDescent="0.2">
      <c r="A137" s="23" t="s">
        <v>431</v>
      </c>
      <c r="B137" s="224"/>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25">
        <f t="shared" ref="AF137:BW137" si="70">_xlfn.IFNA(INDEX(Loans_Forgivable_Loan_Nonforgivable_Balance,MATCH(AF$1,Loans_Months,0)),0)</f>
        <v>0</v>
      </c>
      <c r="AG137" s="25">
        <f t="shared" si="70"/>
        <v>0</v>
      </c>
      <c r="AH137" s="25">
        <f t="shared" si="70"/>
        <v>0</v>
      </c>
      <c r="AI137" s="25">
        <f t="shared" si="70"/>
        <v>0</v>
      </c>
      <c r="AJ137" s="25">
        <f t="shared" si="70"/>
        <v>0</v>
      </c>
      <c r="AK137" s="25">
        <f t="shared" si="70"/>
        <v>0</v>
      </c>
      <c r="AL137" s="25">
        <f t="shared" si="70"/>
        <v>0</v>
      </c>
      <c r="AM137" s="25">
        <f t="shared" si="70"/>
        <v>0</v>
      </c>
      <c r="AN137" s="25">
        <f t="shared" si="70"/>
        <v>0</v>
      </c>
      <c r="AO137" s="25">
        <f t="shared" si="70"/>
        <v>0</v>
      </c>
      <c r="AP137" s="25">
        <f t="shared" si="70"/>
        <v>0</v>
      </c>
      <c r="AQ137" s="25">
        <f t="shared" si="70"/>
        <v>0</v>
      </c>
      <c r="AR137" s="25">
        <f t="shared" si="70"/>
        <v>0</v>
      </c>
      <c r="AS137" s="25">
        <f t="shared" si="70"/>
        <v>0</v>
      </c>
      <c r="AT137" s="25">
        <f t="shared" si="70"/>
        <v>0</v>
      </c>
      <c r="AU137" s="25">
        <f t="shared" si="70"/>
        <v>0</v>
      </c>
      <c r="AV137" s="25">
        <f t="shared" si="70"/>
        <v>0</v>
      </c>
      <c r="AW137" s="25">
        <f t="shared" si="70"/>
        <v>0</v>
      </c>
      <c r="AX137" s="25">
        <f t="shared" si="70"/>
        <v>0</v>
      </c>
      <c r="AY137" s="25">
        <f t="shared" si="70"/>
        <v>0</v>
      </c>
      <c r="AZ137" s="25">
        <f t="shared" si="70"/>
        <v>0</v>
      </c>
      <c r="BA137" s="25">
        <f t="shared" si="70"/>
        <v>0</v>
      </c>
      <c r="BB137" s="25">
        <f t="shared" si="70"/>
        <v>0</v>
      </c>
      <c r="BC137" s="25">
        <f t="shared" si="70"/>
        <v>0</v>
      </c>
      <c r="BD137" s="25">
        <f t="shared" si="70"/>
        <v>0</v>
      </c>
      <c r="BE137" s="25">
        <f t="shared" si="70"/>
        <v>0</v>
      </c>
      <c r="BF137" s="25">
        <f t="shared" si="70"/>
        <v>0</v>
      </c>
      <c r="BG137" s="25">
        <f t="shared" si="70"/>
        <v>0</v>
      </c>
      <c r="BH137" s="25">
        <f t="shared" si="70"/>
        <v>0</v>
      </c>
      <c r="BI137" s="25">
        <f t="shared" si="70"/>
        <v>0</v>
      </c>
      <c r="BJ137" s="25">
        <f t="shared" si="70"/>
        <v>0</v>
      </c>
      <c r="BK137" s="25">
        <f t="shared" si="70"/>
        <v>0</v>
      </c>
      <c r="BL137" s="25">
        <f t="shared" si="70"/>
        <v>0</v>
      </c>
      <c r="BM137" s="25">
        <f t="shared" si="70"/>
        <v>0</v>
      </c>
      <c r="BN137" s="25">
        <f t="shared" si="70"/>
        <v>0</v>
      </c>
      <c r="BO137" s="25">
        <f t="shared" si="70"/>
        <v>0</v>
      </c>
      <c r="BP137" s="25">
        <f t="shared" si="70"/>
        <v>0</v>
      </c>
      <c r="BQ137" s="25">
        <f t="shared" si="70"/>
        <v>0</v>
      </c>
      <c r="BR137" s="25">
        <f t="shared" si="70"/>
        <v>0</v>
      </c>
      <c r="BS137" s="25">
        <f t="shared" si="70"/>
        <v>0</v>
      </c>
      <c r="BT137" s="25">
        <f t="shared" si="70"/>
        <v>0</v>
      </c>
      <c r="BU137" s="25">
        <f t="shared" si="70"/>
        <v>0</v>
      </c>
      <c r="BV137" s="25">
        <f t="shared" si="70"/>
        <v>0</v>
      </c>
      <c r="BW137" s="25">
        <f t="shared" si="70"/>
        <v>0</v>
      </c>
    </row>
    <row r="138" spans="1:75" ht="12.75" x14ac:dyDescent="0.2">
      <c r="A138" s="23" t="s">
        <v>432</v>
      </c>
      <c r="B138" s="224"/>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25">
        <f t="shared" ref="AF138:BW138" si="71">_xlfn.IFNA(INDEX(Loans_Standard_Loan_Balance,MATCH(AF$1,Loans_Months,0)),0)</f>
        <v>0</v>
      </c>
      <c r="AG138" s="25">
        <f t="shared" si="71"/>
        <v>0</v>
      </c>
      <c r="AH138" s="25">
        <f t="shared" si="71"/>
        <v>0</v>
      </c>
      <c r="AI138" s="25">
        <f t="shared" si="71"/>
        <v>0</v>
      </c>
      <c r="AJ138" s="25">
        <f t="shared" si="71"/>
        <v>0</v>
      </c>
      <c r="AK138" s="25">
        <f t="shared" si="71"/>
        <v>0</v>
      </c>
      <c r="AL138" s="25">
        <f t="shared" si="71"/>
        <v>0</v>
      </c>
      <c r="AM138" s="25">
        <f t="shared" si="71"/>
        <v>0</v>
      </c>
      <c r="AN138" s="25">
        <f t="shared" si="71"/>
        <v>0</v>
      </c>
      <c r="AO138" s="25">
        <f t="shared" si="71"/>
        <v>0</v>
      </c>
      <c r="AP138" s="25">
        <f t="shared" si="71"/>
        <v>0</v>
      </c>
      <c r="AQ138" s="25">
        <f t="shared" si="71"/>
        <v>0</v>
      </c>
      <c r="AR138" s="25">
        <f t="shared" si="71"/>
        <v>0</v>
      </c>
      <c r="AS138" s="25">
        <f t="shared" si="71"/>
        <v>0</v>
      </c>
      <c r="AT138" s="25">
        <f t="shared" si="71"/>
        <v>0</v>
      </c>
      <c r="AU138" s="25">
        <f t="shared" si="71"/>
        <v>0</v>
      </c>
      <c r="AV138" s="25">
        <f t="shared" si="71"/>
        <v>0</v>
      </c>
      <c r="AW138" s="25">
        <f t="shared" si="71"/>
        <v>0</v>
      </c>
      <c r="AX138" s="25">
        <f t="shared" si="71"/>
        <v>0</v>
      </c>
      <c r="AY138" s="25">
        <f t="shared" si="71"/>
        <v>0</v>
      </c>
      <c r="AZ138" s="25">
        <f t="shared" si="71"/>
        <v>0</v>
      </c>
      <c r="BA138" s="25">
        <f t="shared" si="71"/>
        <v>0</v>
      </c>
      <c r="BB138" s="25">
        <f t="shared" si="71"/>
        <v>0</v>
      </c>
      <c r="BC138" s="25">
        <f t="shared" si="71"/>
        <v>0</v>
      </c>
      <c r="BD138" s="25">
        <f t="shared" si="71"/>
        <v>0</v>
      </c>
      <c r="BE138" s="25">
        <f t="shared" si="71"/>
        <v>0</v>
      </c>
      <c r="BF138" s="25">
        <f t="shared" si="71"/>
        <v>0</v>
      </c>
      <c r="BG138" s="25">
        <f t="shared" si="71"/>
        <v>0</v>
      </c>
      <c r="BH138" s="25">
        <f t="shared" si="71"/>
        <v>0</v>
      </c>
      <c r="BI138" s="25">
        <f t="shared" si="71"/>
        <v>0</v>
      </c>
      <c r="BJ138" s="25">
        <f t="shared" si="71"/>
        <v>0</v>
      </c>
      <c r="BK138" s="25">
        <f t="shared" si="71"/>
        <v>0</v>
      </c>
      <c r="BL138" s="25">
        <f t="shared" si="71"/>
        <v>0</v>
      </c>
      <c r="BM138" s="25">
        <f t="shared" si="71"/>
        <v>0</v>
      </c>
      <c r="BN138" s="25">
        <f t="shared" si="71"/>
        <v>0</v>
      </c>
      <c r="BO138" s="25">
        <f t="shared" si="71"/>
        <v>0</v>
      </c>
      <c r="BP138" s="25">
        <f t="shared" si="71"/>
        <v>0</v>
      </c>
      <c r="BQ138" s="25">
        <f t="shared" si="71"/>
        <v>0</v>
      </c>
      <c r="BR138" s="25">
        <f t="shared" si="71"/>
        <v>0</v>
      </c>
      <c r="BS138" s="25">
        <f t="shared" si="71"/>
        <v>0</v>
      </c>
      <c r="BT138" s="25">
        <f t="shared" si="71"/>
        <v>0</v>
      </c>
      <c r="BU138" s="25">
        <f t="shared" si="71"/>
        <v>0</v>
      </c>
      <c r="BV138" s="25">
        <f t="shared" si="71"/>
        <v>0</v>
      </c>
      <c r="BW138" s="25">
        <f t="shared" si="71"/>
        <v>0</v>
      </c>
    </row>
    <row r="139" spans="1:75" ht="12.75" x14ac:dyDescent="0.2">
      <c r="A139" s="60" t="s">
        <v>376</v>
      </c>
      <c r="B139" s="238"/>
      <c r="C139" s="212"/>
      <c r="D139" s="213">
        <f t="shared" ref="D139:BW139" ca="1" si="72">SUM(D134:D138)</f>
        <v>1050000</v>
      </c>
      <c r="E139" s="213">
        <f t="shared" ca="1" si="72"/>
        <v>1150000</v>
      </c>
      <c r="F139" s="213">
        <f t="shared" ca="1" si="72"/>
        <v>1150000</v>
      </c>
      <c r="G139" s="213">
        <f t="shared" ca="1" si="72"/>
        <v>1150000</v>
      </c>
      <c r="H139" s="213">
        <f t="shared" ca="1" si="72"/>
        <v>1150000</v>
      </c>
      <c r="I139" s="213">
        <f t="shared" ca="1" si="72"/>
        <v>1150000</v>
      </c>
      <c r="J139" s="213">
        <f t="shared" ca="1" si="72"/>
        <v>1150000</v>
      </c>
      <c r="K139" s="213">
        <f t="shared" ca="1" si="72"/>
        <v>1150000</v>
      </c>
      <c r="L139" s="213">
        <f t="shared" ca="1" si="72"/>
        <v>1150000</v>
      </c>
      <c r="M139" s="213">
        <f t="shared" ca="1" si="72"/>
        <v>1750000</v>
      </c>
      <c r="N139" s="213">
        <f t="shared" ca="1" si="72"/>
        <v>1750000</v>
      </c>
      <c r="O139" s="213">
        <f t="shared" ca="1" si="72"/>
        <v>1750000</v>
      </c>
      <c r="P139" s="213">
        <f t="shared" ca="1" si="72"/>
        <v>2250000</v>
      </c>
      <c r="Q139" s="213">
        <f t="shared" ca="1" si="72"/>
        <v>2250000</v>
      </c>
      <c r="R139" s="213">
        <f t="shared" ca="1" si="72"/>
        <v>2250000</v>
      </c>
      <c r="S139" s="213">
        <f t="shared" ca="1" si="72"/>
        <v>2250000</v>
      </c>
      <c r="T139" s="213">
        <f t="shared" ca="1" si="72"/>
        <v>2550000</v>
      </c>
      <c r="U139" s="213">
        <f t="shared" ca="1" si="72"/>
        <v>2550000</v>
      </c>
      <c r="V139" s="213">
        <f t="shared" ca="1" si="72"/>
        <v>2550000</v>
      </c>
      <c r="W139" s="213">
        <f t="shared" ca="1" si="72"/>
        <v>2550000</v>
      </c>
      <c r="X139" s="213">
        <f t="shared" ca="1" si="72"/>
        <v>2550000</v>
      </c>
      <c r="Y139" s="213">
        <f t="shared" ca="1" si="72"/>
        <v>2850000</v>
      </c>
      <c r="Z139" s="213">
        <f t="shared" ca="1" si="72"/>
        <v>2850000</v>
      </c>
      <c r="AA139" s="213">
        <f t="shared" ca="1" si="72"/>
        <v>2850000</v>
      </c>
      <c r="AB139" s="213">
        <f t="shared" ca="1" si="72"/>
        <v>2850000</v>
      </c>
      <c r="AC139" s="213">
        <f t="shared" ca="1" si="72"/>
        <v>2850000</v>
      </c>
      <c r="AD139" s="213">
        <f t="shared" ca="1" si="72"/>
        <v>2850000</v>
      </c>
      <c r="AE139" s="213">
        <f t="shared" ca="1" si="72"/>
        <v>2850000</v>
      </c>
      <c r="AF139" s="213">
        <f t="shared" ca="1" si="72"/>
        <v>2850000</v>
      </c>
      <c r="AG139" s="213">
        <f t="shared" ca="1" si="72"/>
        <v>2850000</v>
      </c>
      <c r="AH139" s="213">
        <f t="shared" ca="1" si="72"/>
        <v>2850000</v>
      </c>
      <c r="AI139" s="213">
        <f t="shared" ca="1" si="72"/>
        <v>2850000</v>
      </c>
      <c r="AJ139" s="213">
        <f t="shared" ca="1" si="72"/>
        <v>2850000</v>
      </c>
      <c r="AK139" s="213">
        <f t="shared" ca="1" si="72"/>
        <v>2850000</v>
      </c>
      <c r="AL139" s="213">
        <f t="shared" ca="1" si="72"/>
        <v>2850000</v>
      </c>
      <c r="AM139" s="213">
        <f t="shared" ca="1" si="72"/>
        <v>2850000</v>
      </c>
      <c r="AN139" s="213">
        <f t="shared" ca="1" si="72"/>
        <v>2850000</v>
      </c>
      <c r="AO139" s="213">
        <f t="shared" ca="1" si="72"/>
        <v>2850000</v>
      </c>
      <c r="AP139" s="213">
        <f t="shared" ca="1" si="72"/>
        <v>2850000</v>
      </c>
      <c r="AQ139" s="213">
        <f t="shared" ca="1" si="72"/>
        <v>2850000</v>
      </c>
      <c r="AR139" s="213">
        <f t="shared" ca="1" si="72"/>
        <v>2850000</v>
      </c>
      <c r="AS139" s="213">
        <f t="shared" ca="1" si="72"/>
        <v>2850000</v>
      </c>
      <c r="AT139" s="213">
        <f t="shared" ca="1" si="72"/>
        <v>2850000</v>
      </c>
      <c r="AU139" s="213">
        <f t="shared" ca="1" si="72"/>
        <v>2850000</v>
      </c>
      <c r="AV139" s="213">
        <f t="shared" ca="1" si="72"/>
        <v>2850000</v>
      </c>
      <c r="AW139" s="213">
        <f t="shared" ca="1" si="72"/>
        <v>2850000</v>
      </c>
      <c r="AX139" s="213">
        <f t="shared" ca="1" si="72"/>
        <v>2850000</v>
      </c>
      <c r="AY139" s="213">
        <f t="shared" ca="1" si="72"/>
        <v>2850000</v>
      </c>
      <c r="AZ139" s="213">
        <f t="shared" ca="1" si="72"/>
        <v>2850000</v>
      </c>
      <c r="BA139" s="213">
        <f t="shared" ca="1" si="72"/>
        <v>2850000</v>
      </c>
      <c r="BB139" s="213">
        <f t="shared" ca="1" si="72"/>
        <v>2850000</v>
      </c>
      <c r="BC139" s="213">
        <f t="shared" ca="1" si="72"/>
        <v>2850000</v>
      </c>
      <c r="BD139" s="213">
        <f t="shared" ca="1" si="72"/>
        <v>2850000</v>
      </c>
      <c r="BE139" s="213">
        <f t="shared" ca="1" si="72"/>
        <v>2850000</v>
      </c>
      <c r="BF139" s="213">
        <f t="shared" ca="1" si="72"/>
        <v>2850000</v>
      </c>
      <c r="BG139" s="213">
        <f t="shared" ca="1" si="72"/>
        <v>2850000</v>
      </c>
      <c r="BH139" s="213">
        <f t="shared" ca="1" si="72"/>
        <v>2850000</v>
      </c>
      <c r="BI139" s="213">
        <f t="shared" ca="1" si="72"/>
        <v>2850000</v>
      </c>
      <c r="BJ139" s="213">
        <f t="shared" ca="1" si="72"/>
        <v>2850000</v>
      </c>
      <c r="BK139" s="213">
        <f t="shared" ca="1" si="72"/>
        <v>2850000</v>
      </c>
      <c r="BL139" s="213">
        <f t="shared" ca="1" si="72"/>
        <v>2850000</v>
      </c>
      <c r="BM139" s="213">
        <f t="shared" ca="1" si="72"/>
        <v>2850000</v>
      </c>
      <c r="BN139" s="213">
        <f t="shared" ca="1" si="72"/>
        <v>2850000</v>
      </c>
      <c r="BO139" s="213">
        <f t="shared" ca="1" si="72"/>
        <v>2850000</v>
      </c>
      <c r="BP139" s="213">
        <f t="shared" ca="1" si="72"/>
        <v>2850000</v>
      </c>
      <c r="BQ139" s="213">
        <f t="shared" ca="1" si="72"/>
        <v>2850000</v>
      </c>
      <c r="BR139" s="213">
        <f t="shared" ca="1" si="72"/>
        <v>2850000</v>
      </c>
      <c r="BS139" s="213">
        <f t="shared" ca="1" si="72"/>
        <v>2850000</v>
      </c>
      <c r="BT139" s="213">
        <f t="shared" ca="1" si="72"/>
        <v>2850000</v>
      </c>
      <c r="BU139" s="213">
        <f t="shared" ca="1" si="72"/>
        <v>2850000</v>
      </c>
      <c r="BV139" s="213">
        <f t="shared" ca="1" si="72"/>
        <v>2850000</v>
      </c>
      <c r="BW139" s="213">
        <f t="shared" ca="1" si="72"/>
        <v>2850000</v>
      </c>
    </row>
    <row r="140" spans="1:75" ht="12.75" x14ac:dyDescent="0.2">
      <c r="A140" s="69" t="s">
        <v>244</v>
      </c>
      <c r="B140" s="221"/>
      <c r="D140" s="115">
        <f t="array" aca="1" ref="D140" ca="1">INDEX(INDIRECT("BS_"&amp;TEXT(D$1,"mmm")&amp;"_"&amp;TEXT(D$1,"yyyy")),MATCH(TRIM($A139),BS_Accounts,0))-D139</f>
        <v>0</v>
      </c>
      <c r="E140" s="115">
        <f t="array" aca="1" ref="E140" ca="1">INDEX(INDIRECT("BS_"&amp;TEXT(E$1,"mmm")&amp;"_"&amp;TEXT(E$1,"yyyy")),MATCH(TRIM($A139),BS_Accounts,0))-E139</f>
        <v>0</v>
      </c>
      <c r="F140" s="115">
        <f t="array" aca="1" ref="F140" ca="1">INDEX(INDIRECT("BS_"&amp;TEXT(F$1,"mmm")&amp;"_"&amp;TEXT(F$1,"yyyy")),MATCH(TRIM($A139),BS_Accounts,0))-F139</f>
        <v>0</v>
      </c>
      <c r="G140" s="115">
        <f t="array" aca="1" ref="G140" ca="1">INDEX(INDIRECT("BS_"&amp;TEXT(G$1,"mmm")&amp;"_"&amp;TEXT(G$1,"yyyy")),MATCH(TRIM($A139),BS_Accounts,0))-G139</f>
        <v>0</v>
      </c>
      <c r="H140" s="115">
        <f t="array" aca="1" ref="H140" ca="1">INDEX(INDIRECT("BS_"&amp;TEXT(H$1,"mmm")&amp;"_"&amp;TEXT(H$1,"yyyy")),MATCH(TRIM($A139),BS_Accounts,0))-H139</f>
        <v>0</v>
      </c>
      <c r="I140" s="115">
        <f t="array" aca="1" ref="I140" ca="1">INDEX(INDIRECT("BS_"&amp;TEXT(I$1,"mmm")&amp;"_"&amp;TEXT(I$1,"yyyy")),MATCH(TRIM($A139),BS_Accounts,0))-I139</f>
        <v>0</v>
      </c>
      <c r="J140" s="115">
        <f t="array" aca="1" ref="J140" ca="1">INDEX(INDIRECT("BS_"&amp;TEXT(J$1,"mmm")&amp;"_"&amp;TEXT(J$1,"yyyy")),MATCH(TRIM($A139),BS_Accounts,0))-J139</f>
        <v>0</v>
      </c>
      <c r="K140" s="115">
        <f t="array" aca="1" ref="K140" ca="1">INDEX(INDIRECT("BS_"&amp;TEXT(K$1,"mmm")&amp;"_"&amp;TEXT(K$1,"yyyy")),MATCH(TRIM($A139),BS_Accounts,0))-K139</f>
        <v>0</v>
      </c>
      <c r="L140" s="115">
        <f t="array" aca="1" ref="L140" ca="1">INDEX(INDIRECT("BS_"&amp;TEXT(L$1,"mmm")&amp;"_"&amp;TEXT(L$1,"yyyy")),MATCH(TRIM($A139),BS_Accounts,0))-L139</f>
        <v>0</v>
      </c>
      <c r="M140" s="115">
        <f t="array" aca="1" ref="M140" ca="1">INDEX(INDIRECT("BS_"&amp;TEXT(M$1,"mmm")&amp;"_"&amp;TEXT(M$1,"yyyy")),MATCH(TRIM($A139),BS_Accounts,0))-M139</f>
        <v>0</v>
      </c>
      <c r="N140" s="115">
        <f t="array" aca="1" ref="N140" ca="1">INDEX(INDIRECT("BS_"&amp;TEXT(N$1,"mmm")&amp;"_"&amp;TEXT(N$1,"yyyy")),MATCH(TRIM($A139),BS_Accounts,0))-N139</f>
        <v>0</v>
      </c>
      <c r="O140" s="115">
        <f t="array" aca="1" ref="O140" ca="1">INDEX(INDIRECT("BS_"&amp;TEXT(O$1,"mmm")&amp;"_"&amp;TEXT(O$1,"yyyy")),MATCH(TRIM($A139),BS_Accounts,0))-O139</f>
        <v>0</v>
      </c>
      <c r="P140" s="115">
        <f t="array" aca="1" ref="P140" ca="1">INDEX(INDIRECT("BS_"&amp;TEXT(P$1,"mmm")&amp;"_"&amp;TEXT(P$1,"yyyy")),MATCH(TRIM($A139),BS_Accounts,0))-P139</f>
        <v>0</v>
      </c>
      <c r="Q140" s="115">
        <f t="array" aca="1" ref="Q140" ca="1">INDEX(INDIRECT("BS_"&amp;TEXT(Q$1,"mmm")&amp;"_"&amp;TEXT(Q$1,"yyyy")),MATCH(TRIM($A139),BS_Accounts,0))-Q139</f>
        <v>0</v>
      </c>
      <c r="R140" s="115">
        <f t="array" aca="1" ref="R140" ca="1">INDEX(INDIRECT("BS_"&amp;TEXT(R$1,"mmm")&amp;"_"&amp;TEXT(R$1,"yyyy")),MATCH(TRIM($A139),BS_Accounts,0))-R139</f>
        <v>0</v>
      </c>
      <c r="S140" s="115">
        <f t="array" aca="1" ref="S140" ca="1">INDEX(INDIRECT("BS_"&amp;TEXT(S$1,"mmm")&amp;"_"&amp;TEXT(S$1,"yyyy")),MATCH(TRIM($A139),BS_Accounts,0))-S139</f>
        <v>0</v>
      </c>
      <c r="T140" s="115">
        <f t="array" aca="1" ref="T140" ca="1">INDEX(INDIRECT("BS_"&amp;TEXT(T$1,"mmm")&amp;"_"&amp;TEXT(T$1,"yyyy")),MATCH(TRIM($A139),BS_Accounts,0))-T139</f>
        <v>0</v>
      </c>
      <c r="U140" s="115">
        <f t="array" aca="1" ref="U140" ca="1">INDEX(INDIRECT("BS_"&amp;TEXT(U$1,"mmm")&amp;"_"&amp;TEXT(U$1,"yyyy")),MATCH(TRIM($A139),BS_Accounts,0))-U139</f>
        <v>0</v>
      </c>
      <c r="V140" s="115">
        <f t="array" aca="1" ref="V140" ca="1">INDEX(INDIRECT("BS_"&amp;TEXT(V$1,"mmm")&amp;"_"&amp;TEXT(V$1,"yyyy")),MATCH(TRIM($A139),BS_Accounts,0))-V139</f>
        <v>0</v>
      </c>
      <c r="W140" s="115">
        <f t="array" aca="1" ref="W140" ca="1">INDEX(INDIRECT("BS_"&amp;TEXT(W$1,"mmm")&amp;"_"&amp;TEXT(W$1,"yyyy")),MATCH(TRIM($A139),BS_Accounts,0))-W139</f>
        <v>0</v>
      </c>
      <c r="X140" s="115">
        <f t="array" aca="1" ref="X140" ca="1">INDEX(INDIRECT("BS_"&amp;TEXT(X$1,"mmm")&amp;"_"&amp;TEXT(X$1,"yyyy")),MATCH(TRIM($A139),BS_Accounts,0))-X139</f>
        <v>0</v>
      </c>
      <c r="Y140" s="115">
        <f t="array" aca="1" ref="Y140" ca="1">INDEX(INDIRECT("BS_"&amp;TEXT(Y$1,"mmm")&amp;"_"&amp;TEXT(Y$1,"yyyy")),MATCH(TRIM($A139),BS_Accounts,0))-Y139</f>
        <v>0</v>
      </c>
      <c r="Z140" s="115">
        <f t="array" aca="1" ref="Z140" ca="1">INDEX(INDIRECT("BS_"&amp;TEXT(Z$1,"mmm")&amp;"_"&amp;TEXT(Z$1,"yyyy")),MATCH(TRIM($A139),BS_Accounts,0))-Z139</f>
        <v>0</v>
      </c>
      <c r="AA140" s="115">
        <f t="array" aca="1" ref="AA140" ca="1">INDEX(INDIRECT("BS_"&amp;TEXT(AA$1,"mmm")&amp;"_"&amp;TEXT(AA$1,"yyyy")),MATCH(TRIM($A139),BS_Accounts,0))-AA139</f>
        <v>0</v>
      </c>
      <c r="AB140" s="115">
        <f t="array" aca="1" ref="AB140" ca="1">INDEX(INDIRECT("BS_"&amp;TEXT(AB$1,"mmm")&amp;"_"&amp;TEXT(AB$1,"yyyy")),MATCH(TRIM($A139),BS_Accounts,0))-AB139</f>
        <v>0</v>
      </c>
      <c r="AC140" s="115">
        <f t="array" aca="1" ref="AC140" ca="1">INDEX(INDIRECT("BS_"&amp;TEXT(AC$1,"mmm")&amp;"_"&amp;TEXT(AC$1,"yyyy")),MATCH(TRIM($A139),BS_Accounts,0))-AC139</f>
        <v>0</v>
      </c>
      <c r="AD140" s="115">
        <f t="array" aca="1" ref="AD140" ca="1">INDEX(INDIRECT("BS_"&amp;TEXT(AD$1,"mmm")&amp;"_"&amp;TEXT(AD$1,"yyyy")),MATCH(TRIM($A139),BS_Accounts,0))-AD139</f>
        <v>0</v>
      </c>
      <c r="AE140" s="115">
        <f t="array" aca="1" ref="AE140" ca="1">INDEX(INDIRECT("BS_"&amp;TEXT(AE$1,"mmm")&amp;"_"&amp;TEXT(AE$1,"yyyy")),MATCH(TRIM($A139),BS_Accounts,0))-AE139</f>
        <v>0</v>
      </c>
    </row>
    <row r="141" spans="1:75" ht="12.75" x14ac:dyDescent="0.2">
      <c r="A141" s="60" t="s">
        <v>377</v>
      </c>
      <c r="B141" s="238"/>
      <c r="C141" s="212"/>
      <c r="D141" s="213">
        <f t="shared" ref="D141:BW141" ca="1" si="73">SUM(D139,D131)</f>
        <v>1050118</v>
      </c>
      <c r="E141" s="213">
        <f t="shared" ca="1" si="73"/>
        <v>1147892</v>
      </c>
      <c r="F141" s="213">
        <f t="shared" ca="1" si="73"/>
        <v>1147892</v>
      </c>
      <c r="G141" s="213">
        <f t="shared" ca="1" si="73"/>
        <v>1147892</v>
      </c>
      <c r="H141" s="213">
        <f t="shared" ca="1" si="73"/>
        <v>1147892</v>
      </c>
      <c r="I141" s="213">
        <f t="shared" ca="1" si="73"/>
        <v>1147892</v>
      </c>
      <c r="J141" s="213">
        <f t="shared" ca="1" si="73"/>
        <v>1147892</v>
      </c>
      <c r="K141" s="213">
        <f t="shared" ca="1" si="73"/>
        <v>1147892</v>
      </c>
      <c r="L141" s="213">
        <f t="shared" ca="1" si="73"/>
        <v>1147892</v>
      </c>
      <c r="M141" s="213">
        <f t="shared" ca="1" si="73"/>
        <v>1747892</v>
      </c>
      <c r="N141" s="213">
        <f t="shared" ca="1" si="73"/>
        <v>1747892</v>
      </c>
      <c r="O141" s="213">
        <f t="shared" ca="1" si="73"/>
        <v>1747892</v>
      </c>
      <c r="P141" s="213">
        <f t="shared" ca="1" si="73"/>
        <v>2247892</v>
      </c>
      <c r="Q141" s="213">
        <f t="shared" ca="1" si="73"/>
        <v>2247892</v>
      </c>
      <c r="R141" s="213">
        <f t="shared" ca="1" si="73"/>
        <v>2247892</v>
      </c>
      <c r="S141" s="213">
        <f t="shared" ca="1" si="73"/>
        <v>2247892</v>
      </c>
      <c r="T141" s="213">
        <f t="shared" ca="1" si="73"/>
        <v>2547892</v>
      </c>
      <c r="U141" s="213">
        <f t="shared" ca="1" si="73"/>
        <v>2547892</v>
      </c>
      <c r="V141" s="213">
        <f t="shared" ca="1" si="73"/>
        <v>2547892</v>
      </c>
      <c r="W141" s="213">
        <f t="shared" ca="1" si="73"/>
        <v>2547892</v>
      </c>
      <c r="X141" s="213">
        <f t="shared" ca="1" si="73"/>
        <v>2547892</v>
      </c>
      <c r="Y141" s="213">
        <f t="shared" ca="1" si="73"/>
        <v>2847892</v>
      </c>
      <c r="Z141" s="213">
        <f t="shared" ca="1" si="73"/>
        <v>2847892</v>
      </c>
      <c r="AA141" s="213">
        <f t="shared" ca="1" si="73"/>
        <v>2847892</v>
      </c>
      <c r="AB141" s="213">
        <f t="shared" ca="1" si="73"/>
        <v>2847892</v>
      </c>
      <c r="AC141" s="213">
        <f t="shared" ca="1" si="73"/>
        <v>2847892</v>
      </c>
      <c r="AD141" s="213">
        <f t="shared" ca="1" si="73"/>
        <v>2847892</v>
      </c>
      <c r="AE141" s="213">
        <f t="shared" ca="1" si="73"/>
        <v>2847892</v>
      </c>
      <c r="AF141" s="213">
        <f t="shared" ca="1" si="73"/>
        <v>2847892</v>
      </c>
      <c r="AG141" s="213">
        <f t="shared" ca="1" si="73"/>
        <v>2847892</v>
      </c>
      <c r="AH141" s="213">
        <f t="shared" ca="1" si="73"/>
        <v>2847892</v>
      </c>
      <c r="AI141" s="213">
        <f t="shared" ca="1" si="73"/>
        <v>2847892</v>
      </c>
      <c r="AJ141" s="213">
        <f t="shared" ca="1" si="73"/>
        <v>2847892</v>
      </c>
      <c r="AK141" s="213">
        <f t="shared" ca="1" si="73"/>
        <v>2847892</v>
      </c>
      <c r="AL141" s="213">
        <f t="shared" ca="1" si="73"/>
        <v>2847892</v>
      </c>
      <c r="AM141" s="213">
        <f t="shared" ca="1" si="73"/>
        <v>2847892</v>
      </c>
      <c r="AN141" s="213">
        <f t="shared" ca="1" si="73"/>
        <v>2847892</v>
      </c>
      <c r="AO141" s="213">
        <f t="shared" ca="1" si="73"/>
        <v>2847892</v>
      </c>
      <c r="AP141" s="213">
        <f t="shared" ca="1" si="73"/>
        <v>2847892</v>
      </c>
      <c r="AQ141" s="213">
        <f t="shared" ca="1" si="73"/>
        <v>2847892</v>
      </c>
      <c r="AR141" s="213">
        <f t="shared" ca="1" si="73"/>
        <v>2847892</v>
      </c>
      <c r="AS141" s="213">
        <f t="shared" ca="1" si="73"/>
        <v>2847892</v>
      </c>
      <c r="AT141" s="213">
        <f t="shared" ca="1" si="73"/>
        <v>2847892</v>
      </c>
      <c r="AU141" s="213">
        <f t="shared" ca="1" si="73"/>
        <v>2847892</v>
      </c>
      <c r="AV141" s="213">
        <f t="shared" ca="1" si="73"/>
        <v>2847892</v>
      </c>
      <c r="AW141" s="213">
        <f t="shared" ca="1" si="73"/>
        <v>2847892</v>
      </c>
      <c r="AX141" s="213">
        <f t="shared" ca="1" si="73"/>
        <v>2847892</v>
      </c>
      <c r="AY141" s="213">
        <f t="shared" ca="1" si="73"/>
        <v>2847892</v>
      </c>
      <c r="AZ141" s="213">
        <f t="shared" ca="1" si="73"/>
        <v>2847892</v>
      </c>
      <c r="BA141" s="213">
        <f t="shared" ca="1" si="73"/>
        <v>2847892</v>
      </c>
      <c r="BB141" s="213">
        <f t="shared" ca="1" si="73"/>
        <v>2847892</v>
      </c>
      <c r="BC141" s="213">
        <f t="shared" ca="1" si="73"/>
        <v>2847892</v>
      </c>
      <c r="BD141" s="213">
        <f t="shared" ca="1" si="73"/>
        <v>2847892</v>
      </c>
      <c r="BE141" s="213">
        <f t="shared" ca="1" si="73"/>
        <v>2847892</v>
      </c>
      <c r="BF141" s="213">
        <f t="shared" ca="1" si="73"/>
        <v>2847892</v>
      </c>
      <c r="BG141" s="213">
        <f t="shared" ca="1" si="73"/>
        <v>2847892</v>
      </c>
      <c r="BH141" s="213">
        <f t="shared" ca="1" si="73"/>
        <v>2847892</v>
      </c>
      <c r="BI141" s="213">
        <f t="shared" ca="1" si="73"/>
        <v>2847892</v>
      </c>
      <c r="BJ141" s="213">
        <f t="shared" ca="1" si="73"/>
        <v>2847892</v>
      </c>
      <c r="BK141" s="213">
        <f t="shared" ca="1" si="73"/>
        <v>2847892</v>
      </c>
      <c r="BL141" s="213">
        <f t="shared" ca="1" si="73"/>
        <v>2847892</v>
      </c>
      <c r="BM141" s="213">
        <f t="shared" ca="1" si="73"/>
        <v>2847892</v>
      </c>
      <c r="BN141" s="213">
        <f t="shared" ca="1" si="73"/>
        <v>2847892</v>
      </c>
      <c r="BO141" s="213">
        <f t="shared" ca="1" si="73"/>
        <v>2847892</v>
      </c>
      <c r="BP141" s="213" t="e">
        <f t="shared" ca="1" si="73"/>
        <v>#N/A</v>
      </c>
      <c r="BQ141" s="213" t="e">
        <f t="shared" ca="1" si="73"/>
        <v>#N/A</v>
      </c>
      <c r="BR141" s="213" t="e">
        <f t="shared" ca="1" si="73"/>
        <v>#N/A</v>
      </c>
      <c r="BS141" s="213" t="e">
        <f t="shared" ca="1" si="73"/>
        <v>#N/A</v>
      </c>
      <c r="BT141" s="213" t="e">
        <f t="shared" ca="1" si="73"/>
        <v>#N/A</v>
      </c>
      <c r="BU141" s="213" t="e">
        <f t="shared" ca="1" si="73"/>
        <v>#N/A</v>
      </c>
      <c r="BV141" s="213" t="e">
        <f t="shared" ca="1" si="73"/>
        <v>#N/A</v>
      </c>
      <c r="BW141" s="213" t="e">
        <f t="shared" ca="1" si="73"/>
        <v>#N/A</v>
      </c>
    </row>
    <row r="142" spans="1:75" ht="12.75" x14ac:dyDescent="0.2">
      <c r="A142" s="69" t="s">
        <v>244</v>
      </c>
      <c r="B142" s="221"/>
      <c r="D142" s="115">
        <f t="array" aca="1" ref="D142" ca="1">INDEX(INDIRECT("BS_"&amp;TEXT(D$1,"mmm")&amp;"_"&amp;TEXT(D$1,"yyyy")),MATCH(TRIM($A141),BS_Accounts,0))-D141</f>
        <v>0</v>
      </c>
      <c r="E142" s="115">
        <f t="array" aca="1" ref="E142" ca="1">INDEX(INDIRECT("BS_"&amp;TEXT(E$1,"mmm")&amp;"_"&amp;TEXT(E$1,"yyyy")),MATCH(TRIM($A141),BS_Accounts,0))-E141</f>
        <v>0</v>
      </c>
      <c r="F142" s="115">
        <f t="array" aca="1" ref="F142" ca="1">INDEX(INDIRECT("BS_"&amp;TEXT(F$1,"mmm")&amp;"_"&amp;TEXT(F$1,"yyyy")),MATCH(TRIM($A141),BS_Accounts,0))-F141</f>
        <v>0</v>
      </c>
      <c r="G142" s="115">
        <f t="array" aca="1" ref="G142" ca="1">INDEX(INDIRECT("BS_"&amp;TEXT(G$1,"mmm")&amp;"_"&amp;TEXT(G$1,"yyyy")),MATCH(TRIM($A141),BS_Accounts,0))-G141</f>
        <v>0</v>
      </c>
      <c r="H142" s="115">
        <f t="array" aca="1" ref="H142" ca="1">INDEX(INDIRECT("BS_"&amp;TEXT(H$1,"mmm")&amp;"_"&amp;TEXT(H$1,"yyyy")),MATCH(TRIM($A141),BS_Accounts,0))-H141</f>
        <v>0</v>
      </c>
      <c r="I142" s="115">
        <f t="array" aca="1" ref="I142" ca="1">INDEX(INDIRECT("BS_"&amp;TEXT(I$1,"mmm")&amp;"_"&amp;TEXT(I$1,"yyyy")),MATCH(TRIM($A141),BS_Accounts,0))-I141</f>
        <v>0</v>
      </c>
      <c r="J142" s="115">
        <f t="array" aca="1" ref="J142" ca="1">INDEX(INDIRECT("BS_"&amp;TEXT(J$1,"mmm")&amp;"_"&amp;TEXT(J$1,"yyyy")),MATCH(TRIM($A141),BS_Accounts,0))-J141</f>
        <v>0</v>
      </c>
      <c r="K142" s="115">
        <f t="array" aca="1" ref="K142" ca="1">INDEX(INDIRECT("BS_"&amp;TEXT(K$1,"mmm")&amp;"_"&amp;TEXT(K$1,"yyyy")),MATCH(TRIM($A141),BS_Accounts,0))-K141</f>
        <v>0</v>
      </c>
      <c r="L142" s="115">
        <f t="array" aca="1" ref="L142" ca="1">INDEX(INDIRECT("BS_"&amp;TEXT(L$1,"mmm")&amp;"_"&amp;TEXT(L$1,"yyyy")),MATCH(TRIM($A141),BS_Accounts,0))-L141</f>
        <v>0</v>
      </c>
      <c r="M142" s="115">
        <f t="array" aca="1" ref="M142" ca="1">INDEX(INDIRECT("BS_"&amp;TEXT(M$1,"mmm")&amp;"_"&amp;TEXT(M$1,"yyyy")),MATCH(TRIM($A141),BS_Accounts,0))-M141</f>
        <v>0</v>
      </c>
      <c r="N142" s="115">
        <f t="array" aca="1" ref="N142" ca="1">INDEX(INDIRECT("BS_"&amp;TEXT(N$1,"mmm")&amp;"_"&amp;TEXT(N$1,"yyyy")),MATCH(TRIM($A141),BS_Accounts,0))-N141</f>
        <v>0</v>
      </c>
      <c r="O142" s="115">
        <f t="array" aca="1" ref="O142" ca="1">INDEX(INDIRECT("BS_"&amp;TEXT(O$1,"mmm")&amp;"_"&amp;TEXT(O$1,"yyyy")),MATCH(TRIM($A141),BS_Accounts,0))-O141</f>
        <v>0</v>
      </c>
      <c r="P142" s="115">
        <f t="array" aca="1" ref="P142" ca="1">INDEX(INDIRECT("BS_"&amp;TEXT(P$1,"mmm")&amp;"_"&amp;TEXT(P$1,"yyyy")),MATCH(TRIM($A141),BS_Accounts,0))-P141</f>
        <v>0</v>
      </c>
      <c r="Q142" s="115">
        <f t="array" aca="1" ref="Q142" ca="1">INDEX(INDIRECT("BS_"&amp;TEXT(Q$1,"mmm")&amp;"_"&amp;TEXT(Q$1,"yyyy")),MATCH(TRIM($A141),BS_Accounts,0))-Q141</f>
        <v>0</v>
      </c>
      <c r="R142" s="115">
        <f t="array" aca="1" ref="R142" ca="1">INDEX(INDIRECT("BS_"&amp;TEXT(R$1,"mmm")&amp;"_"&amp;TEXT(R$1,"yyyy")),MATCH(TRIM($A141),BS_Accounts,0))-R141</f>
        <v>0</v>
      </c>
      <c r="S142" s="115">
        <f t="array" aca="1" ref="S142" ca="1">INDEX(INDIRECT("BS_"&amp;TEXT(S$1,"mmm")&amp;"_"&amp;TEXT(S$1,"yyyy")),MATCH(TRIM($A141),BS_Accounts,0))-S141</f>
        <v>0</v>
      </c>
      <c r="T142" s="115">
        <f t="array" aca="1" ref="T142" ca="1">INDEX(INDIRECT("BS_"&amp;TEXT(T$1,"mmm")&amp;"_"&amp;TEXT(T$1,"yyyy")),MATCH(TRIM($A141),BS_Accounts,0))-T141</f>
        <v>0</v>
      </c>
      <c r="U142" s="115">
        <f t="array" aca="1" ref="U142" ca="1">INDEX(INDIRECT("BS_"&amp;TEXT(U$1,"mmm")&amp;"_"&amp;TEXT(U$1,"yyyy")),MATCH(TRIM($A141),BS_Accounts,0))-U141</f>
        <v>0</v>
      </c>
      <c r="V142" s="115">
        <f t="array" aca="1" ref="V142" ca="1">INDEX(INDIRECT("BS_"&amp;TEXT(V$1,"mmm")&amp;"_"&amp;TEXT(V$1,"yyyy")),MATCH(TRIM($A141),BS_Accounts,0))-V141</f>
        <v>0</v>
      </c>
      <c r="W142" s="115">
        <f t="array" aca="1" ref="W142" ca="1">INDEX(INDIRECT("BS_"&amp;TEXT(W$1,"mmm")&amp;"_"&amp;TEXT(W$1,"yyyy")),MATCH(TRIM($A141),BS_Accounts,0))-W141</f>
        <v>0</v>
      </c>
      <c r="X142" s="115">
        <f t="array" aca="1" ref="X142" ca="1">INDEX(INDIRECT("BS_"&amp;TEXT(X$1,"mmm")&amp;"_"&amp;TEXT(X$1,"yyyy")),MATCH(TRIM($A141),BS_Accounts,0))-X141</f>
        <v>0</v>
      </c>
      <c r="Y142" s="115">
        <f t="array" aca="1" ref="Y142" ca="1">INDEX(INDIRECT("BS_"&amp;TEXT(Y$1,"mmm")&amp;"_"&amp;TEXT(Y$1,"yyyy")),MATCH(TRIM($A141),BS_Accounts,0))-Y141</f>
        <v>0</v>
      </c>
      <c r="Z142" s="115">
        <f t="array" aca="1" ref="Z142" ca="1">INDEX(INDIRECT("BS_"&amp;TEXT(Z$1,"mmm")&amp;"_"&amp;TEXT(Z$1,"yyyy")),MATCH(TRIM($A141),BS_Accounts,0))-Z141</f>
        <v>0</v>
      </c>
      <c r="AA142" s="115">
        <f t="array" aca="1" ref="AA142" ca="1">INDEX(INDIRECT("BS_"&amp;TEXT(AA$1,"mmm")&amp;"_"&amp;TEXT(AA$1,"yyyy")),MATCH(TRIM($A141),BS_Accounts,0))-AA141</f>
        <v>0</v>
      </c>
      <c r="AB142" s="115">
        <f t="array" aca="1" ref="AB142" ca="1">INDEX(INDIRECT("BS_"&amp;TEXT(AB$1,"mmm")&amp;"_"&amp;TEXT(AB$1,"yyyy")),MATCH(TRIM($A141),BS_Accounts,0))-AB141</f>
        <v>0</v>
      </c>
      <c r="AC142" s="115">
        <f t="array" aca="1" ref="AC142" ca="1">INDEX(INDIRECT("BS_"&amp;TEXT(AC$1,"mmm")&amp;"_"&amp;TEXT(AC$1,"yyyy")),MATCH(TRIM($A141),BS_Accounts,0))-AC141</f>
        <v>0</v>
      </c>
      <c r="AD142" s="115">
        <f t="array" aca="1" ref="AD142" ca="1">INDEX(INDIRECT("BS_"&amp;TEXT(AD$1,"mmm")&amp;"_"&amp;TEXT(AD$1,"yyyy")),MATCH(TRIM($A141),BS_Accounts,0))-AD141</f>
        <v>0</v>
      </c>
      <c r="AE142" s="115">
        <f t="array" aca="1" ref="AE142" ca="1">INDEX(INDIRECT("BS_"&amp;TEXT(AE$1,"mmm")&amp;"_"&amp;TEXT(AE$1,"yyyy")),MATCH(TRIM($A141),BS_Accounts,0))-AE141</f>
        <v>0</v>
      </c>
    </row>
    <row r="143" spans="1:75" ht="12.75" x14ac:dyDescent="0.2">
      <c r="A143" s="23" t="s">
        <v>378</v>
      </c>
      <c r="B143" s="221"/>
    </row>
    <row r="144" spans="1:75" ht="12.75" x14ac:dyDescent="0.2">
      <c r="A144" s="23" t="s">
        <v>379</v>
      </c>
      <c r="B144" s="224">
        <f ca="1">AVERAGEIFS(144:144,$1:$1,"&gt;="&amp;DATE(YEAR(Current_Month),MONTH(Current_Month),DAY(Current_Month)),$1:$1,"&lt;="&amp;EOMONTH(Current_Month,0))</f>
        <v>0</v>
      </c>
      <c r="D144" s="115">
        <f t="array" aca="1" ref="D144" ca="1">INDEX(INDIRECT("BS_"&amp;TEXT(D$1,"mmm")&amp;"_"&amp;TEXT(D$1,"yyyy")),MATCH(TRIM($A144),BS_Accounts,0))</f>
        <v>0</v>
      </c>
      <c r="E144" s="115">
        <f t="array" aca="1" ref="E144" ca="1">INDEX(INDIRECT("BS_"&amp;TEXT(E$1,"mmm")&amp;"_"&amp;TEXT(E$1,"yyyy")),MATCH(TRIM($A144),BS_Accounts,0))</f>
        <v>0</v>
      </c>
      <c r="F144" s="115">
        <f t="array" aca="1" ref="F144" ca="1">INDEX(INDIRECT("BS_"&amp;TEXT(F$1,"mmm")&amp;"_"&amp;TEXT(F$1,"yyyy")),MATCH(TRIM($A144),BS_Accounts,0))</f>
        <v>0</v>
      </c>
      <c r="G144" s="115">
        <f t="array" aca="1" ref="G144" ca="1">INDEX(INDIRECT("BS_"&amp;TEXT(G$1,"mmm")&amp;"_"&amp;TEXT(G$1,"yyyy")),MATCH(TRIM($A144),BS_Accounts,0))</f>
        <v>0</v>
      </c>
      <c r="H144" s="115">
        <f t="array" aca="1" ref="H144" ca="1">INDEX(INDIRECT("BS_"&amp;TEXT(H$1,"mmm")&amp;"_"&amp;TEXT(H$1,"yyyy")),MATCH(TRIM($A144),BS_Accounts,0))</f>
        <v>0</v>
      </c>
      <c r="I144" s="115">
        <f t="array" aca="1" ref="I144" ca="1">INDEX(INDIRECT("BS_"&amp;TEXT(I$1,"mmm")&amp;"_"&amp;TEXT(I$1,"yyyy")),MATCH(TRIM($A144),BS_Accounts,0))</f>
        <v>0</v>
      </c>
      <c r="J144" s="115">
        <f t="array" aca="1" ref="J144" ca="1">INDEX(INDIRECT("BS_"&amp;TEXT(J$1,"mmm")&amp;"_"&amp;TEXT(J$1,"yyyy")),MATCH(TRIM($A144),BS_Accounts,0))</f>
        <v>0</v>
      </c>
      <c r="K144" s="115">
        <f t="array" aca="1" ref="K144" ca="1">INDEX(INDIRECT("BS_"&amp;TEXT(K$1,"mmm")&amp;"_"&amp;TEXT(K$1,"yyyy")),MATCH(TRIM($A144),BS_Accounts,0))</f>
        <v>0</v>
      </c>
      <c r="L144" s="115">
        <f t="array" aca="1" ref="L144" ca="1">INDEX(INDIRECT("BS_"&amp;TEXT(L$1,"mmm")&amp;"_"&amp;TEXT(L$1,"yyyy")),MATCH(TRIM($A144),BS_Accounts,0))</f>
        <v>0</v>
      </c>
      <c r="M144" s="115">
        <f t="array" aca="1" ref="M144" ca="1">INDEX(INDIRECT("BS_"&amp;TEXT(M$1,"mmm")&amp;"_"&amp;TEXT(M$1,"yyyy")),MATCH(TRIM($A144),BS_Accounts,0))</f>
        <v>0</v>
      </c>
      <c r="N144" s="115">
        <f t="array" aca="1" ref="N144" ca="1">INDEX(INDIRECT("BS_"&amp;TEXT(N$1,"mmm")&amp;"_"&amp;TEXT(N$1,"yyyy")),MATCH(TRIM($A144),BS_Accounts,0))</f>
        <v>0</v>
      </c>
      <c r="O144" s="115">
        <f t="array" aca="1" ref="O144" ca="1">INDEX(INDIRECT("BS_"&amp;TEXT(O$1,"mmm")&amp;"_"&amp;TEXT(O$1,"yyyy")),MATCH(TRIM($A144),BS_Accounts,0))</f>
        <v>0</v>
      </c>
      <c r="P144" s="115">
        <f t="array" aca="1" ref="P144" ca="1">INDEX(INDIRECT("BS_"&amp;TEXT(P$1,"mmm")&amp;"_"&amp;TEXT(P$1,"yyyy")),MATCH(TRIM($A144),BS_Accounts,0))</f>
        <v>0</v>
      </c>
      <c r="Q144" s="115">
        <f t="array" aca="1" ref="Q144" ca="1">INDEX(INDIRECT("BS_"&amp;TEXT(Q$1,"mmm")&amp;"_"&amp;TEXT(Q$1,"yyyy")),MATCH(TRIM($A144),BS_Accounts,0))</f>
        <v>0</v>
      </c>
      <c r="R144" s="115">
        <f t="array" aca="1" ref="R144" ca="1">INDEX(INDIRECT("BS_"&amp;TEXT(R$1,"mmm")&amp;"_"&amp;TEXT(R$1,"yyyy")),MATCH(TRIM($A144),BS_Accounts,0))</f>
        <v>0</v>
      </c>
      <c r="S144" s="115">
        <f t="array" aca="1" ref="S144" ca="1">INDEX(INDIRECT("BS_"&amp;TEXT(S$1,"mmm")&amp;"_"&amp;TEXT(S$1,"yyyy")),MATCH(TRIM($A144),BS_Accounts,0))</f>
        <v>0</v>
      </c>
      <c r="T144" s="115">
        <f t="array" aca="1" ref="T144" ca="1">INDEX(INDIRECT("BS_"&amp;TEXT(T$1,"mmm")&amp;"_"&amp;TEXT(T$1,"yyyy")),MATCH(TRIM($A144),BS_Accounts,0))</f>
        <v>0</v>
      </c>
      <c r="U144" s="115">
        <f t="array" aca="1" ref="U144" ca="1">INDEX(INDIRECT("BS_"&amp;TEXT(U$1,"mmm")&amp;"_"&amp;TEXT(U$1,"yyyy")),MATCH(TRIM($A144),BS_Accounts,0))</f>
        <v>0</v>
      </c>
      <c r="V144" s="115">
        <f t="array" aca="1" ref="V144" ca="1">INDEX(INDIRECT("BS_"&amp;TEXT(V$1,"mmm")&amp;"_"&amp;TEXT(V$1,"yyyy")),MATCH(TRIM($A144),BS_Accounts,0))</f>
        <v>0</v>
      </c>
      <c r="W144" s="115">
        <f t="array" aca="1" ref="W144" ca="1">INDEX(INDIRECT("BS_"&amp;TEXT(W$1,"mmm")&amp;"_"&amp;TEXT(W$1,"yyyy")),MATCH(TRIM($A144),BS_Accounts,0))</f>
        <v>0</v>
      </c>
      <c r="X144" s="115">
        <f t="array" aca="1" ref="X144" ca="1">INDEX(INDIRECT("BS_"&amp;TEXT(X$1,"mmm")&amp;"_"&amp;TEXT(X$1,"yyyy")),MATCH(TRIM($A144),BS_Accounts,0))</f>
        <v>0</v>
      </c>
      <c r="Y144" s="115">
        <f t="array" aca="1" ref="Y144" ca="1">INDEX(INDIRECT("BS_"&amp;TEXT(Y$1,"mmm")&amp;"_"&amp;TEXT(Y$1,"yyyy")),MATCH(TRIM($A144),BS_Accounts,0))</f>
        <v>0</v>
      </c>
      <c r="Z144" s="115">
        <f t="array" aca="1" ref="Z144" ca="1">INDEX(INDIRECT("BS_"&amp;TEXT(Z$1,"mmm")&amp;"_"&amp;TEXT(Z$1,"yyyy")),MATCH(TRIM($A144),BS_Accounts,0))</f>
        <v>0</v>
      </c>
      <c r="AA144" s="115">
        <f t="array" aca="1" ref="AA144" ca="1">INDEX(INDIRECT("BS_"&amp;TEXT(AA$1,"mmm")&amp;"_"&amp;TEXT(AA$1,"yyyy")),MATCH(TRIM($A144),BS_Accounts,0))</f>
        <v>0</v>
      </c>
      <c r="AB144" s="115">
        <f t="array" aca="1" ref="AB144" ca="1">INDEX(INDIRECT("BS_"&amp;TEXT(AB$1,"mmm")&amp;"_"&amp;TEXT(AB$1,"yyyy")),MATCH(TRIM($A144),BS_Accounts,0))</f>
        <v>0</v>
      </c>
      <c r="AC144" s="115">
        <f t="array" aca="1" ref="AC144" ca="1">INDEX(INDIRECT("BS_"&amp;TEXT(AC$1,"mmm")&amp;"_"&amp;TEXT(AC$1,"yyyy")),MATCH(TRIM($A144),BS_Accounts,0))</f>
        <v>0</v>
      </c>
      <c r="AD144" s="115">
        <f t="array" aca="1" ref="AD144" ca="1">INDEX(INDIRECT("BS_"&amp;TEXT(AD$1,"mmm")&amp;"_"&amp;TEXT(AD$1,"yyyy")),MATCH(TRIM($A144),BS_Accounts,0))</f>
        <v>0</v>
      </c>
      <c r="AE144" s="115">
        <f t="array" aca="1" ref="AE144" ca="1">INDEX(INDIRECT("BS_"&amp;TEXT(AE$1,"mmm")&amp;"_"&amp;TEXT(AE$1,"yyyy")),MATCH(TRIM($A144),BS_Accounts,0))</f>
        <v>0</v>
      </c>
      <c r="AF144" s="165">
        <f t="shared" ref="AF144:BW144" ca="1" si="74">$B144</f>
        <v>0</v>
      </c>
      <c r="AG144" s="165">
        <f t="shared" ca="1" si="74"/>
        <v>0</v>
      </c>
      <c r="AH144" s="165">
        <f t="shared" ca="1" si="74"/>
        <v>0</v>
      </c>
      <c r="AI144" s="165">
        <f t="shared" ca="1" si="74"/>
        <v>0</v>
      </c>
      <c r="AJ144" s="165">
        <f t="shared" ca="1" si="74"/>
        <v>0</v>
      </c>
      <c r="AK144" s="165">
        <f t="shared" ca="1" si="74"/>
        <v>0</v>
      </c>
      <c r="AL144" s="165">
        <f t="shared" ca="1" si="74"/>
        <v>0</v>
      </c>
      <c r="AM144" s="165">
        <f t="shared" ca="1" si="74"/>
        <v>0</v>
      </c>
      <c r="AN144" s="165">
        <f t="shared" ca="1" si="74"/>
        <v>0</v>
      </c>
      <c r="AO144" s="165">
        <f t="shared" ca="1" si="74"/>
        <v>0</v>
      </c>
      <c r="AP144" s="165">
        <f t="shared" ca="1" si="74"/>
        <v>0</v>
      </c>
      <c r="AQ144" s="165">
        <f t="shared" ca="1" si="74"/>
        <v>0</v>
      </c>
      <c r="AR144" s="165">
        <f t="shared" ca="1" si="74"/>
        <v>0</v>
      </c>
      <c r="AS144" s="165">
        <f t="shared" ca="1" si="74"/>
        <v>0</v>
      </c>
      <c r="AT144" s="165">
        <f t="shared" ca="1" si="74"/>
        <v>0</v>
      </c>
      <c r="AU144" s="165">
        <f t="shared" ca="1" si="74"/>
        <v>0</v>
      </c>
      <c r="AV144" s="165">
        <f t="shared" ca="1" si="74"/>
        <v>0</v>
      </c>
      <c r="AW144" s="165">
        <f t="shared" ca="1" si="74"/>
        <v>0</v>
      </c>
      <c r="AX144" s="165">
        <f t="shared" ca="1" si="74"/>
        <v>0</v>
      </c>
      <c r="AY144" s="165">
        <f t="shared" ca="1" si="74"/>
        <v>0</v>
      </c>
      <c r="AZ144" s="165">
        <f t="shared" ca="1" si="74"/>
        <v>0</v>
      </c>
      <c r="BA144" s="165">
        <f t="shared" ca="1" si="74"/>
        <v>0</v>
      </c>
      <c r="BB144" s="165">
        <f t="shared" ca="1" si="74"/>
        <v>0</v>
      </c>
      <c r="BC144" s="165">
        <f t="shared" ca="1" si="74"/>
        <v>0</v>
      </c>
      <c r="BD144" s="165">
        <f t="shared" ca="1" si="74"/>
        <v>0</v>
      </c>
      <c r="BE144" s="165">
        <f t="shared" ca="1" si="74"/>
        <v>0</v>
      </c>
      <c r="BF144" s="165">
        <f t="shared" ca="1" si="74"/>
        <v>0</v>
      </c>
      <c r="BG144" s="165">
        <f t="shared" ca="1" si="74"/>
        <v>0</v>
      </c>
      <c r="BH144" s="165">
        <f t="shared" ca="1" si="74"/>
        <v>0</v>
      </c>
      <c r="BI144" s="165">
        <f t="shared" ca="1" si="74"/>
        <v>0</v>
      </c>
      <c r="BJ144" s="165">
        <f t="shared" ca="1" si="74"/>
        <v>0</v>
      </c>
      <c r="BK144" s="165">
        <f t="shared" ca="1" si="74"/>
        <v>0</v>
      </c>
      <c r="BL144" s="165">
        <f t="shared" ca="1" si="74"/>
        <v>0</v>
      </c>
      <c r="BM144" s="165">
        <f t="shared" ca="1" si="74"/>
        <v>0</v>
      </c>
      <c r="BN144" s="165">
        <f t="shared" ca="1" si="74"/>
        <v>0</v>
      </c>
      <c r="BO144" s="165">
        <f t="shared" ca="1" si="74"/>
        <v>0</v>
      </c>
      <c r="BP144" s="165">
        <f t="shared" ca="1" si="74"/>
        <v>0</v>
      </c>
      <c r="BQ144" s="165">
        <f t="shared" ca="1" si="74"/>
        <v>0</v>
      </c>
      <c r="BR144" s="165">
        <f t="shared" ca="1" si="74"/>
        <v>0</v>
      </c>
      <c r="BS144" s="165">
        <f t="shared" ca="1" si="74"/>
        <v>0</v>
      </c>
      <c r="BT144" s="165">
        <f t="shared" ca="1" si="74"/>
        <v>0</v>
      </c>
      <c r="BU144" s="165">
        <f t="shared" ca="1" si="74"/>
        <v>0</v>
      </c>
      <c r="BV144" s="165">
        <f t="shared" ca="1" si="74"/>
        <v>0</v>
      </c>
      <c r="BW144" s="165">
        <f t="shared" ca="1" si="74"/>
        <v>0</v>
      </c>
    </row>
    <row r="145" spans="1:75" ht="12.75" x14ac:dyDescent="0.2">
      <c r="A145" s="23" t="s">
        <v>380</v>
      </c>
      <c r="B145" s="224">
        <f ca="1">AVERAGEIFS(145:145,$1:$1,"&gt;="&amp;DATE(YEAR(Current_Month),MONTH(Current_Month),DAY(Current_Month)),$1:$1,"&lt;="&amp;EOMONTH(Current_Month,0))</f>
        <v>332421</v>
      </c>
      <c r="D145" s="115">
        <f t="array" aca="1" ref="D145" ca="1">INDEX(INDIRECT("BS_"&amp;TEXT(D$1,"mmm")&amp;"_"&amp;TEXT(D$1,"yyyy")),MATCH(TRIM($A145),BS_Accounts,0))</f>
        <v>332421</v>
      </c>
      <c r="E145" s="115">
        <f t="array" aca="1" ref="E145" ca="1">INDEX(INDIRECT("BS_"&amp;TEXT(E$1,"mmm")&amp;"_"&amp;TEXT(E$1,"yyyy")),MATCH(TRIM($A145),BS_Accounts,0))</f>
        <v>332421</v>
      </c>
      <c r="F145" s="115">
        <f t="array" aca="1" ref="F145" ca="1">INDEX(INDIRECT("BS_"&amp;TEXT(F$1,"mmm")&amp;"_"&amp;TEXT(F$1,"yyyy")),MATCH(TRIM($A145),BS_Accounts,0))</f>
        <v>332421</v>
      </c>
      <c r="G145" s="115">
        <f t="array" aca="1" ref="G145" ca="1">INDEX(INDIRECT("BS_"&amp;TEXT(G$1,"mmm")&amp;"_"&amp;TEXT(G$1,"yyyy")),MATCH(TRIM($A145),BS_Accounts,0))</f>
        <v>332421</v>
      </c>
      <c r="H145" s="115">
        <f t="array" aca="1" ref="H145" ca="1">INDEX(INDIRECT("BS_"&amp;TEXT(H$1,"mmm")&amp;"_"&amp;TEXT(H$1,"yyyy")),MATCH(TRIM($A145),BS_Accounts,0))</f>
        <v>332421</v>
      </c>
      <c r="I145" s="115">
        <f t="array" aca="1" ref="I145" ca="1">INDEX(INDIRECT("BS_"&amp;TEXT(I$1,"mmm")&amp;"_"&amp;TEXT(I$1,"yyyy")),MATCH(TRIM($A145),BS_Accounts,0))</f>
        <v>332421</v>
      </c>
      <c r="J145" s="115">
        <f t="array" aca="1" ref="J145" ca="1">INDEX(INDIRECT("BS_"&amp;TEXT(J$1,"mmm")&amp;"_"&amp;TEXT(J$1,"yyyy")),MATCH(TRIM($A145),BS_Accounts,0))</f>
        <v>332421</v>
      </c>
      <c r="K145" s="115">
        <f t="array" aca="1" ref="K145" ca="1">INDEX(INDIRECT("BS_"&amp;TEXT(K$1,"mmm")&amp;"_"&amp;TEXT(K$1,"yyyy")),MATCH(TRIM($A145),BS_Accounts,0))</f>
        <v>332421</v>
      </c>
      <c r="L145" s="115">
        <f t="array" aca="1" ref="L145" ca="1">INDEX(INDIRECT("BS_"&amp;TEXT(L$1,"mmm")&amp;"_"&amp;TEXT(L$1,"yyyy")),MATCH(TRIM($A145),BS_Accounts,0))</f>
        <v>332421</v>
      </c>
      <c r="M145" s="115">
        <f t="array" aca="1" ref="M145" ca="1">INDEX(INDIRECT("BS_"&amp;TEXT(M$1,"mmm")&amp;"_"&amp;TEXT(M$1,"yyyy")),MATCH(TRIM($A145),BS_Accounts,0))</f>
        <v>332421</v>
      </c>
      <c r="N145" s="115">
        <f t="array" aca="1" ref="N145" ca="1">INDEX(INDIRECT("BS_"&amp;TEXT(N$1,"mmm")&amp;"_"&amp;TEXT(N$1,"yyyy")),MATCH(TRIM($A145),BS_Accounts,0))</f>
        <v>332421</v>
      </c>
      <c r="O145" s="115">
        <f t="array" aca="1" ref="O145" ca="1">INDEX(INDIRECT("BS_"&amp;TEXT(O$1,"mmm")&amp;"_"&amp;TEXT(O$1,"yyyy")),MATCH(TRIM($A145),BS_Accounts,0))</f>
        <v>332421</v>
      </c>
      <c r="P145" s="115">
        <f t="array" aca="1" ref="P145" ca="1">INDEX(INDIRECT("BS_"&amp;TEXT(P$1,"mmm")&amp;"_"&amp;TEXT(P$1,"yyyy")),MATCH(TRIM($A145),BS_Accounts,0))</f>
        <v>332421</v>
      </c>
      <c r="Q145" s="115">
        <f t="array" aca="1" ref="Q145" ca="1">INDEX(INDIRECT("BS_"&amp;TEXT(Q$1,"mmm")&amp;"_"&amp;TEXT(Q$1,"yyyy")),MATCH(TRIM($A145),BS_Accounts,0))</f>
        <v>332421</v>
      </c>
      <c r="R145" s="115">
        <f t="array" aca="1" ref="R145" ca="1">INDEX(INDIRECT("BS_"&amp;TEXT(R$1,"mmm")&amp;"_"&amp;TEXT(R$1,"yyyy")),MATCH(TRIM($A145),BS_Accounts,0))</f>
        <v>332421</v>
      </c>
      <c r="S145" s="115">
        <f t="array" aca="1" ref="S145" ca="1">INDEX(INDIRECT("BS_"&amp;TEXT(S$1,"mmm")&amp;"_"&amp;TEXT(S$1,"yyyy")),MATCH(TRIM($A145),BS_Accounts,0))</f>
        <v>332421</v>
      </c>
      <c r="T145" s="115">
        <f t="array" aca="1" ref="T145" ca="1">INDEX(INDIRECT("BS_"&amp;TEXT(T$1,"mmm")&amp;"_"&amp;TEXT(T$1,"yyyy")),MATCH(TRIM($A145),BS_Accounts,0))</f>
        <v>332421</v>
      </c>
      <c r="U145" s="115">
        <f t="array" aca="1" ref="U145" ca="1">INDEX(INDIRECT("BS_"&amp;TEXT(U$1,"mmm")&amp;"_"&amp;TEXT(U$1,"yyyy")),MATCH(TRIM($A145),BS_Accounts,0))</f>
        <v>332421</v>
      </c>
      <c r="V145" s="115">
        <f t="array" aca="1" ref="V145" ca="1">INDEX(INDIRECT("BS_"&amp;TEXT(V$1,"mmm")&amp;"_"&amp;TEXT(V$1,"yyyy")),MATCH(TRIM($A145),BS_Accounts,0))</f>
        <v>332421</v>
      </c>
      <c r="W145" s="115">
        <f t="array" aca="1" ref="W145" ca="1">INDEX(INDIRECT("BS_"&amp;TEXT(W$1,"mmm")&amp;"_"&amp;TEXT(W$1,"yyyy")),MATCH(TRIM($A145),BS_Accounts,0))</f>
        <v>332421</v>
      </c>
      <c r="X145" s="115">
        <f t="array" aca="1" ref="X145" ca="1">INDEX(INDIRECT("BS_"&amp;TEXT(X$1,"mmm")&amp;"_"&amp;TEXT(X$1,"yyyy")),MATCH(TRIM($A145),BS_Accounts,0))</f>
        <v>332421</v>
      </c>
      <c r="Y145" s="115">
        <f t="array" aca="1" ref="Y145" ca="1">INDEX(INDIRECT("BS_"&amp;TEXT(Y$1,"mmm")&amp;"_"&amp;TEXT(Y$1,"yyyy")),MATCH(TRIM($A145),BS_Accounts,0))</f>
        <v>332421</v>
      </c>
      <c r="Z145" s="115">
        <f t="array" aca="1" ref="Z145" ca="1">INDEX(INDIRECT("BS_"&amp;TEXT(Z$1,"mmm")&amp;"_"&amp;TEXT(Z$1,"yyyy")),MATCH(TRIM($A145),BS_Accounts,0))</f>
        <v>332421</v>
      </c>
      <c r="AA145" s="115">
        <f t="array" aca="1" ref="AA145" ca="1">INDEX(INDIRECT("BS_"&amp;TEXT(AA$1,"mmm")&amp;"_"&amp;TEXT(AA$1,"yyyy")),MATCH(TRIM($A145),BS_Accounts,0))</f>
        <v>332421</v>
      </c>
      <c r="AB145" s="115">
        <f t="array" aca="1" ref="AB145" ca="1">INDEX(INDIRECT("BS_"&amp;TEXT(AB$1,"mmm")&amp;"_"&amp;TEXT(AB$1,"yyyy")),MATCH(TRIM($A145),BS_Accounts,0))</f>
        <v>332421</v>
      </c>
      <c r="AC145" s="115">
        <f t="array" aca="1" ref="AC145" ca="1">INDEX(INDIRECT("BS_"&amp;TEXT(AC$1,"mmm")&amp;"_"&amp;TEXT(AC$1,"yyyy")),MATCH(TRIM($A145),BS_Accounts,0))</f>
        <v>332421</v>
      </c>
      <c r="AD145" s="115">
        <f t="array" aca="1" ref="AD145" ca="1">INDEX(INDIRECT("BS_"&amp;TEXT(AD$1,"mmm")&amp;"_"&amp;TEXT(AD$1,"yyyy")),MATCH(TRIM($A145),BS_Accounts,0))</f>
        <v>332421</v>
      </c>
      <c r="AE145" s="115">
        <f t="array" aca="1" ref="AE145" ca="1">INDEX(INDIRECT("BS_"&amp;TEXT(AE$1,"mmm")&amp;"_"&amp;TEXT(AE$1,"yyyy")),MATCH(TRIM($A145),BS_Accounts,0))</f>
        <v>332421</v>
      </c>
      <c r="AF145" s="165">
        <f t="shared" ref="AF145:BW145" ca="1" si="75">$B145</f>
        <v>332421</v>
      </c>
      <c r="AG145" s="165">
        <f t="shared" ca="1" si="75"/>
        <v>332421</v>
      </c>
      <c r="AH145" s="165">
        <f t="shared" ca="1" si="75"/>
        <v>332421</v>
      </c>
      <c r="AI145" s="165">
        <f t="shared" ca="1" si="75"/>
        <v>332421</v>
      </c>
      <c r="AJ145" s="165">
        <f t="shared" ca="1" si="75"/>
        <v>332421</v>
      </c>
      <c r="AK145" s="165">
        <f t="shared" ca="1" si="75"/>
        <v>332421</v>
      </c>
      <c r="AL145" s="165">
        <f t="shared" ca="1" si="75"/>
        <v>332421</v>
      </c>
      <c r="AM145" s="165">
        <f t="shared" ca="1" si="75"/>
        <v>332421</v>
      </c>
      <c r="AN145" s="165">
        <f t="shared" ca="1" si="75"/>
        <v>332421</v>
      </c>
      <c r="AO145" s="165">
        <f t="shared" ca="1" si="75"/>
        <v>332421</v>
      </c>
      <c r="AP145" s="165">
        <f t="shared" ca="1" si="75"/>
        <v>332421</v>
      </c>
      <c r="AQ145" s="165">
        <f t="shared" ca="1" si="75"/>
        <v>332421</v>
      </c>
      <c r="AR145" s="165">
        <f t="shared" ca="1" si="75"/>
        <v>332421</v>
      </c>
      <c r="AS145" s="165">
        <f t="shared" ca="1" si="75"/>
        <v>332421</v>
      </c>
      <c r="AT145" s="165">
        <f t="shared" ca="1" si="75"/>
        <v>332421</v>
      </c>
      <c r="AU145" s="165">
        <f t="shared" ca="1" si="75"/>
        <v>332421</v>
      </c>
      <c r="AV145" s="165">
        <f t="shared" ca="1" si="75"/>
        <v>332421</v>
      </c>
      <c r="AW145" s="165">
        <f t="shared" ca="1" si="75"/>
        <v>332421</v>
      </c>
      <c r="AX145" s="165">
        <f t="shared" ca="1" si="75"/>
        <v>332421</v>
      </c>
      <c r="AY145" s="165">
        <f t="shared" ca="1" si="75"/>
        <v>332421</v>
      </c>
      <c r="AZ145" s="165">
        <f t="shared" ca="1" si="75"/>
        <v>332421</v>
      </c>
      <c r="BA145" s="165">
        <f t="shared" ca="1" si="75"/>
        <v>332421</v>
      </c>
      <c r="BB145" s="165">
        <f t="shared" ca="1" si="75"/>
        <v>332421</v>
      </c>
      <c r="BC145" s="165">
        <f t="shared" ca="1" si="75"/>
        <v>332421</v>
      </c>
      <c r="BD145" s="165">
        <f t="shared" ca="1" si="75"/>
        <v>332421</v>
      </c>
      <c r="BE145" s="165">
        <f t="shared" ca="1" si="75"/>
        <v>332421</v>
      </c>
      <c r="BF145" s="165">
        <f t="shared" ca="1" si="75"/>
        <v>332421</v>
      </c>
      <c r="BG145" s="165">
        <f t="shared" ca="1" si="75"/>
        <v>332421</v>
      </c>
      <c r="BH145" s="165">
        <f t="shared" ca="1" si="75"/>
        <v>332421</v>
      </c>
      <c r="BI145" s="165">
        <f t="shared" ca="1" si="75"/>
        <v>332421</v>
      </c>
      <c r="BJ145" s="165">
        <f t="shared" ca="1" si="75"/>
        <v>332421</v>
      </c>
      <c r="BK145" s="165">
        <f t="shared" ca="1" si="75"/>
        <v>332421</v>
      </c>
      <c r="BL145" s="165">
        <f t="shared" ca="1" si="75"/>
        <v>332421</v>
      </c>
      <c r="BM145" s="165">
        <f t="shared" ca="1" si="75"/>
        <v>332421</v>
      </c>
      <c r="BN145" s="165">
        <f t="shared" ca="1" si="75"/>
        <v>332421</v>
      </c>
      <c r="BO145" s="165">
        <f t="shared" ca="1" si="75"/>
        <v>332421</v>
      </c>
      <c r="BP145" s="165">
        <f t="shared" ca="1" si="75"/>
        <v>332421</v>
      </c>
      <c r="BQ145" s="165">
        <f t="shared" ca="1" si="75"/>
        <v>332421</v>
      </c>
      <c r="BR145" s="165">
        <f t="shared" ca="1" si="75"/>
        <v>332421</v>
      </c>
      <c r="BS145" s="165">
        <f t="shared" ca="1" si="75"/>
        <v>332421</v>
      </c>
      <c r="BT145" s="165">
        <f t="shared" ca="1" si="75"/>
        <v>332421</v>
      </c>
      <c r="BU145" s="165">
        <f t="shared" ca="1" si="75"/>
        <v>332421</v>
      </c>
      <c r="BV145" s="165">
        <f t="shared" ca="1" si="75"/>
        <v>332421</v>
      </c>
      <c r="BW145" s="165">
        <f t="shared" ca="1" si="75"/>
        <v>332421</v>
      </c>
    </row>
    <row r="146" spans="1:75" ht="12.75" x14ac:dyDescent="0.2">
      <c r="A146" s="23" t="s">
        <v>381</v>
      </c>
      <c r="B146" s="224">
        <f ca="1">AVERAGEIFS(146:146,$1:$1,"&gt;="&amp;DATE(YEAR(Current_Month),MONTH(Current_Month),DAY(Current_Month)),$1:$1,"&lt;="&amp;EOMONTH(Current_Month,0))</f>
        <v>-2884910</v>
      </c>
      <c r="D146" s="115">
        <f t="array" aca="1" ref="D146" ca="1">INDEX(INDIRECT("BS_"&amp;TEXT(D$1,"mmm")&amp;"_"&amp;TEXT(D$1,"yyyy")),MATCH(TRIM($A146),BS_Accounts,0))</f>
        <v>-332421</v>
      </c>
      <c r="E146" s="115">
        <f t="array" aca="1" ref="E146" ca="1">INDEX(INDIRECT("BS_"&amp;TEXT(E$1,"mmm")&amp;"_"&amp;TEXT(E$1,"yyyy")),MATCH(TRIM($A146),BS_Accounts,0))</f>
        <v>-332421</v>
      </c>
      <c r="F146" s="115">
        <f t="array" aca="1" ref="F146" ca="1">INDEX(INDIRECT("BS_"&amp;TEXT(F$1,"mmm")&amp;"_"&amp;TEXT(F$1,"yyyy")),MATCH(TRIM($A146),BS_Accounts,0))</f>
        <v>-332421</v>
      </c>
      <c r="G146" s="115">
        <f t="array" aca="1" ref="G146" ca="1">INDEX(INDIRECT("BS_"&amp;TEXT(G$1,"mmm")&amp;"_"&amp;TEXT(G$1,"yyyy")),MATCH(TRIM($A146),BS_Accounts,0))</f>
        <v>-332421</v>
      </c>
      <c r="H146" s="115">
        <f t="array" aca="1" ref="H146" ca="1">INDEX(INDIRECT("BS_"&amp;TEXT(H$1,"mmm")&amp;"_"&amp;TEXT(H$1,"yyyy")),MATCH(TRIM($A146),BS_Accounts,0))</f>
        <v>-332421</v>
      </c>
      <c r="I146" s="115">
        <f t="array" aca="1" ref="I146" ca="1">INDEX(INDIRECT("BS_"&amp;TEXT(I$1,"mmm")&amp;"_"&amp;TEXT(I$1,"yyyy")),MATCH(TRIM($A146),BS_Accounts,0))</f>
        <v>-332421</v>
      </c>
      <c r="J146" s="115">
        <f t="array" aca="1" ref="J146" ca="1">INDEX(INDIRECT("BS_"&amp;TEXT(J$1,"mmm")&amp;"_"&amp;TEXT(J$1,"yyyy")),MATCH(TRIM($A146),BS_Accounts,0))</f>
        <v>-332421</v>
      </c>
      <c r="K146" s="115">
        <f t="array" aca="1" ref="K146" ca="1">INDEX(INDIRECT("BS_"&amp;TEXT(K$1,"mmm")&amp;"_"&amp;TEXT(K$1,"yyyy")),MATCH(TRIM($A146),BS_Accounts,0))</f>
        <v>-332421</v>
      </c>
      <c r="L146" s="115">
        <f t="array" aca="1" ref="L146" ca="1">INDEX(INDIRECT("BS_"&amp;TEXT(L$1,"mmm")&amp;"_"&amp;TEXT(L$1,"yyyy")),MATCH(TRIM($A146),BS_Accounts,0))</f>
        <v>-332421</v>
      </c>
      <c r="M146" s="115">
        <f t="array" aca="1" ref="M146" ca="1">INDEX(INDIRECT("BS_"&amp;TEXT(M$1,"mmm")&amp;"_"&amp;TEXT(M$1,"yyyy")),MATCH(TRIM($A146),BS_Accounts,0))</f>
        <v>-332421</v>
      </c>
      <c r="N146" s="115">
        <f t="array" aca="1" ref="N146" ca="1">INDEX(INDIRECT("BS_"&amp;TEXT(N$1,"mmm")&amp;"_"&amp;TEXT(N$1,"yyyy")),MATCH(TRIM($A146),BS_Accounts,0))</f>
        <v>-332421</v>
      </c>
      <c r="O146" s="115">
        <f t="array" aca="1" ref="O146" ca="1">INDEX(INDIRECT("BS_"&amp;TEXT(O$1,"mmm")&amp;"_"&amp;TEXT(O$1,"yyyy")),MATCH(TRIM($A146),BS_Accounts,0))</f>
        <v>-332421</v>
      </c>
      <c r="P146" s="115">
        <f t="array" aca="1" ref="P146" ca="1">INDEX(INDIRECT("BS_"&amp;TEXT(P$1,"mmm")&amp;"_"&amp;TEXT(P$1,"yyyy")),MATCH(TRIM($A146),BS_Accounts,0))</f>
        <v>-1615659</v>
      </c>
      <c r="Q146" s="115">
        <f t="array" aca="1" ref="Q146" ca="1">INDEX(INDIRECT("BS_"&amp;TEXT(Q$1,"mmm")&amp;"_"&amp;TEXT(Q$1,"yyyy")),MATCH(TRIM($A146),BS_Accounts,0))</f>
        <v>-1615659</v>
      </c>
      <c r="R146" s="115">
        <f t="array" aca="1" ref="R146" ca="1">INDEX(INDIRECT("BS_"&amp;TEXT(R$1,"mmm")&amp;"_"&amp;TEXT(R$1,"yyyy")),MATCH(TRIM($A146),BS_Accounts,0))</f>
        <v>-1615659</v>
      </c>
      <c r="S146" s="115">
        <f t="array" aca="1" ref="S146" ca="1">INDEX(INDIRECT("BS_"&amp;TEXT(S$1,"mmm")&amp;"_"&amp;TEXT(S$1,"yyyy")),MATCH(TRIM($A146),BS_Accounts,0))</f>
        <v>-1615659</v>
      </c>
      <c r="T146" s="115">
        <f t="array" aca="1" ref="T146" ca="1">INDEX(INDIRECT("BS_"&amp;TEXT(T$1,"mmm")&amp;"_"&amp;TEXT(T$1,"yyyy")),MATCH(TRIM($A146),BS_Accounts,0))</f>
        <v>-1615659</v>
      </c>
      <c r="U146" s="115">
        <f t="array" aca="1" ref="U146" ca="1">INDEX(INDIRECT("BS_"&amp;TEXT(U$1,"mmm")&amp;"_"&amp;TEXT(U$1,"yyyy")),MATCH(TRIM($A146),BS_Accounts,0))</f>
        <v>-1615659</v>
      </c>
      <c r="V146" s="115">
        <f t="array" aca="1" ref="V146" ca="1">INDEX(INDIRECT("BS_"&amp;TEXT(V$1,"mmm")&amp;"_"&amp;TEXT(V$1,"yyyy")),MATCH(TRIM($A146),BS_Accounts,0))</f>
        <v>-1615659</v>
      </c>
      <c r="W146" s="115">
        <f t="array" aca="1" ref="W146" ca="1">INDEX(INDIRECT("BS_"&amp;TEXT(W$1,"mmm")&amp;"_"&amp;TEXT(W$1,"yyyy")),MATCH(TRIM($A146),BS_Accounts,0))</f>
        <v>-1615659</v>
      </c>
      <c r="X146" s="115">
        <f t="array" aca="1" ref="X146" ca="1">INDEX(INDIRECT("BS_"&amp;TEXT(X$1,"mmm")&amp;"_"&amp;TEXT(X$1,"yyyy")),MATCH(TRIM($A146),BS_Accounts,0))</f>
        <v>-1615659</v>
      </c>
      <c r="Y146" s="115">
        <f t="array" aca="1" ref="Y146" ca="1">INDEX(INDIRECT("BS_"&amp;TEXT(Y$1,"mmm")&amp;"_"&amp;TEXT(Y$1,"yyyy")),MATCH(TRIM($A146),BS_Accounts,0))</f>
        <v>-1615659</v>
      </c>
      <c r="Z146" s="115">
        <f t="array" aca="1" ref="Z146" ca="1">INDEX(INDIRECT("BS_"&amp;TEXT(Z$1,"mmm")&amp;"_"&amp;TEXT(Z$1,"yyyy")),MATCH(TRIM($A146),BS_Accounts,0))</f>
        <v>-1615659</v>
      </c>
      <c r="AA146" s="115">
        <f t="array" aca="1" ref="AA146" ca="1">INDEX(INDIRECT("BS_"&amp;TEXT(AA$1,"mmm")&amp;"_"&amp;TEXT(AA$1,"yyyy")),MATCH(TRIM($A146),BS_Accounts,0))</f>
        <v>-1615659</v>
      </c>
      <c r="AB146" s="115">
        <f t="array" aca="1" ref="AB146" ca="1">INDEX(INDIRECT("BS_"&amp;TEXT(AB$1,"mmm")&amp;"_"&amp;TEXT(AB$1,"yyyy")),MATCH(TRIM($A146),BS_Accounts,0))</f>
        <v>-2884910</v>
      </c>
      <c r="AC146" s="115">
        <f t="array" aca="1" ref="AC146" ca="1">INDEX(INDIRECT("BS_"&amp;TEXT(AC$1,"mmm")&amp;"_"&amp;TEXT(AC$1,"yyyy")),MATCH(TRIM($A146),BS_Accounts,0))</f>
        <v>-2884910</v>
      </c>
      <c r="AD146" s="115">
        <f t="array" aca="1" ref="AD146" ca="1">INDEX(INDIRECT("BS_"&amp;TEXT(AD$1,"mmm")&amp;"_"&amp;TEXT(AD$1,"yyyy")),MATCH(TRIM($A146),BS_Accounts,0))</f>
        <v>-2884910</v>
      </c>
      <c r="AE146" s="115">
        <f t="array" aca="1" ref="AE146" ca="1">INDEX(INDIRECT("BS_"&amp;TEXT(AE$1,"mmm")&amp;"_"&amp;TEXT(AE$1,"yyyy")),MATCH(TRIM($A146),BS_Accounts,0))</f>
        <v>-2884910</v>
      </c>
      <c r="AF146" s="165">
        <f t="shared" ref="AF146:BW146" ca="1" si="76">$B146</f>
        <v>-2884910</v>
      </c>
      <c r="AG146" s="165">
        <f t="shared" ca="1" si="76"/>
        <v>-2884910</v>
      </c>
      <c r="AH146" s="165">
        <f t="shared" ca="1" si="76"/>
        <v>-2884910</v>
      </c>
      <c r="AI146" s="165">
        <f t="shared" ca="1" si="76"/>
        <v>-2884910</v>
      </c>
      <c r="AJ146" s="165">
        <f t="shared" ca="1" si="76"/>
        <v>-2884910</v>
      </c>
      <c r="AK146" s="165">
        <f t="shared" ca="1" si="76"/>
        <v>-2884910</v>
      </c>
      <c r="AL146" s="165">
        <f t="shared" ca="1" si="76"/>
        <v>-2884910</v>
      </c>
      <c r="AM146" s="165">
        <f t="shared" ca="1" si="76"/>
        <v>-2884910</v>
      </c>
      <c r="AN146" s="165">
        <f t="shared" ca="1" si="76"/>
        <v>-2884910</v>
      </c>
      <c r="AO146" s="165">
        <f t="shared" ca="1" si="76"/>
        <v>-2884910</v>
      </c>
      <c r="AP146" s="165">
        <f t="shared" ca="1" si="76"/>
        <v>-2884910</v>
      </c>
      <c r="AQ146" s="165">
        <f t="shared" ca="1" si="76"/>
        <v>-2884910</v>
      </c>
      <c r="AR146" s="165">
        <f t="shared" ca="1" si="76"/>
        <v>-2884910</v>
      </c>
      <c r="AS146" s="165">
        <f t="shared" ca="1" si="76"/>
        <v>-2884910</v>
      </c>
      <c r="AT146" s="165">
        <f t="shared" ca="1" si="76"/>
        <v>-2884910</v>
      </c>
      <c r="AU146" s="165">
        <f t="shared" ca="1" si="76"/>
        <v>-2884910</v>
      </c>
      <c r="AV146" s="165">
        <f t="shared" ca="1" si="76"/>
        <v>-2884910</v>
      </c>
      <c r="AW146" s="165">
        <f t="shared" ca="1" si="76"/>
        <v>-2884910</v>
      </c>
      <c r="AX146" s="165">
        <f t="shared" ca="1" si="76"/>
        <v>-2884910</v>
      </c>
      <c r="AY146" s="165">
        <f t="shared" ca="1" si="76"/>
        <v>-2884910</v>
      </c>
      <c r="AZ146" s="165">
        <f t="shared" ca="1" si="76"/>
        <v>-2884910</v>
      </c>
      <c r="BA146" s="165">
        <f t="shared" ca="1" si="76"/>
        <v>-2884910</v>
      </c>
      <c r="BB146" s="165">
        <f t="shared" ca="1" si="76"/>
        <v>-2884910</v>
      </c>
      <c r="BC146" s="165">
        <f t="shared" ca="1" si="76"/>
        <v>-2884910</v>
      </c>
      <c r="BD146" s="165">
        <f t="shared" ca="1" si="76"/>
        <v>-2884910</v>
      </c>
      <c r="BE146" s="165">
        <f t="shared" ca="1" si="76"/>
        <v>-2884910</v>
      </c>
      <c r="BF146" s="165">
        <f t="shared" ca="1" si="76"/>
        <v>-2884910</v>
      </c>
      <c r="BG146" s="165">
        <f t="shared" ca="1" si="76"/>
        <v>-2884910</v>
      </c>
      <c r="BH146" s="165">
        <f t="shared" ca="1" si="76"/>
        <v>-2884910</v>
      </c>
      <c r="BI146" s="165">
        <f t="shared" ca="1" si="76"/>
        <v>-2884910</v>
      </c>
      <c r="BJ146" s="165">
        <f t="shared" ca="1" si="76"/>
        <v>-2884910</v>
      </c>
      <c r="BK146" s="165">
        <f t="shared" ca="1" si="76"/>
        <v>-2884910</v>
      </c>
      <c r="BL146" s="165">
        <f t="shared" ca="1" si="76"/>
        <v>-2884910</v>
      </c>
      <c r="BM146" s="165">
        <f t="shared" ca="1" si="76"/>
        <v>-2884910</v>
      </c>
      <c r="BN146" s="165">
        <f t="shared" ca="1" si="76"/>
        <v>-2884910</v>
      </c>
      <c r="BO146" s="165">
        <f t="shared" ca="1" si="76"/>
        <v>-2884910</v>
      </c>
      <c r="BP146" s="165">
        <f t="shared" ca="1" si="76"/>
        <v>-2884910</v>
      </c>
      <c r="BQ146" s="165">
        <f t="shared" ca="1" si="76"/>
        <v>-2884910</v>
      </c>
      <c r="BR146" s="165">
        <f t="shared" ca="1" si="76"/>
        <v>-2884910</v>
      </c>
      <c r="BS146" s="165">
        <f t="shared" ca="1" si="76"/>
        <v>-2884910</v>
      </c>
      <c r="BT146" s="165">
        <f t="shared" ca="1" si="76"/>
        <v>-2884910</v>
      </c>
      <c r="BU146" s="165">
        <f t="shared" ca="1" si="76"/>
        <v>-2884910</v>
      </c>
      <c r="BV146" s="165">
        <f t="shared" ca="1" si="76"/>
        <v>-2884910</v>
      </c>
      <c r="BW146" s="165">
        <f t="shared" ca="1" si="76"/>
        <v>-2884910</v>
      </c>
    </row>
    <row r="147" spans="1:75" ht="12.75" x14ac:dyDescent="0.2">
      <c r="A147" s="23" t="s">
        <v>382</v>
      </c>
      <c r="B147" s="221"/>
      <c r="D147" s="115">
        <f t="array" aca="1" ref="D147" ca="1">INDEX(INDIRECT("BS_"&amp;TEXT(D$1,"mmm")&amp;"_"&amp;TEXT(D$1,"yyyy")),MATCH(TRIM($A147),BS_Accounts,0))</f>
        <v>-89438</v>
      </c>
      <c r="E147" s="115">
        <f t="array" aca="1" ref="E147" ca="1">INDEX(INDIRECT("BS_"&amp;TEXT(E$1,"mmm")&amp;"_"&amp;TEXT(E$1,"yyyy")),MATCH(TRIM($A147),BS_Accounts,0))</f>
        <v>-177562</v>
      </c>
      <c r="F147" s="115">
        <f t="array" aca="1" ref="F147" ca="1">INDEX(INDIRECT("BS_"&amp;TEXT(F$1,"mmm")&amp;"_"&amp;TEXT(F$1,"yyyy")),MATCH(TRIM($A147),BS_Accounts,0))</f>
        <v>-280518</v>
      </c>
      <c r="G147" s="115">
        <f t="array" aca="1" ref="G147" ca="1">INDEX(INDIRECT("BS_"&amp;TEXT(G$1,"mmm")&amp;"_"&amp;TEXT(G$1,"yyyy")),MATCH(TRIM($A147),BS_Accounts,0))</f>
        <v>-375113</v>
      </c>
      <c r="H147" s="115">
        <f t="array" aca="1" ref="H147" ca="1">INDEX(INDIRECT("BS_"&amp;TEXT(H$1,"mmm")&amp;"_"&amp;TEXT(H$1,"yyyy")),MATCH(TRIM($A147),BS_Accounts,0))</f>
        <v>-457178</v>
      </c>
      <c r="I147" s="115">
        <f t="array" aca="1" ref="I147" ca="1">INDEX(INDIRECT("BS_"&amp;TEXT(I$1,"mmm")&amp;"_"&amp;TEXT(I$1,"yyyy")),MATCH(TRIM($A147),BS_Accounts,0))</f>
        <v>-535310</v>
      </c>
      <c r="J147" s="115">
        <f t="array" aca="1" ref="J147" ca="1">INDEX(INDIRECT("BS_"&amp;TEXT(J$1,"mmm")&amp;"_"&amp;TEXT(J$1,"yyyy")),MATCH(TRIM($A147),BS_Accounts,0))</f>
        <v>-629355</v>
      </c>
      <c r="K147" s="115">
        <f t="array" aca="1" ref="K147" ca="1">INDEX(INDIRECT("BS_"&amp;TEXT(K$1,"mmm")&amp;"_"&amp;TEXT(K$1,"yyyy")),MATCH(TRIM($A147),BS_Accounts,0))</f>
        <v>-719121</v>
      </c>
      <c r="L147" s="115">
        <f t="array" aca="1" ref="L147" ca="1">INDEX(INDIRECT("BS_"&amp;TEXT(L$1,"mmm")&amp;"_"&amp;TEXT(L$1,"yyyy")),MATCH(TRIM($A147),BS_Accounts,0))</f>
        <v>-833566</v>
      </c>
      <c r="M147" s="115">
        <f t="array" aca="1" ref="M147" ca="1">INDEX(INDIRECT("BS_"&amp;TEXT(M$1,"mmm")&amp;"_"&amp;TEXT(M$1,"yyyy")),MATCH(TRIM($A147),BS_Accounts,0))</f>
        <v>-965447</v>
      </c>
      <c r="N147" s="115">
        <f t="array" aca="1" ref="N147" ca="1">INDEX(INDIRECT("BS_"&amp;TEXT(N$1,"mmm")&amp;"_"&amp;TEXT(N$1,"yyyy")),MATCH(TRIM($A147),BS_Accounts,0))</f>
        <v>-1106044</v>
      </c>
      <c r="O147" s="115">
        <f t="array" aca="1" ref="O147" ca="1">INDEX(INDIRECT("BS_"&amp;TEXT(O$1,"mmm")&amp;"_"&amp;TEXT(O$1,"yyyy")),MATCH(TRIM($A147),BS_Accounts,0))</f>
        <v>-1283238</v>
      </c>
      <c r="P147" s="115">
        <f t="array" aca="1" ref="P147" ca="1">INDEX(INDIRECT("BS_"&amp;TEXT(P$1,"mmm")&amp;"_"&amp;TEXT(P$1,"yyyy")),MATCH(TRIM($A147),BS_Accounts,0))</f>
        <v>-177124</v>
      </c>
      <c r="Q147" s="115">
        <f t="array" aca="1" ref="Q147" ca="1">INDEX(INDIRECT("BS_"&amp;TEXT(Q$1,"mmm")&amp;"_"&amp;TEXT(Q$1,"yyyy")),MATCH(TRIM($A147),BS_Accounts,0))</f>
        <v>-366699</v>
      </c>
      <c r="R147" s="115">
        <f t="array" aca="1" ref="R147" ca="1">INDEX(INDIRECT("BS_"&amp;TEXT(R$1,"mmm")&amp;"_"&amp;TEXT(R$1,"yyyy")),MATCH(TRIM($A147),BS_Accounts,0))</f>
        <v>-550830</v>
      </c>
      <c r="S147" s="115">
        <f t="array" aca="1" ref="S147" ca="1">INDEX(INDIRECT("BS_"&amp;TEXT(S$1,"mmm")&amp;"_"&amp;TEXT(S$1,"yyyy")),MATCH(TRIM($A147),BS_Accounts,0))</f>
        <v>-679771</v>
      </c>
      <c r="T147" s="115">
        <f t="array" aca="1" ref="T147" ca="1">INDEX(INDIRECT("BS_"&amp;TEXT(T$1,"mmm")&amp;"_"&amp;TEXT(T$1,"yyyy")),MATCH(TRIM($A147),BS_Accounts,0))</f>
        <v>-831525</v>
      </c>
      <c r="U147" s="115">
        <f t="array" aca="1" ref="U147" ca="1">INDEX(INDIRECT("BS_"&amp;TEXT(U$1,"mmm")&amp;"_"&amp;TEXT(U$1,"yyyy")),MATCH(TRIM($A147),BS_Accounts,0))</f>
        <v>-953808</v>
      </c>
      <c r="V147" s="115">
        <f t="array" aca="1" ref="V147" ca="1">INDEX(INDIRECT("BS_"&amp;TEXT(V$1,"mmm")&amp;"_"&amp;TEXT(V$1,"yyyy")),MATCH(TRIM($A147),BS_Accounts,0))</f>
        <v>-1056282</v>
      </c>
      <c r="W147" s="115">
        <f t="array" aca="1" ref="W147" ca="1">INDEX(INDIRECT("BS_"&amp;TEXT(W$1,"mmm")&amp;"_"&amp;TEXT(W$1,"yyyy")),MATCH(TRIM($A147),BS_Accounts,0))</f>
        <v>-1138777</v>
      </c>
      <c r="X147" s="115">
        <f t="array" aca="1" ref="X147" ca="1">INDEX(INDIRECT("BS_"&amp;TEXT(X$1,"mmm")&amp;"_"&amp;TEXT(X$1,"yyyy")),MATCH(TRIM($A147),BS_Accounts,0))</f>
        <v>-1198815</v>
      </c>
      <c r="Y147" s="115">
        <f t="array" aca="1" ref="Y147" ca="1">INDEX(INDIRECT("BS_"&amp;TEXT(Y$1,"mmm")&amp;"_"&amp;TEXT(Y$1,"yyyy")),MATCH(TRIM($A147),BS_Accounts,0))</f>
        <v>-1226135</v>
      </c>
      <c r="Z147" s="115">
        <f t="array" aca="1" ref="Z147" ca="1">INDEX(INDIRECT("BS_"&amp;TEXT(Z$1,"mmm")&amp;"_"&amp;TEXT(Z$1,"yyyy")),MATCH(TRIM($A147),BS_Accounts,0))</f>
        <v>-1245040</v>
      </c>
      <c r="AA147" s="115">
        <f t="array" aca="1" ref="AA147" ca="1">INDEX(INDIRECT("BS_"&amp;TEXT(AA$1,"mmm")&amp;"_"&amp;TEXT(AA$1,"yyyy")),MATCH(TRIM($A147),BS_Accounts,0))</f>
        <v>-1269251</v>
      </c>
      <c r="AB147" s="115">
        <f t="array" aca="1" ref="AB147" ca="1">INDEX(INDIRECT("BS_"&amp;TEXT(AB$1,"mmm")&amp;"_"&amp;TEXT(AB$1,"yyyy")),MATCH(TRIM($A147),BS_Accounts,0))</f>
        <v>-13824</v>
      </c>
      <c r="AC147" s="115">
        <f t="array" aca="1" ref="AC147" ca="1">INDEX(INDIRECT("BS_"&amp;TEXT(AC$1,"mmm")&amp;"_"&amp;TEXT(AC$1,"yyyy")),MATCH(TRIM($A147),BS_Accounts,0))</f>
        <v>-39993</v>
      </c>
      <c r="AD147" s="115">
        <f t="array" aca="1" ref="AD147" ca="1">INDEX(INDIRECT("BS_"&amp;TEXT(AD$1,"mmm")&amp;"_"&amp;TEXT(AD$1,"yyyy")),MATCH(TRIM($A147),BS_Accounts,0))</f>
        <v>-31585.81</v>
      </c>
      <c r="AE147" s="115">
        <f t="array" aca="1" ref="AE147" ca="1">INDEX(INDIRECT("BS_"&amp;TEXT(AE$1,"mmm")&amp;"_"&amp;TEXT(AE$1,"yyyy")),MATCH(TRIM($A147),BS_Accounts,0))</f>
        <v>-31702.81</v>
      </c>
      <c r="AF147" s="115">
        <f t="shared" ref="AF147:BW147" ca="1" si="77">AE147+AF97</f>
        <v>39658.462841736444</v>
      </c>
      <c r="AG147" s="115">
        <f t="shared" ca="1" si="77"/>
        <v>82011.253429244098</v>
      </c>
      <c r="AH147" s="115">
        <f t="shared" ca="1" si="77"/>
        <v>106020.49884110288</v>
      </c>
      <c r="AI147" s="115">
        <f t="shared" ca="1" si="77"/>
        <v>127257.24844425236</v>
      </c>
      <c r="AJ147" s="115">
        <f t="shared" ca="1" si="77"/>
        <v>118344.07480542426</v>
      </c>
      <c r="AK147" s="115">
        <f t="shared" ca="1" si="77"/>
        <v>100629.05444101064</v>
      </c>
      <c r="AL147" s="115">
        <f t="shared" ca="1" si="77"/>
        <v>73459.949490496947</v>
      </c>
      <c r="AM147" s="115">
        <f t="shared" ca="1" si="77"/>
        <v>37591.770809848385</v>
      </c>
      <c r="AN147" s="115">
        <f t="shared" ca="1" si="77"/>
        <v>-7269.7338540572091</v>
      </c>
      <c r="AO147" s="115">
        <f t="shared" ca="1" si="77"/>
        <v>-60291.715756541525</v>
      </c>
      <c r="AP147" s="115">
        <f t="shared" ca="1" si="77"/>
        <v>-121821.77626411611</v>
      </c>
      <c r="AQ147" s="115">
        <f t="shared" ca="1" si="77"/>
        <v>-191053.17603494244</v>
      </c>
      <c r="AR147" s="115">
        <f t="shared" ca="1" si="77"/>
        <v>-267204.74170478113</v>
      </c>
      <c r="AS147" s="115">
        <f t="shared" ca="1" si="77"/>
        <v>-350648.89729907311</v>
      </c>
      <c r="AT147" s="115">
        <f t="shared" ca="1" si="77"/>
        <v>-440621.11376736156</v>
      </c>
      <c r="AU147" s="115">
        <f t="shared" ca="1" si="77"/>
        <v>-537507.28885950823</v>
      </c>
      <c r="AV147" s="115">
        <f t="shared" ca="1" si="77"/>
        <v>-640561.31340721052</v>
      </c>
      <c r="AW147" s="115">
        <f t="shared" ca="1" si="77"/>
        <v>-749056.60902998352</v>
      </c>
      <c r="AX147" s="115">
        <f t="shared" ca="1" si="77"/>
        <v>-863415.47719820624</v>
      </c>
      <c r="AY147" s="115">
        <f t="shared" ca="1" si="77"/>
        <v>-982927.31347538333</v>
      </c>
      <c r="AZ147" s="115">
        <f t="shared" ca="1" si="77"/>
        <v>-1065058.0491313301</v>
      </c>
      <c r="BA147" s="115">
        <f t="shared" ca="1" si="77"/>
        <v>-1136728.3484093668</v>
      </c>
      <c r="BB147" s="115">
        <f t="shared" ca="1" si="77"/>
        <v>-1195142.7319632883</v>
      </c>
      <c r="BC147" s="115">
        <f t="shared" ca="1" si="77"/>
        <v>-1236753.2433291264</v>
      </c>
      <c r="BD147" s="115">
        <f t="shared" ca="1" si="77"/>
        <v>-1257280.5718233949</v>
      </c>
      <c r="BE147" s="115">
        <f t="shared" ca="1" si="77"/>
        <v>-1260959.5108460798</v>
      </c>
      <c r="BF147" s="115">
        <f t="shared" ca="1" si="77"/>
        <v>-1246098.839132891</v>
      </c>
      <c r="BG147" s="115">
        <f t="shared" ca="1" si="77"/>
        <v>-1211295.075726538</v>
      </c>
      <c r="BH147" s="115">
        <f t="shared" ca="1" si="77"/>
        <v>-1155704.1552553349</v>
      </c>
      <c r="BI147" s="115">
        <f t="shared" ca="1" si="77"/>
        <v>-1079378.5447011793</v>
      </c>
      <c r="BJ147" s="115">
        <f t="shared" ca="1" si="77"/>
        <v>-981277.57817510178</v>
      </c>
      <c r="BK147" s="115">
        <f t="shared" ca="1" si="77"/>
        <v>-860529.74125754542</v>
      </c>
      <c r="BL147" s="115">
        <f t="shared" ca="1" si="77"/>
        <v>-716401.67358683515</v>
      </c>
      <c r="BM147" s="115">
        <f t="shared" ca="1" si="77"/>
        <v>-548188.11528127466</v>
      </c>
      <c r="BN147" s="115">
        <f t="shared" ca="1" si="77"/>
        <v>-354985.05564271042</v>
      </c>
      <c r="BO147" s="115">
        <f t="shared" ca="1" si="77"/>
        <v>-135923.31279897701</v>
      </c>
      <c r="BP147" s="115">
        <f t="shared" ca="1" si="77"/>
        <v>109866.57613241905</v>
      </c>
      <c r="BQ147" s="115">
        <f t="shared" ca="1" si="77"/>
        <v>383290.53978810564</v>
      </c>
      <c r="BR147" s="115">
        <f t="shared" ca="1" si="77"/>
        <v>685307.86420662713</v>
      </c>
      <c r="BS147" s="115">
        <f t="shared" ca="1" si="77"/>
        <v>1016893.2456666465</v>
      </c>
      <c r="BT147" s="115">
        <f t="shared" ca="1" si="77"/>
        <v>1379049.9418782881</v>
      </c>
      <c r="BU147" s="115">
        <f t="shared" ca="1" si="77"/>
        <v>1772817.1886428422</v>
      </c>
      <c r="BV147" s="115">
        <f t="shared" ca="1" si="77"/>
        <v>2199270.1034408016</v>
      </c>
      <c r="BW147" s="115">
        <f t="shared" ca="1" si="77"/>
        <v>2659515.1528152209</v>
      </c>
    </row>
    <row r="148" spans="1:75" ht="12.75" x14ac:dyDescent="0.2">
      <c r="A148" s="60" t="s">
        <v>383</v>
      </c>
      <c r="B148" s="238"/>
      <c r="C148" s="212"/>
      <c r="D148" s="213">
        <f t="shared" ref="D148:BW148" ca="1" si="78">SUM(D144:D147)</f>
        <v>-89438</v>
      </c>
      <c r="E148" s="213">
        <f t="shared" ca="1" si="78"/>
        <v>-177562</v>
      </c>
      <c r="F148" s="213">
        <f t="shared" ca="1" si="78"/>
        <v>-280518</v>
      </c>
      <c r="G148" s="213">
        <f t="shared" ca="1" si="78"/>
        <v>-375113</v>
      </c>
      <c r="H148" s="213">
        <f t="shared" ca="1" si="78"/>
        <v>-457178</v>
      </c>
      <c r="I148" s="213">
        <f t="shared" ca="1" si="78"/>
        <v>-535310</v>
      </c>
      <c r="J148" s="213">
        <f t="shared" ca="1" si="78"/>
        <v>-629355</v>
      </c>
      <c r="K148" s="213">
        <f t="shared" ca="1" si="78"/>
        <v>-719121</v>
      </c>
      <c r="L148" s="213">
        <f t="shared" ca="1" si="78"/>
        <v>-833566</v>
      </c>
      <c r="M148" s="213">
        <f t="shared" ca="1" si="78"/>
        <v>-965447</v>
      </c>
      <c r="N148" s="213">
        <f t="shared" ca="1" si="78"/>
        <v>-1106044</v>
      </c>
      <c r="O148" s="213">
        <f t="shared" ca="1" si="78"/>
        <v>-1283238</v>
      </c>
      <c r="P148" s="213">
        <f t="shared" ca="1" si="78"/>
        <v>-1460362</v>
      </c>
      <c r="Q148" s="213">
        <f t="shared" ca="1" si="78"/>
        <v>-1649937</v>
      </c>
      <c r="R148" s="213">
        <f t="shared" ca="1" si="78"/>
        <v>-1834068</v>
      </c>
      <c r="S148" s="213">
        <f t="shared" ca="1" si="78"/>
        <v>-1963009</v>
      </c>
      <c r="T148" s="213">
        <f t="shared" ca="1" si="78"/>
        <v>-2114763</v>
      </c>
      <c r="U148" s="213">
        <f t="shared" ca="1" si="78"/>
        <v>-2237046</v>
      </c>
      <c r="V148" s="213">
        <f t="shared" ca="1" si="78"/>
        <v>-2339520</v>
      </c>
      <c r="W148" s="213">
        <f t="shared" ca="1" si="78"/>
        <v>-2422015</v>
      </c>
      <c r="X148" s="213">
        <f t="shared" ca="1" si="78"/>
        <v>-2482053</v>
      </c>
      <c r="Y148" s="213">
        <f t="shared" ca="1" si="78"/>
        <v>-2509373</v>
      </c>
      <c r="Z148" s="213">
        <f t="shared" ca="1" si="78"/>
        <v>-2528278</v>
      </c>
      <c r="AA148" s="213">
        <f t="shared" ca="1" si="78"/>
        <v>-2552489</v>
      </c>
      <c r="AB148" s="213">
        <f t="shared" ca="1" si="78"/>
        <v>-2566313</v>
      </c>
      <c r="AC148" s="213">
        <f t="shared" ca="1" si="78"/>
        <v>-2592482</v>
      </c>
      <c r="AD148" s="213">
        <f t="shared" ca="1" si="78"/>
        <v>-2584074.81</v>
      </c>
      <c r="AE148" s="213">
        <f t="shared" ca="1" si="78"/>
        <v>-2584191.81</v>
      </c>
      <c r="AF148" s="226">
        <f t="shared" ca="1" si="78"/>
        <v>-2512830.5371582634</v>
      </c>
      <c r="AG148" s="226">
        <f t="shared" ca="1" si="78"/>
        <v>-2470477.7465707557</v>
      </c>
      <c r="AH148" s="226">
        <f t="shared" ca="1" si="78"/>
        <v>-2446468.5011588973</v>
      </c>
      <c r="AI148" s="226">
        <f t="shared" ca="1" si="78"/>
        <v>-2425231.7515557478</v>
      </c>
      <c r="AJ148" s="226">
        <f t="shared" ca="1" si="78"/>
        <v>-2434144.9251945759</v>
      </c>
      <c r="AK148" s="226">
        <f t="shared" ca="1" si="78"/>
        <v>-2451859.9455589894</v>
      </c>
      <c r="AL148" s="226">
        <f t="shared" ca="1" si="78"/>
        <v>-2479029.0505095031</v>
      </c>
      <c r="AM148" s="226">
        <f t="shared" ca="1" si="78"/>
        <v>-2514897.2291901517</v>
      </c>
      <c r="AN148" s="226">
        <f t="shared" ca="1" si="78"/>
        <v>-2559758.7338540573</v>
      </c>
      <c r="AO148" s="226">
        <f t="shared" ca="1" si="78"/>
        <v>-2612780.7157565416</v>
      </c>
      <c r="AP148" s="226">
        <f t="shared" ca="1" si="78"/>
        <v>-2674310.7762641162</v>
      </c>
      <c r="AQ148" s="226">
        <f t="shared" ca="1" si="78"/>
        <v>-2743542.1760349423</v>
      </c>
      <c r="AR148" s="226">
        <f t="shared" ca="1" si="78"/>
        <v>-2819693.7417047811</v>
      </c>
      <c r="AS148" s="226">
        <f t="shared" ca="1" si="78"/>
        <v>-2903137.8972990732</v>
      </c>
      <c r="AT148" s="226">
        <f t="shared" ca="1" si="78"/>
        <v>-2993110.1137673617</v>
      </c>
      <c r="AU148" s="226">
        <f t="shared" ca="1" si="78"/>
        <v>-3089996.288859508</v>
      </c>
      <c r="AV148" s="226">
        <f t="shared" ca="1" si="78"/>
        <v>-3193050.3134072106</v>
      </c>
      <c r="AW148" s="226">
        <f t="shared" ca="1" si="78"/>
        <v>-3301545.6090299836</v>
      </c>
      <c r="AX148" s="226">
        <f t="shared" ca="1" si="78"/>
        <v>-3415904.4771982064</v>
      </c>
      <c r="AY148" s="226">
        <f t="shared" ca="1" si="78"/>
        <v>-3535416.3134753834</v>
      </c>
      <c r="AZ148" s="226">
        <f t="shared" ca="1" si="78"/>
        <v>-3617547.0491313301</v>
      </c>
      <c r="BA148" s="226">
        <f t="shared" ca="1" si="78"/>
        <v>-3689217.3484093668</v>
      </c>
      <c r="BB148" s="226">
        <f t="shared" ca="1" si="78"/>
        <v>-3747631.731963288</v>
      </c>
      <c r="BC148" s="226">
        <f t="shared" ca="1" si="78"/>
        <v>-3789242.2433291264</v>
      </c>
      <c r="BD148" s="226">
        <f t="shared" ca="1" si="78"/>
        <v>-3809769.5718233949</v>
      </c>
      <c r="BE148" s="226">
        <f t="shared" ca="1" si="78"/>
        <v>-3813448.5108460798</v>
      </c>
      <c r="BF148" s="226">
        <f t="shared" ca="1" si="78"/>
        <v>-3798587.839132891</v>
      </c>
      <c r="BG148" s="226">
        <f t="shared" ca="1" si="78"/>
        <v>-3763784.075726538</v>
      </c>
      <c r="BH148" s="226">
        <f t="shared" ca="1" si="78"/>
        <v>-3708193.1552553349</v>
      </c>
      <c r="BI148" s="226">
        <f t="shared" ca="1" si="78"/>
        <v>-3631867.5447011795</v>
      </c>
      <c r="BJ148" s="226">
        <f t="shared" ca="1" si="78"/>
        <v>-3533766.5781751019</v>
      </c>
      <c r="BK148" s="226">
        <f t="shared" ca="1" si="78"/>
        <v>-3413018.7412575455</v>
      </c>
      <c r="BL148" s="226">
        <f t="shared" ca="1" si="78"/>
        <v>-3268890.6735868352</v>
      </c>
      <c r="BM148" s="226">
        <f t="shared" ca="1" si="78"/>
        <v>-3100677.1152812745</v>
      </c>
      <c r="BN148" s="226">
        <f t="shared" ca="1" si="78"/>
        <v>-2907474.0556427105</v>
      </c>
      <c r="BO148" s="226">
        <f t="shared" ca="1" si="78"/>
        <v>-2688412.3127989769</v>
      </c>
      <c r="BP148" s="226">
        <f t="shared" ca="1" si="78"/>
        <v>-2442622.4238675809</v>
      </c>
      <c r="BQ148" s="226">
        <f t="shared" ca="1" si="78"/>
        <v>-2169198.4602118945</v>
      </c>
      <c r="BR148" s="226">
        <f t="shared" ca="1" si="78"/>
        <v>-1867181.135793373</v>
      </c>
      <c r="BS148" s="226">
        <f t="shared" ca="1" si="78"/>
        <v>-1535595.7543333536</v>
      </c>
      <c r="BT148" s="226">
        <f t="shared" ca="1" si="78"/>
        <v>-1173439.0581217119</v>
      </c>
      <c r="BU148" s="226">
        <f t="shared" ca="1" si="78"/>
        <v>-779671.81135715777</v>
      </c>
      <c r="BV148" s="226">
        <f t="shared" ca="1" si="78"/>
        <v>-353218.89655919839</v>
      </c>
      <c r="BW148" s="226">
        <f t="shared" ca="1" si="78"/>
        <v>107026.15281522088</v>
      </c>
    </row>
    <row r="149" spans="1:75" ht="12.75" x14ac:dyDescent="0.2">
      <c r="A149" s="69" t="s">
        <v>244</v>
      </c>
      <c r="B149" s="221"/>
      <c r="D149" s="115">
        <f t="array" aca="1" ref="D149" ca="1">INDEX(INDIRECT("BS_"&amp;TEXT(D$1,"mmm")&amp;"_"&amp;TEXT(D$1,"yyyy")),MATCH(TRIM($A148),BS_Accounts,0))-D148</f>
        <v>0</v>
      </c>
      <c r="E149" s="115">
        <f t="array" aca="1" ref="E149" ca="1">INDEX(INDIRECT("BS_"&amp;TEXT(E$1,"mmm")&amp;"_"&amp;TEXT(E$1,"yyyy")),MATCH(TRIM($A148),BS_Accounts,0))-E148</f>
        <v>0</v>
      </c>
      <c r="F149" s="115">
        <f t="array" aca="1" ref="F149" ca="1">INDEX(INDIRECT("BS_"&amp;TEXT(F$1,"mmm")&amp;"_"&amp;TEXT(F$1,"yyyy")),MATCH(TRIM($A148),BS_Accounts,0))-F148</f>
        <v>0</v>
      </c>
      <c r="G149" s="115">
        <f t="array" aca="1" ref="G149" ca="1">INDEX(INDIRECT("BS_"&amp;TEXT(G$1,"mmm")&amp;"_"&amp;TEXT(G$1,"yyyy")),MATCH(TRIM($A148),BS_Accounts,0))-G148</f>
        <v>0</v>
      </c>
      <c r="H149" s="115">
        <f t="array" aca="1" ref="H149" ca="1">INDEX(INDIRECT("BS_"&amp;TEXT(H$1,"mmm")&amp;"_"&amp;TEXT(H$1,"yyyy")),MATCH(TRIM($A148),BS_Accounts,0))-H148</f>
        <v>0</v>
      </c>
      <c r="I149" s="115">
        <f t="array" aca="1" ref="I149" ca="1">INDEX(INDIRECT("BS_"&amp;TEXT(I$1,"mmm")&amp;"_"&amp;TEXT(I$1,"yyyy")),MATCH(TRIM($A148),BS_Accounts,0))-I148</f>
        <v>0</v>
      </c>
      <c r="J149" s="115">
        <f t="array" aca="1" ref="J149" ca="1">INDEX(INDIRECT("BS_"&amp;TEXT(J$1,"mmm")&amp;"_"&amp;TEXT(J$1,"yyyy")),MATCH(TRIM($A148),BS_Accounts,0))-J148</f>
        <v>0</v>
      </c>
      <c r="K149" s="115">
        <f t="array" aca="1" ref="K149" ca="1">INDEX(INDIRECT("BS_"&amp;TEXT(K$1,"mmm")&amp;"_"&amp;TEXT(K$1,"yyyy")),MATCH(TRIM($A148),BS_Accounts,0))-K148</f>
        <v>0</v>
      </c>
      <c r="L149" s="115">
        <f t="array" aca="1" ref="L149" ca="1">INDEX(INDIRECT("BS_"&amp;TEXT(L$1,"mmm")&amp;"_"&amp;TEXT(L$1,"yyyy")),MATCH(TRIM($A148),BS_Accounts,0))-L148</f>
        <v>0</v>
      </c>
      <c r="M149" s="115">
        <f t="array" aca="1" ref="M149" ca="1">INDEX(INDIRECT("BS_"&amp;TEXT(M$1,"mmm")&amp;"_"&amp;TEXT(M$1,"yyyy")),MATCH(TRIM($A148),BS_Accounts,0))-M148</f>
        <v>0</v>
      </c>
      <c r="N149" s="115">
        <f t="array" aca="1" ref="N149" ca="1">INDEX(INDIRECT("BS_"&amp;TEXT(N$1,"mmm")&amp;"_"&amp;TEXT(N$1,"yyyy")),MATCH(TRIM($A148),BS_Accounts,0))-N148</f>
        <v>0</v>
      </c>
      <c r="O149" s="115">
        <f t="array" aca="1" ref="O149" ca="1">INDEX(INDIRECT("BS_"&amp;TEXT(O$1,"mmm")&amp;"_"&amp;TEXT(O$1,"yyyy")),MATCH(TRIM($A148),BS_Accounts,0))-O148</f>
        <v>0</v>
      </c>
      <c r="P149" s="115">
        <f t="array" aca="1" ref="P149" ca="1">INDEX(INDIRECT("BS_"&amp;TEXT(P$1,"mmm")&amp;"_"&amp;TEXT(P$1,"yyyy")),MATCH(TRIM($A148),BS_Accounts,0))-P148</f>
        <v>0</v>
      </c>
      <c r="Q149" s="115">
        <f t="array" aca="1" ref="Q149" ca="1">INDEX(INDIRECT("BS_"&amp;TEXT(Q$1,"mmm")&amp;"_"&amp;TEXT(Q$1,"yyyy")),MATCH(TRIM($A148),BS_Accounts,0))-Q148</f>
        <v>0</v>
      </c>
      <c r="R149" s="115">
        <f t="array" aca="1" ref="R149" ca="1">INDEX(INDIRECT("BS_"&amp;TEXT(R$1,"mmm")&amp;"_"&amp;TEXT(R$1,"yyyy")),MATCH(TRIM($A148),BS_Accounts,0))-R148</f>
        <v>0</v>
      </c>
      <c r="S149" s="115">
        <f t="array" aca="1" ref="S149" ca="1">INDEX(INDIRECT("BS_"&amp;TEXT(S$1,"mmm")&amp;"_"&amp;TEXT(S$1,"yyyy")),MATCH(TRIM($A148),BS_Accounts,0))-S148</f>
        <v>0</v>
      </c>
      <c r="T149" s="115">
        <f t="array" aca="1" ref="T149" ca="1">INDEX(INDIRECT("BS_"&amp;TEXT(T$1,"mmm")&amp;"_"&amp;TEXT(T$1,"yyyy")),MATCH(TRIM($A148),BS_Accounts,0))-T148</f>
        <v>0</v>
      </c>
      <c r="U149" s="115">
        <f t="array" aca="1" ref="U149" ca="1">INDEX(INDIRECT("BS_"&amp;TEXT(U$1,"mmm")&amp;"_"&amp;TEXT(U$1,"yyyy")),MATCH(TRIM($A148),BS_Accounts,0))-U148</f>
        <v>0</v>
      </c>
      <c r="V149" s="115">
        <f t="array" aca="1" ref="V149" ca="1">INDEX(INDIRECT("BS_"&amp;TEXT(V$1,"mmm")&amp;"_"&amp;TEXT(V$1,"yyyy")),MATCH(TRIM($A148),BS_Accounts,0))-V148</f>
        <v>0</v>
      </c>
      <c r="W149" s="115">
        <f t="array" aca="1" ref="W149" ca="1">INDEX(INDIRECT("BS_"&amp;TEXT(W$1,"mmm")&amp;"_"&amp;TEXT(W$1,"yyyy")),MATCH(TRIM($A148),BS_Accounts,0))-W148</f>
        <v>0</v>
      </c>
      <c r="X149" s="115">
        <f t="array" aca="1" ref="X149" ca="1">INDEX(INDIRECT("BS_"&amp;TEXT(X$1,"mmm")&amp;"_"&amp;TEXT(X$1,"yyyy")),MATCH(TRIM($A148),BS_Accounts,0))-X148</f>
        <v>0</v>
      </c>
      <c r="Y149" s="115">
        <f t="array" aca="1" ref="Y149" ca="1">INDEX(INDIRECT("BS_"&amp;TEXT(Y$1,"mmm")&amp;"_"&amp;TEXT(Y$1,"yyyy")),MATCH(TRIM($A148),BS_Accounts,0))-Y148</f>
        <v>0</v>
      </c>
      <c r="Z149" s="115">
        <f t="array" aca="1" ref="Z149" ca="1">INDEX(INDIRECT("BS_"&amp;TEXT(Z$1,"mmm")&amp;"_"&amp;TEXT(Z$1,"yyyy")),MATCH(TRIM($A148),BS_Accounts,0))-Z148</f>
        <v>0</v>
      </c>
      <c r="AA149" s="115">
        <f t="array" aca="1" ref="AA149" ca="1">INDEX(INDIRECT("BS_"&amp;TEXT(AA$1,"mmm")&amp;"_"&amp;TEXT(AA$1,"yyyy")),MATCH(TRIM($A148),BS_Accounts,0))-AA148</f>
        <v>0</v>
      </c>
      <c r="AB149" s="115">
        <f t="array" aca="1" ref="AB149" ca="1">INDEX(INDIRECT("BS_"&amp;TEXT(AB$1,"mmm")&amp;"_"&amp;TEXT(AB$1,"yyyy")),MATCH(TRIM($A148),BS_Accounts,0))-AB148</f>
        <v>0</v>
      </c>
      <c r="AC149" s="115">
        <f t="array" aca="1" ref="AC149" ca="1">INDEX(INDIRECT("BS_"&amp;TEXT(AC$1,"mmm")&amp;"_"&amp;TEXT(AC$1,"yyyy")),MATCH(TRIM($A148),BS_Accounts,0))-AC148</f>
        <v>0</v>
      </c>
      <c r="AD149" s="115">
        <f t="array" aca="1" ref="AD149" ca="1">INDEX(INDIRECT("BS_"&amp;TEXT(AD$1,"mmm")&amp;"_"&amp;TEXT(AD$1,"yyyy")),MATCH(TRIM($A148),BS_Accounts,0))-AD148</f>
        <v>0</v>
      </c>
      <c r="AE149" s="115">
        <f t="array" aca="1" ref="AE149" ca="1">INDEX(INDIRECT("BS_"&amp;TEXT(AE$1,"mmm")&amp;"_"&amp;TEXT(AE$1,"yyyy")),MATCH(TRIM($A148),BS_Accounts,0))-AE148</f>
        <v>0</v>
      </c>
    </row>
    <row r="150" spans="1:75" ht="12.75" x14ac:dyDescent="0.2">
      <c r="A150" s="60" t="s">
        <v>384</v>
      </c>
      <c r="B150" s="238"/>
      <c r="C150" s="212"/>
      <c r="D150" s="213">
        <f t="shared" ref="D150:BW150" ca="1" si="79">SUM(D148,D141)</f>
        <v>960680</v>
      </c>
      <c r="E150" s="213">
        <f t="shared" ca="1" si="79"/>
        <v>970330</v>
      </c>
      <c r="F150" s="213">
        <f t="shared" ca="1" si="79"/>
        <v>867374</v>
      </c>
      <c r="G150" s="213">
        <f t="shared" ca="1" si="79"/>
        <v>772779</v>
      </c>
      <c r="H150" s="213">
        <f t="shared" ca="1" si="79"/>
        <v>690714</v>
      </c>
      <c r="I150" s="213">
        <f t="shared" ca="1" si="79"/>
        <v>612582</v>
      </c>
      <c r="J150" s="213">
        <f t="shared" ca="1" si="79"/>
        <v>518537</v>
      </c>
      <c r="K150" s="213">
        <f t="shared" ca="1" si="79"/>
        <v>428771</v>
      </c>
      <c r="L150" s="213">
        <f t="shared" ca="1" si="79"/>
        <v>314326</v>
      </c>
      <c r="M150" s="213">
        <f t="shared" ca="1" si="79"/>
        <v>782445</v>
      </c>
      <c r="N150" s="213">
        <f t="shared" ca="1" si="79"/>
        <v>641848</v>
      </c>
      <c r="O150" s="213">
        <f t="shared" ca="1" si="79"/>
        <v>464654</v>
      </c>
      <c r="P150" s="213">
        <f t="shared" ca="1" si="79"/>
        <v>787530</v>
      </c>
      <c r="Q150" s="213">
        <f t="shared" ca="1" si="79"/>
        <v>597955</v>
      </c>
      <c r="R150" s="213">
        <f t="shared" ca="1" si="79"/>
        <v>413824</v>
      </c>
      <c r="S150" s="213">
        <f t="shared" ca="1" si="79"/>
        <v>284883</v>
      </c>
      <c r="T150" s="213">
        <f t="shared" ca="1" si="79"/>
        <v>433129</v>
      </c>
      <c r="U150" s="213">
        <f t="shared" ca="1" si="79"/>
        <v>310846</v>
      </c>
      <c r="V150" s="213">
        <f t="shared" ca="1" si="79"/>
        <v>208372</v>
      </c>
      <c r="W150" s="213">
        <f t="shared" ca="1" si="79"/>
        <v>125877</v>
      </c>
      <c r="X150" s="213">
        <f t="shared" ca="1" si="79"/>
        <v>65839</v>
      </c>
      <c r="Y150" s="213">
        <f t="shared" ca="1" si="79"/>
        <v>338519</v>
      </c>
      <c r="Z150" s="213">
        <f t="shared" ca="1" si="79"/>
        <v>319614</v>
      </c>
      <c r="AA150" s="213">
        <f t="shared" ca="1" si="79"/>
        <v>295403</v>
      </c>
      <c r="AB150" s="213">
        <f t="shared" ca="1" si="79"/>
        <v>281579</v>
      </c>
      <c r="AC150" s="213">
        <f t="shared" ca="1" si="79"/>
        <v>255410</v>
      </c>
      <c r="AD150" s="213">
        <f t="shared" ca="1" si="79"/>
        <v>263817.18999999994</v>
      </c>
      <c r="AE150" s="213">
        <f t="shared" ca="1" si="79"/>
        <v>263700.18999999994</v>
      </c>
      <c r="AF150" s="213">
        <f t="shared" ca="1" si="79"/>
        <v>335061.46284173662</v>
      </c>
      <c r="AG150" s="213">
        <f t="shared" ca="1" si="79"/>
        <v>377414.25342924427</v>
      </c>
      <c r="AH150" s="213">
        <f t="shared" ca="1" si="79"/>
        <v>401423.4988411027</v>
      </c>
      <c r="AI150" s="213">
        <f t="shared" ca="1" si="79"/>
        <v>422660.24844425218</v>
      </c>
      <c r="AJ150" s="213">
        <f t="shared" ca="1" si="79"/>
        <v>413747.07480542408</v>
      </c>
      <c r="AK150" s="213">
        <f t="shared" ca="1" si="79"/>
        <v>396032.05444101058</v>
      </c>
      <c r="AL150" s="213">
        <f t="shared" ca="1" si="79"/>
        <v>368862.94949049689</v>
      </c>
      <c r="AM150" s="213">
        <f t="shared" ca="1" si="79"/>
        <v>332994.77080984833</v>
      </c>
      <c r="AN150" s="213">
        <f t="shared" ca="1" si="79"/>
        <v>288133.26614594273</v>
      </c>
      <c r="AO150" s="213">
        <f t="shared" ca="1" si="79"/>
        <v>235111.28424345842</v>
      </c>
      <c r="AP150" s="213">
        <f t="shared" ca="1" si="79"/>
        <v>173581.22373588383</v>
      </c>
      <c r="AQ150" s="213">
        <f t="shared" ca="1" si="79"/>
        <v>104349.82396505773</v>
      </c>
      <c r="AR150" s="213">
        <f t="shared" ca="1" si="79"/>
        <v>28198.258295218926</v>
      </c>
      <c r="AS150" s="213">
        <f t="shared" ca="1" si="79"/>
        <v>-55245.897299073171</v>
      </c>
      <c r="AT150" s="213">
        <f t="shared" ca="1" si="79"/>
        <v>-145218.11376736173</v>
      </c>
      <c r="AU150" s="213">
        <f t="shared" ca="1" si="79"/>
        <v>-242104.288859508</v>
      </c>
      <c r="AV150" s="213">
        <f t="shared" ca="1" si="79"/>
        <v>-345158.31340721063</v>
      </c>
      <c r="AW150" s="213">
        <f t="shared" ca="1" si="79"/>
        <v>-453653.60902998364</v>
      </c>
      <c r="AX150" s="213">
        <f t="shared" ca="1" si="79"/>
        <v>-568012.47719820635</v>
      </c>
      <c r="AY150" s="213">
        <f t="shared" ca="1" si="79"/>
        <v>-687524.31347538345</v>
      </c>
      <c r="AZ150" s="213">
        <f t="shared" ca="1" si="79"/>
        <v>-769655.0491313301</v>
      </c>
      <c r="BA150" s="213">
        <f t="shared" ca="1" si="79"/>
        <v>-841325.34840936679</v>
      </c>
      <c r="BB150" s="213">
        <f t="shared" ca="1" si="79"/>
        <v>-899739.73196328804</v>
      </c>
      <c r="BC150" s="213">
        <f t="shared" ca="1" si="79"/>
        <v>-941350.24332912639</v>
      </c>
      <c r="BD150" s="213">
        <f t="shared" ca="1" si="79"/>
        <v>-961877.57182339486</v>
      </c>
      <c r="BE150" s="213">
        <f t="shared" ca="1" si="79"/>
        <v>-965556.51084607979</v>
      </c>
      <c r="BF150" s="213">
        <f t="shared" ca="1" si="79"/>
        <v>-950695.83913289104</v>
      </c>
      <c r="BG150" s="213">
        <f t="shared" ca="1" si="79"/>
        <v>-915892.07572653797</v>
      </c>
      <c r="BH150" s="213">
        <f t="shared" ca="1" si="79"/>
        <v>-860301.15525533492</v>
      </c>
      <c r="BI150" s="213">
        <f t="shared" ca="1" si="79"/>
        <v>-783975.54470117949</v>
      </c>
      <c r="BJ150" s="213">
        <f t="shared" ca="1" si="79"/>
        <v>-685874.57817510189</v>
      </c>
      <c r="BK150" s="213">
        <f t="shared" ca="1" si="79"/>
        <v>-565126.74125754554</v>
      </c>
      <c r="BL150" s="213">
        <f t="shared" ca="1" si="79"/>
        <v>-420998.67358683515</v>
      </c>
      <c r="BM150" s="213">
        <f t="shared" ca="1" si="79"/>
        <v>-252785.11528127454</v>
      </c>
      <c r="BN150" s="213">
        <f t="shared" ca="1" si="79"/>
        <v>-59582.055642710533</v>
      </c>
      <c r="BO150" s="213">
        <f t="shared" ca="1" si="79"/>
        <v>159479.6872010231</v>
      </c>
      <c r="BP150" s="213" t="e">
        <f t="shared" ca="1" si="79"/>
        <v>#N/A</v>
      </c>
      <c r="BQ150" s="213" t="e">
        <f t="shared" ca="1" si="79"/>
        <v>#N/A</v>
      </c>
      <c r="BR150" s="213" t="e">
        <f t="shared" ca="1" si="79"/>
        <v>#N/A</v>
      </c>
      <c r="BS150" s="213" t="e">
        <f t="shared" ca="1" si="79"/>
        <v>#N/A</v>
      </c>
      <c r="BT150" s="213" t="e">
        <f t="shared" ca="1" si="79"/>
        <v>#N/A</v>
      </c>
      <c r="BU150" s="213" t="e">
        <f t="shared" ca="1" si="79"/>
        <v>#N/A</v>
      </c>
      <c r="BV150" s="213" t="e">
        <f t="shared" ca="1" si="79"/>
        <v>#N/A</v>
      </c>
      <c r="BW150" s="213" t="e">
        <f t="shared" ca="1" si="79"/>
        <v>#N/A</v>
      </c>
    </row>
    <row r="151" spans="1:75" ht="12.75" x14ac:dyDescent="0.2">
      <c r="A151" s="69" t="s">
        <v>244</v>
      </c>
      <c r="B151" s="221"/>
      <c r="D151" s="115">
        <f t="array" aca="1" ref="D151" ca="1">ROUND(INDEX(INDIRECT("BS_"&amp;TEXT(D$1,"mmm")&amp;"_"&amp;TEXT(D$1,"yyyy")),MATCH(TRIM($A150),BS_Accounts,0))-D150,2)</f>
        <v>0</v>
      </c>
      <c r="E151" s="115">
        <f t="array" aca="1" ref="E151" ca="1">ROUND(INDEX(INDIRECT("BS_"&amp;TEXT(E$1,"mmm")&amp;"_"&amp;TEXT(E$1,"yyyy")),MATCH(TRIM($A150),BS_Accounts,0))-E150,2)</f>
        <v>0</v>
      </c>
      <c r="F151" s="115">
        <f t="array" aca="1" ref="F151" ca="1">ROUND(INDEX(INDIRECT("BS_"&amp;TEXT(F$1,"mmm")&amp;"_"&amp;TEXT(F$1,"yyyy")),MATCH(TRIM($A150),BS_Accounts,0))-F150,2)</f>
        <v>0</v>
      </c>
      <c r="G151" s="115">
        <f t="array" aca="1" ref="G151" ca="1">ROUND(INDEX(INDIRECT("BS_"&amp;TEXT(G$1,"mmm")&amp;"_"&amp;TEXT(G$1,"yyyy")),MATCH(TRIM($A150),BS_Accounts,0))-G150,2)</f>
        <v>0</v>
      </c>
      <c r="H151" s="115">
        <f t="array" aca="1" ref="H151" ca="1">ROUND(INDEX(INDIRECT("BS_"&amp;TEXT(H$1,"mmm")&amp;"_"&amp;TEXT(H$1,"yyyy")),MATCH(TRIM($A150),BS_Accounts,0))-H150,2)</f>
        <v>0</v>
      </c>
      <c r="I151" s="115">
        <f t="array" aca="1" ref="I151" ca="1">ROUND(INDEX(INDIRECT("BS_"&amp;TEXT(I$1,"mmm")&amp;"_"&amp;TEXT(I$1,"yyyy")),MATCH(TRIM($A150),BS_Accounts,0))-I150,2)</f>
        <v>0</v>
      </c>
      <c r="J151" s="115">
        <f t="array" aca="1" ref="J151" ca="1">ROUND(INDEX(INDIRECT("BS_"&amp;TEXT(J$1,"mmm")&amp;"_"&amp;TEXT(J$1,"yyyy")),MATCH(TRIM($A150),BS_Accounts,0))-J150,2)</f>
        <v>0</v>
      </c>
      <c r="K151" s="115">
        <f t="array" aca="1" ref="K151" ca="1">ROUND(INDEX(INDIRECT("BS_"&amp;TEXT(K$1,"mmm")&amp;"_"&amp;TEXT(K$1,"yyyy")),MATCH(TRIM($A150),BS_Accounts,0))-K150,2)</f>
        <v>0</v>
      </c>
      <c r="L151" s="115">
        <f t="array" aca="1" ref="L151" ca="1">ROUND(INDEX(INDIRECT("BS_"&amp;TEXT(L$1,"mmm")&amp;"_"&amp;TEXT(L$1,"yyyy")),MATCH(TRIM($A150),BS_Accounts,0))-L150,2)</f>
        <v>0</v>
      </c>
      <c r="M151" s="115">
        <f t="array" aca="1" ref="M151" ca="1">ROUND(INDEX(INDIRECT("BS_"&amp;TEXT(M$1,"mmm")&amp;"_"&amp;TEXT(M$1,"yyyy")),MATCH(TRIM($A150),BS_Accounts,0))-M150,2)</f>
        <v>0</v>
      </c>
      <c r="N151" s="115">
        <f t="array" aca="1" ref="N151" ca="1">ROUND(INDEX(INDIRECT("BS_"&amp;TEXT(N$1,"mmm")&amp;"_"&amp;TEXT(N$1,"yyyy")),MATCH(TRIM($A150),BS_Accounts,0))-N150,2)</f>
        <v>0</v>
      </c>
      <c r="O151" s="115">
        <f t="array" aca="1" ref="O151" ca="1">ROUND(INDEX(INDIRECT("BS_"&amp;TEXT(O$1,"mmm")&amp;"_"&amp;TEXT(O$1,"yyyy")),MATCH(TRIM($A150),BS_Accounts,0))-O150,2)</f>
        <v>0</v>
      </c>
      <c r="P151" s="115">
        <f t="array" aca="1" ref="P151" ca="1">ROUND(INDEX(INDIRECT("BS_"&amp;TEXT(P$1,"mmm")&amp;"_"&amp;TEXT(P$1,"yyyy")),MATCH(TRIM($A150),BS_Accounts,0))-P150,2)</f>
        <v>0</v>
      </c>
      <c r="Q151" s="115">
        <f t="array" aca="1" ref="Q151" ca="1">ROUND(INDEX(INDIRECT("BS_"&amp;TEXT(Q$1,"mmm")&amp;"_"&amp;TEXT(Q$1,"yyyy")),MATCH(TRIM($A150),BS_Accounts,0))-Q150,2)</f>
        <v>0</v>
      </c>
      <c r="R151" s="115">
        <f t="array" aca="1" ref="R151" ca="1">ROUND(INDEX(INDIRECT("BS_"&amp;TEXT(R$1,"mmm")&amp;"_"&amp;TEXT(R$1,"yyyy")),MATCH(TRIM($A150),BS_Accounts,0))-R150,2)</f>
        <v>0</v>
      </c>
      <c r="S151" s="115">
        <f t="array" aca="1" ref="S151" ca="1">ROUND(INDEX(INDIRECT("BS_"&amp;TEXT(S$1,"mmm")&amp;"_"&amp;TEXT(S$1,"yyyy")),MATCH(TRIM($A150),BS_Accounts,0))-S150,2)</f>
        <v>0</v>
      </c>
      <c r="T151" s="115">
        <f t="array" aca="1" ref="T151" ca="1">ROUND(INDEX(INDIRECT("BS_"&amp;TEXT(T$1,"mmm")&amp;"_"&amp;TEXT(T$1,"yyyy")),MATCH(TRIM($A150),BS_Accounts,0))-T150,2)</f>
        <v>0</v>
      </c>
      <c r="U151" s="115">
        <f t="array" aca="1" ref="U151" ca="1">ROUND(INDEX(INDIRECT("BS_"&amp;TEXT(U$1,"mmm")&amp;"_"&amp;TEXT(U$1,"yyyy")),MATCH(TRIM($A150),BS_Accounts,0))-U150,2)</f>
        <v>0</v>
      </c>
      <c r="V151" s="115">
        <f t="array" aca="1" ref="V151" ca="1">ROUND(INDEX(INDIRECT("BS_"&amp;TEXT(V$1,"mmm")&amp;"_"&amp;TEXT(V$1,"yyyy")),MATCH(TRIM($A150),BS_Accounts,0))-V150,2)</f>
        <v>0</v>
      </c>
      <c r="W151" s="115">
        <f t="array" aca="1" ref="W151" ca="1">ROUND(INDEX(INDIRECT("BS_"&amp;TEXT(W$1,"mmm")&amp;"_"&amp;TEXT(W$1,"yyyy")),MATCH(TRIM($A150),BS_Accounts,0))-W150,2)</f>
        <v>0</v>
      </c>
      <c r="X151" s="115">
        <f t="array" aca="1" ref="X151" ca="1">ROUND(INDEX(INDIRECT("BS_"&amp;TEXT(X$1,"mmm")&amp;"_"&amp;TEXT(X$1,"yyyy")),MATCH(TRIM($A150),BS_Accounts,0))-X150,2)</f>
        <v>0</v>
      </c>
      <c r="Y151" s="115">
        <f t="array" aca="1" ref="Y151" ca="1">ROUND(INDEX(INDIRECT("BS_"&amp;TEXT(Y$1,"mmm")&amp;"_"&amp;TEXT(Y$1,"yyyy")),MATCH(TRIM($A150),BS_Accounts,0))-Y150,2)</f>
        <v>0</v>
      </c>
      <c r="Z151" s="115">
        <f t="array" aca="1" ref="Z151" ca="1">ROUND(INDEX(INDIRECT("BS_"&amp;TEXT(Z$1,"mmm")&amp;"_"&amp;TEXT(Z$1,"yyyy")),MATCH(TRIM($A150),BS_Accounts,0))-Z150,2)</f>
        <v>0</v>
      </c>
      <c r="AA151" s="115">
        <f t="array" aca="1" ref="AA151" ca="1">ROUND(INDEX(INDIRECT("BS_"&amp;TEXT(AA$1,"mmm")&amp;"_"&amp;TEXT(AA$1,"yyyy")),MATCH(TRIM($A150),BS_Accounts,0))-AA150,2)</f>
        <v>0</v>
      </c>
      <c r="AB151" s="115">
        <f t="array" aca="1" ref="AB151" ca="1">ROUND(INDEX(INDIRECT("BS_"&amp;TEXT(AB$1,"mmm")&amp;"_"&amp;TEXT(AB$1,"yyyy")),MATCH(TRIM($A150),BS_Accounts,0))-AB150,2)</f>
        <v>0</v>
      </c>
      <c r="AC151" s="115">
        <f t="array" aca="1" ref="AC151" ca="1">ROUND(INDEX(INDIRECT("BS_"&amp;TEXT(AC$1,"mmm")&amp;"_"&amp;TEXT(AC$1,"yyyy")),MATCH(TRIM($A150),BS_Accounts,0))-AC150,2)</f>
        <v>0</v>
      </c>
      <c r="AD151" s="115">
        <f t="array" aca="1" ref="AD151" ca="1">ROUND(INDEX(INDIRECT("BS_"&amp;TEXT(AD$1,"mmm")&amp;"_"&amp;TEXT(AD$1,"yyyy")),MATCH(TRIM($A150),BS_Accounts,0))-AD150,2)</f>
        <v>0</v>
      </c>
      <c r="AE151" s="115">
        <f t="array" aca="1" ref="AE151" ca="1">ROUND(INDEX(INDIRECT("BS_"&amp;TEXT(AE$1,"mmm")&amp;"_"&amp;TEXT(AE$1,"yyyy")),MATCH(TRIM($A150),BS_Accounts,0))-AE150,2)</f>
        <v>0</v>
      </c>
    </row>
    <row r="152" spans="1:75" ht="12.75" x14ac:dyDescent="0.2">
      <c r="A152" s="69" t="s">
        <v>385</v>
      </c>
      <c r="B152" s="221"/>
      <c r="D152" s="115">
        <f t="shared" ref="D152:BW152" ca="1" si="80">ROUND(D150-D119,2)</f>
        <v>0</v>
      </c>
      <c r="E152" s="115">
        <f t="shared" ca="1" si="80"/>
        <v>0</v>
      </c>
      <c r="F152" s="115">
        <f t="shared" ca="1" si="80"/>
        <v>0</v>
      </c>
      <c r="G152" s="115">
        <f t="shared" ca="1" si="80"/>
        <v>0</v>
      </c>
      <c r="H152" s="115">
        <f t="shared" ca="1" si="80"/>
        <v>0</v>
      </c>
      <c r="I152" s="115">
        <f t="shared" ca="1" si="80"/>
        <v>0</v>
      </c>
      <c r="J152" s="115">
        <f t="shared" ca="1" si="80"/>
        <v>0</v>
      </c>
      <c r="K152" s="115">
        <f t="shared" ca="1" si="80"/>
        <v>0</v>
      </c>
      <c r="L152" s="115">
        <f t="shared" ca="1" si="80"/>
        <v>0</v>
      </c>
      <c r="M152" s="115">
        <f t="shared" ca="1" si="80"/>
        <v>0</v>
      </c>
      <c r="N152" s="115">
        <f t="shared" ca="1" si="80"/>
        <v>0</v>
      </c>
      <c r="O152" s="115">
        <f t="shared" ca="1" si="80"/>
        <v>0</v>
      </c>
      <c r="P152" s="115">
        <f t="shared" ca="1" si="80"/>
        <v>0</v>
      </c>
      <c r="Q152" s="115">
        <f t="shared" ca="1" si="80"/>
        <v>0</v>
      </c>
      <c r="R152" s="115">
        <f t="shared" ca="1" si="80"/>
        <v>0</v>
      </c>
      <c r="S152" s="115">
        <f t="shared" ca="1" si="80"/>
        <v>0</v>
      </c>
      <c r="T152" s="115">
        <f t="shared" ca="1" si="80"/>
        <v>0</v>
      </c>
      <c r="U152" s="115">
        <f t="shared" ca="1" si="80"/>
        <v>0</v>
      </c>
      <c r="V152" s="115">
        <f t="shared" ca="1" si="80"/>
        <v>0</v>
      </c>
      <c r="W152" s="115">
        <f t="shared" ca="1" si="80"/>
        <v>0</v>
      </c>
      <c r="X152" s="115">
        <f t="shared" ca="1" si="80"/>
        <v>0</v>
      </c>
      <c r="Y152" s="115">
        <f t="shared" ca="1" si="80"/>
        <v>0</v>
      </c>
      <c r="Z152" s="115">
        <f t="shared" ca="1" si="80"/>
        <v>0</v>
      </c>
      <c r="AA152" s="115">
        <f t="shared" ca="1" si="80"/>
        <v>0</v>
      </c>
      <c r="AB152" s="115">
        <f t="shared" ca="1" si="80"/>
        <v>0</v>
      </c>
      <c r="AC152" s="115">
        <f t="shared" ca="1" si="80"/>
        <v>0</v>
      </c>
      <c r="AD152" s="115">
        <f t="shared" ca="1" si="80"/>
        <v>0</v>
      </c>
      <c r="AE152" s="115">
        <f t="shared" ca="1" si="80"/>
        <v>0</v>
      </c>
      <c r="AF152" s="115">
        <f t="shared" ca="1" si="80"/>
        <v>0</v>
      </c>
      <c r="AG152" s="115">
        <f t="shared" ca="1" si="80"/>
        <v>0</v>
      </c>
      <c r="AH152" s="115">
        <f t="shared" ca="1" si="80"/>
        <v>0</v>
      </c>
      <c r="AI152" s="115">
        <f t="shared" ca="1" si="80"/>
        <v>0</v>
      </c>
      <c r="AJ152" s="115">
        <f t="shared" ca="1" si="80"/>
        <v>0</v>
      </c>
      <c r="AK152" s="115">
        <f t="shared" ca="1" si="80"/>
        <v>0</v>
      </c>
      <c r="AL152" s="115">
        <f t="shared" ca="1" si="80"/>
        <v>0</v>
      </c>
      <c r="AM152" s="115">
        <f t="shared" ca="1" si="80"/>
        <v>0</v>
      </c>
      <c r="AN152" s="115">
        <f t="shared" ca="1" si="80"/>
        <v>0</v>
      </c>
      <c r="AO152" s="115">
        <f t="shared" ca="1" si="80"/>
        <v>0</v>
      </c>
      <c r="AP152" s="115">
        <f t="shared" ca="1" si="80"/>
        <v>0</v>
      </c>
      <c r="AQ152" s="115">
        <f t="shared" ca="1" si="80"/>
        <v>0</v>
      </c>
      <c r="AR152" s="115">
        <f t="shared" ca="1" si="80"/>
        <v>0</v>
      </c>
      <c r="AS152" s="115">
        <f t="shared" ca="1" si="80"/>
        <v>0</v>
      </c>
      <c r="AT152" s="115">
        <f t="shared" ca="1" si="80"/>
        <v>0</v>
      </c>
      <c r="AU152" s="115">
        <f t="shared" ca="1" si="80"/>
        <v>0</v>
      </c>
      <c r="AV152" s="115">
        <f t="shared" ca="1" si="80"/>
        <v>0</v>
      </c>
      <c r="AW152" s="115">
        <f t="shared" ca="1" si="80"/>
        <v>0</v>
      </c>
      <c r="AX152" s="115">
        <f t="shared" ca="1" si="80"/>
        <v>0</v>
      </c>
      <c r="AY152" s="115">
        <f t="shared" ca="1" si="80"/>
        <v>0</v>
      </c>
      <c r="AZ152" s="115">
        <f t="shared" ca="1" si="80"/>
        <v>0</v>
      </c>
      <c r="BA152" s="115">
        <f t="shared" ca="1" si="80"/>
        <v>0</v>
      </c>
      <c r="BB152" s="115">
        <f t="shared" ca="1" si="80"/>
        <v>0</v>
      </c>
      <c r="BC152" s="115">
        <f t="shared" ca="1" si="80"/>
        <v>0</v>
      </c>
      <c r="BD152" s="115">
        <f t="shared" ca="1" si="80"/>
        <v>0</v>
      </c>
      <c r="BE152" s="115">
        <f t="shared" ca="1" si="80"/>
        <v>0</v>
      </c>
      <c r="BF152" s="115">
        <f t="shared" ca="1" si="80"/>
        <v>0</v>
      </c>
      <c r="BG152" s="115">
        <f t="shared" ca="1" si="80"/>
        <v>0</v>
      </c>
      <c r="BH152" s="115">
        <f t="shared" ca="1" si="80"/>
        <v>0</v>
      </c>
      <c r="BI152" s="115">
        <f t="shared" ca="1" si="80"/>
        <v>0</v>
      </c>
      <c r="BJ152" s="115">
        <f t="shared" ca="1" si="80"/>
        <v>0</v>
      </c>
      <c r="BK152" s="115">
        <f t="shared" ca="1" si="80"/>
        <v>0</v>
      </c>
      <c r="BL152" s="115">
        <f t="shared" ca="1" si="80"/>
        <v>0</v>
      </c>
      <c r="BM152" s="115">
        <f t="shared" ca="1" si="80"/>
        <v>0</v>
      </c>
      <c r="BN152" s="115">
        <f t="shared" ca="1" si="80"/>
        <v>0</v>
      </c>
      <c r="BO152" s="115">
        <f t="shared" ca="1" si="80"/>
        <v>0</v>
      </c>
      <c r="BP152" s="115" t="e">
        <f t="shared" ca="1" si="80"/>
        <v>#N/A</v>
      </c>
      <c r="BQ152" s="115" t="e">
        <f t="shared" ca="1" si="80"/>
        <v>#N/A</v>
      </c>
      <c r="BR152" s="115" t="e">
        <f t="shared" ca="1" si="80"/>
        <v>#N/A</v>
      </c>
      <c r="BS152" s="115" t="e">
        <f t="shared" ca="1" si="80"/>
        <v>#N/A</v>
      </c>
      <c r="BT152" s="115" t="e">
        <f t="shared" ca="1" si="80"/>
        <v>#N/A</v>
      </c>
      <c r="BU152" s="115" t="e">
        <f t="shared" ca="1" si="80"/>
        <v>#N/A</v>
      </c>
      <c r="BV152" s="115" t="e">
        <f t="shared" ca="1" si="80"/>
        <v>#N/A</v>
      </c>
      <c r="BW152" s="115" t="e">
        <f t="shared" ca="1" si="80"/>
        <v>#N/A</v>
      </c>
    </row>
    <row r="153" spans="1:75" ht="12.75" x14ac:dyDescent="0.2">
      <c r="B153" s="221"/>
    </row>
    <row r="154" spans="1:75" ht="12.75" x14ac:dyDescent="0.2">
      <c r="A154" s="21" t="s">
        <v>386</v>
      </c>
      <c r="B154" s="221"/>
    </row>
    <row r="155" spans="1:75" ht="12.75" x14ac:dyDescent="0.2">
      <c r="A155" s="215" t="s">
        <v>387</v>
      </c>
      <c r="B155" s="221"/>
    </row>
    <row r="156" spans="1:75" ht="12.75" x14ac:dyDescent="0.2">
      <c r="A156" s="23" t="s">
        <v>388</v>
      </c>
      <c r="B156" s="221"/>
      <c r="D156" s="165">
        <f t="shared" ref="D156:BW156" ca="1" si="81">D$97</f>
        <v>-89438</v>
      </c>
      <c r="E156" s="165">
        <f t="shared" ca="1" si="81"/>
        <v>-88124</v>
      </c>
      <c r="F156" s="165">
        <f t="shared" ca="1" si="81"/>
        <v>-102956</v>
      </c>
      <c r="G156" s="165">
        <f t="shared" ca="1" si="81"/>
        <v>-94595</v>
      </c>
      <c r="H156" s="165">
        <f t="shared" ca="1" si="81"/>
        <v>-82065</v>
      </c>
      <c r="I156" s="165">
        <f t="shared" ca="1" si="81"/>
        <v>-78132</v>
      </c>
      <c r="J156" s="165">
        <f t="shared" ca="1" si="81"/>
        <v>-94045</v>
      </c>
      <c r="K156" s="165">
        <f t="shared" ca="1" si="81"/>
        <v>-89766</v>
      </c>
      <c r="L156" s="165">
        <f t="shared" ca="1" si="81"/>
        <v>-114445</v>
      </c>
      <c r="M156" s="165">
        <f t="shared" ca="1" si="81"/>
        <v>-131881</v>
      </c>
      <c r="N156" s="165">
        <f t="shared" ca="1" si="81"/>
        <v>-140597</v>
      </c>
      <c r="O156" s="165">
        <f t="shared" ca="1" si="81"/>
        <v>-177194</v>
      </c>
      <c r="P156" s="165">
        <f t="shared" ca="1" si="81"/>
        <v>-177124</v>
      </c>
      <c r="Q156" s="165">
        <f t="shared" ca="1" si="81"/>
        <v>-189575</v>
      </c>
      <c r="R156" s="165">
        <f t="shared" ca="1" si="81"/>
        <v>-184131</v>
      </c>
      <c r="S156" s="165">
        <f t="shared" ca="1" si="81"/>
        <v>-128941</v>
      </c>
      <c r="T156" s="165">
        <f t="shared" ca="1" si="81"/>
        <v>-151754</v>
      </c>
      <c r="U156" s="165">
        <f t="shared" ca="1" si="81"/>
        <v>-122283</v>
      </c>
      <c r="V156" s="165">
        <f t="shared" ca="1" si="81"/>
        <v>-102474</v>
      </c>
      <c r="W156" s="165">
        <f t="shared" ca="1" si="81"/>
        <v>-82495</v>
      </c>
      <c r="X156" s="165">
        <f t="shared" ca="1" si="81"/>
        <v>-60038</v>
      </c>
      <c r="Y156" s="165">
        <f t="shared" ca="1" si="81"/>
        <v>-27320</v>
      </c>
      <c r="Z156" s="165">
        <f t="shared" ca="1" si="81"/>
        <v>-18905</v>
      </c>
      <c r="AA156" s="165">
        <f t="shared" ca="1" si="81"/>
        <v>-24211</v>
      </c>
      <c r="AB156" s="165">
        <f t="shared" ca="1" si="81"/>
        <v>-13824</v>
      </c>
      <c r="AC156" s="165">
        <f t="shared" ca="1" si="81"/>
        <v>-26169</v>
      </c>
      <c r="AD156" s="165">
        <f t="shared" ca="1" si="81"/>
        <v>8407.1899999999441</v>
      </c>
      <c r="AE156" s="165">
        <f t="shared" ca="1" si="81"/>
        <v>-117</v>
      </c>
      <c r="AF156" s="165">
        <f t="shared" ca="1" si="81"/>
        <v>71361.272841736441</v>
      </c>
      <c r="AG156" s="165">
        <f t="shared" ca="1" si="81"/>
        <v>42352.790587507654</v>
      </c>
      <c r="AH156" s="165">
        <f t="shared" ca="1" si="81"/>
        <v>24009.245411858778</v>
      </c>
      <c r="AI156" s="165">
        <f t="shared" ca="1" si="81"/>
        <v>21236.749603149481</v>
      </c>
      <c r="AJ156" s="165">
        <f t="shared" ca="1" si="81"/>
        <v>-8913.1736388280988</v>
      </c>
      <c r="AK156" s="165">
        <f t="shared" ca="1" si="81"/>
        <v>-17715.02036441362</v>
      </c>
      <c r="AL156" s="165">
        <f t="shared" ca="1" si="81"/>
        <v>-27169.104950513691</v>
      </c>
      <c r="AM156" s="165">
        <f t="shared" ca="1" si="81"/>
        <v>-35868.178680648562</v>
      </c>
      <c r="AN156" s="165">
        <f t="shared" ca="1" si="81"/>
        <v>-44861.504663905594</v>
      </c>
      <c r="AO156" s="165">
        <f t="shared" ca="1" si="81"/>
        <v>-53021.981902484316</v>
      </c>
      <c r="AP156" s="165">
        <f t="shared" ca="1" si="81"/>
        <v>-61530.060507574584</v>
      </c>
      <c r="AQ156" s="165">
        <f t="shared" ca="1" si="81"/>
        <v>-69231.399770826334</v>
      </c>
      <c r="AR156" s="165">
        <f t="shared" ca="1" si="81"/>
        <v>-76151.565669838688</v>
      </c>
      <c r="AS156" s="165">
        <f t="shared" ca="1" si="81"/>
        <v>-83444.15559429198</v>
      </c>
      <c r="AT156" s="165">
        <f t="shared" ca="1" si="81"/>
        <v>-89972.216468288447</v>
      </c>
      <c r="AU156" s="165">
        <f t="shared" ca="1" si="81"/>
        <v>-96886.175092146615</v>
      </c>
      <c r="AV156" s="165">
        <f t="shared" ca="1" si="81"/>
        <v>-103054.02454770228</v>
      </c>
      <c r="AW156" s="165">
        <f t="shared" ca="1" si="81"/>
        <v>-108495.295622773</v>
      </c>
      <c r="AX156" s="165">
        <f t="shared" ca="1" si="81"/>
        <v>-114358.86816822272</v>
      </c>
      <c r="AY156" s="165">
        <f t="shared" ca="1" si="81"/>
        <v>-119511.83627717709</v>
      </c>
      <c r="AZ156" s="165">
        <f t="shared" ca="1" si="81"/>
        <v>-82130.73565594689</v>
      </c>
      <c r="BA156" s="165">
        <f t="shared" ca="1" si="81"/>
        <v>-71670.299278036575</v>
      </c>
      <c r="BB156" s="165">
        <f t="shared" ca="1" si="81"/>
        <v>-58414.383553921478</v>
      </c>
      <c r="BC156" s="165">
        <f t="shared" ca="1" si="81"/>
        <v>-41610.511365838</v>
      </c>
      <c r="BD156" s="165">
        <f t="shared" ca="1" si="81"/>
        <v>-20527.328494268586</v>
      </c>
      <c r="BE156" s="165">
        <f t="shared" ca="1" si="81"/>
        <v>-3678.9390226850519</v>
      </c>
      <c r="BF156" s="165">
        <f t="shared" ca="1" si="81"/>
        <v>14860.671713188873</v>
      </c>
      <c r="BG156" s="165">
        <f t="shared" ca="1" si="81"/>
        <v>34803.763406352955</v>
      </c>
      <c r="BH156" s="165">
        <f t="shared" ca="1" si="81"/>
        <v>55590.920471203164</v>
      </c>
      <c r="BI156" s="165">
        <f t="shared" ca="1" si="81"/>
        <v>76325.610554155661</v>
      </c>
      <c r="BJ156" s="165">
        <f t="shared" ca="1" si="81"/>
        <v>98100.966526077478</v>
      </c>
      <c r="BK156" s="165">
        <f t="shared" ca="1" si="81"/>
        <v>120747.83691755636</v>
      </c>
      <c r="BL156" s="165">
        <f t="shared" ca="1" si="81"/>
        <v>144128.06767071027</v>
      </c>
      <c r="BM156" s="165">
        <f t="shared" ca="1" si="81"/>
        <v>168213.55830556049</v>
      </c>
      <c r="BN156" s="165">
        <f t="shared" ca="1" si="81"/>
        <v>193203.05963856424</v>
      </c>
      <c r="BO156" s="165">
        <f t="shared" ca="1" si="81"/>
        <v>219061.7428437334</v>
      </c>
      <c r="BP156" s="165">
        <f t="shared" ca="1" si="81"/>
        <v>245789.88893139607</v>
      </c>
      <c r="BQ156" s="165">
        <f t="shared" ca="1" si="81"/>
        <v>273423.96365568659</v>
      </c>
      <c r="BR156" s="165">
        <f t="shared" ca="1" si="81"/>
        <v>302017.32441852149</v>
      </c>
      <c r="BS156" s="165">
        <f t="shared" ca="1" si="81"/>
        <v>331585.38146001939</v>
      </c>
      <c r="BT156" s="165">
        <f t="shared" ca="1" si="81"/>
        <v>362156.69621164154</v>
      </c>
      <c r="BU156" s="165">
        <f t="shared" ca="1" si="81"/>
        <v>393767.24676455429</v>
      </c>
      <c r="BV156" s="165">
        <f t="shared" ca="1" si="81"/>
        <v>426452.91479795915</v>
      </c>
      <c r="BW156" s="165">
        <f t="shared" ca="1" si="81"/>
        <v>460245.04937441915</v>
      </c>
    </row>
    <row r="157" spans="1:75" ht="12.75" x14ac:dyDescent="0.2">
      <c r="A157" s="23" t="s">
        <v>389</v>
      </c>
      <c r="B157" s="221"/>
    </row>
    <row r="158" spans="1:75" ht="12.75" x14ac:dyDescent="0.2">
      <c r="A158" s="23" t="s">
        <v>352</v>
      </c>
      <c r="B158" s="221"/>
      <c r="D158" s="165">
        <f t="shared" ref="D158:BW158" ca="1" si="82">-D114+C114</f>
        <v>0</v>
      </c>
      <c r="E158" s="165">
        <f t="shared" ca="1" si="82"/>
        <v>0</v>
      </c>
      <c r="F158" s="165">
        <f t="shared" ca="1" si="82"/>
        <v>0</v>
      </c>
      <c r="G158" s="165">
        <f t="shared" ca="1" si="82"/>
        <v>0</v>
      </c>
      <c r="H158" s="165">
        <f t="shared" ca="1" si="82"/>
        <v>0</v>
      </c>
      <c r="I158" s="165">
        <f t="shared" ca="1" si="82"/>
        <v>0</v>
      </c>
      <c r="J158" s="165">
        <f t="shared" ca="1" si="82"/>
        <v>0</v>
      </c>
      <c r="K158" s="165">
        <f t="shared" ca="1" si="82"/>
        <v>0</v>
      </c>
      <c r="L158" s="165">
        <f t="shared" ca="1" si="82"/>
        <v>0</v>
      </c>
      <c r="M158" s="165">
        <f t="shared" ca="1" si="82"/>
        <v>0</v>
      </c>
      <c r="N158" s="165">
        <f t="shared" ca="1" si="82"/>
        <v>0</v>
      </c>
      <c r="O158" s="165">
        <f t="shared" ca="1" si="82"/>
        <v>0</v>
      </c>
      <c r="P158" s="165">
        <f t="shared" ca="1" si="82"/>
        <v>0</v>
      </c>
      <c r="Q158" s="165">
        <f t="shared" ca="1" si="82"/>
        <v>0</v>
      </c>
      <c r="R158" s="165">
        <f t="shared" ca="1" si="82"/>
        <v>0</v>
      </c>
      <c r="S158" s="165">
        <f t="shared" ca="1" si="82"/>
        <v>0</v>
      </c>
      <c r="T158" s="165">
        <f t="shared" ca="1" si="82"/>
        <v>0</v>
      </c>
      <c r="U158" s="165">
        <f t="shared" ca="1" si="82"/>
        <v>0</v>
      </c>
      <c r="V158" s="165">
        <f t="shared" ca="1" si="82"/>
        <v>0</v>
      </c>
      <c r="W158" s="165">
        <f t="shared" ca="1" si="82"/>
        <v>0</v>
      </c>
      <c r="X158" s="165">
        <f t="shared" ca="1" si="82"/>
        <v>0</v>
      </c>
      <c r="Y158" s="165">
        <f t="shared" ca="1" si="82"/>
        <v>0</v>
      </c>
      <c r="Z158" s="165">
        <f t="shared" ca="1" si="82"/>
        <v>0</v>
      </c>
      <c r="AA158" s="165">
        <f t="shared" ca="1" si="82"/>
        <v>0</v>
      </c>
      <c r="AB158" s="165">
        <f t="shared" ca="1" si="82"/>
        <v>0</v>
      </c>
      <c r="AC158" s="165">
        <f t="shared" ca="1" si="82"/>
        <v>0</v>
      </c>
      <c r="AD158" s="165">
        <f t="shared" ca="1" si="82"/>
        <v>0</v>
      </c>
      <c r="AE158" s="165">
        <f t="shared" ca="1" si="82"/>
        <v>0</v>
      </c>
      <c r="AF158" s="165">
        <f t="shared" ca="1" si="82"/>
        <v>0</v>
      </c>
      <c r="AG158" s="165">
        <f t="shared" ca="1" si="82"/>
        <v>0</v>
      </c>
      <c r="AH158" s="165">
        <f t="shared" ca="1" si="82"/>
        <v>0</v>
      </c>
      <c r="AI158" s="165">
        <f t="shared" ca="1" si="82"/>
        <v>0</v>
      </c>
      <c r="AJ158" s="165">
        <f t="shared" ca="1" si="82"/>
        <v>0</v>
      </c>
      <c r="AK158" s="165">
        <f t="shared" ca="1" si="82"/>
        <v>0</v>
      </c>
      <c r="AL158" s="165">
        <f t="shared" ca="1" si="82"/>
        <v>0</v>
      </c>
      <c r="AM158" s="165">
        <f t="shared" ca="1" si="82"/>
        <v>0</v>
      </c>
      <c r="AN158" s="165">
        <f t="shared" ca="1" si="82"/>
        <v>0</v>
      </c>
      <c r="AO158" s="165">
        <f t="shared" ca="1" si="82"/>
        <v>0</v>
      </c>
      <c r="AP158" s="165">
        <f t="shared" ca="1" si="82"/>
        <v>0</v>
      </c>
      <c r="AQ158" s="165">
        <f t="shared" ca="1" si="82"/>
        <v>0</v>
      </c>
      <c r="AR158" s="165">
        <f t="shared" ca="1" si="82"/>
        <v>0</v>
      </c>
      <c r="AS158" s="165">
        <f t="shared" ca="1" si="82"/>
        <v>0</v>
      </c>
      <c r="AT158" s="165">
        <f t="shared" ca="1" si="82"/>
        <v>0</v>
      </c>
      <c r="AU158" s="165">
        <f t="shared" ca="1" si="82"/>
        <v>0</v>
      </c>
      <c r="AV158" s="165">
        <f t="shared" ca="1" si="82"/>
        <v>0</v>
      </c>
      <c r="AW158" s="165">
        <f t="shared" ca="1" si="82"/>
        <v>0</v>
      </c>
      <c r="AX158" s="165">
        <f t="shared" ca="1" si="82"/>
        <v>0</v>
      </c>
      <c r="AY158" s="165">
        <f t="shared" ca="1" si="82"/>
        <v>0</v>
      </c>
      <c r="AZ158" s="165">
        <f t="shared" ca="1" si="82"/>
        <v>0</v>
      </c>
      <c r="BA158" s="165">
        <f t="shared" ca="1" si="82"/>
        <v>0</v>
      </c>
      <c r="BB158" s="165">
        <f t="shared" ca="1" si="82"/>
        <v>0</v>
      </c>
      <c r="BC158" s="165">
        <f t="shared" ca="1" si="82"/>
        <v>0</v>
      </c>
      <c r="BD158" s="165">
        <f t="shared" ca="1" si="82"/>
        <v>0</v>
      </c>
      <c r="BE158" s="165">
        <f t="shared" ca="1" si="82"/>
        <v>0</v>
      </c>
      <c r="BF158" s="165">
        <f t="shared" ca="1" si="82"/>
        <v>0</v>
      </c>
      <c r="BG158" s="165">
        <f t="shared" ca="1" si="82"/>
        <v>0</v>
      </c>
      <c r="BH158" s="165">
        <f t="shared" ca="1" si="82"/>
        <v>0</v>
      </c>
      <c r="BI158" s="165">
        <f t="shared" ca="1" si="82"/>
        <v>0</v>
      </c>
      <c r="BJ158" s="165">
        <f t="shared" ca="1" si="82"/>
        <v>0</v>
      </c>
      <c r="BK158" s="165">
        <f t="shared" ca="1" si="82"/>
        <v>0</v>
      </c>
      <c r="BL158" s="165">
        <f t="shared" ca="1" si="82"/>
        <v>0</v>
      </c>
      <c r="BM158" s="165">
        <f t="shared" ca="1" si="82"/>
        <v>0</v>
      </c>
      <c r="BN158" s="165">
        <f t="shared" ca="1" si="82"/>
        <v>0</v>
      </c>
      <c r="BO158" s="165">
        <f t="shared" ca="1" si="82"/>
        <v>0</v>
      </c>
      <c r="BP158" s="165">
        <f t="shared" ca="1" si="82"/>
        <v>0</v>
      </c>
      <c r="BQ158" s="165">
        <f t="shared" ca="1" si="82"/>
        <v>0</v>
      </c>
      <c r="BR158" s="165">
        <f t="shared" ca="1" si="82"/>
        <v>0</v>
      </c>
      <c r="BS158" s="165">
        <f t="shared" ca="1" si="82"/>
        <v>0</v>
      </c>
      <c r="BT158" s="165">
        <f t="shared" ca="1" si="82"/>
        <v>0</v>
      </c>
      <c r="BU158" s="165">
        <f t="shared" ca="1" si="82"/>
        <v>0</v>
      </c>
      <c r="BV158" s="165">
        <f t="shared" ca="1" si="82"/>
        <v>0</v>
      </c>
      <c r="BW158" s="165">
        <f t="shared" ca="1" si="82"/>
        <v>0</v>
      </c>
    </row>
    <row r="159" spans="1:75" ht="12.75" x14ac:dyDescent="0.2">
      <c r="A159" s="23" t="s">
        <v>356</v>
      </c>
      <c r="B159" s="221"/>
      <c r="D159" s="165">
        <f t="shared" ref="D159:BW159" ca="1" si="83">-D109+C109</f>
        <v>0</v>
      </c>
      <c r="E159" s="165">
        <f t="shared" ca="1" si="83"/>
        <v>0</v>
      </c>
      <c r="F159" s="165">
        <f t="shared" ca="1" si="83"/>
        <v>0</v>
      </c>
      <c r="G159" s="165">
        <f t="shared" ca="1" si="83"/>
        <v>0</v>
      </c>
      <c r="H159" s="165">
        <f t="shared" ca="1" si="83"/>
        <v>0</v>
      </c>
      <c r="I159" s="165">
        <f t="shared" ca="1" si="83"/>
        <v>0</v>
      </c>
      <c r="J159" s="165">
        <f t="shared" ca="1" si="83"/>
        <v>0</v>
      </c>
      <c r="K159" s="165">
        <f t="shared" ca="1" si="83"/>
        <v>0</v>
      </c>
      <c r="L159" s="165">
        <f t="shared" ca="1" si="83"/>
        <v>0</v>
      </c>
      <c r="M159" s="165">
        <f t="shared" ca="1" si="83"/>
        <v>0</v>
      </c>
      <c r="N159" s="165">
        <f t="shared" ca="1" si="83"/>
        <v>0</v>
      </c>
      <c r="O159" s="165">
        <f t="shared" ca="1" si="83"/>
        <v>0</v>
      </c>
      <c r="P159" s="165">
        <f t="shared" ca="1" si="83"/>
        <v>0</v>
      </c>
      <c r="Q159" s="165">
        <f t="shared" ca="1" si="83"/>
        <v>0</v>
      </c>
      <c r="R159" s="165">
        <f t="shared" ca="1" si="83"/>
        <v>0</v>
      </c>
      <c r="S159" s="165">
        <f t="shared" ca="1" si="83"/>
        <v>0</v>
      </c>
      <c r="T159" s="165">
        <f t="shared" ca="1" si="83"/>
        <v>0</v>
      </c>
      <c r="U159" s="165">
        <f t="shared" ca="1" si="83"/>
        <v>0</v>
      </c>
      <c r="V159" s="165">
        <f t="shared" ca="1" si="83"/>
        <v>0</v>
      </c>
      <c r="W159" s="165">
        <f t="shared" ca="1" si="83"/>
        <v>0</v>
      </c>
      <c r="X159" s="165">
        <f t="shared" ca="1" si="83"/>
        <v>0</v>
      </c>
      <c r="Y159" s="165">
        <f t="shared" ca="1" si="83"/>
        <v>0</v>
      </c>
      <c r="Z159" s="165">
        <f t="shared" ca="1" si="83"/>
        <v>0</v>
      </c>
      <c r="AA159" s="165">
        <f t="shared" ca="1" si="83"/>
        <v>0</v>
      </c>
      <c r="AB159" s="165">
        <f t="shared" ca="1" si="83"/>
        <v>0</v>
      </c>
      <c r="AC159" s="165">
        <f t="shared" ca="1" si="83"/>
        <v>0</v>
      </c>
      <c r="AD159" s="165">
        <f t="shared" ca="1" si="83"/>
        <v>0</v>
      </c>
      <c r="AE159" s="165">
        <f t="shared" ca="1" si="83"/>
        <v>0</v>
      </c>
      <c r="AF159" s="165">
        <f t="shared" ca="1" si="83"/>
        <v>0</v>
      </c>
      <c r="AG159" s="165">
        <f t="shared" ca="1" si="83"/>
        <v>0</v>
      </c>
      <c r="AH159" s="165">
        <f t="shared" ca="1" si="83"/>
        <v>0</v>
      </c>
      <c r="AI159" s="165">
        <f t="shared" ca="1" si="83"/>
        <v>0</v>
      </c>
      <c r="AJ159" s="165">
        <f t="shared" ca="1" si="83"/>
        <v>0</v>
      </c>
      <c r="AK159" s="165">
        <f t="shared" ca="1" si="83"/>
        <v>0</v>
      </c>
      <c r="AL159" s="165">
        <f t="shared" ca="1" si="83"/>
        <v>0</v>
      </c>
      <c r="AM159" s="165">
        <f t="shared" ca="1" si="83"/>
        <v>0</v>
      </c>
      <c r="AN159" s="165">
        <f t="shared" ca="1" si="83"/>
        <v>0</v>
      </c>
      <c r="AO159" s="165">
        <f t="shared" ca="1" si="83"/>
        <v>0</v>
      </c>
      <c r="AP159" s="165">
        <f t="shared" ca="1" si="83"/>
        <v>0</v>
      </c>
      <c r="AQ159" s="165">
        <f t="shared" ca="1" si="83"/>
        <v>0</v>
      </c>
      <c r="AR159" s="165">
        <f t="shared" ca="1" si="83"/>
        <v>0</v>
      </c>
      <c r="AS159" s="165">
        <f t="shared" ca="1" si="83"/>
        <v>0</v>
      </c>
      <c r="AT159" s="165">
        <f t="shared" ca="1" si="83"/>
        <v>0</v>
      </c>
      <c r="AU159" s="165">
        <f t="shared" ca="1" si="83"/>
        <v>0</v>
      </c>
      <c r="AV159" s="165">
        <f t="shared" ca="1" si="83"/>
        <v>0</v>
      </c>
      <c r="AW159" s="165">
        <f t="shared" ca="1" si="83"/>
        <v>0</v>
      </c>
      <c r="AX159" s="165">
        <f t="shared" ca="1" si="83"/>
        <v>0</v>
      </c>
      <c r="AY159" s="165">
        <f t="shared" ca="1" si="83"/>
        <v>0</v>
      </c>
      <c r="AZ159" s="165">
        <f t="shared" ca="1" si="83"/>
        <v>0</v>
      </c>
      <c r="BA159" s="165">
        <f t="shared" ca="1" si="83"/>
        <v>0</v>
      </c>
      <c r="BB159" s="165">
        <f t="shared" ca="1" si="83"/>
        <v>0</v>
      </c>
      <c r="BC159" s="165">
        <f t="shared" ca="1" si="83"/>
        <v>0</v>
      </c>
      <c r="BD159" s="165">
        <f t="shared" ca="1" si="83"/>
        <v>0</v>
      </c>
      <c r="BE159" s="165">
        <f t="shared" ca="1" si="83"/>
        <v>0</v>
      </c>
      <c r="BF159" s="165">
        <f t="shared" ca="1" si="83"/>
        <v>0</v>
      </c>
      <c r="BG159" s="165">
        <f t="shared" ca="1" si="83"/>
        <v>0</v>
      </c>
      <c r="BH159" s="165">
        <f t="shared" ca="1" si="83"/>
        <v>0</v>
      </c>
      <c r="BI159" s="165">
        <f t="shared" ca="1" si="83"/>
        <v>0</v>
      </c>
      <c r="BJ159" s="165">
        <f t="shared" ca="1" si="83"/>
        <v>0</v>
      </c>
      <c r="BK159" s="165">
        <f t="shared" ca="1" si="83"/>
        <v>0</v>
      </c>
      <c r="BL159" s="165">
        <f t="shared" ca="1" si="83"/>
        <v>0</v>
      </c>
      <c r="BM159" s="165">
        <f t="shared" ca="1" si="83"/>
        <v>0</v>
      </c>
      <c r="BN159" s="165">
        <f t="shared" ca="1" si="83"/>
        <v>0</v>
      </c>
      <c r="BO159" s="165">
        <f t="shared" ca="1" si="83"/>
        <v>0</v>
      </c>
      <c r="BP159" s="165">
        <f t="shared" ca="1" si="83"/>
        <v>0</v>
      </c>
      <c r="BQ159" s="165">
        <f t="shared" ca="1" si="83"/>
        <v>0</v>
      </c>
      <c r="BR159" s="165">
        <f t="shared" ca="1" si="83"/>
        <v>0</v>
      </c>
      <c r="BS159" s="165">
        <f t="shared" ca="1" si="83"/>
        <v>0</v>
      </c>
      <c r="BT159" s="165">
        <f t="shared" ca="1" si="83"/>
        <v>0</v>
      </c>
      <c r="BU159" s="165">
        <f t="shared" ca="1" si="83"/>
        <v>0</v>
      </c>
      <c r="BV159" s="165">
        <f t="shared" ca="1" si="83"/>
        <v>0</v>
      </c>
      <c r="BW159" s="165">
        <f t="shared" ca="1" si="83"/>
        <v>0</v>
      </c>
    </row>
    <row r="160" spans="1:75" ht="12.75" x14ac:dyDescent="0.2">
      <c r="A160" s="23" t="s">
        <v>390</v>
      </c>
      <c r="B160" s="221"/>
      <c r="D160" s="165">
        <f t="shared" ref="D160:BW160" ca="1" si="84">D125-C125</f>
        <v>357</v>
      </c>
      <c r="E160" s="165">
        <f t="shared" ca="1" si="84"/>
        <v>-2113</v>
      </c>
      <c r="F160" s="165">
        <f t="shared" ca="1" si="84"/>
        <v>0</v>
      </c>
      <c r="G160" s="165">
        <f t="shared" ca="1" si="84"/>
        <v>0</v>
      </c>
      <c r="H160" s="165">
        <f t="shared" ca="1" si="84"/>
        <v>0</v>
      </c>
      <c r="I160" s="165">
        <f t="shared" ca="1" si="84"/>
        <v>0</v>
      </c>
      <c r="J160" s="165">
        <f t="shared" ca="1" si="84"/>
        <v>0</v>
      </c>
      <c r="K160" s="165">
        <f t="shared" ca="1" si="84"/>
        <v>0</v>
      </c>
      <c r="L160" s="165">
        <f t="shared" ca="1" si="84"/>
        <v>0</v>
      </c>
      <c r="M160" s="165">
        <f t="shared" ca="1" si="84"/>
        <v>0</v>
      </c>
      <c r="N160" s="165">
        <f t="shared" ca="1" si="84"/>
        <v>0</v>
      </c>
      <c r="O160" s="165">
        <f t="shared" ca="1" si="84"/>
        <v>0</v>
      </c>
      <c r="P160" s="165">
        <f t="shared" ca="1" si="84"/>
        <v>0</v>
      </c>
      <c r="Q160" s="165">
        <f t="shared" ca="1" si="84"/>
        <v>0</v>
      </c>
      <c r="R160" s="165">
        <f t="shared" ca="1" si="84"/>
        <v>0</v>
      </c>
      <c r="S160" s="165">
        <f t="shared" ca="1" si="84"/>
        <v>0</v>
      </c>
      <c r="T160" s="165">
        <f t="shared" ca="1" si="84"/>
        <v>0</v>
      </c>
      <c r="U160" s="165">
        <f t="shared" ca="1" si="84"/>
        <v>0</v>
      </c>
      <c r="V160" s="165">
        <f t="shared" ca="1" si="84"/>
        <v>0</v>
      </c>
      <c r="W160" s="165">
        <f t="shared" ca="1" si="84"/>
        <v>0</v>
      </c>
      <c r="X160" s="165">
        <f t="shared" ca="1" si="84"/>
        <v>0</v>
      </c>
      <c r="Y160" s="165">
        <f t="shared" ca="1" si="84"/>
        <v>0</v>
      </c>
      <c r="Z160" s="165">
        <f t="shared" ca="1" si="84"/>
        <v>0</v>
      </c>
      <c r="AA160" s="165">
        <f t="shared" ca="1" si="84"/>
        <v>0</v>
      </c>
      <c r="AB160" s="165">
        <f t="shared" ca="1" si="84"/>
        <v>0</v>
      </c>
      <c r="AC160" s="165">
        <f t="shared" ca="1" si="84"/>
        <v>0</v>
      </c>
      <c r="AD160" s="165">
        <f t="shared" ca="1" si="84"/>
        <v>0</v>
      </c>
      <c r="AE160" s="165">
        <f t="shared" ca="1" si="84"/>
        <v>0</v>
      </c>
      <c r="AF160" s="165">
        <f t="shared" ca="1" si="84"/>
        <v>0</v>
      </c>
      <c r="AG160" s="165">
        <f t="shared" ca="1" si="84"/>
        <v>0</v>
      </c>
      <c r="AH160" s="165">
        <f t="shared" ca="1" si="84"/>
        <v>0</v>
      </c>
      <c r="AI160" s="165">
        <f t="shared" ca="1" si="84"/>
        <v>0</v>
      </c>
      <c r="AJ160" s="165">
        <f t="shared" ca="1" si="84"/>
        <v>0</v>
      </c>
      <c r="AK160" s="165">
        <f t="shared" ca="1" si="84"/>
        <v>0</v>
      </c>
      <c r="AL160" s="165">
        <f t="shared" ca="1" si="84"/>
        <v>0</v>
      </c>
      <c r="AM160" s="165">
        <f t="shared" ca="1" si="84"/>
        <v>0</v>
      </c>
      <c r="AN160" s="165">
        <f t="shared" ca="1" si="84"/>
        <v>0</v>
      </c>
      <c r="AO160" s="165">
        <f t="shared" ca="1" si="84"/>
        <v>0</v>
      </c>
      <c r="AP160" s="165">
        <f t="shared" ca="1" si="84"/>
        <v>0</v>
      </c>
      <c r="AQ160" s="165">
        <f t="shared" ca="1" si="84"/>
        <v>0</v>
      </c>
      <c r="AR160" s="165">
        <f t="shared" ca="1" si="84"/>
        <v>0</v>
      </c>
      <c r="AS160" s="165">
        <f t="shared" ca="1" si="84"/>
        <v>0</v>
      </c>
      <c r="AT160" s="165">
        <f t="shared" ca="1" si="84"/>
        <v>0</v>
      </c>
      <c r="AU160" s="165">
        <f t="shared" ca="1" si="84"/>
        <v>0</v>
      </c>
      <c r="AV160" s="165">
        <f t="shared" ca="1" si="84"/>
        <v>0</v>
      </c>
      <c r="AW160" s="165">
        <f t="shared" ca="1" si="84"/>
        <v>0</v>
      </c>
      <c r="AX160" s="165">
        <f t="shared" ca="1" si="84"/>
        <v>0</v>
      </c>
      <c r="AY160" s="165">
        <f t="shared" ca="1" si="84"/>
        <v>0</v>
      </c>
      <c r="AZ160" s="165">
        <f t="shared" ca="1" si="84"/>
        <v>0</v>
      </c>
      <c r="BA160" s="165">
        <f t="shared" ca="1" si="84"/>
        <v>0</v>
      </c>
      <c r="BB160" s="165">
        <f t="shared" ca="1" si="84"/>
        <v>0</v>
      </c>
      <c r="BC160" s="165">
        <f t="shared" ca="1" si="84"/>
        <v>0</v>
      </c>
      <c r="BD160" s="165">
        <f t="shared" ca="1" si="84"/>
        <v>0</v>
      </c>
      <c r="BE160" s="165">
        <f t="shared" ca="1" si="84"/>
        <v>0</v>
      </c>
      <c r="BF160" s="165">
        <f t="shared" ca="1" si="84"/>
        <v>0</v>
      </c>
      <c r="BG160" s="165">
        <f t="shared" ca="1" si="84"/>
        <v>0</v>
      </c>
      <c r="BH160" s="165">
        <f t="shared" ca="1" si="84"/>
        <v>0</v>
      </c>
      <c r="BI160" s="165">
        <f t="shared" ca="1" si="84"/>
        <v>0</v>
      </c>
      <c r="BJ160" s="165">
        <f t="shared" ca="1" si="84"/>
        <v>0</v>
      </c>
      <c r="BK160" s="165">
        <f t="shared" ca="1" si="84"/>
        <v>0</v>
      </c>
      <c r="BL160" s="165">
        <f t="shared" ca="1" si="84"/>
        <v>0</v>
      </c>
      <c r="BM160" s="165">
        <f t="shared" ca="1" si="84"/>
        <v>0</v>
      </c>
      <c r="BN160" s="165">
        <f t="shared" ca="1" si="84"/>
        <v>0</v>
      </c>
      <c r="BO160" s="165">
        <f t="shared" ca="1" si="84"/>
        <v>0</v>
      </c>
      <c r="BP160" s="165">
        <f t="shared" ca="1" si="84"/>
        <v>0</v>
      </c>
      <c r="BQ160" s="165">
        <f t="shared" ca="1" si="84"/>
        <v>0</v>
      </c>
      <c r="BR160" s="165">
        <f t="shared" ca="1" si="84"/>
        <v>0</v>
      </c>
      <c r="BS160" s="165">
        <f t="shared" ca="1" si="84"/>
        <v>0</v>
      </c>
      <c r="BT160" s="165">
        <f t="shared" ca="1" si="84"/>
        <v>0</v>
      </c>
      <c r="BU160" s="165">
        <f t="shared" ca="1" si="84"/>
        <v>0</v>
      </c>
      <c r="BV160" s="165">
        <f t="shared" ca="1" si="84"/>
        <v>0</v>
      </c>
      <c r="BW160" s="165">
        <f t="shared" ca="1" si="84"/>
        <v>0</v>
      </c>
    </row>
    <row r="161" spans="1:75" ht="12.75" x14ac:dyDescent="0.2">
      <c r="A161" s="23" t="s">
        <v>391</v>
      </c>
      <c r="B161" s="221"/>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c r="AA161" s="165"/>
      <c r="AB161" s="165"/>
      <c r="AC161" s="165"/>
      <c r="AD161" s="165"/>
      <c r="AE161" s="165"/>
      <c r="AF161" s="165">
        <f t="shared" ref="AF161:BW161" ca="1" si="85">AF128-AE128</f>
        <v>0</v>
      </c>
      <c r="AG161" s="165">
        <f t="shared" ca="1" si="85"/>
        <v>0</v>
      </c>
      <c r="AH161" s="165">
        <f t="shared" ca="1" si="85"/>
        <v>0</v>
      </c>
      <c r="AI161" s="165">
        <f t="shared" ca="1" si="85"/>
        <v>0</v>
      </c>
      <c r="AJ161" s="165">
        <f t="shared" ca="1" si="85"/>
        <v>0</v>
      </c>
      <c r="AK161" s="165">
        <f t="shared" ca="1" si="85"/>
        <v>0</v>
      </c>
      <c r="AL161" s="165">
        <f t="shared" ca="1" si="85"/>
        <v>0</v>
      </c>
      <c r="AM161" s="165">
        <f t="shared" ca="1" si="85"/>
        <v>0</v>
      </c>
      <c r="AN161" s="165">
        <f t="shared" ca="1" si="85"/>
        <v>0</v>
      </c>
      <c r="AO161" s="165">
        <f t="shared" ca="1" si="85"/>
        <v>0</v>
      </c>
      <c r="AP161" s="165">
        <f t="shared" ca="1" si="85"/>
        <v>0</v>
      </c>
      <c r="AQ161" s="165">
        <f t="shared" ca="1" si="85"/>
        <v>0</v>
      </c>
      <c r="AR161" s="165">
        <f t="shared" ca="1" si="85"/>
        <v>0</v>
      </c>
      <c r="AS161" s="165">
        <f t="shared" ca="1" si="85"/>
        <v>0</v>
      </c>
      <c r="AT161" s="165">
        <f t="shared" ca="1" si="85"/>
        <v>0</v>
      </c>
      <c r="AU161" s="165">
        <f t="shared" ca="1" si="85"/>
        <v>0</v>
      </c>
      <c r="AV161" s="165">
        <f t="shared" ca="1" si="85"/>
        <v>0</v>
      </c>
      <c r="AW161" s="165">
        <f t="shared" ca="1" si="85"/>
        <v>0</v>
      </c>
      <c r="AX161" s="165">
        <f t="shared" ca="1" si="85"/>
        <v>0</v>
      </c>
      <c r="AY161" s="165">
        <f t="shared" ca="1" si="85"/>
        <v>0</v>
      </c>
      <c r="AZ161" s="165">
        <f t="shared" ca="1" si="85"/>
        <v>0</v>
      </c>
      <c r="BA161" s="165">
        <f t="shared" ca="1" si="85"/>
        <v>0</v>
      </c>
      <c r="BB161" s="165">
        <f t="shared" ca="1" si="85"/>
        <v>0</v>
      </c>
      <c r="BC161" s="165">
        <f t="shared" ca="1" si="85"/>
        <v>0</v>
      </c>
      <c r="BD161" s="165">
        <f t="shared" ca="1" si="85"/>
        <v>0</v>
      </c>
      <c r="BE161" s="165">
        <f t="shared" ca="1" si="85"/>
        <v>0</v>
      </c>
      <c r="BF161" s="165">
        <f t="shared" ca="1" si="85"/>
        <v>0</v>
      </c>
      <c r="BG161" s="165">
        <f t="shared" ca="1" si="85"/>
        <v>0</v>
      </c>
      <c r="BH161" s="165">
        <f t="shared" ca="1" si="85"/>
        <v>0</v>
      </c>
      <c r="BI161" s="165">
        <f t="shared" ca="1" si="85"/>
        <v>0</v>
      </c>
      <c r="BJ161" s="165">
        <f t="shared" ca="1" si="85"/>
        <v>0</v>
      </c>
      <c r="BK161" s="165">
        <f t="shared" ca="1" si="85"/>
        <v>0</v>
      </c>
      <c r="BL161" s="165">
        <f t="shared" ca="1" si="85"/>
        <v>0</v>
      </c>
      <c r="BM161" s="165">
        <f t="shared" ca="1" si="85"/>
        <v>0</v>
      </c>
      <c r="BN161" s="165">
        <f t="shared" ca="1" si="85"/>
        <v>0</v>
      </c>
      <c r="BO161" s="165">
        <f t="shared" ca="1" si="85"/>
        <v>0</v>
      </c>
      <c r="BP161" s="165" t="e">
        <f t="shared" ca="1" si="85"/>
        <v>#N/A</v>
      </c>
      <c r="BQ161" s="165" t="e">
        <f t="shared" si="85"/>
        <v>#N/A</v>
      </c>
      <c r="BR161" s="165" t="e">
        <f t="shared" si="85"/>
        <v>#N/A</v>
      </c>
      <c r="BS161" s="165" t="e">
        <f t="shared" si="85"/>
        <v>#N/A</v>
      </c>
      <c r="BT161" s="165" t="e">
        <f t="shared" si="85"/>
        <v>#N/A</v>
      </c>
      <c r="BU161" s="165" t="e">
        <f t="shared" si="85"/>
        <v>#N/A</v>
      </c>
      <c r="BV161" s="165" t="e">
        <f t="shared" si="85"/>
        <v>#N/A</v>
      </c>
      <c r="BW161" s="165" t="e">
        <f t="shared" si="85"/>
        <v>#N/A</v>
      </c>
    </row>
    <row r="162" spans="1:75" ht="12.75" x14ac:dyDescent="0.2">
      <c r="A162" s="23" t="s">
        <v>392</v>
      </c>
      <c r="B162" s="221"/>
      <c r="D162" s="165">
        <f t="shared" ref="D162:BW162" ca="1" si="86">D129-C129</f>
        <v>-239</v>
      </c>
      <c r="E162" s="165">
        <f t="shared" ca="1" si="86"/>
        <v>-113</v>
      </c>
      <c r="F162" s="165">
        <f t="shared" ca="1" si="86"/>
        <v>0</v>
      </c>
      <c r="G162" s="165">
        <f t="shared" ca="1" si="86"/>
        <v>0</v>
      </c>
      <c r="H162" s="165">
        <f t="shared" ca="1" si="86"/>
        <v>0</v>
      </c>
      <c r="I162" s="165">
        <f t="shared" ca="1" si="86"/>
        <v>0</v>
      </c>
      <c r="J162" s="165">
        <f t="shared" ca="1" si="86"/>
        <v>0</v>
      </c>
      <c r="K162" s="165">
        <f t="shared" ca="1" si="86"/>
        <v>0</v>
      </c>
      <c r="L162" s="165">
        <f t="shared" ca="1" si="86"/>
        <v>0</v>
      </c>
      <c r="M162" s="165">
        <f t="shared" ca="1" si="86"/>
        <v>0</v>
      </c>
      <c r="N162" s="165">
        <f t="shared" ca="1" si="86"/>
        <v>0</v>
      </c>
      <c r="O162" s="165">
        <f t="shared" ca="1" si="86"/>
        <v>0</v>
      </c>
      <c r="P162" s="165">
        <f t="shared" ca="1" si="86"/>
        <v>0</v>
      </c>
      <c r="Q162" s="165">
        <f t="shared" ca="1" si="86"/>
        <v>0</v>
      </c>
      <c r="R162" s="165">
        <f t="shared" ca="1" si="86"/>
        <v>0</v>
      </c>
      <c r="S162" s="165">
        <f t="shared" ca="1" si="86"/>
        <v>0</v>
      </c>
      <c r="T162" s="165">
        <f t="shared" ca="1" si="86"/>
        <v>0</v>
      </c>
      <c r="U162" s="165">
        <f t="shared" ca="1" si="86"/>
        <v>0</v>
      </c>
      <c r="V162" s="165">
        <f t="shared" ca="1" si="86"/>
        <v>0</v>
      </c>
      <c r="W162" s="165">
        <f t="shared" ca="1" si="86"/>
        <v>0</v>
      </c>
      <c r="X162" s="165">
        <f t="shared" ca="1" si="86"/>
        <v>0</v>
      </c>
      <c r="Y162" s="165">
        <f t="shared" ca="1" si="86"/>
        <v>0</v>
      </c>
      <c r="Z162" s="165">
        <f t="shared" ca="1" si="86"/>
        <v>0</v>
      </c>
      <c r="AA162" s="165">
        <f t="shared" ca="1" si="86"/>
        <v>0</v>
      </c>
      <c r="AB162" s="165">
        <f t="shared" ca="1" si="86"/>
        <v>0</v>
      </c>
      <c r="AC162" s="165">
        <f t="shared" ca="1" si="86"/>
        <v>0</v>
      </c>
      <c r="AD162" s="165">
        <f t="shared" ca="1" si="86"/>
        <v>0</v>
      </c>
      <c r="AE162" s="165">
        <f t="shared" ca="1" si="86"/>
        <v>0</v>
      </c>
      <c r="AF162" s="165">
        <f t="shared" ca="1" si="86"/>
        <v>0</v>
      </c>
      <c r="AG162" s="165">
        <f t="shared" ca="1" si="86"/>
        <v>0</v>
      </c>
      <c r="AH162" s="165">
        <f t="shared" ca="1" si="86"/>
        <v>0</v>
      </c>
      <c r="AI162" s="165">
        <f t="shared" ca="1" si="86"/>
        <v>0</v>
      </c>
      <c r="AJ162" s="165">
        <f t="shared" ca="1" si="86"/>
        <v>0</v>
      </c>
      <c r="AK162" s="165">
        <f t="shared" ca="1" si="86"/>
        <v>0</v>
      </c>
      <c r="AL162" s="165">
        <f t="shared" ca="1" si="86"/>
        <v>0</v>
      </c>
      <c r="AM162" s="165">
        <f t="shared" ca="1" si="86"/>
        <v>0</v>
      </c>
      <c r="AN162" s="165">
        <f t="shared" ca="1" si="86"/>
        <v>0</v>
      </c>
      <c r="AO162" s="165">
        <f t="shared" ca="1" si="86"/>
        <v>0</v>
      </c>
      <c r="AP162" s="165">
        <f t="shared" ca="1" si="86"/>
        <v>0</v>
      </c>
      <c r="AQ162" s="165">
        <f t="shared" ca="1" si="86"/>
        <v>0</v>
      </c>
      <c r="AR162" s="165">
        <f t="shared" ca="1" si="86"/>
        <v>0</v>
      </c>
      <c r="AS162" s="165">
        <f t="shared" ca="1" si="86"/>
        <v>0</v>
      </c>
      <c r="AT162" s="165">
        <f t="shared" ca="1" si="86"/>
        <v>0</v>
      </c>
      <c r="AU162" s="165">
        <f t="shared" ca="1" si="86"/>
        <v>0</v>
      </c>
      <c r="AV162" s="165">
        <f t="shared" ca="1" si="86"/>
        <v>0</v>
      </c>
      <c r="AW162" s="165">
        <f t="shared" ca="1" si="86"/>
        <v>0</v>
      </c>
      <c r="AX162" s="165">
        <f t="shared" ca="1" si="86"/>
        <v>0</v>
      </c>
      <c r="AY162" s="165">
        <f t="shared" ca="1" si="86"/>
        <v>0</v>
      </c>
      <c r="AZ162" s="165">
        <f t="shared" ca="1" si="86"/>
        <v>0</v>
      </c>
      <c r="BA162" s="165">
        <f t="shared" ca="1" si="86"/>
        <v>0</v>
      </c>
      <c r="BB162" s="165">
        <f t="shared" ca="1" si="86"/>
        <v>0</v>
      </c>
      <c r="BC162" s="165">
        <f t="shared" ca="1" si="86"/>
        <v>0</v>
      </c>
      <c r="BD162" s="165">
        <f t="shared" ca="1" si="86"/>
        <v>0</v>
      </c>
      <c r="BE162" s="165">
        <f t="shared" ca="1" si="86"/>
        <v>0</v>
      </c>
      <c r="BF162" s="165">
        <f t="shared" ca="1" si="86"/>
        <v>0</v>
      </c>
      <c r="BG162" s="165">
        <f t="shared" ca="1" si="86"/>
        <v>0</v>
      </c>
      <c r="BH162" s="165">
        <f t="shared" ca="1" si="86"/>
        <v>0</v>
      </c>
      <c r="BI162" s="165">
        <f t="shared" ca="1" si="86"/>
        <v>0</v>
      </c>
      <c r="BJ162" s="165">
        <f t="shared" ca="1" si="86"/>
        <v>0</v>
      </c>
      <c r="BK162" s="165">
        <f t="shared" ca="1" si="86"/>
        <v>0</v>
      </c>
      <c r="BL162" s="165">
        <f t="shared" ca="1" si="86"/>
        <v>0</v>
      </c>
      <c r="BM162" s="165">
        <f t="shared" ca="1" si="86"/>
        <v>0</v>
      </c>
      <c r="BN162" s="165">
        <f t="shared" ca="1" si="86"/>
        <v>0</v>
      </c>
      <c r="BO162" s="165">
        <f t="shared" ca="1" si="86"/>
        <v>0</v>
      </c>
      <c r="BP162" s="165">
        <f t="shared" ca="1" si="86"/>
        <v>0</v>
      </c>
      <c r="BQ162" s="165">
        <f t="shared" ca="1" si="86"/>
        <v>0</v>
      </c>
      <c r="BR162" s="165">
        <f t="shared" ca="1" si="86"/>
        <v>0</v>
      </c>
      <c r="BS162" s="165">
        <f t="shared" ca="1" si="86"/>
        <v>0</v>
      </c>
      <c r="BT162" s="165">
        <f t="shared" ca="1" si="86"/>
        <v>0</v>
      </c>
      <c r="BU162" s="165">
        <f t="shared" ca="1" si="86"/>
        <v>0</v>
      </c>
      <c r="BV162" s="165">
        <f t="shared" ca="1" si="86"/>
        <v>0</v>
      </c>
      <c r="BW162" s="165">
        <f t="shared" ca="1" si="86"/>
        <v>0</v>
      </c>
    </row>
    <row r="163" spans="1:75" ht="12.75" x14ac:dyDescent="0.2">
      <c r="A163" s="60" t="s">
        <v>393</v>
      </c>
      <c r="B163" s="238"/>
      <c r="C163" s="212"/>
      <c r="D163" s="213">
        <f t="shared" ref="D163:BW163" ca="1" si="87">SUM(D157:D162)</f>
        <v>118</v>
      </c>
      <c r="E163" s="213">
        <f t="shared" ca="1" si="87"/>
        <v>-2226</v>
      </c>
      <c r="F163" s="213">
        <f t="shared" ca="1" si="87"/>
        <v>0</v>
      </c>
      <c r="G163" s="213">
        <f t="shared" ca="1" si="87"/>
        <v>0</v>
      </c>
      <c r="H163" s="213">
        <f t="shared" ca="1" si="87"/>
        <v>0</v>
      </c>
      <c r="I163" s="213">
        <f t="shared" ca="1" si="87"/>
        <v>0</v>
      </c>
      <c r="J163" s="213">
        <f t="shared" ca="1" si="87"/>
        <v>0</v>
      </c>
      <c r="K163" s="213">
        <f t="shared" ca="1" si="87"/>
        <v>0</v>
      </c>
      <c r="L163" s="213">
        <f t="shared" ca="1" si="87"/>
        <v>0</v>
      </c>
      <c r="M163" s="213">
        <f t="shared" ca="1" si="87"/>
        <v>0</v>
      </c>
      <c r="N163" s="213">
        <f t="shared" ca="1" si="87"/>
        <v>0</v>
      </c>
      <c r="O163" s="213">
        <f t="shared" ca="1" si="87"/>
        <v>0</v>
      </c>
      <c r="P163" s="213">
        <f t="shared" ca="1" si="87"/>
        <v>0</v>
      </c>
      <c r="Q163" s="213">
        <f t="shared" ca="1" si="87"/>
        <v>0</v>
      </c>
      <c r="R163" s="213">
        <f t="shared" ca="1" si="87"/>
        <v>0</v>
      </c>
      <c r="S163" s="213">
        <f t="shared" ca="1" si="87"/>
        <v>0</v>
      </c>
      <c r="T163" s="213">
        <f t="shared" ca="1" si="87"/>
        <v>0</v>
      </c>
      <c r="U163" s="213">
        <f t="shared" ca="1" si="87"/>
        <v>0</v>
      </c>
      <c r="V163" s="213">
        <f t="shared" ca="1" si="87"/>
        <v>0</v>
      </c>
      <c r="W163" s="213">
        <f t="shared" ca="1" si="87"/>
        <v>0</v>
      </c>
      <c r="X163" s="213">
        <f t="shared" ca="1" si="87"/>
        <v>0</v>
      </c>
      <c r="Y163" s="213">
        <f t="shared" ca="1" si="87"/>
        <v>0</v>
      </c>
      <c r="Z163" s="213">
        <f t="shared" ca="1" si="87"/>
        <v>0</v>
      </c>
      <c r="AA163" s="213">
        <f t="shared" ca="1" si="87"/>
        <v>0</v>
      </c>
      <c r="AB163" s="213">
        <f t="shared" ca="1" si="87"/>
        <v>0</v>
      </c>
      <c r="AC163" s="213">
        <f t="shared" ca="1" si="87"/>
        <v>0</v>
      </c>
      <c r="AD163" s="213">
        <f t="shared" ca="1" si="87"/>
        <v>0</v>
      </c>
      <c r="AE163" s="213">
        <f t="shared" ca="1" si="87"/>
        <v>0</v>
      </c>
      <c r="AF163" s="213">
        <f t="shared" ca="1" si="87"/>
        <v>0</v>
      </c>
      <c r="AG163" s="213">
        <f t="shared" ca="1" si="87"/>
        <v>0</v>
      </c>
      <c r="AH163" s="213">
        <f t="shared" ca="1" si="87"/>
        <v>0</v>
      </c>
      <c r="AI163" s="213">
        <f t="shared" ca="1" si="87"/>
        <v>0</v>
      </c>
      <c r="AJ163" s="213">
        <f t="shared" ca="1" si="87"/>
        <v>0</v>
      </c>
      <c r="AK163" s="213">
        <f t="shared" ca="1" si="87"/>
        <v>0</v>
      </c>
      <c r="AL163" s="213">
        <f t="shared" ca="1" si="87"/>
        <v>0</v>
      </c>
      <c r="AM163" s="213">
        <f t="shared" ca="1" si="87"/>
        <v>0</v>
      </c>
      <c r="AN163" s="213">
        <f t="shared" ca="1" si="87"/>
        <v>0</v>
      </c>
      <c r="AO163" s="213">
        <f t="shared" ca="1" si="87"/>
        <v>0</v>
      </c>
      <c r="AP163" s="213">
        <f t="shared" ca="1" si="87"/>
        <v>0</v>
      </c>
      <c r="AQ163" s="213">
        <f t="shared" ca="1" si="87"/>
        <v>0</v>
      </c>
      <c r="AR163" s="213">
        <f t="shared" ca="1" si="87"/>
        <v>0</v>
      </c>
      <c r="AS163" s="213">
        <f t="shared" ca="1" si="87"/>
        <v>0</v>
      </c>
      <c r="AT163" s="213">
        <f t="shared" ca="1" si="87"/>
        <v>0</v>
      </c>
      <c r="AU163" s="213">
        <f t="shared" ca="1" si="87"/>
        <v>0</v>
      </c>
      <c r="AV163" s="213">
        <f t="shared" ca="1" si="87"/>
        <v>0</v>
      </c>
      <c r="AW163" s="213">
        <f t="shared" ca="1" si="87"/>
        <v>0</v>
      </c>
      <c r="AX163" s="213">
        <f t="shared" ca="1" si="87"/>
        <v>0</v>
      </c>
      <c r="AY163" s="213">
        <f t="shared" ca="1" si="87"/>
        <v>0</v>
      </c>
      <c r="AZ163" s="213">
        <f t="shared" ca="1" si="87"/>
        <v>0</v>
      </c>
      <c r="BA163" s="213">
        <f t="shared" ca="1" si="87"/>
        <v>0</v>
      </c>
      <c r="BB163" s="213">
        <f t="shared" ca="1" si="87"/>
        <v>0</v>
      </c>
      <c r="BC163" s="213">
        <f t="shared" ca="1" si="87"/>
        <v>0</v>
      </c>
      <c r="BD163" s="213">
        <f t="shared" ca="1" si="87"/>
        <v>0</v>
      </c>
      <c r="BE163" s="213">
        <f t="shared" ca="1" si="87"/>
        <v>0</v>
      </c>
      <c r="BF163" s="213">
        <f t="shared" ca="1" si="87"/>
        <v>0</v>
      </c>
      <c r="BG163" s="213">
        <f t="shared" ca="1" si="87"/>
        <v>0</v>
      </c>
      <c r="BH163" s="213">
        <f t="shared" ca="1" si="87"/>
        <v>0</v>
      </c>
      <c r="BI163" s="213">
        <f t="shared" ca="1" si="87"/>
        <v>0</v>
      </c>
      <c r="BJ163" s="213">
        <f t="shared" ca="1" si="87"/>
        <v>0</v>
      </c>
      <c r="BK163" s="213">
        <f t="shared" ca="1" si="87"/>
        <v>0</v>
      </c>
      <c r="BL163" s="213">
        <f t="shared" ca="1" si="87"/>
        <v>0</v>
      </c>
      <c r="BM163" s="213">
        <f t="shared" ca="1" si="87"/>
        <v>0</v>
      </c>
      <c r="BN163" s="213">
        <f t="shared" ca="1" si="87"/>
        <v>0</v>
      </c>
      <c r="BO163" s="213">
        <f t="shared" ca="1" si="87"/>
        <v>0</v>
      </c>
      <c r="BP163" s="213" t="e">
        <f t="shared" ca="1" si="87"/>
        <v>#N/A</v>
      </c>
      <c r="BQ163" s="213" t="e">
        <f t="shared" ca="1" si="87"/>
        <v>#N/A</v>
      </c>
      <c r="BR163" s="213" t="e">
        <f t="shared" ca="1" si="87"/>
        <v>#N/A</v>
      </c>
      <c r="BS163" s="213" t="e">
        <f t="shared" ca="1" si="87"/>
        <v>#N/A</v>
      </c>
      <c r="BT163" s="213" t="e">
        <f t="shared" ca="1" si="87"/>
        <v>#N/A</v>
      </c>
      <c r="BU163" s="213" t="e">
        <f t="shared" ca="1" si="87"/>
        <v>#N/A</v>
      </c>
      <c r="BV163" s="213" t="e">
        <f t="shared" ca="1" si="87"/>
        <v>#N/A</v>
      </c>
      <c r="BW163" s="213" t="e">
        <f t="shared" ca="1" si="87"/>
        <v>#N/A</v>
      </c>
    </row>
    <row r="164" spans="1:75" ht="12.75" x14ac:dyDescent="0.2">
      <c r="A164" s="256" t="s">
        <v>394</v>
      </c>
      <c r="B164" s="238"/>
      <c r="C164" s="212"/>
      <c r="D164" s="213">
        <f t="shared" ref="D164:BW164" ca="1" si="88">SUM(D163,D156)</f>
        <v>-89320</v>
      </c>
      <c r="E164" s="213">
        <f t="shared" ca="1" si="88"/>
        <v>-90350</v>
      </c>
      <c r="F164" s="213">
        <f t="shared" ca="1" si="88"/>
        <v>-102956</v>
      </c>
      <c r="G164" s="213">
        <f t="shared" ca="1" si="88"/>
        <v>-94595</v>
      </c>
      <c r="H164" s="213">
        <f t="shared" ca="1" si="88"/>
        <v>-82065</v>
      </c>
      <c r="I164" s="213">
        <f t="shared" ca="1" si="88"/>
        <v>-78132</v>
      </c>
      <c r="J164" s="213">
        <f t="shared" ca="1" si="88"/>
        <v>-94045</v>
      </c>
      <c r="K164" s="213">
        <f t="shared" ca="1" si="88"/>
        <v>-89766</v>
      </c>
      <c r="L164" s="213">
        <f t="shared" ca="1" si="88"/>
        <v>-114445</v>
      </c>
      <c r="M164" s="213">
        <f t="shared" ca="1" si="88"/>
        <v>-131881</v>
      </c>
      <c r="N164" s="213">
        <f t="shared" ca="1" si="88"/>
        <v>-140597</v>
      </c>
      <c r="O164" s="213">
        <f t="shared" ca="1" si="88"/>
        <v>-177194</v>
      </c>
      <c r="P164" s="213">
        <f t="shared" ca="1" si="88"/>
        <v>-177124</v>
      </c>
      <c r="Q164" s="213">
        <f t="shared" ca="1" si="88"/>
        <v>-189575</v>
      </c>
      <c r="R164" s="213">
        <f t="shared" ca="1" si="88"/>
        <v>-184131</v>
      </c>
      <c r="S164" s="213">
        <f t="shared" ca="1" si="88"/>
        <v>-128941</v>
      </c>
      <c r="T164" s="213">
        <f t="shared" ca="1" si="88"/>
        <v>-151754</v>
      </c>
      <c r="U164" s="213">
        <f t="shared" ca="1" si="88"/>
        <v>-122283</v>
      </c>
      <c r="V164" s="213">
        <f t="shared" ca="1" si="88"/>
        <v>-102474</v>
      </c>
      <c r="W164" s="213">
        <f t="shared" ca="1" si="88"/>
        <v>-82495</v>
      </c>
      <c r="X164" s="213">
        <f t="shared" ca="1" si="88"/>
        <v>-60038</v>
      </c>
      <c r="Y164" s="213">
        <f t="shared" ca="1" si="88"/>
        <v>-27320</v>
      </c>
      <c r="Z164" s="213">
        <f t="shared" ca="1" si="88"/>
        <v>-18905</v>
      </c>
      <c r="AA164" s="213">
        <f t="shared" ca="1" si="88"/>
        <v>-24211</v>
      </c>
      <c r="AB164" s="213">
        <f t="shared" ca="1" si="88"/>
        <v>-13824</v>
      </c>
      <c r="AC164" s="213">
        <f t="shared" ca="1" si="88"/>
        <v>-26169</v>
      </c>
      <c r="AD164" s="213">
        <f t="shared" ca="1" si="88"/>
        <v>8407.1899999999441</v>
      </c>
      <c r="AE164" s="213">
        <f t="shared" ca="1" si="88"/>
        <v>-117</v>
      </c>
      <c r="AF164" s="213">
        <f t="shared" ca="1" si="88"/>
        <v>71361.272841736441</v>
      </c>
      <c r="AG164" s="213">
        <f t="shared" ca="1" si="88"/>
        <v>42352.790587507654</v>
      </c>
      <c r="AH164" s="213">
        <f t="shared" ca="1" si="88"/>
        <v>24009.245411858778</v>
      </c>
      <c r="AI164" s="213">
        <f t="shared" ca="1" si="88"/>
        <v>21236.749603149481</v>
      </c>
      <c r="AJ164" s="213">
        <f t="shared" ca="1" si="88"/>
        <v>-8913.1736388280988</v>
      </c>
      <c r="AK164" s="213">
        <f t="shared" ca="1" si="88"/>
        <v>-17715.02036441362</v>
      </c>
      <c r="AL164" s="213">
        <f t="shared" ca="1" si="88"/>
        <v>-27169.104950513691</v>
      </c>
      <c r="AM164" s="213">
        <f t="shared" ca="1" si="88"/>
        <v>-35868.178680648562</v>
      </c>
      <c r="AN164" s="213">
        <f t="shared" ca="1" si="88"/>
        <v>-44861.504663905594</v>
      </c>
      <c r="AO164" s="213">
        <f t="shared" ca="1" si="88"/>
        <v>-53021.981902484316</v>
      </c>
      <c r="AP164" s="213">
        <f t="shared" ca="1" si="88"/>
        <v>-61530.060507574584</v>
      </c>
      <c r="AQ164" s="213">
        <f t="shared" ca="1" si="88"/>
        <v>-69231.399770826334</v>
      </c>
      <c r="AR164" s="213">
        <f t="shared" ca="1" si="88"/>
        <v>-76151.565669838688</v>
      </c>
      <c r="AS164" s="213">
        <f t="shared" ca="1" si="88"/>
        <v>-83444.15559429198</v>
      </c>
      <c r="AT164" s="213">
        <f t="shared" ca="1" si="88"/>
        <v>-89972.216468288447</v>
      </c>
      <c r="AU164" s="213">
        <f t="shared" ca="1" si="88"/>
        <v>-96886.175092146615</v>
      </c>
      <c r="AV164" s="213">
        <f t="shared" ca="1" si="88"/>
        <v>-103054.02454770228</v>
      </c>
      <c r="AW164" s="213">
        <f t="shared" ca="1" si="88"/>
        <v>-108495.295622773</v>
      </c>
      <c r="AX164" s="213">
        <f t="shared" ca="1" si="88"/>
        <v>-114358.86816822272</v>
      </c>
      <c r="AY164" s="213">
        <f t="shared" ca="1" si="88"/>
        <v>-119511.83627717709</v>
      </c>
      <c r="AZ164" s="213">
        <f t="shared" ca="1" si="88"/>
        <v>-82130.73565594689</v>
      </c>
      <c r="BA164" s="213">
        <f t="shared" ca="1" si="88"/>
        <v>-71670.299278036575</v>
      </c>
      <c r="BB164" s="213">
        <f t="shared" ca="1" si="88"/>
        <v>-58414.383553921478</v>
      </c>
      <c r="BC164" s="213">
        <f t="shared" ca="1" si="88"/>
        <v>-41610.511365838</v>
      </c>
      <c r="BD164" s="213">
        <f t="shared" ca="1" si="88"/>
        <v>-20527.328494268586</v>
      </c>
      <c r="BE164" s="213">
        <f t="shared" ca="1" si="88"/>
        <v>-3678.9390226850519</v>
      </c>
      <c r="BF164" s="213">
        <f t="shared" ca="1" si="88"/>
        <v>14860.671713188873</v>
      </c>
      <c r="BG164" s="213">
        <f t="shared" ca="1" si="88"/>
        <v>34803.763406352955</v>
      </c>
      <c r="BH164" s="213">
        <f t="shared" ca="1" si="88"/>
        <v>55590.920471203164</v>
      </c>
      <c r="BI164" s="213">
        <f t="shared" ca="1" si="88"/>
        <v>76325.610554155661</v>
      </c>
      <c r="BJ164" s="213">
        <f t="shared" ca="1" si="88"/>
        <v>98100.966526077478</v>
      </c>
      <c r="BK164" s="213">
        <f t="shared" ca="1" si="88"/>
        <v>120747.83691755636</v>
      </c>
      <c r="BL164" s="213">
        <f t="shared" ca="1" si="88"/>
        <v>144128.06767071027</v>
      </c>
      <c r="BM164" s="213">
        <f t="shared" ca="1" si="88"/>
        <v>168213.55830556049</v>
      </c>
      <c r="BN164" s="213">
        <f t="shared" ca="1" si="88"/>
        <v>193203.05963856424</v>
      </c>
      <c r="BO164" s="213">
        <f t="shared" ca="1" si="88"/>
        <v>219061.7428437334</v>
      </c>
      <c r="BP164" s="213" t="e">
        <f t="shared" ca="1" si="88"/>
        <v>#N/A</v>
      </c>
      <c r="BQ164" s="213" t="e">
        <f t="shared" ca="1" si="88"/>
        <v>#N/A</v>
      </c>
      <c r="BR164" s="213" t="e">
        <f t="shared" ca="1" si="88"/>
        <v>#N/A</v>
      </c>
      <c r="BS164" s="213" t="e">
        <f t="shared" ca="1" si="88"/>
        <v>#N/A</v>
      </c>
      <c r="BT164" s="213" t="e">
        <f t="shared" ca="1" si="88"/>
        <v>#N/A</v>
      </c>
      <c r="BU164" s="213" t="e">
        <f t="shared" ca="1" si="88"/>
        <v>#N/A</v>
      </c>
      <c r="BV164" s="213" t="e">
        <f t="shared" ca="1" si="88"/>
        <v>#N/A</v>
      </c>
      <c r="BW164" s="213" t="e">
        <f t="shared" ca="1" si="88"/>
        <v>#N/A</v>
      </c>
    </row>
    <row r="165" spans="1:75" ht="12.75" x14ac:dyDescent="0.2">
      <c r="A165" s="69" t="s">
        <v>244</v>
      </c>
      <c r="B165" s="221"/>
      <c r="D165" s="115">
        <f t="array" aca="1" ref="D165" ca="1">ROUND(INDEX(INDIRECT("CFS_"&amp;TEXT(D$1,"mmm")&amp;"_"&amp;TEXT(D$1,"yyyy")),MATCH(TRIM($A164),CFS_Accounts,0))-D164,2)</f>
        <v>0</v>
      </c>
      <c r="E165" s="115">
        <f t="array" aca="1" ref="E165" ca="1">ROUND(INDEX(INDIRECT("CFS_"&amp;TEXT(E$1,"mmm")&amp;"_"&amp;TEXT(E$1,"yyyy")),MATCH(TRIM($A164),CFS_Accounts,0))-E164,2)</f>
        <v>0</v>
      </c>
      <c r="F165" s="115">
        <f t="array" aca="1" ref="F165" ca="1">ROUND(INDEX(INDIRECT("CFS_"&amp;TEXT(F$1,"mmm")&amp;"_"&amp;TEXT(F$1,"yyyy")),MATCH(TRIM($A164),CFS_Accounts,0))-F164,2)</f>
        <v>0</v>
      </c>
      <c r="G165" s="115">
        <f t="array" aca="1" ref="G165" ca="1">ROUND(INDEX(INDIRECT("CFS_"&amp;TEXT(G$1,"mmm")&amp;"_"&amp;TEXT(G$1,"yyyy")),MATCH(TRIM($A164),CFS_Accounts,0))-G164,2)</f>
        <v>0</v>
      </c>
      <c r="H165" s="115">
        <f t="array" aca="1" ref="H165" ca="1">ROUND(INDEX(INDIRECT("CFS_"&amp;TEXT(H$1,"mmm")&amp;"_"&amp;TEXT(H$1,"yyyy")),MATCH(TRIM($A164),CFS_Accounts,0))-H164,2)</f>
        <v>0</v>
      </c>
      <c r="I165" s="115">
        <f t="array" aca="1" ref="I165" ca="1">ROUND(INDEX(INDIRECT("CFS_"&amp;TEXT(I$1,"mmm")&amp;"_"&amp;TEXT(I$1,"yyyy")),MATCH(TRIM($A164),CFS_Accounts,0))-I164,2)</f>
        <v>0</v>
      </c>
      <c r="J165" s="115">
        <f t="array" aca="1" ref="J165" ca="1">ROUND(INDEX(INDIRECT("CFS_"&amp;TEXT(J$1,"mmm")&amp;"_"&amp;TEXT(J$1,"yyyy")),MATCH(TRIM($A164),CFS_Accounts,0))-J164,2)</f>
        <v>0</v>
      </c>
      <c r="K165" s="115">
        <f t="array" aca="1" ref="K165" ca="1">ROUND(INDEX(INDIRECT("CFS_"&amp;TEXT(K$1,"mmm")&amp;"_"&amp;TEXT(K$1,"yyyy")),MATCH(TRIM($A164),CFS_Accounts,0))-K164,2)</f>
        <v>0</v>
      </c>
      <c r="L165" s="115">
        <f t="array" aca="1" ref="L165" ca="1">ROUND(INDEX(INDIRECT("CFS_"&amp;TEXT(L$1,"mmm")&amp;"_"&amp;TEXT(L$1,"yyyy")),MATCH(TRIM($A164),CFS_Accounts,0))-L164,2)</f>
        <v>0</v>
      </c>
      <c r="M165" s="115">
        <f t="array" aca="1" ref="M165" ca="1">ROUND(INDEX(INDIRECT("CFS_"&amp;TEXT(M$1,"mmm")&amp;"_"&amp;TEXT(M$1,"yyyy")),MATCH(TRIM($A164),CFS_Accounts,0))-M164,2)</f>
        <v>0</v>
      </c>
      <c r="N165" s="115">
        <f t="array" aca="1" ref="N165" ca="1">ROUND(INDEX(INDIRECT("CFS_"&amp;TEXT(N$1,"mmm")&amp;"_"&amp;TEXT(N$1,"yyyy")),MATCH(TRIM($A164),CFS_Accounts,0))-N164,2)</f>
        <v>0</v>
      </c>
      <c r="O165" s="115">
        <f t="array" aca="1" ref="O165" ca="1">ROUND(INDEX(INDIRECT("CFS_"&amp;TEXT(O$1,"mmm")&amp;"_"&amp;TEXT(O$1,"yyyy")),MATCH(TRIM($A164),CFS_Accounts,0))-O164,2)</f>
        <v>0</v>
      </c>
      <c r="P165" s="115">
        <f t="array" aca="1" ref="P165" ca="1">ROUND(INDEX(INDIRECT("CFS_"&amp;TEXT(P$1,"mmm")&amp;"_"&amp;TEXT(P$1,"yyyy")),MATCH(TRIM($A164),CFS_Accounts,0))-P164,2)</f>
        <v>0</v>
      </c>
      <c r="Q165" s="115">
        <f t="array" aca="1" ref="Q165" ca="1">ROUND(INDEX(INDIRECT("CFS_"&amp;TEXT(Q$1,"mmm")&amp;"_"&amp;TEXT(Q$1,"yyyy")),MATCH(TRIM($A164),CFS_Accounts,0))-Q164,2)</f>
        <v>0</v>
      </c>
      <c r="R165" s="115">
        <f t="array" aca="1" ref="R165" ca="1">ROUND(INDEX(INDIRECT("CFS_"&amp;TEXT(R$1,"mmm")&amp;"_"&amp;TEXT(R$1,"yyyy")),MATCH(TRIM($A164),CFS_Accounts,0))-R164,2)</f>
        <v>0</v>
      </c>
      <c r="S165" s="115">
        <f t="array" aca="1" ref="S165" ca="1">ROUND(INDEX(INDIRECT("CFS_"&amp;TEXT(S$1,"mmm")&amp;"_"&amp;TEXT(S$1,"yyyy")),MATCH(TRIM($A164),CFS_Accounts,0))-S164,2)</f>
        <v>0</v>
      </c>
      <c r="T165" s="115">
        <f t="array" aca="1" ref="T165" ca="1">ROUND(INDEX(INDIRECT("CFS_"&amp;TEXT(T$1,"mmm")&amp;"_"&amp;TEXT(T$1,"yyyy")),MATCH(TRIM($A164),CFS_Accounts,0))-T164,2)</f>
        <v>0</v>
      </c>
      <c r="U165" s="115">
        <f t="array" aca="1" ref="U165" ca="1">ROUND(INDEX(INDIRECT("CFS_"&amp;TEXT(U$1,"mmm")&amp;"_"&amp;TEXT(U$1,"yyyy")),MATCH(TRIM($A164),CFS_Accounts,0))-U164,2)</f>
        <v>0</v>
      </c>
      <c r="V165" s="115">
        <f t="array" aca="1" ref="V165" ca="1">ROUND(INDEX(INDIRECT("CFS_"&amp;TEXT(V$1,"mmm")&amp;"_"&amp;TEXT(V$1,"yyyy")),MATCH(TRIM($A164),CFS_Accounts,0))-V164,2)</f>
        <v>0</v>
      </c>
      <c r="W165" s="115">
        <f t="array" aca="1" ref="W165" ca="1">ROUND(INDEX(INDIRECT("CFS_"&amp;TEXT(W$1,"mmm")&amp;"_"&amp;TEXT(W$1,"yyyy")),MATCH(TRIM($A164),CFS_Accounts,0))-W164,2)</f>
        <v>0</v>
      </c>
      <c r="X165" s="115">
        <f t="array" aca="1" ref="X165" ca="1">ROUND(INDEX(INDIRECT("CFS_"&amp;TEXT(X$1,"mmm")&amp;"_"&amp;TEXT(X$1,"yyyy")),MATCH(TRIM($A164),CFS_Accounts,0))-X164,2)</f>
        <v>0</v>
      </c>
      <c r="Y165" s="115">
        <f t="array" aca="1" ref="Y165" ca="1">ROUND(INDEX(INDIRECT("CFS_"&amp;TEXT(Y$1,"mmm")&amp;"_"&amp;TEXT(Y$1,"yyyy")),MATCH(TRIM($A164),CFS_Accounts,0))-Y164,2)</f>
        <v>0</v>
      </c>
      <c r="Z165" s="115">
        <f t="array" aca="1" ref="Z165" ca="1">ROUND(INDEX(INDIRECT("CFS_"&amp;TEXT(Z$1,"mmm")&amp;"_"&amp;TEXT(Z$1,"yyyy")),MATCH(TRIM($A164),CFS_Accounts,0))-Z164,2)</f>
        <v>0</v>
      </c>
      <c r="AA165" s="115">
        <f t="array" aca="1" ref="AA165" ca="1">ROUND(INDEX(INDIRECT("CFS_"&amp;TEXT(AA$1,"mmm")&amp;"_"&amp;TEXT(AA$1,"yyyy")),MATCH(TRIM($A164),CFS_Accounts,0))-AA164,2)</f>
        <v>0</v>
      </c>
      <c r="AB165" s="115">
        <f t="array" aca="1" ref="AB165" ca="1">ROUND(INDEX(INDIRECT("CFS_"&amp;TEXT(AB$1,"mmm")&amp;"_"&amp;TEXT(AB$1,"yyyy")),MATCH(TRIM($A164),CFS_Accounts,0))-AB164,2)</f>
        <v>0</v>
      </c>
      <c r="AC165" s="115">
        <f t="array" aca="1" ref="AC165" ca="1">ROUND(INDEX(INDIRECT("CFS_"&amp;TEXT(AC$1,"mmm")&amp;"_"&amp;TEXT(AC$1,"yyyy")),MATCH(TRIM($A164),CFS_Accounts,0))-AC164,2)</f>
        <v>0</v>
      </c>
      <c r="AD165" s="115">
        <f t="array" aca="1" ref="AD165" ca="1">ROUND(INDEX(INDIRECT("CFS_"&amp;TEXT(AD$1,"mmm")&amp;"_"&amp;TEXT(AD$1,"yyyy")),MATCH(TRIM($A164),CFS_Accounts,0))-AD164,2)</f>
        <v>0</v>
      </c>
      <c r="AE165" s="115">
        <f t="array" aca="1" ref="AE165" ca="1">ROUND(INDEX(INDIRECT("CFS_"&amp;TEXT(AE$1,"mmm")&amp;"_"&amp;TEXT(AE$1,"yyyy")),MATCH(TRIM($A164),CFS_Accounts,0))-AE164,2)</f>
        <v>0</v>
      </c>
    </row>
    <row r="166" spans="1:75" ht="12.75" x14ac:dyDescent="0.2">
      <c r="A166" s="215" t="s">
        <v>395</v>
      </c>
      <c r="B166" s="221"/>
    </row>
    <row r="167" spans="1:75" ht="12.75" x14ac:dyDescent="0.2">
      <c r="A167" s="23" t="s">
        <v>396</v>
      </c>
      <c r="B167" s="221"/>
      <c r="D167" s="165">
        <f t="shared" ref="D167:BW167" ca="1" si="89">-D110+C110</f>
        <v>0</v>
      </c>
      <c r="E167" s="165">
        <f t="shared" ca="1" si="89"/>
        <v>0</v>
      </c>
      <c r="F167" s="165">
        <f t="shared" ca="1" si="89"/>
        <v>0</v>
      </c>
      <c r="G167" s="165">
        <f t="shared" ca="1" si="89"/>
        <v>0</v>
      </c>
      <c r="H167" s="165">
        <f t="shared" ca="1" si="89"/>
        <v>0</v>
      </c>
      <c r="I167" s="165">
        <f t="shared" ca="1" si="89"/>
        <v>0</v>
      </c>
      <c r="J167" s="165">
        <f t="shared" ca="1" si="89"/>
        <v>0</v>
      </c>
      <c r="K167" s="165">
        <f t="shared" ca="1" si="89"/>
        <v>0</v>
      </c>
      <c r="L167" s="165">
        <f t="shared" ca="1" si="89"/>
        <v>0</v>
      </c>
      <c r="M167" s="165">
        <f t="shared" ca="1" si="89"/>
        <v>0</v>
      </c>
      <c r="N167" s="165">
        <f t="shared" ca="1" si="89"/>
        <v>0</v>
      </c>
      <c r="O167" s="165">
        <f t="shared" ca="1" si="89"/>
        <v>0</v>
      </c>
      <c r="P167" s="165">
        <f t="shared" ca="1" si="89"/>
        <v>0</v>
      </c>
      <c r="Q167" s="165">
        <f t="shared" ca="1" si="89"/>
        <v>0</v>
      </c>
      <c r="R167" s="165">
        <f t="shared" ca="1" si="89"/>
        <v>0</v>
      </c>
      <c r="S167" s="165">
        <f t="shared" ca="1" si="89"/>
        <v>0</v>
      </c>
      <c r="T167" s="165">
        <f t="shared" ca="1" si="89"/>
        <v>0</v>
      </c>
      <c r="U167" s="165">
        <f t="shared" ca="1" si="89"/>
        <v>0</v>
      </c>
      <c r="V167" s="165">
        <f t="shared" ca="1" si="89"/>
        <v>0</v>
      </c>
      <c r="W167" s="165">
        <f t="shared" ca="1" si="89"/>
        <v>0</v>
      </c>
      <c r="X167" s="165">
        <f t="shared" ca="1" si="89"/>
        <v>0</v>
      </c>
      <c r="Y167" s="165">
        <f t="shared" ca="1" si="89"/>
        <v>0</v>
      </c>
      <c r="Z167" s="165">
        <f t="shared" ca="1" si="89"/>
        <v>0</v>
      </c>
      <c r="AA167" s="165">
        <f t="shared" ca="1" si="89"/>
        <v>0</v>
      </c>
      <c r="AB167" s="165">
        <f t="shared" ca="1" si="89"/>
        <v>0</v>
      </c>
      <c r="AC167" s="165">
        <f t="shared" ca="1" si="89"/>
        <v>0</v>
      </c>
      <c r="AD167" s="165">
        <f t="shared" ca="1" si="89"/>
        <v>0</v>
      </c>
      <c r="AE167" s="165">
        <f t="shared" ca="1" si="89"/>
        <v>0</v>
      </c>
      <c r="AF167" s="165">
        <f t="shared" ca="1" si="89"/>
        <v>0</v>
      </c>
      <c r="AG167" s="165">
        <f t="shared" ca="1" si="89"/>
        <v>0</v>
      </c>
      <c r="AH167" s="165">
        <f t="shared" ca="1" si="89"/>
        <v>0</v>
      </c>
      <c r="AI167" s="165">
        <f t="shared" ca="1" si="89"/>
        <v>0</v>
      </c>
      <c r="AJ167" s="165">
        <f t="shared" ca="1" si="89"/>
        <v>0</v>
      </c>
      <c r="AK167" s="165">
        <f t="shared" ca="1" si="89"/>
        <v>0</v>
      </c>
      <c r="AL167" s="165">
        <f t="shared" ca="1" si="89"/>
        <v>0</v>
      </c>
      <c r="AM167" s="165">
        <f t="shared" ca="1" si="89"/>
        <v>0</v>
      </c>
      <c r="AN167" s="165">
        <f t="shared" ca="1" si="89"/>
        <v>0</v>
      </c>
      <c r="AO167" s="165">
        <f t="shared" ca="1" si="89"/>
        <v>0</v>
      </c>
      <c r="AP167" s="165">
        <f t="shared" ca="1" si="89"/>
        <v>0</v>
      </c>
      <c r="AQ167" s="165">
        <f t="shared" ca="1" si="89"/>
        <v>0</v>
      </c>
      <c r="AR167" s="165">
        <f t="shared" ca="1" si="89"/>
        <v>0</v>
      </c>
      <c r="AS167" s="165">
        <f t="shared" ca="1" si="89"/>
        <v>0</v>
      </c>
      <c r="AT167" s="165">
        <f t="shared" ca="1" si="89"/>
        <v>0</v>
      </c>
      <c r="AU167" s="165">
        <f t="shared" ca="1" si="89"/>
        <v>0</v>
      </c>
      <c r="AV167" s="165">
        <f t="shared" ca="1" si="89"/>
        <v>0</v>
      </c>
      <c r="AW167" s="165">
        <f t="shared" ca="1" si="89"/>
        <v>0</v>
      </c>
      <c r="AX167" s="165">
        <f t="shared" ca="1" si="89"/>
        <v>0</v>
      </c>
      <c r="AY167" s="165">
        <f t="shared" ca="1" si="89"/>
        <v>0</v>
      </c>
      <c r="AZ167" s="165">
        <f t="shared" ca="1" si="89"/>
        <v>0</v>
      </c>
      <c r="BA167" s="165">
        <f t="shared" ca="1" si="89"/>
        <v>0</v>
      </c>
      <c r="BB167" s="165">
        <f t="shared" ca="1" si="89"/>
        <v>0</v>
      </c>
      <c r="BC167" s="165">
        <f t="shared" ca="1" si="89"/>
        <v>0</v>
      </c>
      <c r="BD167" s="165">
        <f t="shared" ca="1" si="89"/>
        <v>0</v>
      </c>
      <c r="BE167" s="165">
        <f t="shared" ca="1" si="89"/>
        <v>0</v>
      </c>
      <c r="BF167" s="165">
        <f t="shared" ca="1" si="89"/>
        <v>0</v>
      </c>
      <c r="BG167" s="165">
        <f t="shared" ca="1" si="89"/>
        <v>0</v>
      </c>
      <c r="BH167" s="165">
        <f t="shared" ca="1" si="89"/>
        <v>0</v>
      </c>
      <c r="BI167" s="165">
        <f t="shared" ca="1" si="89"/>
        <v>0</v>
      </c>
      <c r="BJ167" s="165">
        <f t="shared" ca="1" si="89"/>
        <v>0</v>
      </c>
      <c r="BK167" s="165">
        <f t="shared" ca="1" si="89"/>
        <v>0</v>
      </c>
      <c r="BL167" s="165">
        <f t="shared" ca="1" si="89"/>
        <v>0</v>
      </c>
      <c r="BM167" s="165">
        <f t="shared" ca="1" si="89"/>
        <v>0</v>
      </c>
      <c r="BN167" s="165">
        <f t="shared" ca="1" si="89"/>
        <v>0</v>
      </c>
      <c r="BO167" s="165">
        <f t="shared" ca="1" si="89"/>
        <v>0</v>
      </c>
      <c r="BP167" s="165">
        <f t="shared" ca="1" si="89"/>
        <v>0</v>
      </c>
      <c r="BQ167" s="165">
        <f t="shared" ca="1" si="89"/>
        <v>0</v>
      </c>
      <c r="BR167" s="165">
        <f t="shared" ca="1" si="89"/>
        <v>0</v>
      </c>
      <c r="BS167" s="165">
        <f t="shared" ca="1" si="89"/>
        <v>0</v>
      </c>
      <c r="BT167" s="165">
        <f t="shared" ca="1" si="89"/>
        <v>0</v>
      </c>
      <c r="BU167" s="165">
        <f t="shared" ca="1" si="89"/>
        <v>0</v>
      </c>
      <c r="BV167" s="165">
        <f t="shared" ca="1" si="89"/>
        <v>0</v>
      </c>
      <c r="BW167" s="165">
        <f t="shared" ca="1" si="89"/>
        <v>0</v>
      </c>
    </row>
    <row r="168" spans="1:75" ht="12.75" x14ac:dyDescent="0.2">
      <c r="A168" s="23" t="s">
        <v>397</v>
      </c>
      <c r="B168" s="221"/>
      <c r="D168" s="165">
        <f t="shared" ref="D168:BW168" ca="1" si="90">-D115+C115</f>
        <v>0</v>
      </c>
      <c r="E168" s="165">
        <f t="shared" ca="1" si="90"/>
        <v>0</v>
      </c>
      <c r="F168" s="165">
        <f t="shared" ca="1" si="90"/>
        <v>0</v>
      </c>
      <c r="G168" s="165">
        <f t="shared" ca="1" si="90"/>
        <v>0</v>
      </c>
      <c r="H168" s="165">
        <f t="shared" ca="1" si="90"/>
        <v>0</v>
      </c>
      <c r="I168" s="165">
        <f t="shared" ca="1" si="90"/>
        <v>0</v>
      </c>
      <c r="J168" s="165">
        <f t="shared" ca="1" si="90"/>
        <v>0</v>
      </c>
      <c r="K168" s="165">
        <f t="shared" ca="1" si="90"/>
        <v>0</v>
      </c>
      <c r="L168" s="165">
        <f t="shared" ca="1" si="90"/>
        <v>0</v>
      </c>
      <c r="M168" s="165">
        <f t="shared" ca="1" si="90"/>
        <v>0</v>
      </c>
      <c r="N168" s="165">
        <f t="shared" ca="1" si="90"/>
        <v>0</v>
      </c>
      <c r="O168" s="165">
        <f t="shared" ca="1" si="90"/>
        <v>0</v>
      </c>
      <c r="P168" s="165">
        <f t="shared" ca="1" si="90"/>
        <v>0</v>
      </c>
      <c r="Q168" s="165">
        <f t="shared" ca="1" si="90"/>
        <v>0</v>
      </c>
      <c r="R168" s="165">
        <f t="shared" ca="1" si="90"/>
        <v>0</v>
      </c>
      <c r="S168" s="165">
        <f t="shared" ca="1" si="90"/>
        <v>0</v>
      </c>
      <c r="T168" s="165">
        <f t="shared" ca="1" si="90"/>
        <v>0</v>
      </c>
      <c r="U168" s="165">
        <f t="shared" ca="1" si="90"/>
        <v>0</v>
      </c>
      <c r="V168" s="165">
        <f t="shared" ca="1" si="90"/>
        <v>0</v>
      </c>
      <c r="W168" s="165">
        <f t="shared" ca="1" si="90"/>
        <v>0</v>
      </c>
      <c r="X168" s="165">
        <f t="shared" ca="1" si="90"/>
        <v>0</v>
      </c>
      <c r="Y168" s="165">
        <f t="shared" ca="1" si="90"/>
        <v>0</v>
      </c>
      <c r="Z168" s="165">
        <f t="shared" ca="1" si="90"/>
        <v>0</v>
      </c>
      <c r="AA168" s="165">
        <f t="shared" ca="1" si="90"/>
        <v>0</v>
      </c>
      <c r="AB168" s="165">
        <f t="shared" ca="1" si="90"/>
        <v>0</v>
      </c>
      <c r="AC168" s="165">
        <f t="shared" ca="1" si="90"/>
        <v>0</v>
      </c>
      <c r="AD168" s="165">
        <f t="shared" ca="1" si="90"/>
        <v>0</v>
      </c>
      <c r="AE168" s="165">
        <f t="shared" ca="1" si="90"/>
        <v>0</v>
      </c>
      <c r="AF168" s="165">
        <f t="shared" ca="1" si="90"/>
        <v>0</v>
      </c>
      <c r="AG168" s="165">
        <f t="shared" ca="1" si="90"/>
        <v>0</v>
      </c>
      <c r="AH168" s="165">
        <f t="shared" ca="1" si="90"/>
        <v>0</v>
      </c>
      <c r="AI168" s="165">
        <f t="shared" ca="1" si="90"/>
        <v>0</v>
      </c>
      <c r="AJ168" s="165">
        <f t="shared" ca="1" si="90"/>
        <v>0</v>
      </c>
      <c r="AK168" s="165">
        <f t="shared" ca="1" si="90"/>
        <v>0</v>
      </c>
      <c r="AL168" s="165">
        <f t="shared" ca="1" si="90"/>
        <v>0</v>
      </c>
      <c r="AM168" s="165">
        <f t="shared" ca="1" si="90"/>
        <v>0</v>
      </c>
      <c r="AN168" s="165">
        <f t="shared" ca="1" si="90"/>
        <v>0</v>
      </c>
      <c r="AO168" s="165">
        <f t="shared" ca="1" si="90"/>
        <v>0</v>
      </c>
      <c r="AP168" s="165">
        <f t="shared" ca="1" si="90"/>
        <v>0</v>
      </c>
      <c r="AQ168" s="165">
        <f t="shared" ca="1" si="90"/>
        <v>0</v>
      </c>
      <c r="AR168" s="165">
        <f t="shared" ca="1" si="90"/>
        <v>0</v>
      </c>
      <c r="AS168" s="165">
        <f t="shared" ca="1" si="90"/>
        <v>0</v>
      </c>
      <c r="AT168" s="165">
        <f t="shared" ca="1" si="90"/>
        <v>0</v>
      </c>
      <c r="AU168" s="165">
        <f t="shared" ca="1" si="90"/>
        <v>0</v>
      </c>
      <c r="AV168" s="165">
        <f t="shared" ca="1" si="90"/>
        <v>0</v>
      </c>
      <c r="AW168" s="165">
        <f t="shared" ca="1" si="90"/>
        <v>0</v>
      </c>
      <c r="AX168" s="165">
        <f t="shared" ca="1" si="90"/>
        <v>0</v>
      </c>
      <c r="AY168" s="165">
        <f t="shared" ca="1" si="90"/>
        <v>0</v>
      </c>
      <c r="AZ168" s="165">
        <f t="shared" ca="1" si="90"/>
        <v>0</v>
      </c>
      <c r="BA168" s="165">
        <f t="shared" ca="1" si="90"/>
        <v>0</v>
      </c>
      <c r="BB168" s="165">
        <f t="shared" ca="1" si="90"/>
        <v>0</v>
      </c>
      <c r="BC168" s="165">
        <f t="shared" ca="1" si="90"/>
        <v>0</v>
      </c>
      <c r="BD168" s="165">
        <f t="shared" ca="1" si="90"/>
        <v>0</v>
      </c>
      <c r="BE168" s="165">
        <f t="shared" ca="1" si="90"/>
        <v>0</v>
      </c>
      <c r="BF168" s="165">
        <f t="shared" ca="1" si="90"/>
        <v>0</v>
      </c>
      <c r="BG168" s="165">
        <f t="shared" ca="1" si="90"/>
        <v>0</v>
      </c>
      <c r="BH168" s="165">
        <f t="shared" ca="1" si="90"/>
        <v>0</v>
      </c>
      <c r="BI168" s="165">
        <f t="shared" ca="1" si="90"/>
        <v>0</v>
      </c>
      <c r="BJ168" s="165">
        <f t="shared" ca="1" si="90"/>
        <v>0</v>
      </c>
      <c r="BK168" s="165">
        <f t="shared" ca="1" si="90"/>
        <v>0</v>
      </c>
      <c r="BL168" s="165">
        <f t="shared" ca="1" si="90"/>
        <v>0</v>
      </c>
      <c r="BM168" s="165">
        <f t="shared" ca="1" si="90"/>
        <v>0</v>
      </c>
      <c r="BN168" s="165">
        <f t="shared" ca="1" si="90"/>
        <v>0</v>
      </c>
      <c r="BO168" s="165">
        <f t="shared" ca="1" si="90"/>
        <v>0</v>
      </c>
      <c r="BP168" s="165">
        <f t="shared" ca="1" si="90"/>
        <v>0</v>
      </c>
      <c r="BQ168" s="165">
        <f t="shared" ca="1" si="90"/>
        <v>0</v>
      </c>
      <c r="BR168" s="165">
        <f t="shared" ca="1" si="90"/>
        <v>0</v>
      </c>
      <c r="BS168" s="165">
        <f t="shared" ca="1" si="90"/>
        <v>0</v>
      </c>
      <c r="BT168" s="165">
        <f t="shared" ca="1" si="90"/>
        <v>0</v>
      </c>
      <c r="BU168" s="165">
        <f t="shared" ca="1" si="90"/>
        <v>0</v>
      </c>
      <c r="BV168" s="165">
        <f t="shared" ca="1" si="90"/>
        <v>0</v>
      </c>
      <c r="BW168" s="165">
        <f t="shared" ca="1" si="90"/>
        <v>0</v>
      </c>
    </row>
    <row r="169" spans="1:75" ht="12.75" x14ac:dyDescent="0.2">
      <c r="A169" s="23" t="s">
        <v>398</v>
      </c>
      <c r="B169" s="221"/>
      <c r="D169" s="165">
        <f t="shared" ref="D169:BW169" ca="1" si="91">-D116+C116</f>
        <v>0</v>
      </c>
      <c r="E169" s="165">
        <f t="shared" ca="1" si="91"/>
        <v>0</v>
      </c>
      <c r="F169" s="165">
        <f t="shared" ca="1" si="91"/>
        <v>0</v>
      </c>
      <c r="G169" s="165">
        <f t="shared" ca="1" si="91"/>
        <v>0</v>
      </c>
      <c r="H169" s="165">
        <f t="shared" ca="1" si="91"/>
        <v>0</v>
      </c>
      <c r="I169" s="165">
        <f t="shared" ca="1" si="91"/>
        <v>0</v>
      </c>
      <c r="J169" s="165">
        <f t="shared" ca="1" si="91"/>
        <v>0</v>
      </c>
      <c r="K169" s="165">
        <f t="shared" ca="1" si="91"/>
        <v>0</v>
      </c>
      <c r="L169" s="165">
        <f t="shared" ca="1" si="91"/>
        <v>0</v>
      </c>
      <c r="M169" s="165">
        <f t="shared" ca="1" si="91"/>
        <v>0</v>
      </c>
      <c r="N169" s="165">
        <f t="shared" ca="1" si="91"/>
        <v>0</v>
      </c>
      <c r="O169" s="165">
        <f t="shared" ca="1" si="91"/>
        <v>0</v>
      </c>
      <c r="P169" s="165">
        <f t="shared" ca="1" si="91"/>
        <v>0</v>
      </c>
      <c r="Q169" s="165">
        <f t="shared" ca="1" si="91"/>
        <v>0</v>
      </c>
      <c r="R169" s="165">
        <f t="shared" ca="1" si="91"/>
        <v>0</v>
      </c>
      <c r="S169" s="165">
        <f t="shared" ca="1" si="91"/>
        <v>0</v>
      </c>
      <c r="T169" s="165">
        <f t="shared" ca="1" si="91"/>
        <v>0</v>
      </c>
      <c r="U169" s="165">
        <f t="shared" ca="1" si="91"/>
        <v>0</v>
      </c>
      <c r="V169" s="165">
        <f t="shared" ca="1" si="91"/>
        <v>0</v>
      </c>
      <c r="W169" s="165">
        <f t="shared" ca="1" si="91"/>
        <v>0</v>
      </c>
      <c r="X169" s="165">
        <f t="shared" ca="1" si="91"/>
        <v>0</v>
      </c>
      <c r="Y169" s="165">
        <f t="shared" ca="1" si="91"/>
        <v>0</v>
      </c>
      <c r="Z169" s="165">
        <f t="shared" ca="1" si="91"/>
        <v>0</v>
      </c>
      <c r="AA169" s="165">
        <f t="shared" ca="1" si="91"/>
        <v>0</v>
      </c>
      <c r="AB169" s="165">
        <f t="shared" ca="1" si="91"/>
        <v>0</v>
      </c>
      <c r="AC169" s="165">
        <f t="shared" ca="1" si="91"/>
        <v>0</v>
      </c>
      <c r="AD169" s="165">
        <f t="shared" ca="1" si="91"/>
        <v>0</v>
      </c>
      <c r="AE169" s="165">
        <f t="shared" ca="1" si="91"/>
        <v>0</v>
      </c>
      <c r="AF169" s="165">
        <f t="shared" ca="1" si="91"/>
        <v>0</v>
      </c>
      <c r="AG169" s="165">
        <f t="shared" ca="1" si="91"/>
        <v>0</v>
      </c>
      <c r="AH169" s="165">
        <f t="shared" ca="1" si="91"/>
        <v>0</v>
      </c>
      <c r="AI169" s="165">
        <f t="shared" ca="1" si="91"/>
        <v>0</v>
      </c>
      <c r="AJ169" s="165">
        <f t="shared" ca="1" si="91"/>
        <v>0</v>
      </c>
      <c r="AK169" s="165">
        <f t="shared" ca="1" si="91"/>
        <v>0</v>
      </c>
      <c r="AL169" s="165">
        <f t="shared" ca="1" si="91"/>
        <v>0</v>
      </c>
      <c r="AM169" s="165">
        <f t="shared" ca="1" si="91"/>
        <v>0</v>
      </c>
      <c r="AN169" s="165">
        <f t="shared" ca="1" si="91"/>
        <v>0</v>
      </c>
      <c r="AO169" s="165">
        <f t="shared" ca="1" si="91"/>
        <v>0</v>
      </c>
      <c r="AP169" s="165">
        <f t="shared" ca="1" si="91"/>
        <v>0</v>
      </c>
      <c r="AQ169" s="165">
        <f t="shared" ca="1" si="91"/>
        <v>0</v>
      </c>
      <c r="AR169" s="165">
        <f t="shared" ca="1" si="91"/>
        <v>0</v>
      </c>
      <c r="AS169" s="165">
        <f t="shared" ca="1" si="91"/>
        <v>0</v>
      </c>
      <c r="AT169" s="165">
        <f t="shared" ca="1" si="91"/>
        <v>0</v>
      </c>
      <c r="AU169" s="165">
        <f t="shared" ca="1" si="91"/>
        <v>0</v>
      </c>
      <c r="AV169" s="165">
        <f t="shared" ca="1" si="91"/>
        <v>0</v>
      </c>
      <c r="AW169" s="165">
        <f t="shared" ca="1" si="91"/>
        <v>0</v>
      </c>
      <c r="AX169" s="165">
        <f t="shared" ca="1" si="91"/>
        <v>0</v>
      </c>
      <c r="AY169" s="165">
        <f t="shared" ca="1" si="91"/>
        <v>0</v>
      </c>
      <c r="AZ169" s="165">
        <f t="shared" ca="1" si="91"/>
        <v>0</v>
      </c>
      <c r="BA169" s="165">
        <f t="shared" ca="1" si="91"/>
        <v>0</v>
      </c>
      <c r="BB169" s="165">
        <f t="shared" ca="1" si="91"/>
        <v>0</v>
      </c>
      <c r="BC169" s="165">
        <f t="shared" ca="1" si="91"/>
        <v>0</v>
      </c>
      <c r="BD169" s="165">
        <f t="shared" ca="1" si="91"/>
        <v>0</v>
      </c>
      <c r="BE169" s="165">
        <f t="shared" ca="1" si="91"/>
        <v>0</v>
      </c>
      <c r="BF169" s="165">
        <f t="shared" ca="1" si="91"/>
        <v>0</v>
      </c>
      <c r="BG169" s="165">
        <f t="shared" ca="1" si="91"/>
        <v>0</v>
      </c>
      <c r="BH169" s="165">
        <f t="shared" ca="1" si="91"/>
        <v>0</v>
      </c>
      <c r="BI169" s="165">
        <f t="shared" ca="1" si="91"/>
        <v>0</v>
      </c>
      <c r="BJ169" s="165">
        <f t="shared" ca="1" si="91"/>
        <v>0</v>
      </c>
      <c r="BK169" s="165">
        <f t="shared" ca="1" si="91"/>
        <v>0</v>
      </c>
      <c r="BL169" s="165">
        <f t="shared" ca="1" si="91"/>
        <v>0</v>
      </c>
      <c r="BM169" s="165">
        <f t="shared" ca="1" si="91"/>
        <v>0</v>
      </c>
      <c r="BN169" s="165">
        <f t="shared" ca="1" si="91"/>
        <v>0</v>
      </c>
      <c r="BO169" s="165">
        <f t="shared" ca="1" si="91"/>
        <v>0</v>
      </c>
      <c r="BP169" s="165">
        <f t="shared" ca="1" si="91"/>
        <v>0</v>
      </c>
      <c r="BQ169" s="165">
        <f t="shared" ca="1" si="91"/>
        <v>0</v>
      </c>
      <c r="BR169" s="165">
        <f t="shared" ca="1" si="91"/>
        <v>0</v>
      </c>
      <c r="BS169" s="165">
        <f t="shared" ca="1" si="91"/>
        <v>0</v>
      </c>
      <c r="BT169" s="165">
        <f t="shared" ca="1" si="91"/>
        <v>0</v>
      </c>
      <c r="BU169" s="165">
        <f t="shared" ca="1" si="91"/>
        <v>0</v>
      </c>
      <c r="BV169" s="165">
        <f t="shared" ca="1" si="91"/>
        <v>0</v>
      </c>
      <c r="BW169" s="165">
        <f t="shared" ca="1" si="91"/>
        <v>0</v>
      </c>
    </row>
    <row r="170" spans="1:75" ht="12.75" x14ac:dyDescent="0.2">
      <c r="A170" s="256" t="s">
        <v>399</v>
      </c>
      <c r="B170" s="238"/>
      <c r="C170" s="212"/>
      <c r="D170" s="213">
        <f t="shared" ref="D170:BW170" ca="1" si="92">SUM(D167:D169)</f>
        <v>0</v>
      </c>
      <c r="E170" s="213">
        <f t="shared" ca="1" si="92"/>
        <v>0</v>
      </c>
      <c r="F170" s="213">
        <f t="shared" ca="1" si="92"/>
        <v>0</v>
      </c>
      <c r="G170" s="213">
        <f t="shared" ca="1" si="92"/>
        <v>0</v>
      </c>
      <c r="H170" s="213">
        <f t="shared" ca="1" si="92"/>
        <v>0</v>
      </c>
      <c r="I170" s="213">
        <f t="shared" ca="1" si="92"/>
        <v>0</v>
      </c>
      <c r="J170" s="213">
        <f t="shared" ca="1" si="92"/>
        <v>0</v>
      </c>
      <c r="K170" s="213">
        <f t="shared" ca="1" si="92"/>
        <v>0</v>
      </c>
      <c r="L170" s="213">
        <f t="shared" ca="1" si="92"/>
        <v>0</v>
      </c>
      <c r="M170" s="213">
        <f t="shared" ca="1" si="92"/>
        <v>0</v>
      </c>
      <c r="N170" s="213">
        <f t="shared" ca="1" si="92"/>
        <v>0</v>
      </c>
      <c r="O170" s="213">
        <f t="shared" ca="1" si="92"/>
        <v>0</v>
      </c>
      <c r="P170" s="213">
        <f t="shared" ca="1" si="92"/>
        <v>0</v>
      </c>
      <c r="Q170" s="213">
        <f t="shared" ca="1" si="92"/>
        <v>0</v>
      </c>
      <c r="R170" s="213">
        <f t="shared" ca="1" si="92"/>
        <v>0</v>
      </c>
      <c r="S170" s="213">
        <f t="shared" ca="1" si="92"/>
        <v>0</v>
      </c>
      <c r="T170" s="213">
        <f t="shared" ca="1" si="92"/>
        <v>0</v>
      </c>
      <c r="U170" s="213">
        <f t="shared" ca="1" si="92"/>
        <v>0</v>
      </c>
      <c r="V170" s="213">
        <f t="shared" ca="1" si="92"/>
        <v>0</v>
      </c>
      <c r="W170" s="213">
        <f t="shared" ca="1" si="92"/>
        <v>0</v>
      </c>
      <c r="X170" s="213">
        <f t="shared" ca="1" si="92"/>
        <v>0</v>
      </c>
      <c r="Y170" s="213">
        <f t="shared" ca="1" si="92"/>
        <v>0</v>
      </c>
      <c r="Z170" s="213">
        <f t="shared" ca="1" si="92"/>
        <v>0</v>
      </c>
      <c r="AA170" s="213">
        <f t="shared" ca="1" si="92"/>
        <v>0</v>
      </c>
      <c r="AB170" s="213">
        <f t="shared" ca="1" si="92"/>
        <v>0</v>
      </c>
      <c r="AC170" s="213">
        <f t="shared" ca="1" si="92"/>
        <v>0</v>
      </c>
      <c r="AD170" s="213">
        <f t="shared" ca="1" si="92"/>
        <v>0</v>
      </c>
      <c r="AE170" s="213">
        <f t="shared" ca="1" si="92"/>
        <v>0</v>
      </c>
      <c r="AF170" s="213">
        <f t="shared" ca="1" si="92"/>
        <v>0</v>
      </c>
      <c r="AG170" s="213">
        <f t="shared" ca="1" si="92"/>
        <v>0</v>
      </c>
      <c r="AH170" s="213">
        <f t="shared" ca="1" si="92"/>
        <v>0</v>
      </c>
      <c r="AI170" s="213">
        <f t="shared" ca="1" si="92"/>
        <v>0</v>
      </c>
      <c r="AJ170" s="213">
        <f t="shared" ca="1" si="92"/>
        <v>0</v>
      </c>
      <c r="AK170" s="213">
        <f t="shared" ca="1" si="92"/>
        <v>0</v>
      </c>
      <c r="AL170" s="213">
        <f t="shared" ca="1" si="92"/>
        <v>0</v>
      </c>
      <c r="AM170" s="213">
        <f t="shared" ca="1" si="92"/>
        <v>0</v>
      </c>
      <c r="AN170" s="213">
        <f t="shared" ca="1" si="92"/>
        <v>0</v>
      </c>
      <c r="AO170" s="213">
        <f t="shared" ca="1" si="92"/>
        <v>0</v>
      </c>
      <c r="AP170" s="213">
        <f t="shared" ca="1" si="92"/>
        <v>0</v>
      </c>
      <c r="AQ170" s="213">
        <f t="shared" ca="1" si="92"/>
        <v>0</v>
      </c>
      <c r="AR170" s="213">
        <f t="shared" ca="1" si="92"/>
        <v>0</v>
      </c>
      <c r="AS170" s="213">
        <f t="shared" ca="1" si="92"/>
        <v>0</v>
      </c>
      <c r="AT170" s="213">
        <f t="shared" ca="1" si="92"/>
        <v>0</v>
      </c>
      <c r="AU170" s="213">
        <f t="shared" ca="1" si="92"/>
        <v>0</v>
      </c>
      <c r="AV170" s="213">
        <f t="shared" ca="1" si="92"/>
        <v>0</v>
      </c>
      <c r="AW170" s="213">
        <f t="shared" ca="1" si="92"/>
        <v>0</v>
      </c>
      <c r="AX170" s="213">
        <f t="shared" ca="1" si="92"/>
        <v>0</v>
      </c>
      <c r="AY170" s="213">
        <f t="shared" ca="1" si="92"/>
        <v>0</v>
      </c>
      <c r="AZ170" s="213">
        <f t="shared" ca="1" si="92"/>
        <v>0</v>
      </c>
      <c r="BA170" s="213">
        <f t="shared" ca="1" si="92"/>
        <v>0</v>
      </c>
      <c r="BB170" s="213">
        <f t="shared" ca="1" si="92"/>
        <v>0</v>
      </c>
      <c r="BC170" s="213">
        <f t="shared" ca="1" si="92"/>
        <v>0</v>
      </c>
      <c r="BD170" s="213">
        <f t="shared" ca="1" si="92"/>
        <v>0</v>
      </c>
      <c r="BE170" s="213">
        <f t="shared" ca="1" si="92"/>
        <v>0</v>
      </c>
      <c r="BF170" s="213">
        <f t="shared" ca="1" si="92"/>
        <v>0</v>
      </c>
      <c r="BG170" s="213">
        <f t="shared" ca="1" si="92"/>
        <v>0</v>
      </c>
      <c r="BH170" s="213">
        <f t="shared" ca="1" si="92"/>
        <v>0</v>
      </c>
      <c r="BI170" s="213">
        <f t="shared" ca="1" si="92"/>
        <v>0</v>
      </c>
      <c r="BJ170" s="213">
        <f t="shared" ca="1" si="92"/>
        <v>0</v>
      </c>
      <c r="BK170" s="213">
        <f t="shared" ca="1" si="92"/>
        <v>0</v>
      </c>
      <c r="BL170" s="213">
        <f t="shared" ca="1" si="92"/>
        <v>0</v>
      </c>
      <c r="BM170" s="213">
        <f t="shared" ca="1" si="92"/>
        <v>0</v>
      </c>
      <c r="BN170" s="213">
        <f t="shared" ca="1" si="92"/>
        <v>0</v>
      </c>
      <c r="BO170" s="213">
        <f t="shared" ca="1" si="92"/>
        <v>0</v>
      </c>
      <c r="BP170" s="213">
        <f t="shared" ca="1" si="92"/>
        <v>0</v>
      </c>
      <c r="BQ170" s="213">
        <f t="shared" ca="1" si="92"/>
        <v>0</v>
      </c>
      <c r="BR170" s="213">
        <f t="shared" ca="1" si="92"/>
        <v>0</v>
      </c>
      <c r="BS170" s="213">
        <f t="shared" ca="1" si="92"/>
        <v>0</v>
      </c>
      <c r="BT170" s="213">
        <f t="shared" ca="1" si="92"/>
        <v>0</v>
      </c>
      <c r="BU170" s="213">
        <f t="shared" ca="1" si="92"/>
        <v>0</v>
      </c>
      <c r="BV170" s="213">
        <f t="shared" ca="1" si="92"/>
        <v>0</v>
      </c>
      <c r="BW170" s="213">
        <f t="shared" ca="1" si="92"/>
        <v>0</v>
      </c>
    </row>
    <row r="171" spans="1:75" ht="12.75" x14ac:dyDescent="0.2">
      <c r="A171" s="69" t="s">
        <v>244</v>
      </c>
      <c r="B171" s="221"/>
      <c r="D171" s="115">
        <f t="array" aca="1" ref="D171" ca="1">ROUND(INDEX(INDIRECT("CFS_"&amp;TEXT(D$1,"mmm")&amp;"_"&amp;TEXT(D$1,"yyyy")),MATCH(TRIM($A170),CFS_Accounts,0))-D170,2)</f>
        <v>0</v>
      </c>
      <c r="E171" s="115">
        <f t="array" aca="1" ref="E171" ca="1">ROUND(INDEX(INDIRECT("CFS_"&amp;TEXT(E$1,"mmm")&amp;"_"&amp;TEXT(E$1,"yyyy")),MATCH(TRIM($A170),CFS_Accounts,0))-E170,2)</f>
        <v>0</v>
      </c>
      <c r="F171" s="115">
        <f t="array" aca="1" ref="F171" ca="1">ROUND(INDEX(INDIRECT("CFS_"&amp;TEXT(F$1,"mmm")&amp;"_"&amp;TEXT(F$1,"yyyy")),MATCH(TRIM($A170),CFS_Accounts,0))-F170,2)</f>
        <v>0</v>
      </c>
      <c r="G171" s="115">
        <f t="array" aca="1" ref="G171" ca="1">ROUND(INDEX(INDIRECT("CFS_"&amp;TEXT(G$1,"mmm")&amp;"_"&amp;TEXT(G$1,"yyyy")),MATCH(TRIM($A170),CFS_Accounts,0))-G170,2)</f>
        <v>0</v>
      </c>
      <c r="H171" s="115">
        <f t="array" aca="1" ref="H171" ca="1">ROUND(INDEX(INDIRECT("CFS_"&amp;TEXT(H$1,"mmm")&amp;"_"&amp;TEXT(H$1,"yyyy")),MATCH(TRIM($A170),CFS_Accounts,0))-H170,2)</f>
        <v>0</v>
      </c>
      <c r="I171" s="115">
        <f t="array" aca="1" ref="I171" ca="1">ROUND(INDEX(INDIRECT("CFS_"&amp;TEXT(I$1,"mmm")&amp;"_"&amp;TEXT(I$1,"yyyy")),MATCH(TRIM($A170),CFS_Accounts,0))-I170,2)</f>
        <v>0</v>
      </c>
      <c r="J171" s="115">
        <f t="array" aca="1" ref="J171" ca="1">ROUND(INDEX(INDIRECT("CFS_"&amp;TEXT(J$1,"mmm")&amp;"_"&amp;TEXT(J$1,"yyyy")),MATCH(TRIM($A170),CFS_Accounts,0))-J170,2)</f>
        <v>0</v>
      </c>
      <c r="K171" s="115">
        <f t="array" aca="1" ref="K171" ca="1">ROUND(INDEX(INDIRECT("CFS_"&amp;TEXT(K$1,"mmm")&amp;"_"&amp;TEXT(K$1,"yyyy")),MATCH(TRIM($A170),CFS_Accounts,0))-K170,2)</f>
        <v>0</v>
      </c>
      <c r="L171" s="115">
        <f t="array" aca="1" ref="L171" ca="1">ROUND(INDEX(INDIRECT("CFS_"&amp;TEXT(L$1,"mmm")&amp;"_"&amp;TEXT(L$1,"yyyy")),MATCH(TRIM($A170),CFS_Accounts,0))-L170,2)</f>
        <v>0</v>
      </c>
      <c r="M171" s="115">
        <f t="array" aca="1" ref="M171" ca="1">ROUND(INDEX(INDIRECT("CFS_"&amp;TEXT(M$1,"mmm")&amp;"_"&amp;TEXT(M$1,"yyyy")),MATCH(TRIM($A170),CFS_Accounts,0))-M170,2)</f>
        <v>0</v>
      </c>
      <c r="N171" s="115">
        <f t="array" aca="1" ref="N171" ca="1">ROUND(INDEX(INDIRECT("CFS_"&amp;TEXT(N$1,"mmm")&amp;"_"&amp;TEXT(N$1,"yyyy")),MATCH(TRIM($A170),CFS_Accounts,0))-N170,2)</f>
        <v>0</v>
      </c>
      <c r="O171" s="115">
        <f t="array" aca="1" ref="O171" ca="1">ROUND(INDEX(INDIRECT("CFS_"&amp;TEXT(O$1,"mmm")&amp;"_"&amp;TEXT(O$1,"yyyy")),MATCH(TRIM($A170),CFS_Accounts,0))-O170,2)</f>
        <v>0</v>
      </c>
      <c r="P171" s="115">
        <f t="array" aca="1" ref="P171" ca="1">ROUND(INDEX(INDIRECT("CFS_"&amp;TEXT(P$1,"mmm")&amp;"_"&amp;TEXT(P$1,"yyyy")),MATCH(TRIM($A170),CFS_Accounts,0))-P170,2)</f>
        <v>0</v>
      </c>
      <c r="Q171" s="115">
        <f t="array" aca="1" ref="Q171" ca="1">ROUND(INDEX(INDIRECT("CFS_"&amp;TEXT(Q$1,"mmm")&amp;"_"&amp;TEXT(Q$1,"yyyy")),MATCH(TRIM($A170),CFS_Accounts,0))-Q170,2)</f>
        <v>0</v>
      </c>
      <c r="R171" s="115">
        <f t="array" aca="1" ref="R171" ca="1">ROUND(INDEX(INDIRECT("CFS_"&amp;TEXT(R$1,"mmm")&amp;"_"&amp;TEXT(R$1,"yyyy")),MATCH(TRIM($A170),CFS_Accounts,0))-R170,2)</f>
        <v>0</v>
      </c>
      <c r="S171" s="115">
        <f t="array" aca="1" ref="S171" ca="1">ROUND(INDEX(INDIRECT("CFS_"&amp;TEXT(S$1,"mmm")&amp;"_"&amp;TEXT(S$1,"yyyy")),MATCH(TRIM($A170),CFS_Accounts,0))-S170,2)</f>
        <v>0</v>
      </c>
      <c r="T171" s="115">
        <f t="array" aca="1" ref="T171" ca="1">ROUND(INDEX(INDIRECT("CFS_"&amp;TEXT(T$1,"mmm")&amp;"_"&amp;TEXT(T$1,"yyyy")),MATCH(TRIM($A170),CFS_Accounts,0))-T170,2)</f>
        <v>0</v>
      </c>
      <c r="U171" s="115">
        <f t="array" aca="1" ref="U171" ca="1">ROUND(INDEX(INDIRECT("CFS_"&amp;TEXT(U$1,"mmm")&amp;"_"&amp;TEXT(U$1,"yyyy")),MATCH(TRIM($A170),CFS_Accounts,0))-U170,2)</f>
        <v>0</v>
      </c>
      <c r="V171" s="115">
        <f t="array" aca="1" ref="V171" ca="1">ROUND(INDEX(INDIRECT("CFS_"&amp;TEXT(V$1,"mmm")&amp;"_"&amp;TEXT(V$1,"yyyy")),MATCH(TRIM($A170),CFS_Accounts,0))-V170,2)</f>
        <v>0</v>
      </c>
      <c r="W171" s="115">
        <f t="array" aca="1" ref="W171" ca="1">ROUND(INDEX(INDIRECT("CFS_"&amp;TEXT(W$1,"mmm")&amp;"_"&amp;TEXT(W$1,"yyyy")),MATCH(TRIM($A170),CFS_Accounts,0))-W170,2)</f>
        <v>0</v>
      </c>
      <c r="X171" s="115">
        <f t="array" aca="1" ref="X171" ca="1">ROUND(INDEX(INDIRECT("CFS_"&amp;TEXT(X$1,"mmm")&amp;"_"&amp;TEXT(X$1,"yyyy")),MATCH(TRIM($A170),CFS_Accounts,0))-X170,2)</f>
        <v>0</v>
      </c>
      <c r="Y171" s="115">
        <f t="array" aca="1" ref="Y171" ca="1">ROUND(INDEX(INDIRECT("CFS_"&amp;TEXT(Y$1,"mmm")&amp;"_"&amp;TEXT(Y$1,"yyyy")),MATCH(TRIM($A170),CFS_Accounts,0))-Y170,2)</f>
        <v>0</v>
      </c>
      <c r="Z171" s="115">
        <f t="array" aca="1" ref="Z171" ca="1">ROUND(INDEX(INDIRECT("CFS_"&amp;TEXT(Z$1,"mmm")&amp;"_"&amp;TEXT(Z$1,"yyyy")),MATCH(TRIM($A170),CFS_Accounts,0))-Z170,2)</f>
        <v>0</v>
      </c>
      <c r="AA171" s="115">
        <f t="array" aca="1" ref="AA171" ca="1">ROUND(INDEX(INDIRECT("CFS_"&amp;TEXT(AA$1,"mmm")&amp;"_"&amp;TEXT(AA$1,"yyyy")),MATCH(TRIM($A170),CFS_Accounts,0))-AA170,2)</f>
        <v>0</v>
      </c>
      <c r="AB171" s="115">
        <f t="array" aca="1" ref="AB171" ca="1">ROUND(INDEX(INDIRECT("CFS_"&amp;TEXT(AB$1,"mmm")&amp;"_"&amp;TEXT(AB$1,"yyyy")),MATCH(TRIM($A170),CFS_Accounts,0))-AB170,2)</f>
        <v>0</v>
      </c>
      <c r="AC171" s="115">
        <f t="array" aca="1" ref="AC171" ca="1">ROUND(INDEX(INDIRECT("CFS_"&amp;TEXT(AC$1,"mmm")&amp;"_"&amp;TEXT(AC$1,"yyyy")),MATCH(TRIM($A170),CFS_Accounts,0))-AC170,2)</f>
        <v>0</v>
      </c>
      <c r="AD171" s="115">
        <f t="array" aca="1" ref="AD171" ca="1">ROUND(INDEX(INDIRECT("CFS_"&amp;TEXT(AD$1,"mmm")&amp;"_"&amp;TEXT(AD$1,"yyyy")),MATCH(TRIM($A170),CFS_Accounts,0))-AD170,2)</f>
        <v>0</v>
      </c>
      <c r="AE171" s="115">
        <f t="array" aca="1" ref="AE171" ca="1">ROUND(INDEX(INDIRECT("CFS_"&amp;TEXT(AE$1,"mmm")&amp;"_"&amp;TEXT(AE$1,"yyyy")),MATCH(TRIM($A170),CFS_Accounts,0))-AE170,2)</f>
        <v>0</v>
      </c>
    </row>
    <row r="172" spans="1:75" ht="12.75" x14ac:dyDescent="0.2">
      <c r="A172" s="215" t="s">
        <v>400</v>
      </c>
      <c r="B172" s="221"/>
    </row>
    <row r="173" spans="1:75" ht="12.75" x14ac:dyDescent="0.2">
      <c r="A173" s="23" t="s">
        <v>401</v>
      </c>
      <c r="B173" s="221"/>
      <c r="D173" s="165">
        <f t="shared" ref="D173:BW173" ca="1" si="93">D134-C134</f>
        <v>550000</v>
      </c>
      <c r="E173" s="165">
        <f t="shared" ca="1" si="93"/>
        <v>100000</v>
      </c>
      <c r="F173" s="165">
        <f t="shared" ca="1" si="93"/>
        <v>0</v>
      </c>
      <c r="G173" s="165">
        <f t="shared" ca="1" si="93"/>
        <v>0</v>
      </c>
      <c r="H173" s="165">
        <f t="shared" ca="1" si="93"/>
        <v>0</v>
      </c>
      <c r="I173" s="165">
        <f t="shared" ca="1" si="93"/>
        <v>0</v>
      </c>
      <c r="J173" s="165">
        <f t="shared" ca="1" si="93"/>
        <v>0</v>
      </c>
      <c r="K173" s="165">
        <f t="shared" ca="1" si="93"/>
        <v>0</v>
      </c>
      <c r="L173" s="165">
        <f t="shared" ca="1" si="93"/>
        <v>0</v>
      </c>
      <c r="M173" s="165">
        <f t="shared" ca="1" si="93"/>
        <v>600000</v>
      </c>
      <c r="N173" s="165">
        <f t="shared" ca="1" si="93"/>
        <v>0</v>
      </c>
      <c r="O173" s="165">
        <f t="shared" ca="1" si="93"/>
        <v>0</v>
      </c>
      <c r="P173" s="165">
        <f t="shared" ca="1" si="93"/>
        <v>500000</v>
      </c>
      <c r="Q173" s="165">
        <f t="shared" ca="1" si="93"/>
        <v>0</v>
      </c>
      <c r="R173" s="165">
        <f t="shared" ca="1" si="93"/>
        <v>0</v>
      </c>
      <c r="S173" s="165">
        <f t="shared" ca="1" si="93"/>
        <v>0</v>
      </c>
      <c r="T173" s="165">
        <f t="shared" ca="1" si="93"/>
        <v>300000</v>
      </c>
      <c r="U173" s="165">
        <f t="shared" ca="1" si="93"/>
        <v>0</v>
      </c>
      <c r="V173" s="165">
        <f t="shared" ca="1" si="93"/>
        <v>0</v>
      </c>
      <c r="W173" s="165">
        <f t="shared" ca="1" si="93"/>
        <v>0</v>
      </c>
      <c r="X173" s="165">
        <f t="shared" ca="1" si="93"/>
        <v>0</v>
      </c>
      <c r="Y173" s="165">
        <f t="shared" ca="1" si="93"/>
        <v>300000</v>
      </c>
      <c r="Z173" s="165">
        <f t="shared" ca="1" si="93"/>
        <v>0</v>
      </c>
      <c r="AA173" s="165">
        <f t="shared" ca="1" si="93"/>
        <v>0</v>
      </c>
      <c r="AB173" s="165">
        <f t="shared" ca="1" si="93"/>
        <v>0</v>
      </c>
      <c r="AC173" s="165">
        <f t="shared" ca="1" si="93"/>
        <v>0</v>
      </c>
      <c r="AD173" s="165">
        <f t="shared" ca="1" si="93"/>
        <v>0</v>
      </c>
      <c r="AE173" s="165">
        <f t="shared" ca="1" si="93"/>
        <v>0</v>
      </c>
      <c r="AF173" s="165">
        <f t="shared" ca="1" si="93"/>
        <v>0</v>
      </c>
      <c r="AG173" s="165">
        <f t="shared" ca="1" si="93"/>
        <v>0</v>
      </c>
      <c r="AH173" s="165">
        <f t="shared" ca="1" si="93"/>
        <v>0</v>
      </c>
      <c r="AI173" s="165">
        <f t="shared" ca="1" si="93"/>
        <v>0</v>
      </c>
      <c r="AJ173" s="165">
        <f t="shared" ca="1" si="93"/>
        <v>0</v>
      </c>
      <c r="AK173" s="165">
        <f t="shared" ca="1" si="93"/>
        <v>0</v>
      </c>
      <c r="AL173" s="165">
        <f t="shared" ca="1" si="93"/>
        <v>0</v>
      </c>
      <c r="AM173" s="165">
        <f t="shared" ca="1" si="93"/>
        <v>0</v>
      </c>
      <c r="AN173" s="165">
        <f t="shared" ca="1" si="93"/>
        <v>0</v>
      </c>
      <c r="AO173" s="165">
        <f t="shared" ca="1" si="93"/>
        <v>0</v>
      </c>
      <c r="AP173" s="165">
        <f t="shared" ca="1" si="93"/>
        <v>0</v>
      </c>
      <c r="AQ173" s="165">
        <f t="shared" ca="1" si="93"/>
        <v>0</v>
      </c>
      <c r="AR173" s="165">
        <f t="shared" ca="1" si="93"/>
        <v>0</v>
      </c>
      <c r="AS173" s="165">
        <f t="shared" ca="1" si="93"/>
        <v>0</v>
      </c>
      <c r="AT173" s="165">
        <f t="shared" ca="1" si="93"/>
        <v>0</v>
      </c>
      <c r="AU173" s="165">
        <f t="shared" ca="1" si="93"/>
        <v>0</v>
      </c>
      <c r="AV173" s="165">
        <f t="shared" ca="1" si="93"/>
        <v>0</v>
      </c>
      <c r="AW173" s="165">
        <f t="shared" ca="1" si="93"/>
        <v>0</v>
      </c>
      <c r="AX173" s="165">
        <f t="shared" ca="1" si="93"/>
        <v>0</v>
      </c>
      <c r="AY173" s="165">
        <f t="shared" ca="1" si="93"/>
        <v>0</v>
      </c>
      <c r="AZ173" s="165">
        <f t="shared" ca="1" si="93"/>
        <v>0</v>
      </c>
      <c r="BA173" s="165">
        <f t="shared" ca="1" si="93"/>
        <v>0</v>
      </c>
      <c r="BB173" s="165">
        <f t="shared" ca="1" si="93"/>
        <v>0</v>
      </c>
      <c r="BC173" s="165">
        <f t="shared" ca="1" si="93"/>
        <v>0</v>
      </c>
      <c r="BD173" s="165">
        <f t="shared" ca="1" si="93"/>
        <v>0</v>
      </c>
      <c r="BE173" s="165">
        <f t="shared" ca="1" si="93"/>
        <v>0</v>
      </c>
      <c r="BF173" s="165">
        <f t="shared" ca="1" si="93"/>
        <v>0</v>
      </c>
      <c r="BG173" s="165">
        <f t="shared" ca="1" si="93"/>
        <v>0</v>
      </c>
      <c r="BH173" s="165">
        <f t="shared" ca="1" si="93"/>
        <v>0</v>
      </c>
      <c r="BI173" s="165">
        <f t="shared" ca="1" si="93"/>
        <v>0</v>
      </c>
      <c r="BJ173" s="165">
        <f t="shared" ca="1" si="93"/>
        <v>0</v>
      </c>
      <c r="BK173" s="165">
        <f t="shared" ca="1" si="93"/>
        <v>0</v>
      </c>
      <c r="BL173" s="165">
        <f t="shared" ca="1" si="93"/>
        <v>0</v>
      </c>
      <c r="BM173" s="165">
        <f t="shared" ca="1" si="93"/>
        <v>0</v>
      </c>
      <c r="BN173" s="165">
        <f t="shared" ca="1" si="93"/>
        <v>0</v>
      </c>
      <c r="BO173" s="165">
        <f t="shared" ca="1" si="93"/>
        <v>0</v>
      </c>
      <c r="BP173" s="165">
        <f t="shared" ca="1" si="93"/>
        <v>0</v>
      </c>
      <c r="BQ173" s="165">
        <f t="shared" ca="1" si="93"/>
        <v>0</v>
      </c>
      <c r="BR173" s="165">
        <f t="shared" ca="1" si="93"/>
        <v>0</v>
      </c>
      <c r="BS173" s="165">
        <f t="shared" ca="1" si="93"/>
        <v>0</v>
      </c>
      <c r="BT173" s="165">
        <f t="shared" ca="1" si="93"/>
        <v>0</v>
      </c>
      <c r="BU173" s="165">
        <f t="shared" ca="1" si="93"/>
        <v>0</v>
      </c>
      <c r="BV173" s="165">
        <f t="shared" ca="1" si="93"/>
        <v>0</v>
      </c>
      <c r="BW173" s="165">
        <f t="shared" ca="1" si="93"/>
        <v>0</v>
      </c>
    </row>
    <row r="174" spans="1:75" ht="12.75" x14ac:dyDescent="0.2">
      <c r="A174" s="23" t="s">
        <v>402</v>
      </c>
      <c r="B174" s="221"/>
      <c r="D174" s="165">
        <f t="shared" ref="D174:BW174" ca="1" si="94">D135-C135</f>
        <v>500000</v>
      </c>
      <c r="E174" s="165">
        <f t="shared" ca="1" si="94"/>
        <v>0</v>
      </c>
      <c r="F174" s="165">
        <f t="shared" ca="1" si="94"/>
        <v>0</v>
      </c>
      <c r="G174" s="165">
        <f t="shared" ca="1" si="94"/>
        <v>0</v>
      </c>
      <c r="H174" s="165">
        <f t="shared" ca="1" si="94"/>
        <v>0</v>
      </c>
      <c r="I174" s="165">
        <f t="shared" ca="1" si="94"/>
        <v>0</v>
      </c>
      <c r="J174" s="165">
        <f t="shared" ca="1" si="94"/>
        <v>0</v>
      </c>
      <c r="K174" s="165">
        <f t="shared" ca="1" si="94"/>
        <v>0</v>
      </c>
      <c r="L174" s="165">
        <f t="shared" ca="1" si="94"/>
        <v>0</v>
      </c>
      <c r="M174" s="165">
        <f t="shared" ca="1" si="94"/>
        <v>0</v>
      </c>
      <c r="N174" s="165">
        <f t="shared" ca="1" si="94"/>
        <v>0</v>
      </c>
      <c r="O174" s="165">
        <f t="shared" ca="1" si="94"/>
        <v>0</v>
      </c>
      <c r="P174" s="165">
        <f t="shared" ca="1" si="94"/>
        <v>0</v>
      </c>
      <c r="Q174" s="165">
        <f t="shared" ca="1" si="94"/>
        <v>0</v>
      </c>
      <c r="R174" s="165">
        <f t="shared" ca="1" si="94"/>
        <v>0</v>
      </c>
      <c r="S174" s="165">
        <f t="shared" ca="1" si="94"/>
        <v>0</v>
      </c>
      <c r="T174" s="165">
        <f t="shared" ca="1" si="94"/>
        <v>0</v>
      </c>
      <c r="U174" s="165">
        <f t="shared" ca="1" si="94"/>
        <v>0</v>
      </c>
      <c r="V174" s="165">
        <f t="shared" ca="1" si="94"/>
        <v>0</v>
      </c>
      <c r="W174" s="165">
        <f t="shared" ca="1" si="94"/>
        <v>0</v>
      </c>
      <c r="X174" s="165">
        <f t="shared" ca="1" si="94"/>
        <v>0</v>
      </c>
      <c r="Y174" s="165">
        <f t="shared" ca="1" si="94"/>
        <v>0</v>
      </c>
      <c r="Z174" s="165">
        <f t="shared" ca="1" si="94"/>
        <v>0</v>
      </c>
      <c r="AA174" s="165">
        <f t="shared" ca="1" si="94"/>
        <v>0</v>
      </c>
      <c r="AB174" s="165">
        <f t="shared" ca="1" si="94"/>
        <v>0</v>
      </c>
      <c r="AC174" s="165">
        <f t="shared" ca="1" si="94"/>
        <v>0</v>
      </c>
      <c r="AD174" s="165">
        <f t="shared" ca="1" si="94"/>
        <v>0</v>
      </c>
      <c r="AE174" s="165">
        <f t="shared" ca="1" si="94"/>
        <v>0</v>
      </c>
      <c r="AF174" s="165">
        <f t="shared" ca="1" si="94"/>
        <v>0</v>
      </c>
      <c r="AG174" s="165">
        <f t="shared" ca="1" si="94"/>
        <v>0</v>
      </c>
      <c r="AH174" s="165">
        <f t="shared" ca="1" si="94"/>
        <v>0</v>
      </c>
      <c r="AI174" s="165">
        <f t="shared" ca="1" si="94"/>
        <v>0</v>
      </c>
      <c r="AJ174" s="165">
        <f t="shared" ca="1" si="94"/>
        <v>0</v>
      </c>
      <c r="AK174" s="165">
        <f t="shared" ca="1" si="94"/>
        <v>0</v>
      </c>
      <c r="AL174" s="165">
        <f t="shared" ca="1" si="94"/>
        <v>0</v>
      </c>
      <c r="AM174" s="165">
        <f t="shared" ca="1" si="94"/>
        <v>0</v>
      </c>
      <c r="AN174" s="165">
        <f t="shared" ca="1" si="94"/>
        <v>0</v>
      </c>
      <c r="AO174" s="165">
        <f t="shared" ca="1" si="94"/>
        <v>0</v>
      </c>
      <c r="AP174" s="165">
        <f t="shared" ca="1" si="94"/>
        <v>0</v>
      </c>
      <c r="AQ174" s="165">
        <f t="shared" ca="1" si="94"/>
        <v>0</v>
      </c>
      <c r="AR174" s="165">
        <f t="shared" ca="1" si="94"/>
        <v>0</v>
      </c>
      <c r="AS174" s="165">
        <f t="shared" ca="1" si="94"/>
        <v>0</v>
      </c>
      <c r="AT174" s="165">
        <f t="shared" ca="1" si="94"/>
        <v>0</v>
      </c>
      <c r="AU174" s="165">
        <f t="shared" ca="1" si="94"/>
        <v>0</v>
      </c>
      <c r="AV174" s="165">
        <f t="shared" ca="1" si="94"/>
        <v>0</v>
      </c>
      <c r="AW174" s="165">
        <f t="shared" ca="1" si="94"/>
        <v>0</v>
      </c>
      <c r="AX174" s="165">
        <f t="shared" ca="1" si="94"/>
        <v>0</v>
      </c>
      <c r="AY174" s="165">
        <f t="shared" ca="1" si="94"/>
        <v>0</v>
      </c>
      <c r="AZ174" s="165">
        <f t="shared" ca="1" si="94"/>
        <v>0</v>
      </c>
      <c r="BA174" s="165">
        <f t="shared" ca="1" si="94"/>
        <v>0</v>
      </c>
      <c r="BB174" s="165">
        <f t="shared" ca="1" si="94"/>
        <v>0</v>
      </c>
      <c r="BC174" s="165">
        <f t="shared" ca="1" si="94"/>
        <v>0</v>
      </c>
      <c r="BD174" s="165">
        <f t="shared" ca="1" si="94"/>
        <v>0</v>
      </c>
      <c r="BE174" s="165">
        <f t="shared" ca="1" si="94"/>
        <v>0</v>
      </c>
      <c r="BF174" s="165">
        <f t="shared" ca="1" si="94"/>
        <v>0</v>
      </c>
      <c r="BG174" s="165">
        <f t="shared" ca="1" si="94"/>
        <v>0</v>
      </c>
      <c r="BH174" s="165">
        <f t="shared" ca="1" si="94"/>
        <v>0</v>
      </c>
      <c r="BI174" s="165">
        <f t="shared" ca="1" si="94"/>
        <v>0</v>
      </c>
      <c r="BJ174" s="165">
        <f t="shared" ca="1" si="94"/>
        <v>0</v>
      </c>
      <c r="BK174" s="165">
        <f t="shared" ca="1" si="94"/>
        <v>0</v>
      </c>
      <c r="BL174" s="165">
        <f t="shared" ca="1" si="94"/>
        <v>0</v>
      </c>
      <c r="BM174" s="165">
        <f t="shared" ca="1" si="94"/>
        <v>0</v>
      </c>
      <c r="BN174" s="165">
        <f t="shared" ca="1" si="94"/>
        <v>0</v>
      </c>
      <c r="BO174" s="165">
        <f t="shared" ca="1" si="94"/>
        <v>0</v>
      </c>
      <c r="BP174" s="165">
        <f t="shared" ca="1" si="94"/>
        <v>0</v>
      </c>
      <c r="BQ174" s="165">
        <f t="shared" ca="1" si="94"/>
        <v>0</v>
      </c>
      <c r="BR174" s="165">
        <f t="shared" ca="1" si="94"/>
        <v>0</v>
      </c>
      <c r="BS174" s="165">
        <f t="shared" ca="1" si="94"/>
        <v>0</v>
      </c>
      <c r="BT174" s="165">
        <f t="shared" ca="1" si="94"/>
        <v>0</v>
      </c>
      <c r="BU174" s="165">
        <f t="shared" ca="1" si="94"/>
        <v>0</v>
      </c>
      <c r="BV174" s="165">
        <f t="shared" ca="1" si="94"/>
        <v>0</v>
      </c>
      <c r="BW174" s="165">
        <f t="shared" ca="1" si="94"/>
        <v>0</v>
      </c>
    </row>
    <row r="175" spans="1:75" ht="12.75" x14ac:dyDescent="0.2">
      <c r="A175" s="23" t="s">
        <v>403</v>
      </c>
      <c r="B175" s="221"/>
      <c r="D175" s="165">
        <f t="shared" ref="D175:BW175" ca="1" si="95">D136-C136</f>
        <v>0</v>
      </c>
      <c r="E175" s="165">
        <f t="shared" ca="1" si="95"/>
        <v>0</v>
      </c>
      <c r="F175" s="165">
        <f t="shared" ca="1" si="95"/>
        <v>0</v>
      </c>
      <c r="G175" s="165">
        <f t="shared" ca="1" si="95"/>
        <v>0</v>
      </c>
      <c r="H175" s="165">
        <f t="shared" ca="1" si="95"/>
        <v>0</v>
      </c>
      <c r="I175" s="165">
        <f t="shared" ca="1" si="95"/>
        <v>0</v>
      </c>
      <c r="J175" s="165">
        <f t="shared" ca="1" si="95"/>
        <v>0</v>
      </c>
      <c r="K175" s="165">
        <f t="shared" ca="1" si="95"/>
        <v>0</v>
      </c>
      <c r="L175" s="165">
        <f t="shared" ca="1" si="95"/>
        <v>0</v>
      </c>
      <c r="M175" s="165">
        <f t="shared" ca="1" si="95"/>
        <v>0</v>
      </c>
      <c r="N175" s="165">
        <f t="shared" ca="1" si="95"/>
        <v>0</v>
      </c>
      <c r="O175" s="165">
        <f t="shared" ca="1" si="95"/>
        <v>0</v>
      </c>
      <c r="P175" s="165">
        <f t="shared" ca="1" si="95"/>
        <v>0</v>
      </c>
      <c r="Q175" s="165">
        <f t="shared" ca="1" si="95"/>
        <v>0</v>
      </c>
      <c r="R175" s="165">
        <f t="shared" ca="1" si="95"/>
        <v>0</v>
      </c>
      <c r="S175" s="165">
        <f t="shared" ca="1" si="95"/>
        <v>0</v>
      </c>
      <c r="T175" s="165">
        <f t="shared" ca="1" si="95"/>
        <v>0</v>
      </c>
      <c r="U175" s="165">
        <f t="shared" ca="1" si="95"/>
        <v>0</v>
      </c>
      <c r="V175" s="165">
        <f t="shared" ca="1" si="95"/>
        <v>0</v>
      </c>
      <c r="W175" s="165">
        <f t="shared" ca="1" si="95"/>
        <v>0</v>
      </c>
      <c r="X175" s="165">
        <f t="shared" ca="1" si="95"/>
        <v>0</v>
      </c>
      <c r="Y175" s="165">
        <f t="shared" ca="1" si="95"/>
        <v>0</v>
      </c>
      <c r="Z175" s="165">
        <f t="shared" ca="1" si="95"/>
        <v>0</v>
      </c>
      <c r="AA175" s="165">
        <f t="shared" ca="1" si="95"/>
        <v>0</v>
      </c>
      <c r="AB175" s="165">
        <f t="shared" ca="1" si="95"/>
        <v>0</v>
      </c>
      <c r="AC175" s="165">
        <f t="shared" ca="1" si="95"/>
        <v>0</v>
      </c>
      <c r="AD175" s="165">
        <f t="shared" ca="1" si="95"/>
        <v>0</v>
      </c>
      <c r="AE175" s="165">
        <f t="shared" ca="1" si="95"/>
        <v>0</v>
      </c>
      <c r="AF175" s="165">
        <f t="shared" ca="1" si="95"/>
        <v>0</v>
      </c>
      <c r="AG175" s="165">
        <f t="shared" ca="1" si="95"/>
        <v>0</v>
      </c>
      <c r="AH175" s="165">
        <f t="shared" ca="1" si="95"/>
        <v>0</v>
      </c>
      <c r="AI175" s="165">
        <f t="shared" ca="1" si="95"/>
        <v>0</v>
      </c>
      <c r="AJ175" s="165">
        <f t="shared" ca="1" si="95"/>
        <v>0</v>
      </c>
      <c r="AK175" s="165">
        <f t="shared" ca="1" si="95"/>
        <v>0</v>
      </c>
      <c r="AL175" s="165">
        <f t="shared" ca="1" si="95"/>
        <v>0</v>
      </c>
      <c r="AM175" s="165">
        <f t="shared" ca="1" si="95"/>
        <v>0</v>
      </c>
      <c r="AN175" s="165">
        <f t="shared" ca="1" si="95"/>
        <v>0</v>
      </c>
      <c r="AO175" s="165">
        <f t="shared" ca="1" si="95"/>
        <v>0</v>
      </c>
      <c r="AP175" s="165">
        <f t="shared" ca="1" si="95"/>
        <v>0</v>
      </c>
      <c r="AQ175" s="165">
        <f t="shared" ca="1" si="95"/>
        <v>0</v>
      </c>
      <c r="AR175" s="165">
        <f t="shared" ca="1" si="95"/>
        <v>0</v>
      </c>
      <c r="AS175" s="165">
        <f t="shared" ca="1" si="95"/>
        <v>0</v>
      </c>
      <c r="AT175" s="165">
        <f t="shared" ca="1" si="95"/>
        <v>0</v>
      </c>
      <c r="AU175" s="165">
        <f t="shared" ca="1" si="95"/>
        <v>0</v>
      </c>
      <c r="AV175" s="165">
        <f t="shared" ca="1" si="95"/>
        <v>0</v>
      </c>
      <c r="AW175" s="165">
        <f t="shared" ca="1" si="95"/>
        <v>0</v>
      </c>
      <c r="AX175" s="165">
        <f t="shared" ca="1" si="95"/>
        <v>0</v>
      </c>
      <c r="AY175" s="165">
        <f t="shared" ca="1" si="95"/>
        <v>0</v>
      </c>
      <c r="AZ175" s="165">
        <f t="shared" ca="1" si="95"/>
        <v>0</v>
      </c>
      <c r="BA175" s="165">
        <f t="shared" ca="1" si="95"/>
        <v>0</v>
      </c>
      <c r="BB175" s="165">
        <f t="shared" ca="1" si="95"/>
        <v>0</v>
      </c>
      <c r="BC175" s="165">
        <f t="shared" ca="1" si="95"/>
        <v>0</v>
      </c>
      <c r="BD175" s="165">
        <f t="shared" ca="1" si="95"/>
        <v>0</v>
      </c>
      <c r="BE175" s="165">
        <f t="shared" ca="1" si="95"/>
        <v>0</v>
      </c>
      <c r="BF175" s="165">
        <f t="shared" ca="1" si="95"/>
        <v>0</v>
      </c>
      <c r="BG175" s="165">
        <f t="shared" ca="1" si="95"/>
        <v>0</v>
      </c>
      <c r="BH175" s="165">
        <f t="shared" ca="1" si="95"/>
        <v>0</v>
      </c>
      <c r="BI175" s="165">
        <f t="shared" ca="1" si="95"/>
        <v>0</v>
      </c>
      <c r="BJ175" s="165">
        <f t="shared" ca="1" si="95"/>
        <v>0</v>
      </c>
      <c r="BK175" s="165">
        <f t="shared" ca="1" si="95"/>
        <v>0</v>
      </c>
      <c r="BL175" s="165">
        <f t="shared" ca="1" si="95"/>
        <v>0</v>
      </c>
      <c r="BM175" s="165">
        <f t="shared" ca="1" si="95"/>
        <v>0</v>
      </c>
      <c r="BN175" s="165">
        <f t="shared" ca="1" si="95"/>
        <v>0</v>
      </c>
      <c r="BO175" s="165">
        <f t="shared" ca="1" si="95"/>
        <v>0</v>
      </c>
      <c r="BP175" s="165">
        <f t="shared" ca="1" si="95"/>
        <v>0</v>
      </c>
      <c r="BQ175" s="165">
        <f t="shared" ca="1" si="95"/>
        <v>0</v>
      </c>
      <c r="BR175" s="165">
        <f t="shared" ca="1" si="95"/>
        <v>0</v>
      </c>
      <c r="BS175" s="165">
        <f t="shared" ca="1" si="95"/>
        <v>0</v>
      </c>
      <c r="BT175" s="165">
        <f t="shared" ca="1" si="95"/>
        <v>0</v>
      </c>
      <c r="BU175" s="165">
        <f t="shared" ca="1" si="95"/>
        <v>0</v>
      </c>
      <c r="BV175" s="165">
        <f t="shared" ca="1" si="95"/>
        <v>0</v>
      </c>
      <c r="BW175" s="165">
        <f t="shared" ca="1" si="95"/>
        <v>0</v>
      </c>
    </row>
    <row r="176" spans="1:75" ht="12.75" x14ac:dyDescent="0.2">
      <c r="A176" s="23" t="s">
        <v>566</v>
      </c>
      <c r="B176" s="221"/>
      <c r="D176" s="165">
        <f t="shared" ref="D176:BW176" si="96">D137-C137</f>
        <v>0</v>
      </c>
      <c r="E176" s="165">
        <f t="shared" si="96"/>
        <v>0</v>
      </c>
      <c r="F176" s="165">
        <f t="shared" si="96"/>
        <v>0</v>
      </c>
      <c r="G176" s="165">
        <f t="shared" si="96"/>
        <v>0</v>
      </c>
      <c r="H176" s="165">
        <f t="shared" si="96"/>
        <v>0</v>
      </c>
      <c r="I176" s="165">
        <f t="shared" si="96"/>
        <v>0</v>
      </c>
      <c r="J176" s="165">
        <f t="shared" si="96"/>
        <v>0</v>
      </c>
      <c r="K176" s="165">
        <f t="shared" si="96"/>
        <v>0</v>
      </c>
      <c r="L176" s="165">
        <f t="shared" si="96"/>
        <v>0</v>
      </c>
      <c r="M176" s="165">
        <f t="shared" si="96"/>
        <v>0</v>
      </c>
      <c r="N176" s="165">
        <f t="shared" si="96"/>
        <v>0</v>
      </c>
      <c r="O176" s="165">
        <f t="shared" si="96"/>
        <v>0</v>
      </c>
      <c r="P176" s="165">
        <f t="shared" si="96"/>
        <v>0</v>
      </c>
      <c r="Q176" s="165">
        <f t="shared" si="96"/>
        <v>0</v>
      </c>
      <c r="R176" s="165">
        <f t="shared" si="96"/>
        <v>0</v>
      </c>
      <c r="S176" s="165">
        <f t="shared" si="96"/>
        <v>0</v>
      </c>
      <c r="T176" s="165">
        <f t="shared" si="96"/>
        <v>0</v>
      </c>
      <c r="U176" s="165">
        <f t="shared" si="96"/>
        <v>0</v>
      </c>
      <c r="V176" s="165">
        <f t="shared" si="96"/>
        <v>0</v>
      </c>
      <c r="W176" s="165">
        <f t="shared" si="96"/>
        <v>0</v>
      </c>
      <c r="X176" s="165">
        <f t="shared" si="96"/>
        <v>0</v>
      </c>
      <c r="Y176" s="165">
        <f t="shared" si="96"/>
        <v>0</v>
      </c>
      <c r="Z176" s="165">
        <f t="shared" si="96"/>
        <v>0</v>
      </c>
      <c r="AA176" s="165">
        <f t="shared" si="96"/>
        <v>0</v>
      </c>
      <c r="AB176" s="165">
        <f t="shared" si="96"/>
        <v>0</v>
      </c>
      <c r="AC176" s="165">
        <f t="shared" si="96"/>
        <v>0</v>
      </c>
      <c r="AD176" s="165">
        <f t="shared" si="96"/>
        <v>0</v>
      </c>
      <c r="AE176" s="165">
        <f t="shared" si="96"/>
        <v>0</v>
      </c>
      <c r="AF176" s="165">
        <f t="shared" si="96"/>
        <v>0</v>
      </c>
      <c r="AG176" s="165">
        <f t="shared" si="96"/>
        <v>0</v>
      </c>
      <c r="AH176" s="165">
        <f t="shared" si="96"/>
        <v>0</v>
      </c>
      <c r="AI176" s="165">
        <f t="shared" si="96"/>
        <v>0</v>
      </c>
      <c r="AJ176" s="165">
        <f t="shared" si="96"/>
        <v>0</v>
      </c>
      <c r="AK176" s="165">
        <f t="shared" si="96"/>
        <v>0</v>
      </c>
      <c r="AL176" s="165">
        <f t="shared" si="96"/>
        <v>0</v>
      </c>
      <c r="AM176" s="165">
        <f t="shared" si="96"/>
        <v>0</v>
      </c>
      <c r="AN176" s="165">
        <f t="shared" si="96"/>
        <v>0</v>
      </c>
      <c r="AO176" s="165">
        <f t="shared" si="96"/>
        <v>0</v>
      </c>
      <c r="AP176" s="165">
        <f t="shared" si="96"/>
        <v>0</v>
      </c>
      <c r="AQ176" s="165">
        <f t="shared" si="96"/>
        <v>0</v>
      </c>
      <c r="AR176" s="165">
        <f t="shared" si="96"/>
        <v>0</v>
      </c>
      <c r="AS176" s="165">
        <f t="shared" si="96"/>
        <v>0</v>
      </c>
      <c r="AT176" s="165">
        <f t="shared" si="96"/>
        <v>0</v>
      </c>
      <c r="AU176" s="165">
        <f t="shared" si="96"/>
        <v>0</v>
      </c>
      <c r="AV176" s="165">
        <f t="shared" si="96"/>
        <v>0</v>
      </c>
      <c r="AW176" s="165">
        <f t="shared" si="96"/>
        <v>0</v>
      </c>
      <c r="AX176" s="165">
        <f t="shared" si="96"/>
        <v>0</v>
      </c>
      <c r="AY176" s="165">
        <f t="shared" si="96"/>
        <v>0</v>
      </c>
      <c r="AZ176" s="165">
        <f t="shared" si="96"/>
        <v>0</v>
      </c>
      <c r="BA176" s="165">
        <f t="shared" si="96"/>
        <v>0</v>
      </c>
      <c r="BB176" s="165">
        <f t="shared" si="96"/>
        <v>0</v>
      </c>
      <c r="BC176" s="165">
        <f t="shared" si="96"/>
        <v>0</v>
      </c>
      <c r="BD176" s="165">
        <f t="shared" si="96"/>
        <v>0</v>
      </c>
      <c r="BE176" s="165">
        <f t="shared" si="96"/>
        <v>0</v>
      </c>
      <c r="BF176" s="165">
        <f t="shared" si="96"/>
        <v>0</v>
      </c>
      <c r="BG176" s="165">
        <f t="shared" si="96"/>
        <v>0</v>
      </c>
      <c r="BH176" s="165">
        <f t="shared" si="96"/>
        <v>0</v>
      </c>
      <c r="BI176" s="165">
        <f t="shared" si="96"/>
        <v>0</v>
      </c>
      <c r="BJ176" s="165">
        <f t="shared" si="96"/>
        <v>0</v>
      </c>
      <c r="BK176" s="165">
        <f t="shared" si="96"/>
        <v>0</v>
      </c>
      <c r="BL176" s="165">
        <f t="shared" si="96"/>
        <v>0</v>
      </c>
      <c r="BM176" s="165">
        <f t="shared" si="96"/>
        <v>0</v>
      </c>
      <c r="BN176" s="165">
        <f t="shared" si="96"/>
        <v>0</v>
      </c>
      <c r="BO176" s="165">
        <f t="shared" si="96"/>
        <v>0</v>
      </c>
      <c r="BP176" s="165">
        <f t="shared" si="96"/>
        <v>0</v>
      </c>
      <c r="BQ176" s="165">
        <f t="shared" si="96"/>
        <v>0</v>
      </c>
      <c r="BR176" s="165">
        <f t="shared" si="96"/>
        <v>0</v>
      </c>
      <c r="BS176" s="165">
        <f t="shared" si="96"/>
        <v>0</v>
      </c>
      <c r="BT176" s="165">
        <f t="shared" si="96"/>
        <v>0</v>
      </c>
      <c r="BU176" s="165">
        <f t="shared" si="96"/>
        <v>0</v>
      </c>
      <c r="BV176" s="165">
        <f t="shared" si="96"/>
        <v>0</v>
      </c>
      <c r="BW176" s="165">
        <f t="shared" si="96"/>
        <v>0</v>
      </c>
    </row>
    <row r="177" spans="1:75" ht="12.75" x14ac:dyDescent="0.2">
      <c r="A177" s="23" t="s">
        <v>567</v>
      </c>
      <c r="B177" s="221"/>
      <c r="D177" s="165">
        <f t="shared" ref="D177:BW177" si="97">D138-C138</f>
        <v>0</v>
      </c>
      <c r="E177" s="165">
        <f t="shared" si="97"/>
        <v>0</v>
      </c>
      <c r="F177" s="165">
        <f t="shared" si="97"/>
        <v>0</v>
      </c>
      <c r="G177" s="165">
        <f t="shared" si="97"/>
        <v>0</v>
      </c>
      <c r="H177" s="165">
        <f t="shared" si="97"/>
        <v>0</v>
      </c>
      <c r="I177" s="165">
        <f t="shared" si="97"/>
        <v>0</v>
      </c>
      <c r="J177" s="165">
        <f t="shared" si="97"/>
        <v>0</v>
      </c>
      <c r="K177" s="165">
        <f t="shared" si="97"/>
        <v>0</v>
      </c>
      <c r="L177" s="165">
        <f t="shared" si="97"/>
        <v>0</v>
      </c>
      <c r="M177" s="165">
        <f t="shared" si="97"/>
        <v>0</v>
      </c>
      <c r="N177" s="165">
        <f t="shared" si="97"/>
        <v>0</v>
      </c>
      <c r="O177" s="165">
        <f t="shared" si="97"/>
        <v>0</v>
      </c>
      <c r="P177" s="165">
        <f t="shared" si="97"/>
        <v>0</v>
      </c>
      <c r="Q177" s="165">
        <f t="shared" si="97"/>
        <v>0</v>
      </c>
      <c r="R177" s="165">
        <f t="shared" si="97"/>
        <v>0</v>
      </c>
      <c r="S177" s="165">
        <f t="shared" si="97"/>
        <v>0</v>
      </c>
      <c r="T177" s="165">
        <f t="shared" si="97"/>
        <v>0</v>
      </c>
      <c r="U177" s="165">
        <f t="shared" si="97"/>
        <v>0</v>
      </c>
      <c r="V177" s="165">
        <f t="shared" si="97"/>
        <v>0</v>
      </c>
      <c r="W177" s="165">
        <f t="shared" si="97"/>
        <v>0</v>
      </c>
      <c r="X177" s="165">
        <f t="shared" si="97"/>
        <v>0</v>
      </c>
      <c r="Y177" s="165">
        <f t="shared" si="97"/>
        <v>0</v>
      </c>
      <c r="Z177" s="165">
        <f t="shared" si="97"/>
        <v>0</v>
      </c>
      <c r="AA177" s="165">
        <f t="shared" si="97"/>
        <v>0</v>
      </c>
      <c r="AB177" s="165">
        <f t="shared" si="97"/>
        <v>0</v>
      </c>
      <c r="AC177" s="165">
        <f t="shared" si="97"/>
        <v>0</v>
      </c>
      <c r="AD177" s="165">
        <f t="shared" si="97"/>
        <v>0</v>
      </c>
      <c r="AE177" s="165">
        <f t="shared" si="97"/>
        <v>0</v>
      </c>
      <c r="AF177" s="165">
        <f t="shared" si="97"/>
        <v>0</v>
      </c>
      <c r="AG177" s="165">
        <f t="shared" si="97"/>
        <v>0</v>
      </c>
      <c r="AH177" s="165">
        <f t="shared" si="97"/>
        <v>0</v>
      </c>
      <c r="AI177" s="165">
        <f t="shared" si="97"/>
        <v>0</v>
      </c>
      <c r="AJ177" s="165">
        <f t="shared" si="97"/>
        <v>0</v>
      </c>
      <c r="AK177" s="165">
        <f t="shared" si="97"/>
        <v>0</v>
      </c>
      <c r="AL177" s="165">
        <f t="shared" si="97"/>
        <v>0</v>
      </c>
      <c r="AM177" s="165">
        <f t="shared" si="97"/>
        <v>0</v>
      </c>
      <c r="AN177" s="165">
        <f t="shared" si="97"/>
        <v>0</v>
      </c>
      <c r="AO177" s="165">
        <f t="shared" si="97"/>
        <v>0</v>
      </c>
      <c r="AP177" s="165">
        <f t="shared" si="97"/>
        <v>0</v>
      </c>
      <c r="AQ177" s="165">
        <f t="shared" si="97"/>
        <v>0</v>
      </c>
      <c r="AR177" s="165">
        <f t="shared" si="97"/>
        <v>0</v>
      </c>
      <c r="AS177" s="165">
        <f t="shared" si="97"/>
        <v>0</v>
      </c>
      <c r="AT177" s="165">
        <f t="shared" si="97"/>
        <v>0</v>
      </c>
      <c r="AU177" s="165">
        <f t="shared" si="97"/>
        <v>0</v>
      </c>
      <c r="AV177" s="165">
        <f t="shared" si="97"/>
        <v>0</v>
      </c>
      <c r="AW177" s="165">
        <f t="shared" si="97"/>
        <v>0</v>
      </c>
      <c r="AX177" s="165">
        <f t="shared" si="97"/>
        <v>0</v>
      </c>
      <c r="AY177" s="165">
        <f t="shared" si="97"/>
        <v>0</v>
      </c>
      <c r="AZ177" s="165">
        <f t="shared" si="97"/>
        <v>0</v>
      </c>
      <c r="BA177" s="165">
        <f t="shared" si="97"/>
        <v>0</v>
      </c>
      <c r="BB177" s="165">
        <f t="shared" si="97"/>
        <v>0</v>
      </c>
      <c r="BC177" s="165">
        <f t="shared" si="97"/>
        <v>0</v>
      </c>
      <c r="BD177" s="165">
        <f t="shared" si="97"/>
        <v>0</v>
      </c>
      <c r="BE177" s="165">
        <f t="shared" si="97"/>
        <v>0</v>
      </c>
      <c r="BF177" s="165">
        <f t="shared" si="97"/>
        <v>0</v>
      </c>
      <c r="BG177" s="165">
        <f t="shared" si="97"/>
        <v>0</v>
      </c>
      <c r="BH177" s="165">
        <f t="shared" si="97"/>
        <v>0</v>
      </c>
      <c r="BI177" s="165">
        <f t="shared" si="97"/>
        <v>0</v>
      </c>
      <c r="BJ177" s="165">
        <f t="shared" si="97"/>
        <v>0</v>
      </c>
      <c r="BK177" s="165">
        <f t="shared" si="97"/>
        <v>0</v>
      </c>
      <c r="BL177" s="165">
        <f t="shared" si="97"/>
        <v>0</v>
      </c>
      <c r="BM177" s="165">
        <f t="shared" si="97"/>
        <v>0</v>
      </c>
      <c r="BN177" s="165">
        <f t="shared" si="97"/>
        <v>0</v>
      </c>
      <c r="BO177" s="165">
        <f t="shared" si="97"/>
        <v>0</v>
      </c>
      <c r="BP177" s="165">
        <f t="shared" si="97"/>
        <v>0</v>
      </c>
      <c r="BQ177" s="165">
        <f t="shared" si="97"/>
        <v>0</v>
      </c>
      <c r="BR177" s="165">
        <f t="shared" si="97"/>
        <v>0</v>
      </c>
      <c r="BS177" s="165">
        <f t="shared" si="97"/>
        <v>0</v>
      </c>
      <c r="BT177" s="165">
        <f t="shared" si="97"/>
        <v>0</v>
      </c>
      <c r="BU177" s="165">
        <f t="shared" si="97"/>
        <v>0</v>
      </c>
      <c r="BV177" s="165">
        <f t="shared" si="97"/>
        <v>0</v>
      </c>
      <c r="BW177" s="165">
        <f t="shared" si="97"/>
        <v>0</v>
      </c>
    </row>
    <row r="178" spans="1:75" ht="12.75" x14ac:dyDescent="0.2">
      <c r="A178" s="23" t="s">
        <v>404</v>
      </c>
      <c r="B178" s="221"/>
      <c r="D178" s="165">
        <f t="shared" ref="D178:BW178" ca="1" si="98">D136-C136</f>
        <v>0</v>
      </c>
      <c r="E178" s="165">
        <f t="shared" ca="1" si="98"/>
        <v>0</v>
      </c>
      <c r="F178" s="165">
        <f t="shared" ca="1" si="98"/>
        <v>0</v>
      </c>
      <c r="G178" s="165">
        <f t="shared" ca="1" si="98"/>
        <v>0</v>
      </c>
      <c r="H178" s="165">
        <f t="shared" ca="1" si="98"/>
        <v>0</v>
      </c>
      <c r="I178" s="165">
        <f t="shared" ca="1" si="98"/>
        <v>0</v>
      </c>
      <c r="J178" s="165">
        <f t="shared" ca="1" si="98"/>
        <v>0</v>
      </c>
      <c r="K178" s="165">
        <f t="shared" ca="1" si="98"/>
        <v>0</v>
      </c>
      <c r="L178" s="165">
        <f t="shared" ca="1" si="98"/>
        <v>0</v>
      </c>
      <c r="M178" s="165">
        <f t="shared" ca="1" si="98"/>
        <v>0</v>
      </c>
      <c r="N178" s="165">
        <f t="shared" ca="1" si="98"/>
        <v>0</v>
      </c>
      <c r="O178" s="165">
        <f t="shared" ca="1" si="98"/>
        <v>0</v>
      </c>
      <c r="P178" s="165">
        <f t="shared" ca="1" si="98"/>
        <v>0</v>
      </c>
      <c r="Q178" s="165">
        <f t="shared" ca="1" si="98"/>
        <v>0</v>
      </c>
      <c r="R178" s="165">
        <f t="shared" ca="1" si="98"/>
        <v>0</v>
      </c>
      <c r="S178" s="165">
        <f t="shared" ca="1" si="98"/>
        <v>0</v>
      </c>
      <c r="T178" s="165">
        <f t="shared" ca="1" si="98"/>
        <v>0</v>
      </c>
      <c r="U178" s="165">
        <f t="shared" ca="1" si="98"/>
        <v>0</v>
      </c>
      <c r="V178" s="165">
        <f t="shared" ca="1" si="98"/>
        <v>0</v>
      </c>
      <c r="W178" s="165">
        <f t="shared" ca="1" si="98"/>
        <v>0</v>
      </c>
      <c r="X178" s="165">
        <f t="shared" ca="1" si="98"/>
        <v>0</v>
      </c>
      <c r="Y178" s="165">
        <f t="shared" ca="1" si="98"/>
        <v>0</v>
      </c>
      <c r="Z178" s="165">
        <f t="shared" ca="1" si="98"/>
        <v>0</v>
      </c>
      <c r="AA178" s="165">
        <f t="shared" ca="1" si="98"/>
        <v>0</v>
      </c>
      <c r="AB178" s="165">
        <f t="shared" ca="1" si="98"/>
        <v>0</v>
      </c>
      <c r="AC178" s="165">
        <f t="shared" ca="1" si="98"/>
        <v>0</v>
      </c>
      <c r="AD178" s="165">
        <f t="shared" ca="1" si="98"/>
        <v>0</v>
      </c>
      <c r="AE178" s="165">
        <f t="shared" ca="1" si="98"/>
        <v>0</v>
      </c>
      <c r="AF178" s="165">
        <f t="shared" ca="1" si="98"/>
        <v>0</v>
      </c>
      <c r="AG178" s="165">
        <f t="shared" ca="1" si="98"/>
        <v>0</v>
      </c>
      <c r="AH178" s="165">
        <f t="shared" ca="1" si="98"/>
        <v>0</v>
      </c>
      <c r="AI178" s="165">
        <f t="shared" ca="1" si="98"/>
        <v>0</v>
      </c>
      <c r="AJ178" s="165">
        <f t="shared" ca="1" si="98"/>
        <v>0</v>
      </c>
      <c r="AK178" s="165">
        <f t="shared" ca="1" si="98"/>
        <v>0</v>
      </c>
      <c r="AL178" s="165">
        <f t="shared" ca="1" si="98"/>
        <v>0</v>
      </c>
      <c r="AM178" s="165">
        <f t="shared" ca="1" si="98"/>
        <v>0</v>
      </c>
      <c r="AN178" s="165">
        <f t="shared" ca="1" si="98"/>
        <v>0</v>
      </c>
      <c r="AO178" s="165">
        <f t="shared" ca="1" si="98"/>
        <v>0</v>
      </c>
      <c r="AP178" s="165">
        <f t="shared" ca="1" si="98"/>
        <v>0</v>
      </c>
      <c r="AQ178" s="165">
        <f t="shared" ca="1" si="98"/>
        <v>0</v>
      </c>
      <c r="AR178" s="165">
        <f t="shared" ca="1" si="98"/>
        <v>0</v>
      </c>
      <c r="AS178" s="165">
        <f t="shared" ca="1" si="98"/>
        <v>0</v>
      </c>
      <c r="AT178" s="165">
        <f t="shared" ca="1" si="98"/>
        <v>0</v>
      </c>
      <c r="AU178" s="165">
        <f t="shared" ca="1" si="98"/>
        <v>0</v>
      </c>
      <c r="AV178" s="165">
        <f t="shared" ca="1" si="98"/>
        <v>0</v>
      </c>
      <c r="AW178" s="165">
        <f t="shared" ca="1" si="98"/>
        <v>0</v>
      </c>
      <c r="AX178" s="165">
        <f t="shared" ca="1" si="98"/>
        <v>0</v>
      </c>
      <c r="AY178" s="165">
        <f t="shared" ca="1" si="98"/>
        <v>0</v>
      </c>
      <c r="AZ178" s="165">
        <f t="shared" ca="1" si="98"/>
        <v>0</v>
      </c>
      <c r="BA178" s="165">
        <f t="shared" ca="1" si="98"/>
        <v>0</v>
      </c>
      <c r="BB178" s="165">
        <f t="shared" ca="1" si="98"/>
        <v>0</v>
      </c>
      <c r="BC178" s="165">
        <f t="shared" ca="1" si="98"/>
        <v>0</v>
      </c>
      <c r="BD178" s="165">
        <f t="shared" ca="1" si="98"/>
        <v>0</v>
      </c>
      <c r="BE178" s="165">
        <f t="shared" ca="1" si="98"/>
        <v>0</v>
      </c>
      <c r="BF178" s="165">
        <f t="shared" ca="1" si="98"/>
        <v>0</v>
      </c>
      <c r="BG178" s="165">
        <f t="shared" ca="1" si="98"/>
        <v>0</v>
      </c>
      <c r="BH178" s="165">
        <f t="shared" ca="1" si="98"/>
        <v>0</v>
      </c>
      <c r="BI178" s="165">
        <f t="shared" ca="1" si="98"/>
        <v>0</v>
      </c>
      <c r="BJ178" s="165">
        <f t="shared" ca="1" si="98"/>
        <v>0</v>
      </c>
      <c r="BK178" s="165">
        <f t="shared" ca="1" si="98"/>
        <v>0</v>
      </c>
      <c r="BL178" s="165">
        <f t="shared" ca="1" si="98"/>
        <v>0</v>
      </c>
      <c r="BM178" s="165">
        <f t="shared" ca="1" si="98"/>
        <v>0</v>
      </c>
      <c r="BN178" s="165">
        <f t="shared" ca="1" si="98"/>
        <v>0</v>
      </c>
      <c r="BO178" s="165">
        <f t="shared" ca="1" si="98"/>
        <v>0</v>
      </c>
      <c r="BP178" s="165">
        <f t="shared" ca="1" si="98"/>
        <v>0</v>
      </c>
      <c r="BQ178" s="165">
        <f t="shared" ca="1" si="98"/>
        <v>0</v>
      </c>
      <c r="BR178" s="165">
        <f t="shared" ca="1" si="98"/>
        <v>0</v>
      </c>
      <c r="BS178" s="165">
        <f t="shared" ca="1" si="98"/>
        <v>0</v>
      </c>
      <c r="BT178" s="165">
        <f t="shared" ca="1" si="98"/>
        <v>0</v>
      </c>
      <c r="BU178" s="165">
        <f t="shared" ca="1" si="98"/>
        <v>0</v>
      </c>
      <c r="BV178" s="165">
        <f t="shared" ca="1" si="98"/>
        <v>0</v>
      </c>
      <c r="BW178" s="165">
        <f t="shared" ca="1" si="98"/>
        <v>0</v>
      </c>
    </row>
    <row r="179" spans="1:75" ht="12.75" x14ac:dyDescent="0.2">
      <c r="A179" s="256" t="s">
        <v>405</v>
      </c>
      <c r="B179" s="238"/>
      <c r="C179" s="212"/>
      <c r="D179" s="213">
        <f t="shared" ref="D179:BW179" ca="1" si="99">SUM(D173:D178)</f>
        <v>1050000</v>
      </c>
      <c r="E179" s="213">
        <f t="shared" ca="1" si="99"/>
        <v>100000</v>
      </c>
      <c r="F179" s="213">
        <f t="shared" ca="1" si="99"/>
        <v>0</v>
      </c>
      <c r="G179" s="213">
        <f t="shared" ca="1" si="99"/>
        <v>0</v>
      </c>
      <c r="H179" s="213">
        <f t="shared" ca="1" si="99"/>
        <v>0</v>
      </c>
      <c r="I179" s="213">
        <f t="shared" ca="1" si="99"/>
        <v>0</v>
      </c>
      <c r="J179" s="213">
        <f t="shared" ca="1" si="99"/>
        <v>0</v>
      </c>
      <c r="K179" s="213">
        <f t="shared" ca="1" si="99"/>
        <v>0</v>
      </c>
      <c r="L179" s="213">
        <f t="shared" ca="1" si="99"/>
        <v>0</v>
      </c>
      <c r="M179" s="213">
        <f t="shared" ca="1" si="99"/>
        <v>600000</v>
      </c>
      <c r="N179" s="213">
        <f t="shared" ca="1" si="99"/>
        <v>0</v>
      </c>
      <c r="O179" s="213">
        <f t="shared" ca="1" si="99"/>
        <v>0</v>
      </c>
      <c r="P179" s="213">
        <f t="shared" ca="1" si="99"/>
        <v>500000</v>
      </c>
      <c r="Q179" s="213">
        <f t="shared" ca="1" si="99"/>
        <v>0</v>
      </c>
      <c r="R179" s="213">
        <f t="shared" ca="1" si="99"/>
        <v>0</v>
      </c>
      <c r="S179" s="213">
        <f t="shared" ca="1" si="99"/>
        <v>0</v>
      </c>
      <c r="T179" s="213">
        <f t="shared" ca="1" si="99"/>
        <v>300000</v>
      </c>
      <c r="U179" s="213">
        <f t="shared" ca="1" si="99"/>
        <v>0</v>
      </c>
      <c r="V179" s="213">
        <f t="shared" ca="1" si="99"/>
        <v>0</v>
      </c>
      <c r="W179" s="213">
        <f t="shared" ca="1" si="99"/>
        <v>0</v>
      </c>
      <c r="X179" s="213">
        <f t="shared" ca="1" si="99"/>
        <v>0</v>
      </c>
      <c r="Y179" s="213">
        <f t="shared" ca="1" si="99"/>
        <v>300000</v>
      </c>
      <c r="Z179" s="213">
        <f t="shared" ca="1" si="99"/>
        <v>0</v>
      </c>
      <c r="AA179" s="213">
        <f t="shared" ca="1" si="99"/>
        <v>0</v>
      </c>
      <c r="AB179" s="213">
        <f t="shared" ca="1" si="99"/>
        <v>0</v>
      </c>
      <c r="AC179" s="213">
        <f t="shared" ca="1" si="99"/>
        <v>0</v>
      </c>
      <c r="AD179" s="213">
        <f t="shared" ca="1" si="99"/>
        <v>0</v>
      </c>
      <c r="AE179" s="213">
        <f t="shared" ca="1" si="99"/>
        <v>0</v>
      </c>
      <c r="AF179" s="213">
        <f t="shared" ca="1" si="99"/>
        <v>0</v>
      </c>
      <c r="AG179" s="213">
        <f t="shared" ca="1" si="99"/>
        <v>0</v>
      </c>
      <c r="AH179" s="213">
        <f t="shared" ca="1" si="99"/>
        <v>0</v>
      </c>
      <c r="AI179" s="213">
        <f t="shared" ca="1" si="99"/>
        <v>0</v>
      </c>
      <c r="AJ179" s="213">
        <f t="shared" ca="1" si="99"/>
        <v>0</v>
      </c>
      <c r="AK179" s="213">
        <f t="shared" ca="1" si="99"/>
        <v>0</v>
      </c>
      <c r="AL179" s="213">
        <f t="shared" ca="1" si="99"/>
        <v>0</v>
      </c>
      <c r="AM179" s="213">
        <f t="shared" ca="1" si="99"/>
        <v>0</v>
      </c>
      <c r="AN179" s="213">
        <f t="shared" ca="1" si="99"/>
        <v>0</v>
      </c>
      <c r="AO179" s="213">
        <f t="shared" ca="1" si="99"/>
        <v>0</v>
      </c>
      <c r="AP179" s="213">
        <f t="shared" ca="1" si="99"/>
        <v>0</v>
      </c>
      <c r="AQ179" s="213">
        <f t="shared" ca="1" si="99"/>
        <v>0</v>
      </c>
      <c r="AR179" s="213">
        <f t="shared" ca="1" si="99"/>
        <v>0</v>
      </c>
      <c r="AS179" s="213">
        <f t="shared" ca="1" si="99"/>
        <v>0</v>
      </c>
      <c r="AT179" s="213">
        <f t="shared" ca="1" si="99"/>
        <v>0</v>
      </c>
      <c r="AU179" s="213">
        <f t="shared" ca="1" si="99"/>
        <v>0</v>
      </c>
      <c r="AV179" s="213">
        <f t="shared" ca="1" si="99"/>
        <v>0</v>
      </c>
      <c r="AW179" s="213">
        <f t="shared" ca="1" si="99"/>
        <v>0</v>
      </c>
      <c r="AX179" s="213">
        <f t="shared" ca="1" si="99"/>
        <v>0</v>
      </c>
      <c r="AY179" s="213">
        <f t="shared" ca="1" si="99"/>
        <v>0</v>
      </c>
      <c r="AZ179" s="213">
        <f t="shared" ca="1" si="99"/>
        <v>0</v>
      </c>
      <c r="BA179" s="213">
        <f t="shared" ca="1" si="99"/>
        <v>0</v>
      </c>
      <c r="BB179" s="213">
        <f t="shared" ca="1" si="99"/>
        <v>0</v>
      </c>
      <c r="BC179" s="213">
        <f t="shared" ca="1" si="99"/>
        <v>0</v>
      </c>
      <c r="BD179" s="213">
        <f t="shared" ca="1" si="99"/>
        <v>0</v>
      </c>
      <c r="BE179" s="213">
        <f t="shared" ca="1" si="99"/>
        <v>0</v>
      </c>
      <c r="BF179" s="213">
        <f t="shared" ca="1" si="99"/>
        <v>0</v>
      </c>
      <c r="BG179" s="213">
        <f t="shared" ca="1" si="99"/>
        <v>0</v>
      </c>
      <c r="BH179" s="213">
        <f t="shared" ca="1" si="99"/>
        <v>0</v>
      </c>
      <c r="BI179" s="213">
        <f t="shared" ca="1" si="99"/>
        <v>0</v>
      </c>
      <c r="BJ179" s="213">
        <f t="shared" ca="1" si="99"/>
        <v>0</v>
      </c>
      <c r="BK179" s="213">
        <f t="shared" ca="1" si="99"/>
        <v>0</v>
      </c>
      <c r="BL179" s="213">
        <f t="shared" ca="1" si="99"/>
        <v>0</v>
      </c>
      <c r="BM179" s="213">
        <f t="shared" ca="1" si="99"/>
        <v>0</v>
      </c>
      <c r="BN179" s="213">
        <f t="shared" ca="1" si="99"/>
        <v>0</v>
      </c>
      <c r="BO179" s="213">
        <f t="shared" ca="1" si="99"/>
        <v>0</v>
      </c>
      <c r="BP179" s="213">
        <f t="shared" ca="1" si="99"/>
        <v>0</v>
      </c>
      <c r="BQ179" s="213">
        <f t="shared" ca="1" si="99"/>
        <v>0</v>
      </c>
      <c r="BR179" s="213">
        <f t="shared" ca="1" si="99"/>
        <v>0</v>
      </c>
      <c r="BS179" s="213">
        <f t="shared" ca="1" si="99"/>
        <v>0</v>
      </c>
      <c r="BT179" s="213">
        <f t="shared" ca="1" si="99"/>
        <v>0</v>
      </c>
      <c r="BU179" s="213">
        <f t="shared" ca="1" si="99"/>
        <v>0</v>
      </c>
      <c r="BV179" s="213">
        <f t="shared" ca="1" si="99"/>
        <v>0</v>
      </c>
      <c r="BW179" s="213">
        <f t="shared" ca="1" si="99"/>
        <v>0</v>
      </c>
    </row>
    <row r="180" spans="1:75" ht="12.75" x14ac:dyDescent="0.2">
      <c r="A180" s="69" t="s">
        <v>244</v>
      </c>
      <c r="B180" s="221"/>
      <c r="D180" s="115">
        <f t="array" aca="1" ref="D180" ca="1">ROUND(INDEX(INDIRECT("CFS_"&amp;TEXT(D$1,"mmm")&amp;"_"&amp;TEXT(D$1,"yyyy")),MATCH(TRIM($A179),CFS_Accounts,0))-D179,2)</f>
        <v>0</v>
      </c>
      <c r="E180" s="115">
        <f t="array" aca="1" ref="E180" ca="1">ROUND(INDEX(INDIRECT("CFS_"&amp;TEXT(E$1,"mmm")&amp;"_"&amp;TEXT(E$1,"yyyy")),MATCH(TRIM($A179),CFS_Accounts,0))-E179,2)</f>
        <v>0</v>
      </c>
      <c r="F180" s="115">
        <f t="array" aca="1" ref="F180" ca="1">ROUND(INDEX(INDIRECT("CFS_"&amp;TEXT(F$1,"mmm")&amp;"_"&amp;TEXT(F$1,"yyyy")),MATCH(TRIM($A179),CFS_Accounts,0))-F179,2)</f>
        <v>0</v>
      </c>
      <c r="G180" s="115">
        <f t="array" aca="1" ref="G180" ca="1">ROUND(INDEX(INDIRECT("CFS_"&amp;TEXT(G$1,"mmm")&amp;"_"&amp;TEXT(G$1,"yyyy")),MATCH(TRIM($A179),CFS_Accounts,0))-G179,2)</f>
        <v>0</v>
      </c>
      <c r="H180" s="115">
        <f t="array" aca="1" ref="H180" ca="1">ROUND(INDEX(INDIRECT("CFS_"&amp;TEXT(H$1,"mmm")&amp;"_"&amp;TEXT(H$1,"yyyy")),MATCH(TRIM($A179),CFS_Accounts,0))-H179,2)</f>
        <v>0</v>
      </c>
      <c r="I180" s="115">
        <f t="array" aca="1" ref="I180" ca="1">ROUND(INDEX(INDIRECT("CFS_"&amp;TEXT(I$1,"mmm")&amp;"_"&amp;TEXT(I$1,"yyyy")),MATCH(TRIM($A179),CFS_Accounts,0))-I179,2)</f>
        <v>0</v>
      </c>
      <c r="J180" s="115">
        <f t="array" aca="1" ref="J180" ca="1">ROUND(INDEX(INDIRECT("CFS_"&amp;TEXT(J$1,"mmm")&amp;"_"&amp;TEXT(J$1,"yyyy")),MATCH(TRIM($A179),CFS_Accounts,0))-J179,2)</f>
        <v>0</v>
      </c>
      <c r="K180" s="115">
        <f t="array" aca="1" ref="K180" ca="1">ROUND(INDEX(INDIRECT("CFS_"&amp;TEXT(K$1,"mmm")&amp;"_"&amp;TEXT(K$1,"yyyy")),MATCH(TRIM($A179),CFS_Accounts,0))-K179,2)</f>
        <v>0</v>
      </c>
      <c r="L180" s="115">
        <f t="array" aca="1" ref="L180" ca="1">ROUND(INDEX(INDIRECT("CFS_"&amp;TEXT(L$1,"mmm")&amp;"_"&amp;TEXT(L$1,"yyyy")),MATCH(TRIM($A179),CFS_Accounts,0))-L179,2)</f>
        <v>0</v>
      </c>
      <c r="M180" s="115">
        <f t="array" aca="1" ref="M180" ca="1">ROUND(INDEX(INDIRECT("CFS_"&amp;TEXT(M$1,"mmm")&amp;"_"&amp;TEXT(M$1,"yyyy")),MATCH(TRIM($A179),CFS_Accounts,0))-M179,2)</f>
        <v>0</v>
      </c>
      <c r="N180" s="115">
        <f t="array" aca="1" ref="N180" ca="1">ROUND(INDEX(INDIRECT("CFS_"&amp;TEXT(N$1,"mmm")&amp;"_"&amp;TEXT(N$1,"yyyy")),MATCH(TRIM($A179),CFS_Accounts,0))-N179,2)</f>
        <v>0</v>
      </c>
      <c r="O180" s="115">
        <f t="array" aca="1" ref="O180" ca="1">ROUND(INDEX(INDIRECT("CFS_"&amp;TEXT(O$1,"mmm")&amp;"_"&amp;TEXT(O$1,"yyyy")),MATCH(TRIM($A179),CFS_Accounts,0))-O179,2)</f>
        <v>0</v>
      </c>
      <c r="P180" s="115">
        <f t="array" aca="1" ref="P180" ca="1">ROUND(INDEX(INDIRECT("CFS_"&amp;TEXT(P$1,"mmm")&amp;"_"&amp;TEXT(P$1,"yyyy")),MATCH(TRIM($A179),CFS_Accounts,0))-P179,2)</f>
        <v>0</v>
      </c>
      <c r="Q180" s="115">
        <f t="array" aca="1" ref="Q180" ca="1">ROUND(INDEX(INDIRECT("CFS_"&amp;TEXT(Q$1,"mmm")&amp;"_"&amp;TEXT(Q$1,"yyyy")),MATCH(TRIM($A179),CFS_Accounts,0))-Q179,2)</f>
        <v>0</v>
      </c>
      <c r="R180" s="115">
        <f t="array" aca="1" ref="R180" ca="1">ROUND(INDEX(INDIRECT("CFS_"&amp;TEXT(R$1,"mmm")&amp;"_"&amp;TEXT(R$1,"yyyy")),MATCH(TRIM($A179),CFS_Accounts,0))-R179,2)</f>
        <v>0</v>
      </c>
      <c r="S180" s="115">
        <f t="array" aca="1" ref="S180" ca="1">ROUND(INDEX(INDIRECT("CFS_"&amp;TEXT(S$1,"mmm")&amp;"_"&amp;TEXT(S$1,"yyyy")),MATCH(TRIM($A179),CFS_Accounts,0))-S179,2)</f>
        <v>0</v>
      </c>
      <c r="T180" s="115">
        <f t="array" aca="1" ref="T180" ca="1">ROUND(INDEX(INDIRECT("CFS_"&amp;TEXT(T$1,"mmm")&amp;"_"&amp;TEXT(T$1,"yyyy")),MATCH(TRIM($A179),CFS_Accounts,0))-T179,2)</f>
        <v>0</v>
      </c>
      <c r="U180" s="115">
        <f t="array" aca="1" ref="U180" ca="1">ROUND(INDEX(INDIRECT("CFS_"&amp;TEXT(U$1,"mmm")&amp;"_"&amp;TEXT(U$1,"yyyy")),MATCH(TRIM($A179),CFS_Accounts,0))-U179,2)</f>
        <v>0</v>
      </c>
      <c r="V180" s="115">
        <f t="array" aca="1" ref="V180" ca="1">ROUND(INDEX(INDIRECT("CFS_"&amp;TEXT(V$1,"mmm")&amp;"_"&amp;TEXT(V$1,"yyyy")),MATCH(TRIM($A179),CFS_Accounts,0))-V179,2)</f>
        <v>0</v>
      </c>
      <c r="W180" s="115">
        <f t="array" aca="1" ref="W180" ca="1">ROUND(INDEX(INDIRECT("CFS_"&amp;TEXT(W$1,"mmm")&amp;"_"&amp;TEXT(W$1,"yyyy")),MATCH(TRIM($A179),CFS_Accounts,0))-W179,2)</f>
        <v>0</v>
      </c>
      <c r="X180" s="115">
        <f t="array" aca="1" ref="X180" ca="1">ROUND(INDEX(INDIRECT("CFS_"&amp;TEXT(X$1,"mmm")&amp;"_"&amp;TEXT(X$1,"yyyy")),MATCH(TRIM($A179),CFS_Accounts,0))-X179,2)</f>
        <v>0</v>
      </c>
      <c r="Y180" s="115">
        <f t="array" aca="1" ref="Y180" ca="1">ROUND(INDEX(INDIRECT("CFS_"&amp;TEXT(Y$1,"mmm")&amp;"_"&amp;TEXT(Y$1,"yyyy")),MATCH(TRIM($A179),CFS_Accounts,0))-Y179,2)</f>
        <v>0</v>
      </c>
      <c r="Z180" s="115">
        <f t="array" aca="1" ref="Z180" ca="1">ROUND(INDEX(INDIRECT("CFS_"&amp;TEXT(Z$1,"mmm")&amp;"_"&amp;TEXT(Z$1,"yyyy")),MATCH(TRIM($A179),CFS_Accounts,0))-Z179,2)</f>
        <v>0</v>
      </c>
      <c r="AA180" s="115">
        <f t="array" aca="1" ref="AA180" ca="1">ROUND(INDEX(INDIRECT("CFS_"&amp;TEXT(AA$1,"mmm")&amp;"_"&amp;TEXT(AA$1,"yyyy")),MATCH(TRIM($A179),CFS_Accounts,0))-AA179,2)</f>
        <v>0</v>
      </c>
      <c r="AB180" s="115">
        <f t="array" aca="1" ref="AB180" ca="1">ROUND(INDEX(INDIRECT("CFS_"&amp;TEXT(AB$1,"mmm")&amp;"_"&amp;TEXT(AB$1,"yyyy")),MATCH(TRIM($A179),CFS_Accounts,0))-AB179,2)</f>
        <v>0</v>
      </c>
      <c r="AC180" s="115">
        <f t="array" aca="1" ref="AC180" ca="1">ROUND(INDEX(INDIRECT("CFS_"&amp;TEXT(AC$1,"mmm")&amp;"_"&amp;TEXT(AC$1,"yyyy")),MATCH(TRIM($A179),CFS_Accounts,0))-AC179,2)</f>
        <v>0</v>
      </c>
      <c r="AD180" s="115">
        <f t="array" aca="1" ref="AD180" ca="1">ROUND(INDEX(INDIRECT("CFS_"&amp;TEXT(AD$1,"mmm")&amp;"_"&amp;TEXT(AD$1,"yyyy")),MATCH(TRIM($A179),CFS_Accounts,0))-AD179,2)</f>
        <v>0</v>
      </c>
      <c r="AE180" s="115">
        <f t="array" aca="1" ref="AE180" ca="1">ROUND(INDEX(INDIRECT("CFS_"&amp;TEXT(AE$1,"mmm")&amp;"_"&amp;TEXT(AE$1,"yyyy")),MATCH(TRIM($A179),CFS_Accounts,0))-AE179,2)</f>
        <v>0</v>
      </c>
    </row>
    <row r="181" spans="1:75" ht="12.75" x14ac:dyDescent="0.2">
      <c r="A181" s="256" t="s">
        <v>406</v>
      </c>
      <c r="B181" s="238"/>
      <c r="C181" s="212"/>
      <c r="D181" s="213">
        <f t="shared" ref="D181:BW181" ca="1" si="100">SUM(D179,D170,D164)</f>
        <v>960680</v>
      </c>
      <c r="E181" s="213">
        <f t="shared" ca="1" si="100"/>
        <v>9650</v>
      </c>
      <c r="F181" s="213">
        <f t="shared" ca="1" si="100"/>
        <v>-102956</v>
      </c>
      <c r="G181" s="213">
        <f t="shared" ca="1" si="100"/>
        <v>-94595</v>
      </c>
      <c r="H181" s="213">
        <f t="shared" ca="1" si="100"/>
        <v>-82065</v>
      </c>
      <c r="I181" s="213">
        <f t="shared" ca="1" si="100"/>
        <v>-78132</v>
      </c>
      <c r="J181" s="213">
        <f t="shared" ca="1" si="100"/>
        <v>-94045</v>
      </c>
      <c r="K181" s="213">
        <f t="shared" ca="1" si="100"/>
        <v>-89766</v>
      </c>
      <c r="L181" s="213">
        <f t="shared" ca="1" si="100"/>
        <v>-114445</v>
      </c>
      <c r="M181" s="213">
        <f t="shared" ca="1" si="100"/>
        <v>468119</v>
      </c>
      <c r="N181" s="213">
        <f t="shared" ca="1" si="100"/>
        <v>-140597</v>
      </c>
      <c r="O181" s="213">
        <f t="shared" ca="1" si="100"/>
        <v>-177194</v>
      </c>
      <c r="P181" s="213">
        <f t="shared" ca="1" si="100"/>
        <v>322876</v>
      </c>
      <c r="Q181" s="213">
        <f t="shared" ca="1" si="100"/>
        <v>-189575</v>
      </c>
      <c r="R181" s="213">
        <f t="shared" ca="1" si="100"/>
        <v>-184131</v>
      </c>
      <c r="S181" s="213">
        <f t="shared" ca="1" si="100"/>
        <v>-128941</v>
      </c>
      <c r="T181" s="213">
        <f t="shared" ca="1" si="100"/>
        <v>148246</v>
      </c>
      <c r="U181" s="213">
        <f t="shared" ca="1" si="100"/>
        <v>-122283</v>
      </c>
      <c r="V181" s="213">
        <f t="shared" ca="1" si="100"/>
        <v>-102474</v>
      </c>
      <c r="W181" s="213">
        <f t="shared" ca="1" si="100"/>
        <v>-82495</v>
      </c>
      <c r="X181" s="213">
        <f t="shared" ca="1" si="100"/>
        <v>-60038</v>
      </c>
      <c r="Y181" s="213">
        <f t="shared" ca="1" si="100"/>
        <v>272680</v>
      </c>
      <c r="Z181" s="213">
        <f t="shared" ca="1" si="100"/>
        <v>-18905</v>
      </c>
      <c r="AA181" s="213">
        <f t="shared" ca="1" si="100"/>
        <v>-24211</v>
      </c>
      <c r="AB181" s="213">
        <f t="shared" ca="1" si="100"/>
        <v>-13824</v>
      </c>
      <c r="AC181" s="213">
        <f t="shared" ca="1" si="100"/>
        <v>-26169</v>
      </c>
      <c r="AD181" s="213">
        <f t="shared" ca="1" si="100"/>
        <v>8407.1899999999441</v>
      </c>
      <c r="AE181" s="213">
        <f t="shared" ca="1" si="100"/>
        <v>-117</v>
      </c>
      <c r="AF181" s="213">
        <f t="shared" ca="1" si="100"/>
        <v>71361.272841736441</v>
      </c>
      <c r="AG181" s="213">
        <f t="shared" ca="1" si="100"/>
        <v>42352.790587507654</v>
      </c>
      <c r="AH181" s="213">
        <f t="shared" ca="1" si="100"/>
        <v>24009.245411858778</v>
      </c>
      <c r="AI181" s="213">
        <f t="shared" ca="1" si="100"/>
        <v>21236.749603149481</v>
      </c>
      <c r="AJ181" s="213">
        <f t="shared" ca="1" si="100"/>
        <v>-8913.1736388280988</v>
      </c>
      <c r="AK181" s="213">
        <f t="shared" ca="1" si="100"/>
        <v>-17715.02036441362</v>
      </c>
      <c r="AL181" s="213">
        <f t="shared" ca="1" si="100"/>
        <v>-27169.104950513691</v>
      </c>
      <c r="AM181" s="213">
        <f t="shared" ca="1" si="100"/>
        <v>-35868.178680648562</v>
      </c>
      <c r="AN181" s="213">
        <f t="shared" ca="1" si="100"/>
        <v>-44861.504663905594</v>
      </c>
      <c r="AO181" s="213">
        <f t="shared" ca="1" si="100"/>
        <v>-53021.981902484316</v>
      </c>
      <c r="AP181" s="213">
        <f t="shared" ca="1" si="100"/>
        <v>-61530.060507574584</v>
      </c>
      <c r="AQ181" s="213">
        <f t="shared" ca="1" si="100"/>
        <v>-69231.399770826334</v>
      </c>
      <c r="AR181" s="213">
        <f t="shared" ca="1" si="100"/>
        <v>-76151.565669838688</v>
      </c>
      <c r="AS181" s="213">
        <f t="shared" ca="1" si="100"/>
        <v>-83444.15559429198</v>
      </c>
      <c r="AT181" s="213">
        <f t="shared" ca="1" si="100"/>
        <v>-89972.216468288447</v>
      </c>
      <c r="AU181" s="213">
        <f t="shared" ca="1" si="100"/>
        <v>-96886.175092146615</v>
      </c>
      <c r="AV181" s="213">
        <f t="shared" ca="1" si="100"/>
        <v>-103054.02454770228</v>
      </c>
      <c r="AW181" s="213">
        <f t="shared" ca="1" si="100"/>
        <v>-108495.295622773</v>
      </c>
      <c r="AX181" s="213">
        <f t="shared" ca="1" si="100"/>
        <v>-114358.86816822272</v>
      </c>
      <c r="AY181" s="213">
        <f t="shared" ca="1" si="100"/>
        <v>-119511.83627717709</v>
      </c>
      <c r="AZ181" s="213">
        <f t="shared" ca="1" si="100"/>
        <v>-82130.73565594689</v>
      </c>
      <c r="BA181" s="213">
        <f t="shared" ca="1" si="100"/>
        <v>-71670.299278036575</v>
      </c>
      <c r="BB181" s="213">
        <f t="shared" ca="1" si="100"/>
        <v>-58414.383553921478</v>
      </c>
      <c r="BC181" s="213">
        <f t="shared" ca="1" si="100"/>
        <v>-41610.511365838</v>
      </c>
      <c r="BD181" s="213">
        <f t="shared" ca="1" si="100"/>
        <v>-20527.328494268586</v>
      </c>
      <c r="BE181" s="213">
        <f t="shared" ca="1" si="100"/>
        <v>-3678.9390226850519</v>
      </c>
      <c r="BF181" s="213">
        <f t="shared" ca="1" si="100"/>
        <v>14860.671713188873</v>
      </c>
      <c r="BG181" s="213">
        <f t="shared" ca="1" si="100"/>
        <v>34803.763406352955</v>
      </c>
      <c r="BH181" s="213">
        <f t="shared" ca="1" si="100"/>
        <v>55590.920471203164</v>
      </c>
      <c r="BI181" s="213">
        <f t="shared" ca="1" si="100"/>
        <v>76325.610554155661</v>
      </c>
      <c r="BJ181" s="213">
        <f t="shared" ca="1" si="100"/>
        <v>98100.966526077478</v>
      </c>
      <c r="BK181" s="213">
        <f t="shared" ca="1" si="100"/>
        <v>120747.83691755636</v>
      </c>
      <c r="BL181" s="213">
        <f t="shared" ca="1" si="100"/>
        <v>144128.06767071027</v>
      </c>
      <c r="BM181" s="213">
        <f t="shared" ca="1" si="100"/>
        <v>168213.55830556049</v>
      </c>
      <c r="BN181" s="213">
        <f t="shared" ca="1" si="100"/>
        <v>193203.05963856424</v>
      </c>
      <c r="BO181" s="213">
        <f t="shared" ca="1" si="100"/>
        <v>219061.7428437334</v>
      </c>
      <c r="BP181" s="213" t="e">
        <f t="shared" ca="1" si="100"/>
        <v>#N/A</v>
      </c>
      <c r="BQ181" s="213" t="e">
        <f t="shared" ca="1" si="100"/>
        <v>#N/A</v>
      </c>
      <c r="BR181" s="213" t="e">
        <f t="shared" ca="1" si="100"/>
        <v>#N/A</v>
      </c>
      <c r="BS181" s="213" t="e">
        <f t="shared" ca="1" si="100"/>
        <v>#N/A</v>
      </c>
      <c r="BT181" s="213" t="e">
        <f t="shared" ca="1" si="100"/>
        <v>#N/A</v>
      </c>
      <c r="BU181" s="213" t="e">
        <f t="shared" ca="1" si="100"/>
        <v>#N/A</v>
      </c>
      <c r="BV181" s="213" t="e">
        <f t="shared" ca="1" si="100"/>
        <v>#N/A</v>
      </c>
      <c r="BW181" s="213" t="e">
        <f t="shared" ca="1" si="100"/>
        <v>#N/A</v>
      </c>
    </row>
    <row r="182" spans="1:75" ht="12.75" x14ac:dyDescent="0.2">
      <c r="A182" s="69" t="s">
        <v>244</v>
      </c>
      <c r="B182" s="221"/>
      <c r="D182" s="115">
        <f t="array" aca="1" ref="D182" ca="1">ROUND(INDEX(INDIRECT("CFS_"&amp;TEXT(D$1,"mmm")&amp;"_"&amp;TEXT(D$1,"yyyy")),MATCH(TRIM($A181),CFS_Accounts,0))-D181,2)</f>
        <v>0</v>
      </c>
      <c r="E182" s="115">
        <f t="array" aca="1" ref="E182" ca="1">ROUND(INDEX(INDIRECT("CFS_"&amp;TEXT(E$1,"mmm")&amp;"_"&amp;TEXT(E$1,"yyyy")),MATCH(TRIM($A181),CFS_Accounts,0))-E181,2)</f>
        <v>0</v>
      </c>
      <c r="F182" s="115">
        <f t="array" aca="1" ref="F182" ca="1">ROUND(INDEX(INDIRECT("CFS_"&amp;TEXT(F$1,"mmm")&amp;"_"&amp;TEXT(F$1,"yyyy")),MATCH(TRIM($A181),CFS_Accounts,0))-F181,2)</f>
        <v>0</v>
      </c>
      <c r="G182" s="115">
        <f t="array" aca="1" ref="G182" ca="1">ROUND(INDEX(INDIRECT("CFS_"&amp;TEXT(G$1,"mmm")&amp;"_"&amp;TEXT(G$1,"yyyy")),MATCH(TRIM($A181),CFS_Accounts,0))-G181,2)</f>
        <v>0</v>
      </c>
      <c r="H182" s="115">
        <f t="array" aca="1" ref="H182" ca="1">ROUND(INDEX(INDIRECT("CFS_"&amp;TEXT(H$1,"mmm")&amp;"_"&amp;TEXT(H$1,"yyyy")),MATCH(TRIM($A181),CFS_Accounts,0))-H181,2)</f>
        <v>0</v>
      </c>
      <c r="I182" s="115">
        <f t="array" aca="1" ref="I182" ca="1">ROUND(INDEX(INDIRECT("CFS_"&amp;TEXT(I$1,"mmm")&amp;"_"&amp;TEXT(I$1,"yyyy")),MATCH(TRIM($A181),CFS_Accounts,0))-I181,2)</f>
        <v>0</v>
      </c>
      <c r="J182" s="115">
        <f t="array" aca="1" ref="J182" ca="1">ROUND(INDEX(INDIRECT("CFS_"&amp;TEXT(J$1,"mmm")&amp;"_"&amp;TEXT(J$1,"yyyy")),MATCH(TRIM($A181),CFS_Accounts,0))-J181,2)</f>
        <v>0</v>
      </c>
      <c r="K182" s="115">
        <f t="array" aca="1" ref="K182" ca="1">ROUND(INDEX(INDIRECT("CFS_"&amp;TEXT(K$1,"mmm")&amp;"_"&amp;TEXT(K$1,"yyyy")),MATCH(TRIM($A181),CFS_Accounts,0))-K181,2)</f>
        <v>0</v>
      </c>
      <c r="L182" s="115">
        <f t="array" aca="1" ref="L182" ca="1">ROUND(INDEX(INDIRECT("CFS_"&amp;TEXT(L$1,"mmm")&amp;"_"&amp;TEXT(L$1,"yyyy")),MATCH(TRIM($A181),CFS_Accounts,0))-L181,2)</f>
        <v>0</v>
      </c>
      <c r="M182" s="115">
        <f t="array" aca="1" ref="M182" ca="1">ROUND(INDEX(INDIRECT("CFS_"&amp;TEXT(M$1,"mmm")&amp;"_"&amp;TEXT(M$1,"yyyy")),MATCH(TRIM($A181),CFS_Accounts,0))-M181,2)</f>
        <v>0</v>
      </c>
      <c r="N182" s="115">
        <f t="array" aca="1" ref="N182" ca="1">ROUND(INDEX(INDIRECT("CFS_"&amp;TEXT(N$1,"mmm")&amp;"_"&amp;TEXT(N$1,"yyyy")),MATCH(TRIM($A181),CFS_Accounts,0))-N181,2)</f>
        <v>0</v>
      </c>
      <c r="O182" s="115">
        <f t="array" aca="1" ref="O182" ca="1">ROUND(INDEX(INDIRECT("CFS_"&amp;TEXT(O$1,"mmm")&amp;"_"&amp;TEXT(O$1,"yyyy")),MATCH(TRIM($A181),CFS_Accounts,0))-O181,2)</f>
        <v>0</v>
      </c>
      <c r="P182" s="115">
        <f t="array" aca="1" ref="P182" ca="1">ROUND(INDEX(INDIRECT("CFS_"&amp;TEXT(P$1,"mmm")&amp;"_"&amp;TEXT(P$1,"yyyy")),MATCH(TRIM($A181),CFS_Accounts,0))-P181,2)</f>
        <v>0</v>
      </c>
      <c r="Q182" s="115">
        <f t="array" aca="1" ref="Q182" ca="1">ROUND(INDEX(INDIRECT("CFS_"&amp;TEXT(Q$1,"mmm")&amp;"_"&amp;TEXT(Q$1,"yyyy")),MATCH(TRIM($A181),CFS_Accounts,0))-Q181,2)</f>
        <v>0</v>
      </c>
      <c r="R182" s="115">
        <f t="array" aca="1" ref="R182" ca="1">ROUND(INDEX(INDIRECT("CFS_"&amp;TEXT(R$1,"mmm")&amp;"_"&amp;TEXT(R$1,"yyyy")),MATCH(TRIM($A181),CFS_Accounts,0))-R181,2)</f>
        <v>0</v>
      </c>
      <c r="S182" s="115">
        <f t="array" aca="1" ref="S182" ca="1">ROUND(INDEX(INDIRECT("CFS_"&amp;TEXT(S$1,"mmm")&amp;"_"&amp;TEXT(S$1,"yyyy")),MATCH(TRIM($A181),CFS_Accounts,0))-S181,2)</f>
        <v>0</v>
      </c>
      <c r="T182" s="115">
        <f t="array" aca="1" ref="T182" ca="1">ROUND(INDEX(INDIRECT("CFS_"&amp;TEXT(T$1,"mmm")&amp;"_"&amp;TEXT(T$1,"yyyy")),MATCH(TRIM($A181),CFS_Accounts,0))-T181,2)</f>
        <v>0</v>
      </c>
      <c r="U182" s="115">
        <f t="array" aca="1" ref="U182" ca="1">ROUND(INDEX(INDIRECT("CFS_"&amp;TEXT(U$1,"mmm")&amp;"_"&amp;TEXT(U$1,"yyyy")),MATCH(TRIM($A181),CFS_Accounts,0))-U181,2)</f>
        <v>0</v>
      </c>
      <c r="V182" s="115">
        <f t="array" aca="1" ref="V182" ca="1">ROUND(INDEX(INDIRECT("CFS_"&amp;TEXT(V$1,"mmm")&amp;"_"&amp;TEXT(V$1,"yyyy")),MATCH(TRIM($A181),CFS_Accounts,0))-V181,2)</f>
        <v>0</v>
      </c>
      <c r="W182" s="115">
        <f t="array" aca="1" ref="W182" ca="1">ROUND(INDEX(INDIRECT("CFS_"&amp;TEXT(W$1,"mmm")&amp;"_"&amp;TEXT(W$1,"yyyy")),MATCH(TRIM($A181),CFS_Accounts,0))-W181,2)</f>
        <v>0</v>
      </c>
      <c r="X182" s="115">
        <f t="array" aca="1" ref="X182" ca="1">ROUND(INDEX(INDIRECT("CFS_"&amp;TEXT(X$1,"mmm")&amp;"_"&amp;TEXT(X$1,"yyyy")),MATCH(TRIM($A181),CFS_Accounts,0))-X181,2)</f>
        <v>0</v>
      </c>
      <c r="Y182" s="115">
        <f t="array" aca="1" ref="Y182" ca="1">ROUND(INDEX(INDIRECT("CFS_"&amp;TEXT(Y$1,"mmm")&amp;"_"&amp;TEXT(Y$1,"yyyy")),MATCH(TRIM($A181),CFS_Accounts,0))-Y181,2)</f>
        <v>0</v>
      </c>
      <c r="Z182" s="115">
        <f t="array" aca="1" ref="Z182" ca="1">ROUND(INDEX(INDIRECT("CFS_"&amp;TEXT(Z$1,"mmm")&amp;"_"&amp;TEXT(Z$1,"yyyy")),MATCH(TRIM($A181),CFS_Accounts,0))-Z181,2)</f>
        <v>0</v>
      </c>
      <c r="AA182" s="115">
        <f t="array" aca="1" ref="AA182" ca="1">ROUND(INDEX(INDIRECT("CFS_"&amp;TEXT(AA$1,"mmm")&amp;"_"&amp;TEXT(AA$1,"yyyy")),MATCH(TRIM($A181),CFS_Accounts,0))-AA181,2)</f>
        <v>0</v>
      </c>
      <c r="AB182" s="115">
        <f t="array" aca="1" ref="AB182" ca="1">ROUND(INDEX(INDIRECT("CFS_"&amp;TEXT(AB$1,"mmm")&amp;"_"&amp;TEXT(AB$1,"yyyy")),MATCH(TRIM($A181),CFS_Accounts,0))-AB181,2)</f>
        <v>0</v>
      </c>
      <c r="AC182" s="115">
        <f t="array" aca="1" ref="AC182" ca="1">ROUND(INDEX(INDIRECT("CFS_"&amp;TEXT(AC$1,"mmm")&amp;"_"&amp;TEXT(AC$1,"yyyy")),MATCH(TRIM($A181),CFS_Accounts,0))-AC181,2)</f>
        <v>0</v>
      </c>
      <c r="AD182" s="115">
        <f t="array" aca="1" ref="AD182" ca="1">ROUND(INDEX(INDIRECT("CFS_"&amp;TEXT(AD$1,"mmm")&amp;"_"&amp;TEXT(AD$1,"yyyy")),MATCH(TRIM($A181),CFS_Accounts,0))-AD181,2)</f>
        <v>0</v>
      </c>
      <c r="AE182" s="115">
        <f t="array" aca="1" ref="AE182" ca="1">ROUND(INDEX(INDIRECT("CFS_"&amp;TEXT(AE$1,"mmm")&amp;"_"&amp;TEXT(AE$1,"yyyy")),MATCH(TRIM($A181),CFS_Accounts,0))-AE181,2)</f>
        <v>0</v>
      </c>
    </row>
    <row r="183" spans="1:75" ht="12.75" x14ac:dyDescent="0.2">
      <c r="B183" s="221"/>
    </row>
    <row r="184" spans="1:75" ht="12.75" x14ac:dyDescent="0.2">
      <c r="B184" s="221"/>
    </row>
    <row r="185" spans="1:75" ht="12.75" x14ac:dyDescent="0.2">
      <c r="B185" s="221"/>
    </row>
    <row r="186" spans="1:75" ht="12.75" x14ac:dyDescent="0.2">
      <c r="B186" s="221"/>
    </row>
    <row r="187" spans="1:75" ht="12.75" x14ac:dyDescent="0.2">
      <c r="B187" s="221"/>
    </row>
    <row r="188" spans="1:75" ht="12.75" x14ac:dyDescent="0.2">
      <c r="B188" s="221"/>
    </row>
    <row r="189" spans="1:75" ht="12.75" x14ac:dyDescent="0.2">
      <c r="B189" s="221"/>
    </row>
    <row r="190" spans="1:75" ht="12.75" x14ac:dyDescent="0.2">
      <c r="B190" s="221"/>
    </row>
    <row r="191" spans="1:75" ht="12.75" x14ac:dyDescent="0.2">
      <c r="B191" s="221"/>
    </row>
    <row r="192" spans="1:75" ht="12.75" x14ac:dyDescent="0.2">
      <c r="B192" s="221"/>
    </row>
    <row r="193" spans="2:2" ht="12.75" x14ac:dyDescent="0.2">
      <c r="B193" s="221"/>
    </row>
    <row r="194" spans="2:2" ht="12.75" x14ac:dyDescent="0.2">
      <c r="B194" s="221"/>
    </row>
    <row r="195" spans="2:2" ht="12.75" x14ac:dyDescent="0.2">
      <c r="B195" s="221"/>
    </row>
    <row r="196" spans="2:2" ht="12.75" x14ac:dyDescent="0.2">
      <c r="B196" s="221"/>
    </row>
    <row r="197" spans="2:2" ht="12.75" x14ac:dyDescent="0.2">
      <c r="B197" s="221"/>
    </row>
    <row r="198" spans="2:2" ht="12.75" x14ac:dyDescent="0.2">
      <c r="B198" s="221"/>
    </row>
    <row r="199" spans="2:2" ht="12.75" x14ac:dyDescent="0.2">
      <c r="B199" s="221"/>
    </row>
    <row r="200" spans="2:2" ht="12.75" x14ac:dyDescent="0.2">
      <c r="B200" s="221"/>
    </row>
    <row r="201" spans="2:2" ht="12.75" x14ac:dyDescent="0.2">
      <c r="B201" s="221"/>
    </row>
    <row r="202" spans="2:2" ht="12.75" x14ac:dyDescent="0.2">
      <c r="B202" s="221"/>
    </row>
    <row r="203" spans="2:2" ht="12.75" x14ac:dyDescent="0.2">
      <c r="B203" s="221"/>
    </row>
    <row r="204" spans="2:2" ht="12.75" x14ac:dyDescent="0.2">
      <c r="B204" s="221"/>
    </row>
    <row r="205" spans="2:2" ht="12.75" x14ac:dyDescent="0.2">
      <c r="B205" s="221"/>
    </row>
    <row r="206" spans="2:2" ht="12.75" x14ac:dyDescent="0.2">
      <c r="B206" s="221"/>
    </row>
    <row r="207" spans="2:2" ht="12.75" x14ac:dyDescent="0.2">
      <c r="B207" s="221"/>
    </row>
    <row r="208" spans="2:2" ht="12.75" x14ac:dyDescent="0.2">
      <c r="B208" s="221"/>
    </row>
    <row r="209" spans="2:2" ht="12.75" x14ac:dyDescent="0.2">
      <c r="B209" s="221"/>
    </row>
    <row r="210" spans="2:2" ht="12.75" x14ac:dyDescent="0.2">
      <c r="B210" s="221"/>
    </row>
    <row r="211" spans="2:2" ht="12.75" x14ac:dyDescent="0.2">
      <c r="B211" s="221"/>
    </row>
    <row r="212" spans="2:2" ht="12.75" x14ac:dyDescent="0.2">
      <c r="B212" s="221"/>
    </row>
    <row r="213" spans="2:2" ht="12.75" x14ac:dyDescent="0.2">
      <c r="B213" s="221"/>
    </row>
    <row r="214" spans="2:2" ht="12.75" x14ac:dyDescent="0.2">
      <c r="B214" s="221"/>
    </row>
    <row r="215" spans="2:2" ht="12.75" x14ac:dyDescent="0.2">
      <c r="B215" s="221"/>
    </row>
    <row r="216" spans="2:2" ht="12.75" x14ac:dyDescent="0.2">
      <c r="B216" s="221"/>
    </row>
    <row r="217" spans="2:2" ht="12.75" x14ac:dyDescent="0.2">
      <c r="B217" s="221"/>
    </row>
    <row r="218" spans="2:2" ht="12.75" x14ac:dyDescent="0.2">
      <c r="B218" s="221"/>
    </row>
    <row r="219" spans="2:2" ht="12.75" x14ac:dyDescent="0.2">
      <c r="B219" s="221"/>
    </row>
    <row r="220" spans="2:2" ht="12.75" x14ac:dyDescent="0.2">
      <c r="B220" s="221"/>
    </row>
    <row r="221" spans="2:2" ht="12.75" x14ac:dyDescent="0.2">
      <c r="B221" s="221"/>
    </row>
    <row r="222" spans="2:2" ht="12.75" x14ac:dyDescent="0.2">
      <c r="B222" s="221"/>
    </row>
    <row r="223" spans="2:2" ht="12.75" x14ac:dyDescent="0.2">
      <c r="B223" s="221"/>
    </row>
    <row r="224" spans="2:2" ht="12.75" x14ac:dyDescent="0.2">
      <c r="B224" s="221"/>
    </row>
    <row r="225" spans="2:2" ht="12.75" x14ac:dyDescent="0.2">
      <c r="B225" s="221"/>
    </row>
    <row r="226" spans="2:2" ht="12.75" x14ac:dyDescent="0.2">
      <c r="B226" s="221"/>
    </row>
    <row r="227" spans="2:2" ht="12.75" x14ac:dyDescent="0.2">
      <c r="B227" s="221"/>
    </row>
    <row r="228" spans="2:2" ht="12.75" x14ac:dyDescent="0.2">
      <c r="B228" s="221"/>
    </row>
    <row r="229" spans="2:2" ht="12.75" x14ac:dyDescent="0.2">
      <c r="B229" s="221"/>
    </row>
    <row r="230" spans="2:2" ht="12.75" x14ac:dyDescent="0.2">
      <c r="B230" s="221"/>
    </row>
    <row r="231" spans="2:2" ht="12.75" x14ac:dyDescent="0.2">
      <c r="B231" s="221"/>
    </row>
    <row r="232" spans="2:2" ht="12.75" x14ac:dyDescent="0.2">
      <c r="B232" s="221"/>
    </row>
    <row r="233" spans="2:2" ht="12.75" x14ac:dyDescent="0.2">
      <c r="B233" s="221"/>
    </row>
    <row r="234" spans="2:2" ht="12.75" x14ac:dyDescent="0.2">
      <c r="B234" s="221"/>
    </row>
    <row r="235" spans="2:2" ht="12.75" x14ac:dyDescent="0.2">
      <c r="B235" s="221"/>
    </row>
    <row r="236" spans="2:2" ht="12.75" x14ac:dyDescent="0.2">
      <c r="B236" s="221"/>
    </row>
    <row r="237" spans="2:2" ht="12.75" x14ac:dyDescent="0.2">
      <c r="B237" s="221"/>
    </row>
    <row r="238" spans="2:2" ht="12.75" x14ac:dyDescent="0.2">
      <c r="B238" s="221"/>
    </row>
    <row r="239" spans="2:2" ht="12.75" x14ac:dyDescent="0.2">
      <c r="B239" s="221"/>
    </row>
    <row r="240" spans="2:2" ht="12.75" x14ac:dyDescent="0.2">
      <c r="B240" s="221"/>
    </row>
    <row r="241" spans="2:2" ht="12.75" x14ac:dyDescent="0.2">
      <c r="B241" s="221"/>
    </row>
    <row r="242" spans="2:2" ht="12.75" x14ac:dyDescent="0.2">
      <c r="B242" s="221"/>
    </row>
    <row r="243" spans="2:2" ht="12.75" x14ac:dyDescent="0.2">
      <c r="B243" s="221"/>
    </row>
    <row r="244" spans="2:2" ht="12.75" x14ac:dyDescent="0.2">
      <c r="B244" s="221"/>
    </row>
    <row r="245" spans="2:2" ht="12.75" x14ac:dyDescent="0.2">
      <c r="B245" s="221"/>
    </row>
    <row r="246" spans="2:2" ht="12.75" x14ac:dyDescent="0.2">
      <c r="B246" s="221"/>
    </row>
    <row r="247" spans="2:2" ht="12.75" x14ac:dyDescent="0.2">
      <c r="B247" s="221"/>
    </row>
    <row r="248" spans="2:2" ht="12.75" x14ac:dyDescent="0.2">
      <c r="B248" s="221"/>
    </row>
    <row r="249" spans="2:2" ht="12.75" x14ac:dyDescent="0.2">
      <c r="B249" s="221"/>
    </row>
    <row r="250" spans="2:2" ht="12.75" x14ac:dyDescent="0.2">
      <c r="B250" s="221"/>
    </row>
    <row r="251" spans="2:2" ht="12.75" x14ac:dyDescent="0.2">
      <c r="B251" s="221"/>
    </row>
    <row r="252" spans="2:2" ht="12.75" x14ac:dyDescent="0.2">
      <c r="B252" s="221"/>
    </row>
    <row r="253" spans="2:2" ht="12.75" x14ac:dyDescent="0.2">
      <c r="B253" s="221"/>
    </row>
    <row r="254" spans="2:2" ht="12.75" x14ac:dyDescent="0.2">
      <c r="B254" s="221"/>
    </row>
    <row r="255" spans="2:2" ht="12.75" x14ac:dyDescent="0.2">
      <c r="B255" s="221"/>
    </row>
    <row r="256" spans="2:2" ht="12.75" x14ac:dyDescent="0.2">
      <c r="B256" s="221"/>
    </row>
    <row r="257" spans="2:2" ht="12.75" x14ac:dyDescent="0.2">
      <c r="B257" s="221"/>
    </row>
    <row r="258" spans="2:2" ht="12.75" x14ac:dyDescent="0.2">
      <c r="B258" s="221"/>
    </row>
    <row r="259" spans="2:2" ht="12.75" x14ac:dyDescent="0.2">
      <c r="B259" s="221"/>
    </row>
    <row r="260" spans="2:2" ht="12.75" x14ac:dyDescent="0.2">
      <c r="B260" s="221"/>
    </row>
    <row r="261" spans="2:2" ht="12.75" x14ac:dyDescent="0.2">
      <c r="B261" s="221"/>
    </row>
    <row r="262" spans="2:2" ht="12.75" x14ac:dyDescent="0.2">
      <c r="B262" s="221"/>
    </row>
    <row r="263" spans="2:2" ht="12.75" x14ac:dyDescent="0.2">
      <c r="B263" s="221"/>
    </row>
    <row r="264" spans="2:2" ht="12.75" x14ac:dyDescent="0.2">
      <c r="B264" s="221"/>
    </row>
    <row r="265" spans="2:2" ht="12.75" x14ac:dyDescent="0.2">
      <c r="B265" s="221"/>
    </row>
    <row r="266" spans="2:2" ht="12.75" x14ac:dyDescent="0.2">
      <c r="B266" s="221"/>
    </row>
    <row r="267" spans="2:2" ht="12.75" x14ac:dyDescent="0.2">
      <c r="B267" s="221"/>
    </row>
    <row r="268" spans="2:2" ht="12.75" x14ac:dyDescent="0.2">
      <c r="B268" s="221"/>
    </row>
    <row r="269" spans="2:2" ht="12.75" x14ac:dyDescent="0.2">
      <c r="B269" s="221"/>
    </row>
    <row r="270" spans="2:2" ht="12.75" x14ac:dyDescent="0.2">
      <c r="B270" s="221"/>
    </row>
    <row r="271" spans="2:2" ht="12.75" x14ac:dyDescent="0.2">
      <c r="B271" s="221"/>
    </row>
    <row r="272" spans="2:2" ht="12.75" x14ac:dyDescent="0.2">
      <c r="B272" s="221"/>
    </row>
    <row r="273" spans="2:2" ht="12.75" x14ac:dyDescent="0.2">
      <c r="B273" s="221"/>
    </row>
    <row r="274" spans="2:2" ht="12.75" x14ac:dyDescent="0.2">
      <c r="B274" s="221"/>
    </row>
    <row r="275" spans="2:2" ht="12.75" x14ac:dyDescent="0.2">
      <c r="B275" s="221"/>
    </row>
    <row r="276" spans="2:2" ht="12.75" x14ac:dyDescent="0.2">
      <c r="B276" s="221"/>
    </row>
    <row r="277" spans="2:2" ht="12.75" x14ac:dyDescent="0.2">
      <c r="B277" s="221"/>
    </row>
    <row r="278" spans="2:2" ht="12.75" x14ac:dyDescent="0.2">
      <c r="B278" s="221"/>
    </row>
    <row r="279" spans="2:2" ht="12.75" x14ac:dyDescent="0.2">
      <c r="B279" s="221"/>
    </row>
    <row r="280" spans="2:2" ht="12.75" x14ac:dyDescent="0.2">
      <c r="B280" s="221"/>
    </row>
    <row r="281" spans="2:2" ht="12.75" x14ac:dyDescent="0.2">
      <c r="B281" s="221"/>
    </row>
    <row r="282" spans="2:2" ht="12.75" x14ac:dyDescent="0.2">
      <c r="B282" s="221"/>
    </row>
    <row r="283" spans="2:2" ht="12.75" x14ac:dyDescent="0.2">
      <c r="B283" s="221"/>
    </row>
    <row r="284" spans="2:2" ht="12.75" x14ac:dyDescent="0.2">
      <c r="B284" s="221"/>
    </row>
    <row r="285" spans="2:2" ht="12.75" x14ac:dyDescent="0.2">
      <c r="B285" s="221"/>
    </row>
    <row r="286" spans="2:2" ht="12.75" x14ac:dyDescent="0.2">
      <c r="B286" s="221"/>
    </row>
    <row r="287" spans="2:2" ht="12.75" x14ac:dyDescent="0.2">
      <c r="B287" s="221"/>
    </row>
    <row r="288" spans="2:2" ht="12.75" x14ac:dyDescent="0.2">
      <c r="B288" s="221"/>
    </row>
    <row r="289" spans="2:2" ht="12.75" x14ac:dyDescent="0.2">
      <c r="B289" s="221"/>
    </row>
    <row r="290" spans="2:2" ht="12.75" x14ac:dyDescent="0.2">
      <c r="B290" s="221"/>
    </row>
    <row r="291" spans="2:2" ht="12.75" x14ac:dyDescent="0.2">
      <c r="B291" s="221"/>
    </row>
    <row r="292" spans="2:2" ht="12.75" x14ac:dyDescent="0.2">
      <c r="B292" s="221"/>
    </row>
    <row r="293" spans="2:2" ht="12.75" x14ac:dyDescent="0.2">
      <c r="B293" s="221"/>
    </row>
    <row r="294" spans="2:2" ht="12.75" x14ac:dyDescent="0.2">
      <c r="B294" s="221"/>
    </row>
    <row r="295" spans="2:2" ht="12.75" x14ac:dyDescent="0.2">
      <c r="B295" s="221"/>
    </row>
    <row r="296" spans="2:2" ht="12.75" x14ac:dyDescent="0.2">
      <c r="B296" s="221"/>
    </row>
    <row r="297" spans="2:2" ht="12.75" x14ac:dyDescent="0.2">
      <c r="B297" s="221"/>
    </row>
    <row r="298" spans="2:2" ht="12.75" x14ac:dyDescent="0.2">
      <c r="B298" s="221"/>
    </row>
    <row r="299" spans="2:2" ht="12.75" x14ac:dyDescent="0.2">
      <c r="B299" s="221"/>
    </row>
    <row r="300" spans="2:2" ht="12.75" x14ac:dyDescent="0.2">
      <c r="B300" s="221"/>
    </row>
    <row r="301" spans="2:2" ht="12.75" x14ac:dyDescent="0.2">
      <c r="B301" s="221"/>
    </row>
    <row r="302" spans="2:2" ht="12.75" x14ac:dyDescent="0.2">
      <c r="B302" s="221"/>
    </row>
    <row r="303" spans="2:2" ht="12.75" x14ac:dyDescent="0.2">
      <c r="B303" s="221"/>
    </row>
    <row r="304" spans="2:2" ht="12.75" x14ac:dyDescent="0.2">
      <c r="B304" s="221"/>
    </row>
    <row r="305" spans="2:2" ht="12.75" x14ac:dyDescent="0.2">
      <c r="B305" s="221"/>
    </row>
    <row r="306" spans="2:2" ht="12.75" x14ac:dyDescent="0.2">
      <c r="B306" s="221"/>
    </row>
    <row r="307" spans="2:2" ht="12.75" x14ac:dyDescent="0.2">
      <c r="B307" s="221"/>
    </row>
    <row r="308" spans="2:2" ht="12.75" x14ac:dyDescent="0.2">
      <c r="B308" s="221"/>
    </row>
    <row r="309" spans="2:2" ht="12.75" x14ac:dyDescent="0.2">
      <c r="B309" s="221"/>
    </row>
    <row r="310" spans="2:2" ht="12.75" x14ac:dyDescent="0.2">
      <c r="B310" s="221"/>
    </row>
    <row r="311" spans="2:2" ht="12.75" x14ac:dyDescent="0.2">
      <c r="B311" s="221"/>
    </row>
    <row r="312" spans="2:2" ht="12.75" x14ac:dyDescent="0.2">
      <c r="B312" s="221"/>
    </row>
    <row r="313" spans="2:2" ht="12.75" x14ac:dyDescent="0.2">
      <c r="B313" s="221"/>
    </row>
    <row r="314" spans="2:2" ht="12.75" x14ac:dyDescent="0.2">
      <c r="B314" s="221"/>
    </row>
    <row r="315" spans="2:2" ht="12.75" x14ac:dyDescent="0.2">
      <c r="B315" s="221"/>
    </row>
    <row r="316" spans="2:2" ht="12.75" x14ac:dyDescent="0.2">
      <c r="B316" s="221"/>
    </row>
    <row r="317" spans="2:2" ht="12.75" x14ac:dyDescent="0.2">
      <c r="B317" s="221"/>
    </row>
    <row r="318" spans="2:2" ht="12.75" x14ac:dyDescent="0.2">
      <c r="B318" s="221"/>
    </row>
    <row r="319" spans="2:2" ht="12.75" x14ac:dyDescent="0.2">
      <c r="B319" s="221"/>
    </row>
    <row r="320" spans="2:2" ht="12.75" x14ac:dyDescent="0.2">
      <c r="B320" s="221"/>
    </row>
    <row r="321" spans="2:2" ht="12.75" x14ac:dyDescent="0.2">
      <c r="B321" s="221"/>
    </row>
    <row r="322" spans="2:2" ht="12.75" x14ac:dyDescent="0.2">
      <c r="B322" s="221"/>
    </row>
    <row r="323" spans="2:2" ht="12.75" x14ac:dyDescent="0.2">
      <c r="B323" s="221"/>
    </row>
    <row r="324" spans="2:2" ht="12.75" x14ac:dyDescent="0.2">
      <c r="B324" s="221"/>
    </row>
    <row r="325" spans="2:2" ht="12.75" x14ac:dyDescent="0.2">
      <c r="B325" s="221"/>
    </row>
    <row r="326" spans="2:2" ht="12.75" x14ac:dyDescent="0.2">
      <c r="B326" s="221"/>
    </row>
    <row r="327" spans="2:2" ht="12.75" x14ac:dyDescent="0.2">
      <c r="B327" s="221"/>
    </row>
    <row r="328" spans="2:2" ht="12.75" x14ac:dyDescent="0.2">
      <c r="B328" s="221"/>
    </row>
    <row r="329" spans="2:2" ht="12.75" x14ac:dyDescent="0.2">
      <c r="B329" s="221"/>
    </row>
    <row r="330" spans="2:2" ht="12.75" x14ac:dyDescent="0.2">
      <c r="B330" s="221"/>
    </row>
    <row r="331" spans="2:2" ht="12.75" x14ac:dyDescent="0.2">
      <c r="B331" s="221"/>
    </row>
    <row r="332" spans="2:2" ht="12.75" x14ac:dyDescent="0.2">
      <c r="B332" s="221"/>
    </row>
    <row r="333" spans="2:2" ht="12.75" x14ac:dyDescent="0.2">
      <c r="B333" s="221"/>
    </row>
    <row r="334" spans="2:2" ht="12.75" x14ac:dyDescent="0.2">
      <c r="B334" s="221"/>
    </row>
    <row r="335" spans="2:2" ht="12.75" x14ac:dyDescent="0.2">
      <c r="B335" s="221"/>
    </row>
    <row r="336" spans="2:2" ht="12.75" x14ac:dyDescent="0.2">
      <c r="B336" s="221"/>
    </row>
    <row r="337" spans="2:2" ht="12.75" x14ac:dyDescent="0.2">
      <c r="B337" s="221"/>
    </row>
    <row r="338" spans="2:2" ht="12.75" x14ac:dyDescent="0.2">
      <c r="B338" s="221"/>
    </row>
    <row r="339" spans="2:2" ht="12.75" x14ac:dyDescent="0.2">
      <c r="B339" s="221"/>
    </row>
    <row r="340" spans="2:2" ht="12.75" x14ac:dyDescent="0.2">
      <c r="B340" s="221"/>
    </row>
    <row r="341" spans="2:2" ht="12.75" x14ac:dyDescent="0.2">
      <c r="B341" s="221"/>
    </row>
    <row r="342" spans="2:2" ht="12.75" x14ac:dyDescent="0.2">
      <c r="B342" s="221"/>
    </row>
    <row r="343" spans="2:2" ht="12.75" x14ac:dyDescent="0.2">
      <c r="B343" s="221"/>
    </row>
    <row r="344" spans="2:2" ht="12.75" x14ac:dyDescent="0.2">
      <c r="B344" s="221"/>
    </row>
    <row r="345" spans="2:2" ht="12.75" x14ac:dyDescent="0.2">
      <c r="B345" s="221"/>
    </row>
    <row r="346" spans="2:2" ht="12.75" x14ac:dyDescent="0.2">
      <c r="B346" s="221"/>
    </row>
    <row r="347" spans="2:2" ht="12.75" x14ac:dyDescent="0.2">
      <c r="B347" s="221"/>
    </row>
    <row r="348" spans="2:2" ht="12.75" x14ac:dyDescent="0.2">
      <c r="B348" s="221"/>
    </row>
    <row r="349" spans="2:2" ht="12.75" x14ac:dyDescent="0.2">
      <c r="B349" s="221"/>
    </row>
    <row r="350" spans="2:2" ht="12.75" x14ac:dyDescent="0.2">
      <c r="B350" s="221"/>
    </row>
    <row r="351" spans="2:2" ht="12.75" x14ac:dyDescent="0.2">
      <c r="B351" s="221"/>
    </row>
    <row r="352" spans="2:2" ht="12.75" x14ac:dyDescent="0.2">
      <c r="B352" s="221"/>
    </row>
    <row r="353" spans="2:2" ht="12.75" x14ac:dyDescent="0.2">
      <c r="B353" s="221"/>
    </row>
    <row r="354" spans="2:2" ht="12.75" x14ac:dyDescent="0.2">
      <c r="B354" s="221"/>
    </row>
    <row r="355" spans="2:2" ht="12.75" x14ac:dyDescent="0.2">
      <c r="B355" s="221"/>
    </row>
    <row r="356" spans="2:2" ht="12.75" x14ac:dyDescent="0.2">
      <c r="B356" s="221"/>
    </row>
    <row r="357" spans="2:2" ht="12.75" x14ac:dyDescent="0.2">
      <c r="B357" s="221"/>
    </row>
    <row r="358" spans="2:2" ht="12.75" x14ac:dyDescent="0.2">
      <c r="B358" s="221"/>
    </row>
    <row r="359" spans="2:2" ht="12.75" x14ac:dyDescent="0.2">
      <c r="B359" s="221"/>
    </row>
    <row r="360" spans="2:2" ht="12.75" x14ac:dyDescent="0.2">
      <c r="B360" s="221"/>
    </row>
    <row r="361" spans="2:2" ht="12.75" x14ac:dyDescent="0.2">
      <c r="B361" s="221"/>
    </row>
    <row r="362" spans="2:2" ht="12.75" x14ac:dyDescent="0.2">
      <c r="B362" s="221"/>
    </row>
    <row r="363" spans="2:2" ht="12.75" x14ac:dyDescent="0.2">
      <c r="B363" s="221"/>
    </row>
    <row r="364" spans="2:2" ht="12.75" x14ac:dyDescent="0.2">
      <c r="B364" s="221"/>
    </row>
    <row r="365" spans="2:2" ht="12.75" x14ac:dyDescent="0.2">
      <c r="B365" s="221"/>
    </row>
    <row r="366" spans="2:2" ht="12.75" x14ac:dyDescent="0.2">
      <c r="B366" s="221"/>
    </row>
    <row r="367" spans="2:2" ht="12.75" x14ac:dyDescent="0.2">
      <c r="B367" s="221"/>
    </row>
    <row r="368" spans="2:2" ht="12.75" x14ac:dyDescent="0.2">
      <c r="B368" s="221"/>
    </row>
    <row r="369" spans="2:2" ht="12.75" x14ac:dyDescent="0.2">
      <c r="B369" s="221"/>
    </row>
    <row r="370" spans="2:2" ht="12.75" x14ac:dyDescent="0.2">
      <c r="B370" s="221"/>
    </row>
    <row r="371" spans="2:2" ht="12.75" x14ac:dyDescent="0.2">
      <c r="B371" s="221"/>
    </row>
    <row r="372" spans="2:2" ht="12.75" x14ac:dyDescent="0.2">
      <c r="B372" s="221"/>
    </row>
    <row r="373" spans="2:2" ht="12.75" x14ac:dyDescent="0.2">
      <c r="B373" s="221"/>
    </row>
    <row r="374" spans="2:2" ht="12.75" x14ac:dyDescent="0.2">
      <c r="B374" s="221"/>
    </row>
    <row r="375" spans="2:2" ht="12.75" x14ac:dyDescent="0.2">
      <c r="B375" s="221"/>
    </row>
    <row r="376" spans="2:2" ht="12.75" x14ac:dyDescent="0.2">
      <c r="B376" s="221"/>
    </row>
    <row r="377" spans="2:2" ht="12.75" x14ac:dyDescent="0.2">
      <c r="B377" s="221"/>
    </row>
    <row r="378" spans="2:2" ht="12.75" x14ac:dyDescent="0.2">
      <c r="B378" s="221"/>
    </row>
    <row r="379" spans="2:2" ht="12.75" x14ac:dyDescent="0.2">
      <c r="B379" s="221"/>
    </row>
    <row r="380" spans="2:2" ht="12.75" x14ac:dyDescent="0.2">
      <c r="B380" s="221"/>
    </row>
    <row r="381" spans="2:2" ht="12.75" x14ac:dyDescent="0.2">
      <c r="B381" s="221"/>
    </row>
    <row r="382" spans="2:2" ht="12.75" x14ac:dyDescent="0.2">
      <c r="B382" s="221"/>
    </row>
    <row r="383" spans="2:2" ht="12.75" x14ac:dyDescent="0.2">
      <c r="B383" s="221"/>
    </row>
    <row r="384" spans="2:2" ht="12.75" x14ac:dyDescent="0.2">
      <c r="B384" s="221"/>
    </row>
    <row r="385" spans="2:2" ht="12.75" x14ac:dyDescent="0.2">
      <c r="B385" s="221"/>
    </row>
    <row r="386" spans="2:2" ht="12.75" x14ac:dyDescent="0.2">
      <c r="B386" s="221"/>
    </row>
    <row r="387" spans="2:2" ht="12.75" x14ac:dyDescent="0.2">
      <c r="B387" s="221"/>
    </row>
    <row r="388" spans="2:2" ht="12.75" x14ac:dyDescent="0.2">
      <c r="B388" s="221"/>
    </row>
    <row r="389" spans="2:2" ht="12.75" x14ac:dyDescent="0.2">
      <c r="B389" s="221"/>
    </row>
    <row r="390" spans="2:2" ht="12.75" x14ac:dyDescent="0.2">
      <c r="B390" s="221"/>
    </row>
    <row r="391" spans="2:2" ht="12.75" x14ac:dyDescent="0.2">
      <c r="B391" s="221"/>
    </row>
    <row r="392" spans="2:2" ht="12.75" x14ac:dyDescent="0.2">
      <c r="B392" s="221"/>
    </row>
    <row r="393" spans="2:2" ht="12.75" x14ac:dyDescent="0.2">
      <c r="B393" s="221"/>
    </row>
    <row r="394" spans="2:2" ht="12.75" x14ac:dyDescent="0.2">
      <c r="B394" s="221"/>
    </row>
    <row r="395" spans="2:2" ht="12.75" x14ac:dyDescent="0.2">
      <c r="B395" s="221"/>
    </row>
    <row r="396" spans="2:2" ht="12.75" x14ac:dyDescent="0.2">
      <c r="B396" s="221"/>
    </row>
    <row r="397" spans="2:2" ht="12.75" x14ac:dyDescent="0.2">
      <c r="B397" s="221"/>
    </row>
    <row r="398" spans="2:2" ht="12.75" x14ac:dyDescent="0.2">
      <c r="B398" s="221"/>
    </row>
    <row r="399" spans="2:2" ht="12.75" x14ac:dyDescent="0.2">
      <c r="B399" s="221"/>
    </row>
    <row r="400" spans="2:2" ht="12.75" x14ac:dyDescent="0.2">
      <c r="B400" s="221"/>
    </row>
    <row r="401" spans="2:2" ht="12.75" x14ac:dyDescent="0.2">
      <c r="B401" s="221"/>
    </row>
    <row r="402" spans="2:2" ht="12.75" x14ac:dyDescent="0.2">
      <c r="B402" s="221"/>
    </row>
    <row r="403" spans="2:2" ht="12.75" x14ac:dyDescent="0.2">
      <c r="B403" s="221"/>
    </row>
    <row r="404" spans="2:2" ht="12.75" x14ac:dyDescent="0.2">
      <c r="B404" s="221"/>
    </row>
    <row r="405" spans="2:2" ht="12.75" x14ac:dyDescent="0.2">
      <c r="B405" s="221"/>
    </row>
    <row r="406" spans="2:2" ht="12.75" x14ac:dyDescent="0.2">
      <c r="B406" s="221"/>
    </row>
    <row r="407" spans="2:2" ht="12.75" x14ac:dyDescent="0.2">
      <c r="B407" s="221"/>
    </row>
    <row r="408" spans="2:2" ht="12.75" x14ac:dyDescent="0.2">
      <c r="B408" s="221"/>
    </row>
    <row r="409" spans="2:2" ht="12.75" x14ac:dyDescent="0.2">
      <c r="B409" s="221"/>
    </row>
    <row r="410" spans="2:2" ht="12.75" x14ac:dyDescent="0.2">
      <c r="B410" s="221"/>
    </row>
    <row r="411" spans="2:2" ht="12.75" x14ac:dyDescent="0.2">
      <c r="B411" s="221"/>
    </row>
    <row r="412" spans="2:2" ht="12.75" x14ac:dyDescent="0.2">
      <c r="B412" s="221"/>
    </row>
    <row r="413" spans="2:2" ht="12.75" x14ac:dyDescent="0.2">
      <c r="B413" s="221"/>
    </row>
    <row r="414" spans="2:2" ht="12.75" x14ac:dyDescent="0.2">
      <c r="B414" s="221"/>
    </row>
    <row r="415" spans="2:2" ht="12.75" x14ac:dyDescent="0.2">
      <c r="B415" s="221"/>
    </row>
    <row r="416" spans="2:2" ht="12.75" x14ac:dyDescent="0.2">
      <c r="B416" s="221"/>
    </row>
    <row r="417" spans="2:2" ht="12.75" x14ac:dyDescent="0.2">
      <c r="B417" s="221"/>
    </row>
    <row r="418" spans="2:2" ht="12.75" x14ac:dyDescent="0.2">
      <c r="B418" s="221"/>
    </row>
    <row r="419" spans="2:2" ht="12.75" x14ac:dyDescent="0.2">
      <c r="B419" s="221"/>
    </row>
    <row r="420" spans="2:2" ht="12.75" x14ac:dyDescent="0.2">
      <c r="B420" s="221"/>
    </row>
    <row r="421" spans="2:2" ht="12.75" x14ac:dyDescent="0.2">
      <c r="B421" s="221"/>
    </row>
    <row r="422" spans="2:2" ht="12.75" x14ac:dyDescent="0.2">
      <c r="B422" s="221"/>
    </row>
    <row r="423" spans="2:2" ht="12.75" x14ac:dyDescent="0.2">
      <c r="B423" s="221"/>
    </row>
    <row r="424" spans="2:2" ht="12.75" x14ac:dyDescent="0.2">
      <c r="B424" s="221"/>
    </row>
    <row r="425" spans="2:2" ht="12.75" x14ac:dyDescent="0.2">
      <c r="B425" s="221"/>
    </row>
    <row r="426" spans="2:2" ht="12.75" x14ac:dyDescent="0.2">
      <c r="B426" s="221"/>
    </row>
    <row r="427" spans="2:2" ht="12.75" x14ac:dyDescent="0.2">
      <c r="B427" s="221"/>
    </row>
    <row r="428" spans="2:2" ht="12.75" x14ac:dyDescent="0.2">
      <c r="B428" s="221"/>
    </row>
    <row r="429" spans="2:2" ht="12.75" x14ac:dyDescent="0.2">
      <c r="B429" s="221"/>
    </row>
    <row r="430" spans="2:2" ht="12.75" x14ac:dyDescent="0.2">
      <c r="B430" s="221"/>
    </row>
    <row r="431" spans="2:2" ht="12.75" x14ac:dyDescent="0.2">
      <c r="B431" s="221"/>
    </row>
    <row r="432" spans="2:2" ht="12.75" x14ac:dyDescent="0.2">
      <c r="B432" s="221"/>
    </row>
    <row r="433" spans="2:2" ht="12.75" x14ac:dyDescent="0.2">
      <c r="B433" s="221"/>
    </row>
    <row r="434" spans="2:2" ht="12.75" x14ac:dyDescent="0.2">
      <c r="B434" s="221"/>
    </row>
    <row r="435" spans="2:2" ht="12.75" x14ac:dyDescent="0.2">
      <c r="B435" s="221"/>
    </row>
    <row r="436" spans="2:2" ht="12.75" x14ac:dyDescent="0.2">
      <c r="B436" s="221"/>
    </row>
    <row r="437" spans="2:2" ht="12.75" x14ac:dyDescent="0.2">
      <c r="B437" s="221"/>
    </row>
    <row r="438" spans="2:2" ht="12.75" x14ac:dyDescent="0.2">
      <c r="B438" s="221"/>
    </row>
    <row r="439" spans="2:2" ht="12.75" x14ac:dyDescent="0.2">
      <c r="B439" s="221"/>
    </row>
    <row r="440" spans="2:2" ht="12.75" x14ac:dyDescent="0.2">
      <c r="B440" s="221"/>
    </row>
    <row r="441" spans="2:2" ht="12.75" x14ac:dyDescent="0.2">
      <c r="B441" s="221"/>
    </row>
    <row r="442" spans="2:2" ht="12.75" x14ac:dyDescent="0.2">
      <c r="B442" s="221"/>
    </row>
    <row r="443" spans="2:2" ht="12.75" x14ac:dyDescent="0.2">
      <c r="B443" s="221"/>
    </row>
    <row r="444" spans="2:2" ht="12.75" x14ac:dyDescent="0.2">
      <c r="B444" s="221"/>
    </row>
    <row r="445" spans="2:2" ht="12.75" x14ac:dyDescent="0.2">
      <c r="B445" s="221"/>
    </row>
    <row r="446" spans="2:2" ht="12.75" x14ac:dyDescent="0.2">
      <c r="B446" s="221"/>
    </row>
    <row r="447" spans="2:2" ht="12.75" x14ac:dyDescent="0.2">
      <c r="B447" s="221"/>
    </row>
    <row r="448" spans="2:2" ht="12.75" x14ac:dyDescent="0.2">
      <c r="B448" s="221"/>
    </row>
    <row r="449" spans="2:2" ht="12.75" x14ac:dyDescent="0.2">
      <c r="B449" s="221"/>
    </row>
    <row r="450" spans="2:2" ht="12.75" x14ac:dyDescent="0.2">
      <c r="B450" s="221"/>
    </row>
    <row r="451" spans="2:2" ht="12.75" x14ac:dyDescent="0.2">
      <c r="B451" s="221"/>
    </row>
    <row r="452" spans="2:2" ht="12.75" x14ac:dyDescent="0.2">
      <c r="B452" s="221"/>
    </row>
    <row r="453" spans="2:2" ht="12.75" x14ac:dyDescent="0.2">
      <c r="B453" s="221"/>
    </row>
    <row r="454" spans="2:2" ht="12.75" x14ac:dyDescent="0.2">
      <c r="B454" s="221"/>
    </row>
    <row r="455" spans="2:2" ht="12.75" x14ac:dyDescent="0.2">
      <c r="B455" s="221"/>
    </row>
    <row r="456" spans="2:2" ht="12.75" x14ac:dyDescent="0.2">
      <c r="B456" s="221"/>
    </row>
    <row r="457" spans="2:2" ht="12.75" x14ac:dyDescent="0.2">
      <c r="B457" s="221"/>
    </row>
    <row r="458" spans="2:2" ht="12.75" x14ac:dyDescent="0.2">
      <c r="B458" s="221"/>
    </row>
    <row r="459" spans="2:2" ht="12.75" x14ac:dyDescent="0.2">
      <c r="B459" s="221"/>
    </row>
    <row r="460" spans="2:2" ht="12.75" x14ac:dyDescent="0.2">
      <c r="B460" s="221"/>
    </row>
    <row r="461" spans="2:2" ht="12.75" x14ac:dyDescent="0.2">
      <c r="B461" s="221"/>
    </row>
    <row r="462" spans="2:2" ht="12.75" x14ac:dyDescent="0.2">
      <c r="B462" s="221"/>
    </row>
    <row r="463" spans="2:2" ht="12.75" x14ac:dyDescent="0.2">
      <c r="B463" s="221"/>
    </row>
    <row r="464" spans="2:2" ht="12.75" x14ac:dyDescent="0.2">
      <c r="B464" s="221"/>
    </row>
    <row r="465" spans="2:2" ht="12.75" x14ac:dyDescent="0.2">
      <c r="B465" s="221"/>
    </row>
    <row r="466" spans="2:2" ht="12.75" x14ac:dyDescent="0.2">
      <c r="B466" s="221"/>
    </row>
    <row r="467" spans="2:2" ht="12.75" x14ac:dyDescent="0.2">
      <c r="B467" s="221"/>
    </row>
    <row r="468" spans="2:2" ht="12.75" x14ac:dyDescent="0.2">
      <c r="B468" s="221"/>
    </row>
    <row r="469" spans="2:2" ht="12.75" x14ac:dyDescent="0.2">
      <c r="B469" s="221"/>
    </row>
    <row r="470" spans="2:2" ht="12.75" x14ac:dyDescent="0.2">
      <c r="B470" s="221"/>
    </row>
    <row r="471" spans="2:2" ht="12.75" x14ac:dyDescent="0.2">
      <c r="B471" s="221"/>
    </row>
    <row r="472" spans="2:2" ht="12.75" x14ac:dyDescent="0.2">
      <c r="B472" s="221"/>
    </row>
    <row r="473" spans="2:2" ht="12.75" x14ac:dyDescent="0.2">
      <c r="B473" s="221"/>
    </row>
    <row r="474" spans="2:2" ht="12.75" x14ac:dyDescent="0.2">
      <c r="B474" s="221"/>
    </row>
    <row r="475" spans="2:2" ht="12.75" x14ac:dyDescent="0.2">
      <c r="B475" s="221"/>
    </row>
    <row r="476" spans="2:2" ht="12.75" x14ac:dyDescent="0.2">
      <c r="B476" s="221"/>
    </row>
    <row r="477" spans="2:2" ht="12.75" x14ac:dyDescent="0.2">
      <c r="B477" s="221"/>
    </row>
    <row r="478" spans="2:2" ht="12.75" x14ac:dyDescent="0.2">
      <c r="B478" s="221"/>
    </row>
    <row r="479" spans="2:2" ht="12.75" x14ac:dyDescent="0.2">
      <c r="B479" s="221"/>
    </row>
    <row r="480" spans="2:2" ht="12.75" x14ac:dyDescent="0.2">
      <c r="B480" s="221"/>
    </row>
    <row r="481" spans="2:2" ht="12.75" x14ac:dyDescent="0.2">
      <c r="B481" s="221"/>
    </row>
    <row r="482" spans="2:2" ht="12.75" x14ac:dyDescent="0.2">
      <c r="B482" s="221"/>
    </row>
    <row r="483" spans="2:2" ht="12.75" x14ac:dyDescent="0.2">
      <c r="B483" s="221"/>
    </row>
    <row r="484" spans="2:2" ht="12.75" x14ac:dyDescent="0.2">
      <c r="B484" s="221"/>
    </row>
    <row r="485" spans="2:2" ht="12.75" x14ac:dyDescent="0.2">
      <c r="B485" s="221"/>
    </row>
    <row r="486" spans="2:2" ht="12.75" x14ac:dyDescent="0.2">
      <c r="B486" s="221"/>
    </row>
    <row r="487" spans="2:2" ht="12.75" x14ac:dyDescent="0.2">
      <c r="B487" s="221"/>
    </row>
    <row r="488" spans="2:2" ht="12.75" x14ac:dyDescent="0.2">
      <c r="B488" s="221"/>
    </row>
    <row r="489" spans="2:2" ht="12.75" x14ac:dyDescent="0.2">
      <c r="B489" s="221"/>
    </row>
    <row r="490" spans="2:2" ht="12.75" x14ac:dyDescent="0.2">
      <c r="B490" s="221"/>
    </row>
    <row r="491" spans="2:2" ht="12.75" x14ac:dyDescent="0.2">
      <c r="B491" s="221"/>
    </row>
    <row r="492" spans="2:2" ht="12.75" x14ac:dyDescent="0.2">
      <c r="B492" s="221"/>
    </row>
    <row r="493" spans="2:2" ht="12.75" x14ac:dyDescent="0.2">
      <c r="B493" s="221"/>
    </row>
    <row r="494" spans="2:2" ht="12.75" x14ac:dyDescent="0.2">
      <c r="B494" s="221"/>
    </row>
    <row r="495" spans="2:2" ht="12.75" x14ac:dyDescent="0.2">
      <c r="B495" s="221"/>
    </row>
    <row r="496" spans="2:2" ht="12.75" x14ac:dyDescent="0.2">
      <c r="B496" s="221"/>
    </row>
    <row r="497" spans="2:2" ht="12.75" x14ac:dyDescent="0.2">
      <c r="B497" s="221"/>
    </row>
    <row r="498" spans="2:2" ht="12.75" x14ac:dyDescent="0.2">
      <c r="B498" s="221"/>
    </row>
    <row r="499" spans="2:2" ht="12.75" x14ac:dyDescent="0.2">
      <c r="B499" s="221"/>
    </row>
    <row r="500" spans="2:2" ht="12.75" x14ac:dyDescent="0.2">
      <c r="B500" s="221"/>
    </row>
    <row r="501" spans="2:2" ht="12.75" x14ac:dyDescent="0.2">
      <c r="B501" s="221"/>
    </row>
    <row r="502" spans="2:2" ht="12.75" x14ac:dyDescent="0.2">
      <c r="B502" s="221"/>
    </row>
    <row r="503" spans="2:2" ht="12.75" x14ac:dyDescent="0.2">
      <c r="B503" s="221"/>
    </row>
    <row r="504" spans="2:2" ht="12.75" x14ac:dyDescent="0.2">
      <c r="B504" s="221"/>
    </row>
    <row r="505" spans="2:2" ht="12.75" x14ac:dyDescent="0.2">
      <c r="B505" s="221"/>
    </row>
    <row r="506" spans="2:2" ht="12.75" x14ac:dyDescent="0.2">
      <c r="B506" s="221"/>
    </row>
    <row r="507" spans="2:2" ht="12.75" x14ac:dyDescent="0.2">
      <c r="B507" s="221"/>
    </row>
    <row r="508" spans="2:2" ht="12.75" x14ac:dyDescent="0.2">
      <c r="B508" s="221"/>
    </row>
    <row r="509" spans="2:2" ht="12.75" x14ac:dyDescent="0.2">
      <c r="B509" s="221"/>
    </row>
    <row r="510" spans="2:2" ht="12.75" x14ac:dyDescent="0.2">
      <c r="B510" s="221"/>
    </row>
    <row r="511" spans="2:2" ht="12.75" x14ac:dyDescent="0.2">
      <c r="B511" s="221"/>
    </row>
    <row r="512" spans="2:2" ht="12.75" x14ac:dyDescent="0.2">
      <c r="B512" s="221"/>
    </row>
    <row r="513" spans="2:2" ht="12.75" x14ac:dyDescent="0.2">
      <c r="B513" s="221"/>
    </row>
    <row r="514" spans="2:2" ht="12.75" x14ac:dyDescent="0.2">
      <c r="B514" s="221"/>
    </row>
    <row r="515" spans="2:2" ht="12.75" x14ac:dyDescent="0.2">
      <c r="B515" s="221"/>
    </row>
    <row r="516" spans="2:2" ht="12.75" x14ac:dyDescent="0.2">
      <c r="B516" s="221"/>
    </row>
    <row r="517" spans="2:2" ht="12.75" x14ac:dyDescent="0.2">
      <c r="B517" s="221"/>
    </row>
    <row r="518" spans="2:2" ht="12.75" x14ac:dyDescent="0.2">
      <c r="B518" s="221"/>
    </row>
    <row r="519" spans="2:2" ht="12.75" x14ac:dyDescent="0.2">
      <c r="B519" s="221"/>
    </row>
    <row r="520" spans="2:2" ht="12.75" x14ac:dyDescent="0.2">
      <c r="B520" s="221"/>
    </row>
    <row r="521" spans="2:2" ht="12.75" x14ac:dyDescent="0.2">
      <c r="B521" s="221"/>
    </row>
    <row r="522" spans="2:2" ht="12.75" x14ac:dyDescent="0.2">
      <c r="B522" s="221"/>
    </row>
    <row r="523" spans="2:2" ht="12.75" x14ac:dyDescent="0.2">
      <c r="B523" s="221"/>
    </row>
    <row r="524" spans="2:2" ht="12.75" x14ac:dyDescent="0.2">
      <c r="B524" s="221"/>
    </row>
    <row r="525" spans="2:2" ht="12.75" x14ac:dyDescent="0.2">
      <c r="B525" s="221"/>
    </row>
    <row r="526" spans="2:2" ht="12.75" x14ac:dyDescent="0.2">
      <c r="B526" s="221"/>
    </row>
    <row r="527" spans="2:2" ht="12.75" x14ac:dyDescent="0.2">
      <c r="B527" s="221"/>
    </row>
    <row r="528" spans="2:2" ht="12.75" x14ac:dyDescent="0.2">
      <c r="B528" s="221"/>
    </row>
    <row r="529" spans="2:2" ht="12.75" x14ac:dyDescent="0.2">
      <c r="B529" s="221"/>
    </row>
    <row r="530" spans="2:2" ht="12.75" x14ac:dyDescent="0.2">
      <c r="B530" s="221"/>
    </row>
    <row r="531" spans="2:2" ht="12.75" x14ac:dyDescent="0.2">
      <c r="B531" s="221"/>
    </row>
    <row r="532" spans="2:2" ht="12.75" x14ac:dyDescent="0.2">
      <c r="B532" s="221"/>
    </row>
    <row r="533" spans="2:2" ht="12.75" x14ac:dyDescent="0.2">
      <c r="B533" s="221"/>
    </row>
    <row r="534" spans="2:2" ht="12.75" x14ac:dyDescent="0.2">
      <c r="B534" s="221"/>
    </row>
    <row r="535" spans="2:2" ht="12.75" x14ac:dyDescent="0.2">
      <c r="B535" s="221"/>
    </row>
    <row r="536" spans="2:2" ht="12.75" x14ac:dyDescent="0.2">
      <c r="B536" s="221"/>
    </row>
    <row r="537" spans="2:2" ht="12.75" x14ac:dyDescent="0.2">
      <c r="B537" s="221"/>
    </row>
    <row r="538" spans="2:2" ht="12.75" x14ac:dyDescent="0.2">
      <c r="B538" s="221"/>
    </row>
    <row r="539" spans="2:2" ht="12.75" x14ac:dyDescent="0.2">
      <c r="B539" s="221"/>
    </row>
    <row r="540" spans="2:2" ht="12.75" x14ac:dyDescent="0.2">
      <c r="B540" s="221"/>
    </row>
    <row r="541" spans="2:2" ht="12.75" x14ac:dyDescent="0.2">
      <c r="B541" s="221"/>
    </row>
    <row r="542" spans="2:2" ht="12.75" x14ac:dyDescent="0.2">
      <c r="B542" s="221"/>
    </row>
    <row r="543" spans="2:2" ht="12.75" x14ac:dyDescent="0.2">
      <c r="B543" s="221"/>
    </row>
    <row r="544" spans="2:2" ht="12.75" x14ac:dyDescent="0.2">
      <c r="B544" s="221"/>
    </row>
    <row r="545" spans="2:2" ht="12.75" x14ac:dyDescent="0.2">
      <c r="B545" s="221"/>
    </row>
    <row r="546" spans="2:2" ht="12.75" x14ac:dyDescent="0.2">
      <c r="B546" s="221"/>
    </row>
    <row r="547" spans="2:2" ht="12.75" x14ac:dyDescent="0.2">
      <c r="B547" s="221"/>
    </row>
    <row r="548" spans="2:2" ht="12.75" x14ac:dyDescent="0.2">
      <c r="B548" s="221"/>
    </row>
    <row r="549" spans="2:2" ht="12.75" x14ac:dyDescent="0.2">
      <c r="B549" s="221"/>
    </row>
    <row r="550" spans="2:2" ht="12.75" x14ac:dyDescent="0.2">
      <c r="B550" s="221"/>
    </row>
    <row r="551" spans="2:2" ht="12.75" x14ac:dyDescent="0.2">
      <c r="B551" s="221"/>
    </row>
    <row r="552" spans="2:2" ht="12.75" x14ac:dyDescent="0.2">
      <c r="B552" s="221"/>
    </row>
    <row r="553" spans="2:2" ht="12.75" x14ac:dyDescent="0.2">
      <c r="B553" s="221"/>
    </row>
    <row r="554" spans="2:2" ht="12.75" x14ac:dyDescent="0.2">
      <c r="B554" s="221"/>
    </row>
    <row r="555" spans="2:2" ht="12.75" x14ac:dyDescent="0.2">
      <c r="B555" s="221"/>
    </row>
    <row r="556" spans="2:2" ht="12.75" x14ac:dyDescent="0.2">
      <c r="B556" s="221"/>
    </row>
    <row r="557" spans="2:2" ht="12.75" x14ac:dyDescent="0.2">
      <c r="B557" s="221"/>
    </row>
    <row r="558" spans="2:2" ht="12.75" x14ac:dyDescent="0.2">
      <c r="B558" s="221"/>
    </row>
    <row r="559" spans="2:2" ht="12.75" x14ac:dyDescent="0.2">
      <c r="B559" s="221"/>
    </row>
    <row r="560" spans="2:2" ht="12.75" x14ac:dyDescent="0.2">
      <c r="B560" s="221"/>
    </row>
    <row r="561" spans="2:2" ht="12.75" x14ac:dyDescent="0.2">
      <c r="B561" s="221"/>
    </row>
    <row r="562" spans="2:2" ht="12.75" x14ac:dyDescent="0.2">
      <c r="B562" s="221"/>
    </row>
    <row r="563" spans="2:2" ht="12.75" x14ac:dyDescent="0.2">
      <c r="B563" s="221"/>
    </row>
    <row r="564" spans="2:2" ht="12.75" x14ac:dyDescent="0.2">
      <c r="B564" s="221"/>
    </row>
    <row r="565" spans="2:2" ht="12.75" x14ac:dyDescent="0.2">
      <c r="B565" s="221"/>
    </row>
    <row r="566" spans="2:2" ht="12.75" x14ac:dyDescent="0.2">
      <c r="B566" s="221"/>
    </row>
    <row r="567" spans="2:2" ht="12.75" x14ac:dyDescent="0.2">
      <c r="B567" s="221"/>
    </row>
    <row r="568" spans="2:2" ht="12.75" x14ac:dyDescent="0.2">
      <c r="B568" s="221"/>
    </row>
    <row r="569" spans="2:2" ht="12.75" x14ac:dyDescent="0.2">
      <c r="B569" s="221"/>
    </row>
    <row r="570" spans="2:2" ht="12.75" x14ac:dyDescent="0.2">
      <c r="B570" s="221"/>
    </row>
    <row r="571" spans="2:2" ht="12.75" x14ac:dyDescent="0.2">
      <c r="B571" s="221"/>
    </row>
    <row r="572" spans="2:2" ht="12.75" x14ac:dyDescent="0.2">
      <c r="B572" s="221"/>
    </row>
    <row r="573" spans="2:2" ht="12.75" x14ac:dyDescent="0.2">
      <c r="B573" s="221"/>
    </row>
    <row r="574" spans="2:2" ht="12.75" x14ac:dyDescent="0.2">
      <c r="B574" s="221"/>
    </row>
    <row r="575" spans="2:2" ht="12.75" x14ac:dyDescent="0.2">
      <c r="B575" s="221"/>
    </row>
    <row r="576" spans="2:2" ht="12.75" x14ac:dyDescent="0.2">
      <c r="B576" s="221"/>
    </row>
    <row r="577" spans="2:2" ht="12.75" x14ac:dyDescent="0.2">
      <c r="B577" s="221"/>
    </row>
    <row r="578" spans="2:2" ht="12.75" x14ac:dyDescent="0.2">
      <c r="B578" s="221"/>
    </row>
    <row r="579" spans="2:2" ht="12.75" x14ac:dyDescent="0.2">
      <c r="B579" s="221"/>
    </row>
    <row r="580" spans="2:2" ht="12.75" x14ac:dyDescent="0.2">
      <c r="B580" s="221"/>
    </row>
    <row r="581" spans="2:2" ht="12.75" x14ac:dyDescent="0.2">
      <c r="B581" s="221"/>
    </row>
    <row r="582" spans="2:2" ht="12.75" x14ac:dyDescent="0.2">
      <c r="B582" s="221"/>
    </row>
    <row r="583" spans="2:2" ht="12.75" x14ac:dyDescent="0.2">
      <c r="B583" s="221"/>
    </row>
    <row r="584" spans="2:2" ht="12.75" x14ac:dyDescent="0.2">
      <c r="B584" s="221"/>
    </row>
    <row r="585" spans="2:2" ht="12.75" x14ac:dyDescent="0.2">
      <c r="B585" s="221"/>
    </row>
    <row r="586" spans="2:2" ht="12.75" x14ac:dyDescent="0.2">
      <c r="B586" s="221"/>
    </row>
    <row r="587" spans="2:2" ht="12.75" x14ac:dyDescent="0.2">
      <c r="B587" s="221"/>
    </row>
    <row r="588" spans="2:2" ht="12.75" x14ac:dyDescent="0.2">
      <c r="B588" s="221"/>
    </row>
    <row r="589" spans="2:2" ht="12.75" x14ac:dyDescent="0.2">
      <c r="B589" s="221"/>
    </row>
    <row r="590" spans="2:2" ht="12.75" x14ac:dyDescent="0.2">
      <c r="B590" s="221"/>
    </row>
    <row r="591" spans="2:2" ht="12.75" x14ac:dyDescent="0.2">
      <c r="B591" s="221"/>
    </row>
    <row r="592" spans="2:2" ht="12.75" x14ac:dyDescent="0.2">
      <c r="B592" s="221"/>
    </row>
    <row r="593" spans="2:2" ht="12.75" x14ac:dyDescent="0.2">
      <c r="B593" s="221"/>
    </row>
    <row r="594" spans="2:2" ht="12.75" x14ac:dyDescent="0.2">
      <c r="B594" s="221"/>
    </row>
    <row r="595" spans="2:2" ht="12.75" x14ac:dyDescent="0.2">
      <c r="B595" s="221"/>
    </row>
    <row r="596" spans="2:2" ht="12.75" x14ac:dyDescent="0.2">
      <c r="B596" s="221"/>
    </row>
    <row r="597" spans="2:2" ht="12.75" x14ac:dyDescent="0.2">
      <c r="B597" s="221"/>
    </row>
    <row r="598" spans="2:2" ht="12.75" x14ac:dyDescent="0.2">
      <c r="B598" s="221"/>
    </row>
    <row r="599" spans="2:2" ht="12.75" x14ac:dyDescent="0.2">
      <c r="B599" s="221"/>
    </row>
    <row r="600" spans="2:2" ht="12.75" x14ac:dyDescent="0.2">
      <c r="B600" s="221"/>
    </row>
    <row r="601" spans="2:2" ht="12.75" x14ac:dyDescent="0.2">
      <c r="B601" s="221"/>
    </row>
    <row r="602" spans="2:2" ht="12.75" x14ac:dyDescent="0.2">
      <c r="B602" s="221"/>
    </row>
    <row r="603" spans="2:2" ht="12.75" x14ac:dyDescent="0.2">
      <c r="B603" s="221"/>
    </row>
    <row r="604" spans="2:2" ht="12.75" x14ac:dyDescent="0.2">
      <c r="B604" s="221"/>
    </row>
    <row r="605" spans="2:2" ht="12.75" x14ac:dyDescent="0.2">
      <c r="B605" s="221"/>
    </row>
    <row r="606" spans="2:2" ht="12.75" x14ac:dyDescent="0.2">
      <c r="B606" s="221"/>
    </row>
    <row r="607" spans="2:2" ht="12.75" x14ac:dyDescent="0.2">
      <c r="B607" s="221"/>
    </row>
    <row r="608" spans="2:2" ht="12.75" x14ac:dyDescent="0.2">
      <c r="B608" s="221"/>
    </row>
    <row r="609" spans="2:2" ht="12.75" x14ac:dyDescent="0.2">
      <c r="B609" s="221"/>
    </row>
    <row r="610" spans="2:2" ht="12.75" x14ac:dyDescent="0.2">
      <c r="B610" s="221"/>
    </row>
    <row r="611" spans="2:2" ht="12.75" x14ac:dyDescent="0.2">
      <c r="B611" s="221"/>
    </row>
    <row r="612" spans="2:2" ht="12.75" x14ac:dyDescent="0.2">
      <c r="B612" s="221"/>
    </row>
    <row r="613" spans="2:2" ht="12.75" x14ac:dyDescent="0.2">
      <c r="B613" s="221"/>
    </row>
    <row r="614" spans="2:2" ht="12.75" x14ac:dyDescent="0.2">
      <c r="B614" s="221"/>
    </row>
    <row r="615" spans="2:2" ht="12.75" x14ac:dyDescent="0.2">
      <c r="B615" s="221"/>
    </row>
    <row r="616" spans="2:2" ht="12.75" x14ac:dyDescent="0.2">
      <c r="B616" s="221"/>
    </row>
    <row r="617" spans="2:2" ht="12.75" x14ac:dyDescent="0.2">
      <c r="B617" s="221"/>
    </row>
    <row r="618" spans="2:2" ht="12.75" x14ac:dyDescent="0.2">
      <c r="B618" s="221"/>
    </row>
    <row r="619" spans="2:2" ht="12.75" x14ac:dyDescent="0.2">
      <c r="B619" s="221"/>
    </row>
    <row r="620" spans="2:2" ht="12.75" x14ac:dyDescent="0.2">
      <c r="B620" s="221"/>
    </row>
    <row r="621" spans="2:2" ht="12.75" x14ac:dyDescent="0.2">
      <c r="B621" s="221"/>
    </row>
    <row r="622" spans="2:2" ht="12.75" x14ac:dyDescent="0.2">
      <c r="B622" s="221"/>
    </row>
    <row r="623" spans="2:2" ht="12.75" x14ac:dyDescent="0.2">
      <c r="B623" s="221"/>
    </row>
    <row r="624" spans="2:2" ht="12.75" x14ac:dyDescent="0.2">
      <c r="B624" s="221"/>
    </row>
    <row r="625" spans="2:2" ht="12.75" x14ac:dyDescent="0.2">
      <c r="B625" s="221"/>
    </row>
    <row r="626" spans="2:2" ht="12.75" x14ac:dyDescent="0.2">
      <c r="B626" s="221"/>
    </row>
    <row r="627" spans="2:2" ht="12.75" x14ac:dyDescent="0.2">
      <c r="B627" s="221"/>
    </row>
    <row r="628" spans="2:2" ht="12.75" x14ac:dyDescent="0.2">
      <c r="B628" s="221"/>
    </row>
    <row r="629" spans="2:2" ht="12.75" x14ac:dyDescent="0.2">
      <c r="B629" s="221"/>
    </row>
    <row r="630" spans="2:2" ht="12.75" x14ac:dyDescent="0.2">
      <c r="B630" s="221"/>
    </row>
    <row r="631" spans="2:2" ht="12.75" x14ac:dyDescent="0.2">
      <c r="B631" s="221"/>
    </row>
    <row r="632" spans="2:2" ht="12.75" x14ac:dyDescent="0.2">
      <c r="B632" s="221"/>
    </row>
    <row r="633" spans="2:2" ht="12.75" x14ac:dyDescent="0.2">
      <c r="B633" s="221"/>
    </row>
    <row r="634" spans="2:2" ht="12.75" x14ac:dyDescent="0.2">
      <c r="B634" s="221"/>
    </row>
    <row r="635" spans="2:2" ht="12.75" x14ac:dyDescent="0.2">
      <c r="B635" s="221"/>
    </row>
    <row r="636" spans="2:2" ht="12.75" x14ac:dyDescent="0.2">
      <c r="B636" s="221"/>
    </row>
    <row r="637" spans="2:2" ht="12.75" x14ac:dyDescent="0.2">
      <c r="B637" s="221"/>
    </row>
    <row r="638" spans="2:2" ht="12.75" x14ac:dyDescent="0.2">
      <c r="B638" s="221"/>
    </row>
    <row r="639" spans="2:2" ht="12.75" x14ac:dyDescent="0.2">
      <c r="B639" s="221"/>
    </row>
    <row r="640" spans="2:2" ht="12.75" x14ac:dyDescent="0.2">
      <c r="B640" s="221"/>
    </row>
    <row r="641" spans="2:2" ht="12.75" x14ac:dyDescent="0.2">
      <c r="B641" s="221"/>
    </row>
    <row r="642" spans="2:2" ht="12.75" x14ac:dyDescent="0.2">
      <c r="B642" s="221"/>
    </row>
    <row r="643" spans="2:2" ht="12.75" x14ac:dyDescent="0.2">
      <c r="B643" s="221"/>
    </row>
    <row r="644" spans="2:2" ht="12.75" x14ac:dyDescent="0.2">
      <c r="B644" s="221"/>
    </row>
    <row r="645" spans="2:2" ht="12.75" x14ac:dyDescent="0.2">
      <c r="B645" s="221"/>
    </row>
    <row r="646" spans="2:2" ht="12.75" x14ac:dyDescent="0.2">
      <c r="B646" s="221"/>
    </row>
    <row r="647" spans="2:2" ht="12.75" x14ac:dyDescent="0.2">
      <c r="B647" s="221"/>
    </row>
    <row r="648" spans="2:2" ht="12.75" x14ac:dyDescent="0.2">
      <c r="B648" s="221"/>
    </row>
    <row r="649" spans="2:2" ht="12.75" x14ac:dyDescent="0.2">
      <c r="B649" s="221"/>
    </row>
    <row r="650" spans="2:2" ht="12.75" x14ac:dyDescent="0.2">
      <c r="B650" s="221"/>
    </row>
    <row r="651" spans="2:2" ht="12.75" x14ac:dyDescent="0.2">
      <c r="B651" s="221"/>
    </row>
    <row r="652" spans="2:2" ht="12.75" x14ac:dyDescent="0.2">
      <c r="B652" s="221"/>
    </row>
    <row r="653" spans="2:2" ht="12.75" x14ac:dyDescent="0.2">
      <c r="B653" s="221"/>
    </row>
    <row r="654" spans="2:2" ht="12.75" x14ac:dyDescent="0.2">
      <c r="B654" s="221"/>
    </row>
    <row r="655" spans="2:2" ht="12.75" x14ac:dyDescent="0.2">
      <c r="B655" s="221"/>
    </row>
    <row r="656" spans="2:2" ht="12.75" x14ac:dyDescent="0.2">
      <c r="B656" s="221"/>
    </row>
    <row r="657" spans="2:2" ht="12.75" x14ac:dyDescent="0.2">
      <c r="B657" s="221"/>
    </row>
    <row r="658" spans="2:2" ht="12.75" x14ac:dyDescent="0.2">
      <c r="B658" s="221"/>
    </row>
    <row r="659" spans="2:2" ht="12.75" x14ac:dyDescent="0.2">
      <c r="B659" s="221"/>
    </row>
    <row r="660" spans="2:2" ht="12.75" x14ac:dyDescent="0.2">
      <c r="B660" s="221"/>
    </row>
    <row r="661" spans="2:2" ht="12.75" x14ac:dyDescent="0.2">
      <c r="B661" s="221"/>
    </row>
    <row r="662" spans="2:2" ht="12.75" x14ac:dyDescent="0.2">
      <c r="B662" s="221"/>
    </row>
    <row r="663" spans="2:2" ht="12.75" x14ac:dyDescent="0.2">
      <c r="B663" s="221"/>
    </row>
    <row r="664" spans="2:2" ht="12.75" x14ac:dyDescent="0.2">
      <c r="B664" s="221"/>
    </row>
    <row r="665" spans="2:2" ht="12.75" x14ac:dyDescent="0.2">
      <c r="B665" s="221"/>
    </row>
    <row r="666" spans="2:2" ht="12.75" x14ac:dyDescent="0.2">
      <c r="B666" s="221"/>
    </row>
    <row r="667" spans="2:2" ht="12.75" x14ac:dyDescent="0.2">
      <c r="B667" s="221"/>
    </row>
    <row r="668" spans="2:2" ht="12.75" x14ac:dyDescent="0.2">
      <c r="B668" s="221"/>
    </row>
    <row r="669" spans="2:2" ht="12.75" x14ac:dyDescent="0.2">
      <c r="B669" s="221"/>
    </row>
    <row r="670" spans="2:2" ht="12.75" x14ac:dyDescent="0.2">
      <c r="B670" s="221"/>
    </row>
    <row r="671" spans="2:2" ht="12.75" x14ac:dyDescent="0.2">
      <c r="B671" s="221"/>
    </row>
    <row r="672" spans="2:2" ht="12.75" x14ac:dyDescent="0.2">
      <c r="B672" s="221"/>
    </row>
    <row r="673" spans="2:2" ht="12.75" x14ac:dyDescent="0.2">
      <c r="B673" s="221"/>
    </row>
    <row r="674" spans="2:2" ht="12.75" x14ac:dyDescent="0.2">
      <c r="B674" s="221"/>
    </row>
    <row r="675" spans="2:2" ht="12.75" x14ac:dyDescent="0.2">
      <c r="B675" s="221"/>
    </row>
    <row r="676" spans="2:2" ht="12.75" x14ac:dyDescent="0.2">
      <c r="B676" s="221"/>
    </row>
    <row r="677" spans="2:2" ht="12.75" x14ac:dyDescent="0.2">
      <c r="B677" s="221"/>
    </row>
    <row r="678" spans="2:2" ht="12.75" x14ac:dyDescent="0.2">
      <c r="B678" s="221"/>
    </row>
    <row r="679" spans="2:2" ht="12.75" x14ac:dyDescent="0.2">
      <c r="B679" s="221"/>
    </row>
    <row r="680" spans="2:2" ht="12.75" x14ac:dyDescent="0.2">
      <c r="B680" s="221"/>
    </row>
    <row r="681" spans="2:2" ht="12.75" x14ac:dyDescent="0.2">
      <c r="B681" s="221"/>
    </row>
    <row r="682" spans="2:2" ht="12.75" x14ac:dyDescent="0.2">
      <c r="B682" s="221"/>
    </row>
    <row r="683" spans="2:2" ht="12.75" x14ac:dyDescent="0.2">
      <c r="B683" s="221"/>
    </row>
    <row r="684" spans="2:2" ht="12.75" x14ac:dyDescent="0.2">
      <c r="B684" s="221"/>
    </row>
    <row r="685" spans="2:2" ht="12.75" x14ac:dyDescent="0.2">
      <c r="B685" s="221"/>
    </row>
    <row r="686" spans="2:2" ht="12.75" x14ac:dyDescent="0.2">
      <c r="B686" s="221"/>
    </row>
    <row r="687" spans="2:2" ht="12.75" x14ac:dyDescent="0.2">
      <c r="B687" s="221"/>
    </row>
    <row r="688" spans="2:2" ht="12.75" x14ac:dyDescent="0.2">
      <c r="B688" s="221"/>
    </row>
    <row r="689" spans="2:2" ht="12.75" x14ac:dyDescent="0.2">
      <c r="B689" s="221"/>
    </row>
    <row r="690" spans="2:2" ht="12.75" x14ac:dyDescent="0.2">
      <c r="B690" s="221"/>
    </row>
    <row r="691" spans="2:2" ht="12.75" x14ac:dyDescent="0.2">
      <c r="B691" s="221"/>
    </row>
    <row r="692" spans="2:2" ht="12.75" x14ac:dyDescent="0.2">
      <c r="B692" s="221"/>
    </row>
    <row r="693" spans="2:2" ht="12.75" x14ac:dyDescent="0.2">
      <c r="B693" s="221"/>
    </row>
    <row r="694" spans="2:2" ht="12.75" x14ac:dyDescent="0.2">
      <c r="B694" s="221"/>
    </row>
    <row r="695" spans="2:2" ht="12.75" x14ac:dyDescent="0.2">
      <c r="B695" s="221"/>
    </row>
    <row r="696" spans="2:2" ht="12.75" x14ac:dyDescent="0.2">
      <c r="B696" s="221"/>
    </row>
    <row r="697" spans="2:2" ht="12.75" x14ac:dyDescent="0.2">
      <c r="B697" s="221"/>
    </row>
    <row r="698" spans="2:2" ht="12.75" x14ac:dyDescent="0.2">
      <c r="B698" s="221"/>
    </row>
    <row r="699" spans="2:2" ht="12.75" x14ac:dyDescent="0.2">
      <c r="B699" s="221"/>
    </row>
    <row r="700" spans="2:2" ht="12.75" x14ac:dyDescent="0.2">
      <c r="B700" s="221"/>
    </row>
    <row r="701" spans="2:2" ht="12.75" x14ac:dyDescent="0.2">
      <c r="B701" s="221"/>
    </row>
    <row r="702" spans="2:2" ht="12.75" x14ac:dyDescent="0.2">
      <c r="B702" s="221"/>
    </row>
    <row r="703" spans="2:2" ht="12.75" x14ac:dyDescent="0.2">
      <c r="B703" s="221"/>
    </row>
    <row r="704" spans="2:2" ht="12.75" x14ac:dyDescent="0.2">
      <c r="B704" s="221"/>
    </row>
    <row r="705" spans="2:2" ht="12.75" x14ac:dyDescent="0.2">
      <c r="B705" s="221"/>
    </row>
    <row r="706" spans="2:2" ht="12.75" x14ac:dyDescent="0.2">
      <c r="B706" s="221"/>
    </row>
    <row r="707" spans="2:2" ht="12.75" x14ac:dyDescent="0.2">
      <c r="B707" s="221"/>
    </row>
    <row r="708" spans="2:2" ht="12.75" x14ac:dyDescent="0.2">
      <c r="B708" s="221"/>
    </row>
    <row r="709" spans="2:2" ht="12.75" x14ac:dyDescent="0.2">
      <c r="B709" s="221"/>
    </row>
    <row r="710" spans="2:2" ht="12.75" x14ac:dyDescent="0.2">
      <c r="B710" s="221"/>
    </row>
    <row r="711" spans="2:2" ht="12.75" x14ac:dyDescent="0.2">
      <c r="B711" s="221"/>
    </row>
    <row r="712" spans="2:2" ht="12.75" x14ac:dyDescent="0.2">
      <c r="B712" s="221"/>
    </row>
    <row r="713" spans="2:2" ht="12.75" x14ac:dyDescent="0.2">
      <c r="B713" s="221"/>
    </row>
    <row r="714" spans="2:2" ht="12.75" x14ac:dyDescent="0.2">
      <c r="B714" s="221"/>
    </row>
    <row r="715" spans="2:2" ht="12.75" x14ac:dyDescent="0.2">
      <c r="B715" s="221"/>
    </row>
    <row r="716" spans="2:2" ht="12.75" x14ac:dyDescent="0.2">
      <c r="B716" s="221"/>
    </row>
    <row r="717" spans="2:2" ht="12.75" x14ac:dyDescent="0.2">
      <c r="B717" s="221"/>
    </row>
    <row r="718" spans="2:2" ht="12.75" x14ac:dyDescent="0.2">
      <c r="B718" s="221"/>
    </row>
    <row r="719" spans="2:2" ht="12.75" x14ac:dyDescent="0.2">
      <c r="B719" s="221"/>
    </row>
    <row r="720" spans="2:2" ht="12.75" x14ac:dyDescent="0.2">
      <c r="B720" s="221"/>
    </row>
    <row r="721" spans="2:2" ht="12.75" x14ac:dyDescent="0.2">
      <c r="B721" s="221"/>
    </row>
    <row r="722" spans="2:2" ht="12.75" x14ac:dyDescent="0.2">
      <c r="B722" s="221"/>
    </row>
    <row r="723" spans="2:2" ht="12.75" x14ac:dyDescent="0.2">
      <c r="B723" s="221"/>
    </row>
    <row r="724" spans="2:2" ht="12.75" x14ac:dyDescent="0.2">
      <c r="B724" s="221"/>
    </row>
    <row r="725" spans="2:2" ht="12.75" x14ac:dyDescent="0.2">
      <c r="B725" s="221"/>
    </row>
    <row r="726" spans="2:2" ht="12.75" x14ac:dyDescent="0.2">
      <c r="B726" s="221"/>
    </row>
    <row r="727" spans="2:2" ht="12.75" x14ac:dyDescent="0.2">
      <c r="B727" s="221"/>
    </row>
    <row r="728" spans="2:2" ht="12.75" x14ac:dyDescent="0.2">
      <c r="B728" s="221"/>
    </row>
    <row r="729" spans="2:2" ht="12.75" x14ac:dyDescent="0.2">
      <c r="B729" s="221"/>
    </row>
    <row r="730" spans="2:2" ht="12.75" x14ac:dyDescent="0.2">
      <c r="B730" s="221"/>
    </row>
    <row r="731" spans="2:2" ht="12.75" x14ac:dyDescent="0.2">
      <c r="B731" s="221"/>
    </row>
    <row r="732" spans="2:2" ht="12.75" x14ac:dyDescent="0.2">
      <c r="B732" s="221"/>
    </row>
    <row r="733" spans="2:2" ht="12.75" x14ac:dyDescent="0.2">
      <c r="B733" s="221"/>
    </row>
    <row r="734" spans="2:2" ht="12.75" x14ac:dyDescent="0.2">
      <c r="B734" s="221"/>
    </row>
    <row r="735" spans="2:2" ht="12.75" x14ac:dyDescent="0.2">
      <c r="B735" s="221"/>
    </row>
    <row r="736" spans="2:2" ht="12.75" x14ac:dyDescent="0.2">
      <c r="B736" s="221"/>
    </row>
    <row r="737" spans="2:2" ht="12.75" x14ac:dyDescent="0.2">
      <c r="B737" s="221"/>
    </row>
    <row r="738" spans="2:2" ht="12.75" x14ac:dyDescent="0.2">
      <c r="B738" s="221"/>
    </row>
    <row r="739" spans="2:2" ht="12.75" x14ac:dyDescent="0.2">
      <c r="B739" s="221"/>
    </row>
    <row r="740" spans="2:2" ht="12.75" x14ac:dyDescent="0.2">
      <c r="B740" s="221"/>
    </row>
    <row r="741" spans="2:2" ht="12.75" x14ac:dyDescent="0.2">
      <c r="B741" s="221"/>
    </row>
    <row r="742" spans="2:2" ht="12.75" x14ac:dyDescent="0.2">
      <c r="B742" s="221"/>
    </row>
    <row r="743" spans="2:2" ht="12.75" x14ac:dyDescent="0.2">
      <c r="B743" s="221"/>
    </row>
    <row r="744" spans="2:2" ht="12.75" x14ac:dyDescent="0.2">
      <c r="B744" s="221"/>
    </row>
    <row r="745" spans="2:2" ht="12.75" x14ac:dyDescent="0.2">
      <c r="B745" s="221"/>
    </row>
    <row r="746" spans="2:2" ht="12.75" x14ac:dyDescent="0.2">
      <c r="B746" s="221"/>
    </row>
    <row r="747" spans="2:2" ht="12.75" x14ac:dyDescent="0.2">
      <c r="B747" s="221"/>
    </row>
    <row r="748" spans="2:2" ht="12.75" x14ac:dyDescent="0.2">
      <c r="B748" s="221"/>
    </row>
    <row r="749" spans="2:2" ht="12.75" x14ac:dyDescent="0.2">
      <c r="B749" s="221"/>
    </row>
    <row r="750" spans="2:2" ht="12.75" x14ac:dyDescent="0.2">
      <c r="B750" s="221"/>
    </row>
    <row r="751" spans="2:2" ht="12.75" x14ac:dyDescent="0.2">
      <c r="B751" s="221"/>
    </row>
    <row r="752" spans="2:2" ht="12.75" x14ac:dyDescent="0.2">
      <c r="B752" s="221"/>
    </row>
    <row r="753" spans="2:2" ht="12.75" x14ac:dyDescent="0.2">
      <c r="B753" s="221"/>
    </row>
    <row r="754" spans="2:2" ht="12.75" x14ac:dyDescent="0.2">
      <c r="B754" s="221"/>
    </row>
    <row r="755" spans="2:2" ht="12.75" x14ac:dyDescent="0.2">
      <c r="B755" s="221"/>
    </row>
    <row r="756" spans="2:2" ht="12.75" x14ac:dyDescent="0.2">
      <c r="B756" s="221"/>
    </row>
    <row r="757" spans="2:2" ht="12.75" x14ac:dyDescent="0.2">
      <c r="B757" s="221"/>
    </row>
    <row r="758" spans="2:2" ht="12.75" x14ac:dyDescent="0.2">
      <c r="B758" s="221"/>
    </row>
    <row r="759" spans="2:2" ht="12.75" x14ac:dyDescent="0.2">
      <c r="B759" s="221"/>
    </row>
    <row r="760" spans="2:2" ht="12.75" x14ac:dyDescent="0.2">
      <c r="B760" s="221"/>
    </row>
    <row r="761" spans="2:2" ht="12.75" x14ac:dyDescent="0.2">
      <c r="B761" s="221"/>
    </row>
    <row r="762" spans="2:2" ht="12.75" x14ac:dyDescent="0.2">
      <c r="B762" s="221"/>
    </row>
    <row r="763" spans="2:2" ht="12.75" x14ac:dyDescent="0.2">
      <c r="B763" s="221"/>
    </row>
    <row r="764" spans="2:2" ht="12.75" x14ac:dyDescent="0.2">
      <c r="B764" s="221"/>
    </row>
    <row r="765" spans="2:2" ht="12.75" x14ac:dyDescent="0.2">
      <c r="B765" s="221"/>
    </row>
    <row r="766" spans="2:2" ht="12.75" x14ac:dyDescent="0.2">
      <c r="B766" s="221"/>
    </row>
    <row r="767" spans="2:2" ht="12.75" x14ac:dyDescent="0.2">
      <c r="B767" s="221"/>
    </row>
    <row r="768" spans="2:2" ht="12.75" x14ac:dyDescent="0.2">
      <c r="B768" s="221"/>
    </row>
    <row r="769" spans="2:2" ht="12.75" x14ac:dyDescent="0.2">
      <c r="B769" s="221"/>
    </row>
    <row r="770" spans="2:2" ht="12.75" x14ac:dyDescent="0.2">
      <c r="B770" s="221"/>
    </row>
    <row r="771" spans="2:2" ht="12.75" x14ac:dyDescent="0.2">
      <c r="B771" s="221"/>
    </row>
    <row r="772" spans="2:2" ht="12.75" x14ac:dyDescent="0.2">
      <c r="B772" s="221"/>
    </row>
    <row r="773" spans="2:2" ht="12.75" x14ac:dyDescent="0.2">
      <c r="B773" s="221"/>
    </row>
    <row r="774" spans="2:2" ht="12.75" x14ac:dyDescent="0.2">
      <c r="B774" s="221"/>
    </row>
    <row r="775" spans="2:2" ht="12.75" x14ac:dyDescent="0.2">
      <c r="B775" s="221"/>
    </row>
    <row r="776" spans="2:2" ht="12.75" x14ac:dyDescent="0.2">
      <c r="B776" s="221"/>
    </row>
    <row r="777" spans="2:2" ht="12.75" x14ac:dyDescent="0.2">
      <c r="B777" s="221"/>
    </row>
    <row r="778" spans="2:2" ht="12.75" x14ac:dyDescent="0.2">
      <c r="B778" s="221"/>
    </row>
    <row r="779" spans="2:2" ht="12.75" x14ac:dyDescent="0.2">
      <c r="B779" s="221"/>
    </row>
    <row r="780" spans="2:2" ht="12.75" x14ac:dyDescent="0.2">
      <c r="B780" s="221"/>
    </row>
    <row r="781" spans="2:2" ht="12.75" x14ac:dyDescent="0.2">
      <c r="B781" s="221"/>
    </row>
    <row r="782" spans="2:2" ht="12.75" x14ac:dyDescent="0.2">
      <c r="B782" s="221"/>
    </row>
    <row r="783" spans="2:2" ht="12.75" x14ac:dyDescent="0.2">
      <c r="B783" s="221"/>
    </row>
    <row r="784" spans="2:2" ht="12.75" x14ac:dyDescent="0.2">
      <c r="B784" s="221"/>
    </row>
    <row r="785" spans="2:2" ht="12.75" x14ac:dyDescent="0.2">
      <c r="B785" s="221"/>
    </row>
    <row r="786" spans="2:2" ht="12.75" x14ac:dyDescent="0.2">
      <c r="B786" s="221"/>
    </row>
    <row r="787" spans="2:2" ht="12.75" x14ac:dyDescent="0.2">
      <c r="B787" s="221"/>
    </row>
    <row r="788" spans="2:2" ht="12.75" x14ac:dyDescent="0.2">
      <c r="B788" s="221"/>
    </row>
    <row r="789" spans="2:2" ht="12.75" x14ac:dyDescent="0.2">
      <c r="B789" s="221"/>
    </row>
    <row r="790" spans="2:2" ht="12.75" x14ac:dyDescent="0.2">
      <c r="B790" s="221"/>
    </row>
    <row r="791" spans="2:2" ht="12.75" x14ac:dyDescent="0.2">
      <c r="B791" s="221"/>
    </row>
    <row r="792" spans="2:2" ht="12.75" x14ac:dyDescent="0.2">
      <c r="B792" s="221"/>
    </row>
    <row r="793" spans="2:2" ht="12.75" x14ac:dyDescent="0.2">
      <c r="B793" s="221"/>
    </row>
    <row r="794" spans="2:2" ht="12.75" x14ac:dyDescent="0.2">
      <c r="B794" s="221"/>
    </row>
    <row r="795" spans="2:2" ht="12.75" x14ac:dyDescent="0.2">
      <c r="B795" s="221"/>
    </row>
    <row r="796" spans="2:2" ht="12.75" x14ac:dyDescent="0.2">
      <c r="B796" s="221"/>
    </row>
    <row r="797" spans="2:2" ht="12.75" x14ac:dyDescent="0.2">
      <c r="B797" s="221"/>
    </row>
    <row r="798" spans="2:2" ht="12.75" x14ac:dyDescent="0.2">
      <c r="B798" s="221"/>
    </row>
    <row r="799" spans="2:2" ht="12.75" x14ac:dyDescent="0.2">
      <c r="B799" s="221"/>
    </row>
    <row r="800" spans="2:2" ht="12.75" x14ac:dyDescent="0.2">
      <c r="B800" s="221"/>
    </row>
    <row r="801" spans="2:2" ht="12.75" x14ac:dyDescent="0.2">
      <c r="B801" s="221"/>
    </row>
    <row r="802" spans="2:2" ht="12.75" x14ac:dyDescent="0.2">
      <c r="B802" s="221"/>
    </row>
    <row r="803" spans="2:2" ht="12.75" x14ac:dyDescent="0.2">
      <c r="B803" s="221"/>
    </row>
    <row r="804" spans="2:2" ht="12.75" x14ac:dyDescent="0.2">
      <c r="B804" s="221"/>
    </row>
    <row r="805" spans="2:2" ht="12.75" x14ac:dyDescent="0.2">
      <c r="B805" s="221"/>
    </row>
    <row r="806" spans="2:2" ht="12.75" x14ac:dyDescent="0.2">
      <c r="B806" s="221"/>
    </row>
    <row r="807" spans="2:2" ht="12.75" x14ac:dyDescent="0.2">
      <c r="B807" s="221"/>
    </row>
    <row r="808" spans="2:2" ht="12.75" x14ac:dyDescent="0.2">
      <c r="B808" s="221"/>
    </row>
    <row r="809" spans="2:2" ht="12.75" x14ac:dyDescent="0.2">
      <c r="B809" s="221"/>
    </row>
    <row r="810" spans="2:2" ht="12.75" x14ac:dyDescent="0.2">
      <c r="B810" s="221"/>
    </row>
    <row r="811" spans="2:2" ht="12.75" x14ac:dyDescent="0.2">
      <c r="B811" s="221"/>
    </row>
    <row r="812" spans="2:2" ht="12.75" x14ac:dyDescent="0.2">
      <c r="B812" s="221"/>
    </row>
    <row r="813" spans="2:2" ht="12.75" x14ac:dyDescent="0.2">
      <c r="B813" s="221"/>
    </row>
    <row r="814" spans="2:2" ht="12.75" x14ac:dyDescent="0.2">
      <c r="B814" s="221"/>
    </row>
    <row r="815" spans="2:2" ht="12.75" x14ac:dyDescent="0.2">
      <c r="B815" s="221"/>
    </row>
    <row r="816" spans="2:2" ht="12.75" x14ac:dyDescent="0.2">
      <c r="B816" s="221"/>
    </row>
    <row r="817" spans="2:2" ht="12.75" x14ac:dyDescent="0.2">
      <c r="B817" s="221"/>
    </row>
    <row r="818" spans="2:2" ht="12.75" x14ac:dyDescent="0.2">
      <c r="B818" s="221"/>
    </row>
    <row r="819" spans="2:2" ht="12.75" x14ac:dyDescent="0.2">
      <c r="B819" s="221"/>
    </row>
    <row r="820" spans="2:2" ht="12.75" x14ac:dyDescent="0.2">
      <c r="B820" s="221"/>
    </row>
    <row r="821" spans="2:2" ht="12.75" x14ac:dyDescent="0.2">
      <c r="B821" s="221"/>
    </row>
    <row r="822" spans="2:2" ht="12.75" x14ac:dyDescent="0.2">
      <c r="B822" s="221"/>
    </row>
    <row r="823" spans="2:2" ht="12.75" x14ac:dyDescent="0.2">
      <c r="B823" s="221"/>
    </row>
    <row r="824" spans="2:2" ht="12.75" x14ac:dyDescent="0.2">
      <c r="B824" s="221"/>
    </row>
    <row r="825" spans="2:2" ht="12.75" x14ac:dyDescent="0.2">
      <c r="B825" s="221"/>
    </row>
    <row r="826" spans="2:2" ht="12.75" x14ac:dyDescent="0.2">
      <c r="B826" s="221"/>
    </row>
    <row r="827" spans="2:2" ht="12.75" x14ac:dyDescent="0.2">
      <c r="B827" s="221"/>
    </row>
    <row r="828" spans="2:2" ht="12.75" x14ac:dyDescent="0.2">
      <c r="B828" s="221"/>
    </row>
    <row r="829" spans="2:2" ht="12.75" x14ac:dyDescent="0.2">
      <c r="B829" s="221"/>
    </row>
    <row r="830" spans="2:2" ht="12.75" x14ac:dyDescent="0.2">
      <c r="B830" s="221"/>
    </row>
    <row r="831" spans="2:2" ht="12.75" x14ac:dyDescent="0.2">
      <c r="B831" s="221"/>
    </row>
    <row r="832" spans="2:2" ht="12.75" x14ac:dyDescent="0.2">
      <c r="B832" s="221"/>
    </row>
    <row r="833" spans="2:2" ht="12.75" x14ac:dyDescent="0.2">
      <c r="B833" s="221"/>
    </row>
    <row r="834" spans="2:2" ht="12.75" x14ac:dyDescent="0.2">
      <c r="B834" s="221"/>
    </row>
    <row r="835" spans="2:2" ht="12.75" x14ac:dyDescent="0.2">
      <c r="B835" s="221"/>
    </row>
    <row r="836" spans="2:2" ht="12.75" x14ac:dyDescent="0.2">
      <c r="B836" s="221"/>
    </row>
    <row r="837" spans="2:2" ht="12.75" x14ac:dyDescent="0.2">
      <c r="B837" s="221"/>
    </row>
    <row r="838" spans="2:2" ht="12.75" x14ac:dyDescent="0.2">
      <c r="B838" s="221"/>
    </row>
    <row r="839" spans="2:2" ht="12.75" x14ac:dyDescent="0.2">
      <c r="B839" s="221"/>
    </row>
    <row r="840" spans="2:2" ht="12.75" x14ac:dyDescent="0.2">
      <c r="B840" s="221"/>
    </row>
    <row r="841" spans="2:2" ht="12.75" x14ac:dyDescent="0.2">
      <c r="B841" s="221"/>
    </row>
    <row r="842" spans="2:2" ht="12.75" x14ac:dyDescent="0.2">
      <c r="B842" s="221"/>
    </row>
    <row r="843" spans="2:2" ht="12.75" x14ac:dyDescent="0.2">
      <c r="B843" s="221"/>
    </row>
    <row r="844" spans="2:2" ht="12.75" x14ac:dyDescent="0.2">
      <c r="B844" s="221"/>
    </row>
    <row r="845" spans="2:2" ht="12.75" x14ac:dyDescent="0.2">
      <c r="B845" s="221"/>
    </row>
    <row r="846" spans="2:2" ht="12.75" x14ac:dyDescent="0.2">
      <c r="B846" s="221"/>
    </row>
    <row r="847" spans="2:2" ht="12.75" x14ac:dyDescent="0.2">
      <c r="B847" s="221"/>
    </row>
    <row r="848" spans="2:2" ht="12.75" x14ac:dyDescent="0.2">
      <c r="B848" s="221"/>
    </row>
    <row r="849" spans="2:2" ht="12.75" x14ac:dyDescent="0.2">
      <c r="B849" s="221"/>
    </row>
    <row r="850" spans="2:2" ht="12.75" x14ac:dyDescent="0.2">
      <c r="B850" s="221"/>
    </row>
    <row r="851" spans="2:2" ht="12.75" x14ac:dyDescent="0.2">
      <c r="B851" s="221"/>
    </row>
    <row r="852" spans="2:2" ht="12.75" x14ac:dyDescent="0.2">
      <c r="B852" s="221"/>
    </row>
    <row r="853" spans="2:2" ht="12.75" x14ac:dyDescent="0.2">
      <c r="B853" s="221"/>
    </row>
    <row r="854" spans="2:2" ht="12.75" x14ac:dyDescent="0.2">
      <c r="B854" s="221"/>
    </row>
    <row r="855" spans="2:2" ht="12.75" x14ac:dyDescent="0.2">
      <c r="B855" s="221"/>
    </row>
    <row r="856" spans="2:2" ht="12.75" x14ac:dyDescent="0.2">
      <c r="B856" s="221"/>
    </row>
    <row r="857" spans="2:2" ht="12.75" x14ac:dyDescent="0.2">
      <c r="B857" s="221"/>
    </row>
    <row r="858" spans="2:2" ht="12.75" x14ac:dyDescent="0.2">
      <c r="B858" s="221"/>
    </row>
    <row r="859" spans="2:2" ht="12.75" x14ac:dyDescent="0.2">
      <c r="B859" s="221"/>
    </row>
    <row r="860" spans="2:2" ht="12.75" x14ac:dyDescent="0.2">
      <c r="B860" s="221"/>
    </row>
    <row r="861" spans="2:2" ht="12.75" x14ac:dyDescent="0.2">
      <c r="B861" s="221"/>
    </row>
    <row r="862" spans="2:2" ht="12.75" x14ac:dyDescent="0.2">
      <c r="B862" s="221"/>
    </row>
    <row r="863" spans="2:2" ht="12.75" x14ac:dyDescent="0.2">
      <c r="B863" s="221"/>
    </row>
    <row r="864" spans="2:2" ht="12.75" x14ac:dyDescent="0.2">
      <c r="B864" s="221"/>
    </row>
    <row r="865" spans="2:2" ht="12.75" x14ac:dyDescent="0.2">
      <c r="B865" s="221"/>
    </row>
    <row r="866" spans="2:2" ht="12.75" x14ac:dyDescent="0.2">
      <c r="B866" s="221"/>
    </row>
    <row r="867" spans="2:2" ht="12.75" x14ac:dyDescent="0.2">
      <c r="B867" s="221"/>
    </row>
    <row r="868" spans="2:2" ht="12.75" x14ac:dyDescent="0.2">
      <c r="B868" s="221"/>
    </row>
    <row r="869" spans="2:2" ht="12.75" x14ac:dyDescent="0.2">
      <c r="B869" s="221"/>
    </row>
    <row r="870" spans="2:2" ht="12.75" x14ac:dyDescent="0.2">
      <c r="B870" s="221"/>
    </row>
    <row r="871" spans="2:2" ht="12.75" x14ac:dyDescent="0.2">
      <c r="B871" s="221"/>
    </row>
    <row r="872" spans="2:2" ht="12.75" x14ac:dyDescent="0.2">
      <c r="B872" s="221"/>
    </row>
    <row r="873" spans="2:2" ht="12.75" x14ac:dyDescent="0.2">
      <c r="B873" s="221"/>
    </row>
    <row r="874" spans="2:2" ht="12.75" x14ac:dyDescent="0.2">
      <c r="B874" s="221"/>
    </row>
    <row r="875" spans="2:2" ht="12.75" x14ac:dyDescent="0.2">
      <c r="B875" s="221"/>
    </row>
    <row r="876" spans="2:2" ht="12.75" x14ac:dyDescent="0.2">
      <c r="B876" s="221"/>
    </row>
    <row r="877" spans="2:2" ht="12.75" x14ac:dyDescent="0.2">
      <c r="B877" s="221"/>
    </row>
    <row r="878" spans="2:2" ht="12.75" x14ac:dyDescent="0.2">
      <c r="B878" s="221"/>
    </row>
    <row r="879" spans="2:2" ht="12.75" x14ac:dyDescent="0.2">
      <c r="B879" s="221"/>
    </row>
    <row r="880" spans="2:2" ht="12.75" x14ac:dyDescent="0.2">
      <c r="B880" s="221"/>
    </row>
    <row r="881" spans="2:2" ht="12.75" x14ac:dyDescent="0.2">
      <c r="B881" s="221"/>
    </row>
    <row r="882" spans="2:2" ht="12.75" x14ac:dyDescent="0.2">
      <c r="B882" s="221"/>
    </row>
    <row r="883" spans="2:2" ht="12.75" x14ac:dyDescent="0.2">
      <c r="B883" s="221"/>
    </row>
    <row r="884" spans="2:2" ht="12.75" x14ac:dyDescent="0.2">
      <c r="B884" s="221"/>
    </row>
    <row r="885" spans="2:2" ht="12.75" x14ac:dyDescent="0.2">
      <c r="B885" s="221"/>
    </row>
    <row r="886" spans="2:2" ht="12.75" x14ac:dyDescent="0.2">
      <c r="B886" s="221"/>
    </row>
    <row r="887" spans="2:2" ht="12.75" x14ac:dyDescent="0.2">
      <c r="B887" s="221"/>
    </row>
    <row r="888" spans="2:2" ht="12.75" x14ac:dyDescent="0.2">
      <c r="B888" s="221"/>
    </row>
    <row r="889" spans="2:2" ht="12.75" x14ac:dyDescent="0.2">
      <c r="B889" s="221"/>
    </row>
    <row r="890" spans="2:2" ht="12.75" x14ac:dyDescent="0.2">
      <c r="B890" s="221"/>
    </row>
    <row r="891" spans="2:2" ht="12.75" x14ac:dyDescent="0.2">
      <c r="B891" s="221"/>
    </row>
    <row r="892" spans="2:2" ht="12.75" x14ac:dyDescent="0.2">
      <c r="B892" s="221"/>
    </row>
    <row r="893" spans="2:2" ht="12.75" x14ac:dyDescent="0.2">
      <c r="B893" s="221"/>
    </row>
    <row r="894" spans="2:2" ht="12.75" x14ac:dyDescent="0.2">
      <c r="B894" s="221"/>
    </row>
    <row r="895" spans="2:2" ht="12.75" x14ac:dyDescent="0.2">
      <c r="B895" s="221"/>
    </row>
    <row r="896" spans="2:2" ht="12.75" x14ac:dyDescent="0.2">
      <c r="B896" s="221"/>
    </row>
    <row r="897" spans="2:2" ht="12.75" x14ac:dyDescent="0.2">
      <c r="B897" s="221"/>
    </row>
    <row r="898" spans="2:2" ht="12.75" x14ac:dyDescent="0.2">
      <c r="B898" s="221"/>
    </row>
    <row r="899" spans="2:2" ht="12.75" x14ac:dyDescent="0.2">
      <c r="B899" s="221"/>
    </row>
    <row r="900" spans="2:2" ht="12.75" x14ac:dyDescent="0.2">
      <c r="B900" s="221"/>
    </row>
    <row r="901" spans="2:2" ht="12.75" x14ac:dyDescent="0.2">
      <c r="B901" s="221"/>
    </row>
    <row r="902" spans="2:2" ht="12.75" x14ac:dyDescent="0.2">
      <c r="B902" s="221"/>
    </row>
    <row r="903" spans="2:2" ht="12.75" x14ac:dyDescent="0.2">
      <c r="B903" s="221"/>
    </row>
    <row r="904" spans="2:2" ht="12.75" x14ac:dyDescent="0.2">
      <c r="B904" s="221"/>
    </row>
    <row r="905" spans="2:2" ht="12.75" x14ac:dyDescent="0.2">
      <c r="B905" s="221"/>
    </row>
    <row r="906" spans="2:2" ht="12.75" x14ac:dyDescent="0.2">
      <c r="B906" s="221"/>
    </row>
    <row r="907" spans="2:2" ht="12.75" x14ac:dyDescent="0.2">
      <c r="B907" s="221"/>
    </row>
    <row r="908" spans="2:2" ht="12.75" x14ac:dyDescent="0.2">
      <c r="B908" s="221"/>
    </row>
    <row r="909" spans="2:2" ht="12.75" x14ac:dyDescent="0.2">
      <c r="B909" s="221"/>
    </row>
    <row r="910" spans="2:2" ht="12.75" x14ac:dyDescent="0.2">
      <c r="B910" s="221"/>
    </row>
    <row r="911" spans="2:2" ht="12.75" x14ac:dyDescent="0.2">
      <c r="B911" s="221"/>
    </row>
    <row r="912" spans="2:2" ht="12.75" x14ac:dyDescent="0.2">
      <c r="B912" s="221"/>
    </row>
    <row r="913" spans="2:2" ht="12.75" x14ac:dyDescent="0.2">
      <c r="B913" s="221"/>
    </row>
    <row r="914" spans="2:2" ht="12.75" x14ac:dyDescent="0.2">
      <c r="B914" s="221"/>
    </row>
    <row r="915" spans="2:2" ht="12.75" x14ac:dyDescent="0.2">
      <c r="B915" s="221"/>
    </row>
    <row r="916" spans="2:2" ht="12.75" x14ac:dyDescent="0.2">
      <c r="B916" s="221"/>
    </row>
    <row r="917" spans="2:2" ht="12.75" x14ac:dyDescent="0.2">
      <c r="B917" s="221"/>
    </row>
    <row r="918" spans="2:2" ht="12.75" x14ac:dyDescent="0.2">
      <c r="B918" s="221"/>
    </row>
    <row r="919" spans="2:2" ht="12.75" x14ac:dyDescent="0.2">
      <c r="B919" s="221"/>
    </row>
    <row r="920" spans="2:2" ht="12.75" x14ac:dyDescent="0.2">
      <c r="B920" s="221"/>
    </row>
    <row r="921" spans="2:2" ht="12.75" x14ac:dyDescent="0.2">
      <c r="B921" s="221"/>
    </row>
    <row r="922" spans="2:2" ht="12.75" x14ac:dyDescent="0.2">
      <c r="B922" s="221"/>
    </row>
    <row r="923" spans="2:2" ht="12.75" x14ac:dyDescent="0.2">
      <c r="B923" s="221"/>
    </row>
    <row r="924" spans="2:2" ht="12.75" x14ac:dyDescent="0.2">
      <c r="B924" s="221"/>
    </row>
    <row r="925" spans="2:2" ht="12.75" x14ac:dyDescent="0.2">
      <c r="B925" s="221"/>
    </row>
    <row r="926" spans="2:2" ht="12.75" x14ac:dyDescent="0.2">
      <c r="B926" s="221"/>
    </row>
    <row r="927" spans="2:2" ht="12.75" x14ac:dyDescent="0.2">
      <c r="B927" s="221"/>
    </row>
    <row r="928" spans="2:2" ht="12.75" x14ac:dyDescent="0.2">
      <c r="B928" s="221"/>
    </row>
    <row r="929" spans="2:2" ht="12.75" x14ac:dyDescent="0.2">
      <c r="B929" s="221"/>
    </row>
    <row r="930" spans="2:2" ht="12.75" x14ac:dyDescent="0.2">
      <c r="B930" s="221"/>
    </row>
    <row r="931" spans="2:2" ht="12.75" x14ac:dyDescent="0.2">
      <c r="B931" s="221"/>
    </row>
    <row r="932" spans="2:2" ht="12.75" x14ac:dyDescent="0.2">
      <c r="B932" s="221"/>
    </row>
    <row r="933" spans="2:2" ht="12.75" x14ac:dyDescent="0.2">
      <c r="B933" s="221"/>
    </row>
    <row r="934" spans="2:2" ht="12.75" x14ac:dyDescent="0.2">
      <c r="B934" s="221"/>
    </row>
    <row r="935" spans="2:2" ht="12.75" x14ac:dyDescent="0.2">
      <c r="B935" s="221"/>
    </row>
    <row r="936" spans="2:2" ht="12.75" x14ac:dyDescent="0.2">
      <c r="B936" s="221"/>
    </row>
    <row r="937" spans="2:2" ht="12.75" x14ac:dyDescent="0.2">
      <c r="B937" s="221"/>
    </row>
    <row r="938" spans="2:2" ht="12.75" x14ac:dyDescent="0.2">
      <c r="B938" s="221"/>
    </row>
    <row r="939" spans="2:2" ht="12.75" x14ac:dyDescent="0.2">
      <c r="B939" s="221"/>
    </row>
    <row r="940" spans="2:2" ht="12.75" x14ac:dyDescent="0.2">
      <c r="B940" s="221"/>
    </row>
    <row r="941" spans="2:2" ht="12.75" x14ac:dyDescent="0.2">
      <c r="B941" s="221"/>
    </row>
    <row r="942" spans="2:2" ht="12.75" x14ac:dyDescent="0.2">
      <c r="B942" s="221"/>
    </row>
    <row r="943" spans="2:2" ht="12.75" x14ac:dyDescent="0.2">
      <c r="B943" s="221"/>
    </row>
    <row r="944" spans="2:2" ht="12.75" x14ac:dyDescent="0.2">
      <c r="B944" s="221"/>
    </row>
    <row r="945" spans="2:2" ht="12.75" x14ac:dyDescent="0.2">
      <c r="B945" s="221"/>
    </row>
    <row r="946" spans="2:2" ht="12.75" x14ac:dyDescent="0.2">
      <c r="B946" s="221"/>
    </row>
    <row r="947" spans="2:2" ht="12.75" x14ac:dyDescent="0.2">
      <c r="B947" s="221"/>
    </row>
    <row r="948" spans="2:2" ht="12.75" x14ac:dyDescent="0.2">
      <c r="B948" s="221"/>
    </row>
    <row r="949" spans="2:2" ht="12.75" x14ac:dyDescent="0.2">
      <c r="B949" s="221"/>
    </row>
    <row r="950" spans="2:2" ht="12.75" x14ac:dyDescent="0.2">
      <c r="B950" s="221"/>
    </row>
    <row r="951" spans="2:2" ht="12.75" x14ac:dyDescent="0.2">
      <c r="B951" s="221"/>
    </row>
    <row r="952" spans="2:2" ht="12.75" x14ac:dyDescent="0.2">
      <c r="B952" s="221"/>
    </row>
    <row r="953" spans="2:2" ht="12.75" x14ac:dyDescent="0.2">
      <c r="B953" s="221"/>
    </row>
    <row r="954" spans="2:2" ht="12.75" x14ac:dyDescent="0.2">
      <c r="B954" s="221"/>
    </row>
    <row r="955" spans="2:2" ht="12.75" x14ac:dyDescent="0.2">
      <c r="B955" s="221"/>
    </row>
    <row r="956" spans="2:2" ht="12.75" x14ac:dyDescent="0.2">
      <c r="B956" s="221"/>
    </row>
    <row r="957" spans="2:2" ht="12.75" x14ac:dyDescent="0.2">
      <c r="B957" s="221"/>
    </row>
    <row r="958" spans="2:2" ht="12.75" x14ac:dyDescent="0.2">
      <c r="B958" s="221"/>
    </row>
    <row r="959" spans="2:2" ht="12.75" x14ac:dyDescent="0.2">
      <c r="B959" s="221"/>
    </row>
    <row r="960" spans="2:2" ht="12.75" x14ac:dyDescent="0.2">
      <c r="B960" s="221"/>
    </row>
    <row r="961" spans="2:2" ht="12.75" x14ac:dyDescent="0.2">
      <c r="B961" s="221"/>
    </row>
    <row r="962" spans="2:2" ht="12.75" x14ac:dyDescent="0.2">
      <c r="B962" s="221"/>
    </row>
    <row r="963" spans="2:2" ht="12.75" x14ac:dyDescent="0.2">
      <c r="B963" s="221"/>
    </row>
    <row r="964" spans="2:2" ht="12.75" x14ac:dyDescent="0.2">
      <c r="B964" s="221"/>
    </row>
    <row r="965" spans="2:2" ht="12.75" x14ac:dyDescent="0.2">
      <c r="B965" s="221"/>
    </row>
    <row r="966" spans="2:2" ht="12.75" x14ac:dyDescent="0.2">
      <c r="B966" s="221"/>
    </row>
    <row r="967" spans="2:2" ht="12.75" x14ac:dyDescent="0.2">
      <c r="B967" s="221"/>
    </row>
    <row r="968" spans="2:2" ht="12.75" x14ac:dyDescent="0.2">
      <c r="B968" s="221"/>
    </row>
    <row r="969" spans="2:2" ht="12.75" x14ac:dyDescent="0.2">
      <c r="B969" s="221"/>
    </row>
    <row r="970" spans="2:2" ht="12.75" x14ac:dyDescent="0.2">
      <c r="B970" s="221"/>
    </row>
    <row r="971" spans="2:2" ht="12.75" x14ac:dyDescent="0.2">
      <c r="B971" s="221"/>
    </row>
    <row r="972" spans="2:2" ht="12.75" x14ac:dyDescent="0.2">
      <c r="B972" s="221"/>
    </row>
    <row r="973" spans="2:2" ht="12.75" x14ac:dyDescent="0.2">
      <c r="B973" s="221"/>
    </row>
    <row r="974" spans="2:2" ht="12.75" x14ac:dyDescent="0.2">
      <c r="B974" s="221"/>
    </row>
    <row r="975" spans="2:2" ht="12.75" x14ac:dyDescent="0.2">
      <c r="B975" s="221"/>
    </row>
    <row r="976" spans="2:2" ht="12.75" x14ac:dyDescent="0.2">
      <c r="B976" s="221"/>
    </row>
    <row r="977" spans="2:2" ht="12.75" x14ac:dyDescent="0.2">
      <c r="B977" s="221"/>
    </row>
    <row r="978" spans="2:2" ht="12.75" x14ac:dyDescent="0.2">
      <c r="B978" s="221"/>
    </row>
    <row r="979" spans="2:2" ht="12.75" x14ac:dyDescent="0.2">
      <c r="B979" s="221"/>
    </row>
    <row r="980" spans="2:2" ht="12.75" x14ac:dyDescent="0.2">
      <c r="B980" s="221"/>
    </row>
    <row r="981" spans="2:2" ht="12.75" x14ac:dyDescent="0.2">
      <c r="B981" s="221"/>
    </row>
    <row r="982" spans="2:2" ht="12.75" x14ac:dyDescent="0.2">
      <c r="B982" s="221"/>
    </row>
    <row r="983" spans="2:2" ht="12.75" x14ac:dyDescent="0.2">
      <c r="B983" s="221"/>
    </row>
    <row r="984" spans="2:2" ht="12.75" x14ac:dyDescent="0.2">
      <c r="B984" s="221"/>
    </row>
    <row r="985" spans="2:2" ht="12.75" x14ac:dyDescent="0.2">
      <c r="B985" s="221"/>
    </row>
    <row r="986" spans="2:2" ht="12.75" x14ac:dyDescent="0.2">
      <c r="B986" s="221"/>
    </row>
    <row r="987" spans="2:2" ht="12.75" x14ac:dyDescent="0.2">
      <c r="B987" s="221"/>
    </row>
    <row r="988" spans="2:2" ht="12.75" x14ac:dyDescent="0.2">
      <c r="B988" s="221"/>
    </row>
    <row r="989" spans="2:2" ht="12.75" x14ac:dyDescent="0.2">
      <c r="B989" s="221"/>
    </row>
    <row r="990" spans="2:2" ht="12.75" x14ac:dyDescent="0.2">
      <c r="B990" s="221"/>
    </row>
    <row r="991" spans="2:2" ht="12.75" x14ac:dyDescent="0.2">
      <c r="B991" s="221"/>
    </row>
    <row r="992" spans="2:2" ht="12.75" x14ac:dyDescent="0.2">
      <c r="B992" s="221"/>
    </row>
    <row r="993" spans="2:2" ht="12.75" x14ac:dyDescent="0.2">
      <c r="B993" s="221"/>
    </row>
    <row r="994" spans="2:2" ht="12.75" x14ac:dyDescent="0.2">
      <c r="B994" s="221"/>
    </row>
    <row r="995" spans="2:2" ht="12.75" x14ac:dyDescent="0.2">
      <c r="B995" s="221"/>
    </row>
    <row r="996" spans="2:2" ht="12.75" x14ac:dyDescent="0.2">
      <c r="B996" s="221"/>
    </row>
    <row r="997" spans="2:2" ht="12.75" x14ac:dyDescent="0.2">
      <c r="B997" s="221"/>
    </row>
    <row r="998" spans="2:2" ht="12.75" x14ac:dyDescent="0.2">
      <c r="B998" s="221"/>
    </row>
    <row r="999" spans="2:2" ht="12.75" x14ac:dyDescent="0.2">
      <c r="B999" s="221"/>
    </row>
    <row r="1000" spans="2:2" ht="12.75" x14ac:dyDescent="0.2">
      <c r="B1000" s="221"/>
    </row>
    <row r="1001" spans="2:2" ht="12.75" x14ac:dyDescent="0.2">
      <c r="B1001" s="221"/>
    </row>
    <row r="1002" spans="2:2" ht="12.75" x14ac:dyDescent="0.2">
      <c r="B1002" s="221"/>
    </row>
    <row r="1003" spans="2:2" ht="12.75" x14ac:dyDescent="0.2">
      <c r="B1003" s="221"/>
    </row>
    <row r="1004" spans="2:2" ht="12.75" x14ac:dyDescent="0.2">
      <c r="B1004" s="221"/>
    </row>
    <row r="1005" spans="2:2" ht="12.75" x14ac:dyDescent="0.2">
      <c r="B1005" s="221"/>
    </row>
    <row r="1006" spans="2:2" ht="12.75" x14ac:dyDescent="0.2">
      <c r="B1006" s="221"/>
    </row>
    <row r="1007" spans="2:2" ht="12.75" x14ac:dyDescent="0.2">
      <c r="B1007" s="221"/>
    </row>
    <row r="1008" spans="2:2" ht="12.75" x14ac:dyDescent="0.2">
      <c r="B1008" s="221"/>
    </row>
    <row r="1009" spans="2:2" ht="12.75" x14ac:dyDescent="0.2">
      <c r="B1009" s="221"/>
    </row>
    <row r="1010" spans="2:2" ht="12.75" x14ac:dyDescent="0.2">
      <c r="B1010" s="221"/>
    </row>
    <row r="1011" spans="2:2" ht="12.75" x14ac:dyDescent="0.2">
      <c r="B1011" s="221"/>
    </row>
    <row r="1012" spans="2:2" ht="12.75" x14ac:dyDescent="0.2">
      <c r="B1012" s="221"/>
    </row>
    <row r="1013" spans="2:2" ht="12.75" x14ac:dyDescent="0.2">
      <c r="B1013" s="221"/>
    </row>
    <row r="1014" spans="2:2" ht="12.75" x14ac:dyDescent="0.2">
      <c r="B1014" s="221"/>
    </row>
    <row r="1015" spans="2:2" ht="12.75" x14ac:dyDescent="0.2">
      <c r="B1015" s="221"/>
    </row>
    <row r="1016" spans="2:2" ht="12.75" x14ac:dyDescent="0.2">
      <c r="B1016" s="221"/>
    </row>
    <row r="1017" spans="2:2" ht="12.75" x14ac:dyDescent="0.2">
      <c r="B1017" s="221"/>
    </row>
    <row r="1018" spans="2:2" ht="12.75" x14ac:dyDescent="0.2">
      <c r="B1018" s="221"/>
    </row>
    <row r="1019" spans="2:2" ht="12.75" x14ac:dyDescent="0.2">
      <c r="B1019" s="221"/>
    </row>
    <row r="1020" spans="2:2" ht="12.75" x14ac:dyDescent="0.2">
      <c r="B1020" s="221"/>
    </row>
    <row r="1021" spans="2:2" ht="12.75" x14ac:dyDescent="0.2">
      <c r="B1021" s="221"/>
    </row>
    <row r="1022" spans="2:2" ht="12.75" x14ac:dyDescent="0.2">
      <c r="B1022" s="221"/>
    </row>
    <row r="1023" spans="2:2" ht="12.75" x14ac:dyDescent="0.2">
      <c r="B1023" s="221"/>
    </row>
    <row r="1024" spans="2:2" ht="12.75" x14ac:dyDescent="0.2">
      <c r="B1024" s="221"/>
    </row>
    <row r="1025" spans="2:2" ht="12.75" x14ac:dyDescent="0.2">
      <c r="B1025" s="221"/>
    </row>
    <row r="1026" spans="2:2" ht="12.75" x14ac:dyDescent="0.2">
      <c r="B1026" s="221"/>
    </row>
    <row r="1027" spans="2:2" ht="12.75" x14ac:dyDescent="0.2">
      <c r="B1027" s="221"/>
    </row>
    <row r="1028" spans="2:2" ht="12.75" x14ac:dyDescent="0.2">
      <c r="B1028" s="221"/>
    </row>
    <row r="1029" spans="2:2" ht="12.75" x14ac:dyDescent="0.2">
      <c r="B1029" s="221"/>
    </row>
    <row r="1030" spans="2:2" ht="12.75" x14ac:dyDescent="0.2">
      <c r="B1030" s="221"/>
    </row>
    <row r="1031" spans="2:2" ht="12.75" x14ac:dyDescent="0.2">
      <c r="B1031" s="221"/>
    </row>
    <row r="1032" spans="2:2" ht="12.75" x14ac:dyDescent="0.2">
      <c r="B1032" s="221"/>
    </row>
    <row r="1033" spans="2:2" ht="12.75" x14ac:dyDescent="0.2">
      <c r="B1033" s="221"/>
    </row>
    <row r="1034" spans="2:2" ht="12.75" x14ac:dyDescent="0.2">
      <c r="B1034" s="221"/>
    </row>
    <row r="1035" spans="2:2" ht="12.75" x14ac:dyDescent="0.2">
      <c r="B1035" s="221"/>
    </row>
    <row r="1036" spans="2:2" ht="12.75" x14ac:dyDescent="0.2">
      <c r="B1036" s="221"/>
    </row>
    <row r="1037" spans="2:2" ht="12.75" x14ac:dyDescent="0.2">
      <c r="B1037" s="221"/>
    </row>
    <row r="1038" spans="2:2" ht="12.75" x14ac:dyDescent="0.2">
      <c r="B1038" s="221"/>
    </row>
    <row r="1039" spans="2:2" ht="12.75" x14ac:dyDescent="0.2">
      <c r="B1039" s="221"/>
    </row>
    <row r="1040" spans="2:2" ht="12.75" x14ac:dyDescent="0.2">
      <c r="B1040" s="221"/>
    </row>
    <row r="1041" spans="2:2" ht="12.75" x14ac:dyDescent="0.2">
      <c r="B1041" s="221"/>
    </row>
    <row r="1042" spans="2:2" ht="12.75" x14ac:dyDescent="0.2">
      <c r="B1042" s="221"/>
    </row>
    <row r="1043" spans="2:2" ht="12.75" x14ac:dyDescent="0.2">
      <c r="B1043" s="221"/>
    </row>
    <row r="1044" spans="2:2" ht="12.75" x14ac:dyDescent="0.2">
      <c r="B1044" s="221"/>
    </row>
    <row r="1045" spans="2:2" ht="12.75" x14ac:dyDescent="0.2">
      <c r="B1045" s="221"/>
    </row>
    <row r="1046" spans="2:2" ht="12.75" x14ac:dyDescent="0.2">
      <c r="B1046" s="221"/>
    </row>
    <row r="1047" spans="2:2" ht="12.75" x14ac:dyDescent="0.2">
      <c r="B1047" s="221"/>
    </row>
    <row r="1048" spans="2:2" ht="12.75" x14ac:dyDescent="0.2">
      <c r="B1048" s="221"/>
    </row>
    <row r="1049" spans="2:2" ht="12.75" x14ac:dyDescent="0.2">
      <c r="B1049" s="221"/>
    </row>
    <row r="1050" spans="2:2" ht="12.75" x14ac:dyDescent="0.2">
      <c r="B1050" s="221"/>
    </row>
    <row r="1051" spans="2:2" ht="12.75" x14ac:dyDescent="0.2">
      <c r="B1051" s="221"/>
    </row>
    <row r="1052" spans="2:2" ht="12.75" x14ac:dyDescent="0.2">
      <c r="B1052" s="221"/>
    </row>
    <row r="1053" spans="2:2" ht="12.75" x14ac:dyDescent="0.2">
      <c r="B1053" s="221"/>
    </row>
    <row r="1054" spans="2:2" ht="12.75" x14ac:dyDescent="0.2">
      <c r="B1054" s="221"/>
    </row>
    <row r="1055" spans="2:2" ht="12.75" x14ac:dyDescent="0.2">
      <c r="B1055" s="221"/>
    </row>
    <row r="1056" spans="2:2" ht="12.75" x14ac:dyDescent="0.2">
      <c r="B1056" s="221"/>
    </row>
    <row r="1057" spans="2:2" ht="12.75" x14ac:dyDescent="0.2">
      <c r="B1057" s="221"/>
    </row>
    <row r="1058" spans="2:2" ht="12.75" x14ac:dyDescent="0.2">
      <c r="B1058" s="221"/>
    </row>
    <row r="1059" spans="2:2" ht="12.75" x14ac:dyDescent="0.2">
      <c r="B1059" s="221"/>
    </row>
    <row r="1060" spans="2:2" ht="12.75" x14ac:dyDescent="0.2">
      <c r="B1060" s="221"/>
    </row>
    <row r="1061" spans="2:2" ht="12.75" x14ac:dyDescent="0.2">
      <c r="B1061" s="221"/>
    </row>
    <row r="1062" spans="2:2" ht="12.75" x14ac:dyDescent="0.2">
      <c r="B1062" s="221"/>
    </row>
    <row r="1063" spans="2:2" ht="12.75" x14ac:dyDescent="0.2">
      <c r="B1063" s="221"/>
    </row>
    <row r="1064" spans="2:2" ht="12.75" x14ac:dyDescent="0.2">
      <c r="B1064" s="221"/>
    </row>
    <row r="1065" spans="2:2" ht="12.75" x14ac:dyDescent="0.2">
      <c r="B1065" s="221"/>
    </row>
    <row r="1066" spans="2:2" ht="12.75" x14ac:dyDescent="0.2">
      <c r="B1066" s="221"/>
    </row>
    <row r="1067" spans="2:2" ht="12.75" x14ac:dyDescent="0.2">
      <c r="B1067" s="221"/>
    </row>
    <row r="1068" spans="2:2" ht="12.75" x14ac:dyDescent="0.2">
      <c r="B1068" s="221"/>
    </row>
    <row r="1069" spans="2:2" ht="12.75" x14ac:dyDescent="0.2">
      <c r="B1069" s="221"/>
    </row>
    <row r="1070" spans="2:2" ht="12.75" x14ac:dyDescent="0.2">
      <c r="B1070" s="221"/>
    </row>
    <row r="1071" spans="2:2" ht="12.75" x14ac:dyDescent="0.2">
      <c r="B1071" s="221"/>
    </row>
    <row r="1072" spans="2:2" ht="12.75" x14ac:dyDescent="0.2">
      <c r="B1072" s="221"/>
    </row>
    <row r="1073" spans="2:2" ht="12.75" x14ac:dyDescent="0.2">
      <c r="B1073" s="221"/>
    </row>
    <row r="1074" spans="2:2" ht="12.75" x14ac:dyDescent="0.2">
      <c r="B1074" s="221"/>
    </row>
    <row r="1075" spans="2:2" ht="12.75" x14ac:dyDescent="0.2">
      <c r="B1075" s="221"/>
    </row>
    <row r="1076" spans="2:2" ht="12.75" x14ac:dyDescent="0.2">
      <c r="B1076" s="221"/>
    </row>
    <row r="1077" spans="2:2" ht="12.75" x14ac:dyDescent="0.2">
      <c r="B1077" s="221"/>
    </row>
    <row r="1078" spans="2:2" ht="12.75" x14ac:dyDescent="0.2">
      <c r="B1078" s="221"/>
    </row>
    <row r="1079" spans="2:2" ht="12.75" x14ac:dyDescent="0.2">
      <c r="B1079" s="221"/>
    </row>
    <row r="1080" spans="2:2" ht="12.75" x14ac:dyDescent="0.2">
      <c r="B1080" s="221"/>
    </row>
    <row r="1081" spans="2:2" ht="12.75" x14ac:dyDescent="0.2">
      <c r="B1081" s="221"/>
    </row>
    <row r="1082" spans="2:2" ht="12.75" x14ac:dyDescent="0.2">
      <c r="B1082" s="221"/>
    </row>
    <row r="1083" spans="2:2" ht="12.75" x14ac:dyDescent="0.2">
      <c r="B1083" s="221"/>
    </row>
    <row r="1084" spans="2:2" ht="12.75" x14ac:dyDescent="0.2">
      <c r="B1084" s="221"/>
    </row>
    <row r="1085" spans="2:2" ht="12.75" x14ac:dyDescent="0.2">
      <c r="B1085" s="221"/>
    </row>
    <row r="1086" spans="2:2" ht="12.75" x14ac:dyDescent="0.2">
      <c r="B1086" s="221"/>
    </row>
    <row r="1087" spans="2:2" ht="12.75" x14ac:dyDescent="0.2">
      <c r="B1087" s="221"/>
    </row>
    <row r="1088" spans="2:2" ht="12.75" x14ac:dyDescent="0.2">
      <c r="B1088" s="221"/>
    </row>
    <row r="1089" spans="2:2" ht="12.75" x14ac:dyDescent="0.2">
      <c r="B1089" s="221"/>
    </row>
    <row r="1090" spans="2:2" ht="12.75" x14ac:dyDescent="0.2">
      <c r="B1090" s="221"/>
    </row>
    <row r="1091" spans="2:2" ht="12.75" x14ac:dyDescent="0.2">
      <c r="B1091" s="221"/>
    </row>
    <row r="1092" spans="2:2" ht="12.75" x14ac:dyDescent="0.2">
      <c r="B1092" s="221"/>
    </row>
    <row r="1093" spans="2:2" ht="12.75" x14ac:dyDescent="0.2">
      <c r="B1093" s="221"/>
    </row>
    <row r="1094" spans="2:2" ht="12.75" x14ac:dyDescent="0.2">
      <c r="B1094" s="221"/>
    </row>
    <row r="1095" spans="2:2" ht="12.75" x14ac:dyDescent="0.2">
      <c r="B1095" s="221"/>
    </row>
    <row r="1096" spans="2:2" ht="12.75" x14ac:dyDescent="0.2">
      <c r="B1096" s="221"/>
    </row>
    <row r="1097" spans="2:2" ht="12.75" x14ac:dyDescent="0.2">
      <c r="B1097" s="221"/>
    </row>
    <row r="1098" spans="2:2" ht="12.75" x14ac:dyDescent="0.2">
      <c r="B1098" s="221"/>
    </row>
    <row r="1099" spans="2:2" ht="12.75" x14ac:dyDescent="0.2">
      <c r="B1099" s="221"/>
    </row>
    <row r="1100" spans="2:2" ht="12.75" x14ac:dyDescent="0.2">
      <c r="B1100" s="221"/>
    </row>
    <row r="1101" spans="2:2" ht="12.75" x14ac:dyDescent="0.2">
      <c r="B1101" s="221"/>
    </row>
    <row r="1102" spans="2:2" ht="12.75" x14ac:dyDescent="0.2">
      <c r="B1102" s="221"/>
    </row>
    <row r="1103" spans="2:2" ht="12.75" x14ac:dyDescent="0.2">
      <c r="B1103" s="221"/>
    </row>
    <row r="1104" spans="2:2" ht="12.75" x14ac:dyDescent="0.2">
      <c r="B1104" s="221"/>
    </row>
    <row r="1105" spans="2:2" ht="12.75" x14ac:dyDescent="0.2">
      <c r="B1105" s="221"/>
    </row>
    <row r="1106" spans="2:2" ht="12.75" x14ac:dyDescent="0.2">
      <c r="B1106" s="221"/>
    </row>
    <row r="1107" spans="2:2" ht="12.75" x14ac:dyDescent="0.2">
      <c r="B1107" s="221"/>
    </row>
    <row r="1108" spans="2:2" ht="12.75" x14ac:dyDescent="0.2">
      <c r="B1108" s="221"/>
    </row>
    <row r="1109" spans="2:2" ht="12.75" x14ac:dyDescent="0.2">
      <c r="B1109" s="221"/>
    </row>
    <row r="1110" spans="2:2" ht="12.75" x14ac:dyDescent="0.2">
      <c r="B1110" s="221"/>
    </row>
    <row r="1111" spans="2:2" ht="12.75" x14ac:dyDescent="0.2">
      <c r="B1111" s="221"/>
    </row>
    <row r="1112" spans="2:2" ht="12.75" x14ac:dyDescent="0.2">
      <c r="B1112" s="221"/>
    </row>
    <row r="1113" spans="2:2" ht="12.75" x14ac:dyDescent="0.2">
      <c r="B1113" s="221"/>
    </row>
    <row r="1114" spans="2:2" ht="12.75" x14ac:dyDescent="0.2">
      <c r="B1114" s="221"/>
    </row>
    <row r="1115" spans="2:2" ht="12.75" x14ac:dyDescent="0.2">
      <c r="B1115" s="221"/>
    </row>
  </sheetData>
  <conditionalFormatting sqref="D6:AE6 D21:AE21 D31:AE31 D63:AE63 D85:AE85 D88:AE88 D98:AE98 D107:AE107 D112:AE112 D118:AE118 D120:AE120 D132:AE132 D140:AE140 D142:AE142 D149:AE149 D151:AE152 AF152:BW152 D165:AE165 D171:AE171 D180:AE180 D182:AE182">
    <cfRule type="cellIs" dxfId="3" priority="1" operator="equal">
      <formula>0</formula>
    </cfRule>
  </conditionalFormatting>
  <conditionalFormatting sqref="D6:AE6 D21:AE21 D31:AE31 D63:AE63 D85:AE85 D88:AE88 D98:AE98 D107:AE107 D112:AE112 D118:AE118 D120:AE120 D132:AE132 D140:AE140 D142:AE142 D149:AE149 D151:AE152 AF152:BW152 D165:AE165 D171:AE171 D180:AE180 D182:AE182">
    <cfRule type="cellIs" dxfId="2" priority="2" operator="notEqual">
      <formula>0</formula>
    </cfRule>
  </conditionalFormatting>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EP1004"/>
  <sheetViews>
    <sheetView showGridLines="0" workbookViewId="0">
      <pane ySplit="2" topLeftCell="A3" activePane="bottomLeft" state="frozen"/>
      <selection pane="bottomLeft" activeCell="A5" sqref="A5"/>
    </sheetView>
  </sheetViews>
  <sheetFormatPr defaultColWidth="14.42578125" defaultRowHeight="15.75" customHeight="1" x14ac:dyDescent="0.2"/>
  <cols>
    <col min="1" max="1" width="39.85546875" customWidth="1"/>
  </cols>
  <sheetData>
    <row r="1" spans="1:146" ht="12.75" hidden="1" x14ac:dyDescent="0.2">
      <c r="A1" s="227"/>
      <c r="B1" s="228"/>
      <c r="C1" s="229">
        <v>1</v>
      </c>
      <c r="D1" s="229">
        <f t="shared" ref="D1:EP1" si="0">C1+1</f>
        <v>2</v>
      </c>
      <c r="E1" s="229">
        <f t="shared" si="0"/>
        <v>3</v>
      </c>
      <c r="F1" s="229">
        <f t="shared" si="0"/>
        <v>4</v>
      </c>
      <c r="G1" s="229">
        <f t="shared" si="0"/>
        <v>5</v>
      </c>
      <c r="H1" s="229">
        <f t="shared" si="0"/>
        <v>6</v>
      </c>
      <c r="I1" s="229">
        <f t="shared" si="0"/>
        <v>7</v>
      </c>
      <c r="J1" s="229">
        <f t="shared" si="0"/>
        <v>8</v>
      </c>
      <c r="K1" s="229">
        <f t="shared" si="0"/>
        <v>9</v>
      </c>
      <c r="L1" s="229">
        <f t="shared" si="0"/>
        <v>10</v>
      </c>
      <c r="M1" s="229">
        <f t="shared" si="0"/>
        <v>11</v>
      </c>
      <c r="N1" s="229">
        <f t="shared" si="0"/>
        <v>12</v>
      </c>
      <c r="O1" s="229">
        <f t="shared" si="0"/>
        <v>13</v>
      </c>
      <c r="P1" s="229">
        <f t="shared" si="0"/>
        <v>14</v>
      </c>
      <c r="Q1" s="229">
        <f t="shared" si="0"/>
        <v>15</v>
      </c>
      <c r="R1" s="229">
        <f t="shared" si="0"/>
        <v>16</v>
      </c>
      <c r="S1" s="229">
        <f t="shared" si="0"/>
        <v>17</v>
      </c>
      <c r="T1" s="229">
        <f t="shared" si="0"/>
        <v>18</v>
      </c>
      <c r="U1" s="229">
        <f t="shared" si="0"/>
        <v>19</v>
      </c>
      <c r="V1" s="229">
        <f t="shared" si="0"/>
        <v>20</v>
      </c>
      <c r="W1" s="229">
        <f t="shared" si="0"/>
        <v>21</v>
      </c>
      <c r="X1" s="229">
        <f t="shared" si="0"/>
        <v>22</v>
      </c>
      <c r="Y1" s="229">
        <f t="shared" si="0"/>
        <v>23</v>
      </c>
      <c r="Z1" s="229">
        <f t="shared" si="0"/>
        <v>24</v>
      </c>
      <c r="AA1" s="229">
        <f t="shared" si="0"/>
        <v>25</v>
      </c>
      <c r="AB1" s="229">
        <f t="shared" si="0"/>
        <v>26</v>
      </c>
      <c r="AC1" s="229">
        <f t="shared" si="0"/>
        <v>27</v>
      </c>
      <c r="AD1" s="229">
        <f t="shared" si="0"/>
        <v>28</v>
      </c>
      <c r="AE1" s="229">
        <f t="shared" si="0"/>
        <v>29</v>
      </c>
      <c r="AF1" s="229">
        <f t="shared" si="0"/>
        <v>30</v>
      </c>
      <c r="AG1" s="229">
        <f t="shared" si="0"/>
        <v>31</v>
      </c>
      <c r="AH1" s="229">
        <f t="shared" si="0"/>
        <v>32</v>
      </c>
      <c r="AI1" s="229">
        <f t="shared" si="0"/>
        <v>33</v>
      </c>
      <c r="AJ1" s="229">
        <f t="shared" si="0"/>
        <v>34</v>
      </c>
      <c r="AK1" s="229">
        <f t="shared" si="0"/>
        <v>35</v>
      </c>
      <c r="AL1" s="229">
        <f t="shared" si="0"/>
        <v>36</v>
      </c>
      <c r="AM1" s="229">
        <f t="shared" si="0"/>
        <v>37</v>
      </c>
      <c r="AN1" s="229">
        <f t="shared" si="0"/>
        <v>38</v>
      </c>
      <c r="AO1" s="229">
        <f t="shared" si="0"/>
        <v>39</v>
      </c>
      <c r="AP1" s="229">
        <f t="shared" si="0"/>
        <v>40</v>
      </c>
      <c r="AQ1" s="229">
        <f t="shared" si="0"/>
        <v>41</v>
      </c>
      <c r="AR1" s="229">
        <f t="shared" si="0"/>
        <v>42</v>
      </c>
      <c r="AS1" s="229">
        <f t="shared" si="0"/>
        <v>43</v>
      </c>
      <c r="AT1" s="229">
        <f t="shared" si="0"/>
        <v>44</v>
      </c>
      <c r="AU1" s="229">
        <f t="shared" si="0"/>
        <v>45</v>
      </c>
      <c r="AV1" s="229">
        <f t="shared" si="0"/>
        <v>46</v>
      </c>
      <c r="AW1" s="229">
        <f t="shared" si="0"/>
        <v>47</v>
      </c>
      <c r="AX1" s="229">
        <f t="shared" si="0"/>
        <v>48</v>
      </c>
      <c r="AY1" s="229">
        <f t="shared" si="0"/>
        <v>49</v>
      </c>
      <c r="AZ1" s="229">
        <f t="shared" si="0"/>
        <v>50</v>
      </c>
      <c r="BA1" s="229">
        <f t="shared" si="0"/>
        <v>51</v>
      </c>
      <c r="BB1" s="229">
        <f t="shared" si="0"/>
        <v>52</v>
      </c>
      <c r="BC1" s="229">
        <f t="shared" si="0"/>
        <v>53</v>
      </c>
      <c r="BD1" s="229">
        <f t="shared" si="0"/>
        <v>54</v>
      </c>
      <c r="BE1" s="229">
        <f t="shared" si="0"/>
        <v>55</v>
      </c>
      <c r="BF1" s="229">
        <f t="shared" si="0"/>
        <v>56</v>
      </c>
      <c r="BG1" s="229">
        <f t="shared" si="0"/>
        <v>57</v>
      </c>
      <c r="BH1" s="229">
        <f t="shared" si="0"/>
        <v>58</v>
      </c>
      <c r="BI1" s="229">
        <f t="shared" si="0"/>
        <v>59</v>
      </c>
      <c r="BJ1" s="229">
        <f t="shared" si="0"/>
        <v>60</v>
      </c>
      <c r="BK1" s="229">
        <f t="shared" si="0"/>
        <v>61</v>
      </c>
      <c r="BL1" s="229">
        <f t="shared" si="0"/>
        <v>62</v>
      </c>
      <c r="BM1" s="229">
        <f t="shared" si="0"/>
        <v>63</v>
      </c>
      <c r="BN1" s="229">
        <f t="shared" si="0"/>
        <v>64</v>
      </c>
      <c r="BO1" s="229">
        <f t="shared" si="0"/>
        <v>65</v>
      </c>
      <c r="BP1" s="229">
        <f t="shared" si="0"/>
        <v>66</v>
      </c>
      <c r="BQ1" s="229">
        <f t="shared" si="0"/>
        <v>67</v>
      </c>
      <c r="BR1" s="229">
        <f t="shared" si="0"/>
        <v>68</v>
      </c>
      <c r="BS1" s="229">
        <f t="shared" si="0"/>
        <v>69</v>
      </c>
      <c r="BT1" s="229">
        <f t="shared" si="0"/>
        <v>70</v>
      </c>
      <c r="BU1" s="229">
        <f t="shared" si="0"/>
        <v>71</v>
      </c>
      <c r="BV1" s="229">
        <f t="shared" si="0"/>
        <v>72</v>
      </c>
      <c r="BW1" s="229">
        <f t="shared" si="0"/>
        <v>73</v>
      </c>
      <c r="BX1" s="229">
        <f t="shared" si="0"/>
        <v>74</v>
      </c>
      <c r="BY1" s="229">
        <f t="shared" si="0"/>
        <v>75</v>
      </c>
      <c r="BZ1" s="229">
        <f t="shared" si="0"/>
        <v>76</v>
      </c>
      <c r="CA1" s="229">
        <f t="shared" si="0"/>
        <v>77</v>
      </c>
      <c r="CB1" s="229">
        <f t="shared" si="0"/>
        <v>78</v>
      </c>
      <c r="CC1" s="229">
        <f t="shared" si="0"/>
        <v>79</v>
      </c>
      <c r="CD1" s="229">
        <f t="shared" si="0"/>
        <v>80</v>
      </c>
      <c r="CE1" s="229">
        <f t="shared" si="0"/>
        <v>81</v>
      </c>
      <c r="CF1" s="229">
        <f t="shared" si="0"/>
        <v>82</v>
      </c>
      <c r="CG1" s="229">
        <f t="shared" si="0"/>
        <v>83</v>
      </c>
      <c r="CH1" s="229">
        <f t="shared" si="0"/>
        <v>84</v>
      </c>
      <c r="CI1" s="229">
        <f t="shared" si="0"/>
        <v>85</v>
      </c>
      <c r="CJ1" s="229">
        <f t="shared" si="0"/>
        <v>86</v>
      </c>
      <c r="CK1" s="229">
        <f t="shared" si="0"/>
        <v>87</v>
      </c>
      <c r="CL1" s="229">
        <f t="shared" si="0"/>
        <v>88</v>
      </c>
      <c r="CM1" s="229">
        <f t="shared" si="0"/>
        <v>89</v>
      </c>
      <c r="CN1" s="229">
        <f t="shared" si="0"/>
        <v>90</v>
      </c>
      <c r="CO1" s="229">
        <f t="shared" si="0"/>
        <v>91</v>
      </c>
      <c r="CP1" s="229">
        <f t="shared" si="0"/>
        <v>92</v>
      </c>
      <c r="CQ1" s="229">
        <f t="shared" si="0"/>
        <v>93</v>
      </c>
      <c r="CR1" s="229">
        <f t="shared" si="0"/>
        <v>94</v>
      </c>
      <c r="CS1" s="229">
        <f t="shared" si="0"/>
        <v>95</v>
      </c>
      <c r="CT1" s="229">
        <f t="shared" si="0"/>
        <v>96</v>
      </c>
      <c r="CU1" s="229">
        <f t="shared" si="0"/>
        <v>97</v>
      </c>
      <c r="CV1" s="229">
        <f t="shared" si="0"/>
        <v>98</v>
      </c>
      <c r="CW1" s="229">
        <f t="shared" si="0"/>
        <v>99</v>
      </c>
      <c r="CX1" s="229">
        <f t="shared" si="0"/>
        <v>100</v>
      </c>
      <c r="CY1" s="229">
        <f t="shared" si="0"/>
        <v>101</v>
      </c>
      <c r="CZ1" s="229">
        <f t="shared" si="0"/>
        <v>102</v>
      </c>
      <c r="DA1" s="229">
        <f t="shared" si="0"/>
        <v>103</v>
      </c>
      <c r="DB1" s="229">
        <f t="shared" si="0"/>
        <v>104</v>
      </c>
      <c r="DC1" s="229">
        <f t="shared" si="0"/>
        <v>105</v>
      </c>
      <c r="DD1" s="229">
        <f t="shared" si="0"/>
        <v>106</v>
      </c>
      <c r="DE1" s="229">
        <f t="shared" si="0"/>
        <v>107</v>
      </c>
      <c r="DF1" s="229">
        <f t="shared" si="0"/>
        <v>108</v>
      </c>
      <c r="DG1" s="229">
        <f t="shared" si="0"/>
        <v>109</v>
      </c>
      <c r="DH1" s="229">
        <f t="shared" si="0"/>
        <v>110</v>
      </c>
      <c r="DI1" s="229">
        <f t="shared" si="0"/>
        <v>111</v>
      </c>
      <c r="DJ1" s="229">
        <f t="shared" si="0"/>
        <v>112</v>
      </c>
      <c r="DK1" s="229">
        <f t="shared" si="0"/>
        <v>113</v>
      </c>
      <c r="DL1" s="229">
        <f t="shared" si="0"/>
        <v>114</v>
      </c>
      <c r="DM1" s="229">
        <f t="shared" si="0"/>
        <v>115</v>
      </c>
      <c r="DN1" s="229">
        <f t="shared" si="0"/>
        <v>116</v>
      </c>
      <c r="DO1" s="229">
        <f t="shared" si="0"/>
        <v>117</v>
      </c>
      <c r="DP1" s="229">
        <f t="shared" si="0"/>
        <v>118</v>
      </c>
      <c r="DQ1" s="229">
        <f t="shared" si="0"/>
        <v>119</v>
      </c>
      <c r="DR1" s="229">
        <f t="shared" si="0"/>
        <v>120</v>
      </c>
      <c r="DS1" s="229">
        <f t="shared" si="0"/>
        <v>121</v>
      </c>
      <c r="DT1" s="229">
        <f t="shared" si="0"/>
        <v>122</v>
      </c>
      <c r="DU1" s="229">
        <f t="shared" si="0"/>
        <v>123</v>
      </c>
      <c r="DV1" s="229">
        <f t="shared" si="0"/>
        <v>124</v>
      </c>
      <c r="DW1" s="229">
        <f t="shared" si="0"/>
        <v>125</v>
      </c>
      <c r="DX1" s="229">
        <f t="shared" si="0"/>
        <v>126</v>
      </c>
      <c r="DY1" s="229">
        <f t="shared" si="0"/>
        <v>127</v>
      </c>
      <c r="DZ1" s="229">
        <f t="shared" si="0"/>
        <v>128</v>
      </c>
      <c r="EA1" s="229">
        <f t="shared" si="0"/>
        <v>129</v>
      </c>
      <c r="EB1" s="229">
        <f t="shared" si="0"/>
        <v>130</v>
      </c>
      <c r="EC1" s="229">
        <f t="shared" si="0"/>
        <v>131</v>
      </c>
      <c r="ED1" s="229">
        <f t="shared" si="0"/>
        <v>132</v>
      </c>
      <c r="EE1" s="229">
        <f t="shared" si="0"/>
        <v>133</v>
      </c>
      <c r="EF1" s="229">
        <f t="shared" si="0"/>
        <v>134</v>
      </c>
      <c r="EG1" s="229">
        <f t="shared" si="0"/>
        <v>135</v>
      </c>
      <c r="EH1" s="229">
        <f t="shared" si="0"/>
        <v>136</v>
      </c>
      <c r="EI1" s="229">
        <f t="shared" si="0"/>
        <v>137</v>
      </c>
      <c r="EJ1" s="229">
        <f t="shared" si="0"/>
        <v>138</v>
      </c>
      <c r="EK1" s="229">
        <f t="shared" si="0"/>
        <v>139</v>
      </c>
      <c r="EL1" s="229">
        <f t="shared" si="0"/>
        <v>140</v>
      </c>
      <c r="EM1" s="229">
        <f t="shared" si="0"/>
        <v>141</v>
      </c>
      <c r="EN1" s="229">
        <f t="shared" si="0"/>
        <v>142</v>
      </c>
      <c r="EO1" s="229">
        <f t="shared" si="0"/>
        <v>143</v>
      </c>
      <c r="EP1" s="229">
        <f t="shared" si="0"/>
        <v>144</v>
      </c>
    </row>
    <row r="2" spans="1:146" ht="18" x14ac:dyDescent="0.25">
      <c r="A2" s="92" t="s">
        <v>250</v>
      </c>
      <c r="B2" s="230"/>
      <c r="C2" s="231">
        <f>B14</f>
        <v>44013</v>
      </c>
      <c r="D2" s="231">
        <f t="shared" ref="D2:EP2" si="1">EDATE(C2,1)</f>
        <v>44044</v>
      </c>
      <c r="E2" s="231">
        <f t="shared" si="1"/>
        <v>44075</v>
      </c>
      <c r="F2" s="231">
        <f t="shared" si="1"/>
        <v>44105</v>
      </c>
      <c r="G2" s="231">
        <f t="shared" si="1"/>
        <v>44136</v>
      </c>
      <c r="H2" s="231">
        <f t="shared" si="1"/>
        <v>44166</v>
      </c>
      <c r="I2" s="231">
        <f t="shared" si="1"/>
        <v>44197</v>
      </c>
      <c r="J2" s="231">
        <f t="shared" si="1"/>
        <v>44228</v>
      </c>
      <c r="K2" s="231">
        <f t="shared" si="1"/>
        <v>44256</v>
      </c>
      <c r="L2" s="231">
        <f t="shared" si="1"/>
        <v>44287</v>
      </c>
      <c r="M2" s="231">
        <f t="shared" si="1"/>
        <v>44317</v>
      </c>
      <c r="N2" s="231">
        <f t="shared" si="1"/>
        <v>44348</v>
      </c>
      <c r="O2" s="231">
        <f t="shared" si="1"/>
        <v>44378</v>
      </c>
      <c r="P2" s="231">
        <f t="shared" si="1"/>
        <v>44409</v>
      </c>
      <c r="Q2" s="231">
        <f t="shared" si="1"/>
        <v>44440</v>
      </c>
      <c r="R2" s="231">
        <f t="shared" si="1"/>
        <v>44470</v>
      </c>
      <c r="S2" s="231">
        <f t="shared" si="1"/>
        <v>44501</v>
      </c>
      <c r="T2" s="231">
        <f t="shared" si="1"/>
        <v>44531</v>
      </c>
      <c r="U2" s="231">
        <f t="shared" si="1"/>
        <v>44562</v>
      </c>
      <c r="V2" s="231">
        <f t="shared" si="1"/>
        <v>44593</v>
      </c>
      <c r="W2" s="231">
        <f t="shared" si="1"/>
        <v>44621</v>
      </c>
      <c r="X2" s="231">
        <f t="shared" si="1"/>
        <v>44652</v>
      </c>
      <c r="Y2" s="231">
        <f t="shared" si="1"/>
        <v>44682</v>
      </c>
      <c r="Z2" s="231">
        <f t="shared" si="1"/>
        <v>44713</v>
      </c>
      <c r="AA2" s="231">
        <f t="shared" si="1"/>
        <v>44743</v>
      </c>
      <c r="AB2" s="231">
        <f t="shared" si="1"/>
        <v>44774</v>
      </c>
      <c r="AC2" s="231">
        <f t="shared" si="1"/>
        <v>44805</v>
      </c>
      <c r="AD2" s="231">
        <f t="shared" si="1"/>
        <v>44835</v>
      </c>
      <c r="AE2" s="231">
        <f t="shared" si="1"/>
        <v>44866</v>
      </c>
      <c r="AF2" s="231">
        <f t="shared" si="1"/>
        <v>44896</v>
      </c>
      <c r="AG2" s="231">
        <f t="shared" si="1"/>
        <v>44927</v>
      </c>
      <c r="AH2" s="231">
        <f t="shared" si="1"/>
        <v>44958</v>
      </c>
      <c r="AI2" s="231">
        <f t="shared" si="1"/>
        <v>44986</v>
      </c>
      <c r="AJ2" s="231">
        <f t="shared" si="1"/>
        <v>45017</v>
      </c>
      <c r="AK2" s="231">
        <f t="shared" si="1"/>
        <v>45047</v>
      </c>
      <c r="AL2" s="231">
        <f t="shared" si="1"/>
        <v>45078</v>
      </c>
      <c r="AM2" s="231">
        <f t="shared" si="1"/>
        <v>45108</v>
      </c>
      <c r="AN2" s="231">
        <f t="shared" si="1"/>
        <v>45139</v>
      </c>
      <c r="AO2" s="231">
        <f t="shared" si="1"/>
        <v>45170</v>
      </c>
      <c r="AP2" s="231">
        <f t="shared" si="1"/>
        <v>45200</v>
      </c>
      <c r="AQ2" s="231">
        <f t="shared" si="1"/>
        <v>45231</v>
      </c>
      <c r="AR2" s="231">
        <f t="shared" si="1"/>
        <v>45261</v>
      </c>
      <c r="AS2" s="231">
        <f t="shared" si="1"/>
        <v>45292</v>
      </c>
      <c r="AT2" s="231">
        <f t="shared" si="1"/>
        <v>45323</v>
      </c>
      <c r="AU2" s="231">
        <f t="shared" si="1"/>
        <v>45352</v>
      </c>
      <c r="AV2" s="231">
        <f t="shared" si="1"/>
        <v>45383</v>
      </c>
      <c r="AW2" s="231">
        <f t="shared" si="1"/>
        <v>45413</v>
      </c>
      <c r="AX2" s="231">
        <f t="shared" si="1"/>
        <v>45444</v>
      </c>
      <c r="AY2" s="231">
        <f t="shared" si="1"/>
        <v>45474</v>
      </c>
      <c r="AZ2" s="231">
        <f t="shared" si="1"/>
        <v>45505</v>
      </c>
      <c r="BA2" s="231">
        <f t="shared" si="1"/>
        <v>45536</v>
      </c>
      <c r="BB2" s="231">
        <f t="shared" si="1"/>
        <v>45566</v>
      </c>
      <c r="BC2" s="231">
        <f t="shared" si="1"/>
        <v>45597</v>
      </c>
      <c r="BD2" s="231">
        <f t="shared" si="1"/>
        <v>45627</v>
      </c>
      <c r="BE2" s="231">
        <f t="shared" si="1"/>
        <v>45658</v>
      </c>
      <c r="BF2" s="231">
        <f t="shared" si="1"/>
        <v>45689</v>
      </c>
      <c r="BG2" s="231">
        <f t="shared" si="1"/>
        <v>45717</v>
      </c>
      <c r="BH2" s="231">
        <f t="shared" si="1"/>
        <v>45748</v>
      </c>
      <c r="BI2" s="231">
        <f t="shared" si="1"/>
        <v>45778</v>
      </c>
      <c r="BJ2" s="231">
        <f t="shared" si="1"/>
        <v>45809</v>
      </c>
      <c r="BK2" s="231">
        <f t="shared" si="1"/>
        <v>45839</v>
      </c>
      <c r="BL2" s="231">
        <f t="shared" si="1"/>
        <v>45870</v>
      </c>
      <c r="BM2" s="231">
        <f t="shared" si="1"/>
        <v>45901</v>
      </c>
      <c r="BN2" s="231">
        <f t="shared" si="1"/>
        <v>45931</v>
      </c>
      <c r="BO2" s="231">
        <f t="shared" si="1"/>
        <v>45962</v>
      </c>
      <c r="BP2" s="231">
        <f t="shared" si="1"/>
        <v>45992</v>
      </c>
      <c r="BQ2" s="231">
        <f t="shared" si="1"/>
        <v>46023</v>
      </c>
      <c r="BR2" s="231">
        <f t="shared" si="1"/>
        <v>46054</v>
      </c>
      <c r="BS2" s="231">
        <f t="shared" si="1"/>
        <v>46082</v>
      </c>
      <c r="BT2" s="231">
        <f t="shared" si="1"/>
        <v>46113</v>
      </c>
      <c r="BU2" s="231">
        <f t="shared" si="1"/>
        <v>46143</v>
      </c>
      <c r="BV2" s="231">
        <f t="shared" si="1"/>
        <v>46174</v>
      </c>
      <c r="BW2" s="231">
        <f t="shared" si="1"/>
        <v>46204</v>
      </c>
      <c r="BX2" s="231">
        <f t="shared" si="1"/>
        <v>46235</v>
      </c>
      <c r="BY2" s="231">
        <f t="shared" si="1"/>
        <v>46266</v>
      </c>
      <c r="BZ2" s="231">
        <f t="shared" si="1"/>
        <v>46296</v>
      </c>
      <c r="CA2" s="231">
        <f t="shared" si="1"/>
        <v>46327</v>
      </c>
      <c r="CB2" s="231">
        <f t="shared" si="1"/>
        <v>46357</v>
      </c>
      <c r="CC2" s="231">
        <f t="shared" si="1"/>
        <v>46388</v>
      </c>
      <c r="CD2" s="231">
        <f t="shared" si="1"/>
        <v>46419</v>
      </c>
      <c r="CE2" s="231">
        <f t="shared" si="1"/>
        <v>46447</v>
      </c>
      <c r="CF2" s="231">
        <f t="shared" si="1"/>
        <v>46478</v>
      </c>
      <c r="CG2" s="231">
        <f t="shared" si="1"/>
        <v>46508</v>
      </c>
      <c r="CH2" s="231">
        <f t="shared" si="1"/>
        <v>46539</v>
      </c>
      <c r="CI2" s="231">
        <f t="shared" si="1"/>
        <v>46569</v>
      </c>
      <c r="CJ2" s="231">
        <f t="shared" si="1"/>
        <v>46600</v>
      </c>
      <c r="CK2" s="231">
        <f t="shared" si="1"/>
        <v>46631</v>
      </c>
      <c r="CL2" s="231">
        <f t="shared" si="1"/>
        <v>46661</v>
      </c>
      <c r="CM2" s="231">
        <f t="shared" si="1"/>
        <v>46692</v>
      </c>
      <c r="CN2" s="231">
        <f t="shared" si="1"/>
        <v>46722</v>
      </c>
      <c r="CO2" s="231">
        <f t="shared" si="1"/>
        <v>46753</v>
      </c>
      <c r="CP2" s="231">
        <f t="shared" si="1"/>
        <v>46784</v>
      </c>
      <c r="CQ2" s="231">
        <f t="shared" si="1"/>
        <v>46813</v>
      </c>
      <c r="CR2" s="231">
        <f t="shared" si="1"/>
        <v>46844</v>
      </c>
      <c r="CS2" s="231">
        <f t="shared" si="1"/>
        <v>46874</v>
      </c>
      <c r="CT2" s="231">
        <f t="shared" si="1"/>
        <v>46905</v>
      </c>
      <c r="CU2" s="231">
        <f t="shared" si="1"/>
        <v>46935</v>
      </c>
      <c r="CV2" s="231">
        <f t="shared" si="1"/>
        <v>46966</v>
      </c>
      <c r="CW2" s="231">
        <f t="shared" si="1"/>
        <v>46997</v>
      </c>
      <c r="CX2" s="231">
        <f t="shared" si="1"/>
        <v>47027</v>
      </c>
      <c r="CY2" s="231">
        <f t="shared" si="1"/>
        <v>47058</v>
      </c>
      <c r="CZ2" s="231">
        <f t="shared" si="1"/>
        <v>47088</v>
      </c>
      <c r="DA2" s="231">
        <f t="shared" si="1"/>
        <v>47119</v>
      </c>
      <c r="DB2" s="231">
        <f t="shared" si="1"/>
        <v>47150</v>
      </c>
      <c r="DC2" s="231">
        <f t="shared" si="1"/>
        <v>47178</v>
      </c>
      <c r="DD2" s="231">
        <f t="shared" si="1"/>
        <v>47209</v>
      </c>
      <c r="DE2" s="231">
        <f t="shared" si="1"/>
        <v>47239</v>
      </c>
      <c r="DF2" s="231">
        <f t="shared" si="1"/>
        <v>47270</v>
      </c>
      <c r="DG2" s="231">
        <f t="shared" si="1"/>
        <v>47300</v>
      </c>
      <c r="DH2" s="231">
        <f t="shared" si="1"/>
        <v>47331</v>
      </c>
      <c r="DI2" s="231">
        <f t="shared" si="1"/>
        <v>47362</v>
      </c>
      <c r="DJ2" s="231">
        <f t="shared" si="1"/>
        <v>47392</v>
      </c>
      <c r="DK2" s="231">
        <f t="shared" si="1"/>
        <v>47423</v>
      </c>
      <c r="DL2" s="231">
        <f t="shared" si="1"/>
        <v>47453</v>
      </c>
      <c r="DM2" s="231">
        <f t="shared" si="1"/>
        <v>47484</v>
      </c>
      <c r="DN2" s="231">
        <f t="shared" si="1"/>
        <v>47515</v>
      </c>
      <c r="DO2" s="231">
        <f t="shared" si="1"/>
        <v>47543</v>
      </c>
      <c r="DP2" s="231">
        <f t="shared" si="1"/>
        <v>47574</v>
      </c>
      <c r="DQ2" s="231">
        <f t="shared" si="1"/>
        <v>47604</v>
      </c>
      <c r="DR2" s="231">
        <f t="shared" si="1"/>
        <v>47635</v>
      </c>
      <c r="DS2" s="231">
        <f t="shared" si="1"/>
        <v>47665</v>
      </c>
      <c r="DT2" s="231">
        <f t="shared" si="1"/>
        <v>47696</v>
      </c>
      <c r="DU2" s="231">
        <f t="shared" si="1"/>
        <v>47727</v>
      </c>
      <c r="DV2" s="231">
        <f t="shared" si="1"/>
        <v>47757</v>
      </c>
      <c r="DW2" s="231">
        <f t="shared" si="1"/>
        <v>47788</v>
      </c>
      <c r="DX2" s="231">
        <f t="shared" si="1"/>
        <v>47818</v>
      </c>
      <c r="DY2" s="231">
        <f t="shared" si="1"/>
        <v>47849</v>
      </c>
      <c r="DZ2" s="231">
        <f t="shared" si="1"/>
        <v>47880</v>
      </c>
      <c r="EA2" s="231">
        <f t="shared" si="1"/>
        <v>47908</v>
      </c>
      <c r="EB2" s="231">
        <f t="shared" si="1"/>
        <v>47939</v>
      </c>
      <c r="EC2" s="231">
        <f t="shared" si="1"/>
        <v>47969</v>
      </c>
      <c r="ED2" s="231">
        <f t="shared" si="1"/>
        <v>48000</v>
      </c>
      <c r="EE2" s="231">
        <f t="shared" si="1"/>
        <v>48030</v>
      </c>
      <c r="EF2" s="231">
        <f t="shared" si="1"/>
        <v>48061</v>
      </c>
      <c r="EG2" s="231">
        <f t="shared" si="1"/>
        <v>48092</v>
      </c>
      <c r="EH2" s="231">
        <f t="shared" si="1"/>
        <v>48122</v>
      </c>
      <c r="EI2" s="231">
        <f t="shared" si="1"/>
        <v>48153</v>
      </c>
      <c r="EJ2" s="231">
        <f t="shared" si="1"/>
        <v>48183</v>
      </c>
      <c r="EK2" s="231">
        <f t="shared" si="1"/>
        <v>48214</v>
      </c>
      <c r="EL2" s="231">
        <f t="shared" si="1"/>
        <v>48245</v>
      </c>
      <c r="EM2" s="231">
        <f t="shared" si="1"/>
        <v>48274</v>
      </c>
      <c r="EN2" s="231">
        <f t="shared" si="1"/>
        <v>48305</v>
      </c>
      <c r="EO2" s="231">
        <f t="shared" si="1"/>
        <v>48335</v>
      </c>
      <c r="EP2" s="231">
        <f t="shared" si="1"/>
        <v>48366</v>
      </c>
    </row>
    <row r="3" spans="1:146" ht="18" x14ac:dyDescent="0.25">
      <c r="A3" s="232" t="s">
        <v>251</v>
      </c>
      <c r="B3" s="233"/>
      <c r="C3" s="234"/>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row>
    <row r="4" spans="1:146" ht="14.25" x14ac:dyDescent="0.2">
      <c r="A4" s="236" t="s">
        <v>252</v>
      </c>
      <c r="B4" s="233"/>
      <c r="C4" s="234"/>
      <c r="D4" s="235">
        <f t="shared" ref="D4:EP4" si="2">C9</f>
        <v>0</v>
      </c>
      <c r="E4" s="235">
        <f t="shared" si="2"/>
        <v>0</v>
      </c>
      <c r="F4" s="235">
        <f t="shared" si="2"/>
        <v>0</v>
      </c>
      <c r="G4" s="235">
        <f t="shared" si="2"/>
        <v>0</v>
      </c>
      <c r="H4" s="235">
        <f t="shared" si="2"/>
        <v>0</v>
      </c>
      <c r="I4" s="235">
        <f t="shared" si="2"/>
        <v>0</v>
      </c>
      <c r="J4" s="235">
        <f t="shared" si="2"/>
        <v>0</v>
      </c>
      <c r="K4" s="235">
        <f t="shared" si="2"/>
        <v>0</v>
      </c>
      <c r="L4" s="235">
        <f t="shared" si="2"/>
        <v>0</v>
      </c>
      <c r="M4" s="235">
        <f t="shared" si="2"/>
        <v>0</v>
      </c>
      <c r="N4" s="235">
        <f t="shared" si="2"/>
        <v>0</v>
      </c>
      <c r="O4" s="235">
        <f t="shared" si="2"/>
        <v>0</v>
      </c>
      <c r="P4" s="235">
        <f t="shared" si="2"/>
        <v>0</v>
      </c>
      <c r="Q4" s="235">
        <f t="shared" si="2"/>
        <v>0</v>
      </c>
      <c r="R4" s="235">
        <f t="shared" si="2"/>
        <v>0</v>
      </c>
      <c r="S4" s="235">
        <f t="shared" si="2"/>
        <v>0</v>
      </c>
      <c r="T4" s="235">
        <f t="shared" si="2"/>
        <v>0</v>
      </c>
      <c r="U4" s="235">
        <f t="shared" si="2"/>
        <v>0</v>
      </c>
      <c r="V4" s="235">
        <f t="shared" si="2"/>
        <v>0</v>
      </c>
      <c r="W4" s="235">
        <f t="shared" si="2"/>
        <v>0</v>
      </c>
      <c r="X4" s="235">
        <f t="shared" si="2"/>
        <v>0</v>
      </c>
      <c r="Y4" s="235">
        <f t="shared" si="2"/>
        <v>0</v>
      </c>
      <c r="Z4" s="235">
        <f t="shared" si="2"/>
        <v>0</v>
      </c>
      <c r="AA4" s="235">
        <f t="shared" si="2"/>
        <v>0</v>
      </c>
      <c r="AB4" s="235">
        <f t="shared" si="2"/>
        <v>0</v>
      </c>
      <c r="AC4" s="235">
        <f t="shared" si="2"/>
        <v>0</v>
      </c>
      <c r="AD4" s="235">
        <f t="shared" si="2"/>
        <v>0</v>
      </c>
      <c r="AE4" s="235">
        <f t="shared" si="2"/>
        <v>0</v>
      </c>
      <c r="AF4" s="235">
        <f t="shared" si="2"/>
        <v>0</v>
      </c>
      <c r="AG4" s="235">
        <f t="shared" si="2"/>
        <v>0</v>
      </c>
      <c r="AH4" s="235">
        <f t="shared" si="2"/>
        <v>0</v>
      </c>
      <c r="AI4" s="235">
        <f t="shared" si="2"/>
        <v>0</v>
      </c>
      <c r="AJ4" s="235">
        <f t="shared" si="2"/>
        <v>0</v>
      </c>
      <c r="AK4" s="235">
        <f t="shared" si="2"/>
        <v>0</v>
      </c>
      <c r="AL4" s="235">
        <f t="shared" si="2"/>
        <v>0</v>
      </c>
      <c r="AM4" s="235">
        <f t="shared" si="2"/>
        <v>0</v>
      </c>
      <c r="AN4" s="235">
        <f t="shared" si="2"/>
        <v>0</v>
      </c>
      <c r="AO4" s="235">
        <f t="shared" si="2"/>
        <v>0</v>
      </c>
      <c r="AP4" s="235">
        <f t="shared" si="2"/>
        <v>0</v>
      </c>
      <c r="AQ4" s="235">
        <f t="shared" si="2"/>
        <v>0</v>
      </c>
      <c r="AR4" s="235">
        <f t="shared" si="2"/>
        <v>0</v>
      </c>
      <c r="AS4" s="235">
        <f t="shared" si="2"/>
        <v>0</v>
      </c>
      <c r="AT4" s="235">
        <f t="shared" si="2"/>
        <v>0</v>
      </c>
      <c r="AU4" s="235">
        <f t="shared" si="2"/>
        <v>0</v>
      </c>
      <c r="AV4" s="235">
        <f t="shared" si="2"/>
        <v>0</v>
      </c>
      <c r="AW4" s="235">
        <f t="shared" si="2"/>
        <v>0</v>
      </c>
      <c r="AX4" s="235">
        <f t="shared" si="2"/>
        <v>0</v>
      </c>
      <c r="AY4" s="235">
        <f t="shared" si="2"/>
        <v>0</v>
      </c>
      <c r="AZ4" s="235">
        <f t="shared" si="2"/>
        <v>0</v>
      </c>
      <c r="BA4" s="235">
        <f t="shared" si="2"/>
        <v>0</v>
      </c>
      <c r="BB4" s="235">
        <f t="shared" si="2"/>
        <v>0</v>
      </c>
      <c r="BC4" s="235">
        <f t="shared" si="2"/>
        <v>0</v>
      </c>
      <c r="BD4" s="235">
        <f t="shared" si="2"/>
        <v>0</v>
      </c>
      <c r="BE4" s="235">
        <f t="shared" si="2"/>
        <v>0</v>
      </c>
      <c r="BF4" s="235">
        <f t="shared" si="2"/>
        <v>0</v>
      </c>
      <c r="BG4" s="235">
        <f t="shared" si="2"/>
        <v>0</v>
      </c>
      <c r="BH4" s="235">
        <f t="shared" si="2"/>
        <v>0</v>
      </c>
      <c r="BI4" s="235">
        <f t="shared" si="2"/>
        <v>0</v>
      </c>
      <c r="BJ4" s="235">
        <f t="shared" si="2"/>
        <v>0</v>
      </c>
      <c r="BK4" s="235">
        <f t="shared" si="2"/>
        <v>0</v>
      </c>
      <c r="BL4" s="235">
        <f t="shared" si="2"/>
        <v>0</v>
      </c>
      <c r="BM4" s="235">
        <f t="shared" si="2"/>
        <v>0</v>
      </c>
      <c r="BN4" s="235">
        <f t="shared" si="2"/>
        <v>0</v>
      </c>
      <c r="BO4" s="235">
        <f t="shared" si="2"/>
        <v>0</v>
      </c>
      <c r="BP4" s="235">
        <f t="shared" si="2"/>
        <v>0</v>
      </c>
      <c r="BQ4" s="235">
        <f t="shared" si="2"/>
        <v>0</v>
      </c>
      <c r="BR4" s="235">
        <f t="shared" si="2"/>
        <v>0</v>
      </c>
      <c r="BS4" s="235">
        <f t="shared" si="2"/>
        <v>0</v>
      </c>
      <c r="BT4" s="235">
        <f t="shared" si="2"/>
        <v>0</v>
      </c>
      <c r="BU4" s="235">
        <f t="shared" si="2"/>
        <v>0</v>
      </c>
      <c r="BV4" s="235">
        <f t="shared" si="2"/>
        <v>0</v>
      </c>
      <c r="BW4" s="235">
        <f t="shared" si="2"/>
        <v>0</v>
      </c>
      <c r="BX4" s="235">
        <f t="shared" si="2"/>
        <v>0</v>
      </c>
      <c r="BY4" s="235">
        <f t="shared" si="2"/>
        <v>0</v>
      </c>
      <c r="BZ4" s="235">
        <f t="shared" si="2"/>
        <v>0</v>
      </c>
      <c r="CA4" s="235">
        <f t="shared" si="2"/>
        <v>0</v>
      </c>
      <c r="CB4" s="235">
        <f t="shared" si="2"/>
        <v>0</v>
      </c>
      <c r="CC4" s="235">
        <f t="shared" si="2"/>
        <v>0</v>
      </c>
      <c r="CD4" s="235">
        <f t="shared" si="2"/>
        <v>0</v>
      </c>
      <c r="CE4" s="235">
        <f t="shared" si="2"/>
        <v>0</v>
      </c>
      <c r="CF4" s="235">
        <f t="shared" si="2"/>
        <v>0</v>
      </c>
      <c r="CG4" s="235">
        <f t="shared" si="2"/>
        <v>0</v>
      </c>
      <c r="CH4" s="235">
        <f t="shared" si="2"/>
        <v>0</v>
      </c>
      <c r="CI4" s="235">
        <f t="shared" si="2"/>
        <v>0</v>
      </c>
      <c r="CJ4" s="235">
        <f t="shared" si="2"/>
        <v>0</v>
      </c>
      <c r="CK4" s="235">
        <f t="shared" si="2"/>
        <v>0</v>
      </c>
      <c r="CL4" s="235">
        <f t="shared" si="2"/>
        <v>0</v>
      </c>
      <c r="CM4" s="235">
        <f t="shared" si="2"/>
        <v>0</v>
      </c>
      <c r="CN4" s="235">
        <f t="shared" si="2"/>
        <v>0</v>
      </c>
      <c r="CO4" s="235">
        <f t="shared" si="2"/>
        <v>0</v>
      </c>
      <c r="CP4" s="235">
        <f t="shared" si="2"/>
        <v>0</v>
      </c>
      <c r="CQ4" s="235">
        <f t="shared" si="2"/>
        <v>0</v>
      </c>
      <c r="CR4" s="235">
        <f t="shared" si="2"/>
        <v>0</v>
      </c>
      <c r="CS4" s="235">
        <f t="shared" si="2"/>
        <v>0</v>
      </c>
      <c r="CT4" s="235">
        <f t="shared" si="2"/>
        <v>0</v>
      </c>
      <c r="CU4" s="235">
        <f t="shared" si="2"/>
        <v>0</v>
      </c>
      <c r="CV4" s="235">
        <f t="shared" si="2"/>
        <v>0</v>
      </c>
      <c r="CW4" s="235">
        <f t="shared" si="2"/>
        <v>0</v>
      </c>
      <c r="CX4" s="235">
        <f t="shared" si="2"/>
        <v>0</v>
      </c>
      <c r="CY4" s="235">
        <f t="shared" si="2"/>
        <v>0</v>
      </c>
      <c r="CZ4" s="235">
        <f t="shared" si="2"/>
        <v>0</v>
      </c>
      <c r="DA4" s="235">
        <f t="shared" si="2"/>
        <v>0</v>
      </c>
      <c r="DB4" s="235">
        <f t="shared" si="2"/>
        <v>0</v>
      </c>
      <c r="DC4" s="235">
        <f t="shared" si="2"/>
        <v>0</v>
      </c>
      <c r="DD4" s="235">
        <f t="shared" si="2"/>
        <v>0</v>
      </c>
      <c r="DE4" s="235">
        <f t="shared" si="2"/>
        <v>0</v>
      </c>
      <c r="DF4" s="235">
        <f t="shared" si="2"/>
        <v>0</v>
      </c>
      <c r="DG4" s="235">
        <f t="shared" si="2"/>
        <v>0</v>
      </c>
      <c r="DH4" s="235">
        <f t="shared" si="2"/>
        <v>0</v>
      </c>
      <c r="DI4" s="235">
        <f t="shared" si="2"/>
        <v>0</v>
      </c>
      <c r="DJ4" s="235">
        <f t="shared" si="2"/>
        <v>0</v>
      </c>
      <c r="DK4" s="235">
        <f t="shared" si="2"/>
        <v>0</v>
      </c>
      <c r="DL4" s="235">
        <f t="shared" si="2"/>
        <v>0</v>
      </c>
      <c r="DM4" s="235">
        <f t="shared" si="2"/>
        <v>0</v>
      </c>
      <c r="DN4" s="235">
        <f t="shared" si="2"/>
        <v>0</v>
      </c>
      <c r="DO4" s="235">
        <f t="shared" si="2"/>
        <v>0</v>
      </c>
      <c r="DP4" s="235">
        <f t="shared" si="2"/>
        <v>0</v>
      </c>
      <c r="DQ4" s="235">
        <f t="shared" si="2"/>
        <v>0</v>
      </c>
      <c r="DR4" s="235">
        <f t="shared" si="2"/>
        <v>0</v>
      </c>
      <c r="DS4" s="235">
        <f t="shared" si="2"/>
        <v>0</v>
      </c>
      <c r="DT4" s="235">
        <f t="shared" si="2"/>
        <v>0</v>
      </c>
      <c r="DU4" s="235">
        <f t="shared" si="2"/>
        <v>0</v>
      </c>
      <c r="DV4" s="235">
        <f t="shared" si="2"/>
        <v>0</v>
      </c>
      <c r="DW4" s="235">
        <f t="shared" si="2"/>
        <v>0</v>
      </c>
      <c r="DX4" s="235">
        <f t="shared" si="2"/>
        <v>0</v>
      </c>
      <c r="DY4" s="235">
        <f t="shared" si="2"/>
        <v>0</v>
      </c>
      <c r="DZ4" s="235">
        <f t="shared" si="2"/>
        <v>0</v>
      </c>
      <c r="EA4" s="235">
        <f t="shared" si="2"/>
        <v>0</v>
      </c>
      <c r="EB4" s="235">
        <f t="shared" si="2"/>
        <v>0</v>
      </c>
      <c r="EC4" s="235">
        <f t="shared" si="2"/>
        <v>0</v>
      </c>
      <c r="ED4" s="235">
        <f t="shared" si="2"/>
        <v>0</v>
      </c>
      <c r="EE4" s="235">
        <f t="shared" si="2"/>
        <v>0</v>
      </c>
      <c r="EF4" s="235">
        <f t="shared" si="2"/>
        <v>0</v>
      </c>
      <c r="EG4" s="235">
        <f t="shared" si="2"/>
        <v>0</v>
      </c>
      <c r="EH4" s="235">
        <f t="shared" si="2"/>
        <v>0</v>
      </c>
      <c r="EI4" s="235">
        <f t="shared" si="2"/>
        <v>0</v>
      </c>
      <c r="EJ4" s="235">
        <f t="shared" si="2"/>
        <v>0</v>
      </c>
      <c r="EK4" s="235">
        <f t="shared" si="2"/>
        <v>0</v>
      </c>
      <c r="EL4" s="235">
        <f t="shared" si="2"/>
        <v>0</v>
      </c>
      <c r="EM4" s="235">
        <f t="shared" si="2"/>
        <v>0</v>
      </c>
      <c r="EN4" s="235">
        <f t="shared" si="2"/>
        <v>0</v>
      </c>
      <c r="EO4" s="235">
        <f t="shared" si="2"/>
        <v>0</v>
      </c>
      <c r="EP4" s="235">
        <f t="shared" si="2"/>
        <v>0</v>
      </c>
    </row>
    <row r="5" spans="1:146" ht="14.25" x14ac:dyDescent="0.2">
      <c r="A5" s="237" t="s">
        <v>253</v>
      </c>
      <c r="B5" s="233"/>
      <c r="C5" s="235">
        <f t="shared" ref="C5:EP5" si="3">IF(MONTH($B$14)&amp;YEAR($B$14)=MONTH(C$2)&amp;YEAR(C$2),$B$18,0)</f>
        <v>0</v>
      </c>
      <c r="D5" s="235">
        <f t="shared" si="3"/>
        <v>0</v>
      </c>
      <c r="E5" s="235">
        <f t="shared" si="3"/>
        <v>0</v>
      </c>
      <c r="F5" s="235">
        <f t="shared" si="3"/>
        <v>0</v>
      </c>
      <c r="G5" s="235">
        <f t="shared" si="3"/>
        <v>0</v>
      </c>
      <c r="H5" s="235">
        <f t="shared" si="3"/>
        <v>0</v>
      </c>
      <c r="I5" s="235">
        <f t="shared" si="3"/>
        <v>0</v>
      </c>
      <c r="J5" s="235">
        <f t="shared" si="3"/>
        <v>0</v>
      </c>
      <c r="K5" s="235">
        <f t="shared" si="3"/>
        <v>0</v>
      </c>
      <c r="L5" s="235">
        <f t="shared" si="3"/>
        <v>0</v>
      </c>
      <c r="M5" s="235">
        <f t="shared" si="3"/>
        <v>0</v>
      </c>
      <c r="N5" s="235">
        <f t="shared" si="3"/>
        <v>0</v>
      </c>
      <c r="O5" s="235">
        <f t="shared" si="3"/>
        <v>0</v>
      </c>
      <c r="P5" s="235">
        <f t="shared" si="3"/>
        <v>0</v>
      </c>
      <c r="Q5" s="235">
        <f t="shared" si="3"/>
        <v>0</v>
      </c>
      <c r="R5" s="235">
        <f t="shared" si="3"/>
        <v>0</v>
      </c>
      <c r="S5" s="235">
        <f t="shared" si="3"/>
        <v>0</v>
      </c>
      <c r="T5" s="235">
        <f t="shared" si="3"/>
        <v>0</v>
      </c>
      <c r="U5" s="235">
        <f t="shared" si="3"/>
        <v>0</v>
      </c>
      <c r="V5" s="235">
        <f t="shared" si="3"/>
        <v>0</v>
      </c>
      <c r="W5" s="235">
        <f t="shared" si="3"/>
        <v>0</v>
      </c>
      <c r="X5" s="235">
        <f t="shared" si="3"/>
        <v>0</v>
      </c>
      <c r="Y5" s="235">
        <f t="shared" si="3"/>
        <v>0</v>
      </c>
      <c r="Z5" s="235">
        <f t="shared" si="3"/>
        <v>0</v>
      </c>
      <c r="AA5" s="235">
        <f t="shared" si="3"/>
        <v>0</v>
      </c>
      <c r="AB5" s="235">
        <f t="shared" si="3"/>
        <v>0</v>
      </c>
      <c r="AC5" s="235">
        <f t="shared" si="3"/>
        <v>0</v>
      </c>
      <c r="AD5" s="235">
        <f t="shared" si="3"/>
        <v>0</v>
      </c>
      <c r="AE5" s="235">
        <f t="shared" si="3"/>
        <v>0</v>
      </c>
      <c r="AF5" s="235">
        <f t="shared" si="3"/>
        <v>0</v>
      </c>
      <c r="AG5" s="235">
        <f t="shared" si="3"/>
        <v>0</v>
      </c>
      <c r="AH5" s="235">
        <f t="shared" si="3"/>
        <v>0</v>
      </c>
      <c r="AI5" s="235">
        <f t="shared" si="3"/>
        <v>0</v>
      </c>
      <c r="AJ5" s="235">
        <f t="shared" si="3"/>
        <v>0</v>
      </c>
      <c r="AK5" s="235">
        <f t="shared" si="3"/>
        <v>0</v>
      </c>
      <c r="AL5" s="235">
        <f t="shared" si="3"/>
        <v>0</v>
      </c>
      <c r="AM5" s="235">
        <f t="shared" si="3"/>
        <v>0</v>
      </c>
      <c r="AN5" s="235">
        <f t="shared" si="3"/>
        <v>0</v>
      </c>
      <c r="AO5" s="235">
        <f t="shared" si="3"/>
        <v>0</v>
      </c>
      <c r="AP5" s="235">
        <f t="shared" si="3"/>
        <v>0</v>
      </c>
      <c r="AQ5" s="235">
        <f t="shared" si="3"/>
        <v>0</v>
      </c>
      <c r="AR5" s="235">
        <f t="shared" si="3"/>
        <v>0</v>
      </c>
      <c r="AS5" s="235">
        <f t="shared" si="3"/>
        <v>0</v>
      </c>
      <c r="AT5" s="235">
        <f t="shared" si="3"/>
        <v>0</v>
      </c>
      <c r="AU5" s="235">
        <f t="shared" si="3"/>
        <v>0</v>
      </c>
      <c r="AV5" s="235">
        <f t="shared" si="3"/>
        <v>0</v>
      </c>
      <c r="AW5" s="235">
        <f t="shared" si="3"/>
        <v>0</v>
      </c>
      <c r="AX5" s="235">
        <f t="shared" si="3"/>
        <v>0</v>
      </c>
      <c r="AY5" s="235">
        <f t="shared" si="3"/>
        <v>0</v>
      </c>
      <c r="AZ5" s="235">
        <f t="shared" si="3"/>
        <v>0</v>
      </c>
      <c r="BA5" s="235">
        <f t="shared" si="3"/>
        <v>0</v>
      </c>
      <c r="BB5" s="235">
        <f t="shared" si="3"/>
        <v>0</v>
      </c>
      <c r="BC5" s="235">
        <f t="shared" si="3"/>
        <v>0</v>
      </c>
      <c r="BD5" s="235">
        <f t="shared" si="3"/>
        <v>0</v>
      </c>
      <c r="BE5" s="235">
        <f t="shared" si="3"/>
        <v>0</v>
      </c>
      <c r="BF5" s="235">
        <f t="shared" si="3"/>
        <v>0</v>
      </c>
      <c r="BG5" s="235">
        <f t="shared" si="3"/>
        <v>0</v>
      </c>
      <c r="BH5" s="235">
        <f t="shared" si="3"/>
        <v>0</v>
      </c>
      <c r="BI5" s="235">
        <f t="shared" si="3"/>
        <v>0</v>
      </c>
      <c r="BJ5" s="235">
        <f t="shared" si="3"/>
        <v>0</v>
      </c>
      <c r="BK5" s="235">
        <f t="shared" si="3"/>
        <v>0</v>
      </c>
      <c r="BL5" s="235">
        <f t="shared" si="3"/>
        <v>0</v>
      </c>
      <c r="BM5" s="235">
        <f t="shared" si="3"/>
        <v>0</v>
      </c>
      <c r="BN5" s="235">
        <f t="shared" si="3"/>
        <v>0</v>
      </c>
      <c r="BO5" s="235">
        <f t="shared" si="3"/>
        <v>0</v>
      </c>
      <c r="BP5" s="235">
        <f t="shared" si="3"/>
        <v>0</v>
      </c>
      <c r="BQ5" s="235">
        <f t="shared" si="3"/>
        <v>0</v>
      </c>
      <c r="BR5" s="235">
        <f t="shared" si="3"/>
        <v>0</v>
      </c>
      <c r="BS5" s="235">
        <f t="shared" si="3"/>
        <v>0</v>
      </c>
      <c r="BT5" s="235">
        <f t="shared" si="3"/>
        <v>0</v>
      </c>
      <c r="BU5" s="235">
        <f t="shared" si="3"/>
        <v>0</v>
      </c>
      <c r="BV5" s="235">
        <f t="shared" si="3"/>
        <v>0</v>
      </c>
      <c r="BW5" s="235">
        <f t="shared" si="3"/>
        <v>0</v>
      </c>
      <c r="BX5" s="235">
        <f t="shared" si="3"/>
        <v>0</v>
      </c>
      <c r="BY5" s="235">
        <f t="shared" si="3"/>
        <v>0</v>
      </c>
      <c r="BZ5" s="235">
        <f t="shared" si="3"/>
        <v>0</v>
      </c>
      <c r="CA5" s="235">
        <f t="shared" si="3"/>
        <v>0</v>
      </c>
      <c r="CB5" s="235">
        <f t="shared" si="3"/>
        <v>0</v>
      </c>
      <c r="CC5" s="235">
        <f t="shared" si="3"/>
        <v>0</v>
      </c>
      <c r="CD5" s="235">
        <f t="shared" si="3"/>
        <v>0</v>
      </c>
      <c r="CE5" s="235">
        <f t="shared" si="3"/>
        <v>0</v>
      </c>
      <c r="CF5" s="235">
        <f t="shared" si="3"/>
        <v>0</v>
      </c>
      <c r="CG5" s="235">
        <f t="shared" si="3"/>
        <v>0</v>
      </c>
      <c r="CH5" s="235">
        <f t="shared" si="3"/>
        <v>0</v>
      </c>
      <c r="CI5" s="235">
        <f t="shared" si="3"/>
        <v>0</v>
      </c>
      <c r="CJ5" s="235">
        <f t="shared" si="3"/>
        <v>0</v>
      </c>
      <c r="CK5" s="235">
        <f t="shared" si="3"/>
        <v>0</v>
      </c>
      <c r="CL5" s="235">
        <f t="shared" si="3"/>
        <v>0</v>
      </c>
      <c r="CM5" s="235">
        <f t="shared" si="3"/>
        <v>0</v>
      </c>
      <c r="CN5" s="235">
        <f t="shared" si="3"/>
        <v>0</v>
      </c>
      <c r="CO5" s="235">
        <f t="shared" si="3"/>
        <v>0</v>
      </c>
      <c r="CP5" s="235">
        <f t="shared" si="3"/>
        <v>0</v>
      </c>
      <c r="CQ5" s="235">
        <f t="shared" si="3"/>
        <v>0</v>
      </c>
      <c r="CR5" s="235">
        <f t="shared" si="3"/>
        <v>0</v>
      </c>
      <c r="CS5" s="235">
        <f t="shared" si="3"/>
        <v>0</v>
      </c>
      <c r="CT5" s="235">
        <f t="shared" si="3"/>
        <v>0</v>
      </c>
      <c r="CU5" s="235">
        <f t="shared" si="3"/>
        <v>0</v>
      </c>
      <c r="CV5" s="235">
        <f t="shared" si="3"/>
        <v>0</v>
      </c>
      <c r="CW5" s="235">
        <f t="shared" si="3"/>
        <v>0</v>
      </c>
      <c r="CX5" s="235">
        <f t="shared" si="3"/>
        <v>0</v>
      </c>
      <c r="CY5" s="235">
        <f t="shared" si="3"/>
        <v>0</v>
      </c>
      <c r="CZ5" s="235">
        <f t="shared" si="3"/>
        <v>0</v>
      </c>
      <c r="DA5" s="235">
        <f t="shared" si="3"/>
        <v>0</v>
      </c>
      <c r="DB5" s="235">
        <f t="shared" si="3"/>
        <v>0</v>
      </c>
      <c r="DC5" s="235">
        <f t="shared" si="3"/>
        <v>0</v>
      </c>
      <c r="DD5" s="235">
        <f t="shared" si="3"/>
        <v>0</v>
      </c>
      <c r="DE5" s="235">
        <f t="shared" si="3"/>
        <v>0</v>
      </c>
      <c r="DF5" s="235">
        <f t="shared" si="3"/>
        <v>0</v>
      </c>
      <c r="DG5" s="235">
        <f t="shared" si="3"/>
        <v>0</v>
      </c>
      <c r="DH5" s="235">
        <f t="shared" si="3"/>
        <v>0</v>
      </c>
      <c r="DI5" s="235">
        <f t="shared" si="3"/>
        <v>0</v>
      </c>
      <c r="DJ5" s="235">
        <f t="shared" si="3"/>
        <v>0</v>
      </c>
      <c r="DK5" s="235">
        <f t="shared" si="3"/>
        <v>0</v>
      </c>
      <c r="DL5" s="235">
        <f t="shared" si="3"/>
        <v>0</v>
      </c>
      <c r="DM5" s="235">
        <f t="shared" si="3"/>
        <v>0</v>
      </c>
      <c r="DN5" s="235">
        <f t="shared" si="3"/>
        <v>0</v>
      </c>
      <c r="DO5" s="235">
        <f t="shared" si="3"/>
        <v>0</v>
      </c>
      <c r="DP5" s="235">
        <f t="shared" si="3"/>
        <v>0</v>
      </c>
      <c r="DQ5" s="235">
        <f t="shared" si="3"/>
        <v>0</v>
      </c>
      <c r="DR5" s="235">
        <f t="shared" si="3"/>
        <v>0</v>
      </c>
      <c r="DS5" s="235">
        <f t="shared" si="3"/>
        <v>0</v>
      </c>
      <c r="DT5" s="235">
        <f t="shared" si="3"/>
        <v>0</v>
      </c>
      <c r="DU5" s="235">
        <f t="shared" si="3"/>
        <v>0</v>
      </c>
      <c r="DV5" s="235">
        <f t="shared" si="3"/>
        <v>0</v>
      </c>
      <c r="DW5" s="235">
        <f t="shared" si="3"/>
        <v>0</v>
      </c>
      <c r="DX5" s="235">
        <f t="shared" si="3"/>
        <v>0</v>
      </c>
      <c r="DY5" s="235">
        <f t="shared" si="3"/>
        <v>0</v>
      </c>
      <c r="DZ5" s="235">
        <f t="shared" si="3"/>
        <v>0</v>
      </c>
      <c r="EA5" s="235">
        <f t="shared" si="3"/>
        <v>0</v>
      </c>
      <c r="EB5" s="235">
        <f t="shared" si="3"/>
        <v>0</v>
      </c>
      <c r="EC5" s="235">
        <f t="shared" si="3"/>
        <v>0</v>
      </c>
      <c r="ED5" s="235">
        <f t="shared" si="3"/>
        <v>0</v>
      </c>
      <c r="EE5" s="235">
        <f t="shared" si="3"/>
        <v>0</v>
      </c>
      <c r="EF5" s="235">
        <f t="shared" si="3"/>
        <v>0</v>
      </c>
      <c r="EG5" s="235">
        <f t="shared" si="3"/>
        <v>0</v>
      </c>
      <c r="EH5" s="235">
        <f t="shared" si="3"/>
        <v>0</v>
      </c>
      <c r="EI5" s="235">
        <f t="shared" si="3"/>
        <v>0</v>
      </c>
      <c r="EJ5" s="235">
        <f t="shared" si="3"/>
        <v>0</v>
      </c>
      <c r="EK5" s="235">
        <f t="shared" si="3"/>
        <v>0</v>
      </c>
      <c r="EL5" s="235">
        <f t="shared" si="3"/>
        <v>0</v>
      </c>
      <c r="EM5" s="235">
        <f t="shared" si="3"/>
        <v>0</v>
      </c>
      <c r="EN5" s="235">
        <f t="shared" si="3"/>
        <v>0</v>
      </c>
      <c r="EO5" s="235">
        <f t="shared" si="3"/>
        <v>0</v>
      </c>
      <c r="EP5" s="235">
        <f t="shared" si="3"/>
        <v>0</v>
      </c>
    </row>
    <row r="6" spans="1:146" ht="14.25" x14ac:dyDescent="0.2">
      <c r="A6" s="236" t="s">
        <v>255</v>
      </c>
      <c r="B6" s="233"/>
      <c r="C6" s="235">
        <f t="shared" ref="C6:EP6" si="4">-IF(AND(C$1&gt;$B$20,C$1&lt;=($B$19+$B$20)),$B$18/$B$19,0)</f>
        <v>0</v>
      </c>
      <c r="D6" s="235">
        <f t="shared" si="4"/>
        <v>0</v>
      </c>
      <c r="E6" s="235">
        <f t="shared" si="4"/>
        <v>0</v>
      </c>
      <c r="F6" s="235">
        <f t="shared" si="4"/>
        <v>0</v>
      </c>
      <c r="G6" s="235">
        <f t="shared" si="4"/>
        <v>0</v>
      </c>
      <c r="H6" s="235">
        <f t="shared" si="4"/>
        <v>0</v>
      </c>
      <c r="I6" s="235">
        <f t="shared" si="4"/>
        <v>0</v>
      </c>
      <c r="J6" s="235">
        <f t="shared" si="4"/>
        <v>0</v>
      </c>
      <c r="K6" s="235">
        <f t="shared" si="4"/>
        <v>0</v>
      </c>
      <c r="L6" s="235">
        <f t="shared" si="4"/>
        <v>0</v>
      </c>
      <c r="M6" s="235">
        <f t="shared" si="4"/>
        <v>0</v>
      </c>
      <c r="N6" s="235">
        <f t="shared" si="4"/>
        <v>0</v>
      </c>
      <c r="O6" s="235">
        <f t="shared" si="4"/>
        <v>0</v>
      </c>
      <c r="P6" s="235">
        <f t="shared" si="4"/>
        <v>0</v>
      </c>
      <c r="Q6" s="235">
        <f t="shared" si="4"/>
        <v>0</v>
      </c>
      <c r="R6" s="235">
        <f t="shared" si="4"/>
        <v>0</v>
      </c>
      <c r="S6" s="235">
        <f t="shared" si="4"/>
        <v>0</v>
      </c>
      <c r="T6" s="235">
        <f t="shared" si="4"/>
        <v>0</v>
      </c>
      <c r="U6" s="235">
        <f t="shared" si="4"/>
        <v>0</v>
      </c>
      <c r="V6" s="235">
        <f t="shared" si="4"/>
        <v>0</v>
      </c>
      <c r="W6" s="235">
        <f t="shared" si="4"/>
        <v>0</v>
      </c>
      <c r="X6" s="235">
        <f t="shared" si="4"/>
        <v>0</v>
      </c>
      <c r="Y6" s="235">
        <f t="shared" si="4"/>
        <v>0</v>
      </c>
      <c r="Z6" s="235">
        <f t="shared" si="4"/>
        <v>0</v>
      </c>
      <c r="AA6" s="235">
        <f t="shared" si="4"/>
        <v>0</v>
      </c>
      <c r="AB6" s="235">
        <f t="shared" si="4"/>
        <v>0</v>
      </c>
      <c r="AC6" s="235">
        <f t="shared" si="4"/>
        <v>0</v>
      </c>
      <c r="AD6" s="235">
        <f t="shared" si="4"/>
        <v>0</v>
      </c>
      <c r="AE6" s="235">
        <f t="shared" si="4"/>
        <v>0</v>
      </c>
      <c r="AF6" s="235">
        <f t="shared" si="4"/>
        <v>0</v>
      </c>
      <c r="AG6" s="235">
        <f t="shared" si="4"/>
        <v>0</v>
      </c>
      <c r="AH6" s="235">
        <f t="shared" si="4"/>
        <v>0</v>
      </c>
      <c r="AI6" s="235">
        <f t="shared" si="4"/>
        <v>0</v>
      </c>
      <c r="AJ6" s="235">
        <f t="shared" si="4"/>
        <v>0</v>
      </c>
      <c r="AK6" s="235">
        <f t="shared" si="4"/>
        <v>0</v>
      </c>
      <c r="AL6" s="235">
        <f t="shared" si="4"/>
        <v>0</v>
      </c>
      <c r="AM6" s="235">
        <f t="shared" si="4"/>
        <v>0</v>
      </c>
      <c r="AN6" s="235">
        <f t="shared" si="4"/>
        <v>0</v>
      </c>
      <c r="AO6" s="235">
        <f t="shared" si="4"/>
        <v>0</v>
      </c>
      <c r="AP6" s="235">
        <f t="shared" si="4"/>
        <v>0</v>
      </c>
      <c r="AQ6" s="235">
        <f t="shared" si="4"/>
        <v>0</v>
      </c>
      <c r="AR6" s="235">
        <f t="shared" si="4"/>
        <v>0</v>
      </c>
      <c r="AS6" s="235">
        <f t="shared" si="4"/>
        <v>0</v>
      </c>
      <c r="AT6" s="235">
        <f t="shared" si="4"/>
        <v>0</v>
      </c>
      <c r="AU6" s="235">
        <f t="shared" si="4"/>
        <v>0</v>
      </c>
      <c r="AV6" s="235">
        <f t="shared" si="4"/>
        <v>0</v>
      </c>
      <c r="AW6" s="235">
        <f t="shared" si="4"/>
        <v>0</v>
      </c>
      <c r="AX6" s="235">
        <f t="shared" si="4"/>
        <v>0</v>
      </c>
      <c r="AY6" s="235">
        <f t="shared" si="4"/>
        <v>0</v>
      </c>
      <c r="AZ6" s="235">
        <f t="shared" si="4"/>
        <v>0</v>
      </c>
      <c r="BA6" s="235">
        <f t="shared" si="4"/>
        <v>0</v>
      </c>
      <c r="BB6" s="235">
        <f t="shared" si="4"/>
        <v>0</v>
      </c>
      <c r="BC6" s="235">
        <f t="shared" si="4"/>
        <v>0</v>
      </c>
      <c r="BD6" s="235">
        <f t="shared" si="4"/>
        <v>0</v>
      </c>
      <c r="BE6" s="235">
        <f t="shared" si="4"/>
        <v>0</v>
      </c>
      <c r="BF6" s="235">
        <f t="shared" si="4"/>
        <v>0</v>
      </c>
      <c r="BG6" s="235">
        <f t="shared" si="4"/>
        <v>0</v>
      </c>
      <c r="BH6" s="235">
        <f t="shared" si="4"/>
        <v>0</v>
      </c>
      <c r="BI6" s="235">
        <f t="shared" si="4"/>
        <v>0</v>
      </c>
      <c r="BJ6" s="235">
        <f t="shared" si="4"/>
        <v>0</v>
      </c>
      <c r="BK6" s="235">
        <f t="shared" si="4"/>
        <v>0</v>
      </c>
      <c r="BL6" s="235">
        <f t="shared" si="4"/>
        <v>0</v>
      </c>
      <c r="BM6" s="235">
        <f t="shared" si="4"/>
        <v>0</v>
      </c>
      <c r="BN6" s="235">
        <f t="shared" si="4"/>
        <v>0</v>
      </c>
      <c r="BO6" s="235">
        <f t="shared" si="4"/>
        <v>0</v>
      </c>
      <c r="BP6" s="235">
        <f t="shared" si="4"/>
        <v>0</v>
      </c>
      <c r="BQ6" s="235">
        <f t="shared" si="4"/>
        <v>0</v>
      </c>
      <c r="BR6" s="235">
        <f t="shared" si="4"/>
        <v>0</v>
      </c>
      <c r="BS6" s="235">
        <f t="shared" si="4"/>
        <v>0</v>
      </c>
      <c r="BT6" s="235">
        <f t="shared" si="4"/>
        <v>0</v>
      </c>
      <c r="BU6" s="235">
        <f t="shared" si="4"/>
        <v>0</v>
      </c>
      <c r="BV6" s="235">
        <f t="shared" si="4"/>
        <v>0</v>
      </c>
      <c r="BW6" s="235">
        <f t="shared" si="4"/>
        <v>0</v>
      </c>
      <c r="BX6" s="235">
        <f t="shared" si="4"/>
        <v>0</v>
      </c>
      <c r="BY6" s="235">
        <f t="shared" si="4"/>
        <v>0</v>
      </c>
      <c r="BZ6" s="235">
        <f t="shared" si="4"/>
        <v>0</v>
      </c>
      <c r="CA6" s="235">
        <f t="shared" si="4"/>
        <v>0</v>
      </c>
      <c r="CB6" s="235">
        <f t="shared" si="4"/>
        <v>0</v>
      </c>
      <c r="CC6" s="235">
        <f t="shared" si="4"/>
        <v>0</v>
      </c>
      <c r="CD6" s="235">
        <f t="shared" si="4"/>
        <v>0</v>
      </c>
      <c r="CE6" s="235">
        <f t="shared" si="4"/>
        <v>0</v>
      </c>
      <c r="CF6" s="235">
        <f t="shared" si="4"/>
        <v>0</v>
      </c>
      <c r="CG6" s="235">
        <f t="shared" si="4"/>
        <v>0</v>
      </c>
      <c r="CH6" s="235">
        <f t="shared" si="4"/>
        <v>0</v>
      </c>
      <c r="CI6" s="235">
        <f t="shared" si="4"/>
        <v>0</v>
      </c>
      <c r="CJ6" s="235">
        <f t="shared" si="4"/>
        <v>0</v>
      </c>
      <c r="CK6" s="235">
        <f t="shared" si="4"/>
        <v>0</v>
      </c>
      <c r="CL6" s="235">
        <f t="shared" si="4"/>
        <v>0</v>
      </c>
      <c r="CM6" s="235">
        <f t="shared" si="4"/>
        <v>0</v>
      </c>
      <c r="CN6" s="235">
        <f t="shared" si="4"/>
        <v>0</v>
      </c>
      <c r="CO6" s="235">
        <f t="shared" si="4"/>
        <v>0</v>
      </c>
      <c r="CP6" s="235">
        <f t="shared" si="4"/>
        <v>0</v>
      </c>
      <c r="CQ6" s="235">
        <f t="shared" si="4"/>
        <v>0</v>
      </c>
      <c r="CR6" s="235">
        <f t="shared" si="4"/>
        <v>0</v>
      </c>
      <c r="CS6" s="235">
        <f t="shared" si="4"/>
        <v>0</v>
      </c>
      <c r="CT6" s="235">
        <f t="shared" si="4"/>
        <v>0</v>
      </c>
      <c r="CU6" s="235">
        <f t="shared" si="4"/>
        <v>0</v>
      </c>
      <c r="CV6" s="235">
        <f t="shared" si="4"/>
        <v>0</v>
      </c>
      <c r="CW6" s="235">
        <f t="shared" si="4"/>
        <v>0</v>
      </c>
      <c r="CX6" s="235">
        <f t="shared" si="4"/>
        <v>0</v>
      </c>
      <c r="CY6" s="235">
        <f t="shared" si="4"/>
        <v>0</v>
      </c>
      <c r="CZ6" s="235">
        <f t="shared" si="4"/>
        <v>0</v>
      </c>
      <c r="DA6" s="235">
        <f t="shared" si="4"/>
        <v>0</v>
      </c>
      <c r="DB6" s="235">
        <f t="shared" si="4"/>
        <v>0</v>
      </c>
      <c r="DC6" s="235">
        <f t="shared" si="4"/>
        <v>0</v>
      </c>
      <c r="DD6" s="235">
        <f t="shared" si="4"/>
        <v>0</v>
      </c>
      <c r="DE6" s="235">
        <f t="shared" si="4"/>
        <v>0</v>
      </c>
      <c r="DF6" s="235">
        <f t="shared" si="4"/>
        <v>0</v>
      </c>
      <c r="DG6" s="235">
        <f t="shared" si="4"/>
        <v>0</v>
      </c>
      <c r="DH6" s="235">
        <f t="shared" si="4"/>
        <v>0</v>
      </c>
      <c r="DI6" s="235">
        <f t="shared" si="4"/>
        <v>0</v>
      </c>
      <c r="DJ6" s="235">
        <f t="shared" si="4"/>
        <v>0</v>
      </c>
      <c r="DK6" s="235">
        <f t="shared" si="4"/>
        <v>0</v>
      </c>
      <c r="DL6" s="235">
        <f t="shared" si="4"/>
        <v>0</v>
      </c>
      <c r="DM6" s="235">
        <f t="shared" si="4"/>
        <v>0</v>
      </c>
      <c r="DN6" s="235">
        <f t="shared" si="4"/>
        <v>0</v>
      </c>
      <c r="DO6" s="235">
        <f t="shared" si="4"/>
        <v>0</v>
      </c>
      <c r="DP6" s="235">
        <f t="shared" si="4"/>
        <v>0</v>
      </c>
      <c r="DQ6" s="235">
        <f t="shared" si="4"/>
        <v>0</v>
      </c>
      <c r="DR6" s="235">
        <f t="shared" si="4"/>
        <v>0</v>
      </c>
      <c r="DS6" s="235">
        <f t="shared" si="4"/>
        <v>0</v>
      </c>
      <c r="DT6" s="235">
        <f t="shared" si="4"/>
        <v>0</v>
      </c>
      <c r="DU6" s="235">
        <f t="shared" si="4"/>
        <v>0</v>
      </c>
      <c r="DV6" s="235">
        <f t="shared" si="4"/>
        <v>0</v>
      </c>
      <c r="DW6" s="235">
        <f t="shared" si="4"/>
        <v>0</v>
      </c>
      <c r="DX6" s="235">
        <f t="shared" si="4"/>
        <v>0</v>
      </c>
      <c r="DY6" s="235">
        <f t="shared" si="4"/>
        <v>0</v>
      </c>
      <c r="DZ6" s="235">
        <f t="shared" si="4"/>
        <v>0</v>
      </c>
      <c r="EA6" s="235">
        <f t="shared" si="4"/>
        <v>0</v>
      </c>
      <c r="EB6" s="235">
        <f t="shared" si="4"/>
        <v>0</v>
      </c>
      <c r="EC6" s="235">
        <f t="shared" si="4"/>
        <v>0</v>
      </c>
      <c r="ED6" s="235">
        <f t="shared" si="4"/>
        <v>0</v>
      </c>
      <c r="EE6" s="235">
        <f t="shared" si="4"/>
        <v>0</v>
      </c>
      <c r="EF6" s="235">
        <f t="shared" si="4"/>
        <v>0</v>
      </c>
      <c r="EG6" s="235">
        <f t="shared" si="4"/>
        <v>0</v>
      </c>
      <c r="EH6" s="235">
        <f t="shared" si="4"/>
        <v>0</v>
      </c>
      <c r="EI6" s="235">
        <f t="shared" si="4"/>
        <v>0</v>
      </c>
      <c r="EJ6" s="235">
        <f t="shared" si="4"/>
        <v>0</v>
      </c>
      <c r="EK6" s="235">
        <f t="shared" si="4"/>
        <v>0</v>
      </c>
      <c r="EL6" s="235">
        <f t="shared" si="4"/>
        <v>0</v>
      </c>
      <c r="EM6" s="235">
        <f t="shared" si="4"/>
        <v>0</v>
      </c>
      <c r="EN6" s="235">
        <f t="shared" si="4"/>
        <v>0</v>
      </c>
      <c r="EO6" s="235">
        <f t="shared" si="4"/>
        <v>0</v>
      </c>
      <c r="EP6" s="235">
        <f t="shared" si="4"/>
        <v>0</v>
      </c>
    </row>
    <row r="7" spans="1:146" ht="14.25" x14ac:dyDescent="0.2">
      <c r="A7" s="233" t="s">
        <v>256</v>
      </c>
      <c r="B7" s="233"/>
      <c r="C7" s="235">
        <f t="shared" ref="C7:EP7" si="5">IF(C$1&gt;$B$20,C$4*$B$21/12,0)</f>
        <v>0</v>
      </c>
      <c r="D7" s="235">
        <f t="shared" si="5"/>
        <v>0</v>
      </c>
      <c r="E7" s="235">
        <f t="shared" si="5"/>
        <v>0</v>
      </c>
      <c r="F7" s="235">
        <f t="shared" si="5"/>
        <v>0</v>
      </c>
      <c r="G7" s="235">
        <f t="shared" si="5"/>
        <v>0</v>
      </c>
      <c r="H7" s="235">
        <f t="shared" si="5"/>
        <v>0</v>
      </c>
      <c r="I7" s="235">
        <f t="shared" si="5"/>
        <v>0</v>
      </c>
      <c r="J7" s="235">
        <f t="shared" si="5"/>
        <v>0</v>
      </c>
      <c r="K7" s="235">
        <f t="shared" si="5"/>
        <v>0</v>
      </c>
      <c r="L7" s="235">
        <f t="shared" si="5"/>
        <v>0</v>
      </c>
      <c r="M7" s="235">
        <f t="shared" si="5"/>
        <v>0</v>
      </c>
      <c r="N7" s="235">
        <f t="shared" si="5"/>
        <v>0</v>
      </c>
      <c r="O7" s="235">
        <f t="shared" si="5"/>
        <v>0</v>
      </c>
      <c r="P7" s="235">
        <f t="shared" si="5"/>
        <v>0</v>
      </c>
      <c r="Q7" s="235">
        <f t="shared" si="5"/>
        <v>0</v>
      </c>
      <c r="R7" s="235">
        <f t="shared" si="5"/>
        <v>0</v>
      </c>
      <c r="S7" s="235">
        <f t="shared" si="5"/>
        <v>0</v>
      </c>
      <c r="T7" s="235">
        <f t="shared" si="5"/>
        <v>0</v>
      </c>
      <c r="U7" s="235">
        <f t="shared" si="5"/>
        <v>0</v>
      </c>
      <c r="V7" s="235">
        <f t="shared" si="5"/>
        <v>0</v>
      </c>
      <c r="W7" s="235">
        <f t="shared" si="5"/>
        <v>0</v>
      </c>
      <c r="X7" s="235">
        <f t="shared" si="5"/>
        <v>0</v>
      </c>
      <c r="Y7" s="235">
        <f t="shared" si="5"/>
        <v>0</v>
      </c>
      <c r="Z7" s="235">
        <f t="shared" si="5"/>
        <v>0</v>
      </c>
      <c r="AA7" s="235">
        <f t="shared" si="5"/>
        <v>0</v>
      </c>
      <c r="AB7" s="235">
        <f t="shared" si="5"/>
        <v>0</v>
      </c>
      <c r="AC7" s="235">
        <f t="shared" si="5"/>
        <v>0</v>
      </c>
      <c r="AD7" s="235">
        <f t="shared" si="5"/>
        <v>0</v>
      </c>
      <c r="AE7" s="235">
        <f t="shared" si="5"/>
        <v>0</v>
      </c>
      <c r="AF7" s="235">
        <f t="shared" si="5"/>
        <v>0</v>
      </c>
      <c r="AG7" s="235">
        <f t="shared" si="5"/>
        <v>0</v>
      </c>
      <c r="AH7" s="235">
        <f t="shared" si="5"/>
        <v>0</v>
      </c>
      <c r="AI7" s="235">
        <f t="shared" si="5"/>
        <v>0</v>
      </c>
      <c r="AJ7" s="235">
        <f t="shared" si="5"/>
        <v>0</v>
      </c>
      <c r="AK7" s="235">
        <f t="shared" si="5"/>
        <v>0</v>
      </c>
      <c r="AL7" s="235">
        <f t="shared" si="5"/>
        <v>0</v>
      </c>
      <c r="AM7" s="235">
        <f t="shared" si="5"/>
        <v>0</v>
      </c>
      <c r="AN7" s="235">
        <f t="shared" si="5"/>
        <v>0</v>
      </c>
      <c r="AO7" s="235">
        <f t="shared" si="5"/>
        <v>0</v>
      </c>
      <c r="AP7" s="235">
        <f t="shared" si="5"/>
        <v>0</v>
      </c>
      <c r="AQ7" s="235">
        <f t="shared" si="5"/>
        <v>0</v>
      </c>
      <c r="AR7" s="235">
        <f t="shared" si="5"/>
        <v>0</v>
      </c>
      <c r="AS7" s="235">
        <f t="shared" si="5"/>
        <v>0</v>
      </c>
      <c r="AT7" s="235">
        <f t="shared" si="5"/>
        <v>0</v>
      </c>
      <c r="AU7" s="235">
        <f t="shared" si="5"/>
        <v>0</v>
      </c>
      <c r="AV7" s="235">
        <f t="shared" si="5"/>
        <v>0</v>
      </c>
      <c r="AW7" s="235">
        <f t="shared" si="5"/>
        <v>0</v>
      </c>
      <c r="AX7" s="235">
        <f t="shared" si="5"/>
        <v>0</v>
      </c>
      <c r="AY7" s="235">
        <f t="shared" si="5"/>
        <v>0</v>
      </c>
      <c r="AZ7" s="235">
        <f t="shared" si="5"/>
        <v>0</v>
      </c>
      <c r="BA7" s="235">
        <f t="shared" si="5"/>
        <v>0</v>
      </c>
      <c r="BB7" s="235">
        <f t="shared" si="5"/>
        <v>0</v>
      </c>
      <c r="BC7" s="235">
        <f t="shared" si="5"/>
        <v>0</v>
      </c>
      <c r="BD7" s="235">
        <f t="shared" si="5"/>
        <v>0</v>
      </c>
      <c r="BE7" s="235">
        <f t="shared" si="5"/>
        <v>0</v>
      </c>
      <c r="BF7" s="235">
        <f t="shared" si="5"/>
        <v>0</v>
      </c>
      <c r="BG7" s="235">
        <f t="shared" si="5"/>
        <v>0</v>
      </c>
      <c r="BH7" s="235">
        <f t="shared" si="5"/>
        <v>0</v>
      </c>
      <c r="BI7" s="235">
        <f t="shared" si="5"/>
        <v>0</v>
      </c>
      <c r="BJ7" s="235">
        <f t="shared" si="5"/>
        <v>0</v>
      </c>
      <c r="BK7" s="235">
        <f t="shared" si="5"/>
        <v>0</v>
      </c>
      <c r="BL7" s="235">
        <f t="shared" si="5"/>
        <v>0</v>
      </c>
      <c r="BM7" s="235">
        <f t="shared" si="5"/>
        <v>0</v>
      </c>
      <c r="BN7" s="235">
        <f t="shared" si="5"/>
        <v>0</v>
      </c>
      <c r="BO7" s="235">
        <f t="shared" si="5"/>
        <v>0</v>
      </c>
      <c r="BP7" s="235">
        <f t="shared" si="5"/>
        <v>0</v>
      </c>
      <c r="BQ7" s="235">
        <f t="shared" si="5"/>
        <v>0</v>
      </c>
      <c r="BR7" s="235">
        <f t="shared" si="5"/>
        <v>0</v>
      </c>
      <c r="BS7" s="235">
        <f t="shared" si="5"/>
        <v>0</v>
      </c>
      <c r="BT7" s="235">
        <f t="shared" si="5"/>
        <v>0</v>
      </c>
      <c r="BU7" s="235">
        <f t="shared" si="5"/>
        <v>0</v>
      </c>
      <c r="BV7" s="235">
        <f t="shared" si="5"/>
        <v>0</v>
      </c>
      <c r="BW7" s="235">
        <f t="shared" si="5"/>
        <v>0</v>
      </c>
      <c r="BX7" s="235">
        <f t="shared" si="5"/>
        <v>0</v>
      </c>
      <c r="BY7" s="235">
        <f t="shared" si="5"/>
        <v>0</v>
      </c>
      <c r="BZ7" s="235">
        <f t="shared" si="5"/>
        <v>0</v>
      </c>
      <c r="CA7" s="235">
        <f t="shared" si="5"/>
        <v>0</v>
      </c>
      <c r="CB7" s="235">
        <f t="shared" si="5"/>
        <v>0</v>
      </c>
      <c r="CC7" s="235">
        <f t="shared" si="5"/>
        <v>0</v>
      </c>
      <c r="CD7" s="235">
        <f t="shared" si="5"/>
        <v>0</v>
      </c>
      <c r="CE7" s="235">
        <f t="shared" si="5"/>
        <v>0</v>
      </c>
      <c r="CF7" s="235">
        <f t="shared" si="5"/>
        <v>0</v>
      </c>
      <c r="CG7" s="235">
        <f t="shared" si="5"/>
        <v>0</v>
      </c>
      <c r="CH7" s="235">
        <f t="shared" si="5"/>
        <v>0</v>
      </c>
      <c r="CI7" s="235">
        <f t="shared" si="5"/>
        <v>0</v>
      </c>
      <c r="CJ7" s="235">
        <f t="shared" si="5"/>
        <v>0</v>
      </c>
      <c r="CK7" s="235">
        <f t="shared" si="5"/>
        <v>0</v>
      </c>
      <c r="CL7" s="235">
        <f t="shared" si="5"/>
        <v>0</v>
      </c>
      <c r="CM7" s="235">
        <f t="shared" si="5"/>
        <v>0</v>
      </c>
      <c r="CN7" s="235">
        <f t="shared" si="5"/>
        <v>0</v>
      </c>
      <c r="CO7" s="235">
        <f t="shared" si="5"/>
        <v>0</v>
      </c>
      <c r="CP7" s="235">
        <f t="shared" si="5"/>
        <v>0</v>
      </c>
      <c r="CQ7" s="235">
        <f t="shared" si="5"/>
        <v>0</v>
      </c>
      <c r="CR7" s="235">
        <f t="shared" si="5"/>
        <v>0</v>
      </c>
      <c r="CS7" s="235">
        <f t="shared" si="5"/>
        <v>0</v>
      </c>
      <c r="CT7" s="235">
        <f t="shared" si="5"/>
        <v>0</v>
      </c>
      <c r="CU7" s="235">
        <f t="shared" si="5"/>
        <v>0</v>
      </c>
      <c r="CV7" s="235">
        <f t="shared" si="5"/>
        <v>0</v>
      </c>
      <c r="CW7" s="235">
        <f t="shared" si="5"/>
        <v>0</v>
      </c>
      <c r="CX7" s="235">
        <f t="shared" si="5"/>
        <v>0</v>
      </c>
      <c r="CY7" s="235">
        <f t="shared" si="5"/>
        <v>0</v>
      </c>
      <c r="CZ7" s="235">
        <f t="shared" si="5"/>
        <v>0</v>
      </c>
      <c r="DA7" s="235">
        <f t="shared" si="5"/>
        <v>0</v>
      </c>
      <c r="DB7" s="235">
        <f t="shared" si="5"/>
        <v>0</v>
      </c>
      <c r="DC7" s="235">
        <f t="shared" si="5"/>
        <v>0</v>
      </c>
      <c r="DD7" s="235">
        <f t="shared" si="5"/>
        <v>0</v>
      </c>
      <c r="DE7" s="235">
        <f t="shared" si="5"/>
        <v>0</v>
      </c>
      <c r="DF7" s="235">
        <f t="shared" si="5"/>
        <v>0</v>
      </c>
      <c r="DG7" s="235">
        <f t="shared" si="5"/>
        <v>0</v>
      </c>
      <c r="DH7" s="235">
        <f t="shared" si="5"/>
        <v>0</v>
      </c>
      <c r="DI7" s="235">
        <f t="shared" si="5"/>
        <v>0</v>
      </c>
      <c r="DJ7" s="235">
        <f t="shared" si="5"/>
        <v>0</v>
      </c>
      <c r="DK7" s="235">
        <f t="shared" si="5"/>
        <v>0</v>
      </c>
      <c r="DL7" s="235">
        <f t="shared" si="5"/>
        <v>0</v>
      </c>
      <c r="DM7" s="235">
        <f t="shared" si="5"/>
        <v>0</v>
      </c>
      <c r="DN7" s="235">
        <f t="shared" si="5"/>
        <v>0</v>
      </c>
      <c r="DO7" s="235">
        <f t="shared" si="5"/>
        <v>0</v>
      </c>
      <c r="DP7" s="235">
        <f t="shared" si="5"/>
        <v>0</v>
      </c>
      <c r="DQ7" s="235">
        <f t="shared" si="5"/>
        <v>0</v>
      </c>
      <c r="DR7" s="235">
        <f t="shared" si="5"/>
        <v>0</v>
      </c>
      <c r="DS7" s="235">
        <f t="shared" si="5"/>
        <v>0</v>
      </c>
      <c r="DT7" s="235">
        <f t="shared" si="5"/>
        <v>0</v>
      </c>
      <c r="DU7" s="235">
        <f t="shared" si="5"/>
        <v>0</v>
      </c>
      <c r="DV7" s="235">
        <f t="shared" si="5"/>
        <v>0</v>
      </c>
      <c r="DW7" s="235">
        <f t="shared" si="5"/>
        <v>0</v>
      </c>
      <c r="DX7" s="235">
        <f t="shared" si="5"/>
        <v>0</v>
      </c>
      <c r="DY7" s="235">
        <f t="shared" si="5"/>
        <v>0</v>
      </c>
      <c r="DZ7" s="235">
        <f t="shared" si="5"/>
        <v>0</v>
      </c>
      <c r="EA7" s="235">
        <f t="shared" si="5"/>
        <v>0</v>
      </c>
      <c r="EB7" s="235">
        <f t="shared" si="5"/>
        <v>0</v>
      </c>
      <c r="EC7" s="235">
        <f t="shared" si="5"/>
        <v>0</v>
      </c>
      <c r="ED7" s="235">
        <f t="shared" si="5"/>
        <v>0</v>
      </c>
      <c r="EE7" s="235">
        <f t="shared" si="5"/>
        <v>0</v>
      </c>
      <c r="EF7" s="235">
        <f t="shared" si="5"/>
        <v>0</v>
      </c>
      <c r="EG7" s="235">
        <f t="shared" si="5"/>
        <v>0</v>
      </c>
      <c r="EH7" s="235">
        <f t="shared" si="5"/>
        <v>0</v>
      </c>
      <c r="EI7" s="235">
        <f t="shared" si="5"/>
        <v>0</v>
      </c>
      <c r="EJ7" s="235">
        <f t="shared" si="5"/>
        <v>0</v>
      </c>
      <c r="EK7" s="235">
        <f t="shared" si="5"/>
        <v>0</v>
      </c>
      <c r="EL7" s="235">
        <f t="shared" si="5"/>
        <v>0</v>
      </c>
      <c r="EM7" s="235">
        <f t="shared" si="5"/>
        <v>0</v>
      </c>
      <c r="EN7" s="235">
        <f t="shared" si="5"/>
        <v>0</v>
      </c>
      <c r="EO7" s="235">
        <f t="shared" si="5"/>
        <v>0</v>
      </c>
      <c r="EP7" s="235">
        <f t="shared" si="5"/>
        <v>0</v>
      </c>
    </row>
    <row r="8" spans="1:146" ht="14.25" x14ac:dyDescent="0.2">
      <c r="A8" s="233" t="s">
        <v>258</v>
      </c>
      <c r="B8" s="233"/>
      <c r="C8" s="235">
        <f t="shared" ref="C8:EP8" si="6">-C7</f>
        <v>0</v>
      </c>
      <c r="D8" s="235">
        <f t="shared" si="6"/>
        <v>0</v>
      </c>
      <c r="E8" s="235">
        <f t="shared" si="6"/>
        <v>0</v>
      </c>
      <c r="F8" s="235">
        <f t="shared" si="6"/>
        <v>0</v>
      </c>
      <c r="G8" s="235">
        <f t="shared" si="6"/>
        <v>0</v>
      </c>
      <c r="H8" s="235">
        <f t="shared" si="6"/>
        <v>0</v>
      </c>
      <c r="I8" s="235">
        <f t="shared" si="6"/>
        <v>0</v>
      </c>
      <c r="J8" s="235">
        <f t="shared" si="6"/>
        <v>0</v>
      </c>
      <c r="K8" s="235">
        <f t="shared" si="6"/>
        <v>0</v>
      </c>
      <c r="L8" s="235">
        <f t="shared" si="6"/>
        <v>0</v>
      </c>
      <c r="M8" s="235">
        <f t="shared" si="6"/>
        <v>0</v>
      </c>
      <c r="N8" s="235">
        <f t="shared" si="6"/>
        <v>0</v>
      </c>
      <c r="O8" s="235">
        <f t="shared" si="6"/>
        <v>0</v>
      </c>
      <c r="P8" s="235">
        <f t="shared" si="6"/>
        <v>0</v>
      </c>
      <c r="Q8" s="235">
        <f t="shared" si="6"/>
        <v>0</v>
      </c>
      <c r="R8" s="235">
        <f t="shared" si="6"/>
        <v>0</v>
      </c>
      <c r="S8" s="235">
        <f t="shared" si="6"/>
        <v>0</v>
      </c>
      <c r="T8" s="235">
        <f t="shared" si="6"/>
        <v>0</v>
      </c>
      <c r="U8" s="235">
        <f t="shared" si="6"/>
        <v>0</v>
      </c>
      <c r="V8" s="235">
        <f t="shared" si="6"/>
        <v>0</v>
      </c>
      <c r="W8" s="235">
        <f t="shared" si="6"/>
        <v>0</v>
      </c>
      <c r="X8" s="235">
        <f t="shared" si="6"/>
        <v>0</v>
      </c>
      <c r="Y8" s="235">
        <f t="shared" si="6"/>
        <v>0</v>
      </c>
      <c r="Z8" s="235">
        <f t="shared" si="6"/>
        <v>0</v>
      </c>
      <c r="AA8" s="235">
        <f t="shared" si="6"/>
        <v>0</v>
      </c>
      <c r="AB8" s="235">
        <f t="shared" si="6"/>
        <v>0</v>
      </c>
      <c r="AC8" s="235">
        <f t="shared" si="6"/>
        <v>0</v>
      </c>
      <c r="AD8" s="235">
        <f t="shared" si="6"/>
        <v>0</v>
      </c>
      <c r="AE8" s="235">
        <f t="shared" si="6"/>
        <v>0</v>
      </c>
      <c r="AF8" s="235">
        <f t="shared" si="6"/>
        <v>0</v>
      </c>
      <c r="AG8" s="235">
        <f t="shared" si="6"/>
        <v>0</v>
      </c>
      <c r="AH8" s="235">
        <f t="shared" si="6"/>
        <v>0</v>
      </c>
      <c r="AI8" s="235">
        <f t="shared" si="6"/>
        <v>0</v>
      </c>
      <c r="AJ8" s="235">
        <f t="shared" si="6"/>
        <v>0</v>
      </c>
      <c r="AK8" s="235">
        <f t="shared" si="6"/>
        <v>0</v>
      </c>
      <c r="AL8" s="235">
        <f t="shared" si="6"/>
        <v>0</v>
      </c>
      <c r="AM8" s="235">
        <f t="shared" si="6"/>
        <v>0</v>
      </c>
      <c r="AN8" s="235">
        <f t="shared" si="6"/>
        <v>0</v>
      </c>
      <c r="AO8" s="235">
        <f t="shared" si="6"/>
        <v>0</v>
      </c>
      <c r="AP8" s="235">
        <f t="shared" si="6"/>
        <v>0</v>
      </c>
      <c r="AQ8" s="235">
        <f t="shared" si="6"/>
        <v>0</v>
      </c>
      <c r="AR8" s="235">
        <f t="shared" si="6"/>
        <v>0</v>
      </c>
      <c r="AS8" s="235">
        <f t="shared" si="6"/>
        <v>0</v>
      </c>
      <c r="AT8" s="235">
        <f t="shared" si="6"/>
        <v>0</v>
      </c>
      <c r="AU8" s="235">
        <f t="shared" si="6"/>
        <v>0</v>
      </c>
      <c r="AV8" s="235">
        <f t="shared" si="6"/>
        <v>0</v>
      </c>
      <c r="AW8" s="235">
        <f t="shared" si="6"/>
        <v>0</v>
      </c>
      <c r="AX8" s="235">
        <f t="shared" si="6"/>
        <v>0</v>
      </c>
      <c r="AY8" s="235">
        <f t="shared" si="6"/>
        <v>0</v>
      </c>
      <c r="AZ8" s="235">
        <f t="shared" si="6"/>
        <v>0</v>
      </c>
      <c r="BA8" s="235">
        <f t="shared" si="6"/>
        <v>0</v>
      </c>
      <c r="BB8" s="235">
        <f t="shared" si="6"/>
        <v>0</v>
      </c>
      <c r="BC8" s="235">
        <f t="shared" si="6"/>
        <v>0</v>
      </c>
      <c r="BD8" s="235">
        <f t="shared" si="6"/>
        <v>0</v>
      </c>
      <c r="BE8" s="235">
        <f t="shared" si="6"/>
        <v>0</v>
      </c>
      <c r="BF8" s="235">
        <f t="shared" si="6"/>
        <v>0</v>
      </c>
      <c r="BG8" s="235">
        <f t="shared" si="6"/>
        <v>0</v>
      </c>
      <c r="BH8" s="235">
        <f t="shared" si="6"/>
        <v>0</v>
      </c>
      <c r="BI8" s="235">
        <f t="shared" si="6"/>
        <v>0</v>
      </c>
      <c r="BJ8" s="235">
        <f t="shared" si="6"/>
        <v>0</v>
      </c>
      <c r="BK8" s="235">
        <f t="shared" si="6"/>
        <v>0</v>
      </c>
      <c r="BL8" s="235">
        <f t="shared" si="6"/>
        <v>0</v>
      </c>
      <c r="BM8" s="235">
        <f t="shared" si="6"/>
        <v>0</v>
      </c>
      <c r="BN8" s="235">
        <f t="shared" si="6"/>
        <v>0</v>
      </c>
      <c r="BO8" s="235">
        <f t="shared" si="6"/>
        <v>0</v>
      </c>
      <c r="BP8" s="235">
        <f t="shared" si="6"/>
        <v>0</v>
      </c>
      <c r="BQ8" s="235">
        <f t="shared" si="6"/>
        <v>0</v>
      </c>
      <c r="BR8" s="235">
        <f t="shared" si="6"/>
        <v>0</v>
      </c>
      <c r="BS8" s="235">
        <f t="shared" si="6"/>
        <v>0</v>
      </c>
      <c r="BT8" s="235">
        <f t="shared" si="6"/>
        <v>0</v>
      </c>
      <c r="BU8" s="235">
        <f t="shared" si="6"/>
        <v>0</v>
      </c>
      <c r="BV8" s="235">
        <f t="shared" si="6"/>
        <v>0</v>
      </c>
      <c r="BW8" s="235">
        <f t="shared" si="6"/>
        <v>0</v>
      </c>
      <c r="BX8" s="235">
        <f t="shared" si="6"/>
        <v>0</v>
      </c>
      <c r="BY8" s="235">
        <f t="shared" si="6"/>
        <v>0</v>
      </c>
      <c r="BZ8" s="235">
        <f t="shared" si="6"/>
        <v>0</v>
      </c>
      <c r="CA8" s="235">
        <f t="shared" si="6"/>
        <v>0</v>
      </c>
      <c r="CB8" s="235">
        <f t="shared" si="6"/>
        <v>0</v>
      </c>
      <c r="CC8" s="235">
        <f t="shared" si="6"/>
        <v>0</v>
      </c>
      <c r="CD8" s="235">
        <f t="shared" si="6"/>
        <v>0</v>
      </c>
      <c r="CE8" s="235">
        <f t="shared" si="6"/>
        <v>0</v>
      </c>
      <c r="CF8" s="235">
        <f t="shared" si="6"/>
        <v>0</v>
      </c>
      <c r="CG8" s="235">
        <f t="shared" si="6"/>
        <v>0</v>
      </c>
      <c r="CH8" s="235">
        <f t="shared" si="6"/>
        <v>0</v>
      </c>
      <c r="CI8" s="235">
        <f t="shared" si="6"/>
        <v>0</v>
      </c>
      <c r="CJ8" s="235">
        <f t="shared" si="6"/>
        <v>0</v>
      </c>
      <c r="CK8" s="235">
        <f t="shared" si="6"/>
        <v>0</v>
      </c>
      <c r="CL8" s="235">
        <f t="shared" si="6"/>
        <v>0</v>
      </c>
      <c r="CM8" s="235">
        <f t="shared" si="6"/>
        <v>0</v>
      </c>
      <c r="CN8" s="235">
        <f t="shared" si="6"/>
        <v>0</v>
      </c>
      <c r="CO8" s="235">
        <f t="shared" si="6"/>
        <v>0</v>
      </c>
      <c r="CP8" s="235">
        <f t="shared" si="6"/>
        <v>0</v>
      </c>
      <c r="CQ8" s="235">
        <f t="shared" si="6"/>
        <v>0</v>
      </c>
      <c r="CR8" s="235">
        <f t="shared" si="6"/>
        <v>0</v>
      </c>
      <c r="CS8" s="235">
        <f t="shared" si="6"/>
        <v>0</v>
      </c>
      <c r="CT8" s="235">
        <f t="shared" si="6"/>
        <v>0</v>
      </c>
      <c r="CU8" s="235">
        <f t="shared" si="6"/>
        <v>0</v>
      </c>
      <c r="CV8" s="235">
        <f t="shared" si="6"/>
        <v>0</v>
      </c>
      <c r="CW8" s="235">
        <f t="shared" si="6"/>
        <v>0</v>
      </c>
      <c r="CX8" s="235">
        <f t="shared" si="6"/>
        <v>0</v>
      </c>
      <c r="CY8" s="235">
        <f t="shared" si="6"/>
        <v>0</v>
      </c>
      <c r="CZ8" s="235">
        <f t="shared" si="6"/>
        <v>0</v>
      </c>
      <c r="DA8" s="235">
        <f t="shared" si="6"/>
        <v>0</v>
      </c>
      <c r="DB8" s="235">
        <f t="shared" si="6"/>
        <v>0</v>
      </c>
      <c r="DC8" s="235">
        <f t="shared" si="6"/>
        <v>0</v>
      </c>
      <c r="DD8" s="235">
        <f t="shared" si="6"/>
        <v>0</v>
      </c>
      <c r="DE8" s="235">
        <f t="shared" si="6"/>
        <v>0</v>
      </c>
      <c r="DF8" s="235">
        <f t="shared" si="6"/>
        <v>0</v>
      </c>
      <c r="DG8" s="235">
        <f t="shared" si="6"/>
        <v>0</v>
      </c>
      <c r="DH8" s="235">
        <f t="shared" si="6"/>
        <v>0</v>
      </c>
      <c r="DI8" s="235">
        <f t="shared" si="6"/>
        <v>0</v>
      </c>
      <c r="DJ8" s="235">
        <f t="shared" si="6"/>
        <v>0</v>
      </c>
      <c r="DK8" s="235">
        <f t="shared" si="6"/>
        <v>0</v>
      </c>
      <c r="DL8" s="235">
        <f t="shared" si="6"/>
        <v>0</v>
      </c>
      <c r="DM8" s="235">
        <f t="shared" si="6"/>
        <v>0</v>
      </c>
      <c r="DN8" s="235">
        <f t="shared" si="6"/>
        <v>0</v>
      </c>
      <c r="DO8" s="235">
        <f t="shared" si="6"/>
        <v>0</v>
      </c>
      <c r="DP8" s="235">
        <f t="shared" si="6"/>
        <v>0</v>
      </c>
      <c r="DQ8" s="235">
        <f t="shared" si="6"/>
        <v>0</v>
      </c>
      <c r="DR8" s="235">
        <f t="shared" si="6"/>
        <v>0</v>
      </c>
      <c r="DS8" s="235">
        <f t="shared" si="6"/>
        <v>0</v>
      </c>
      <c r="DT8" s="235">
        <f t="shared" si="6"/>
        <v>0</v>
      </c>
      <c r="DU8" s="235">
        <f t="shared" si="6"/>
        <v>0</v>
      </c>
      <c r="DV8" s="235">
        <f t="shared" si="6"/>
        <v>0</v>
      </c>
      <c r="DW8" s="235">
        <f t="shared" si="6"/>
        <v>0</v>
      </c>
      <c r="DX8" s="235">
        <f t="shared" si="6"/>
        <v>0</v>
      </c>
      <c r="DY8" s="235">
        <f t="shared" si="6"/>
        <v>0</v>
      </c>
      <c r="DZ8" s="235">
        <f t="shared" si="6"/>
        <v>0</v>
      </c>
      <c r="EA8" s="235">
        <f t="shared" si="6"/>
        <v>0</v>
      </c>
      <c r="EB8" s="235">
        <f t="shared" si="6"/>
        <v>0</v>
      </c>
      <c r="EC8" s="235">
        <f t="shared" si="6"/>
        <v>0</v>
      </c>
      <c r="ED8" s="235">
        <f t="shared" si="6"/>
        <v>0</v>
      </c>
      <c r="EE8" s="235">
        <f t="shared" si="6"/>
        <v>0</v>
      </c>
      <c r="EF8" s="235">
        <f t="shared" si="6"/>
        <v>0</v>
      </c>
      <c r="EG8" s="235">
        <f t="shared" si="6"/>
        <v>0</v>
      </c>
      <c r="EH8" s="235">
        <f t="shared" si="6"/>
        <v>0</v>
      </c>
      <c r="EI8" s="235">
        <f t="shared" si="6"/>
        <v>0</v>
      </c>
      <c r="EJ8" s="235">
        <f t="shared" si="6"/>
        <v>0</v>
      </c>
      <c r="EK8" s="235">
        <f t="shared" si="6"/>
        <v>0</v>
      </c>
      <c r="EL8" s="235">
        <f t="shared" si="6"/>
        <v>0</v>
      </c>
      <c r="EM8" s="235">
        <f t="shared" si="6"/>
        <v>0</v>
      </c>
      <c r="EN8" s="235">
        <f t="shared" si="6"/>
        <v>0</v>
      </c>
      <c r="EO8" s="235">
        <f t="shared" si="6"/>
        <v>0</v>
      </c>
      <c r="EP8" s="235">
        <f t="shared" si="6"/>
        <v>0</v>
      </c>
    </row>
    <row r="9" spans="1:146" ht="15" x14ac:dyDescent="0.25">
      <c r="A9" s="239" t="s">
        <v>260</v>
      </c>
      <c r="B9" s="241"/>
      <c r="C9" s="242">
        <f t="shared" ref="C9:EP9" si="7">SUM(C4:C8)</f>
        <v>0</v>
      </c>
      <c r="D9" s="242">
        <f t="shared" si="7"/>
        <v>0</v>
      </c>
      <c r="E9" s="242">
        <f t="shared" si="7"/>
        <v>0</v>
      </c>
      <c r="F9" s="242">
        <f t="shared" si="7"/>
        <v>0</v>
      </c>
      <c r="G9" s="242">
        <f t="shared" si="7"/>
        <v>0</v>
      </c>
      <c r="H9" s="242">
        <f t="shared" si="7"/>
        <v>0</v>
      </c>
      <c r="I9" s="242">
        <f t="shared" si="7"/>
        <v>0</v>
      </c>
      <c r="J9" s="242">
        <f t="shared" si="7"/>
        <v>0</v>
      </c>
      <c r="K9" s="242">
        <f t="shared" si="7"/>
        <v>0</v>
      </c>
      <c r="L9" s="242">
        <f t="shared" si="7"/>
        <v>0</v>
      </c>
      <c r="M9" s="242">
        <f t="shared" si="7"/>
        <v>0</v>
      </c>
      <c r="N9" s="242">
        <f t="shared" si="7"/>
        <v>0</v>
      </c>
      <c r="O9" s="242">
        <f t="shared" si="7"/>
        <v>0</v>
      </c>
      <c r="P9" s="242">
        <f t="shared" si="7"/>
        <v>0</v>
      </c>
      <c r="Q9" s="242">
        <f t="shared" si="7"/>
        <v>0</v>
      </c>
      <c r="R9" s="242">
        <f t="shared" si="7"/>
        <v>0</v>
      </c>
      <c r="S9" s="242">
        <f t="shared" si="7"/>
        <v>0</v>
      </c>
      <c r="T9" s="242">
        <f t="shared" si="7"/>
        <v>0</v>
      </c>
      <c r="U9" s="242">
        <f t="shared" si="7"/>
        <v>0</v>
      </c>
      <c r="V9" s="242">
        <f t="shared" si="7"/>
        <v>0</v>
      </c>
      <c r="W9" s="242">
        <f t="shared" si="7"/>
        <v>0</v>
      </c>
      <c r="X9" s="242">
        <f t="shared" si="7"/>
        <v>0</v>
      </c>
      <c r="Y9" s="242">
        <f t="shared" si="7"/>
        <v>0</v>
      </c>
      <c r="Z9" s="242">
        <f t="shared" si="7"/>
        <v>0</v>
      </c>
      <c r="AA9" s="242">
        <f t="shared" si="7"/>
        <v>0</v>
      </c>
      <c r="AB9" s="242">
        <f t="shared" si="7"/>
        <v>0</v>
      </c>
      <c r="AC9" s="242">
        <f t="shared" si="7"/>
        <v>0</v>
      </c>
      <c r="AD9" s="242">
        <f t="shared" si="7"/>
        <v>0</v>
      </c>
      <c r="AE9" s="242">
        <f t="shared" si="7"/>
        <v>0</v>
      </c>
      <c r="AF9" s="242">
        <f t="shared" si="7"/>
        <v>0</v>
      </c>
      <c r="AG9" s="242">
        <f t="shared" si="7"/>
        <v>0</v>
      </c>
      <c r="AH9" s="242">
        <f t="shared" si="7"/>
        <v>0</v>
      </c>
      <c r="AI9" s="242">
        <f t="shared" si="7"/>
        <v>0</v>
      </c>
      <c r="AJ9" s="242">
        <f t="shared" si="7"/>
        <v>0</v>
      </c>
      <c r="AK9" s="242">
        <f t="shared" si="7"/>
        <v>0</v>
      </c>
      <c r="AL9" s="242">
        <f t="shared" si="7"/>
        <v>0</v>
      </c>
      <c r="AM9" s="242">
        <f t="shared" si="7"/>
        <v>0</v>
      </c>
      <c r="AN9" s="242">
        <f t="shared" si="7"/>
        <v>0</v>
      </c>
      <c r="AO9" s="242">
        <f t="shared" si="7"/>
        <v>0</v>
      </c>
      <c r="AP9" s="242">
        <f t="shared" si="7"/>
        <v>0</v>
      </c>
      <c r="AQ9" s="242">
        <f t="shared" si="7"/>
        <v>0</v>
      </c>
      <c r="AR9" s="242">
        <f t="shared" si="7"/>
        <v>0</v>
      </c>
      <c r="AS9" s="242">
        <f t="shared" si="7"/>
        <v>0</v>
      </c>
      <c r="AT9" s="242">
        <f t="shared" si="7"/>
        <v>0</v>
      </c>
      <c r="AU9" s="242">
        <f t="shared" si="7"/>
        <v>0</v>
      </c>
      <c r="AV9" s="242">
        <f t="shared" si="7"/>
        <v>0</v>
      </c>
      <c r="AW9" s="242">
        <f t="shared" si="7"/>
        <v>0</v>
      </c>
      <c r="AX9" s="242">
        <f t="shared" si="7"/>
        <v>0</v>
      </c>
      <c r="AY9" s="242">
        <f t="shared" si="7"/>
        <v>0</v>
      </c>
      <c r="AZ9" s="242">
        <f t="shared" si="7"/>
        <v>0</v>
      </c>
      <c r="BA9" s="242">
        <f t="shared" si="7"/>
        <v>0</v>
      </c>
      <c r="BB9" s="242">
        <f t="shared" si="7"/>
        <v>0</v>
      </c>
      <c r="BC9" s="242">
        <f t="shared" si="7"/>
        <v>0</v>
      </c>
      <c r="BD9" s="242">
        <f t="shared" si="7"/>
        <v>0</v>
      </c>
      <c r="BE9" s="242">
        <f t="shared" si="7"/>
        <v>0</v>
      </c>
      <c r="BF9" s="242">
        <f t="shared" si="7"/>
        <v>0</v>
      </c>
      <c r="BG9" s="242">
        <f t="shared" si="7"/>
        <v>0</v>
      </c>
      <c r="BH9" s="242">
        <f t="shared" si="7"/>
        <v>0</v>
      </c>
      <c r="BI9" s="242">
        <f t="shared" si="7"/>
        <v>0</v>
      </c>
      <c r="BJ9" s="242">
        <f t="shared" si="7"/>
        <v>0</v>
      </c>
      <c r="BK9" s="242">
        <f t="shared" si="7"/>
        <v>0</v>
      </c>
      <c r="BL9" s="242">
        <f t="shared" si="7"/>
        <v>0</v>
      </c>
      <c r="BM9" s="242">
        <f t="shared" si="7"/>
        <v>0</v>
      </c>
      <c r="BN9" s="242">
        <f t="shared" si="7"/>
        <v>0</v>
      </c>
      <c r="BO9" s="242">
        <f t="shared" si="7"/>
        <v>0</v>
      </c>
      <c r="BP9" s="242">
        <f t="shared" si="7"/>
        <v>0</v>
      </c>
      <c r="BQ9" s="242">
        <f t="shared" si="7"/>
        <v>0</v>
      </c>
      <c r="BR9" s="242">
        <f t="shared" si="7"/>
        <v>0</v>
      </c>
      <c r="BS9" s="242">
        <f t="shared" si="7"/>
        <v>0</v>
      </c>
      <c r="BT9" s="242">
        <f t="shared" si="7"/>
        <v>0</v>
      </c>
      <c r="BU9" s="242">
        <f t="shared" si="7"/>
        <v>0</v>
      </c>
      <c r="BV9" s="242">
        <f t="shared" si="7"/>
        <v>0</v>
      </c>
      <c r="BW9" s="242">
        <f t="shared" si="7"/>
        <v>0</v>
      </c>
      <c r="BX9" s="242">
        <f t="shared" si="7"/>
        <v>0</v>
      </c>
      <c r="BY9" s="242">
        <f t="shared" si="7"/>
        <v>0</v>
      </c>
      <c r="BZ9" s="242">
        <f t="shared" si="7"/>
        <v>0</v>
      </c>
      <c r="CA9" s="242">
        <f t="shared" si="7"/>
        <v>0</v>
      </c>
      <c r="CB9" s="242">
        <f t="shared" si="7"/>
        <v>0</v>
      </c>
      <c r="CC9" s="242">
        <f t="shared" si="7"/>
        <v>0</v>
      </c>
      <c r="CD9" s="242">
        <f t="shared" si="7"/>
        <v>0</v>
      </c>
      <c r="CE9" s="242">
        <f t="shared" si="7"/>
        <v>0</v>
      </c>
      <c r="CF9" s="242">
        <f t="shared" si="7"/>
        <v>0</v>
      </c>
      <c r="CG9" s="242">
        <f t="shared" si="7"/>
        <v>0</v>
      </c>
      <c r="CH9" s="242">
        <f t="shared" si="7"/>
        <v>0</v>
      </c>
      <c r="CI9" s="242">
        <f t="shared" si="7"/>
        <v>0</v>
      </c>
      <c r="CJ9" s="242">
        <f t="shared" si="7"/>
        <v>0</v>
      </c>
      <c r="CK9" s="242">
        <f t="shared" si="7"/>
        <v>0</v>
      </c>
      <c r="CL9" s="242">
        <f t="shared" si="7"/>
        <v>0</v>
      </c>
      <c r="CM9" s="242">
        <f t="shared" si="7"/>
        <v>0</v>
      </c>
      <c r="CN9" s="242">
        <f t="shared" si="7"/>
        <v>0</v>
      </c>
      <c r="CO9" s="242">
        <f t="shared" si="7"/>
        <v>0</v>
      </c>
      <c r="CP9" s="242">
        <f t="shared" si="7"/>
        <v>0</v>
      </c>
      <c r="CQ9" s="242">
        <f t="shared" si="7"/>
        <v>0</v>
      </c>
      <c r="CR9" s="242">
        <f t="shared" si="7"/>
        <v>0</v>
      </c>
      <c r="CS9" s="242">
        <f t="shared" si="7"/>
        <v>0</v>
      </c>
      <c r="CT9" s="242">
        <f t="shared" si="7"/>
        <v>0</v>
      </c>
      <c r="CU9" s="242">
        <f t="shared" si="7"/>
        <v>0</v>
      </c>
      <c r="CV9" s="242">
        <f t="shared" si="7"/>
        <v>0</v>
      </c>
      <c r="CW9" s="242">
        <f t="shared" si="7"/>
        <v>0</v>
      </c>
      <c r="CX9" s="242">
        <f t="shared" si="7"/>
        <v>0</v>
      </c>
      <c r="CY9" s="242">
        <f t="shared" si="7"/>
        <v>0</v>
      </c>
      <c r="CZ9" s="242">
        <f t="shared" si="7"/>
        <v>0</v>
      </c>
      <c r="DA9" s="242">
        <f t="shared" si="7"/>
        <v>0</v>
      </c>
      <c r="DB9" s="242">
        <f t="shared" si="7"/>
        <v>0</v>
      </c>
      <c r="DC9" s="242">
        <f t="shared" si="7"/>
        <v>0</v>
      </c>
      <c r="DD9" s="242">
        <f t="shared" si="7"/>
        <v>0</v>
      </c>
      <c r="DE9" s="242">
        <f t="shared" si="7"/>
        <v>0</v>
      </c>
      <c r="DF9" s="242">
        <f t="shared" si="7"/>
        <v>0</v>
      </c>
      <c r="DG9" s="242">
        <f t="shared" si="7"/>
        <v>0</v>
      </c>
      <c r="DH9" s="242">
        <f t="shared" si="7"/>
        <v>0</v>
      </c>
      <c r="DI9" s="242">
        <f t="shared" si="7"/>
        <v>0</v>
      </c>
      <c r="DJ9" s="242">
        <f t="shared" si="7"/>
        <v>0</v>
      </c>
      <c r="DK9" s="242">
        <f t="shared" si="7"/>
        <v>0</v>
      </c>
      <c r="DL9" s="242">
        <f t="shared" si="7"/>
        <v>0</v>
      </c>
      <c r="DM9" s="242">
        <f t="shared" si="7"/>
        <v>0</v>
      </c>
      <c r="DN9" s="242">
        <f t="shared" si="7"/>
        <v>0</v>
      </c>
      <c r="DO9" s="242">
        <f t="shared" si="7"/>
        <v>0</v>
      </c>
      <c r="DP9" s="242">
        <f t="shared" si="7"/>
        <v>0</v>
      </c>
      <c r="DQ9" s="242">
        <f t="shared" si="7"/>
        <v>0</v>
      </c>
      <c r="DR9" s="242">
        <f t="shared" si="7"/>
        <v>0</v>
      </c>
      <c r="DS9" s="242">
        <f t="shared" si="7"/>
        <v>0</v>
      </c>
      <c r="DT9" s="242">
        <f t="shared" si="7"/>
        <v>0</v>
      </c>
      <c r="DU9" s="242">
        <f t="shared" si="7"/>
        <v>0</v>
      </c>
      <c r="DV9" s="242">
        <f t="shared" si="7"/>
        <v>0</v>
      </c>
      <c r="DW9" s="242">
        <f t="shared" si="7"/>
        <v>0</v>
      </c>
      <c r="DX9" s="242">
        <f t="shared" si="7"/>
        <v>0</v>
      </c>
      <c r="DY9" s="242">
        <f t="shared" si="7"/>
        <v>0</v>
      </c>
      <c r="DZ9" s="242">
        <f t="shared" si="7"/>
        <v>0</v>
      </c>
      <c r="EA9" s="242">
        <f t="shared" si="7"/>
        <v>0</v>
      </c>
      <c r="EB9" s="242">
        <f t="shared" si="7"/>
        <v>0</v>
      </c>
      <c r="EC9" s="242">
        <f t="shared" si="7"/>
        <v>0</v>
      </c>
      <c r="ED9" s="242">
        <f t="shared" si="7"/>
        <v>0</v>
      </c>
      <c r="EE9" s="242">
        <f t="shared" si="7"/>
        <v>0</v>
      </c>
      <c r="EF9" s="242">
        <f t="shared" si="7"/>
        <v>0</v>
      </c>
      <c r="EG9" s="242">
        <f t="shared" si="7"/>
        <v>0</v>
      </c>
      <c r="EH9" s="242">
        <f t="shared" si="7"/>
        <v>0</v>
      </c>
      <c r="EI9" s="242">
        <f t="shared" si="7"/>
        <v>0</v>
      </c>
      <c r="EJ9" s="242">
        <f t="shared" si="7"/>
        <v>0</v>
      </c>
      <c r="EK9" s="242">
        <f t="shared" si="7"/>
        <v>0</v>
      </c>
      <c r="EL9" s="242">
        <f t="shared" si="7"/>
        <v>0</v>
      </c>
      <c r="EM9" s="242">
        <f t="shared" si="7"/>
        <v>0</v>
      </c>
      <c r="EN9" s="242">
        <f t="shared" si="7"/>
        <v>0</v>
      </c>
      <c r="EO9" s="242">
        <f t="shared" si="7"/>
        <v>0</v>
      </c>
      <c r="EP9" s="242">
        <f t="shared" si="7"/>
        <v>0</v>
      </c>
    </row>
    <row r="10" spans="1:146" ht="14.25" x14ac:dyDescent="0.2">
      <c r="A10" s="233"/>
      <c r="B10" s="233"/>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row>
    <row r="11" spans="1:146" ht="15" x14ac:dyDescent="0.25">
      <c r="A11" s="243" t="s">
        <v>261</v>
      </c>
      <c r="B11" s="233"/>
      <c r="C11" s="235">
        <f t="shared" ref="C11:EP11" si="8">IF(MONTH($B$14)&amp;YEAR($B$14)=MONTH(C$2)&amp;YEAR(C$2),$B$17,0)</f>
        <v>0</v>
      </c>
      <c r="D11" s="235">
        <f t="shared" si="8"/>
        <v>0</v>
      </c>
      <c r="E11" s="235">
        <f t="shared" si="8"/>
        <v>0</v>
      </c>
      <c r="F11" s="235">
        <f t="shared" si="8"/>
        <v>0</v>
      </c>
      <c r="G11" s="235">
        <f t="shared" si="8"/>
        <v>0</v>
      </c>
      <c r="H11" s="235">
        <f t="shared" si="8"/>
        <v>0</v>
      </c>
      <c r="I11" s="235">
        <f t="shared" si="8"/>
        <v>0</v>
      </c>
      <c r="J11" s="235">
        <f t="shared" si="8"/>
        <v>0</v>
      </c>
      <c r="K11" s="235">
        <f t="shared" si="8"/>
        <v>0</v>
      </c>
      <c r="L11" s="235">
        <f t="shared" si="8"/>
        <v>0</v>
      </c>
      <c r="M11" s="235">
        <f t="shared" si="8"/>
        <v>0</v>
      </c>
      <c r="N11" s="235">
        <f t="shared" si="8"/>
        <v>0</v>
      </c>
      <c r="O11" s="235">
        <f t="shared" si="8"/>
        <v>0</v>
      </c>
      <c r="P11" s="235">
        <f t="shared" si="8"/>
        <v>0</v>
      </c>
      <c r="Q11" s="235">
        <f t="shared" si="8"/>
        <v>0</v>
      </c>
      <c r="R11" s="235">
        <f t="shared" si="8"/>
        <v>0</v>
      </c>
      <c r="S11" s="235">
        <f t="shared" si="8"/>
        <v>0</v>
      </c>
      <c r="T11" s="235">
        <f t="shared" si="8"/>
        <v>0</v>
      </c>
      <c r="U11" s="235">
        <f t="shared" si="8"/>
        <v>0</v>
      </c>
      <c r="V11" s="235">
        <f t="shared" si="8"/>
        <v>0</v>
      </c>
      <c r="W11" s="235">
        <f t="shared" si="8"/>
        <v>0</v>
      </c>
      <c r="X11" s="235">
        <f t="shared" si="8"/>
        <v>0</v>
      </c>
      <c r="Y11" s="235">
        <f t="shared" si="8"/>
        <v>0</v>
      </c>
      <c r="Z11" s="235">
        <f t="shared" si="8"/>
        <v>0</v>
      </c>
      <c r="AA11" s="235">
        <f t="shared" si="8"/>
        <v>0</v>
      </c>
      <c r="AB11" s="235">
        <f t="shared" si="8"/>
        <v>0</v>
      </c>
      <c r="AC11" s="235">
        <f t="shared" si="8"/>
        <v>0</v>
      </c>
      <c r="AD11" s="235">
        <f t="shared" si="8"/>
        <v>0</v>
      </c>
      <c r="AE11" s="235">
        <f t="shared" si="8"/>
        <v>0</v>
      </c>
      <c r="AF11" s="235">
        <f t="shared" si="8"/>
        <v>0</v>
      </c>
      <c r="AG11" s="235">
        <f t="shared" si="8"/>
        <v>0</v>
      </c>
      <c r="AH11" s="235">
        <f t="shared" si="8"/>
        <v>0</v>
      </c>
      <c r="AI11" s="235">
        <f t="shared" si="8"/>
        <v>0</v>
      </c>
      <c r="AJ11" s="235">
        <f t="shared" si="8"/>
        <v>0</v>
      </c>
      <c r="AK11" s="235">
        <f t="shared" si="8"/>
        <v>0</v>
      </c>
      <c r="AL11" s="235">
        <f t="shared" si="8"/>
        <v>0</v>
      </c>
      <c r="AM11" s="235">
        <f t="shared" si="8"/>
        <v>0</v>
      </c>
      <c r="AN11" s="235">
        <f t="shared" si="8"/>
        <v>0</v>
      </c>
      <c r="AO11" s="235">
        <f t="shared" si="8"/>
        <v>0</v>
      </c>
      <c r="AP11" s="235">
        <f t="shared" si="8"/>
        <v>0</v>
      </c>
      <c r="AQ11" s="235">
        <f t="shared" si="8"/>
        <v>0</v>
      </c>
      <c r="AR11" s="235">
        <f t="shared" si="8"/>
        <v>0</v>
      </c>
      <c r="AS11" s="235">
        <f t="shared" si="8"/>
        <v>0</v>
      </c>
      <c r="AT11" s="235">
        <f t="shared" si="8"/>
        <v>0</v>
      </c>
      <c r="AU11" s="235">
        <f t="shared" si="8"/>
        <v>0</v>
      </c>
      <c r="AV11" s="235">
        <f t="shared" si="8"/>
        <v>0</v>
      </c>
      <c r="AW11" s="235">
        <f t="shared" si="8"/>
        <v>0</v>
      </c>
      <c r="AX11" s="235">
        <f t="shared" si="8"/>
        <v>0</v>
      </c>
      <c r="AY11" s="235">
        <f t="shared" si="8"/>
        <v>0</v>
      </c>
      <c r="AZ11" s="235">
        <f t="shared" si="8"/>
        <v>0</v>
      </c>
      <c r="BA11" s="235">
        <f t="shared" si="8"/>
        <v>0</v>
      </c>
      <c r="BB11" s="235">
        <f t="shared" si="8"/>
        <v>0</v>
      </c>
      <c r="BC11" s="235">
        <f t="shared" si="8"/>
        <v>0</v>
      </c>
      <c r="BD11" s="235">
        <f t="shared" si="8"/>
        <v>0</v>
      </c>
      <c r="BE11" s="235">
        <f t="shared" si="8"/>
        <v>0</v>
      </c>
      <c r="BF11" s="235">
        <f t="shared" si="8"/>
        <v>0</v>
      </c>
      <c r="BG11" s="235">
        <f t="shared" si="8"/>
        <v>0</v>
      </c>
      <c r="BH11" s="235">
        <f t="shared" si="8"/>
        <v>0</v>
      </c>
      <c r="BI11" s="235">
        <f t="shared" si="8"/>
        <v>0</v>
      </c>
      <c r="BJ11" s="235">
        <f t="shared" si="8"/>
        <v>0</v>
      </c>
      <c r="BK11" s="235">
        <f t="shared" si="8"/>
        <v>0</v>
      </c>
      <c r="BL11" s="235">
        <f t="shared" si="8"/>
        <v>0</v>
      </c>
      <c r="BM11" s="235">
        <f t="shared" si="8"/>
        <v>0</v>
      </c>
      <c r="BN11" s="235">
        <f t="shared" si="8"/>
        <v>0</v>
      </c>
      <c r="BO11" s="235">
        <f t="shared" si="8"/>
        <v>0</v>
      </c>
      <c r="BP11" s="235">
        <f t="shared" si="8"/>
        <v>0</v>
      </c>
      <c r="BQ11" s="235">
        <f t="shared" si="8"/>
        <v>0</v>
      </c>
      <c r="BR11" s="235">
        <f t="shared" si="8"/>
        <v>0</v>
      </c>
      <c r="BS11" s="235">
        <f t="shared" si="8"/>
        <v>0</v>
      </c>
      <c r="BT11" s="235">
        <f t="shared" si="8"/>
        <v>0</v>
      </c>
      <c r="BU11" s="235">
        <f t="shared" si="8"/>
        <v>0</v>
      </c>
      <c r="BV11" s="235">
        <f t="shared" si="8"/>
        <v>0</v>
      </c>
      <c r="BW11" s="235">
        <f t="shared" si="8"/>
        <v>0</v>
      </c>
      <c r="BX11" s="235">
        <f t="shared" si="8"/>
        <v>0</v>
      </c>
      <c r="BY11" s="235">
        <f t="shared" si="8"/>
        <v>0</v>
      </c>
      <c r="BZ11" s="235">
        <f t="shared" si="8"/>
        <v>0</v>
      </c>
      <c r="CA11" s="235">
        <f t="shared" si="8"/>
        <v>0</v>
      </c>
      <c r="CB11" s="235">
        <f t="shared" si="8"/>
        <v>0</v>
      </c>
      <c r="CC11" s="235">
        <f t="shared" si="8"/>
        <v>0</v>
      </c>
      <c r="CD11" s="235">
        <f t="shared" si="8"/>
        <v>0</v>
      </c>
      <c r="CE11" s="235">
        <f t="shared" si="8"/>
        <v>0</v>
      </c>
      <c r="CF11" s="235">
        <f t="shared" si="8"/>
        <v>0</v>
      </c>
      <c r="CG11" s="235">
        <f t="shared" si="8"/>
        <v>0</v>
      </c>
      <c r="CH11" s="235">
        <f t="shared" si="8"/>
        <v>0</v>
      </c>
      <c r="CI11" s="235">
        <f t="shared" si="8"/>
        <v>0</v>
      </c>
      <c r="CJ11" s="235">
        <f t="shared" si="8"/>
        <v>0</v>
      </c>
      <c r="CK11" s="235">
        <f t="shared" si="8"/>
        <v>0</v>
      </c>
      <c r="CL11" s="235">
        <f t="shared" si="8"/>
        <v>0</v>
      </c>
      <c r="CM11" s="235">
        <f t="shared" si="8"/>
        <v>0</v>
      </c>
      <c r="CN11" s="235">
        <f t="shared" si="8"/>
        <v>0</v>
      </c>
      <c r="CO11" s="235">
        <f t="shared" si="8"/>
        <v>0</v>
      </c>
      <c r="CP11" s="235">
        <f t="shared" si="8"/>
        <v>0</v>
      </c>
      <c r="CQ11" s="235">
        <f t="shared" si="8"/>
        <v>0</v>
      </c>
      <c r="CR11" s="235">
        <f t="shared" si="8"/>
        <v>0</v>
      </c>
      <c r="CS11" s="235">
        <f t="shared" si="8"/>
        <v>0</v>
      </c>
      <c r="CT11" s="235">
        <f t="shared" si="8"/>
        <v>0</v>
      </c>
      <c r="CU11" s="235">
        <f t="shared" si="8"/>
        <v>0</v>
      </c>
      <c r="CV11" s="235">
        <f t="shared" si="8"/>
        <v>0</v>
      </c>
      <c r="CW11" s="235">
        <f t="shared" si="8"/>
        <v>0</v>
      </c>
      <c r="CX11" s="235">
        <f t="shared" si="8"/>
        <v>0</v>
      </c>
      <c r="CY11" s="235">
        <f t="shared" si="8"/>
        <v>0</v>
      </c>
      <c r="CZ11" s="235">
        <f t="shared" si="8"/>
        <v>0</v>
      </c>
      <c r="DA11" s="235">
        <f t="shared" si="8"/>
        <v>0</v>
      </c>
      <c r="DB11" s="235">
        <f t="shared" si="8"/>
        <v>0</v>
      </c>
      <c r="DC11" s="235">
        <f t="shared" si="8"/>
        <v>0</v>
      </c>
      <c r="DD11" s="235">
        <f t="shared" si="8"/>
        <v>0</v>
      </c>
      <c r="DE11" s="235">
        <f t="shared" si="8"/>
        <v>0</v>
      </c>
      <c r="DF11" s="235">
        <f t="shared" si="8"/>
        <v>0</v>
      </c>
      <c r="DG11" s="235">
        <f t="shared" si="8"/>
        <v>0</v>
      </c>
      <c r="DH11" s="235">
        <f t="shared" si="8"/>
        <v>0</v>
      </c>
      <c r="DI11" s="235">
        <f t="shared" si="8"/>
        <v>0</v>
      </c>
      <c r="DJ11" s="235">
        <f t="shared" si="8"/>
        <v>0</v>
      </c>
      <c r="DK11" s="235">
        <f t="shared" si="8"/>
        <v>0</v>
      </c>
      <c r="DL11" s="235">
        <f t="shared" si="8"/>
        <v>0</v>
      </c>
      <c r="DM11" s="235">
        <f t="shared" si="8"/>
        <v>0</v>
      </c>
      <c r="DN11" s="235">
        <f t="shared" si="8"/>
        <v>0</v>
      </c>
      <c r="DO11" s="235">
        <f t="shared" si="8"/>
        <v>0</v>
      </c>
      <c r="DP11" s="235">
        <f t="shared" si="8"/>
        <v>0</v>
      </c>
      <c r="DQ11" s="235">
        <f t="shared" si="8"/>
        <v>0</v>
      </c>
      <c r="DR11" s="235">
        <f t="shared" si="8"/>
        <v>0</v>
      </c>
      <c r="DS11" s="235">
        <f t="shared" si="8"/>
        <v>0</v>
      </c>
      <c r="DT11" s="235">
        <f t="shared" si="8"/>
        <v>0</v>
      </c>
      <c r="DU11" s="235">
        <f t="shared" si="8"/>
        <v>0</v>
      </c>
      <c r="DV11" s="235">
        <f t="shared" si="8"/>
        <v>0</v>
      </c>
      <c r="DW11" s="235">
        <f t="shared" si="8"/>
        <v>0</v>
      </c>
      <c r="DX11" s="235">
        <f t="shared" si="8"/>
        <v>0</v>
      </c>
      <c r="DY11" s="235">
        <f t="shared" si="8"/>
        <v>0</v>
      </c>
      <c r="DZ11" s="235">
        <f t="shared" si="8"/>
        <v>0</v>
      </c>
      <c r="EA11" s="235">
        <f t="shared" si="8"/>
        <v>0</v>
      </c>
      <c r="EB11" s="235">
        <f t="shared" si="8"/>
        <v>0</v>
      </c>
      <c r="EC11" s="235">
        <f t="shared" si="8"/>
        <v>0</v>
      </c>
      <c r="ED11" s="235">
        <f t="shared" si="8"/>
        <v>0</v>
      </c>
      <c r="EE11" s="235">
        <f t="shared" si="8"/>
        <v>0</v>
      </c>
      <c r="EF11" s="235">
        <f t="shared" si="8"/>
        <v>0</v>
      </c>
      <c r="EG11" s="235">
        <f t="shared" si="8"/>
        <v>0</v>
      </c>
      <c r="EH11" s="235">
        <f t="shared" si="8"/>
        <v>0</v>
      </c>
      <c r="EI11" s="235">
        <f t="shared" si="8"/>
        <v>0</v>
      </c>
      <c r="EJ11" s="235">
        <f t="shared" si="8"/>
        <v>0</v>
      </c>
      <c r="EK11" s="235">
        <f t="shared" si="8"/>
        <v>0</v>
      </c>
      <c r="EL11" s="235">
        <f t="shared" si="8"/>
        <v>0</v>
      </c>
      <c r="EM11" s="235">
        <f t="shared" si="8"/>
        <v>0</v>
      </c>
      <c r="EN11" s="235">
        <f t="shared" si="8"/>
        <v>0</v>
      </c>
      <c r="EO11" s="235">
        <f t="shared" si="8"/>
        <v>0</v>
      </c>
      <c r="EP11" s="235">
        <f t="shared" si="8"/>
        <v>0</v>
      </c>
    </row>
    <row r="12" spans="1:146" ht="14.25" x14ac:dyDescent="0.2">
      <c r="A12" s="233"/>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row>
    <row r="13" spans="1:146" ht="15" x14ac:dyDescent="0.25">
      <c r="A13" s="244" t="s">
        <v>264</v>
      </c>
      <c r="B13" s="233"/>
      <c r="C13" s="233"/>
      <c r="D13" s="233"/>
      <c r="E13" s="233"/>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row>
    <row r="14" spans="1:146" ht="14.25" x14ac:dyDescent="0.2">
      <c r="A14" s="233" t="s">
        <v>265</v>
      </c>
      <c r="B14" s="245">
        <v>44013</v>
      </c>
      <c r="C14" s="233"/>
      <c r="D14" s="233"/>
      <c r="E14" s="233"/>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row>
    <row r="15" spans="1:146" ht="14.25" x14ac:dyDescent="0.2">
      <c r="A15" s="233" t="s">
        <v>266</v>
      </c>
      <c r="B15" s="246">
        <v>0</v>
      </c>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c r="EC15" s="233"/>
      <c r="ED15" s="233"/>
      <c r="EE15" s="233"/>
      <c r="EF15" s="233"/>
      <c r="EG15" s="233"/>
      <c r="EH15" s="233"/>
      <c r="EI15" s="233"/>
      <c r="EJ15" s="233"/>
      <c r="EK15" s="233"/>
      <c r="EL15" s="233"/>
      <c r="EM15" s="233"/>
      <c r="EN15" s="233"/>
      <c r="EO15" s="233"/>
      <c r="EP15" s="233"/>
    </row>
    <row r="16" spans="1:146" ht="14.25" x14ac:dyDescent="0.2">
      <c r="A16" s="233" t="s">
        <v>267</v>
      </c>
      <c r="B16" s="247">
        <v>0.75</v>
      </c>
      <c r="C16" s="233"/>
      <c r="D16" s="233"/>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row>
    <row r="17" spans="1:146" ht="14.25" x14ac:dyDescent="0.2">
      <c r="A17" s="233" t="s">
        <v>268</v>
      </c>
      <c r="B17" s="235">
        <f>B15*B16</f>
        <v>0</v>
      </c>
      <c r="C17" s="233"/>
      <c r="D17" s="233"/>
      <c r="E17" s="233"/>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row>
    <row r="18" spans="1:146" ht="15" x14ac:dyDescent="0.25">
      <c r="A18" s="233" t="s">
        <v>269</v>
      </c>
      <c r="B18" s="248">
        <f>B15-B17</f>
        <v>0</v>
      </c>
      <c r="C18" s="233"/>
      <c r="D18" s="233"/>
      <c r="E18" s="2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row>
    <row r="19" spans="1:146" ht="14.25" x14ac:dyDescent="0.2">
      <c r="A19" s="233" t="s">
        <v>270</v>
      </c>
      <c r="B19" s="249">
        <v>18</v>
      </c>
      <c r="C19" s="233"/>
      <c r="D19" s="233"/>
      <c r="E19" s="233"/>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row>
    <row r="20" spans="1:146" ht="14.25" x14ac:dyDescent="0.2">
      <c r="A20" s="233" t="s">
        <v>271</v>
      </c>
      <c r="B20" s="249">
        <v>6</v>
      </c>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row>
    <row r="21" spans="1:146" ht="14.25" x14ac:dyDescent="0.2">
      <c r="A21" s="237" t="s">
        <v>272</v>
      </c>
      <c r="B21" s="250">
        <v>0.01</v>
      </c>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row>
    <row r="22" spans="1:146" ht="14.25" x14ac:dyDescent="0.2">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row>
    <row r="23" spans="1:146" ht="18" x14ac:dyDescent="0.25">
      <c r="A23" s="232" t="s">
        <v>274</v>
      </c>
      <c r="B23" s="233"/>
      <c r="C23" s="234"/>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c r="EC23" s="235"/>
      <c r="ED23" s="235"/>
      <c r="EE23" s="235"/>
      <c r="EF23" s="235"/>
      <c r="EG23" s="235"/>
      <c r="EH23" s="235"/>
      <c r="EI23" s="235"/>
      <c r="EJ23" s="235"/>
      <c r="EK23" s="235"/>
      <c r="EL23" s="235"/>
      <c r="EM23" s="235"/>
      <c r="EN23" s="235"/>
      <c r="EO23" s="235"/>
      <c r="EP23" s="235"/>
    </row>
    <row r="24" spans="1:146" ht="14.25" x14ac:dyDescent="0.2">
      <c r="A24" s="236" t="s">
        <v>252</v>
      </c>
      <c r="B24" s="233"/>
      <c r="C24" s="234"/>
      <c r="D24" s="235">
        <f t="shared" ref="D24:EP24" si="9">C29</f>
        <v>0</v>
      </c>
      <c r="E24" s="235">
        <f t="shared" si="9"/>
        <v>0</v>
      </c>
      <c r="F24" s="235">
        <f t="shared" si="9"/>
        <v>0</v>
      </c>
      <c r="G24" s="235">
        <f t="shared" si="9"/>
        <v>0</v>
      </c>
      <c r="H24" s="235">
        <f t="shared" si="9"/>
        <v>0</v>
      </c>
      <c r="I24" s="235">
        <f t="shared" si="9"/>
        <v>0</v>
      </c>
      <c r="J24" s="235">
        <f t="shared" si="9"/>
        <v>0</v>
      </c>
      <c r="K24" s="235">
        <f t="shared" si="9"/>
        <v>0</v>
      </c>
      <c r="L24" s="235">
        <f t="shared" si="9"/>
        <v>0</v>
      </c>
      <c r="M24" s="235">
        <f t="shared" si="9"/>
        <v>0</v>
      </c>
      <c r="N24" s="235">
        <f t="shared" si="9"/>
        <v>0</v>
      </c>
      <c r="O24" s="235">
        <f t="shared" si="9"/>
        <v>0</v>
      </c>
      <c r="P24" s="235">
        <f t="shared" si="9"/>
        <v>0</v>
      </c>
      <c r="Q24" s="235">
        <f t="shared" si="9"/>
        <v>0</v>
      </c>
      <c r="R24" s="235">
        <f t="shared" si="9"/>
        <v>0</v>
      </c>
      <c r="S24" s="235">
        <f t="shared" si="9"/>
        <v>0</v>
      </c>
      <c r="T24" s="235">
        <f t="shared" si="9"/>
        <v>0</v>
      </c>
      <c r="U24" s="235">
        <f t="shared" si="9"/>
        <v>0</v>
      </c>
      <c r="V24" s="235">
        <f t="shared" si="9"/>
        <v>0</v>
      </c>
      <c r="W24" s="235">
        <f t="shared" si="9"/>
        <v>0</v>
      </c>
      <c r="X24" s="235">
        <f t="shared" si="9"/>
        <v>0</v>
      </c>
      <c r="Y24" s="235">
        <f t="shared" si="9"/>
        <v>0</v>
      </c>
      <c r="Z24" s="235">
        <f t="shared" si="9"/>
        <v>0</v>
      </c>
      <c r="AA24" s="235">
        <f t="shared" si="9"/>
        <v>0</v>
      </c>
      <c r="AB24" s="235">
        <f t="shared" si="9"/>
        <v>0</v>
      </c>
      <c r="AC24" s="235">
        <f t="shared" si="9"/>
        <v>0</v>
      </c>
      <c r="AD24" s="235">
        <f t="shared" si="9"/>
        <v>0</v>
      </c>
      <c r="AE24" s="235">
        <f t="shared" si="9"/>
        <v>0</v>
      </c>
      <c r="AF24" s="235">
        <f t="shared" si="9"/>
        <v>0</v>
      </c>
      <c r="AG24" s="235">
        <f t="shared" si="9"/>
        <v>0</v>
      </c>
      <c r="AH24" s="235">
        <f t="shared" si="9"/>
        <v>0</v>
      </c>
      <c r="AI24" s="235">
        <f t="shared" si="9"/>
        <v>0</v>
      </c>
      <c r="AJ24" s="235">
        <f t="shared" si="9"/>
        <v>0</v>
      </c>
      <c r="AK24" s="235">
        <f t="shared" si="9"/>
        <v>0</v>
      </c>
      <c r="AL24" s="235">
        <f t="shared" si="9"/>
        <v>0</v>
      </c>
      <c r="AM24" s="235">
        <f t="shared" si="9"/>
        <v>0</v>
      </c>
      <c r="AN24" s="235">
        <f t="shared" si="9"/>
        <v>0</v>
      </c>
      <c r="AO24" s="235">
        <f t="shared" si="9"/>
        <v>0</v>
      </c>
      <c r="AP24" s="235">
        <f t="shared" si="9"/>
        <v>0</v>
      </c>
      <c r="AQ24" s="235">
        <f t="shared" si="9"/>
        <v>0</v>
      </c>
      <c r="AR24" s="235">
        <f t="shared" si="9"/>
        <v>0</v>
      </c>
      <c r="AS24" s="235">
        <f t="shared" si="9"/>
        <v>0</v>
      </c>
      <c r="AT24" s="235">
        <f t="shared" si="9"/>
        <v>0</v>
      </c>
      <c r="AU24" s="235">
        <f t="shared" si="9"/>
        <v>0</v>
      </c>
      <c r="AV24" s="235">
        <f t="shared" si="9"/>
        <v>0</v>
      </c>
      <c r="AW24" s="235">
        <f t="shared" si="9"/>
        <v>0</v>
      </c>
      <c r="AX24" s="235">
        <f t="shared" si="9"/>
        <v>0</v>
      </c>
      <c r="AY24" s="235">
        <f t="shared" si="9"/>
        <v>0</v>
      </c>
      <c r="AZ24" s="235">
        <f t="shared" si="9"/>
        <v>0</v>
      </c>
      <c r="BA24" s="235">
        <f t="shared" si="9"/>
        <v>0</v>
      </c>
      <c r="BB24" s="235">
        <f t="shared" si="9"/>
        <v>0</v>
      </c>
      <c r="BC24" s="235">
        <f t="shared" si="9"/>
        <v>0</v>
      </c>
      <c r="BD24" s="235">
        <f t="shared" si="9"/>
        <v>0</v>
      </c>
      <c r="BE24" s="235">
        <f t="shared" si="9"/>
        <v>0</v>
      </c>
      <c r="BF24" s="235">
        <f t="shared" si="9"/>
        <v>0</v>
      </c>
      <c r="BG24" s="235">
        <f t="shared" si="9"/>
        <v>0</v>
      </c>
      <c r="BH24" s="235">
        <f t="shared" si="9"/>
        <v>0</v>
      </c>
      <c r="BI24" s="235">
        <f t="shared" si="9"/>
        <v>0</v>
      </c>
      <c r="BJ24" s="235">
        <f t="shared" si="9"/>
        <v>0</v>
      </c>
      <c r="BK24" s="235">
        <f t="shared" si="9"/>
        <v>0</v>
      </c>
      <c r="BL24" s="235">
        <f t="shared" si="9"/>
        <v>0</v>
      </c>
      <c r="BM24" s="235">
        <f t="shared" si="9"/>
        <v>0</v>
      </c>
      <c r="BN24" s="235">
        <f t="shared" si="9"/>
        <v>0</v>
      </c>
      <c r="BO24" s="235">
        <f t="shared" si="9"/>
        <v>0</v>
      </c>
      <c r="BP24" s="235">
        <f t="shared" si="9"/>
        <v>0</v>
      </c>
      <c r="BQ24" s="235">
        <f t="shared" si="9"/>
        <v>0</v>
      </c>
      <c r="BR24" s="235">
        <f t="shared" si="9"/>
        <v>0</v>
      </c>
      <c r="BS24" s="235">
        <f t="shared" si="9"/>
        <v>0</v>
      </c>
      <c r="BT24" s="235">
        <f t="shared" si="9"/>
        <v>0</v>
      </c>
      <c r="BU24" s="235">
        <f t="shared" si="9"/>
        <v>0</v>
      </c>
      <c r="BV24" s="235">
        <f t="shared" si="9"/>
        <v>0</v>
      </c>
      <c r="BW24" s="235">
        <f t="shared" si="9"/>
        <v>0</v>
      </c>
      <c r="BX24" s="235">
        <f t="shared" si="9"/>
        <v>0</v>
      </c>
      <c r="BY24" s="235">
        <f t="shared" si="9"/>
        <v>0</v>
      </c>
      <c r="BZ24" s="235">
        <f t="shared" si="9"/>
        <v>0</v>
      </c>
      <c r="CA24" s="235">
        <f t="shared" si="9"/>
        <v>0</v>
      </c>
      <c r="CB24" s="235">
        <f t="shared" si="9"/>
        <v>0</v>
      </c>
      <c r="CC24" s="235">
        <f t="shared" si="9"/>
        <v>0</v>
      </c>
      <c r="CD24" s="235">
        <f t="shared" si="9"/>
        <v>0</v>
      </c>
      <c r="CE24" s="235">
        <f t="shared" si="9"/>
        <v>0</v>
      </c>
      <c r="CF24" s="235">
        <f t="shared" si="9"/>
        <v>0</v>
      </c>
      <c r="CG24" s="235">
        <f t="shared" si="9"/>
        <v>0</v>
      </c>
      <c r="CH24" s="235">
        <f t="shared" si="9"/>
        <v>0</v>
      </c>
      <c r="CI24" s="235">
        <f t="shared" si="9"/>
        <v>0</v>
      </c>
      <c r="CJ24" s="235">
        <f t="shared" si="9"/>
        <v>0</v>
      </c>
      <c r="CK24" s="235">
        <f t="shared" si="9"/>
        <v>0</v>
      </c>
      <c r="CL24" s="235">
        <f t="shared" si="9"/>
        <v>0</v>
      </c>
      <c r="CM24" s="235">
        <f t="shared" si="9"/>
        <v>0</v>
      </c>
      <c r="CN24" s="235">
        <f t="shared" si="9"/>
        <v>0</v>
      </c>
      <c r="CO24" s="235">
        <f t="shared" si="9"/>
        <v>0</v>
      </c>
      <c r="CP24" s="235">
        <f t="shared" si="9"/>
        <v>0</v>
      </c>
      <c r="CQ24" s="235">
        <f t="shared" si="9"/>
        <v>0</v>
      </c>
      <c r="CR24" s="235">
        <f t="shared" si="9"/>
        <v>0</v>
      </c>
      <c r="CS24" s="235">
        <f t="shared" si="9"/>
        <v>0</v>
      </c>
      <c r="CT24" s="235">
        <f t="shared" si="9"/>
        <v>0</v>
      </c>
      <c r="CU24" s="235">
        <f t="shared" si="9"/>
        <v>0</v>
      </c>
      <c r="CV24" s="235">
        <f t="shared" si="9"/>
        <v>0</v>
      </c>
      <c r="CW24" s="235">
        <f t="shared" si="9"/>
        <v>0</v>
      </c>
      <c r="CX24" s="235">
        <f t="shared" si="9"/>
        <v>0</v>
      </c>
      <c r="CY24" s="235">
        <f t="shared" si="9"/>
        <v>0</v>
      </c>
      <c r="CZ24" s="235">
        <f t="shared" si="9"/>
        <v>0</v>
      </c>
      <c r="DA24" s="235">
        <f t="shared" si="9"/>
        <v>0</v>
      </c>
      <c r="DB24" s="235">
        <f t="shared" si="9"/>
        <v>0</v>
      </c>
      <c r="DC24" s="235">
        <f t="shared" si="9"/>
        <v>0</v>
      </c>
      <c r="DD24" s="235">
        <f t="shared" si="9"/>
        <v>0</v>
      </c>
      <c r="DE24" s="235">
        <f t="shared" si="9"/>
        <v>0</v>
      </c>
      <c r="DF24" s="235">
        <f t="shared" si="9"/>
        <v>0</v>
      </c>
      <c r="DG24" s="235">
        <f t="shared" si="9"/>
        <v>0</v>
      </c>
      <c r="DH24" s="235">
        <f t="shared" si="9"/>
        <v>0</v>
      </c>
      <c r="DI24" s="235">
        <f t="shared" si="9"/>
        <v>0</v>
      </c>
      <c r="DJ24" s="235">
        <f t="shared" si="9"/>
        <v>0</v>
      </c>
      <c r="DK24" s="235">
        <f t="shared" si="9"/>
        <v>0</v>
      </c>
      <c r="DL24" s="235">
        <f t="shared" si="9"/>
        <v>0</v>
      </c>
      <c r="DM24" s="235">
        <f t="shared" si="9"/>
        <v>0</v>
      </c>
      <c r="DN24" s="235">
        <f t="shared" si="9"/>
        <v>0</v>
      </c>
      <c r="DO24" s="235">
        <f t="shared" si="9"/>
        <v>0</v>
      </c>
      <c r="DP24" s="235">
        <f t="shared" si="9"/>
        <v>0</v>
      </c>
      <c r="DQ24" s="235">
        <f t="shared" si="9"/>
        <v>0</v>
      </c>
      <c r="DR24" s="235">
        <f t="shared" si="9"/>
        <v>0</v>
      </c>
      <c r="DS24" s="235">
        <f t="shared" si="9"/>
        <v>0</v>
      </c>
      <c r="DT24" s="235">
        <f t="shared" si="9"/>
        <v>0</v>
      </c>
      <c r="DU24" s="235">
        <f t="shared" si="9"/>
        <v>0</v>
      </c>
      <c r="DV24" s="235">
        <f t="shared" si="9"/>
        <v>0</v>
      </c>
      <c r="DW24" s="235">
        <f t="shared" si="9"/>
        <v>0</v>
      </c>
      <c r="DX24" s="235">
        <f t="shared" si="9"/>
        <v>0</v>
      </c>
      <c r="DY24" s="235">
        <f t="shared" si="9"/>
        <v>0</v>
      </c>
      <c r="DZ24" s="235">
        <f t="shared" si="9"/>
        <v>0</v>
      </c>
      <c r="EA24" s="235">
        <f t="shared" si="9"/>
        <v>0</v>
      </c>
      <c r="EB24" s="235">
        <f t="shared" si="9"/>
        <v>0</v>
      </c>
      <c r="EC24" s="235">
        <f t="shared" si="9"/>
        <v>0</v>
      </c>
      <c r="ED24" s="235">
        <f t="shared" si="9"/>
        <v>0</v>
      </c>
      <c r="EE24" s="235">
        <f t="shared" si="9"/>
        <v>0</v>
      </c>
      <c r="EF24" s="235">
        <f t="shared" si="9"/>
        <v>0</v>
      </c>
      <c r="EG24" s="235">
        <f t="shared" si="9"/>
        <v>0</v>
      </c>
      <c r="EH24" s="235">
        <f t="shared" si="9"/>
        <v>0</v>
      </c>
      <c r="EI24" s="235">
        <f t="shared" si="9"/>
        <v>0</v>
      </c>
      <c r="EJ24" s="235">
        <f t="shared" si="9"/>
        <v>0</v>
      </c>
      <c r="EK24" s="235">
        <f t="shared" si="9"/>
        <v>0</v>
      </c>
      <c r="EL24" s="235">
        <f t="shared" si="9"/>
        <v>0</v>
      </c>
      <c r="EM24" s="235">
        <f t="shared" si="9"/>
        <v>0</v>
      </c>
      <c r="EN24" s="235">
        <f t="shared" si="9"/>
        <v>0</v>
      </c>
      <c r="EO24" s="235">
        <f t="shared" si="9"/>
        <v>0</v>
      </c>
      <c r="EP24" s="235">
        <f t="shared" si="9"/>
        <v>0</v>
      </c>
    </row>
    <row r="25" spans="1:146" ht="14.25" x14ac:dyDescent="0.2">
      <c r="A25" s="233" t="s">
        <v>275</v>
      </c>
      <c r="B25" s="233"/>
      <c r="C25" s="235">
        <f t="shared" ref="C25:EP25" si="10">IF(MONTH($B$32)&amp;YEAR($B$32)=MONTH(C$2)&amp;YEAR(C$2),$B$33,0)</f>
        <v>0</v>
      </c>
      <c r="D25" s="235">
        <f t="shared" si="10"/>
        <v>0</v>
      </c>
      <c r="E25" s="235">
        <f t="shared" si="10"/>
        <v>0</v>
      </c>
      <c r="F25" s="235">
        <f t="shared" si="10"/>
        <v>0</v>
      </c>
      <c r="G25" s="235">
        <f t="shared" si="10"/>
        <v>0</v>
      </c>
      <c r="H25" s="235">
        <f t="shared" si="10"/>
        <v>0</v>
      </c>
      <c r="I25" s="235">
        <f t="shared" si="10"/>
        <v>0</v>
      </c>
      <c r="J25" s="235">
        <f t="shared" si="10"/>
        <v>0</v>
      </c>
      <c r="K25" s="235">
        <f t="shared" si="10"/>
        <v>0</v>
      </c>
      <c r="L25" s="235">
        <f t="shared" si="10"/>
        <v>0</v>
      </c>
      <c r="M25" s="235">
        <f t="shared" si="10"/>
        <v>0</v>
      </c>
      <c r="N25" s="235">
        <f t="shared" si="10"/>
        <v>0</v>
      </c>
      <c r="O25" s="235">
        <f t="shared" si="10"/>
        <v>0</v>
      </c>
      <c r="P25" s="235">
        <f t="shared" si="10"/>
        <v>0</v>
      </c>
      <c r="Q25" s="235">
        <f t="shared" si="10"/>
        <v>0</v>
      </c>
      <c r="R25" s="235">
        <f t="shared" si="10"/>
        <v>0</v>
      </c>
      <c r="S25" s="235">
        <f t="shared" si="10"/>
        <v>0</v>
      </c>
      <c r="T25" s="235">
        <f t="shared" si="10"/>
        <v>0</v>
      </c>
      <c r="U25" s="235">
        <f t="shared" si="10"/>
        <v>0</v>
      </c>
      <c r="V25" s="235">
        <f t="shared" si="10"/>
        <v>0</v>
      </c>
      <c r="W25" s="235">
        <f t="shared" si="10"/>
        <v>0</v>
      </c>
      <c r="X25" s="235">
        <f t="shared" si="10"/>
        <v>0</v>
      </c>
      <c r="Y25" s="235">
        <f t="shared" si="10"/>
        <v>0</v>
      </c>
      <c r="Z25" s="235">
        <f t="shared" si="10"/>
        <v>0</v>
      </c>
      <c r="AA25" s="235">
        <f t="shared" si="10"/>
        <v>0</v>
      </c>
      <c r="AB25" s="235">
        <f t="shared" si="10"/>
        <v>0</v>
      </c>
      <c r="AC25" s="235">
        <f t="shared" si="10"/>
        <v>0</v>
      </c>
      <c r="AD25" s="235">
        <f t="shared" si="10"/>
        <v>0</v>
      </c>
      <c r="AE25" s="235">
        <f t="shared" si="10"/>
        <v>0</v>
      </c>
      <c r="AF25" s="235">
        <f t="shared" si="10"/>
        <v>0</v>
      </c>
      <c r="AG25" s="235">
        <f t="shared" si="10"/>
        <v>0</v>
      </c>
      <c r="AH25" s="235">
        <f t="shared" si="10"/>
        <v>0</v>
      </c>
      <c r="AI25" s="235">
        <f t="shared" si="10"/>
        <v>0</v>
      </c>
      <c r="AJ25" s="235">
        <f t="shared" si="10"/>
        <v>0</v>
      </c>
      <c r="AK25" s="235">
        <f t="shared" si="10"/>
        <v>0</v>
      </c>
      <c r="AL25" s="235">
        <f t="shared" si="10"/>
        <v>0</v>
      </c>
      <c r="AM25" s="235">
        <f t="shared" si="10"/>
        <v>0</v>
      </c>
      <c r="AN25" s="235">
        <f t="shared" si="10"/>
        <v>0</v>
      </c>
      <c r="AO25" s="235">
        <f t="shared" si="10"/>
        <v>0</v>
      </c>
      <c r="AP25" s="235">
        <f t="shared" si="10"/>
        <v>0</v>
      </c>
      <c r="AQ25" s="235">
        <f t="shared" si="10"/>
        <v>0</v>
      </c>
      <c r="AR25" s="235">
        <f t="shared" si="10"/>
        <v>0</v>
      </c>
      <c r="AS25" s="235">
        <f t="shared" si="10"/>
        <v>0</v>
      </c>
      <c r="AT25" s="235">
        <f t="shared" si="10"/>
        <v>0</v>
      </c>
      <c r="AU25" s="235">
        <f t="shared" si="10"/>
        <v>0</v>
      </c>
      <c r="AV25" s="235">
        <f t="shared" si="10"/>
        <v>0</v>
      </c>
      <c r="AW25" s="235">
        <f t="shared" si="10"/>
        <v>0</v>
      </c>
      <c r="AX25" s="235">
        <f t="shared" si="10"/>
        <v>0</v>
      </c>
      <c r="AY25" s="235">
        <f t="shared" si="10"/>
        <v>0</v>
      </c>
      <c r="AZ25" s="235">
        <f t="shared" si="10"/>
        <v>0</v>
      </c>
      <c r="BA25" s="235">
        <f t="shared" si="10"/>
        <v>0</v>
      </c>
      <c r="BB25" s="235">
        <f t="shared" si="10"/>
        <v>0</v>
      </c>
      <c r="BC25" s="235">
        <f t="shared" si="10"/>
        <v>0</v>
      </c>
      <c r="BD25" s="235">
        <f t="shared" si="10"/>
        <v>0</v>
      </c>
      <c r="BE25" s="235">
        <f t="shared" si="10"/>
        <v>0</v>
      </c>
      <c r="BF25" s="235">
        <f t="shared" si="10"/>
        <v>0</v>
      </c>
      <c r="BG25" s="235">
        <f t="shared" si="10"/>
        <v>0</v>
      </c>
      <c r="BH25" s="235">
        <f t="shared" si="10"/>
        <v>0</v>
      </c>
      <c r="BI25" s="235">
        <f t="shared" si="10"/>
        <v>0</v>
      </c>
      <c r="BJ25" s="235">
        <f t="shared" si="10"/>
        <v>0</v>
      </c>
      <c r="BK25" s="235">
        <f t="shared" si="10"/>
        <v>0</v>
      </c>
      <c r="BL25" s="235">
        <f t="shared" si="10"/>
        <v>0</v>
      </c>
      <c r="BM25" s="235">
        <f t="shared" si="10"/>
        <v>0</v>
      </c>
      <c r="BN25" s="235">
        <f t="shared" si="10"/>
        <v>0</v>
      </c>
      <c r="BO25" s="235">
        <f t="shared" si="10"/>
        <v>0</v>
      </c>
      <c r="BP25" s="235">
        <f t="shared" si="10"/>
        <v>0</v>
      </c>
      <c r="BQ25" s="235">
        <f t="shared" si="10"/>
        <v>0</v>
      </c>
      <c r="BR25" s="235">
        <f t="shared" si="10"/>
        <v>0</v>
      </c>
      <c r="BS25" s="235">
        <f t="shared" si="10"/>
        <v>0</v>
      </c>
      <c r="BT25" s="235">
        <f t="shared" si="10"/>
        <v>0</v>
      </c>
      <c r="BU25" s="235">
        <f t="shared" si="10"/>
        <v>0</v>
      </c>
      <c r="BV25" s="235">
        <f t="shared" si="10"/>
        <v>0</v>
      </c>
      <c r="BW25" s="235">
        <f t="shared" si="10"/>
        <v>0</v>
      </c>
      <c r="BX25" s="235">
        <f t="shared" si="10"/>
        <v>0</v>
      </c>
      <c r="BY25" s="235">
        <f t="shared" si="10"/>
        <v>0</v>
      </c>
      <c r="BZ25" s="235">
        <f t="shared" si="10"/>
        <v>0</v>
      </c>
      <c r="CA25" s="235">
        <f t="shared" si="10"/>
        <v>0</v>
      </c>
      <c r="CB25" s="235">
        <f t="shared" si="10"/>
        <v>0</v>
      </c>
      <c r="CC25" s="235">
        <f t="shared" si="10"/>
        <v>0</v>
      </c>
      <c r="CD25" s="235">
        <f t="shared" si="10"/>
        <v>0</v>
      </c>
      <c r="CE25" s="235">
        <f t="shared" si="10"/>
        <v>0</v>
      </c>
      <c r="CF25" s="235">
        <f t="shared" si="10"/>
        <v>0</v>
      </c>
      <c r="CG25" s="235">
        <f t="shared" si="10"/>
        <v>0</v>
      </c>
      <c r="CH25" s="235">
        <f t="shared" si="10"/>
        <v>0</v>
      </c>
      <c r="CI25" s="235">
        <f t="shared" si="10"/>
        <v>0</v>
      </c>
      <c r="CJ25" s="235">
        <f t="shared" si="10"/>
        <v>0</v>
      </c>
      <c r="CK25" s="235">
        <f t="shared" si="10"/>
        <v>0</v>
      </c>
      <c r="CL25" s="235">
        <f t="shared" si="10"/>
        <v>0</v>
      </c>
      <c r="CM25" s="235">
        <f t="shared" si="10"/>
        <v>0</v>
      </c>
      <c r="CN25" s="235">
        <f t="shared" si="10"/>
        <v>0</v>
      </c>
      <c r="CO25" s="235">
        <f t="shared" si="10"/>
        <v>0</v>
      </c>
      <c r="CP25" s="235">
        <f t="shared" si="10"/>
        <v>0</v>
      </c>
      <c r="CQ25" s="235">
        <f t="shared" si="10"/>
        <v>0</v>
      </c>
      <c r="CR25" s="235">
        <f t="shared" si="10"/>
        <v>0</v>
      </c>
      <c r="CS25" s="235">
        <f t="shared" si="10"/>
        <v>0</v>
      </c>
      <c r="CT25" s="235">
        <f t="shared" si="10"/>
        <v>0</v>
      </c>
      <c r="CU25" s="235">
        <f t="shared" si="10"/>
        <v>0</v>
      </c>
      <c r="CV25" s="235">
        <f t="shared" si="10"/>
        <v>0</v>
      </c>
      <c r="CW25" s="235">
        <f t="shared" si="10"/>
        <v>0</v>
      </c>
      <c r="CX25" s="235">
        <f t="shared" si="10"/>
        <v>0</v>
      </c>
      <c r="CY25" s="235">
        <f t="shared" si="10"/>
        <v>0</v>
      </c>
      <c r="CZ25" s="235">
        <f t="shared" si="10"/>
        <v>0</v>
      </c>
      <c r="DA25" s="235">
        <f t="shared" si="10"/>
        <v>0</v>
      </c>
      <c r="DB25" s="235">
        <f t="shared" si="10"/>
        <v>0</v>
      </c>
      <c r="DC25" s="235">
        <f t="shared" si="10"/>
        <v>0</v>
      </c>
      <c r="DD25" s="235">
        <f t="shared" si="10"/>
        <v>0</v>
      </c>
      <c r="DE25" s="235">
        <f t="shared" si="10"/>
        <v>0</v>
      </c>
      <c r="DF25" s="235">
        <f t="shared" si="10"/>
        <v>0</v>
      </c>
      <c r="DG25" s="235">
        <f t="shared" si="10"/>
        <v>0</v>
      </c>
      <c r="DH25" s="235">
        <f t="shared" si="10"/>
        <v>0</v>
      </c>
      <c r="DI25" s="235">
        <f t="shared" si="10"/>
        <v>0</v>
      </c>
      <c r="DJ25" s="235">
        <f t="shared" si="10"/>
        <v>0</v>
      </c>
      <c r="DK25" s="235">
        <f t="shared" si="10"/>
        <v>0</v>
      </c>
      <c r="DL25" s="235">
        <f t="shared" si="10"/>
        <v>0</v>
      </c>
      <c r="DM25" s="235">
        <f t="shared" si="10"/>
        <v>0</v>
      </c>
      <c r="DN25" s="235">
        <f t="shared" si="10"/>
        <v>0</v>
      </c>
      <c r="DO25" s="235">
        <f t="shared" si="10"/>
        <v>0</v>
      </c>
      <c r="DP25" s="235">
        <f t="shared" si="10"/>
        <v>0</v>
      </c>
      <c r="DQ25" s="235">
        <f t="shared" si="10"/>
        <v>0</v>
      </c>
      <c r="DR25" s="235">
        <f t="shared" si="10"/>
        <v>0</v>
      </c>
      <c r="DS25" s="235">
        <f t="shared" si="10"/>
        <v>0</v>
      </c>
      <c r="DT25" s="235">
        <f t="shared" si="10"/>
        <v>0</v>
      </c>
      <c r="DU25" s="235">
        <f t="shared" si="10"/>
        <v>0</v>
      </c>
      <c r="DV25" s="235">
        <f t="shared" si="10"/>
        <v>0</v>
      </c>
      <c r="DW25" s="235">
        <f t="shared" si="10"/>
        <v>0</v>
      </c>
      <c r="DX25" s="235">
        <f t="shared" si="10"/>
        <v>0</v>
      </c>
      <c r="DY25" s="235">
        <f t="shared" si="10"/>
        <v>0</v>
      </c>
      <c r="DZ25" s="235">
        <f t="shared" si="10"/>
        <v>0</v>
      </c>
      <c r="EA25" s="235">
        <f t="shared" si="10"/>
        <v>0</v>
      </c>
      <c r="EB25" s="235">
        <f t="shared" si="10"/>
        <v>0</v>
      </c>
      <c r="EC25" s="235">
        <f t="shared" si="10"/>
        <v>0</v>
      </c>
      <c r="ED25" s="235">
        <f t="shared" si="10"/>
        <v>0</v>
      </c>
      <c r="EE25" s="235">
        <f t="shared" si="10"/>
        <v>0</v>
      </c>
      <c r="EF25" s="235">
        <f t="shared" si="10"/>
        <v>0</v>
      </c>
      <c r="EG25" s="235">
        <f t="shared" si="10"/>
        <v>0</v>
      </c>
      <c r="EH25" s="235">
        <f t="shared" si="10"/>
        <v>0</v>
      </c>
      <c r="EI25" s="235">
        <f t="shared" si="10"/>
        <v>0</v>
      </c>
      <c r="EJ25" s="235">
        <f t="shared" si="10"/>
        <v>0</v>
      </c>
      <c r="EK25" s="235">
        <f t="shared" si="10"/>
        <v>0</v>
      </c>
      <c r="EL25" s="235">
        <f t="shared" si="10"/>
        <v>0</v>
      </c>
      <c r="EM25" s="235">
        <f t="shared" si="10"/>
        <v>0</v>
      </c>
      <c r="EN25" s="235">
        <f t="shared" si="10"/>
        <v>0</v>
      </c>
      <c r="EO25" s="235">
        <f t="shared" si="10"/>
        <v>0</v>
      </c>
      <c r="EP25" s="235">
        <f t="shared" si="10"/>
        <v>0</v>
      </c>
    </row>
    <row r="26" spans="1:146" ht="14.25" x14ac:dyDescent="0.2">
      <c r="A26" s="236" t="s">
        <v>255</v>
      </c>
      <c r="B26" s="233"/>
      <c r="C26" s="235">
        <f t="shared" ref="C26:EP26" si="11">-IF(AND(C$1&gt;$B$35,C$1&lt;=($B$34+$B$35)),$B$33/$B$34,0)</f>
        <v>0</v>
      </c>
      <c r="D26" s="235">
        <f t="shared" si="11"/>
        <v>0</v>
      </c>
      <c r="E26" s="235">
        <f t="shared" si="11"/>
        <v>0</v>
      </c>
      <c r="F26" s="235">
        <f t="shared" si="11"/>
        <v>0</v>
      </c>
      <c r="G26" s="235">
        <f t="shared" si="11"/>
        <v>0</v>
      </c>
      <c r="H26" s="235">
        <f t="shared" si="11"/>
        <v>0</v>
      </c>
      <c r="I26" s="235">
        <f t="shared" si="11"/>
        <v>0</v>
      </c>
      <c r="J26" s="235">
        <f t="shared" si="11"/>
        <v>0</v>
      </c>
      <c r="K26" s="235">
        <f t="shared" si="11"/>
        <v>0</v>
      </c>
      <c r="L26" s="235">
        <f t="shared" si="11"/>
        <v>0</v>
      </c>
      <c r="M26" s="235">
        <f t="shared" si="11"/>
        <v>0</v>
      </c>
      <c r="N26" s="235">
        <f t="shared" si="11"/>
        <v>0</v>
      </c>
      <c r="O26" s="235">
        <f t="shared" si="11"/>
        <v>0</v>
      </c>
      <c r="P26" s="235">
        <f t="shared" si="11"/>
        <v>0</v>
      </c>
      <c r="Q26" s="235">
        <f t="shared" si="11"/>
        <v>0</v>
      </c>
      <c r="R26" s="235">
        <f t="shared" si="11"/>
        <v>0</v>
      </c>
      <c r="S26" s="235">
        <f t="shared" si="11"/>
        <v>0</v>
      </c>
      <c r="T26" s="235">
        <f t="shared" si="11"/>
        <v>0</v>
      </c>
      <c r="U26" s="235">
        <f t="shared" si="11"/>
        <v>0</v>
      </c>
      <c r="V26" s="235">
        <f t="shared" si="11"/>
        <v>0</v>
      </c>
      <c r="W26" s="235">
        <f t="shared" si="11"/>
        <v>0</v>
      </c>
      <c r="X26" s="235">
        <f t="shared" si="11"/>
        <v>0</v>
      </c>
      <c r="Y26" s="235">
        <f t="shared" si="11"/>
        <v>0</v>
      </c>
      <c r="Z26" s="235">
        <f t="shared" si="11"/>
        <v>0</v>
      </c>
      <c r="AA26" s="235">
        <f t="shared" si="11"/>
        <v>0</v>
      </c>
      <c r="AB26" s="235">
        <f t="shared" si="11"/>
        <v>0</v>
      </c>
      <c r="AC26" s="235">
        <f t="shared" si="11"/>
        <v>0</v>
      </c>
      <c r="AD26" s="235">
        <f t="shared" si="11"/>
        <v>0</v>
      </c>
      <c r="AE26" s="235">
        <f t="shared" si="11"/>
        <v>0</v>
      </c>
      <c r="AF26" s="235">
        <f t="shared" si="11"/>
        <v>0</v>
      </c>
      <c r="AG26" s="235">
        <f t="shared" si="11"/>
        <v>0</v>
      </c>
      <c r="AH26" s="235">
        <f t="shared" si="11"/>
        <v>0</v>
      </c>
      <c r="AI26" s="235">
        <f t="shared" si="11"/>
        <v>0</v>
      </c>
      <c r="AJ26" s="235">
        <f t="shared" si="11"/>
        <v>0</v>
      </c>
      <c r="AK26" s="235">
        <f t="shared" si="11"/>
        <v>0</v>
      </c>
      <c r="AL26" s="235">
        <f t="shared" si="11"/>
        <v>0</v>
      </c>
      <c r="AM26" s="235">
        <f t="shared" si="11"/>
        <v>0</v>
      </c>
      <c r="AN26" s="235">
        <f t="shared" si="11"/>
        <v>0</v>
      </c>
      <c r="AO26" s="235">
        <f t="shared" si="11"/>
        <v>0</v>
      </c>
      <c r="AP26" s="235">
        <f t="shared" si="11"/>
        <v>0</v>
      </c>
      <c r="AQ26" s="235">
        <f t="shared" si="11"/>
        <v>0</v>
      </c>
      <c r="AR26" s="235">
        <f t="shared" si="11"/>
        <v>0</v>
      </c>
      <c r="AS26" s="235">
        <f t="shared" si="11"/>
        <v>0</v>
      </c>
      <c r="AT26" s="235">
        <f t="shared" si="11"/>
        <v>0</v>
      </c>
      <c r="AU26" s="235">
        <f t="shared" si="11"/>
        <v>0</v>
      </c>
      <c r="AV26" s="235">
        <f t="shared" si="11"/>
        <v>0</v>
      </c>
      <c r="AW26" s="235">
        <f t="shared" si="11"/>
        <v>0</v>
      </c>
      <c r="AX26" s="235">
        <f t="shared" si="11"/>
        <v>0</v>
      </c>
      <c r="AY26" s="235">
        <f t="shared" si="11"/>
        <v>0</v>
      </c>
      <c r="AZ26" s="235">
        <f t="shared" si="11"/>
        <v>0</v>
      </c>
      <c r="BA26" s="235">
        <f t="shared" si="11"/>
        <v>0</v>
      </c>
      <c r="BB26" s="235">
        <f t="shared" si="11"/>
        <v>0</v>
      </c>
      <c r="BC26" s="235">
        <f t="shared" si="11"/>
        <v>0</v>
      </c>
      <c r="BD26" s="235">
        <f t="shared" si="11"/>
        <v>0</v>
      </c>
      <c r="BE26" s="235">
        <f t="shared" si="11"/>
        <v>0</v>
      </c>
      <c r="BF26" s="235">
        <f t="shared" si="11"/>
        <v>0</v>
      </c>
      <c r="BG26" s="235">
        <f t="shared" si="11"/>
        <v>0</v>
      </c>
      <c r="BH26" s="235">
        <f t="shared" si="11"/>
        <v>0</v>
      </c>
      <c r="BI26" s="235">
        <f t="shared" si="11"/>
        <v>0</v>
      </c>
      <c r="BJ26" s="235">
        <f t="shared" si="11"/>
        <v>0</v>
      </c>
      <c r="BK26" s="235">
        <f t="shared" si="11"/>
        <v>0</v>
      </c>
      <c r="BL26" s="235">
        <f t="shared" si="11"/>
        <v>0</v>
      </c>
      <c r="BM26" s="235">
        <f t="shared" si="11"/>
        <v>0</v>
      </c>
      <c r="BN26" s="235">
        <f t="shared" si="11"/>
        <v>0</v>
      </c>
      <c r="BO26" s="235">
        <f t="shared" si="11"/>
        <v>0</v>
      </c>
      <c r="BP26" s="235">
        <f t="shared" si="11"/>
        <v>0</v>
      </c>
      <c r="BQ26" s="235">
        <f t="shared" si="11"/>
        <v>0</v>
      </c>
      <c r="BR26" s="235">
        <f t="shared" si="11"/>
        <v>0</v>
      </c>
      <c r="BS26" s="235">
        <f t="shared" si="11"/>
        <v>0</v>
      </c>
      <c r="BT26" s="235">
        <f t="shared" si="11"/>
        <v>0</v>
      </c>
      <c r="BU26" s="235">
        <f t="shared" si="11"/>
        <v>0</v>
      </c>
      <c r="BV26" s="235">
        <f t="shared" si="11"/>
        <v>0</v>
      </c>
      <c r="BW26" s="235">
        <f t="shared" si="11"/>
        <v>0</v>
      </c>
      <c r="BX26" s="235">
        <f t="shared" si="11"/>
        <v>0</v>
      </c>
      <c r="BY26" s="235">
        <f t="shared" si="11"/>
        <v>0</v>
      </c>
      <c r="BZ26" s="235">
        <f t="shared" si="11"/>
        <v>0</v>
      </c>
      <c r="CA26" s="235">
        <f t="shared" si="11"/>
        <v>0</v>
      </c>
      <c r="CB26" s="235">
        <f t="shared" si="11"/>
        <v>0</v>
      </c>
      <c r="CC26" s="235">
        <f t="shared" si="11"/>
        <v>0</v>
      </c>
      <c r="CD26" s="235">
        <f t="shared" si="11"/>
        <v>0</v>
      </c>
      <c r="CE26" s="235">
        <f t="shared" si="11"/>
        <v>0</v>
      </c>
      <c r="CF26" s="235">
        <f t="shared" si="11"/>
        <v>0</v>
      </c>
      <c r="CG26" s="235">
        <f t="shared" si="11"/>
        <v>0</v>
      </c>
      <c r="CH26" s="235">
        <f t="shared" si="11"/>
        <v>0</v>
      </c>
      <c r="CI26" s="235">
        <f t="shared" si="11"/>
        <v>0</v>
      </c>
      <c r="CJ26" s="235">
        <f t="shared" si="11"/>
        <v>0</v>
      </c>
      <c r="CK26" s="235">
        <f t="shared" si="11"/>
        <v>0</v>
      </c>
      <c r="CL26" s="235">
        <f t="shared" si="11"/>
        <v>0</v>
      </c>
      <c r="CM26" s="235">
        <f t="shared" si="11"/>
        <v>0</v>
      </c>
      <c r="CN26" s="235">
        <f t="shared" si="11"/>
        <v>0</v>
      </c>
      <c r="CO26" s="235">
        <f t="shared" si="11"/>
        <v>0</v>
      </c>
      <c r="CP26" s="235">
        <f t="shared" si="11"/>
        <v>0</v>
      </c>
      <c r="CQ26" s="235">
        <f t="shared" si="11"/>
        <v>0</v>
      </c>
      <c r="CR26" s="235">
        <f t="shared" si="11"/>
        <v>0</v>
      </c>
      <c r="CS26" s="235">
        <f t="shared" si="11"/>
        <v>0</v>
      </c>
      <c r="CT26" s="235">
        <f t="shared" si="11"/>
        <v>0</v>
      </c>
      <c r="CU26" s="235">
        <f t="shared" si="11"/>
        <v>0</v>
      </c>
      <c r="CV26" s="235">
        <f t="shared" si="11"/>
        <v>0</v>
      </c>
      <c r="CW26" s="235">
        <f t="shared" si="11"/>
        <v>0</v>
      </c>
      <c r="CX26" s="235">
        <f t="shared" si="11"/>
        <v>0</v>
      </c>
      <c r="CY26" s="235">
        <f t="shared" si="11"/>
        <v>0</v>
      </c>
      <c r="CZ26" s="235">
        <f t="shared" si="11"/>
        <v>0</v>
      </c>
      <c r="DA26" s="235">
        <f t="shared" si="11"/>
        <v>0</v>
      </c>
      <c r="DB26" s="235">
        <f t="shared" si="11"/>
        <v>0</v>
      </c>
      <c r="DC26" s="235">
        <f t="shared" si="11"/>
        <v>0</v>
      </c>
      <c r="DD26" s="235">
        <f t="shared" si="11"/>
        <v>0</v>
      </c>
      <c r="DE26" s="235">
        <f t="shared" si="11"/>
        <v>0</v>
      </c>
      <c r="DF26" s="235">
        <f t="shared" si="11"/>
        <v>0</v>
      </c>
      <c r="DG26" s="235">
        <f t="shared" si="11"/>
        <v>0</v>
      </c>
      <c r="DH26" s="235">
        <f t="shared" si="11"/>
        <v>0</v>
      </c>
      <c r="DI26" s="235">
        <f t="shared" si="11"/>
        <v>0</v>
      </c>
      <c r="DJ26" s="235">
        <f t="shared" si="11"/>
        <v>0</v>
      </c>
      <c r="DK26" s="235">
        <f t="shared" si="11"/>
        <v>0</v>
      </c>
      <c r="DL26" s="235">
        <f t="shared" si="11"/>
        <v>0</v>
      </c>
      <c r="DM26" s="235">
        <f t="shared" si="11"/>
        <v>0</v>
      </c>
      <c r="DN26" s="235">
        <f t="shared" si="11"/>
        <v>0</v>
      </c>
      <c r="DO26" s="235">
        <f t="shared" si="11"/>
        <v>0</v>
      </c>
      <c r="DP26" s="235">
        <f t="shared" si="11"/>
        <v>0</v>
      </c>
      <c r="DQ26" s="235">
        <f t="shared" si="11"/>
        <v>0</v>
      </c>
      <c r="DR26" s="235">
        <f t="shared" si="11"/>
        <v>0</v>
      </c>
      <c r="DS26" s="235">
        <f t="shared" si="11"/>
        <v>0</v>
      </c>
      <c r="DT26" s="235">
        <f t="shared" si="11"/>
        <v>0</v>
      </c>
      <c r="DU26" s="235">
        <f t="shared" si="11"/>
        <v>0</v>
      </c>
      <c r="DV26" s="235">
        <f t="shared" si="11"/>
        <v>0</v>
      </c>
      <c r="DW26" s="235">
        <f t="shared" si="11"/>
        <v>0</v>
      </c>
      <c r="DX26" s="235">
        <f t="shared" si="11"/>
        <v>0</v>
      </c>
      <c r="DY26" s="235">
        <f t="shared" si="11"/>
        <v>0</v>
      </c>
      <c r="DZ26" s="235">
        <f t="shared" si="11"/>
        <v>0</v>
      </c>
      <c r="EA26" s="235">
        <f t="shared" si="11"/>
        <v>0</v>
      </c>
      <c r="EB26" s="235">
        <f t="shared" si="11"/>
        <v>0</v>
      </c>
      <c r="EC26" s="235">
        <f t="shared" si="11"/>
        <v>0</v>
      </c>
      <c r="ED26" s="235">
        <f t="shared" si="11"/>
        <v>0</v>
      </c>
      <c r="EE26" s="235">
        <f t="shared" si="11"/>
        <v>0</v>
      </c>
      <c r="EF26" s="235">
        <f t="shared" si="11"/>
        <v>0</v>
      </c>
      <c r="EG26" s="235">
        <f t="shared" si="11"/>
        <v>0</v>
      </c>
      <c r="EH26" s="235">
        <f t="shared" si="11"/>
        <v>0</v>
      </c>
      <c r="EI26" s="235">
        <f t="shared" si="11"/>
        <v>0</v>
      </c>
      <c r="EJ26" s="235">
        <f t="shared" si="11"/>
        <v>0</v>
      </c>
      <c r="EK26" s="235">
        <f t="shared" si="11"/>
        <v>0</v>
      </c>
      <c r="EL26" s="235">
        <f t="shared" si="11"/>
        <v>0</v>
      </c>
      <c r="EM26" s="235">
        <f t="shared" si="11"/>
        <v>0</v>
      </c>
      <c r="EN26" s="235">
        <f t="shared" si="11"/>
        <v>0</v>
      </c>
      <c r="EO26" s="235">
        <f t="shared" si="11"/>
        <v>0</v>
      </c>
      <c r="EP26" s="235">
        <f t="shared" si="11"/>
        <v>0</v>
      </c>
    </row>
    <row r="27" spans="1:146" ht="14.25" x14ac:dyDescent="0.2">
      <c r="A27" s="233" t="s">
        <v>256</v>
      </c>
      <c r="B27" s="233"/>
      <c r="C27" s="235">
        <f t="shared" ref="C27:EP27" si="12">IF(AND(C$1&gt;$B$35,$B$35&gt;=0),C$24*$B$36/12,0)</f>
        <v>0</v>
      </c>
      <c r="D27" s="235">
        <f t="shared" si="12"/>
        <v>0</v>
      </c>
      <c r="E27" s="235">
        <f t="shared" si="12"/>
        <v>0</v>
      </c>
      <c r="F27" s="235">
        <f t="shared" si="12"/>
        <v>0</v>
      </c>
      <c r="G27" s="235">
        <f t="shared" si="12"/>
        <v>0</v>
      </c>
      <c r="H27" s="235">
        <f t="shared" si="12"/>
        <v>0</v>
      </c>
      <c r="I27" s="235">
        <f t="shared" si="12"/>
        <v>0</v>
      </c>
      <c r="J27" s="235">
        <f t="shared" si="12"/>
        <v>0</v>
      </c>
      <c r="K27" s="235">
        <f t="shared" si="12"/>
        <v>0</v>
      </c>
      <c r="L27" s="235">
        <f t="shared" si="12"/>
        <v>0</v>
      </c>
      <c r="M27" s="235">
        <f t="shared" si="12"/>
        <v>0</v>
      </c>
      <c r="N27" s="235">
        <f t="shared" si="12"/>
        <v>0</v>
      </c>
      <c r="O27" s="235">
        <f t="shared" si="12"/>
        <v>0</v>
      </c>
      <c r="P27" s="235">
        <f t="shared" si="12"/>
        <v>0</v>
      </c>
      <c r="Q27" s="235">
        <f t="shared" si="12"/>
        <v>0</v>
      </c>
      <c r="R27" s="235">
        <f t="shared" si="12"/>
        <v>0</v>
      </c>
      <c r="S27" s="235">
        <f t="shared" si="12"/>
        <v>0</v>
      </c>
      <c r="T27" s="235">
        <f t="shared" si="12"/>
        <v>0</v>
      </c>
      <c r="U27" s="235">
        <f t="shared" si="12"/>
        <v>0</v>
      </c>
      <c r="V27" s="235">
        <f t="shared" si="12"/>
        <v>0</v>
      </c>
      <c r="W27" s="235">
        <f t="shared" si="12"/>
        <v>0</v>
      </c>
      <c r="X27" s="235">
        <f t="shared" si="12"/>
        <v>0</v>
      </c>
      <c r="Y27" s="235">
        <f t="shared" si="12"/>
        <v>0</v>
      </c>
      <c r="Z27" s="235">
        <f t="shared" si="12"/>
        <v>0</v>
      </c>
      <c r="AA27" s="235">
        <f t="shared" si="12"/>
        <v>0</v>
      </c>
      <c r="AB27" s="235">
        <f t="shared" si="12"/>
        <v>0</v>
      </c>
      <c r="AC27" s="235">
        <f t="shared" si="12"/>
        <v>0</v>
      </c>
      <c r="AD27" s="235">
        <f t="shared" si="12"/>
        <v>0</v>
      </c>
      <c r="AE27" s="235">
        <f t="shared" si="12"/>
        <v>0</v>
      </c>
      <c r="AF27" s="235">
        <f t="shared" si="12"/>
        <v>0</v>
      </c>
      <c r="AG27" s="235">
        <f t="shared" si="12"/>
        <v>0</v>
      </c>
      <c r="AH27" s="235">
        <f t="shared" si="12"/>
        <v>0</v>
      </c>
      <c r="AI27" s="235">
        <f t="shared" si="12"/>
        <v>0</v>
      </c>
      <c r="AJ27" s="235">
        <f t="shared" si="12"/>
        <v>0</v>
      </c>
      <c r="AK27" s="235">
        <f t="shared" si="12"/>
        <v>0</v>
      </c>
      <c r="AL27" s="235">
        <f t="shared" si="12"/>
        <v>0</v>
      </c>
      <c r="AM27" s="235">
        <f t="shared" si="12"/>
        <v>0</v>
      </c>
      <c r="AN27" s="235">
        <f t="shared" si="12"/>
        <v>0</v>
      </c>
      <c r="AO27" s="235">
        <f t="shared" si="12"/>
        <v>0</v>
      </c>
      <c r="AP27" s="235">
        <f t="shared" si="12"/>
        <v>0</v>
      </c>
      <c r="AQ27" s="235">
        <f t="shared" si="12"/>
        <v>0</v>
      </c>
      <c r="AR27" s="235">
        <f t="shared" si="12"/>
        <v>0</v>
      </c>
      <c r="AS27" s="235">
        <f t="shared" si="12"/>
        <v>0</v>
      </c>
      <c r="AT27" s="235">
        <f t="shared" si="12"/>
        <v>0</v>
      </c>
      <c r="AU27" s="235">
        <f t="shared" si="12"/>
        <v>0</v>
      </c>
      <c r="AV27" s="235">
        <f t="shared" si="12"/>
        <v>0</v>
      </c>
      <c r="AW27" s="235">
        <f t="shared" si="12"/>
        <v>0</v>
      </c>
      <c r="AX27" s="235">
        <f t="shared" si="12"/>
        <v>0</v>
      </c>
      <c r="AY27" s="235">
        <f t="shared" si="12"/>
        <v>0</v>
      </c>
      <c r="AZ27" s="235">
        <f t="shared" si="12"/>
        <v>0</v>
      </c>
      <c r="BA27" s="235">
        <f t="shared" si="12"/>
        <v>0</v>
      </c>
      <c r="BB27" s="235">
        <f t="shared" si="12"/>
        <v>0</v>
      </c>
      <c r="BC27" s="235">
        <f t="shared" si="12"/>
        <v>0</v>
      </c>
      <c r="BD27" s="235">
        <f t="shared" si="12"/>
        <v>0</v>
      </c>
      <c r="BE27" s="235">
        <f t="shared" si="12"/>
        <v>0</v>
      </c>
      <c r="BF27" s="235">
        <f t="shared" si="12"/>
        <v>0</v>
      </c>
      <c r="BG27" s="235">
        <f t="shared" si="12"/>
        <v>0</v>
      </c>
      <c r="BH27" s="235">
        <f t="shared" si="12"/>
        <v>0</v>
      </c>
      <c r="BI27" s="235">
        <f t="shared" si="12"/>
        <v>0</v>
      </c>
      <c r="BJ27" s="235">
        <f t="shared" si="12"/>
        <v>0</v>
      </c>
      <c r="BK27" s="235">
        <f t="shared" si="12"/>
        <v>0</v>
      </c>
      <c r="BL27" s="235">
        <f t="shared" si="12"/>
        <v>0</v>
      </c>
      <c r="BM27" s="235">
        <f t="shared" si="12"/>
        <v>0</v>
      </c>
      <c r="BN27" s="235">
        <f t="shared" si="12"/>
        <v>0</v>
      </c>
      <c r="BO27" s="235">
        <f t="shared" si="12"/>
        <v>0</v>
      </c>
      <c r="BP27" s="235">
        <f t="shared" si="12"/>
        <v>0</v>
      </c>
      <c r="BQ27" s="235">
        <f t="shared" si="12"/>
        <v>0</v>
      </c>
      <c r="BR27" s="235">
        <f t="shared" si="12"/>
        <v>0</v>
      </c>
      <c r="BS27" s="235">
        <f t="shared" si="12"/>
        <v>0</v>
      </c>
      <c r="BT27" s="235">
        <f t="shared" si="12"/>
        <v>0</v>
      </c>
      <c r="BU27" s="235">
        <f t="shared" si="12"/>
        <v>0</v>
      </c>
      <c r="BV27" s="235">
        <f t="shared" si="12"/>
        <v>0</v>
      </c>
      <c r="BW27" s="235">
        <f t="shared" si="12"/>
        <v>0</v>
      </c>
      <c r="BX27" s="235">
        <f t="shared" si="12"/>
        <v>0</v>
      </c>
      <c r="BY27" s="235">
        <f t="shared" si="12"/>
        <v>0</v>
      </c>
      <c r="BZ27" s="235">
        <f t="shared" si="12"/>
        <v>0</v>
      </c>
      <c r="CA27" s="235">
        <f t="shared" si="12"/>
        <v>0</v>
      </c>
      <c r="CB27" s="235">
        <f t="shared" si="12"/>
        <v>0</v>
      </c>
      <c r="CC27" s="235">
        <f t="shared" si="12"/>
        <v>0</v>
      </c>
      <c r="CD27" s="235">
        <f t="shared" si="12"/>
        <v>0</v>
      </c>
      <c r="CE27" s="235">
        <f t="shared" si="12"/>
        <v>0</v>
      </c>
      <c r="CF27" s="235">
        <f t="shared" si="12"/>
        <v>0</v>
      </c>
      <c r="CG27" s="235">
        <f t="shared" si="12"/>
        <v>0</v>
      </c>
      <c r="CH27" s="235">
        <f t="shared" si="12"/>
        <v>0</v>
      </c>
      <c r="CI27" s="235">
        <f t="shared" si="12"/>
        <v>0</v>
      </c>
      <c r="CJ27" s="235">
        <f t="shared" si="12"/>
        <v>0</v>
      </c>
      <c r="CK27" s="235">
        <f t="shared" si="12"/>
        <v>0</v>
      </c>
      <c r="CL27" s="235">
        <f t="shared" si="12"/>
        <v>0</v>
      </c>
      <c r="CM27" s="235">
        <f t="shared" si="12"/>
        <v>0</v>
      </c>
      <c r="CN27" s="235">
        <f t="shared" si="12"/>
        <v>0</v>
      </c>
      <c r="CO27" s="235">
        <f t="shared" si="12"/>
        <v>0</v>
      </c>
      <c r="CP27" s="235">
        <f t="shared" si="12"/>
        <v>0</v>
      </c>
      <c r="CQ27" s="235">
        <f t="shared" si="12"/>
        <v>0</v>
      </c>
      <c r="CR27" s="235">
        <f t="shared" si="12"/>
        <v>0</v>
      </c>
      <c r="CS27" s="235">
        <f t="shared" si="12"/>
        <v>0</v>
      </c>
      <c r="CT27" s="235">
        <f t="shared" si="12"/>
        <v>0</v>
      </c>
      <c r="CU27" s="235">
        <f t="shared" si="12"/>
        <v>0</v>
      </c>
      <c r="CV27" s="235">
        <f t="shared" si="12"/>
        <v>0</v>
      </c>
      <c r="CW27" s="235">
        <f t="shared" si="12"/>
        <v>0</v>
      </c>
      <c r="CX27" s="235">
        <f t="shared" si="12"/>
        <v>0</v>
      </c>
      <c r="CY27" s="235">
        <f t="shared" si="12"/>
        <v>0</v>
      </c>
      <c r="CZ27" s="235">
        <f t="shared" si="12"/>
        <v>0</v>
      </c>
      <c r="DA27" s="235">
        <f t="shared" si="12"/>
        <v>0</v>
      </c>
      <c r="DB27" s="235">
        <f t="shared" si="12"/>
        <v>0</v>
      </c>
      <c r="DC27" s="235">
        <f t="shared" si="12"/>
        <v>0</v>
      </c>
      <c r="DD27" s="235">
        <f t="shared" si="12"/>
        <v>0</v>
      </c>
      <c r="DE27" s="235">
        <f t="shared" si="12"/>
        <v>0</v>
      </c>
      <c r="DF27" s="235">
        <f t="shared" si="12"/>
        <v>0</v>
      </c>
      <c r="DG27" s="235">
        <f t="shared" si="12"/>
        <v>0</v>
      </c>
      <c r="DH27" s="235">
        <f t="shared" si="12"/>
        <v>0</v>
      </c>
      <c r="DI27" s="235">
        <f t="shared" si="12"/>
        <v>0</v>
      </c>
      <c r="DJ27" s="235">
        <f t="shared" si="12"/>
        <v>0</v>
      </c>
      <c r="DK27" s="235">
        <f t="shared" si="12"/>
        <v>0</v>
      </c>
      <c r="DL27" s="235">
        <f t="shared" si="12"/>
        <v>0</v>
      </c>
      <c r="DM27" s="235">
        <f t="shared" si="12"/>
        <v>0</v>
      </c>
      <c r="DN27" s="235">
        <f t="shared" si="12"/>
        <v>0</v>
      </c>
      <c r="DO27" s="235">
        <f t="shared" si="12"/>
        <v>0</v>
      </c>
      <c r="DP27" s="235">
        <f t="shared" si="12"/>
        <v>0</v>
      </c>
      <c r="DQ27" s="235">
        <f t="shared" si="12"/>
        <v>0</v>
      </c>
      <c r="DR27" s="235">
        <f t="shared" si="12"/>
        <v>0</v>
      </c>
      <c r="DS27" s="235">
        <f t="shared" si="12"/>
        <v>0</v>
      </c>
      <c r="DT27" s="235">
        <f t="shared" si="12"/>
        <v>0</v>
      </c>
      <c r="DU27" s="235">
        <f t="shared" si="12"/>
        <v>0</v>
      </c>
      <c r="DV27" s="235">
        <f t="shared" si="12"/>
        <v>0</v>
      </c>
      <c r="DW27" s="235">
        <f t="shared" si="12"/>
        <v>0</v>
      </c>
      <c r="DX27" s="235">
        <f t="shared" si="12"/>
        <v>0</v>
      </c>
      <c r="DY27" s="235">
        <f t="shared" si="12"/>
        <v>0</v>
      </c>
      <c r="DZ27" s="235">
        <f t="shared" si="12"/>
        <v>0</v>
      </c>
      <c r="EA27" s="235">
        <f t="shared" si="12"/>
        <v>0</v>
      </c>
      <c r="EB27" s="235">
        <f t="shared" si="12"/>
        <v>0</v>
      </c>
      <c r="EC27" s="235">
        <f t="shared" si="12"/>
        <v>0</v>
      </c>
      <c r="ED27" s="235">
        <f t="shared" si="12"/>
        <v>0</v>
      </c>
      <c r="EE27" s="235">
        <f t="shared" si="12"/>
        <v>0</v>
      </c>
      <c r="EF27" s="235">
        <f t="shared" si="12"/>
        <v>0</v>
      </c>
      <c r="EG27" s="235">
        <f t="shared" si="12"/>
        <v>0</v>
      </c>
      <c r="EH27" s="235">
        <f t="shared" si="12"/>
        <v>0</v>
      </c>
      <c r="EI27" s="235">
        <f t="shared" si="12"/>
        <v>0</v>
      </c>
      <c r="EJ27" s="235">
        <f t="shared" si="12"/>
        <v>0</v>
      </c>
      <c r="EK27" s="235">
        <f t="shared" si="12"/>
        <v>0</v>
      </c>
      <c r="EL27" s="235">
        <f t="shared" si="12"/>
        <v>0</v>
      </c>
      <c r="EM27" s="235">
        <f t="shared" si="12"/>
        <v>0</v>
      </c>
      <c r="EN27" s="235">
        <f t="shared" si="12"/>
        <v>0</v>
      </c>
      <c r="EO27" s="235">
        <f t="shared" si="12"/>
        <v>0</v>
      </c>
      <c r="EP27" s="235">
        <f t="shared" si="12"/>
        <v>0</v>
      </c>
    </row>
    <row r="28" spans="1:146" ht="14.25" x14ac:dyDescent="0.2">
      <c r="A28" s="233" t="s">
        <v>258</v>
      </c>
      <c r="B28" s="233"/>
      <c r="C28" s="235">
        <f t="shared" ref="C28:EP28" si="13">-C27</f>
        <v>0</v>
      </c>
      <c r="D28" s="235">
        <f t="shared" si="13"/>
        <v>0</v>
      </c>
      <c r="E28" s="235">
        <f t="shared" si="13"/>
        <v>0</v>
      </c>
      <c r="F28" s="235">
        <f t="shared" si="13"/>
        <v>0</v>
      </c>
      <c r="G28" s="235">
        <f t="shared" si="13"/>
        <v>0</v>
      </c>
      <c r="H28" s="235">
        <f t="shared" si="13"/>
        <v>0</v>
      </c>
      <c r="I28" s="235">
        <f t="shared" si="13"/>
        <v>0</v>
      </c>
      <c r="J28" s="235">
        <f t="shared" si="13"/>
        <v>0</v>
      </c>
      <c r="K28" s="235">
        <f t="shared" si="13"/>
        <v>0</v>
      </c>
      <c r="L28" s="235">
        <f t="shared" si="13"/>
        <v>0</v>
      </c>
      <c r="M28" s="235">
        <f t="shared" si="13"/>
        <v>0</v>
      </c>
      <c r="N28" s="235">
        <f t="shared" si="13"/>
        <v>0</v>
      </c>
      <c r="O28" s="235">
        <f t="shared" si="13"/>
        <v>0</v>
      </c>
      <c r="P28" s="235">
        <f t="shared" si="13"/>
        <v>0</v>
      </c>
      <c r="Q28" s="235">
        <f t="shared" si="13"/>
        <v>0</v>
      </c>
      <c r="R28" s="235">
        <f t="shared" si="13"/>
        <v>0</v>
      </c>
      <c r="S28" s="235">
        <f t="shared" si="13"/>
        <v>0</v>
      </c>
      <c r="T28" s="235">
        <f t="shared" si="13"/>
        <v>0</v>
      </c>
      <c r="U28" s="235">
        <f t="shared" si="13"/>
        <v>0</v>
      </c>
      <c r="V28" s="235">
        <f t="shared" si="13"/>
        <v>0</v>
      </c>
      <c r="W28" s="235">
        <f t="shared" si="13"/>
        <v>0</v>
      </c>
      <c r="X28" s="235">
        <f t="shared" si="13"/>
        <v>0</v>
      </c>
      <c r="Y28" s="235">
        <f t="shared" si="13"/>
        <v>0</v>
      </c>
      <c r="Z28" s="235">
        <f t="shared" si="13"/>
        <v>0</v>
      </c>
      <c r="AA28" s="235">
        <f t="shared" si="13"/>
        <v>0</v>
      </c>
      <c r="AB28" s="235">
        <f t="shared" si="13"/>
        <v>0</v>
      </c>
      <c r="AC28" s="235">
        <f t="shared" si="13"/>
        <v>0</v>
      </c>
      <c r="AD28" s="235">
        <f t="shared" si="13"/>
        <v>0</v>
      </c>
      <c r="AE28" s="235">
        <f t="shared" si="13"/>
        <v>0</v>
      </c>
      <c r="AF28" s="235">
        <f t="shared" si="13"/>
        <v>0</v>
      </c>
      <c r="AG28" s="235">
        <f t="shared" si="13"/>
        <v>0</v>
      </c>
      <c r="AH28" s="235">
        <f t="shared" si="13"/>
        <v>0</v>
      </c>
      <c r="AI28" s="235">
        <f t="shared" si="13"/>
        <v>0</v>
      </c>
      <c r="AJ28" s="235">
        <f t="shared" si="13"/>
        <v>0</v>
      </c>
      <c r="AK28" s="235">
        <f t="shared" si="13"/>
        <v>0</v>
      </c>
      <c r="AL28" s="235">
        <f t="shared" si="13"/>
        <v>0</v>
      </c>
      <c r="AM28" s="235">
        <f t="shared" si="13"/>
        <v>0</v>
      </c>
      <c r="AN28" s="235">
        <f t="shared" si="13"/>
        <v>0</v>
      </c>
      <c r="AO28" s="235">
        <f t="shared" si="13"/>
        <v>0</v>
      </c>
      <c r="AP28" s="235">
        <f t="shared" si="13"/>
        <v>0</v>
      </c>
      <c r="AQ28" s="235">
        <f t="shared" si="13"/>
        <v>0</v>
      </c>
      <c r="AR28" s="235">
        <f t="shared" si="13"/>
        <v>0</v>
      </c>
      <c r="AS28" s="235">
        <f t="shared" si="13"/>
        <v>0</v>
      </c>
      <c r="AT28" s="235">
        <f t="shared" si="13"/>
        <v>0</v>
      </c>
      <c r="AU28" s="235">
        <f t="shared" si="13"/>
        <v>0</v>
      </c>
      <c r="AV28" s="235">
        <f t="shared" si="13"/>
        <v>0</v>
      </c>
      <c r="AW28" s="235">
        <f t="shared" si="13"/>
        <v>0</v>
      </c>
      <c r="AX28" s="235">
        <f t="shared" si="13"/>
        <v>0</v>
      </c>
      <c r="AY28" s="235">
        <f t="shared" si="13"/>
        <v>0</v>
      </c>
      <c r="AZ28" s="235">
        <f t="shared" si="13"/>
        <v>0</v>
      </c>
      <c r="BA28" s="235">
        <f t="shared" si="13"/>
        <v>0</v>
      </c>
      <c r="BB28" s="235">
        <f t="shared" si="13"/>
        <v>0</v>
      </c>
      <c r="BC28" s="235">
        <f t="shared" si="13"/>
        <v>0</v>
      </c>
      <c r="BD28" s="235">
        <f t="shared" si="13"/>
        <v>0</v>
      </c>
      <c r="BE28" s="235">
        <f t="shared" si="13"/>
        <v>0</v>
      </c>
      <c r="BF28" s="235">
        <f t="shared" si="13"/>
        <v>0</v>
      </c>
      <c r="BG28" s="235">
        <f t="shared" si="13"/>
        <v>0</v>
      </c>
      <c r="BH28" s="235">
        <f t="shared" si="13"/>
        <v>0</v>
      </c>
      <c r="BI28" s="235">
        <f t="shared" si="13"/>
        <v>0</v>
      </c>
      <c r="BJ28" s="235">
        <f t="shared" si="13"/>
        <v>0</v>
      </c>
      <c r="BK28" s="235">
        <f t="shared" si="13"/>
        <v>0</v>
      </c>
      <c r="BL28" s="235">
        <f t="shared" si="13"/>
        <v>0</v>
      </c>
      <c r="BM28" s="235">
        <f t="shared" si="13"/>
        <v>0</v>
      </c>
      <c r="BN28" s="235">
        <f t="shared" si="13"/>
        <v>0</v>
      </c>
      <c r="BO28" s="235">
        <f t="shared" si="13"/>
        <v>0</v>
      </c>
      <c r="BP28" s="235">
        <f t="shared" si="13"/>
        <v>0</v>
      </c>
      <c r="BQ28" s="235">
        <f t="shared" si="13"/>
        <v>0</v>
      </c>
      <c r="BR28" s="235">
        <f t="shared" si="13"/>
        <v>0</v>
      </c>
      <c r="BS28" s="235">
        <f t="shared" si="13"/>
        <v>0</v>
      </c>
      <c r="BT28" s="235">
        <f t="shared" si="13"/>
        <v>0</v>
      </c>
      <c r="BU28" s="235">
        <f t="shared" si="13"/>
        <v>0</v>
      </c>
      <c r="BV28" s="235">
        <f t="shared" si="13"/>
        <v>0</v>
      </c>
      <c r="BW28" s="235">
        <f t="shared" si="13"/>
        <v>0</v>
      </c>
      <c r="BX28" s="235">
        <f t="shared" si="13"/>
        <v>0</v>
      </c>
      <c r="BY28" s="235">
        <f t="shared" si="13"/>
        <v>0</v>
      </c>
      <c r="BZ28" s="235">
        <f t="shared" si="13"/>
        <v>0</v>
      </c>
      <c r="CA28" s="235">
        <f t="shared" si="13"/>
        <v>0</v>
      </c>
      <c r="CB28" s="235">
        <f t="shared" si="13"/>
        <v>0</v>
      </c>
      <c r="CC28" s="235">
        <f t="shared" si="13"/>
        <v>0</v>
      </c>
      <c r="CD28" s="235">
        <f t="shared" si="13"/>
        <v>0</v>
      </c>
      <c r="CE28" s="235">
        <f t="shared" si="13"/>
        <v>0</v>
      </c>
      <c r="CF28" s="235">
        <f t="shared" si="13"/>
        <v>0</v>
      </c>
      <c r="CG28" s="235">
        <f t="shared" si="13"/>
        <v>0</v>
      </c>
      <c r="CH28" s="235">
        <f t="shared" si="13"/>
        <v>0</v>
      </c>
      <c r="CI28" s="235">
        <f t="shared" si="13"/>
        <v>0</v>
      </c>
      <c r="CJ28" s="235">
        <f t="shared" si="13"/>
        <v>0</v>
      </c>
      <c r="CK28" s="235">
        <f t="shared" si="13"/>
        <v>0</v>
      </c>
      <c r="CL28" s="235">
        <f t="shared" si="13"/>
        <v>0</v>
      </c>
      <c r="CM28" s="235">
        <f t="shared" si="13"/>
        <v>0</v>
      </c>
      <c r="CN28" s="235">
        <f t="shared" si="13"/>
        <v>0</v>
      </c>
      <c r="CO28" s="235">
        <f t="shared" si="13"/>
        <v>0</v>
      </c>
      <c r="CP28" s="235">
        <f t="shared" si="13"/>
        <v>0</v>
      </c>
      <c r="CQ28" s="235">
        <f t="shared" si="13"/>
        <v>0</v>
      </c>
      <c r="CR28" s="235">
        <f t="shared" si="13"/>
        <v>0</v>
      </c>
      <c r="CS28" s="235">
        <f t="shared" si="13"/>
        <v>0</v>
      </c>
      <c r="CT28" s="235">
        <f t="shared" si="13"/>
        <v>0</v>
      </c>
      <c r="CU28" s="235">
        <f t="shared" si="13"/>
        <v>0</v>
      </c>
      <c r="CV28" s="235">
        <f t="shared" si="13"/>
        <v>0</v>
      </c>
      <c r="CW28" s="235">
        <f t="shared" si="13"/>
        <v>0</v>
      </c>
      <c r="CX28" s="235">
        <f t="shared" si="13"/>
        <v>0</v>
      </c>
      <c r="CY28" s="235">
        <f t="shared" si="13"/>
        <v>0</v>
      </c>
      <c r="CZ28" s="235">
        <f t="shared" si="13"/>
        <v>0</v>
      </c>
      <c r="DA28" s="235">
        <f t="shared" si="13"/>
        <v>0</v>
      </c>
      <c r="DB28" s="235">
        <f t="shared" si="13"/>
        <v>0</v>
      </c>
      <c r="DC28" s="235">
        <f t="shared" si="13"/>
        <v>0</v>
      </c>
      <c r="DD28" s="235">
        <f t="shared" si="13"/>
        <v>0</v>
      </c>
      <c r="DE28" s="235">
        <f t="shared" si="13"/>
        <v>0</v>
      </c>
      <c r="DF28" s="235">
        <f t="shared" si="13"/>
        <v>0</v>
      </c>
      <c r="DG28" s="235">
        <f t="shared" si="13"/>
        <v>0</v>
      </c>
      <c r="DH28" s="235">
        <f t="shared" si="13"/>
        <v>0</v>
      </c>
      <c r="DI28" s="235">
        <f t="shared" si="13"/>
        <v>0</v>
      </c>
      <c r="DJ28" s="235">
        <f t="shared" si="13"/>
        <v>0</v>
      </c>
      <c r="DK28" s="235">
        <f t="shared" si="13"/>
        <v>0</v>
      </c>
      <c r="DL28" s="235">
        <f t="shared" si="13"/>
        <v>0</v>
      </c>
      <c r="DM28" s="235">
        <f t="shared" si="13"/>
        <v>0</v>
      </c>
      <c r="DN28" s="235">
        <f t="shared" si="13"/>
        <v>0</v>
      </c>
      <c r="DO28" s="235">
        <f t="shared" si="13"/>
        <v>0</v>
      </c>
      <c r="DP28" s="235">
        <f t="shared" si="13"/>
        <v>0</v>
      </c>
      <c r="DQ28" s="235">
        <f t="shared" si="13"/>
        <v>0</v>
      </c>
      <c r="DR28" s="235">
        <f t="shared" si="13"/>
        <v>0</v>
      </c>
      <c r="DS28" s="235">
        <f t="shared" si="13"/>
        <v>0</v>
      </c>
      <c r="DT28" s="235">
        <f t="shared" si="13"/>
        <v>0</v>
      </c>
      <c r="DU28" s="235">
        <f t="shared" si="13"/>
        <v>0</v>
      </c>
      <c r="DV28" s="235">
        <f t="shared" si="13"/>
        <v>0</v>
      </c>
      <c r="DW28" s="235">
        <f t="shared" si="13"/>
        <v>0</v>
      </c>
      <c r="DX28" s="235">
        <f t="shared" si="13"/>
        <v>0</v>
      </c>
      <c r="DY28" s="235">
        <f t="shared" si="13"/>
        <v>0</v>
      </c>
      <c r="DZ28" s="235">
        <f t="shared" si="13"/>
        <v>0</v>
      </c>
      <c r="EA28" s="235">
        <f t="shared" si="13"/>
        <v>0</v>
      </c>
      <c r="EB28" s="235">
        <f t="shared" si="13"/>
        <v>0</v>
      </c>
      <c r="EC28" s="235">
        <f t="shared" si="13"/>
        <v>0</v>
      </c>
      <c r="ED28" s="235">
        <f t="shared" si="13"/>
        <v>0</v>
      </c>
      <c r="EE28" s="235">
        <f t="shared" si="13"/>
        <v>0</v>
      </c>
      <c r="EF28" s="235">
        <f t="shared" si="13"/>
        <v>0</v>
      </c>
      <c r="EG28" s="235">
        <f t="shared" si="13"/>
        <v>0</v>
      </c>
      <c r="EH28" s="235">
        <f t="shared" si="13"/>
        <v>0</v>
      </c>
      <c r="EI28" s="235">
        <f t="shared" si="13"/>
        <v>0</v>
      </c>
      <c r="EJ28" s="235">
        <f t="shared" si="13"/>
        <v>0</v>
      </c>
      <c r="EK28" s="235">
        <f t="shared" si="13"/>
        <v>0</v>
      </c>
      <c r="EL28" s="235">
        <f t="shared" si="13"/>
        <v>0</v>
      </c>
      <c r="EM28" s="235">
        <f t="shared" si="13"/>
        <v>0</v>
      </c>
      <c r="EN28" s="235">
        <f t="shared" si="13"/>
        <v>0</v>
      </c>
      <c r="EO28" s="235">
        <f t="shared" si="13"/>
        <v>0</v>
      </c>
      <c r="EP28" s="235">
        <f t="shared" si="13"/>
        <v>0</v>
      </c>
    </row>
    <row r="29" spans="1:146" ht="15" x14ac:dyDescent="0.25">
      <c r="A29" s="239" t="s">
        <v>260</v>
      </c>
      <c r="B29" s="241"/>
      <c r="C29" s="242">
        <f t="shared" ref="C29:EP29" si="14">SUM(C24:C28)</f>
        <v>0</v>
      </c>
      <c r="D29" s="242">
        <f t="shared" si="14"/>
        <v>0</v>
      </c>
      <c r="E29" s="242">
        <f t="shared" si="14"/>
        <v>0</v>
      </c>
      <c r="F29" s="242">
        <f t="shared" si="14"/>
        <v>0</v>
      </c>
      <c r="G29" s="242">
        <f t="shared" si="14"/>
        <v>0</v>
      </c>
      <c r="H29" s="242">
        <f t="shared" si="14"/>
        <v>0</v>
      </c>
      <c r="I29" s="242">
        <f t="shared" si="14"/>
        <v>0</v>
      </c>
      <c r="J29" s="242">
        <f t="shared" si="14"/>
        <v>0</v>
      </c>
      <c r="K29" s="242">
        <f t="shared" si="14"/>
        <v>0</v>
      </c>
      <c r="L29" s="242">
        <f t="shared" si="14"/>
        <v>0</v>
      </c>
      <c r="M29" s="242">
        <f t="shared" si="14"/>
        <v>0</v>
      </c>
      <c r="N29" s="242">
        <f t="shared" si="14"/>
        <v>0</v>
      </c>
      <c r="O29" s="242">
        <f t="shared" si="14"/>
        <v>0</v>
      </c>
      <c r="P29" s="242">
        <f t="shared" si="14"/>
        <v>0</v>
      </c>
      <c r="Q29" s="242">
        <f t="shared" si="14"/>
        <v>0</v>
      </c>
      <c r="R29" s="242">
        <f t="shared" si="14"/>
        <v>0</v>
      </c>
      <c r="S29" s="242">
        <f t="shared" si="14"/>
        <v>0</v>
      </c>
      <c r="T29" s="242">
        <f t="shared" si="14"/>
        <v>0</v>
      </c>
      <c r="U29" s="242">
        <f t="shared" si="14"/>
        <v>0</v>
      </c>
      <c r="V29" s="242">
        <f t="shared" si="14"/>
        <v>0</v>
      </c>
      <c r="W29" s="242">
        <f t="shared" si="14"/>
        <v>0</v>
      </c>
      <c r="X29" s="242">
        <f t="shared" si="14"/>
        <v>0</v>
      </c>
      <c r="Y29" s="242">
        <f t="shared" si="14"/>
        <v>0</v>
      </c>
      <c r="Z29" s="242">
        <f t="shared" si="14"/>
        <v>0</v>
      </c>
      <c r="AA29" s="242">
        <f t="shared" si="14"/>
        <v>0</v>
      </c>
      <c r="AB29" s="242">
        <f t="shared" si="14"/>
        <v>0</v>
      </c>
      <c r="AC29" s="242">
        <f t="shared" si="14"/>
        <v>0</v>
      </c>
      <c r="AD29" s="242">
        <f t="shared" si="14"/>
        <v>0</v>
      </c>
      <c r="AE29" s="242">
        <f t="shared" si="14"/>
        <v>0</v>
      </c>
      <c r="AF29" s="242">
        <f t="shared" si="14"/>
        <v>0</v>
      </c>
      <c r="AG29" s="242">
        <f t="shared" si="14"/>
        <v>0</v>
      </c>
      <c r="AH29" s="242">
        <f t="shared" si="14"/>
        <v>0</v>
      </c>
      <c r="AI29" s="242">
        <f t="shared" si="14"/>
        <v>0</v>
      </c>
      <c r="AJ29" s="242">
        <f t="shared" si="14"/>
        <v>0</v>
      </c>
      <c r="AK29" s="242">
        <f t="shared" si="14"/>
        <v>0</v>
      </c>
      <c r="AL29" s="242">
        <f t="shared" si="14"/>
        <v>0</v>
      </c>
      <c r="AM29" s="242">
        <f t="shared" si="14"/>
        <v>0</v>
      </c>
      <c r="AN29" s="242">
        <f t="shared" si="14"/>
        <v>0</v>
      </c>
      <c r="AO29" s="242">
        <f t="shared" si="14"/>
        <v>0</v>
      </c>
      <c r="AP29" s="242">
        <f t="shared" si="14"/>
        <v>0</v>
      </c>
      <c r="AQ29" s="242">
        <f t="shared" si="14"/>
        <v>0</v>
      </c>
      <c r="AR29" s="242">
        <f t="shared" si="14"/>
        <v>0</v>
      </c>
      <c r="AS29" s="242">
        <f t="shared" si="14"/>
        <v>0</v>
      </c>
      <c r="AT29" s="242">
        <f t="shared" si="14"/>
        <v>0</v>
      </c>
      <c r="AU29" s="242">
        <f t="shared" si="14"/>
        <v>0</v>
      </c>
      <c r="AV29" s="242">
        <f t="shared" si="14"/>
        <v>0</v>
      </c>
      <c r="AW29" s="242">
        <f t="shared" si="14"/>
        <v>0</v>
      </c>
      <c r="AX29" s="242">
        <f t="shared" si="14"/>
        <v>0</v>
      </c>
      <c r="AY29" s="242">
        <f t="shared" si="14"/>
        <v>0</v>
      </c>
      <c r="AZ29" s="242">
        <f t="shared" si="14"/>
        <v>0</v>
      </c>
      <c r="BA29" s="242">
        <f t="shared" si="14"/>
        <v>0</v>
      </c>
      <c r="BB29" s="242">
        <f t="shared" si="14"/>
        <v>0</v>
      </c>
      <c r="BC29" s="242">
        <f t="shared" si="14"/>
        <v>0</v>
      </c>
      <c r="BD29" s="242">
        <f t="shared" si="14"/>
        <v>0</v>
      </c>
      <c r="BE29" s="242">
        <f t="shared" si="14"/>
        <v>0</v>
      </c>
      <c r="BF29" s="242">
        <f t="shared" si="14"/>
        <v>0</v>
      </c>
      <c r="BG29" s="242">
        <f t="shared" si="14"/>
        <v>0</v>
      </c>
      <c r="BH29" s="242">
        <f t="shared" si="14"/>
        <v>0</v>
      </c>
      <c r="BI29" s="242">
        <f t="shared" si="14"/>
        <v>0</v>
      </c>
      <c r="BJ29" s="242">
        <f t="shared" si="14"/>
        <v>0</v>
      </c>
      <c r="BK29" s="242">
        <f t="shared" si="14"/>
        <v>0</v>
      </c>
      <c r="BL29" s="242">
        <f t="shared" si="14"/>
        <v>0</v>
      </c>
      <c r="BM29" s="242">
        <f t="shared" si="14"/>
        <v>0</v>
      </c>
      <c r="BN29" s="242">
        <f t="shared" si="14"/>
        <v>0</v>
      </c>
      <c r="BO29" s="242">
        <f t="shared" si="14"/>
        <v>0</v>
      </c>
      <c r="BP29" s="242">
        <f t="shared" si="14"/>
        <v>0</v>
      </c>
      <c r="BQ29" s="242">
        <f t="shared" si="14"/>
        <v>0</v>
      </c>
      <c r="BR29" s="242">
        <f t="shared" si="14"/>
        <v>0</v>
      </c>
      <c r="BS29" s="242">
        <f t="shared" si="14"/>
        <v>0</v>
      </c>
      <c r="BT29" s="242">
        <f t="shared" si="14"/>
        <v>0</v>
      </c>
      <c r="BU29" s="242">
        <f t="shared" si="14"/>
        <v>0</v>
      </c>
      <c r="BV29" s="242">
        <f t="shared" si="14"/>
        <v>0</v>
      </c>
      <c r="BW29" s="242">
        <f t="shared" si="14"/>
        <v>0</v>
      </c>
      <c r="BX29" s="242">
        <f t="shared" si="14"/>
        <v>0</v>
      </c>
      <c r="BY29" s="242">
        <f t="shared" si="14"/>
        <v>0</v>
      </c>
      <c r="BZ29" s="242">
        <f t="shared" si="14"/>
        <v>0</v>
      </c>
      <c r="CA29" s="242">
        <f t="shared" si="14"/>
        <v>0</v>
      </c>
      <c r="CB29" s="242">
        <f t="shared" si="14"/>
        <v>0</v>
      </c>
      <c r="CC29" s="242">
        <f t="shared" si="14"/>
        <v>0</v>
      </c>
      <c r="CD29" s="242">
        <f t="shared" si="14"/>
        <v>0</v>
      </c>
      <c r="CE29" s="242">
        <f t="shared" si="14"/>
        <v>0</v>
      </c>
      <c r="CF29" s="242">
        <f t="shared" si="14"/>
        <v>0</v>
      </c>
      <c r="CG29" s="242">
        <f t="shared" si="14"/>
        <v>0</v>
      </c>
      <c r="CH29" s="242">
        <f t="shared" si="14"/>
        <v>0</v>
      </c>
      <c r="CI29" s="242">
        <f t="shared" si="14"/>
        <v>0</v>
      </c>
      <c r="CJ29" s="242">
        <f t="shared" si="14"/>
        <v>0</v>
      </c>
      <c r="CK29" s="242">
        <f t="shared" si="14"/>
        <v>0</v>
      </c>
      <c r="CL29" s="242">
        <f t="shared" si="14"/>
        <v>0</v>
      </c>
      <c r="CM29" s="242">
        <f t="shared" si="14"/>
        <v>0</v>
      </c>
      <c r="CN29" s="242">
        <f t="shared" si="14"/>
        <v>0</v>
      </c>
      <c r="CO29" s="242">
        <f t="shared" si="14"/>
        <v>0</v>
      </c>
      <c r="CP29" s="242">
        <f t="shared" si="14"/>
        <v>0</v>
      </c>
      <c r="CQ29" s="242">
        <f t="shared" si="14"/>
        <v>0</v>
      </c>
      <c r="CR29" s="242">
        <f t="shared" si="14"/>
        <v>0</v>
      </c>
      <c r="CS29" s="242">
        <f t="shared" si="14"/>
        <v>0</v>
      </c>
      <c r="CT29" s="242">
        <f t="shared" si="14"/>
        <v>0</v>
      </c>
      <c r="CU29" s="242">
        <f t="shared" si="14"/>
        <v>0</v>
      </c>
      <c r="CV29" s="242">
        <f t="shared" si="14"/>
        <v>0</v>
      </c>
      <c r="CW29" s="242">
        <f t="shared" si="14"/>
        <v>0</v>
      </c>
      <c r="CX29" s="242">
        <f t="shared" si="14"/>
        <v>0</v>
      </c>
      <c r="CY29" s="242">
        <f t="shared" si="14"/>
        <v>0</v>
      </c>
      <c r="CZ29" s="242">
        <f t="shared" si="14"/>
        <v>0</v>
      </c>
      <c r="DA29" s="242">
        <f t="shared" si="14"/>
        <v>0</v>
      </c>
      <c r="DB29" s="242">
        <f t="shared" si="14"/>
        <v>0</v>
      </c>
      <c r="DC29" s="242">
        <f t="shared" si="14"/>
        <v>0</v>
      </c>
      <c r="DD29" s="242">
        <f t="shared" si="14"/>
        <v>0</v>
      </c>
      <c r="DE29" s="242">
        <f t="shared" si="14"/>
        <v>0</v>
      </c>
      <c r="DF29" s="242">
        <f t="shared" si="14"/>
        <v>0</v>
      </c>
      <c r="DG29" s="242">
        <f t="shared" si="14"/>
        <v>0</v>
      </c>
      <c r="DH29" s="242">
        <f t="shared" si="14"/>
        <v>0</v>
      </c>
      <c r="DI29" s="242">
        <f t="shared" si="14"/>
        <v>0</v>
      </c>
      <c r="DJ29" s="242">
        <f t="shared" si="14"/>
        <v>0</v>
      </c>
      <c r="DK29" s="242">
        <f t="shared" si="14"/>
        <v>0</v>
      </c>
      <c r="DL29" s="242">
        <f t="shared" si="14"/>
        <v>0</v>
      </c>
      <c r="DM29" s="242">
        <f t="shared" si="14"/>
        <v>0</v>
      </c>
      <c r="DN29" s="242">
        <f t="shared" si="14"/>
        <v>0</v>
      </c>
      <c r="DO29" s="242">
        <f t="shared" si="14"/>
        <v>0</v>
      </c>
      <c r="DP29" s="242">
        <f t="shared" si="14"/>
        <v>0</v>
      </c>
      <c r="DQ29" s="242">
        <f t="shared" si="14"/>
        <v>0</v>
      </c>
      <c r="DR29" s="242">
        <f t="shared" si="14"/>
        <v>0</v>
      </c>
      <c r="DS29" s="242">
        <f t="shared" si="14"/>
        <v>0</v>
      </c>
      <c r="DT29" s="242">
        <f t="shared" si="14"/>
        <v>0</v>
      </c>
      <c r="DU29" s="242">
        <f t="shared" si="14"/>
        <v>0</v>
      </c>
      <c r="DV29" s="242">
        <f t="shared" si="14"/>
        <v>0</v>
      </c>
      <c r="DW29" s="242">
        <f t="shared" si="14"/>
        <v>0</v>
      </c>
      <c r="DX29" s="242">
        <f t="shared" si="14"/>
        <v>0</v>
      </c>
      <c r="DY29" s="242">
        <f t="shared" si="14"/>
        <v>0</v>
      </c>
      <c r="DZ29" s="242">
        <f t="shared" si="14"/>
        <v>0</v>
      </c>
      <c r="EA29" s="242">
        <f t="shared" si="14"/>
        <v>0</v>
      </c>
      <c r="EB29" s="242">
        <f t="shared" si="14"/>
        <v>0</v>
      </c>
      <c r="EC29" s="242">
        <f t="shared" si="14"/>
        <v>0</v>
      </c>
      <c r="ED29" s="242">
        <f t="shared" si="14"/>
        <v>0</v>
      </c>
      <c r="EE29" s="242">
        <f t="shared" si="14"/>
        <v>0</v>
      </c>
      <c r="EF29" s="242">
        <f t="shared" si="14"/>
        <v>0</v>
      </c>
      <c r="EG29" s="242">
        <f t="shared" si="14"/>
        <v>0</v>
      </c>
      <c r="EH29" s="242">
        <f t="shared" si="14"/>
        <v>0</v>
      </c>
      <c r="EI29" s="242">
        <f t="shared" si="14"/>
        <v>0</v>
      </c>
      <c r="EJ29" s="242">
        <f t="shared" si="14"/>
        <v>0</v>
      </c>
      <c r="EK29" s="242">
        <f t="shared" si="14"/>
        <v>0</v>
      </c>
      <c r="EL29" s="242">
        <f t="shared" si="14"/>
        <v>0</v>
      </c>
      <c r="EM29" s="242">
        <f t="shared" si="14"/>
        <v>0</v>
      </c>
      <c r="EN29" s="242">
        <f t="shared" si="14"/>
        <v>0</v>
      </c>
      <c r="EO29" s="242">
        <f t="shared" si="14"/>
        <v>0</v>
      </c>
      <c r="EP29" s="242">
        <f t="shared" si="14"/>
        <v>0</v>
      </c>
    </row>
    <row r="30" spans="1:146" ht="14.25" x14ac:dyDescent="0.2">
      <c r="A30" s="233"/>
      <c r="B30" s="233"/>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row>
    <row r="31" spans="1:146" ht="15" x14ac:dyDescent="0.25">
      <c r="A31" s="244" t="s">
        <v>280</v>
      </c>
      <c r="B31" s="233"/>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5"/>
      <c r="DG31" s="235"/>
      <c r="DH31" s="235"/>
      <c r="DI31" s="235"/>
      <c r="DJ31" s="235"/>
      <c r="DK31" s="235"/>
      <c r="DL31" s="235"/>
      <c r="DM31" s="235"/>
      <c r="DN31" s="235"/>
      <c r="DO31" s="235"/>
      <c r="DP31" s="235"/>
      <c r="DQ31" s="235"/>
      <c r="DR31" s="235"/>
      <c r="DS31" s="235"/>
      <c r="DT31" s="235"/>
      <c r="DU31" s="235"/>
      <c r="DV31" s="235"/>
      <c r="DW31" s="235"/>
      <c r="DX31" s="235"/>
      <c r="DY31" s="235"/>
      <c r="DZ31" s="235"/>
      <c r="EA31" s="235"/>
      <c r="EB31" s="235"/>
      <c r="EC31" s="235"/>
      <c r="ED31" s="235"/>
      <c r="EE31" s="235"/>
      <c r="EF31" s="235"/>
      <c r="EG31" s="235"/>
      <c r="EH31" s="235"/>
      <c r="EI31" s="235"/>
      <c r="EJ31" s="235"/>
      <c r="EK31" s="235"/>
      <c r="EL31" s="235"/>
      <c r="EM31" s="235"/>
      <c r="EN31" s="235"/>
      <c r="EO31" s="235"/>
      <c r="EP31" s="235"/>
    </row>
    <row r="32" spans="1:146" ht="14.25" x14ac:dyDescent="0.2">
      <c r="A32" s="233" t="s">
        <v>265</v>
      </c>
      <c r="B32" s="245">
        <v>44013</v>
      </c>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row>
    <row r="33" spans="1:146" ht="14.25" x14ac:dyDescent="0.2">
      <c r="A33" s="233" t="s">
        <v>266</v>
      </c>
      <c r="B33" s="246">
        <v>0</v>
      </c>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row>
    <row r="34" spans="1:146" ht="14.25" x14ac:dyDescent="0.2">
      <c r="A34" s="233" t="s">
        <v>270</v>
      </c>
      <c r="B34" s="249">
        <f>5*12</f>
        <v>60</v>
      </c>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row>
    <row r="35" spans="1:146" ht="14.25" x14ac:dyDescent="0.2">
      <c r="A35" s="233" t="s">
        <v>271</v>
      </c>
      <c r="B35" s="252">
        <v>0</v>
      </c>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row>
    <row r="36" spans="1:146" ht="14.25" x14ac:dyDescent="0.2">
      <c r="A36" s="237" t="s">
        <v>272</v>
      </c>
      <c r="B36" s="253">
        <v>3.7499999999999999E-2</v>
      </c>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row>
    <row r="37" spans="1:146" ht="14.25" x14ac:dyDescent="0.2">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row>
    <row r="38" spans="1:146" ht="14.25" x14ac:dyDescent="0.2">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row>
    <row r="39" spans="1:146" ht="14.25" x14ac:dyDescent="0.2">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row>
    <row r="40" spans="1:146" ht="14.25" x14ac:dyDescent="0.2">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row>
    <row r="41" spans="1:146" ht="14.25" x14ac:dyDescent="0.2">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row>
    <row r="42" spans="1:146" ht="14.25" x14ac:dyDescent="0.2">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row>
    <row r="43" spans="1:146" ht="14.25" x14ac:dyDescent="0.2">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row>
    <row r="44" spans="1:146" ht="14.25" x14ac:dyDescent="0.2">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row>
    <row r="45" spans="1:146" ht="14.25" x14ac:dyDescent="0.2">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row>
    <row r="46" spans="1:146" ht="14.25" x14ac:dyDescent="0.2">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row>
    <row r="47" spans="1:146" ht="14.25" x14ac:dyDescent="0.2">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row>
    <row r="48" spans="1:146" ht="14.25" x14ac:dyDescent="0.2">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row>
    <row r="49" spans="1:146" ht="14.25" x14ac:dyDescent="0.2">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row>
    <row r="50" spans="1:146" ht="14.25" x14ac:dyDescent="0.2">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row>
    <row r="51" spans="1:146" ht="14.25" x14ac:dyDescent="0.2">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row>
    <row r="52" spans="1:146" ht="14.25" x14ac:dyDescent="0.2">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row>
    <row r="53" spans="1:146" ht="14.25" x14ac:dyDescent="0.2">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row>
    <row r="54" spans="1:146" ht="14.25" x14ac:dyDescent="0.2">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row>
    <row r="55" spans="1:146" ht="14.25" x14ac:dyDescent="0.2">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row>
    <row r="56" spans="1:146" ht="14.25" x14ac:dyDescent="0.2">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row>
    <row r="57" spans="1:146" ht="14.25" x14ac:dyDescent="0.2">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row>
    <row r="58" spans="1:146" ht="14.25" x14ac:dyDescent="0.2">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row>
    <row r="59" spans="1:146" ht="14.25" x14ac:dyDescent="0.2">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row>
    <row r="60" spans="1:146" ht="14.25" x14ac:dyDescent="0.2">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row>
    <row r="61" spans="1:146" ht="14.25" x14ac:dyDescent="0.2">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row>
    <row r="62" spans="1:146" ht="14.25" x14ac:dyDescent="0.2">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row>
    <row r="63" spans="1:146" ht="14.25" x14ac:dyDescent="0.2">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row>
    <row r="64" spans="1:146" ht="14.25" x14ac:dyDescent="0.2">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row>
    <row r="65" spans="1:146" ht="14.25" x14ac:dyDescent="0.2">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row>
    <row r="66" spans="1:146" ht="14.25" x14ac:dyDescent="0.2">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33"/>
      <c r="DW66" s="233"/>
      <c r="DX66" s="233"/>
      <c r="DY66" s="233"/>
      <c r="DZ66" s="233"/>
      <c r="EA66" s="233"/>
      <c r="EB66" s="233"/>
      <c r="EC66" s="233"/>
      <c r="ED66" s="233"/>
      <c r="EE66" s="233"/>
      <c r="EF66" s="233"/>
      <c r="EG66" s="233"/>
      <c r="EH66" s="233"/>
      <c r="EI66" s="233"/>
      <c r="EJ66" s="233"/>
      <c r="EK66" s="233"/>
      <c r="EL66" s="233"/>
      <c r="EM66" s="233"/>
      <c r="EN66" s="233"/>
      <c r="EO66" s="233"/>
      <c r="EP66" s="233"/>
    </row>
    <row r="67" spans="1:146" ht="14.25" x14ac:dyDescent="0.2">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c r="DL67" s="233"/>
      <c r="DM67" s="233"/>
      <c r="DN67" s="233"/>
      <c r="DO67" s="233"/>
      <c r="DP67" s="233"/>
      <c r="DQ67" s="233"/>
      <c r="DR67" s="233"/>
      <c r="DS67" s="233"/>
      <c r="DT67" s="233"/>
      <c r="DU67" s="233"/>
      <c r="DV67" s="233"/>
      <c r="DW67" s="233"/>
      <c r="DX67" s="233"/>
      <c r="DY67" s="233"/>
      <c r="DZ67" s="233"/>
      <c r="EA67" s="233"/>
      <c r="EB67" s="233"/>
      <c r="EC67" s="233"/>
      <c r="ED67" s="233"/>
      <c r="EE67" s="233"/>
      <c r="EF67" s="233"/>
      <c r="EG67" s="233"/>
      <c r="EH67" s="233"/>
      <c r="EI67" s="233"/>
      <c r="EJ67" s="233"/>
      <c r="EK67" s="233"/>
      <c r="EL67" s="233"/>
      <c r="EM67" s="233"/>
      <c r="EN67" s="233"/>
      <c r="EO67" s="233"/>
      <c r="EP67" s="233"/>
    </row>
    <row r="68" spans="1:146" ht="14.25" x14ac:dyDescent="0.2">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33"/>
      <c r="CN68" s="233"/>
      <c r="CO68" s="233"/>
      <c r="CP68" s="233"/>
      <c r="CQ68" s="233"/>
      <c r="CR68" s="233"/>
      <c r="CS68" s="233"/>
      <c r="CT68" s="233"/>
      <c r="CU68" s="233"/>
      <c r="CV68" s="233"/>
      <c r="CW68" s="233"/>
      <c r="CX68" s="233"/>
      <c r="CY68" s="233"/>
      <c r="CZ68" s="233"/>
      <c r="DA68" s="233"/>
      <c r="DB68" s="233"/>
      <c r="DC68" s="233"/>
      <c r="DD68" s="233"/>
      <c r="DE68" s="233"/>
      <c r="DF68" s="233"/>
      <c r="DG68" s="233"/>
      <c r="DH68" s="233"/>
      <c r="DI68" s="233"/>
      <c r="DJ68" s="233"/>
      <c r="DK68" s="233"/>
      <c r="DL68" s="233"/>
      <c r="DM68" s="233"/>
      <c r="DN68" s="233"/>
      <c r="DO68" s="233"/>
      <c r="DP68" s="233"/>
      <c r="DQ68" s="233"/>
      <c r="DR68" s="233"/>
      <c r="DS68" s="233"/>
      <c r="DT68" s="233"/>
      <c r="DU68" s="233"/>
      <c r="DV68" s="233"/>
      <c r="DW68" s="233"/>
      <c r="DX68" s="233"/>
      <c r="DY68" s="233"/>
      <c r="DZ68" s="233"/>
      <c r="EA68" s="233"/>
      <c r="EB68" s="233"/>
      <c r="EC68" s="233"/>
      <c r="ED68" s="233"/>
      <c r="EE68" s="233"/>
      <c r="EF68" s="233"/>
      <c r="EG68" s="233"/>
      <c r="EH68" s="233"/>
      <c r="EI68" s="233"/>
      <c r="EJ68" s="233"/>
      <c r="EK68" s="233"/>
      <c r="EL68" s="233"/>
      <c r="EM68" s="233"/>
      <c r="EN68" s="233"/>
      <c r="EO68" s="233"/>
      <c r="EP68" s="233"/>
    </row>
    <row r="69" spans="1:146" ht="14.25" x14ac:dyDescent="0.2">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33"/>
      <c r="CN69" s="233"/>
      <c r="CO69" s="233"/>
      <c r="CP69" s="233"/>
      <c r="CQ69" s="233"/>
      <c r="CR69" s="233"/>
      <c r="CS69" s="233"/>
      <c r="CT69" s="233"/>
      <c r="CU69" s="233"/>
      <c r="CV69" s="233"/>
      <c r="CW69" s="233"/>
      <c r="CX69" s="233"/>
      <c r="CY69" s="233"/>
      <c r="CZ69" s="233"/>
      <c r="DA69" s="233"/>
      <c r="DB69" s="233"/>
      <c r="DC69" s="233"/>
      <c r="DD69" s="233"/>
      <c r="DE69" s="233"/>
      <c r="DF69" s="233"/>
      <c r="DG69" s="233"/>
      <c r="DH69" s="233"/>
      <c r="DI69" s="233"/>
      <c r="DJ69" s="233"/>
      <c r="DK69" s="233"/>
      <c r="DL69" s="233"/>
      <c r="DM69" s="233"/>
      <c r="DN69" s="233"/>
      <c r="DO69" s="233"/>
      <c r="DP69" s="233"/>
      <c r="DQ69" s="233"/>
      <c r="DR69" s="233"/>
      <c r="DS69" s="233"/>
      <c r="DT69" s="233"/>
      <c r="DU69" s="233"/>
      <c r="DV69" s="233"/>
      <c r="DW69" s="233"/>
      <c r="DX69" s="233"/>
      <c r="DY69" s="233"/>
      <c r="DZ69" s="233"/>
      <c r="EA69" s="233"/>
      <c r="EB69" s="233"/>
      <c r="EC69" s="233"/>
      <c r="ED69" s="233"/>
      <c r="EE69" s="233"/>
      <c r="EF69" s="233"/>
      <c r="EG69" s="233"/>
      <c r="EH69" s="233"/>
      <c r="EI69" s="233"/>
      <c r="EJ69" s="233"/>
      <c r="EK69" s="233"/>
      <c r="EL69" s="233"/>
      <c r="EM69" s="233"/>
      <c r="EN69" s="233"/>
      <c r="EO69" s="233"/>
      <c r="EP69" s="233"/>
    </row>
    <row r="70" spans="1:146" ht="14.25" x14ac:dyDescent="0.2">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33"/>
      <c r="DW70" s="233"/>
      <c r="DX70" s="233"/>
      <c r="DY70" s="233"/>
      <c r="DZ70" s="233"/>
      <c r="EA70" s="233"/>
      <c r="EB70" s="233"/>
      <c r="EC70" s="233"/>
      <c r="ED70" s="233"/>
      <c r="EE70" s="233"/>
      <c r="EF70" s="233"/>
      <c r="EG70" s="233"/>
      <c r="EH70" s="233"/>
      <c r="EI70" s="233"/>
      <c r="EJ70" s="233"/>
      <c r="EK70" s="233"/>
      <c r="EL70" s="233"/>
      <c r="EM70" s="233"/>
      <c r="EN70" s="233"/>
      <c r="EO70" s="233"/>
      <c r="EP70" s="233"/>
    </row>
    <row r="71" spans="1:146" ht="14.25" x14ac:dyDescent="0.2">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c r="DL71" s="233"/>
      <c r="DM71" s="233"/>
      <c r="DN71" s="233"/>
      <c r="DO71" s="233"/>
      <c r="DP71" s="233"/>
      <c r="DQ71" s="233"/>
      <c r="DR71" s="233"/>
      <c r="DS71" s="233"/>
      <c r="DT71" s="233"/>
      <c r="DU71" s="233"/>
      <c r="DV71" s="233"/>
      <c r="DW71" s="233"/>
      <c r="DX71" s="233"/>
      <c r="DY71" s="233"/>
      <c r="DZ71" s="233"/>
      <c r="EA71" s="233"/>
      <c r="EB71" s="233"/>
      <c r="EC71" s="233"/>
      <c r="ED71" s="233"/>
      <c r="EE71" s="233"/>
      <c r="EF71" s="233"/>
      <c r="EG71" s="233"/>
      <c r="EH71" s="233"/>
      <c r="EI71" s="233"/>
      <c r="EJ71" s="233"/>
      <c r="EK71" s="233"/>
      <c r="EL71" s="233"/>
      <c r="EM71" s="233"/>
      <c r="EN71" s="233"/>
      <c r="EO71" s="233"/>
      <c r="EP71" s="233"/>
    </row>
    <row r="72" spans="1:146" ht="14.25" x14ac:dyDescent="0.2">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c r="DL72" s="233"/>
      <c r="DM72" s="233"/>
      <c r="DN72" s="233"/>
      <c r="DO72" s="233"/>
      <c r="DP72" s="233"/>
      <c r="DQ72" s="233"/>
      <c r="DR72" s="233"/>
      <c r="DS72" s="233"/>
      <c r="DT72" s="233"/>
      <c r="DU72" s="233"/>
      <c r="DV72" s="233"/>
      <c r="DW72" s="233"/>
      <c r="DX72" s="233"/>
      <c r="DY72" s="233"/>
      <c r="DZ72" s="233"/>
      <c r="EA72" s="233"/>
      <c r="EB72" s="233"/>
      <c r="EC72" s="233"/>
      <c r="ED72" s="233"/>
      <c r="EE72" s="233"/>
      <c r="EF72" s="233"/>
      <c r="EG72" s="233"/>
      <c r="EH72" s="233"/>
      <c r="EI72" s="233"/>
      <c r="EJ72" s="233"/>
      <c r="EK72" s="233"/>
      <c r="EL72" s="233"/>
      <c r="EM72" s="233"/>
      <c r="EN72" s="233"/>
      <c r="EO72" s="233"/>
      <c r="EP72" s="233"/>
    </row>
    <row r="73" spans="1:146" ht="14.25" x14ac:dyDescent="0.2">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33"/>
      <c r="DW73" s="233"/>
      <c r="DX73" s="233"/>
      <c r="DY73" s="233"/>
      <c r="DZ73" s="233"/>
      <c r="EA73" s="233"/>
      <c r="EB73" s="233"/>
      <c r="EC73" s="233"/>
      <c r="ED73" s="233"/>
      <c r="EE73" s="233"/>
      <c r="EF73" s="233"/>
      <c r="EG73" s="233"/>
      <c r="EH73" s="233"/>
      <c r="EI73" s="233"/>
      <c r="EJ73" s="233"/>
      <c r="EK73" s="233"/>
      <c r="EL73" s="233"/>
      <c r="EM73" s="233"/>
      <c r="EN73" s="233"/>
      <c r="EO73" s="233"/>
      <c r="EP73" s="233"/>
    </row>
    <row r="74" spans="1:146" ht="14.25" x14ac:dyDescent="0.2">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3"/>
      <c r="DU74" s="233"/>
      <c r="DV74" s="233"/>
      <c r="DW74" s="233"/>
      <c r="DX74" s="233"/>
      <c r="DY74" s="233"/>
      <c r="DZ74" s="233"/>
      <c r="EA74" s="233"/>
      <c r="EB74" s="233"/>
      <c r="EC74" s="233"/>
      <c r="ED74" s="233"/>
      <c r="EE74" s="233"/>
      <c r="EF74" s="233"/>
      <c r="EG74" s="233"/>
      <c r="EH74" s="233"/>
      <c r="EI74" s="233"/>
      <c r="EJ74" s="233"/>
      <c r="EK74" s="233"/>
      <c r="EL74" s="233"/>
      <c r="EM74" s="233"/>
      <c r="EN74" s="233"/>
      <c r="EO74" s="233"/>
      <c r="EP74" s="233"/>
    </row>
    <row r="75" spans="1:146" ht="14.25" x14ac:dyDescent="0.2">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row>
    <row r="76" spans="1:146" ht="14.25" x14ac:dyDescent="0.2">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33"/>
      <c r="DW76" s="233"/>
      <c r="DX76" s="233"/>
      <c r="DY76" s="233"/>
      <c r="DZ76" s="233"/>
      <c r="EA76" s="233"/>
      <c r="EB76" s="233"/>
      <c r="EC76" s="233"/>
      <c r="ED76" s="233"/>
      <c r="EE76" s="233"/>
      <c r="EF76" s="233"/>
      <c r="EG76" s="233"/>
      <c r="EH76" s="233"/>
      <c r="EI76" s="233"/>
      <c r="EJ76" s="233"/>
      <c r="EK76" s="233"/>
      <c r="EL76" s="233"/>
      <c r="EM76" s="233"/>
      <c r="EN76" s="233"/>
      <c r="EO76" s="233"/>
      <c r="EP76" s="233"/>
    </row>
    <row r="77" spans="1:146" ht="14.25" x14ac:dyDescent="0.2">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row>
    <row r="78" spans="1:146" ht="14.25" x14ac:dyDescent="0.2">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c r="DL78" s="233"/>
      <c r="DM78" s="233"/>
      <c r="DN78" s="233"/>
      <c r="DO78" s="233"/>
      <c r="DP78" s="233"/>
      <c r="DQ78" s="233"/>
      <c r="DR78" s="233"/>
      <c r="DS78" s="233"/>
      <c r="DT78" s="233"/>
      <c r="DU78" s="233"/>
      <c r="DV78" s="233"/>
      <c r="DW78" s="233"/>
      <c r="DX78" s="233"/>
      <c r="DY78" s="233"/>
      <c r="DZ78" s="233"/>
      <c r="EA78" s="233"/>
      <c r="EB78" s="233"/>
      <c r="EC78" s="233"/>
      <c r="ED78" s="233"/>
      <c r="EE78" s="233"/>
      <c r="EF78" s="233"/>
      <c r="EG78" s="233"/>
      <c r="EH78" s="233"/>
      <c r="EI78" s="233"/>
      <c r="EJ78" s="233"/>
      <c r="EK78" s="233"/>
      <c r="EL78" s="233"/>
      <c r="EM78" s="233"/>
      <c r="EN78" s="233"/>
      <c r="EO78" s="233"/>
      <c r="EP78" s="233"/>
    </row>
    <row r="79" spans="1:146" ht="14.25" x14ac:dyDescent="0.2">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33"/>
      <c r="CN79" s="233"/>
      <c r="CO79" s="233"/>
      <c r="CP79" s="233"/>
      <c r="CQ79" s="233"/>
      <c r="CR79" s="233"/>
      <c r="CS79" s="233"/>
      <c r="CT79" s="233"/>
      <c r="CU79" s="233"/>
      <c r="CV79" s="233"/>
      <c r="CW79" s="233"/>
      <c r="CX79" s="233"/>
      <c r="CY79" s="233"/>
      <c r="CZ79" s="233"/>
      <c r="DA79" s="233"/>
      <c r="DB79" s="233"/>
      <c r="DC79" s="233"/>
      <c r="DD79" s="233"/>
      <c r="DE79" s="233"/>
      <c r="DF79" s="233"/>
      <c r="DG79" s="233"/>
      <c r="DH79" s="233"/>
      <c r="DI79" s="233"/>
      <c r="DJ79" s="233"/>
      <c r="DK79" s="233"/>
      <c r="DL79" s="233"/>
      <c r="DM79" s="233"/>
      <c r="DN79" s="233"/>
      <c r="DO79" s="233"/>
      <c r="DP79" s="233"/>
      <c r="DQ79" s="233"/>
      <c r="DR79" s="233"/>
      <c r="DS79" s="233"/>
      <c r="DT79" s="233"/>
      <c r="DU79" s="233"/>
      <c r="DV79" s="233"/>
      <c r="DW79" s="233"/>
      <c r="DX79" s="233"/>
      <c r="DY79" s="233"/>
      <c r="DZ79" s="233"/>
      <c r="EA79" s="233"/>
      <c r="EB79" s="233"/>
      <c r="EC79" s="233"/>
      <c r="ED79" s="233"/>
      <c r="EE79" s="233"/>
      <c r="EF79" s="233"/>
      <c r="EG79" s="233"/>
      <c r="EH79" s="233"/>
      <c r="EI79" s="233"/>
      <c r="EJ79" s="233"/>
      <c r="EK79" s="233"/>
      <c r="EL79" s="233"/>
      <c r="EM79" s="233"/>
      <c r="EN79" s="233"/>
      <c r="EO79" s="233"/>
      <c r="EP79" s="233"/>
    </row>
    <row r="80" spans="1:146" ht="14.25" x14ac:dyDescent="0.2">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c r="DL80" s="233"/>
      <c r="DM80" s="233"/>
      <c r="DN80" s="233"/>
      <c r="DO80" s="233"/>
      <c r="DP80" s="233"/>
      <c r="DQ80" s="233"/>
      <c r="DR80" s="233"/>
      <c r="DS80" s="233"/>
      <c r="DT80" s="233"/>
      <c r="DU80" s="233"/>
      <c r="DV80" s="233"/>
      <c r="DW80" s="233"/>
      <c r="DX80" s="233"/>
      <c r="DY80" s="233"/>
      <c r="DZ80" s="233"/>
      <c r="EA80" s="233"/>
      <c r="EB80" s="233"/>
      <c r="EC80" s="233"/>
      <c r="ED80" s="233"/>
      <c r="EE80" s="233"/>
      <c r="EF80" s="233"/>
      <c r="EG80" s="233"/>
      <c r="EH80" s="233"/>
      <c r="EI80" s="233"/>
      <c r="EJ80" s="233"/>
      <c r="EK80" s="233"/>
      <c r="EL80" s="233"/>
      <c r="EM80" s="233"/>
      <c r="EN80" s="233"/>
      <c r="EO80" s="233"/>
      <c r="EP80" s="233"/>
    </row>
    <row r="81" spans="1:146" ht="14.25" x14ac:dyDescent="0.2">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c r="DN81" s="233"/>
      <c r="DO81" s="233"/>
      <c r="DP81" s="233"/>
      <c r="DQ81" s="233"/>
      <c r="DR81" s="233"/>
      <c r="DS81" s="233"/>
      <c r="DT81" s="233"/>
      <c r="DU81" s="233"/>
      <c r="DV81" s="233"/>
      <c r="DW81" s="233"/>
      <c r="DX81" s="233"/>
      <c r="DY81" s="233"/>
      <c r="DZ81" s="233"/>
      <c r="EA81" s="233"/>
      <c r="EB81" s="233"/>
      <c r="EC81" s="233"/>
      <c r="ED81" s="233"/>
      <c r="EE81" s="233"/>
      <c r="EF81" s="233"/>
      <c r="EG81" s="233"/>
      <c r="EH81" s="233"/>
      <c r="EI81" s="233"/>
      <c r="EJ81" s="233"/>
      <c r="EK81" s="233"/>
      <c r="EL81" s="233"/>
      <c r="EM81" s="233"/>
      <c r="EN81" s="233"/>
      <c r="EO81" s="233"/>
      <c r="EP81" s="233"/>
    </row>
    <row r="82" spans="1:146" ht="14.25" x14ac:dyDescent="0.2">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c r="DL82" s="233"/>
      <c r="DM82" s="233"/>
      <c r="DN82" s="233"/>
      <c r="DO82" s="233"/>
      <c r="DP82" s="233"/>
      <c r="DQ82" s="233"/>
      <c r="DR82" s="233"/>
      <c r="DS82" s="233"/>
      <c r="DT82" s="233"/>
      <c r="DU82" s="233"/>
      <c r="DV82" s="233"/>
      <c r="DW82" s="233"/>
      <c r="DX82" s="233"/>
      <c r="DY82" s="233"/>
      <c r="DZ82" s="233"/>
      <c r="EA82" s="233"/>
      <c r="EB82" s="233"/>
      <c r="EC82" s="233"/>
      <c r="ED82" s="233"/>
      <c r="EE82" s="233"/>
      <c r="EF82" s="233"/>
      <c r="EG82" s="233"/>
      <c r="EH82" s="233"/>
      <c r="EI82" s="233"/>
      <c r="EJ82" s="233"/>
      <c r="EK82" s="233"/>
      <c r="EL82" s="233"/>
      <c r="EM82" s="233"/>
      <c r="EN82" s="233"/>
      <c r="EO82" s="233"/>
      <c r="EP82" s="233"/>
    </row>
    <row r="83" spans="1:146" ht="14.25" x14ac:dyDescent="0.2">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c r="CU83" s="233"/>
      <c r="CV83" s="233"/>
      <c r="CW83" s="233"/>
      <c r="CX83" s="233"/>
      <c r="CY83" s="233"/>
      <c r="CZ83" s="233"/>
      <c r="DA83" s="233"/>
      <c r="DB83" s="233"/>
      <c r="DC83" s="233"/>
      <c r="DD83" s="233"/>
      <c r="DE83" s="233"/>
      <c r="DF83" s="233"/>
      <c r="DG83" s="233"/>
      <c r="DH83" s="233"/>
      <c r="DI83" s="233"/>
      <c r="DJ83" s="233"/>
      <c r="DK83" s="233"/>
      <c r="DL83" s="233"/>
      <c r="DM83" s="233"/>
      <c r="DN83" s="233"/>
      <c r="DO83" s="233"/>
      <c r="DP83" s="233"/>
      <c r="DQ83" s="233"/>
      <c r="DR83" s="233"/>
      <c r="DS83" s="233"/>
      <c r="DT83" s="233"/>
      <c r="DU83" s="233"/>
      <c r="DV83" s="233"/>
      <c r="DW83" s="233"/>
      <c r="DX83" s="233"/>
      <c r="DY83" s="233"/>
      <c r="DZ83" s="233"/>
      <c r="EA83" s="233"/>
      <c r="EB83" s="233"/>
      <c r="EC83" s="233"/>
      <c r="ED83" s="233"/>
      <c r="EE83" s="233"/>
      <c r="EF83" s="233"/>
      <c r="EG83" s="233"/>
      <c r="EH83" s="233"/>
      <c r="EI83" s="233"/>
      <c r="EJ83" s="233"/>
      <c r="EK83" s="233"/>
      <c r="EL83" s="233"/>
      <c r="EM83" s="233"/>
      <c r="EN83" s="233"/>
      <c r="EO83" s="233"/>
      <c r="EP83" s="233"/>
    </row>
    <row r="84" spans="1:146" ht="14.25" x14ac:dyDescent="0.2">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c r="DL84" s="233"/>
      <c r="DM84" s="233"/>
      <c r="DN84" s="233"/>
      <c r="DO84" s="233"/>
      <c r="DP84" s="233"/>
      <c r="DQ84" s="233"/>
      <c r="DR84" s="233"/>
      <c r="DS84" s="233"/>
      <c r="DT84" s="233"/>
      <c r="DU84" s="233"/>
      <c r="DV84" s="233"/>
      <c r="DW84" s="233"/>
      <c r="DX84" s="233"/>
      <c r="DY84" s="233"/>
      <c r="DZ84" s="233"/>
      <c r="EA84" s="233"/>
      <c r="EB84" s="233"/>
      <c r="EC84" s="233"/>
      <c r="ED84" s="233"/>
      <c r="EE84" s="233"/>
      <c r="EF84" s="233"/>
      <c r="EG84" s="233"/>
      <c r="EH84" s="233"/>
      <c r="EI84" s="233"/>
      <c r="EJ84" s="233"/>
      <c r="EK84" s="233"/>
      <c r="EL84" s="233"/>
      <c r="EM84" s="233"/>
      <c r="EN84" s="233"/>
      <c r="EO84" s="233"/>
      <c r="EP84" s="233"/>
    </row>
    <row r="85" spans="1:146" ht="14.25" x14ac:dyDescent="0.2">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33"/>
      <c r="DW85" s="233"/>
      <c r="DX85" s="233"/>
      <c r="DY85" s="233"/>
      <c r="DZ85" s="233"/>
      <c r="EA85" s="233"/>
      <c r="EB85" s="233"/>
      <c r="EC85" s="233"/>
      <c r="ED85" s="233"/>
      <c r="EE85" s="233"/>
      <c r="EF85" s="233"/>
      <c r="EG85" s="233"/>
      <c r="EH85" s="233"/>
      <c r="EI85" s="233"/>
      <c r="EJ85" s="233"/>
      <c r="EK85" s="233"/>
      <c r="EL85" s="233"/>
      <c r="EM85" s="233"/>
      <c r="EN85" s="233"/>
      <c r="EO85" s="233"/>
      <c r="EP85" s="233"/>
    </row>
    <row r="86" spans="1:146" ht="14.25" x14ac:dyDescent="0.2">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33"/>
      <c r="DW86" s="233"/>
      <c r="DX86" s="233"/>
      <c r="DY86" s="233"/>
      <c r="DZ86" s="233"/>
      <c r="EA86" s="233"/>
      <c r="EB86" s="233"/>
      <c r="EC86" s="233"/>
      <c r="ED86" s="233"/>
      <c r="EE86" s="233"/>
      <c r="EF86" s="233"/>
      <c r="EG86" s="233"/>
      <c r="EH86" s="233"/>
      <c r="EI86" s="233"/>
      <c r="EJ86" s="233"/>
      <c r="EK86" s="233"/>
      <c r="EL86" s="233"/>
      <c r="EM86" s="233"/>
      <c r="EN86" s="233"/>
      <c r="EO86" s="233"/>
      <c r="EP86" s="233"/>
    </row>
    <row r="87" spans="1:146" ht="14.25" x14ac:dyDescent="0.2">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33"/>
      <c r="BT87" s="233"/>
      <c r="BU87" s="233"/>
      <c r="BV87" s="233"/>
      <c r="BW87" s="233"/>
      <c r="BX87" s="233"/>
      <c r="BY87" s="233"/>
      <c r="BZ87" s="233"/>
      <c r="CA87" s="233"/>
      <c r="CB87" s="233"/>
      <c r="CC87" s="233"/>
      <c r="CD87" s="233"/>
      <c r="CE87" s="233"/>
      <c r="CF87" s="233"/>
      <c r="CG87" s="233"/>
      <c r="CH87" s="233"/>
      <c r="CI87" s="233"/>
      <c r="CJ87" s="233"/>
      <c r="CK87" s="233"/>
      <c r="CL87" s="233"/>
      <c r="CM87" s="233"/>
      <c r="CN87" s="233"/>
      <c r="CO87" s="233"/>
      <c r="CP87" s="233"/>
      <c r="CQ87" s="233"/>
      <c r="CR87" s="233"/>
      <c r="CS87" s="233"/>
      <c r="CT87" s="233"/>
      <c r="CU87" s="233"/>
      <c r="CV87" s="233"/>
      <c r="CW87" s="233"/>
      <c r="CX87" s="233"/>
      <c r="CY87" s="233"/>
      <c r="CZ87" s="233"/>
      <c r="DA87" s="233"/>
      <c r="DB87" s="233"/>
      <c r="DC87" s="233"/>
      <c r="DD87" s="233"/>
      <c r="DE87" s="233"/>
      <c r="DF87" s="233"/>
      <c r="DG87" s="233"/>
      <c r="DH87" s="233"/>
      <c r="DI87" s="233"/>
      <c r="DJ87" s="233"/>
      <c r="DK87" s="233"/>
      <c r="DL87" s="233"/>
      <c r="DM87" s="233"/>
      <c r="DN87" s="233"/>
      <c r="DO87" s="233"/>
      <c r="DP87" s="233"/>
      <c r="DQ87" s="233"/>
      <c r="DR87" s="233"/>
      <c r="DS87" s="233"/>
      <c r="DT87" s="233"/>
      <c r="DU87" s="233"/>
      <c r="DV87" s="233"/>
      <c r="DW87" s="233"/>
      <c r="DX87" s="233"/>
      <c r="DY87" s="233"/>
      <c r="DZ87" s="233"/>
      <c r="EA87" s="233"/>
      <c r="EB87" s="233"/>
      <c r="EC87" s="233"/>
      <c r="ED87" s="233"/>
      <c r="EE87" s="233"/>
      <c r="EF87" s="233"/>
      <c r="EG87" s="233"/>
      <c r="EH87" s="233"/>
      <c r="EI87" s="233"/>
      <c r="EJ87" s="233"/>
      <c r="EK87" s="233"/>
      <c r="EL87" s="233"/>
      <c r="EM87" s="233"/>
      <c r="EN87" s="233"/>
      <c r="EO87" s="233"/>
      <c r="EP87" s="233"/>
    </row>
    <row r="88" spans="1:146" ht="14.25" x14ac:dyDescent="0.2">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c r="DL88" s="233"/>
      <c r="DM88" s="233"/>
      <c r="DN88" s="233"/>
      <c r="DO88" s="233"/>
      <c r="DP88" s="233"/>
      <c r="DQ88" s="233"/>
      <c r="DR88" s="233"/>
      <c r="DS88" s="233"/>
      <c r="DT88" s="233"/>
      <c r="DU88" s="233"/>
      <c r="DV88" s="233"/>
      <c r="DW88" s="233"/>
      <c r="DX88" s="233"/>
      <c r="DY88" s="233"/>
      <c r="DZ88" s="233"/>
      <c r="EA88" s="233"/>
      <c r="EB88" s="233"/>
      <c r="EC88" s="233"/>
      <c r="ED88" s="233"/>
      <c r="EE88" s="233"/>
      <c r="EF88" s="233"/>
      <c r="EG88" s="233"/>
      <c r="EH88" s="233"/>
      <c r="EI88" s="233"/>
      <c r="EJ88" s="233"/>
      <c r="EK88" s="233"/>
      <c r="EL88" s="233"/>
      <c r="EM88" s="233"/>
      <c r="EN88" s="233"/>
      <c r="EO88" s="233"/>
      <c r="EP88" s="233"/>
    </row>
    <row r="89" spans="1:146" ht="14.25" x14ac:dyDescent="0.2">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3"/>
      <c r="DU89" s="233"/>
      <c r="DV89" s="233"/>
      <c r="DW89" s="233"/>
      <c r="DX89" s="233"/>
      <c r="DY89" s="233"/>
      <c r="DZ89" s="233"/>
      <c r="EA89" s="233"/>
      <c r="EB89" s="233"/>
      <c r="EC89" s="233"/>
      <c r="ED89" s="233"/>
      <c r="EE89" s="233"/>
      <c r="EF89" s="233"/>
      <c r="EG89" s="233"/>
      <c r="EH89" s="233"/>
      <c r="EI89" s="233"/>
      <c r="EJ89" s="233"/>
      <c r="EK89" s="233"/>
      <c r="EL89" s="233"/>
      <c r="EM89" s="233"/>
      <c r="EN89" s="233"/>
      <c r="EO89" s="233"/>
      <c r="EP89" s="233"/>
    </row>
    <row r="90" spans="1:146" ht="14.25" x14ac:dyDescent="0.2">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c r="DL90" s="233"/>
      <c r="DM90" s="233"/>
      <c r="DN90" s="233"/>
      <c r="DO90" s="233"/>
      <c r="DP90" s="233"/>
      <c r="DQ90" s="233"/>
      <c r="DR90" s="233"/>
      <c r="DS90" s="233"/>
      <c r="DT90" s="233"/>
      <c r="DU90" s="233"/>
      <c r="DV90" s="233"/>
      <c r="DW90" s="233"/>
      <c r="DX90" s="233"/>
      <c r="DY90" s="233"/>
      <c r="DZ90" s="233"/>
      <c r="EA90" s="233"/>
      <c r="EB90" s="233"/>
      <c r="EC90" s="233"/>
      <c r="ED90" s="233"/>
      <c r="EE90" s="233"/>
      <c r="EF90" s="233"/>
      <c r="EG90" s="233"/>
      <c r="EH90" s="233"/>
      <c r="EI90" s="233"/>
      <c r="EJ90" s="233"/>
      <c r="EK90" s="233"/>
      <c r="EL90" s="233"/>
      <c r="EM90" s="233"/>
      <c r="EN90" s="233"/>
      <c r="EO90" s="233"/>
      <c r="EP90" s="233"/>
    </row>
    <row r="91" spans="1:146" ht="14.25" x14ac:dyDescent="0.2">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c r="DL91" s="233"/>
      <c r="DM91" s="233"/>
      <c r="DN91" s="233"/>
      <c r="DO91" s="233"/>
      <c r="DP91" s="233"/>
      <c r="DQ91" s="233"/>
      <c r="DR91" s="233"/>
      <c r="DS91" s="233"/>
      <c r="DT91" s="233"/>
      <c r="DU91" s="233"/>
      <c r="DV91" s="233"/>
      <c r="DW91" s="233"/>
      <c r="DX91" s="233"/>
      <c r="DY91" s="233"/>
      <c r="DZ91" s="233"/>
      <c r="EA91" s="233"/>
      <c r="EB91" s="233"/>
      <c r="EC91" s="233"/>
      <c r="ED91" s="233"/>
      <c r="EE91" s="233"/>
      <c r="EF91" s="233"/>
      <c r="EG91" s="233"/>
      <c r="EH91" s="233"/>
      <c r="EI91" s="233"/>
      <c r="EJ91" s="233"/>
      <c r="EK91" s="233"/>
      <c r="EL91" s="233"/>
      <c r="EM91" s="233"/>
      <c r="EN91" s="233"/>
      <c r="EO91" s="233"/>
      <c r="EP91" s="233"/>
    </row>
    <row r="92" spans="1:146" ht="14.25" x14ac:dyDescent="0.2">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3"/>
      <c r="DU92" s="233"/>
      <c r="DV92" s="233"/>
      <c r="DW92" s="233"/>
      <c r="DX92" s="233"/>
      <c r="DY92" s="233"/>
      <c r="DZ92" s="233"/>
      <c r="EA92" s="233"/>
      <c r="EB92" s="233"/>
      <c r="EC92" s="233"/>
      <c r="ED92" s="233"/>
      <c r="EE92" s="233"/>
      <c r="EF92" s="233"/>
      <c r="EG92" s="233"/>
      <c r="EH92" s="233"/>
      <c r="EI92" s="233"/>
      <c r="EJ92" s="233"/>
      <c r="EK92" s="233"/>
      <c r="EL92" s="233"/>
      <c r="EM92" s="233"/>
      <c r="EN92" s="233"/>
      <c r="EO92" s="233"/>
      <c r="EP92" s="233"/>
    </row>
    <row r="93" spans="1:146" ht="14.25" x14ac:dyDescent="0.2">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3"/>
      <c r="DU93" s="233"/>
      <c r="DV93" s="233"/>
      <c r="DW93" s="233"/>
      <c r="DX93" s="233"/>
      <c r="DY93" s="233"/>
      <c r="DZ93" s="233"/>
      <c r="EA93" s="233"/>
      <c r="EB93" s="233"/>
      <c r="EC93" s="233"/>
      <c r="ED93" s="233"/>
      <c r="EE93" s="233"/>
      <c r="EF93" s="233"/>
      <c r="EG93" s="233"/>
      <c r="EH93" s="233"/>
      <c r="EI93" s="233"/>
      <c r="EJ93" s="233"/>
      <c r="EK93" s="233"/>
      <c r="EL93" s="233"/>
      <c r="EM93" s="233"/>
      <c r="EN93" s="233"/>
      <c r="EO93" s="233"/>
      <c r="EP93" s="233"/>
    </row>
    <row r="94" spans="1:146" ht="14.25" x14ac:dyDescent="0.2">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233"/>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c r="DL94" s="233"/>
      <c r="DM94" s="233"/>
      <c r="DN94" s="233"/>
      <c r="DO94" s="233"/>
      <c r="DP94" s="233"/>
      <c r="DQ94" s="233"/>
      <c r="DR94" s="233"/>
      <c r="DS94" s="233"/>
      <c r="DT94" s="233"/>
      <c r="DU94" s="233"/>
      <c r="DV94" s="233"/>
      <c r="DW94" s="233"/>
      <c r="DX94" s="233"/>
      <c r="DY94" s="233"/>
      <c r="DZ94" s="233"/>
      <c r="EA94" s="233"/>
      <c r="EB94" s="233"/>
      <c r="EC94" s="233"/>
      <c r="ED94" s="233"/>
      <c r="EE94" s="233"/>
      <c r="EF94" s="233"/>
      <c r="EG94" s="233"/>
      <c r="EH94" s="233"/>
      <c r="EI94" s="233"/>
      <c r="EJ94" s="233"/>
      <c r="EK94" s="233"/>
      <c r="EL94" s="233"/>
      <c r="EM94" s="233"/>
      <c r="EN94" s="233"/>
      <c r="EO94" s="233"/>
      <c r="EP94" s="233"/>
    </row>
    <row r="95" spans="1:146" ht="14.25" x14ac:dyDescent="0.2">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row>
    <row r="96" spans="1:146" ht="14.25" x14ac:dyDescent="0.2">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row>
    <row r="97" spans="1:146" ht="14.25" x14ac:dyDescent="0.2">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33"/>
      <c r="DW97" s="233"/>
      <c r="DX97" s="233"/>
      <c r="DY97" s="233"/>
      <c r="DZ97" s="233"/>
      <c r="EA97" s="233"/>
      <c r="EB97" s="233"/>
      <c r="EC97" s="233"/>
      <c r="ED97" s="233"/>
      <c r="EE97" s="233"/>
      <c r="EF97" s="233"/>
      <c r="EG97" s="233"/>
      <c r="EH97" s="233"/>
      <c r="EI97" s="233"/>
      <c r="EJ97" s="233"/>
      <c r="EK97" s="233"/>
      <c r="EL97" s="233"/>
      <c r="EM97" s="233"/>
      <c r="EN97" s="233"/>
      <c r="EO97" s="233"/>
      <c r="EP97" s="233"/>
    </row>
    <row r="98" spans="1:146" ht="14.25" x14ac:dyDescent="0.2">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c r="DL98" s="233"/>
      <c r="DM98" s="233"/>
      <c r="DN98" s="233"/>
      <c r="DO98" s="233"/>
      <c r="DP98" s="233"/>
      <c r="DQ98" s="233"/>
      <c r="DR98" s="233"/>
      <c r="DS98" s="233"/>
      <c r="DT98" s="233"/>
      <c r="DU98" s="233"/>
      <c r="DV98" s="233"/>
      <c r="DW98" s="233"/>
      <c r="DX98" s="233"/>
      <c r="DY98" s="233"/>
      <c r="DZ98" s="233"/>
      <c r="EA98" s="233"/>
      <c r="EB98" s="233"/>
      <c r="EC98" s="233"/>
      <c r="ED98" s="233"/>
      <c r="EE98" s="233"/>
      <c r="EF98" s="233"/>
      <c r="EG98" s="233"/>
      <c r="EH98" s="233"/>
      <c r="EI98" s="233"/>
      <c r="EJ98" s="233"/>
      <c r="EK98" s="233"/>
      <c r="EL98" s="233"/>
      <c r="EM98" s="233"/>
      <c r="EN98" s="233"/>
      <c r="EO98" s="233"/>
      <c r="EP98" s="233"/>
    </row>
    <row r="99" spans="1:146" ht="14.25" x14ac:dyDescent="0.2">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3"/>
      <c r="DU99" s="233"/>
      <c r="DV99" s="233"/>
      <c r="DW99" s="233"/>
      <c r="DX99" s="233"/>
      <c r="DY99" s="233"/>
      <c r="DZ99" s="233"/>
      <c r="EA99" s="233"/>
      <c r="EB99" s="233"/>
      <c r="EC99" s="233"/>
      <c r="ED99" s="233"/>
      <c r="EE99" s="233"/>
      <c r="EF99" s="233"/>
      <c r="EG99" s="233"/>
      <c r="EH99" s="233"/>
      <c r="EI99" s="233"/>
      <c r="EJ99" s="233"/>
      <c r="EK99" s="233"/>
      <c r="EL99" s="233"/>
      <c r="EM99" s="233"/>
      <c r="EN99" s="233"/>
      <c r="EO99" s="233"/>
      <c r="EP99" s="233"/>
    </row>
    <row r="100" spans="1:146" ht="14.25" x14ac:dyDescent="0.2">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233"/>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c r="DL100" s="233"/>
      <c r="DM100" s="233"/>
      <c r="DN100" s="233"/>
      <c r="DO100" s="233"/>
      <c r="DP100" s="233"/>
      <c r="DQ100" s="233"/>
      <c r="DR100" s="233"/>
      <c r="DS100" s="233"/>
      <c r="DT100" s="233"/>
      <c r="DU100" s="233"/>
      <c r="DV100" s="233"/>
      <c r="DW100" s="233"/>
      <c r="DX100" s="233"/>
      <c r="DY100" s="233"/>
      <c r="DZ100" s="233"/>
      <c r="EA100" s="233"/>
      <c r="EB100" s="233"/>
      <c r="EC100" s="233"/>
      <c r="ED100" s="233"/>
      <c r="EE100" s="233"/>
      <c r="EF100" s="233"/>
      <c r="EG100" s="233"/>
      <c r="EH100" s="233"/>
      <c r="EI100" s="233"/>
      <c r="EJ100" s="233"/>
      <c r="EK100" s="233"/>
      <c r="EL100" s="233"/>
      <c r="EM100" s="233"/>
      <c r="EN100" s="233"/>
      <c r="EO100" s="233"/>
      <c r="EP100" s="233"/>
    </row>
    <row r="101" spans="1:146" ht="14.25" x14ac:dyDescent="0.2">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c r="DL101" s="233"/>
      <c r="DM101" s="233"/>
      <c r="DN101" s="233"/>
      <c r="DO101" s="233"/>
      <c r="DP101" s="233"/>
      <c r="DQ101" s="233"/>
      <c r="DR101" s="233"/>
      <c r="DS101" s="233"/>
      <c r="DT101" s="233"/>
      <c r="DU101" s="233"/>
      <c r="DV101" s="233"/>
      <c r="DW101" s="233"/>
      <c r="DX101" s="233"/>
      <c r="DY101" s="233"/>
      <c r="DZ101" s="233"/>
      <c r="EA101" s="233"/>
      <c r="EB101" s="233"/>
      <c r="EC101" s="233"/>
      <c r="ED101" s="233"/>
      <c r="EE101" s="233"/>
      <c r="EF101" s="233"/>
      <c r="EG101" s="233"/>
      <c r="EH101" s="233"/>
      <c r="EI101" s="233"/>
      <c r="EJ101" s="233"/>
      <c r="EK101" s="233"/>
      <c r="EL101" s="233"/>
      <c r="EM101" s="233"/>
      <c r="EN101" s="233"/>
      <c r="EO101" s="233"/>
      <c r="EP101" s="233"/>
    </row>
    <row r="102" spans="1:146" ht="14.25" x14ac:dyDescent="0.2">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row>
    <row r="103" spans="1:146" ht="14.25" x14ac:dyDescent="0.2">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row>
    <row r="104" spans="1:146" ht="14.25" x14ac:dyDescent="0.2">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row>
    <row r="105" spans="1:146" ht="14.25" x14ac:dyDescent="0.2">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33"/>
      <c r="CN105" s="233"/>
      <c r="CO105" s="233"/>
      <c r="CP105" s="233"/>
      <c r="CQ105" s="233"/>
      <c r="CR105" s="233"/>
      <c r="CS105" s="233"/>
      <c r="CT105" s="233"/>
      <c r="CU105" s="233"/>
      <c r="CV105" s="233"/>
      <c r="CW105" s="233"/>
      <c r="CX105" s="233"/>
      <c r="CY105" s="233"/>
      <c r="CZ105" s="233"/>
      <c r="DA105" s="233"/>
      <c r="DB105" s="233"/>
      <c r="DC105" s="233"/>
      <c r="DD105" s="233"/>
      <c r="DE105" s="233"/>
      <c r="DF105" s="233"/>
      <c r="DG105" s="233"/>
      <c r="DH105" s="233"/>
      <c r="DI105" s="233"/>
      <c r="DJ105" s="233"/>
      <c r="DK105" s="233"/>
      <c r="DL105" s="233"/>
      <c r="DM105" s="233"/>
      <c r="DN105" s="233"/>
      <c r="DO105" s="233"/>
      <c r="DP105" s="233"/>
      <c r="DQ105" s="233"/>
      <c r="DR105" s="233"/>
      <c r="DS105" s="233"/>
      <c r="DT105" s="233"/>
      <c r="DU105" s="233"/>
      <c r="DV105" s="233"/>
      <c r="DW105" s="233"/>
      <c r="DX105" s="233"/>
      <c r="DY105" s="233"/>
      <c r="DZ105" s="233"/>
      <c r="EA105" s="233"/>
      <c r="EB105" s="233"/>
      <c r="EC105" s="233"/>
      <c r="ED105" s="233"/>
      <c r="EE105" s="233"/>
      <c r="EF105" s="233"/>
      <c r="EG105" s="233"/>
      <c r="EH105" s="233"/>
      <c r="EI105" s="233"/>
      <c r="EJ105" s="233"/>
      <c r="EK105" s="233"/>
      <c r="EL105" s="233"/>
      <c r="EM105" s="233"/>
      <c r="EN105" s="233"/>
      <c r="EO105" s="233"/>
      <c r="EP105" s="233"/>
    </row>
    <row r="106" spans="1:146" ht="14.25" x14ac:dyDescent="0.2">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33"/>
      <c r="CN106" s="233"/>
      <c r="CO106" s="233"/>
      <c r="CP106" s="233"/>
      <c r="CQ106" s="233"/>
      <c r="CR106" s="233"/>
      <c r="CS106" s="233"/>
      <c r="CT106" s="233"/>
      <c r="CU106" s="233"/>
      <c r="CV106" s="233"/>
      <c r="CW106" s="233"/>
      <c r="CX106" s="233"/>
      <c r="CY106" s="233"/>
      <c r="CZ106" s="233"/>
      <c r="DA106" s="233"/>
      <c r="DB106" s="233"/>
      <c r="DC106" s="233"/>
      <c r="DD106" s="233"/>
      <c r="DE106" s="233"/>
      <c r="DF106" s="233"/>
      <c r="DG106" s="233"/>
      <c r="DH106" s="233"/>
      <c r="DI106" s="233"/>
      <c r="DJ106" s="233"/>
      <c r="DK106" s="233"/>
      <c r="DL106" s="233"/>
      <c r="DM106" s="233"/>
      <c r="DN106" s="233"/>
      <c r="DO106" s="233"/>
      <c r="DP106" s="233"/>
      <c r="DQ106" s="233"/>
      <c r="DR106" s="233"/>
      <c r="DS106" s="233"/>
      <c r="DT106" s="233"/>
      <c r="DU106" s="233"/>
      <c r="DV106" s="233"/>
      <c r="DW106" s="233"/>
      <c r="DX106" s="233"/>
      <c r="DY106" s="233"/>
      <c r="DZ106" s="233"/>
      <c r="EA106" s="233"/>
      <c r="EB106" s="233"/>
      <c r="EC106" s="233"/>
      <c r="ED106" s="233"/>
      <c r="EE106" s="233"/>
      <c r="EF106" s="233"/>
      <c r="EG106" s="233"/>
      <c r="EH106" s="233"/>
      <c r="EI106" s="233"/>
      <c r="EJ106" s="233"/>
      <c r="EK106" s="233"/>
      <c r="EL106" s="233"/>
      <c r="EM106" s="233"/>
      <c r="EN106" s="233"/>
      <c r="EO106" s="233"/>
      <c r="EP106" s="233"/>
    </row>
    <row r="107" spans="1:146" ht="14.25" x14ac:dyDescent="0.2">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233"/>
      <c r="CQ107" s="233"/>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c r="DL107" s="233"/>
      <c r="DM107" s="233"/>
      <c r="DN107" s="233"/>
      <c r="DO107" s="233"/>
      <c r="DP107" s="233"/>
      <c r="DQ107" s="233"/>
      <c r="DR107" s="233"/>
      <c r="DS107" s="233"/>
      <c r="DT107" s="233"/>
      <c r="DU107" s="233"/>
      <c r="DV107" s="233"/>
      <c r="DW107" s="233"/>
      <c r="DX107" s="233"/>
      <c r="DY107" s="233"/>
      <c r="DZ107" s="233"/>
      <c r="EA107" s="233"/>
      <c r="EB107" s="233"/>
      <c r="EC107" s="233"/>
      <c r="ED107" s="233"/>
      <c r="EE107" s="233"/>
      <c r="EF107" s="233"/>
      <c r="EG107" s="233"/>
      <c r="EH107" s="233"/>
      <c r="EI107" s="233"/>
      <c r="EJ107" s="233"/>
      <c r="EK107" s="233"/>
      <c r="EL107" s="233"/>
      <c r="EM107" s="233"/>
      <c r="EN107" s="233"/>
      <c r="EO107" s="233"/>
      <c r="EP107" s="233"/>
    </row>
    <row r="108" spans="1:146" ht="14.25" x14ac:dyDescent="0.2">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233"/>
      <c r="CR108" s="233"/>
      <c r="CS108" s="233"/>
      <c r="CT108" s="233"/>
      <c r="CU108" s="233"/>
      <c r="CV108" s="233"/>
      <c r="CW108" s="233"/>
      <c r="CX108" s="233"/>
      <c r="CY108" s="233"/>
      <c r="CZ108" s="233"/>
      <c r="DA108" s="233"/>
      <c r="DB108" s="233"/>
      <c r="DC108" s="233"/>
      <c r="DD108" s="233"/>
      <c r="DE108" s="233"/>
      <c r="DF108" s="233"/>
      <c r="DG108" s="233"/>
      <c r="DH108" s="233"/>
      <c r="DI108" s="233"/>
      <c r="DJ108" s="233"/>
      <c r="DK108" s="233"/>
      <c r="DL108" s="233"/>
      <c r="DM108" s="233"/>
      <c r="DN108" s="233"/>
      <c r="DO108" s="233"/>
      <c r="DP108" s="233"/>
      <c r="DQ108" s="233"/>
      <c r="DR108" s="233"/>
      <c r="DS108" s="233"/>
      <c r="DT108" s="233"/>
      <c r="DU108" s="233"/>
      <c r="DV108" s="233"/>
      <c r="DW108" s="233"/>
      <c r="DX108" s="233"/>
      <c r="DY108" s="233"/>
      <c r="DZ108" s="233"/>
      <c r="EA108" s="233"/>
      <c r="EB108" s="233"/>
      <c r="EC108" s="233"/>
      <c r="ED108" s="233"/>
      <c r="EE108" s="233"/>
      <c r="EF108" s="233"/>
      <c r="EG108" s="233"/>
      <c r="EH108" s="233"/>
      <c r="EI108" s="233"/>
      <c r="EJ108" s="233"/>
      <c r="EK108" s="233"/>
      <c r="EL108" s="233"/>
      <c r="EM108" s="233"/>
      <c r="EN108" s="233"/>
      <c r="EO108" s="233"/>
      <c r="EP108" s="233"/>
    </row>
    <row r="109" spans="1:146" ht="14.25" x14ac:dyDescent="0.2">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233"/>
      <c r="CS109" s="233"/>
      <c r="CT109" s="233"/>
      <c r="CU109" s="233"/>
      <c r="CV109" s="233"/>
      <c r="CW109" s="233"/>
      <c r="CX109" s="233"/>
      <c r="CY109" s="233"/>
      <c r="CZ109" s="233"/>
      <c r="DA109" s="233"/>
      <c r="DB109" s="233"/>
      <c r="DC109" s="233"/>
      <c r="DD109" s="233"/>
      <c r="DE109" s="233"/>
      <c r="DF109" s="233"/>
      <c r="DG109" s="233"/>
      <c r="DH109" s="233"/>
      <c r="DI109" s="233"/>
      <c r="DJ109" s="233"/>
      <c r="DK109" s="233"/>
      <c r="DL109" s="233"/>
      <c r="DM109" s="233"/>
      <c r="DN109" s="233"/>
      <c r="DO109" s="233"/>
      <c r="DP109" s="233"/>
      <c r="DQ109" s="233"/>
      <c r="DR109" s="233"/>
      <c r="DS109" s="233"/>
      <c r="DT109" s="233"/>
      <c r="DU109" s="233"/>
      <c r="DV109" s="233"/>
      <c r="DW109" s="233"/>
      <c r="DX109" s="233"/>
      <c r="DY109" s="233"/>
      <c r="DZ109" s="233"/>
      <c r="EA109" s="233"/>
      <c r="EB109" s="233"/>
      <c r="EC109" s="233"/>
      <c r="ED109" s="233"/>
      <c r="EE109" s="233"/>
      <c r="EF109" s="233"/>
      <c r="EG109" s="233"/>
      <c r="EH109" s="233"/>
      <c r="EI109" s="233"/>
      <c r="EJ109" s="233"/>
      <c r="EK109" s="233"/>
      <c r="EL109" s="233"/>
      <c r="EM109" s="233"/>
      <c r="EN109" s="233"/>
      <c r="EO109" s="233"/>
      <c r="EP109" s="233"/>
    </row>
    <row r="110" spans="1:146" ht="14.25" x14ac:dyDescent="0.2">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c r="DT110" s="233"/>
      <c r="DU110" s="233"/>
      <c r="DV110" s="233"/>
      <c r="DW110" s="233"/>
      <c r="DX110" s="233"/>
      <c r="DY110" s="233"/>
      <c r="DZ110" s="233"/>
      <c r="EA110" s="233"/>
      <c r="EB110" s="233"/>
      <c r="EC110" s="233"/>
      <c r="ED110" s="233"/>
      <c r="EE110" s="233"/>
      <c r="EF110" s="233"/>
      <c r="EG110" s="233"/>
      <c r="EH110" s="233"/>
      <c r="EI110" s="233"/>
      <c r="EJ110" s="233"/>
      <c r="EK110" s="233"/>
      <c r="EL110" s="233"/>
      <c r="EM110" s="233"/>
      <c r="EN110" s="233"/>
      <c r="EO110" s="233"/>
      <c r="EP110" s="233"/>
    </row>
    <row r="111" spans="1:146" ht="14.25" x14ac:dyDescent="0.2">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233"/>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row>
    <row r="112" spans="1:146" ht="14.25" x14ac:dyDescent="0.2">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33"/>
      <c r="CN112" s="233"/>
      <c r="CO112" s="233"/>
      <c r="CP112" s="233"/>
      <c r="CQ112" s="233"/>
      <c r="CR112" s="233"/>
      <c r="CS112" s="233"/>
      <c r="CT112" s="233"/>
      <c r="CU112" s="233"/>
      <c r="CV112" s="233"/>
      <c r="CW112" s="233"/>
      <c r="CX112" s="233"/>
      <c r="CY112" s="233"/>
      <c r="CZ112" s="233"/>
      <c r="DA112" s="233"/>
      <c r="DB112" s="233"/>
      <c r="DC112" s="233"/>
      <c r="DD112" s="233"/>
      <c r="DE112" s="233"/>
      <c r="DF112" s="233"/>
      <c r="DG112" s="233"/>
      <c r="DH112" s="233"/>
      <c r="DI112" s="233"/>
      <c r="DJ112" s="233"/>
      <c r="DK112" s="233"/>
      <c r="DL112" s="233"/>
      <c r="DM112" s="233"/>
      <c r="DN112" s="233"/>
      <c r="DO112" s="233"/>
      <c r="DP112" s="233"/>
      <c r="DQ112" s="233"/>
      <c r="DR112" s="233"/>
      <c r="DS112" s="233"/>
      <c r="DT112" s="233"/>
      <c r="DU112" s="233"/>
      <c r="DV112" s="233"/>
      <c r="DW112" s="233"/>
      <c r="DX112" s="233"/>
      <c r="DY112" s="233"/>
      <c r="DZ112" s="233"/>
      <c r="EA112" s="233"/>
      <c r="EB112" s="233"/>
      <c r="EC112" s="233"/>
      <c r="ED112" s="233"/>
      <c r="EE112" s="233"/>
      <c r="EF112" s="233"/>
      <c r="EG112" s="233"/>
      <c r="EH112" s="233"/>
      <c r="EI112" s="233"/>
      <c r="EJ112" s="233"/>
      <c r="EK112" s="233"/>
      <c r="EL112" s="233"/>
      <c r="EM112" s="233"/>
      <c r="EN112" s="233"/>
      <c r="EO112" s="233"/>
      <c r="EP112" s="233"/>
    </row>
    <row r="113" spans="1:146" ht="14.25" x14ac:dyDescent="0.2">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33"/>
      <c r="CN113" s="233"/>
      <c r="CO113" s="233"/>
      <c r="CP113" s="233"/>
      <c r="CQ113" s="233"/>
      <c r="CR113" s="233"/>
      <c r="CS113" s="233"/>
      <c r="CT113" s="233"/>
      <c r="CU113" s="233"/>
      <c r="CV113" s="233"/>
      <c r="CW113" s="233"/>
      <c r="CX113" s="233"/>
      <c r="CY113" s="233"/>
      <c r="CZ113" s="233"/>
      <c r="DA113" s="233"/>
      <c r="DB113" s="233"/>
      <c r="DC113" s="233"/>
      <c r="DD113" s="233"/>
      <c r="DE113" s="233"/>
      <c r="DF113" s="233"/>
      <c r="DG113" s="233"/>
      <c r="DH113" s="233"/>
      <c r="DI113" s="233"/>
      <c r="DJ113" s="233"/>
      <c r="DK113" s="233"/>
      <c r="DL113" s="233"/>
      <c r="DM113" s="233"/>
      <c r="DN113" s="233"/>
      <c r="DO113" s="233"/>
      <c r="DP113" s="233"/>
      <c r="DQ113" s="233"/>
      <c r="DR113" s="233"/>
      <c r="DS113" s="233"/>
      <c r="DT113" s="233"/>
      <c r="DU113" s="233"/>
      <c r="DV113" s="233"/>
      <c r="DW113" s="233"/>
      <c r="DX113" s="233"/>
      <c r="DY113" s="233"/>
      <c r="DZ113" s="233"/>
      <c r="EA113" s="233"/>
      <c r="EB113" s="233"/>
      <c r="EC113" s="233"/>
      <c r="ED113" s="233"/>
      <c r="EE113" s="233"/>
      <c r="EF113" s="233"/>
      <c r="EG113" s="233"/>
      <c r="EH113" s="233"/>
      <c r="EI113" s="233"/>
      <c r="EJ113" s="233"/>
      <c r="EK113" s="233"/>
      <c r="EL113" s="233"/>
      <c r="EM113" s="233"/>
      <c r="EN113" s="233"/>
      <c r="EO113" s="233"/>
      <c r="EP113" s="233"/>
    </row>
    <row r="114" spans="1:146" ht="14.25" x14ac:dyDescent="0.2">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233"/>
      <c r="CX114" s="233"/>
      <c r="CY114" s="233"/>
      <c r="CZ114" s="233"/>
      <c r="DA114" s="233"/>
      <c r="DB114" s="233"/>
      <c r="DC114" s="233"/>
      <c r="DD114" s="233"/>
      <c r="DE114" s="233"/>
      <c r="DF114" s="233"/>
      <c r="DG114" s="233"/>
      <c r="DH114" s="233"/>
      <c r="DI114" s="233"/>
      <c r="DJ114" s="233"/>
      <c r="DK114" s="233"/>
      <c r="DL114" s="233"/>
      <c r="DM114" s="233"/>
      <c r="DN114" s="233"/>
      <c r="DO114" s="233"/>
      <c r="DP114" s="233"/>
      <c r="DQ114" s="233"/>
      <c r="DR114" s="233"/>
      <c r="DS114" s="233"/>
      <c r="DT114" s="233"/>
      <c r="DU114" s="233"/>
      <c r="DV114" s="233"/>
      <c r="DW114" s="233"/>
      <c r="DX114" s="233"/>
      <c r="DY114" s="233"/>
      <c r="DZ114" s="233"/>
      <c r="EA114" s="233"/>
      <c r="EB114" s="233"/>
      <c r="EC114" s="233"/>
      <c r="ED114" s="233"/>
      <c r="EE114" s="233"/>
      <c r="EF114" s="233"/>
      <c r="EG114" s="233"/>
      <c r="EH114" s="233"/>
      <c r="EI114" s="233"/>
      <c r="EJ114" s="233"/>
      <c r="EK114" s="233"/>
      <c r="EL114" s="233"/>
      <c r="EM114" s="233"/>
      <c r="EN114" s="233"/>
      <c r="EO114" s="233"/>
      <c r="EP114" s="233"/>
    </row>
    <row r="115" spans="1:146" ht="14.25" x14ac:dyDescent="0.2">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233"/>
      <c r="CY115" s="233"/>
      <c r="CZ115" s="233"/>
      <c r="DA115" s="233"/>
      <c r="DB115" s="233"/>
      <c r="DC115" s="233"/>
      <c r="DD115" s="233"/>
      <c r="DE115" s="233"/>
      <c r="DF115" s="233"/>
      <c r="DG115" s="233"/>
      <c r="DH115" s="233"/>
      <c r="DI115" s="233"/>
      <c r="DJ115" s="233"/>
      <c r="DK115" s="233"/>
      <c r="DL115" s="233"/>
      <c r="DM115" s="233"/>
      <c r="DN115" s="233"/>
      <c r="DO115" s="233"/>
      <c r="DP115" s="233"/>
      <c r="DQ115" s="233"/>
      <c r="DR115" s="233"/>
      <c r="DS115" s="233"/>
      <c r="DT115" s="233"/>
      <c r="DU115" s="233"/>
      <c r="DV115" s="233"/>
      <c r="DW115" s="233"/>
      <c r="DX115" s="233"/>
      <c r="DY115" s="233"/>
      <c r="DZ115" s="233"/>
      <c r="EA115" s="233"/>
      <c r="EB115" s="233"/>
      <c r="EC115" s="233"/>
      <c r="ED115" s="233"/>
      <c r="EE115" s="233"/>
      <c r="EF115" s="233"/>
      <c r="EG115" s="233"/>
      <c r="EH115" s="233"/>
      <c r="EI115" s="233"/>
      <c r="EJ115" s="233"/>
      <c r="EK115" s="233"/>
      <c r="EL115" s="233"/>
      <c r="EM115" s="233"/>
      <c r="EN115" s="233"/>
      <c r="EO115" s="233"/>
      <c r="EP115" s="233"/>
    </row>
    <row r="116" spans="1:146" ht="14.25" x14ac:dyDescent="0.2">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33"/>
      <c r="CN116" s="233"/>
      <c r="CO116" s="233"/>
      <c r="CP116" s="233"/>
      <c r="CQ116" s="233"/>
      <c r="CR116" s="233"/>
      <c r="CS116" s="233"/>
      <c r="CT116" s="233"/>
      <c r="CU116" s="233"/>
      <c r="CV116" s="233"/>
      <c r="CW116" s="233"/>
      <c r="CX116" s="233"/>
      <c r="CY116" s="233"/>
      <c r="CZ116" s="233"/>
      <c r="DA116" s="233"/>
      <c r="DB116" s="233"/>
      <c r="DC116" s="233"/>
      <c r="DD116" s="233"/>
      <c r="DE116" s="233"/>
      <c r="DF116" s="233"/>
      <c r="DG116" s="233"/>
      <c r="DH116" s="233"/>
      <c r="DI116" s="233"/>
      <c r="DJ116" s="233"/>
      <c r="DK116" s="233"/>
      <c r="DL116" s="233"/>
      <c r="DM116" s="233"/>
      <c r="DN116" s="233"/>
      <c r="DO116" s="233"/>
      <c r="DP116" s="233"/>
      <c r="DQ116" s="233"/>
      <c r="DR116" s="233"/>
      <c r="DS116" s="233"/>
      <c r="DT116" s="233"/>
      <c r="DU116" s="233"/>
      <c r="DV116" s="233"/>
      <c r="DW116" s="233"/>
      <c r="DX116" s="233"/>
      <c r="DY116" s="233"/>
      <c r="DZ116" s="233"/>
      <c r="EA116" s="233"/>
      <c r="EB116" s="233"/>
      <c r="EC116" s="233"/>
      <c r="ED116" s="233"/>
      <c r="EE116" s="233"/>
      <c r="EF116" s="233"/>
      <c r="EG116" s="233"/>
      <c r="EH116" s="233"/>
      <c r="EI116" s="233"/>
      <c r="EJ116" s="233"/>
      <c r="EK116" s="233"/>
      <c r="EL116" s="233"/>
      <c r="EM116" s="233"/>
      <c r="EN116" s="233"/>
      <c r="EO116" s="233"/>
      <c r="EP116" s="233"/>
    </row>
    <row r="117" spans="1:146" ht="14.25" x14ac:dyDescent="0.2">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33"/>
      <c r="CN117" s="233"/>
      <c r="CO117" s="233"/>
      <c r="CP117" s="233"/>
      <c r="CQ117" s="233"/>
      <c r="CR117" s="233"/>
      <c r="CS117" s="233"/>
      <c r="CT117" s="233"/>
      <c r="CU117" s="233"/>
      <c r="CV117" s="233"/>
      <c r="CW117" s="233"/>
      <c r="CX117" s="233"/>
      <c r="CY117" s="233"/>
      <c r="CZ117" s="233"/>
      <c r="DA117" s="233"/>
      <c r="DB117" s="233"/>
      <c r="DC117" s="233"/>
      <c r="DD117" s="233"/>
      <c r="DE117" s="233"/>
      <c r="DF117" s="233"/>
      <c r="DG117" s="233"/>
      <c r="DH117" s="233"/>
      <c r="DI117" s="233"/>
      <c r="DJ117" s="233"/>
      <c r="DK117" s="233"/>
      <c r="DL117" s="233"/>
      <c r="DM117" s="233"/>
      <c r="DN117" s="233"/>
      <c r="DO117" s="233"/>
      <c r="DP117" s="233"/>
      <c r="DQ117" s="233"/>
      <c r="DR117" s="233"/>
      <c r="DS117" s="233"/>
      <c r="DT117" s="233"/>
      <c r="DU117" s="233"/>
      <c r="DV117" s="233"/>
      <c r="DW117" s="233"/>
      <c r="DX117" s="233"/>
      <c r="DY117" s="233"/>
      <c r="DZ117" s="233"/>
      <c r="EA117" s="233"/>
      <c r="EB117" s="233"/>
      <c r="EC117" s="233"/>
      <c r="ED117" s="233"/>
      <c r="EE117" s="233"/>
      <c r="EF117" s="233"/>
      <c r="EG117" s="233"/>
      <c r="EH117" s="233"/>
      <c r="EI117" s="233"/>
      <c r="EJ117" s="233"/>
      <c r="EK117" s="233"/>
      <c r="EL117" s="233"/>
      <c r="EM117" s="233"/>
      <c r="EN117" s="233"/>
      <c r="EO117" s="233"/>
      <c r="EP117" s="233"/>
    </row>
    <row r="118" spans="1:146" ht="14.25" x14ac:dyDescent="0.2">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c r="CU118" s="233"/>
      <c r="CV118" s="233"/>
      <c r="CW118" s="233"/>
      <c r="CX118" s="233"/>
      <c r="CY118" s="233"/>
      <c r="CZ118" s="233"/>
      <c r="DA118" s="233"/>
      <c r="DB118" s="233"/>
      <c r="DC118" s="233"/>
      <c r="DD118" s="233"/>
      <c r="DE118" s="233"/>
      <c r="DF118" s="233"/>
      <c r="DG118" s="233"/>
      <c r="DH118" s="233"/>
      <c r="DI118" s="233"/>
      <c r="DJ118" s="233"/>
      <c r="DK118" s="233"/>
      <c r="DL118" s="233"/>
      <c r="DM118" s="233"/>
      <c r="DN118" s="233"/>
      <c r="DO118" s="233"/>
      <c r="DP118" s="233"/>
      <c r="DQ118" s="233"/>
      <c r="DR118" s="233"/>
      <c r="DS118" s="233"/>
      <c r="DT118" s="233"/>
      <c r="DU118" s="233"/>
      <c r="DV118" s="233"/>
      <c r="DW118" s="233"/>
      <c r="DX118" s="233"/>
      <c r="DY118" s="233"/>
      <c r="DZ118" s="233"/>
      <c r="EA118" s="233"/>
      <c r="EB118" s="233"/>
      <c r="EC118" s="233"/>
      <c r="ED118" s="233"/>
      <c r="EE118" s="233"/>
      <c r="EF118" s="233"/>
      <c r="EG118" s="233"/>
      <c r="EH118" s="233"/>
      <c r="EI118" s="233"/>
      <c r="EJ118" s="233"/>
      <c r="EK118" s="233"/>
      <c r="EL118" s="233"/>
      <c r="EM118" s="233"/>
      <c r="EN118" s="233"/>
      <c r="EO118" s="233"/>
      <c r="EP118" s="233"/>
    </row>
    <row r="119" spans="1:146" ht="14.25" x14ac:dyDescent="0.2">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233"/>
      <c r="DC119" s="233"/>
      <c r="DD119" s="233"/>
      <c r="DE119" s="233"/>
      <c r="DF119" s="233"/>
      <c r="DG119" s="233"/>
      <c r="DH119" s="233"/>
      <c r="DI119" s="233"/>
      <c r="DJ119" s="233"/>
      <c r="DK119" s="233"/>
      <c r="DL119" s="233"/>
      <c r="DM119" s="233"/>
      <c r="DN119" s="233"/>
      <c r="DO119" s="233"/>
      <c r="DP119" s="233"/>
      <c r="DQ119" s="233"/>
      <c r="DR119" s="233"/>
      <c r="DS119" s="233"/>
      <c r="DT119" s="233"/>
      <c r="DU119" s="233"/>
      <c r="DV119" s="233"/>
      <c r="DW119" s="233"/>
      <c r="DX119" s="233"/>
      <c r="DY119" s="233"/>
      <c r="DZ119" s="233"/>
      <c r="EA119" s="233"/>
      <c r="EB119" s="233"/>
      <c r="EC119" s="233"/>
      <c r="ED119" s="233"/>
      <c r="EE119" s="233"/>
      <c r="EF119" s="233"/>
      <c r="EG119" s="233"/>
      <c r="EH119" s="233"/>
      <c r="EI119" s="233"/>
      <c r="EJ119" s="233"/>
      <c r="EK119" s="233"/>
      <c r="EL119" s="233"/>
      <c r="EM119" s="233"/>
      <c r="EN119" s="233"/>
      <c r="EO119" s="233"/>
      <c r="EP119" s="233"/>
    </row>
    <row r="120" spans="1:146" ht="14.25" x14ac:dyDescent="0.2">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c r="CU120" s="233"/>
      <c r="CV120" s="233"/>
      <c r="CW120" s="233"/>
      <c r="CX120" s="233"/>
      <c r="CY120" s="233"/>
      <c r="CZ120" s="233"/>
      <c r="DA120" s="233"/>
      <c r="DB120" s="233"/>
      <c r="DC120" s="233"/>
      <c r="DD120" s="233"/>
      <c r="DE120" s="233"/>
      <c r="DF120" s="233"/>
      <c r="DG120" s="233"/>
      <c r="DH120" s="233"/>
      <c r="DI120" s="233"/>
      <c r="DJ120" s="233"/>
      <c r="DK120" s="233"/>
      <c r="DL120" s="233"/>
      <c r="DM120" s="233"/>
      <c r="DN120" s="233"/>
      <c r="DO120" s="233"/>
      <c r="DP120" s="233"/>
      <c r="DQ120" s="233"/>
      <c r="DR120" s="233"/>
      <c r="DS120" s="233"/>
      <c r="DT120" s="233"/>
      <c r="DU120" s="233"/>
      <c r="DV120" s="233"/>
      <c r="DW120" s="233"/>
      <c r="DX120" s="233"/>
      <c r="DY120" s="233"/>
      <c r="DZ120" s="233"/>
      <c r="EA120" s="233"/>
      <c r="EB120" s="233"/>
      <c r="EC120" s="233"/>
      <c r="ED120" s="233"/>
      <c r="EE120" s="233"/>
      <c r="EF120" s="233"/>
      <c r="EG120" s="233"/>
      <c r="EH120" s="233"/>
      <c r="EI120" s="233"/>
      <c r="EJ120" s="233"/>
      <c r="EK120" s="233"/>
      <c r="EL120" s="233"/>
      <c r="EM120" s="233"/>
      <c r="EN120" s="233"/>
      <c r="EO120" s="233"/>
      <c r="EP120" s="233"/>
    </row>
    <row r="121" spans="1:146" ht="14.25" x14ac:dyDescent="0.2">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c r="CU121" s="233"/>
      <c r="CV121" s="233"/>
      <c r="CW121" s="233"/>
      <c r="CX121" s="233"/>
      <c r="CY121" s="233"/>
      <c r="CZ121" s="233"/>
      <c r="DA121" s="233"/>
      <c r="DB121" s="233"/>
      <c r="DC121" s="233"/>
      <c r="DD121" s="233"/>
      <c r="DE121" s="233"/>
      <c r="DF121" s="233"/>
      <c r="DG121" s="233"/>
      <c r="DH121" s="233"/>
      <c r="DI121" s="233"/>
      <c r="DJ121" s="233"/>
      <c r="DK121" s="233"/>
      <c r="DL121" s="233"/>
      <c r="DM121" s="233"/>
      <c r="DN121" s="233"/>
      <c r="DO121" s="233"/>
      <c r="DP121" s="233"/>
      <c r="DQ121" s="233"/>
      <c r="DR121" s="233"/>
      <c r="DS121" s="233"/>
      <c r="DT121" s="233"/>
      <c r="DU121" s="233"/>
      <c r="DV121" s="233"/>
      <c r="DW121" s="233"/>
      <c r="DX121" s="233"/>
      <c r="DY121" s="233"/>
      <c r="DZ121" s="233"/>
      <c r="EA121" s="233"/>
      <c r="EB121" s="233"/>
      <c r="EC121" s="233"/>
      <c r="ED121" s="233"/>
      <c r="EE121" s="233"/>
      <c r="EF121" s="233"/>
      <c r="EG121" s="233"/>
      <c r="EH121" s="233"/>
      <c r="EI121" s="233"/>
      <c r="EJ121" s="233"/>
      <c r="EK121" s="233"/>
      <c r="EL121" s="233"/>
      <c r="EM121" s="233"/>
      <c r="EN121" s="233"/>
      <c r="EO121" s="233"/>
      <c r="EP121" s="233"/>
    </row>
    <row r="122" spans="1:146" ht="14.25" x14ac:dyDescent="0.2">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33"/>
      <c r="CN122" s="233"/>
      <c r="CO122" s="233"/>
      <c r="CP122" s="233"/>
      <c r="CQ122" s="233"/>
      <c r="CR122" s="233"/>
      <c r="CS122" s="233"/>
      <c r="CT122" s="233"/>
      <c r="CU122" s="233"/>
      <c r="CV122" s="233"/>
      <c r="CW122" s="233"/>
      <c r="CX122" s="233"/>
      <c r="CY122" s="233"/>
      <c r="CZ122" s="233"/>
      <c r="DA122" s="233"/>
      <c r="DB122" s="233"/>
      <c r="DC122" s="233"/>
      <c r="DD122" s="233"/>
      <c r="DE122" s="233"/>
      <c r="DF122" s="233"/>
      <c r="DG122" s="233"/>
      <c r="DH122" s="233"/>
      <c r="DI122" s="233"/>
      <c r="DJ122" s="233"/>
      <c r="DK122" s="233"/>
      <c r="DL122" s="233"/>
      <c r="DM122" s="233"/>
      <c r="DN122" s="233"/>
      <c r="DO122" s="233"/>
      <c r="DP122" s="233"/>
      <c r="DQ122" s="233"/>
      <c r="DR122" s="233"/>
      <c r="DS122" s="233"/>
      <c r="DT122" s="233"/>
      <c r="DU122" s="233"/>
      <c r="DV122" s="233"/>
      <c r="DW122" s="233"/>
      <c r="DX122" s="233"/>
      <c r="DY122" s="233"/>
      <c r="DZ122" s="233"/>
      <c r="EA122" s="233"/>
      <c r="EB122" s="233"/>
      <c r="EC122" s="233"/>
      <c r="ED122" s="233"/>
      <c r="EE122" s="233"/>
      <c r="EF122" s="233"/>
      <c r="EG122" s="233"/>
      <c r="EH122" s="233"/>
      <c r="EI122" s="233"/>
      <c r="EJ122" s="233"/>
      <c r="EK122" s="233"/>
      <c r="EL122" s="233"/>
      <c r="EM122" s="233"/>
      <c r="EN122" s="233"/>
      <c r="EO122" s="233"/>
      <c r="EP122" s="233"/>
    </row>
    <row r="123" spans="1:146" ht="14.25" x14ac:dyDescent="0.2">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33"/>
      <c r="CN123" s="233"/>
      <c r="CO123" s="233"/>
      <c r="CP123" s="233"/>
      <c r="CQ123" s="233"/>
      <c r="CR123" s="233"/>
      <c r="CS123" s="233"/>
      <c r="CT123" s="233"/>
      <c r="CU123" s="233"/>
      <c r="CV123" s="233"/>
      <c r="CW123" s="233"/>
      <c r="CX123" s="233"/>
      <c r="CY123" s="233"/>
      <c r="CZ123" s="233"/>
      <c r="DA123" s="233"/>
      <c r="DB123" s="233"/>
      <c r="DC123" s="233"/>
      <c r="DD123" s="233"/>
      <c r="DE123" s="233"/>
      <c r="DF123" s="233"/>
      <c r="DG123" s="233"/>
      <c r="DH123" s="233"/>
      <c r="DI123" s="233"/>
      <c r="DJ123" s="233"/>
      <c r="DK123" s="233"/>
      <c r="DL123" s="233"/>
      <c r="DM123" s="233"/>
      <c r="DN123" s="233"/>
      <c r="DO123" s="233"/>
      <c r="DP123" s="233"/>
      <c r="DQ123" s="233"/>
      <c r="DR123" s="233"/>
      <c r="DS123" s="233"/>
      <c r="DT123" s="233"/>
      <c r="DU123" s="233"/>
      <c r="DV123" s="233"/>
      <c r="DW123" s="233"/>
      <c r="DX123" s="233"/>
      <c r="DY123" s="233"/>
      <c r="DZ123" s="233"/>
      <c r="EA123" s="233"/>
      <c r="EB123" s="233"/>
      <c r="EC123" s="233"/>
      <c r="ED123" s="233"/>
      <c r="EE123" s="233"/>
      <c r="EF123" s="233"/>
      <c r="EG123" s="233"/>
      <c r="EH123" s="233"/>
      <c r="EI123" s="233"/>
      <c r="EJ123" s="233"/>
      <c r="EK123" s="233"/>
      <c r="EL123" s="233"/>
      <c r="EM123" s="233"/>
      <c r="EN123" s="233"/>
      <c r="EO123" s="233"/>
      <c r="EP123" s="233"/>
    </row>
    <row r="124" spans="1:146" ht="14.25" x14ac:dyDescent="0.2">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233"/>
      <c r="DH124" s="233"/>
      <c r="DI124" s="233"/>
      <c r="DJ124" s="233"/>
      <c r="DK124" s="233"/>
      <c r="DL124" s="233"/>
      <c r="DM124" s="233"/>
      <c r="DN124" s="233"/>
      <c r="DO124" s="233"/>
      <c r="DP124" s="233"/>
      <c r="DQ124" s="233"/>
      <c r="DR124" s="233"/>
      <c r="DS124" s="233"/>
      <c r="DT124" s="233"/>
      <c r="DU124" s="233"/>
      <c r="DV124" s="233"/>
      <c r="DW124" s="233"/>
      <c r="DX124" s="233"/>
      <c r="DY124" s="233"/>
      <c r="DZ124" s="233"/>
      <c r="EA124" s="233"/>
      <c r="EB124" s="233"/>
      <c r="EC124" s="233"/>
      <c r="ED124" s="233"/>
      <c r="EE124" s="233"/>
      <c r="EF124" s="233"/>
      <c r="EG124" s="233"/>
      <c r="EH124" s="233"/>
      <c r="EI124" s="233"/>
      <c r="EJ124" s="233"/>
      <c r="EK124" s="233"/>
      <c r="EL124" s="233"/>
      <c r="EM124" s="233"/>
      <c r="EN124" s="233"/>
      <c r="EO124" s="233"/>
      <c r="EP124" s="233"/>
    </row>
    <row r="125" spans="1:146" ht="14.25" x14ac:dyDescent="0.2">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33"/>
      <c r="CN125" s="233"/>
      <c r="CO125" s="233"/>
      <c r="CP125" s="233"/>
      <c r="CQ125" s="233"/>
      <c r="CR125" s="233"/>
      <c r="CS125" s="233"/>
      <c r="CT125" s="233"/>
      <c r="CU125" s="233"/>
      <c r="CV125" s="233"/>
      <c r="CW125" s="233"/>
      <c r="CX125" s="233"/>
      <c r="CY125" s="233"/>
      <c r="CZ125" s="233"/>
      <c r="DA125" s="233"/>
      <c r="DB125" s="233"/>
      <c r="DC125" s="233"/>
      <c r="DD125" s="233"/>
      <c r="DE125" s="233"/>
      <c r="DF125" s="233"/>
      <c r="DG125" s="233"/>
      <c r="DH125" s="233"/>
      <c r="DI125" s="233"/>
      <c r="DJ125" s="233"/>
      <c r="DK125" s="233"/>
      <c r="DL125" s="233"/>
      <c r="DM125" s="233"/>
      <c r="DN125" s="233"/>
      <c r="DO125" s="233"/>
      <c r="DP125" s="233"/>
      <c r="DQ125" s="233"/>
      <c r="DR125" s="233"/>
      <c r="DS125" s="233"/>
      <c r="DT125" s="233"/>
      <c r="DU125" s="233"/>
      <c r="DV125" s="233"/>
      <c r="DW125" s="233"/>
      <c r="DX125" s="233"/>
      <c r="DY125" s="233"/>
      <c r="DZ125" s="233"/>
      <c r="EA125" s="233"/>
      <c r="EB125" s="233"/>
      <c r="EC125" s="233"/>
      <c r="ED125" s="233"/>
      <c r="EE125" s="233"/>
      <c r="EF125" s="233"/>
      <c r="EG125" s="233"/>
      <c r="EH125" s="233"/>
      <c r="EI125" s="233"/>
      <c r="EJ125" s="233"/>
      <c r="EK125" s="233"/>
      <c r="EL125" s="233"/>
      <c r="EM125" s="233"/>
      <c r="EN125" s="233"/>
      <c r="EO125" s="233"/>
      <c r="EP125" s="233"/>
    </row>
    <row r="126" spans="1:146" ht="14.25" x14ac:dyDescent="0.2">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33"/>
      <c r="CN126" s="233"/>
      <c r="CO126" s="233"/>
      <c r="CP126" s="233"/>
      <c r="CQ126" s="233"/>
      <c r="CR126" s="233"/>
      <c r="CS126" s="233"/>
      <c r="CT126" s="233"/>
      <c r="CU126" s="233"/>
      <c r="CV126" s="233"/>
      <c r="CW126" s="233"/>
      <c r="CX126" s="233"/>
      <c r="CY126" s="233"/>
      <c r="CZ126" s="233"/>
      <c r="DA126" s="233"/>
      <c r="DB126" s="233"/>
      <c r="DC126" s="233"/>
      <c r="DD126" s="233"/>
      <c r="DE126" s="233"/>
      <c r="DF126" s="233"/>
      <c r="DG126" s="233"/>
      <c r="DH126" s="233"/>
      <c r="DI126" s="233"/>
      <c r="DJ126" s="233"/>
      <c r="DK126" s="233"/>
      <c r="DL126" s="233"/>
      <c r="DM126" s="233"/>
      <c r="DN126" s="233"/>
      <c r="DO126" s="233"/>
      <c r="DP126" s="233"/>
      <c r="DQ126" s="233"/>
      <c r="DR126" s="233"/>
      <c r="DS126" s="233"/>
      <c r="DT126" s="233"/>
      <c r="DU126" s="233"/>
      <c r="DV126" s="233"/>
      <c r="DW126" s="233"/>
      <c r="DX126" s="233"/>
      <c r="DY126" s="233"/>
      <c r="DZ126" s="233"/>
      <c r="EA126" s="233"/>
      <c r="EB126" s="233"/>
      <c r="EC126" s="233"/>
      <c r="ED126" s="233"/>
      <c r="EE126" s="233"/>
      <c r="EF126" s="233"/>
      <c r="EG126" s="233"/>
      <c r="EH126" s="233"/>
      <c r="EI126" s="233"/>
      <c r="EJ126" s="233"/>
      <c r="EK126" s="233"/>
      <c r="EL126" s="233"/>
      <c r="EM126" s="233"/>
      <c r="EN126" s="233"/>
      <c r="EO126" s="233"/>
      <c r="EP126" s="233"/>
    </row>
    <row r="127" spans="1:146" ht="14.25" x14ac:dyDescent="0.2">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233"/>
      <c r="DL127" s="233"/>
      <c r="DM127" s="233"/>
      <c r="DN127" s="233"/>
      <c r="DO127" s="233"/>
      <c r="DP127" s="233"/>
      <c r="DQ127" s="233"/>
      <c r="DR127" s="233"/>
      <c r="DS127" s="233"/>
      <c r="DT127" s="233"/>
      <c r="DU127" s="233"/>
      <c r="DV127" s="233"/>
      <c r="DW127" s="233"/>
      <c r="DX127" s="233"/>
      <c r="DY127" s="233"/>
      <c r="DZ127" s="233"/>
      <c r="EA127" s="233"/>
      <c r="EB127" s="233"/>
      <c r="EC127" s="233"/>
      <c r="ED127" s="233"/>
      <c r="EE127" s="233"/>
      <c r="EF127" s="233"/>
      <c r="EG127" s="233"/>
      <c r="EH127" s="233"/>
      <c r="EI127" s="233"/>
      <c r="EJ127" s="233"/>
      <c r="EK127" s="233"/>
      <c r="EL127" s="233"/>
      <c r="EM127" s="233"/>
      <c r="EN127" s="233"/>
      <c r="EO127" s="233"/>
      <c r="EP127" s="233"/>
    </row>
    <row r="128" spans="1:146" ht="14.25" x14ac:dyDescent="0.2">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233"/>
      <c r="DL128" s="233"/>
      <c r="DM128" s="233"/>
      <c r="DN128" s="233"/>
      <c r="DO128" s="233"/>
      <c r="DP128" s="233"/>
      <c r="DQ128" s="233"/>
      <c r="DR128" s="233"/>
      <c r="DS128" s="233"/>
      <c r="DT128" s="233"/>
      <c r="DU128" s="233"/>
      <c r="DV128" s="233"/>
      <c r="DW128" s="233"/>
      <c r="DX128" s="233"/>
      <c r="DY128" s="233"/>
      <c r="DZ128" s="233"/>
      <c r="EA128" s="233"/>
      <c r="EB128" s="233"/>
      <c r="EC128" s="233"/>
      <c r="ED128" s="233"/>
      <c r="EE128" s="233"/>
      <c r="EF128" s="233"/>
      <c r="EG128" s="233"/>
      <c r="EH128" s="233"/>
      <c r="EI128" s="233"/>
      <c r="EJ128" s="233"/>
      <c r="EK128" s="233"/>
      <c r="EL128" s="233"/>
      <c r="EM128" s="233"/>
      <c r="EN128" s="233"/>
      <c r="EO128" s="233"/>
      <c r="EP128" s="233"/>
    </row>
    <row r="129" spans="1:146" ht="14.25" x14ac:dyDescent="0.2">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33"/>
      <c r="CN129" s="233"/>
      <c r="CO129" s="233"/>
      <c r="CP129" s="233"/>
      <c r="CQ129" s="233"/>
      <c r="CR129" s="233"/>
      <c r="CS129" s="233"/>
      <c r="CT129" s="233"/>
      <c r="CU129" s="233"/>
      <c r="CV129" s="233"/>
      <c r="CW129" s="233"/>
      <c r="CX129" s="233"/>
      <c r="CY129" s="233"/>
      <c r="CZ129" s="233"/>
      <c r="DA129" s="233"/>
      <c r="DB129" s="233"/>
      <c r="DC129" s="233"/>
      <c r="DD129" s="233"/>
      <c r="DE129" s="233"/>
      <c r="DF129" s="233"/>
      <c r="DG129" s="233"/>
      <c r="DH129" s="233"/>
      <c r="DI129" s="233"/>
      <c r="DJ129" s="233"/>
      <c r="DK129" s="233"/>
      <c r="DL129" s="233"/>
      <c r="DM129" s="233"/>
      <c r="DN129" s="233"/>
      <c r="DO129" s="233"/>
      <c r="DP129" s="233"/>
      <c r="DQ129" s="233"/>
      <c r="DR129" s="233"/>
      <c r="DS129" s="233"/>
      <c r="DT129" s="233"/>
      <c r="DU129" s="233"/>
      <c r="DV129" s="233"/>
      <c r="DW129" s="233"/>
      <c r="DX129" s="233"/>
      <c r="DY129" s="233"/>
      <c r="DZ129" s="233"/>
      <c r="EA129" s="233"/>
      <c r="EB129" s="233"/>
      <c r="EC129" s="233"/>
      <c r="ED129" s="233"/>
      <c r="EE129" s="233"/>
      <c r="EF129" s="233"/>
      <c r="EG129" s="233"/>
      <c r="EH129" s="233"/>
      <c r="EI129" s="233"/>
      <c r="EJ129" s="233"/>
      <c r="EK129" s="233"/>
      <c r="EL129" s="233"/>
      <c r="EM129" s="233"/>
      <c r="EN129" s="233"/>
      <c r="EO129" s="233"/>
      <c r="EP129" s="233"/>
    </row>
    <row r="130" spans="1:146" ht="14.25" x14ac:dyDescent="0.2">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33"/>
      <c r="CN130" s="233"/>
      <c r="CO130" s="233"/>
      <c r="CP130" s="233"/>
      <c r="CQ130" s="233"/>
      <c r="CR130" s="233"/>
      <c r="CS130" s="233"/>
      <c r="CT130" s="233"/>
      <c r="CU130" s="233"/>
      <c r="CV130" s="233"/>
      <c r="CW130" s="233"/>
      <c r="CX130" s="233"/>
      <c r="CY130" s="233"/>
      <c r="CZ130" s="233"/>
      <c r="DA130" s="233"/>
      <c r="DB130" s="233"/>
      <c r="DC130" s="233"/>
      <c r="DD130" s="233"/>
      <c r="DE130" s="233"/>
      <c r="DF130" s="233"/>
      <c r="DG130" s="233"/>
      <c r="DH130" s="233"/>
      <c r="DI130" s="233"/>
      <c r="DJ130" s="233"/>
      <c r="DK130" s="233"/>
      <c r="DL130" s="233"/>
      <c r="DM130" s="233"/>
      <c r="DN130" s="233"/>
      <c r="DO130" s="233"/>
      <c r="DP130" s="233"/>
      <c r="DQ130" s="233"/>
      <c r="DR130" s="233"/>
      <c r="DS130" s="233"/>
      <c r="DT130" s="233"/>
      <c r="DU130" s="233"/>
      <c r="DV130" s="233"/>
      <c r="DW130" s="233"/>
      <c r="DX130" s="233"/>
      <c r="DY130" s="233"/>
      <c r="DZ130" s="233"/>
      <c r="EA130" s="233"/>
      <c r="EB130" s="233"/>
      <c r="EC130" s="233"/>
      <c r="ED130" s="233"/>
      <c r="EE130" s="233"/>
      <c r="EF130" s="233"/>
      <c r="EG130" s="233"/>
      <c r="EH130" s="233"/>
      <c r="EI130" s="233"/>
      <c r="EJ130" s="233"/>
      <c r="EK130" s="233"/>
      <c r="EL130" s="233"/>
      <c r="EM130" s="233"/>
      <c r="EN130" s="233"/>
      <c r="EO130" s="233"/>
      <c r="EP130" s="233"/>
    </row>
    <row r="131" spans="1:146" ht="14.25" x14ac:dyDescent="0.2">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33"/>
      <c r="CN131" s="233"/>
      <c r="CO131" s="233"/>
      <c r="CP131" s="233"/>
      <c r="CQ131" s="233"/>
      <c r="CR131" s="233"/>
      <c r="CS131" s="233"/>
      <c r="CT131" s="233"/>
      <c r="CU131" s="233"/>
      <c r="CV131" s="233"/>
      <c r="CW131" s="233"/>
      <c r="CX131" s="233"/>
      <c r="CY131" s="233"/>
      <c r="CZ131" s="233"/>
      <c r="DA131" s="233"/>
      <c r="DB131" s="233"/>
      <c r="DC131" s="233"/>
      <c r="DD131" s="233"/>
      <c r="DE131" s="233"/>
      <c r="DF131" s="233"/>
      <c r="DG131" s="233"/>
      <c r="DH131" s="233"/>
      <c r="DI131" s="233"/>
      <c r="DJ131" s="233"/>
      <c r="DK131" s="233"/>
      <c r="DL131" s="233"/>
      <c r="DM131" s="233"/>
      <c r="DN131" s="233"/>
      <c r="DO131" s="233"/>
      <c r="DP131" s="233"/>
      <c r="DQ131" s="233"/>
      <c r="DR131" s="233"/>
      <c r="DS131" s="233"/>
      <c r="DT131" s="233"/>
      <c r="DU131" s="233"/>
      <c r="DV131" s="233"/>
      <c r="DW131" s="233"/>
      <c r="DX131" s="233"/>
      <c r="DY131" s="233"/>
      <c r="DZ131" s="233"/>
      <c r="EA131" s="233"/>
      <c r="EB131" s="233"/>
      <c r="EC131" s="233"/>
      <c r="ED131" s="233"/>
      <c r="EE131" s="233"/>
      <c r="EF131" s="233"/>
      <c r="EG131" s="233"/>
      <c r="EH131" s="233"/>
      <c r="EI131" s="233"/>
      <c r="EJ131" s="233"/>
      <c r="EK131" s="233"/>
      <c r="EL131" s="233"/>
      <c r="EM131" s="233"/>
      <c r="EN131" s="233"/>
      <c r="EO131" s="233"/>
      <c r="EP131" s="233"/>
    </row>
    <row r="132" spans="1:146" ht="14.25" x14ac:dyDescent="0.2">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33"/>
      <c r="CN132" s="233"/>
      <c r="CO132" s="233"/>
      <c r="CP132" s="233"/>
      <c r="CQ132" s="233"/>
      <c r="CR132" s="233"/>
      <c r="CS132" s="233"/>
      <c r="CT132" s="233"/>
      <c r="CU132" s="233"/>
      <c r="CV132" s="233"/>
      <c r="CW132" s="233"/>
      <c r="CX132" s="233"/>
      <c r="CY132" s="233"/>
      <c r="CZ132" s="233"/>
      <c r="DA132" s="233"/>
      <c r="DB132" s="233"/>
      <c r="DC132" s="233"/>
      <c r="DD132" s="233"/>
      <c r="DE132" s="233"/>
      <c r="DF132" s="233"/>
      <c r="DG132" s="233"/>
      <c r="DH132" s="233"/>
      <c r="DI132" s="233"/>
      <c r="DJ132" s="233"/>
      <c r="DK132" s="233"/>
      <c r="DL132" s="233"/>
      <c r="DM132" s="233"/>
      <c r="DN132" s="233"/>
      <c r="DO132" s="233"/>
      <c r="DP132" s="233"/>
      <c r="DQ132" s="233"/>
      <c r="DR132" s="233"/>
      <c r="DS132" s="233"/>
      <c r="DT132" s="233"/>
      <c r="DU132" s="233"/>
      <c r="DV132" s="233"/>
      <c r="DW132" s="233"/>
      <c r="DX132" s="233"/>
      <c r="DY132" s="233"/>
      <c r="DZ132" s="233"/>
      <c r="EA132" s="233"/>
      <c r="EB132" s="233"/>
      <c r="EC132" s="233"/>
      <c r="ED132" s="233"/>
      <c r="EE132" s="233"/>
      <c r="EF132" s="233"/>
      <c r="EG132" s="233"/>
      <c r="EH132" s="233"/>
      <c r="EI132" s="233"/>
      <c r="EJ132" s="233"/>
      <c r="EK132" s="233"/>
      <c r="EL132" s="233"/>
      <c r="EM132" s="233"/>
      <c r="EN132" s="233"/>
      <c r="EO132" s="233"/>
      <c r="EP132" s="233"/>
    </row>
    <row r="133" spans="1:146" ht="14.25" x14ac:dyDescent="0.2">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33"/>
      <c r="CN133" s="233"/>
      <c r="CO133" s="233"/>
      <c r="CP133" s="233"/>
      <c r="CQ133" s="233"/>
      <c r="CR133" s="233"/>
      <c r="CS133" s="233"/>
      <c r="CT133" s="233"/>
      <c r="CU133" s="233"/>
      <c r="CV133" s="233"/>
      <c r="CW133" s="233"/>
      <c r="CX133" s="233"/>
      <c r="CY133" s="233"/>
      <c r="CZ133" s="233"/>
      <c r="DA133" s="233"/>
      <c r="DB133" s="233"/>
      <c r="DC133" s="233"/>
      <c r="DD133" s="233"/>
      <c r="DE133" s="233"/>
      <c r="DF133" s="233"/>
      <c r="DG133" s="233"/>
      <c r="DH133" s="233"/>
      <c r="DI133" s="233"/>
      <c r="DJ133" s="233"/>
      <c r="DK133" s="233"/>
      <c r="DL133" s="233"/>
      <c r="DM133" s="233"/>
      <c r="DN133" s="233"/>
      <c r="DO133" s="233"/>
      <c r="DP133" s="233"/>
      <c r="DQ133" s="233"/>
      <c r="DR133" s="233"/>
      <c r="DS133" s="233"/>
      <c r="DT133" s="233"/>
      <c r="DU133" s="233"/>
      <c r="DV133" s="233"/>
      <c r="DW133" s="233"/>
      <c r="DX133" s="233"/>
      <c r="DY133" s="233"/>
      <c r="DZ133" s="233"/>
      <c r="EA133" s="233"/>
      <c r="EB133" s="233"/>
      <c r="EC133" s="233"/>
      <c r="ED133" s="233"/>
      <c r="EE133" s="233"/>
      <c r="EF133" s="233"/>
      <c r="EG133" s="233"/>
      <c r="EH133" s="233"/>
      <c r="EI133" s="233"/>
      <c r="EJ133" s="233"/>
      <c r="EK133" s="233"/>
      <c r="EL133" s="233"/>
      <c r="EM133" s="233"/>
      <c r="EN133" s="233"/>
      <c r="EO133" s="233"/>
      <c r="EP133" s="233"/>
    </row>
    <row r="134" spans="1:146" ht="14.25" x14ac:dyDescent="0.2">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c r="DL134" s="233"/>
      <c r="DM134" s="233"/>
      <c r="DN134" s="233"/>
      <c r="DO134" s="233"/>
      <c r="DP134" s="233"/>
      <c r="DQ134" s="233"/>
      <c r="DR134" s="233"/>
      <c r="DS134" s="233"/>
      <c r="DT134" s="233"/>
      <c r="DU134" s="233"/>
      <c r="DV134" s="233"/>
      <c r="DW134" s="233"/>
      <c r="DX134" s="233"/>
      <c r="DY134" s="233"/>
      <c r="DZ134" s="233"/>
      <c r="EA134" s="233"/>
      <c r="EB134" s="233"/>
      <c r="EC134" s="233"/>
      <c r="ED134" s="233"/>
      <c r="EE134" s="233"/>
      <c r="EF134" s="233"/>
      <c r="EG134" s="233"/>
      <c r="EH134" s="233"/>
      <c r="EI134" s="233"/>
      <c r="EJ134" s="233"/>
      <c r="EK134" s="233"/>
      <c r="EL134" s="233"/>
      <c r="EM134" s="233"/>
      <c r="EN134" s="233"/>
      <c r="EO134" s="233"/>
      <c r="EP134" s="233"/>
    </row>
    <row r="135" spans="1:146" ht="14.25" x14ac:dyDescent="0.2">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33"/>
      <c r="CN135" s="233"/>
      <c r="CO135" s="233"/>
      <c r="CP135" s="233"/>
      <c r="CQ135" s="233"/>
      <c r="CR135" s="233"/>
      <c r="CS135" s="233"/>
      <c r="CT135" s="233"/>
      <c r="CU135" s="233"/>
      <c r="CV135" s="233"/>
      <c r="CW135" s="233"/>
      <c r="CX135" s="233"/>
      <c r="CY135" s="233"/>
      <c r="CZ135" s="233"/>
      <c r="DA135" s="233"/>
      <c r="DB135" s="233"/>
      <c r="DC135" s="233"/>
      <c r="DD135" s="233"/>
      <c r="DE135" s="233"/>
      <c r="DF135" s="233"/>
      <c r="DG135" s="233"/>
      <c r="DH135" s="233"/>
      <c r="DI135" s="233"/>
      <c r="DJ135" s="233"/>
      <c r="DK135" s="233"/>
      <c r="DL135" s="233"/>
      <c r="DM135" s="233"/>
      <c r="DN135" s="233"/>
      <c r="DO135" s="233"/>
      <c r="DP135" s="233"/>
      <c r="DQ135" s="233"/>
      <c r="DR135" s="233"/>
      <c r="DS135" s="233"/>
      <c r="DT135" s="233"/>
      <c r="DU135" s="233"/>
      <c r="DV135" s="233"/>
      <c r="DW135" s="233"/>
      <c r="DX135" s="233"/>
      <c r="DY135" s="233"/>
      <c r="DZ135" s="233"/>
      <c r="EA135" s="233"/>
      <c r="EB135" s="233"/>
      <c r="EC135" s="233"/>
      <c r="ED135" s="233"/>
      <c r="EE135" s="233"/>
      <c r="EF135" s="233"/>
      <c r="EG135" s="233"/>
      <c r="EH135" s="233"/>
      <c r="EI135" s="233"/>
      <c r="EJ135" s="233"/>
      <c r="EK135" s="233"/>
      <c r="EL135" s="233"/>
      <c r="EM135" s="233"/>
      <c r="EN135" s="233"/>
      <c r="EO135" s="233"/>
      <c r="EP135" s="233"/>
    </row>
    <row r="136" spans="1:146" ht="14.25" x14ac:dyDescent="0.2">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c r="DL136" s="233"/>
      <c r="DM136" s="233"/>
      <c r="DN136" s="233"/>
      <c r="DO136" s="233"/>
      <c r="DP136" s="233"/>
      <c r="DQ136" s="233"/>
      <c r="DR136" s="233"/>
      <c r="DS136" s="233"/>
      <c r="DT136" s="233"/>
      <c r="DU136" s="233"/>
      <c r="DV136" s="233"/>
      <c r="DW136" s="233"/>
      <c r="DX136" s="233"/>
      <c r="DY136" s="233"/>
      <c r="DZ136" s="233"/>
      <c r="EA136" s="233"/>
      <c r="EB136" s="233"/>
      <c r="EC136" s="233"/>
      <c r="ED136" s="233"/>
      <c r="EE136" s="233"/>
      <c r="EF136" s="233"/>
      <c r="EG136" s="233"/>
      <c r="EH136" s="233"/>
      <c r="EI136" s="233"/>
      <c r="EJ136" s="233"/>
      <c r="EK136" s="233"/>
      <c r="EL136" s="233"/>
      <c r="EM136" s="233"/>
      <c r="EN136" s="233"/>
      <c r="EO136" s="233"/>
      <c r="EP136" s="233"/>
    </row>
    <row r="137" spans="1:146" ht="14.25" x14ac:dyDescent="0.2">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33"/>
      <c r="CN137" s="233"/>
      <c r="CO137" s="233"/>
      <c r="CP137" s="233"/>
      <c r="CQ137" s="233"/>
      <c r="CR137" s="233"/>
      <c r="CS137" s="233"/>
      <c r="CT137" s="233"/>
      <c r="CU137" s="233"/>
      <c r="CV137" s="233"/>
      <c r="CW137" s="233"/>
      <c r="CX137" s="233"/>
      <c r="CY137" s="233"/>
      <c r="CZ137" s="233"/>
      <c r="DA137" s="233"/>
      <c r="DB137" s="233"/>
      <c r="DC137" s="233"/>
      <c r="DD137" s="233"/>
      <c r="DE137" s="233"/>
      <c r="DF137" s="233"/>
      <c r="DG137" s="233"/>
      <c r="DH137" s="233"/>
      <c r="DI137" s="233"/>
      <c r="DJ137" s="233"/>
      <c r="DK137" s="233"/>
      <c r="DL137" s="233"/>
      <c r="DM137" s="233"/>
      <c r="DN137" s="233"/>
      <c r="DO137" s="233"/>
      <c r="DP137" s="233"/>
      <c r="DQ137" s="233"/>
      <c r="DR137" s="233"/>
      <c r="DS137" s="233"/>
      <c r="DT137" s="233"/>
      <c r="DU137" s="233"/>
      <c r="DV137" s="233"/>
      <c r="DW137" s="233"/>
      <c r="DX137" s="233"/>
      <c r="DY137" s="233"/>
      <c r="DZ137" s="233"/>
      <c r="EA137" s="233"/>
      <c r="EB137" s="233"/>
      <c r="EC137" s="233"/>
      <c r="ED137" s="233"/>
      <c r="EE137" s="233"/>
      <c r="EF137" s="233"/>
      <c r="EG137" s="233"/>
      <c r="EH137" s="233"/>
      <c r="EI137" s="233"/>
      <c r="EJ137" s="233"/>
      <c r="EK137" s="233"/>
      <c r="EL137" s="233"/>
      <c r="EM137" s="233"/>
      <c r="EN137" s="233"/>
      <c r="EO137" s="233"/>
      <c r="EP137" s="233"/>
    </row>
    <row r="138" spans="1:146" ht="14.25" x14ac:dyDescent="0.2">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33"/>
      <c r="CN138" s="233"/>
      <c r="CO138" s="233"/>
      <c r="CP138" s="233"/>
      <c r="CQ138" s="233"/>
      <c r="CR138" s="233"/>
      <c r="CS138" s="233"/>
      <c r="CT138" s="233"/>
      <c r="CU138" s="233"/>
      <c r="CV138" s="233"/>
      <c r="CW138" s="233"/>
      <c r="CX138" s="233"/>
      <c r="CY138" s="233"/>
      <c r="CZ138" s="233"/>
      <c r="DA138" s="233"/>
      <c r="DB138" s="233"/>
      <c r="DC138" s="233"/>
      <c r="DD138" s="233"/>
      <c r="DE138" s="233"/>
      <c r="DF138" s="233"/>
      <c r="DG138" s="233"/>
      <c r="DH138" s="233"/>
      <c r="DI138" s="233"/>
      <c r="DJ138" s="233"/>
      <c r="DK138" s="233"/>
      <c r="DL138" s="233"/>
      <c r="DM138" s="233"/>
      <c r="DN138" s="233"/>
      <c r="DO138" s="233"/>
      <c r="DP138" s="233"/>
      <c r="DQ138" s="233"/>
      <c r="DR138" s="233"/>
      <c r="DS138" s="233"/>
      <c r="DT138" s="233"/>
      <c r="DU138" s="233"/>
      <c r="DV138" s="233"/>
      <c r="DW138" s="233"/>
      <c r="DX138" s="233"/>
      <c r="DY138" s="233"/>
      <c r="DZ138" s="233"/>
      <c r="EA138" s="233"/>
      <c r="EB138" s="233"/>
      <c r="EC138" s="233"/>
      <c r="ED138" s="233"/>
      <c r="EE138" s="233"/>
      <c r="EF138" s="233"/>
      <c r="EG138" s="233"/>
      <c r="EH138" s="233"/>
      <c r="EI138" s="233"/>
      <c r="EJ138" s="233"/>
      <c r="EK138" s="233"/>
      <c r="EL138" s="233"/>
      <c r="EM138" s="233"/>
      <c r="EN138" s="233"/>
      <c r="EO138" s="233"/>
      <c r="EP138" s="233"/>
    </row>
    <row r="139" spans="1:146" ht="14.25" x14ac:dyDescent="0.2">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33"/>
      <c r="CN139" s="233"/>
      <c r="CO139" s="233"/>
      <c r="CP139" s="233"/>
      <c r="CQ139" s="233"/>
      <c r="CR139" s="233"/>
      <c r="CS139" s="233"/>
      <c r="CT139" s="233"/>
      <c r="CU139" s="233"/>
      <c r="CV139" s="233"/>
      <c r="CW139" s="233"/>
      <c r="CX139" s="233"/>
      <c r="CY139" s="233"/>
      <c r="CZ139" s="233"/>
      <c r="DA139" s="233"/>
      <c r="DB139" s="233"/>
      <c r="DC139" s="233"/>
      <c r="DD139" s="233"/>
      <c r="DE139" s="233"/>
      <c r="DF139" s="233"/>
      <c r="DG139" s="233"/>
      <c r="DH139" s="233"/>
      <c r="DI139" s="233"/>
      <c r="DJ139" s="233"/>
      <c r="DK139" s="233"/>
      <c r="DL139" s="233"/>
      <c r="DM139" s="233"/>
      <c r="DN139" s="233"/>
      <c r="DO139" s="233"/>
      <c r="DP139" s="233"/>
      <c r="DQ139" s="233"/>
      <c r="DR139" s="233"/>
      <c r="DS139" s="233"/>
      <c r="DT139" s="233"/>
      <c r="DU139" s="233"/>
      <c r="DV139" s="233"/>
      <c r="DW139" s="233"/>
      <c r="DX139" s="233"/>
      <c r="DY139" s="233"/>
      <c r="DZ139" s="233"/>
      <c r="EA139" s="233"/>
      <c r="EB139" s="233"/>
      <c r="EC139" s="233"/>
      <c r="ED139" s="233"/>
      <c r="EE139" s="233"/>
      <c r="EF139" s="233"/>
      <c r="EG139" s="233"/>
      <c r="EH139" s="233"/>
      <c r="EI139" s="233"/>
      <c r="EJ139" s="233"/>
      <c r="EK139" s="233"/>
      <c r="EL139" s="233"/>
      <c r="EM139" s="233"/>
      <c r="EN139" s="233"/>
      <c r="EO139" s="233"/>
      <c r="EP139" s="233"/>
    </row>
    <row r="140" spans="1:146" ht="14.25" x14ac:dyDescent="0.2">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33"/>
      <c r="CN140" s="233"/>
      <c r="CO140" s="233"/>
      <c r="CP140" s="233"/>
      <c r="CQ140" s="233"/>
      <c r="CR140" s="233"/>
      <c r="CS140" s="233"/>
      <c r="CT140" s="233"/>
      <c r="CU140" s="233"/>
      <c r="CV140" s="233"/>
      <c r="CW140" s="233"/>
      <c r="CX140" s="233"/>
      <c r="CY140" s="233"/>
      <c r="CZ140" s="233"/>
      <c r="DA140" s="233"/>
      <c r="DB140" s="233"/>
      <c r="DC140" s="233"/>
      <c r="DD140" s="233"/>
      <c r="DE140" s="233"/>
      <c r="DF140" s="233"/>
      <c r="DG140" s="233"/>
      <c r="DH140" s="233"/>
      <c r="DI140" s="233"/>
      <c r="DJ140" s="233"/>
      <c r="DK140" s="233"/>
      <c r="DL140" s="233"/>
      <c r="DM140" s="233"/>
      <c r="DN140" s="233"/>
      <c r="DO140" s="233"/>
      <c r="DP140" s="233"/>
      <c r="DQ140" s="233"/>
      <c r="DR140" s="233"/>
      <c r="DS140" s="233"/>
      <c r="DT140" s="233"/>
      <c r="DU140" s="233"/>
      <c r="DV140" s="233"/>
      <c r="DW140" s="233"/>
      <c r="DX140" s="233"/>
      <c r="DY140" s="233"/>
      <c r="DZ140" s="233"/>
      <c r="EA140" s="233"/>
      <c r="EB140" s="233"/>
      <c r="EC140" s="233"/>
      <c r="ED140" s="233"/>
      <c r="EE140" s="233"/>
      <c r="EF140" s="233"/>
      <c r="EG140" s="233"/>
      <c r="EH140" s="233"/>
      <c r="EI140" s="233"/>
      <c r="EJ140" s="233"/>
      <c r="EK140" s="233"/>
      <c r="EL140" s="233"/>
      <c r="EM140" s="233"/>
      <c r="EN140" s="233"/>
      <c r="EO140" s="233"/>
      <c r="EP140" s="233"/>
    </row>
    <row r="141" spans="1:146" ht="14.25" x14ac:dyDescent="0.2">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33"/>
      <c r="CN141" s="233"/>
      <c r="CO141" s="233"/>
      <c r="CP141" s="233"/>
      <c r="CQ141" s="233"/>
      <c r="CR141" s="233"/>
      <c r="CS141" s="233"/>
      <c r="CT141" s="233"/>
      <c r="CU141" s="233"/>
      <c r="CV141" s="233"/>
      <c r="CW141" s="233"/>
      <c r="CX141" s="233"/>
      <c r="CY141" s="233"/>
      <c r="CZ141" s="233"/>
      <c r="DA141" s="233"/>
      <c r="DB141" s="233"/>
      <c r="DC141" s="233"/>
      <c r="DD141" s="233"/>
      <c r="DE141" s="233"/>
      <c r="DF141" s="233"/>
      <c r="DG141" s="233"/>
      <c r="DH141" s="233"/>
      <c r="DI141" s="233"/>
      <c r="DJ141" s="233"/>
      <c r="DK141" s="233"/>
      <c r="DL141" s="233"/>
      <c r="DM141" s="233"/>
      <c r="DN141" s="233"/>
      <c r="DO141" s="233"/>
      <c r="DP141" s="233"/>
      <c r="DQ141" s="233"/>
      <c r="DR141" s="233"/>
      <c r="DS141" s="233"/>
      <c r="DT141" s="233"/>
      <c r="DU141" s="233"/>
      <c r="DV141" s="233"/>
      <c r="DW141" s="233"/>
      <c r="DX141" s="233"/>
      <c r="DY141" s="233"/>
      <c r="DZ141" s="233"/>
      <c r="EA141" s="233"/>
      <c r="EB141" s="233"/>
      <c r="EC141" s="233"/>
      <c r="ED141" s="233"/>
      <c r="EE141" s="233"/>
      <c r="EF141" s="233"/>
      <c r="EG141" s="233"/>
      <c r="EH141" s="233"/>
      <c r="EI141" s="233"/>
      <c r="EJ141" s="233"/>
      <c r="EK141" s="233"/>
      <c r="EL141" s="233"/>
      <c r="EM141" s="233"/>
      <c r="EN141" s="233"/>
      <c r="EO141" s="233"/>
      <c r="EP141" s="233"/>
    </row>
    <row r="142" spans="1:146" ht="14.25" x14ac:dyDescent="0.2">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c r="DL142" s="233"/>
      <c r="DM142" s="233"/>
      <c r="DN142" s="233"/>
      <c r="DO142" s="233"/>
      <c r="DP142" s="233"/>
      <c r="DQ142" s="233"/>
      <c r="DR142" s="233"/>
      <c r="DS142" s="233"/>
      <c r="DT142" s="233"/>
      <c r="DU142" s="233"/>
      <c r="DV142" s="233"/>
      <c r="DW142" s="233"/>
      <c r="DX142" s="233"/>
      <c r="DY142" s="233"/>
      <c r="DZ142" s="233"/>
      <c r="EA142" s="233"/>
      <c r="EB142" s="233"/>
      <c r="EC142" s="233"/>
      <c r="ED142" s="233"/>
      <c r="EE142" s="233"/>
      <c r="EF142" s="233"/>
      <c r="EG142" s="233"/>
      <c r="EH142" s="233"/>
      <c r="EI142" s="233"/>
      <c r="EJ142" s="233"/>
      <c r="EK142" s="233"/>
      <c r="EL142" s="233"/>
      <c r="EM142" s="233"/>
      <c r="EN142" s="233"/>
      <c r="EO142" s="233"/>
      <c r="EP142" s="233"/>
    </row>
    <row r="143" spans="1:146" ht="14.25" x14ac:dyDescent="0.2">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33"/>
      <c r="CN143" s="233"/>
      <c r="CO143" s="233"/>
      <c r="CP143" s="233"/>
      <c r="CQ143" s="233"/>
      <c r="CR143" s="233"/>
      <c r="CS143" s="233"/>
      <c r="CT143" s="233"/>
      <c r="CU143" s="233"/>
      <c r="CV143" s="233"/>
      <c r="CW143" s="233"/>
      <c r="CX143" s="233"/>
      <c r="CY143" s="233"/>
      <c r="CZ143" s="233"/>
      <c r="DA143" s="233"/>
      <c r="DB143" s="233"/>
      <c r="DC143" s="233"/>
      <c r="DD143" s="233"/>
      <c r="DE143" s="233"/>
      <c r="DF143" s="233"/>
      <c r="DG143" s="233"/>
      <c r="DH143" s="233"/>
      <c r="DI143" s="233"/>
      <c r="DJ143" s="233"/>
      <c r="DK143" s="233"/>
      <c r="DL143" s="233"/>
      <c r="DM143" s="233"/>
      <c r="DN143" s="233"/>
      <c r="DO143" s="233"/>
      <c r="DP143" s="233"/>
      <c r="DQ143" s="233"/>
      <c r="DR143" s="233"/>
      <c r="DS143" s="233"/>
      <c r="DT143" s="233"/>
      <c r="DU143" s="233"/>
      <c r="DV143" s="233"/>
      <c r="DW143" s="233"/>
      <c r="DX143" s="233"/>
      <c r="DY143" s="233"/>
      <c r="DZ143" s="233"/>
      <c r="EA143" s="233"/>
      <c r="EB143" s="233"/>
      <c r="EC143" s="233"/>
      <c r="ED143" s="233"/>
      <c r="EE143" s="233"/>
      <c r="EF143" s="233"/>
      <c r="EG143" s="233"/>
      <c r="EH143" s="233"/>
      <c r="EI143" s="233"/>
      <c r="EJ143" s="233"/>
      <c r="EK143" s="233"/>
      <c r="EL143" s="233"/>
      <c r="EM143" s="233"/>
      <c r="EN143" s="233"/>
      <c r="EO143" s="233"/>
      <c r="EP143" s="233"/>
    </row>
    <row r="144" spans="1:146" ht="14.25" x14ac:dyDescent="0.2">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c r="DL144" s="233"/>
      <c r="DM144" s="233"/>
      <c r="DN144" s="233"/>
      <c r="DO144" s="233"/>
      <c r="DP144" s="233"/>
      <c r="DQ144" s="233"/>
      <c r="DR144" s="233"/>
      <c r="DS144" s="233"/>
      <c r="DT144" s="233"/>
      <c r="DU144" s="233"/>
      <c r="DV144" s="233"/>
      <c r="DW144" s="233"/>
      <c r="DX144" s="233"/>
      <c r="DY144" s="233"/>
      <c r="DZ144" s="233"/>
      <c r="EA144" s="233"/>
      <c r="EB144" s="233"/>
      <c r="EC144" s="233"/>
      <c r="ED144" s="233"/>
      <c r="EE144" s="233"/>
      <c r="EF144" s="233"/>
      <c r="EG144" s="233"/>
      <c r="EH144" s="233"/>
      <c r="EI144" s="233"/>
      <c r="EJ144" s="233"/>
      <c r="EK144" s="233"/>
      <c r="EL144" s="233"/>
      <c r="EM144" s="233"/>
      <c r="EN144" s="233"/>
      <c r="EO144" s="233"/>
      <c r="EP144" s="233"/>
    </row>
    <row r="145" spans="1:146" ht="14.25" x14ac:dyDescent="0.2">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33"/>
      <c r="CN145" s="233"/>
      <c r="CO145" s="233"/>
      <c r="CP145" s="233"/>
      <c r="CQ145" s="233"/>
      <c r="CR145" s="233"/>
      <c r="CS145" s="233"/>
      <c r="CT145" s="233"/>
      <c r="CU145" s="233"/>
      <c r="CV145" s="233"/>
      <c r="CW145" s="233"/>
      <c r="CX145" s="233"/>
      <c r="CY145" s="233"/>
      <c r="CZ145" s="233"/>
      <c r="DA145" s="233"/>
      <c r="DB145" s="233"/>
      <c r="DC145" s="233"/>
      <c r="DD145" s="233"/>
      <c r="DE145" s="233"/>
      <c r="DF145" s="233"/>
      <c r="DG145" s="233"/>
      <c r="DH145" s="233"/>
      <c r="DI145" s="233"/>
      <c r="DJ145" s="233"/>
      <c r="DK145" s="233"/>
      <c r="DL145" s="233"/>
      <c r="DM145" s="233"/>
      <c r="DN145" s="233"/>
      <c r="DO145" s="233"/>
      <c r="DP145" s="233"/>
      <c r="DQ145" s="233"/>
      <c r="DR145" s="233"/>
      <c r="DS145" s="233"/>
      <c r="DT145" s="233"/>
      <c r="DU145" s="233"/>
      <c r="DV145" s="233"/>
      <c r="DW145" s="233"/>
      <c r="DX145" s="233"/>
      <c r="DY145" s="233"/>
      <c r="DZ145" s="233"/>
      <c r="EA145" s="233"/>
      <c r="EB145" s="233"/>
      <c r="EC145" s="233"/>
      <c r="ED145" s="233"/>
      <c r="EE145" s="233"/>
      <c r="EF145" s="233"/>
      <c r="EG145" s="233"/>
      <c r="EH145" s="233"/>
      <c r="EI145" s="233"/>
      <c r="EJ145" s="233"/>
      <c r="EK145" s="233"/>
      <c r="EL145" s="233"/>
      <c r="EM145" s="233"/>
      <c r="EN145" s="233"/>
      <c r="EO145" s="233"/>
      <c r="EP145" s="233"/>
    </row>
    <row r="146" spans="1:146" ht="14.25" x14ac:dyDescent="0.2">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c r="DL146" s="233"/>
      <c r="DM146" s="233"/>
      <c r="DN146" s="233"/>
      <c r="DO146" s="233"/>
      <c r="DP146" s="233"/>
      <c r="DQ146" s="233"/>
      <c r="DR146" s="233"/>
      <c r="DS146" s="233"/>
      <c r="DT146" s="233"/>
      <c r="DU146" s="233"/>
      <c r="DV146" s="233"/>
      <c r="DW146" s="233"/>
      <c r="DX146" s="233"/>
      <c r="DY146" s="233"/>
      <c r="DZ146" s="233"/>
      <c r="EA146" s="233"/>
      <c r="EB146" s="233"/>
      <c r="EC146" s="233"/>
      <c r="ED146" s="233"/>
      <c r="EE146" s="233"/>
      <c r="EF146" s="233"/>
      <c r="EG146" s="233"/>
      <c r="EH146" s="233"/>
      <c r="EI146" s="233"/>
      <c r="EJ146" s="233"/>
      <c r="EK146" s="233"/>
      <c r="EL146" s="233"/>
      <c r="EM146" s="233"/>
      <c r="EN146" s="233"/>
      <c r="EO146" s="233"/>
      <c r="EP146" s="233"/>
    </row>
    <row r="147" spans="1:146" ht="14.25" x14ac:dyDescent="0.2">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33"/>
      <c r="CN147" s="233"/>
      <c r="CO147" s="233"/>
      <c r="CP147" s="233"/>
      <c r="CQ147" s="233"/>
      <c r="CR147" s="233"/>
      <c r="CS147" s="233"/>
      <c r="CT147" s="233"/>
      <c r="CU147" s="233"/>
      <c r="CV147" s="233"/>
      <c r="CW147" s="233"/>
      <c r="CX147" s="233"/>
      <c r="CY147" s="233"/>
      <c r="CZ147" s="233"/>
      <c r="DA147" s="233"/>
      <c r="DB147" s="233"/>
      <c r="DC147" s="233"/>
      <c r="DD147" s="233"/>
      <c r="DE147" s="233"/>
      <c r="DF147" s="233"/>
      <c r="DG147" s="233"/>
      <c r="DH147" s="233"/>
      <c r="DI147" s="233"/>
      <c r="DJ147" s="233"/>
      <c r="DK147" s="233"/>
      <c r="DL147" s="233"/>
      <c r="DM147" s="233"/>
      <c r="DN147" s="233"/>
      <c r="DO147" s="233"/>
      <c r="DP147" s="233"/>
      <c r="DQ147" s="233"/>
      <c r="DR147" s="233"/>
      <c r="DS147" s="233"/>
      <c r="DT147" s="233"/>
      <c r="DU147" s="233"/>
      <c r="DV147" s="233"/>
      <c r="DW147" s="233"/>
      <c r="DX147" s="233"/>
      <c r="DY147" s="233"/>
      <c r="DZ147" s="233"/>
      <c r="EA147" s="233"/>
      <c r="EB147" s="233"/>
      <c r="EC147" s="233"/>
      <c r="ED147" s="233"/>
      <c r="EE147" s="233"/>
      <c r="EF147" s="233"/>
      <c r="EG147" s="233"/>
      <c r="EH147" s="233"/>
      <c r="EI147" s="233"/>
      <c r="EJ147" s="233"/>
      <c r="EK147" s="233"/>
      <c r="EL147" s="233"/>
      <c r="EM147" s="233"/>
      <c r="EN147" s="233"/>
      <c r="EO147" s="233"/>
      <c r="EP147" s="233"/>
    </row>
    <row r="148" spans="1:146" ht="14.25" x14ac:dyDescent="0.2">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33"/>
      <c r="CN148" s="233"/>
      <c r="CO148" s="233"/>
      <c r="CP148" s="233"/>
      <c r="CQ148" s="233"/>
      <c r="CR148" s="233"/>
      <c r="CS148" s="233"/>
      <c r="CT148" s="233"/>
      <c r="CU148" s="233"/>
      <c r="CV148" s="233"/>
      <c r="CW148" s="233"/>
      <c r="CX148" s="233"/>
      <c r="CY148" s="233"/>
      <c r="CZ148" s="233"/>
      <c r="DA148" s="233"/>
      <c r="DB148" s="233"/>
      <c r="DC148" s="233"/>
      <c r="DD148" s="233"/>
      <c r="DE148" s="233"/>
      <c r="DF148" s="233"/>
      <c r="DG148" s="233"/>
      <c r="DH148" s="233"/>
      <c r="DI148" s="233"/>
      <c r="DJ148" s="233"/>
      <c r="DK148" s="233"/>
      <c r="DL148" s="233"/>
      <c r="DM148" s="233"/>
      <c r="DN148" s="233"/>
      <c r="DO148" s="233"/>
      <c r="DP148" s="233"/>
      <c r="DQ148" s="233"/>
      <c r="DR148" s="233"/>
      <c r="DS148" s="233"/>
      <c r="DT148" s="233"/>
      <c r="DU148" s="233"/>
      <c r="DV148" s="233"/>
      <c r="DW148" s="233"/>
      <c r="DX148" s="233"/>
      <c r="DY148" s="233"/>
      <c r="DZ148" s="233"/>
      <c r="EA148" s="233"/>
      <c r="EB148" s="233"/>
      <c r="EC148" s="233"/>
      <c r="ED148" s="233"/>
      <c r="EE148" s="233"/>
      <c r="EF148" s="233"/>
      <c r="EG148" s="233"/>
      <c r="EH148" s="233"/>
      <c r="EI148" s="233"/>
      <c r="EJ148" s="233"/>
      <c r="EK148" s="233"/>
      <c r="EL148" s="233"/>
      <c r="EM148" s="233"/>
      <c r="EN148" s="233"/>
      <c r="EO148" s="233"/>
      <c r="EP148" s="233"/>
    </row>
    <row r="149" spans="1:146" ht="14.25" x14ac:dyDescent="0.2">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c r="DL149" s="233"/>
      <c r="DM149" s="233"/>
      <c r="DN149" s="233"/>
      <c r="DO149" s="233"/>
      <c r="DP149" s="233"/>
      <c r="DQ149" s="233"/>
      <c r="DR149" s="233"/>
      <c r="DS149" s="233"/>
      <c r="DT149" s="233"/>
      <c r="DU149" s="233"/>
      <c r="DV149" s="233"/>
      <c r="DW149" s="233"/>
      <c r="DX149" s="233"/>
      <c r="DY149" s="233"/>
      <c r="DZ149" s="233"/>
      <c r="EA149" s="233"/>
      <c r="EB149" s="233"/>
      <c r="EC149" s="233"/>
      <c r="ED149" s="233"/>
      <c r="EE149" s="233"/>
      <c r="EF149" s="233"/>
      <c r="EG149" s="233"/>
      <c r="EH149" s="233"/>
      <c r="EI149" s="233"/>
      <c r="EJ149" s="233"/>
      <c r="EK149" s="233"/>
      <c r="EL149" s="233"/>
      <c r="EM149" s="233"/>
      <c r="EN149" s="233"/>
      <c r="EO149" s="233"/>
      <c r="EP149" s="233"/>
    </row>
    <row r="150" spans="1:146" ht="14.25" x14ac:dyDescent="0.2">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c r="DL150" s="233"/>
      <c r="DM150" s="233"/>
      <c r="DN150" s="233"/>
      <c r="DO150" s="233"/>
      <c r="DP150" s="233"/>
      <c r="DQ150" s="233"/>
      <c r="DR150" s="233"/>
      <c r="DS150" s="233"/>
      <c r="DT150" s="233"/>
      <c r="DU150" s="233"/>
      <c r="DV150" s="233"/>
      <c r="DW150" s="233"/>
      <c r="DX150" s="233"/>
      <c r="DY150" s="233"/>
      <c r="DZ150" s="233"/>
      <c r="EA150" s="233"/>
      <c r="EB150" s="233"/>
      <c r="EC150" s="233"/>
      <c r="ED150" s="233"/>
      <c r="EE150" s="233"/>
      <c r="EF150" s="233"/>
      <c r="EG150" s="233"/>
      <c r="EH150" s="233"/>
      <c r="EI150" s="233"/>
      <c r="EJ150" s="233"/>
      <c r="EK150" s="233"/>
      <c r="EL150" s="233"/>
      <c r="EM150" s="233"/>
      <c r="EN150" s="233"/>
      <c r="EO150" s="233"/>
      <c r="EP150" s="233"/>
    </row>
    <row r="151" spans="1:146" ht="14.25" x14ac:dyDescent="0.2">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c r="DL151" s="233"/>
      <c r="DM151" s="233"/>
      <c r="DN151" s="233"/>
      <c r="DO151" s="233"/>
      <c r="DP151" s="233"/>
      <c r="DQ151" s="233"/>
      <c r="DR151" s="233"/>
      <c r="DS151" s="233"/>
      <c r="DT151" s="233"/>
      <c r="DU151" s="233"/>
      <c r="DV151" s="233"/>
      <c r="DW151" s="233"/>
      <c r="DX151" s="233"/>
      <c r="DY151" s="233"/>
      <c r="DZ151" s="233"/>
      <c r="EA151" s="233"/>
      <c r="EB151" s="233"/>
      <c r="EC151" s="233"/>
      <c r="ED151" s="233"/>
      <c r="EE151" s="233"/>
      <c r="EF151" s="233"/>
      <c r="EG151" s="233"/>
      <c r="EH151" s="233"/>
      <c r="EI151" s="233"/>
      <c r="EJ151" s="233"/>
      <c r="EK151" s="233"/>
      <c r="EL151" s="233"/>
      <c r="EM151" s="233"/>
      <c r="EN151" s="233"/>
      <c r="EO151" s="233"/>
      <c r="EP151" s="233"/>
    </row>
    <row r="152" spans="1:146" ht="14.25" x14ac:dyDescent="0.2">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33"/>
      <c r="CN152" s="233"/>
      <c r="CO152" s="233"/>
      <c r="CP152" s="233"/>
      <c r="CQ152" s="233"/>
      <c r="CR152" s="233"/>
      <c r="CS152" s="233"/>
      <c r="CT152" s="233"/>
      <c r="CU152" s="233"/>
      <c r="CV152" s="233"/>
      <c r="CW152" s="233"/>
      <c r="CX152" s="233"/>
      <c r="CY152" s="233"/>
      <c r="CZ152" s="233"/>
      <c r="DA152" s="233"/>
      <c r="DB152" s="233"/>
      <c r="DC152" s="233"/>
      <c r="DD152" s="233"/>
      <c r="DE152" s="233"/>
      <c r="DF152" s="233"/>
      <c r="DG152" s="233"/>
      <c r="DH152" s="233"/>
      <c r="DI152" s="233"/>
      <c r="DJ152" s="233"/>
      <c r="DK152" s="233"/>
      <c r="DL152" s="233"/>
      <c r="DM152" s="233"/>
      <c r="DN152" s="233"/>
      <c r="DO152" s="233"/>
      <c r="DP152" s="233"/>
      <c r="DQ152" s="233"/>
      <c r="DR152" s="233"/>
      <c r="DS152" s="233"/>
      <c r="DT152" s="233"/>
      <c r="DU152" s="233"/>
      <c r="DV152" s="233"/>
      <c r="DW152" s="233"/>
      <c r="DX152" s="233"/>
      <c r="DY152" s="233"/>
      <c r="DZ152" s="233"/>
      <c r="EA152" s="233"/>
      <c r="EB152" s="233"/>
      <c r="EC152" s="233"/>
      <c r="ED152" s="233"/>
      <c r="EE152" s="233"/>
      <c r="EF152" s="233"/>
      <c r="EG152" s="233"/>
      <c r="EH152" s="233"/>
      <c r="EI152" s="233"/>
      <c r="EJ152" s="233"/>
      <c r="EK152" s="233"/>
      <c r="EL152" s="233"/>
      <c r="EM152" s="233"/>
      <c r="EN152" s="233"/>
      <c r="EO152" s="233"/>
      <c r="EP152" s="233"/>
    </row>
    <row r="153" spans="1:146" ht="14.25" x14ac:dyDescent="0.2">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c r="DL153" s="233"/>
      <c r="DM153" s="233"/>
      <c r="DN153" s="233"/>
      <c r="DO153" s="233"/>
      <c r="DP153" s="233"/>
      <c r="DQ153" s="233"/>
      <c r="DR153" s="233"/>
      <c r="DS153" s="233"/>
      <c r="DT153" s="233"/>
      <c r="DU153" s="233"/>
      <c r="DV153" s="233"/>
      <c r="DW153" s="233"/>
      <c r="DX153" s="233"/>
      <c r="DY153" s="233"/>
      <c r="DZ153" s="233"/>
      <c r="EA153" s="233"/>
      <c r="EB153" s="233"/>
      <c r="EC153" s="233"/>
      <c r="ED153" s="233"/>
      <c r="EE153" s="233"/>
      <c r="EF153" s="233"/>
      <c r="EG153" s="233"/>
      <c r="EH153" s="233"/>
      <c r="EI153" s="233"/>
      <c r="EJ153" s="233"/>
      <c r="EK153" s="233"/>
      <c r="EL153" s="233"/>
      <c r="EM153" s="233"/>
      <c r="EN153" s="233"/>
      <c r="EO153" s="233"/>
      <c r="EP153" s="233"/>
    </row>
    <row r="154" spans="1:146" ht="14.25" x14ac:dyDescent="0.2">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c r="DL154" s="233"/>
      <c r="DM154" s="233"/>
      <c r="DN154" s="233"/>
      <c r="DO154" s="233"/>
      <c r="DP154" s="233"/>
      <c r="DQ154" s="233"/>
      <c r="DR154" s="233"/>
      <c r="DS154" s="233"/>
      <c r="DT154" s="233"/>
      <c r="DU154" s="233"/>
      <c r="DV154" s="233"/>
      <c r="DW154" s="233"/>
      <c r="DX154" s="233"/>
      <c r="DY154" s="233"/>
      <c r="DZ154" s="233"/>
      <c r="EA154" s="233"/>
      <c r="EB154" s="233"/>
      <c r="EC154" s="233"/>
      <c r="ED154" s="233"/>
      <c r="EE154" s="233"/>
      <c r="EF154" s="233"/>
      <c r="EG154" s="233"/>
      <c r="EH154" s="233"/>
      <c r="EI154" s="233"/>
      <c r="EJ154" s="233"/>
      <c r="EK154" s="233"/>
      <c r="EL154" s="233"/>
      <c r="EM154" s="233"/>
      <c r="EN154" s="233"/>
      <c r="EO154" s="233"/>
      <c r="EP154" s="233"/>
    </row>
    <row r="155" spans="1:146" ht="14.25" x14ac:dyDescent="0.2">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c r="DL155" s="233"/>
      <c r="DM155" s="233"/>
      <c r="DN155" s="233"/>
      <c r="DO155" s="233"/>
      <c r="DP155" s="233"/>
      <c r="DQ155" s="233"/>
      <c r="DR155" s="233"/>
      <c r="DS155" s="233"/>
      <c r="DT155" s="233"/>
      <c r="DU155" s="233"/>
      <c r="DV155" s="233"/>
      <c r="DW155" s="233"/>
      <c r="DX155" s="233"/>
      <c r="DY155" s="233"/>
      <c r="DZ155" s="233"/>
      <c r="EA155" s="233"/>
      <c r="EB155" s="233"/>
      <c r="EC155" s="233"/>
      <c r="ED155" s="233"/>
      <c r="EE155" s="233"/>
      <c r="EF155" s="233"/>
      <c r="EG155" s="233"/>
      <c r="EH155" s="233"/>
      <c r="EI155" s="233"/>
      <c r="EJ155" s="233"/>
      <c r="EK155" s="233"/>
      <c r="EL155" s="233"/>
      <c r="EM155" s="233"/>
      <c r="EN155" s="233"/>
      <c r="EO155" s="233"/>
      <c r="EP155" s="233"/>
    </row>
    <row r="156" spans="1:146" ht="14.25" x14ac:dyDescent="0.2">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c r="DL156" s="233"/>
      <c r="DM156" s="233"/>
      <c r="DN156" s="233"/>
      <c r="DO156" s="233"/>
      <c r="DP156" s="233"/>
      <c r="DQ156" s="233"/>
      <c r="DR156" s="233"/>
      <c r="DS156" s="233"/>
      <c r="DT156" s="233"/>
      <c r="DU156" s="233"/>
      <c r="DV156" s="233"/>
      <c r="DW156" s="233"/>
      <c r="DX156" s="233"/>
      <c r="DY156" s="233"/>
      <c r="DZ156" s="233"/>
      <c r="EA156" s="233"/>
      <c r="EB156" s="233"/>
      <c r="EC156" s="233"/>
      <c r="ED156" s="233"/>
      <c r="EE156" s="233"/>
      <c r="EF156" s="233"/>
      <c r="EG156" s="233"/>
      <c r="EH156" s="233"/>
      <c r="EI156" s="233"/>
      <c r="EJ156" s="233"/>
      <c r="EK156" s="233"/>
      <c r="EL156" s="233"/>
      <c r="EM156" s="233"/>
      <c r="EN156" s="233"/>
      <c r="EO156" s="233"/>
      <c r="EP156" s="233"/>
    </row>
    <row r="157" spans="1:146" ht="14.25" x14ac:dyDescent="0.2">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c r="DL157" s="233"/>
      <c r="DM157" s="233"/>
      <c r="DN157" s="233"/>
      <c r="DO157" s="233"/>
      <c r="DP157" s="233"/>
      <c r="DQ157" s="233"/>
      <c r="DR157" s="233"/>
      <c r="DS157" s="233"/>
      <c r="DT157" s="233"/>
      <c r="DU157" s="233"/>
      <c r="DV157" s="233"/>
      <c r="DW157" s="233"/>
      <c r="DX157" s="233"/>
      <c r="DY157" s="233"/>
      <c r="DZ157" s="233"/>
      <c r="EA157" s="233"/>
      <c r="EB157" s="233"/>
      <c r="EC157" s="233"/>
      <c r="ED157" s="233"/>
      <c r="EE157" s="233"/>
      <c r="EF157" s="233"/>
      <c r="EG157" s="233"/>
      <c r="EH157" s="233"/>
      <c r="EI157" s="233"/>
      <c r="EJ157" s="233"/>
      <c r="EK157" s="233"/>
      <c r="EL157" s="233"/>
      <c r="EM157" s="233"/>
      <c r="EN157" s="233"/>
      <c r="EO157" s="233"/>
      <c r="EP157" s="233"/>
    </row>
    <row r="158" spans="1:146" ht="14.25" x14ac:dyDescent="0.2">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c r="DL158" s="233"/>
      <c r="DM158" s="233"/>
      <c r="DN158" s="233"/>
      <c r="DO158" s="233"/>
      <c r="DP158" s="233"/>
      <c r="DQ158" s="233"/>
      <c r="DR158" s="233"/>
      <c r="DS158" s="233"/>
      <c r="DT158" s="233"/>
      <c r="DU158" s="233"/>
      <c r="DV158" s="233"/>
      <c r="DW158" s="233"/>
      <c r="DX158" s="233"/>
      <c r="DY158" s="233"/>
      <c r="DZ158" s="233"/>
      <c r="EA158" s="233"/>
      <c r="EB158" s="233"/>
      <c r="EC158" s="233"/>
      <c r="ED158" s="233"/>
      <c r="EE158" s="233"/>
      <c r="EF158" s="233"/>
      <c r="EG158" s="233"/>
      <c r="EH158" s="233"/>
      <c r="EI158" s="233"/>
      <c r="EJ158" s="233"/>
      <c r="EK158" s="233"/>
      <c r="EL158" s="233"/>
      <c r="EM158" s="233"/>
      <c r="EN158" s="233"/>
      <c r="EO158" s="233"/>
      <c r="EP158" s="233"/>
    </row>
    <row r="159" spans="1:146" ht="14.25" x14ac:dyDescent="0.2">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c r="DL159" s="233"/>
      <c r="DM159" s="233"/>
      <c r="DN159" s="233"/>
      <c r="DO159" s="233"/>
      <c r="DP159" s="233"/>
      <c r="DQ159" s="233"/>
      <c r="DR159" s="233"/>
      <c r="DS159" s="233"/>
      <c r="DT159" s="233"/>
      <c r="DU159" s="233"/>
      <c r="DV159" s="233"/>
      <c r="DW159" s="233"/>
      <c r="DX159" s="233"/>
      <c r="DY159" s="233"/>
      <c r="DZ159" s="233"/>
      <c r="EA159" s="233"/>
      <c r="EB159" s="233"/>
      <c r="EC159" s="233"/>
      <c r="ED159" s="233"/>
      <c r="EE159" s="233"/>
      <c r="EF159" s="233"/>
      <c r="EG159" s="233"/>
      <c r="EH159" s="233"/>
      <c r="EI159" s="233"/>
      <c r="EJ159" s="233"/>
      <c r="EK159" s="233"/>
      <c r="EL159" s="233"/>
      <c r="EM159" s="233"/>
      <c r="EN159" s="233"/>
      <c r="EO159" s="233"/>
      <c r="EP159" s="233"/>
    </row>
    <row r="160" spans="1:146" ht="14.25" x14ac:dyDescent="0.2">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c r="DT160" s="233"/>
      <c r="DU160" s="233"/>
      <c r="DV160" s="233"/>
      <c r="DW160" s="233"/>
      <c r="DX160" s="233"/>
      <c r="DY160" s="233"/>
      <c r="DZ160" s="233"/>
      <c r="EA160" s="233"/>
      <c r="EB160" s="233"/>
      <c r="EC160" s="233"/>
      <c r="ED160" s="233"/>
      <c r="EE160" s="233"/>
      <c r="EF160" s="233"/>
      <c r="EG160" s="233"/>
      <c r="EH160" s="233"/>
      <c r="EI160" s="233"/>
      <c r="EJ160" s="233"/>
      <c r="EK160" s="233"/>
      <c r="EL160" s="233"/>
      <c r="EM160" s="233"/>
      <c r="EN160" s="233"/>
      <c r="EO160" s="233"/>
      <c r="EP160" s="233"/>
    </row>
    <row r="161" spans="1:146" ht="14.25" x14ac:dyDescent="0.2">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c r="CU161" s="233"/>
      <c r="CV161" s="233"/>
      <c r="CW161" s="233"/>
      <c r="CX161" s="233"/>
      <c r="CY161" s="233"/>
      <c r="CZ161" s="233"/>
      <c r="DA161" s="233"/>
      <c r="DB161" s="233"/>
      <c r="DC161" s="233"/>
      <c r="DD161" s="233"/>
      <c r="DE161" s="233"/>
      <c r="DF161" s="233"/>
      <c r="DG161" s="233"/>
      <c r="DH161" s="233"/>
      <c r="DI161" s="233"/>
      <c r="DJ161" s="233"/>
      <c r="DK161" s="233"/>
      <c r="DL161" s="233"/>
      <c r="DM161" s="233"/>
      <c r="DN161" s="233"/>
      <c r="DO161" s="233"/>
      <c r="DP161" s="233"/>
      <c r="DQ161" s="233"/>
      <c r="DR161" s="233"/>
      <c r="DS161" s="233"/>
      <c r="DT161" s="233"/>
      <c r="DU161" s="233"/>
      <c r="DV161" s="233"/>
      <c r="DW161" s="233"/>
      <c r="DX161" s="233"/>
      <c r="DY161" s="233"/>
      <c r="DZ161" s="233"/>
      <c r="EA161" s="233"/>
      <c r="EB161" s="233"/>
      <c r="EC161" s="233"/>
      <c r="ED161" s="233"/>
      <c r="EE161" s="233"/>
      <c r="EF161" s="233"/>
      <c r="EG161" s="233"/>
      <c r="EH161" s="233"/>
      <c r="EI161" s="233"/>
      <c r="EJ161" s="233"/>
      <c r="EK161" s="233"/>
      <c r="EL161" s="233"/>
      <c r="EM161" s="233"/>
      <c r="EN161" s="233"/>
      <c r="EO161" s="233"/>
      <c r="EP161" s="233"/>
    </row>
    <row r="162" spans="1:146" ht="14.25" x14ac:dyDescent="0.2">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c r="DL162" s="233"/>
      <c r="DM162" s="233"/>
      <c r="DN162" s="233"/>
      <c r="DO162" s="233"/>
      <c r="DP162" s="233"/>
      <c r="DQ162" s="233"/>
      <c r="DR162" s="233"/>
      <c r="DS162" s="233"/>
      <c r="DT162" s="233"/>
      <c r="DU162" s="233"/>
      <c r="DV162" s="233"/>
      <c r="DW162" s="233"/>
      <c r="DX162" s="233"/>
      <c r="DY162" s="233"/>
      <c r="DZ162" s="233"/>
      <c r="EA162" s="233"/>
      <c r="EB162" s="233"/>
      <c r="EC162" s="233"/>
      <c r="ED162" s="233"/>
      <c r="EE162" s="233"/>
      <c r="EF162" s="233"/>
      <c r="EG162" s="233"/>
      <c r="EH162" s="233"/>
      <c r="EI162" s="233"/>
      <c r="EJ162" s="233"/>
      <c r="EK162" s="233"/>
      <c r="EL162" s="233"/>
      <c r="EM162" s="233"/>
      <c r="EN162" s="233"/>
      <c r="EO162" s="233"/>
      <c r="EP162" s="233"/>
    </row>
    <row r="163" spans="1:146" ht="14.25" x14ac:dyDescent="0.2">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c r="DL163" s="233"/>
      <c r="DM163" s="233"/>
      <c r="DN163" s="233"/>
      <c r="DO163" s="233"/>
      <c r="DP163" s="233"/>
      <c r="DQ163" s="233"/>
      <c r="DR163" s="233"/>
      <c r="DS163" s="233"/>
      <c r="DT163" s="233"/>
      <c r="DU163" s="233"/>
      <c r="DV163" s="233"/>
      <c r="DW163" s="233"/>
      <c r="DX163" s="233"/>
      <c r="DY163" s="233"/>
      <c r="DZ163" s="233"/>
      <c r="EA163" s="233"/>
      <c r="EB163" s="233"/>
      <c r="EC163" s="233"/>
      <c r="ED163" s="233"/>
      <c r="EE163" s="233"/>
      <c r="EF163" s="233"/>
      <c r="EG163" s="233"/>
      <c r="EH163" s="233"/>
      <c r="EI163" s="233"/>
      <c r="EJ163" s="233"/>
      <c r="EK163" s="233"/>
      <c r="EL163" s="233"/>
      <c r="EM163" s="233"/>
      <c r="EN163" s="233"/>
      <c r="EO163" s="233"/>
      <c r="EP163" s="233"/>
    </row>
    <row r="164" spans="1:146" ht="14.25" x14ac:dyDescent="0.2">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3"/>
      <c r="DT164" s="233"/>
      <c r="DU164" s="233"/>
      <c r="DV164" s="233"/>
      <c r="DW164" s="233"/>
      <c r="DX164" s="233"/>
      <c r="DY164" s="233"/>
      <c r="DZ164" s="233"/>
      <c r="EA164" s="233"/>
      <c r="EB164" s="233"/>
      <c r="EC164" s="233"/>
      <c r="ED164" s="233"/>
      <c r="EE164" s="233"/>
      <c r="EF164" s="233"/>
      <c r="EG164" s="233"/>
      <c r="EH164" s="233"/>
      <c r="EI164" s="233"/>
      <c r="EJ164" s="233"/>
      <c r="EK164" s="233"/>
      <c r="EL164" s="233"/>
      <c r="EM164" s="233"/>
      <c r="EN164" s="233"/>
      <c r="EO164" s="233"/>
      <c r="EP164" s="233"/>
    </row>
    <row r="165" spans="1:146" ht="14.25" x14ac:dyDescent="0.2">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3"/>
      <c r="DU165" s="233"/>
      <c r="DV165" s="233"/>
      <c r="DW165" s="233"/>
      <c r="DX165" s="233"/>
      <c r="DY165" s="233"/>
      <c r="DZ165" s="233"/>
      <c r="EA165" s="233"/>
      <c r="EB165" s="233"/>
      <c r="EC165" s="233"/>
      <c r="ED165" s="233"/>
      <c r="EE165" s="233"/>
      <c r="EF165" s="233"/>
      <c r="EG165" s="233"/>
      <c r="EH165" s="233"/>
      <c r="EI165" s="233"/>
      <c r="EJ165" s="233"/>
      <c r="EK165" s="233"/>
      <c r="EL165" s="233"/>
      <c r="EM165" s="233"/>
      <c r="EN165" s="233"/>
      <c r="EO165" s="233"/>
      <c r="EP165" s="233"/>
    </row>
    <row r="166" spans="1:146" ht="14.25" x14ac:dyDescent="0.2">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33"/>
      <c r="CN166" s="233"/>
      <c r="CO166" s="233"/>
      <c r="CP166" s="233"/>
      <c r="CQ166" s="233"/>
      <c r="CR166" s="233"/>
      <c r="CS166" s="233"/>
      <c r="CT166" s="233"/>
      <c r="CU166" s="233"/>
      <c r="CV166" s="233"/>
      <c r="CW166" s="233"/>
      <c r="CX166" s="233"/>
      <c r="CY166" s="233"/>
      <c r="CZ166" s="233"/>
      <c r="DA166" s="233"/>
      <c r="DB166" s="233"/>
      <c r="DC166" s="233"/>
      <c r="DD166" s="233"/>
      <c r="DE166" s="233"/>
      <c r="DF166" s="233"/>
      <c r="DG166" s="233"/>
      <c r="DH166" s="233"/>
      <c r="DI166" s="233"/>
      <c r="DJ166" s="233"/>
      <c r="DK166" s="233"/>
      <c r="DL166" s="233"/>
      <c r="DM166" s="233"/>
      <c r="DN166" s="233"/>
      <c r="DO166" s="233"/>
      <c r="DP166" s="233"/>
      <c r="DQ166" s="233"/>
      <c r="DR166" s="233"/>
      <c r="DS166" s="233"/>
      <c r="DT166" s="233"/>
      <c r="DU166" s="233"/>
      <c r="DV166" s="233"/>
      <c r="DW166" s="233"/>
      <c r="DX166" s="233"/>
      <c r="DY166" s="233"/>
      <c r="DZ166" s="233"/>
      <c r="EA166" s="233"/>
      <c r="EB166" s="233"/>
      <c r="EC166" s="233"/>
      <c r="ED166" s="233"/>
      <c r="EE166" s="233"/>
      <c r="EF166" s="233"/>
      <c r="EG166" s="233"/>
      <c r="EH166" s="233"/>
      <c r="EI166" s="233"/>
      <c r="EJ166" s="233"/>
      <c r="EK166" s="233"/>
      <c r="EL166" s="233"/>
      <c r="EM166" s="233"/>
      <c r="EN166" s="233"/>
      <c r="EO166" s="233"/>
      <c r="EP166" s="233"/>
    </row>
    <row r="167" spans="1:146" ht="14.25" x14ac:dyDescent="0.2">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row>
    <row r="168" spans="1:146" ht="14.25" x14ac:dyDescent="0.2">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c r="DL168" s="233"/>
      <c r="DM168" s="233"/>
      <c r="DN168" s="233"/>
      <c r="DO168" s="233"/>
      <c r="DP168" s="233"/>
      <c r="DQ168" s="233"/>
      <c r="DR168" s="233"/>
      <c r="DS168" s="233"/>
      <c r="DT168" s="233"/>
      <c r="DU168" s="233"/>
      <c r="DV168" s="233"/>
      <c r="DW168" s="233"/>
      <c r="DX168" s="233"/>
      <c r="DY168" s="233"/>
      <c r="DZ168" s="233"/>
      <c r="EA168" s="233"/>
      <c r="EB168" s="233"/>
      <c r="EC168" s="233"/>
      <c r="ED168" s="233"/>
      <c r="EE168" s="233"/>
      <c r="EF168" s="233"/>
      <c r="EG168" s="233"/>
      <c r="EH168" s="233"/>
      <c r="EI168" s="233"/>
      <c r="EJ168" s="233"/>
      <c r="EK168" s="233"/>
      <c r="EL168" s="233"/>
      <c r="EM168" s="233"/>
      <c r="EN168" s="233"/>
      <c r="EO168" s="233"/>
      <c r="EP168" s="233"/>
    </row>
    <row r="169" spans="1:146" ht="14.25" x14ac:dyDescent="0.2">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33"/>
      <c r="CN169" s="233"/>
      <c r="CO169" s="233"/>
      <c r="CP169" s="233"/>
      <c r="CQ169" s="233"/>
      <c r="CR169" s="233"/>
      <c r="CS169" s="233"/>
      <c r="CT169" s="233"/>
      <c r="CU169" s="233"/>
      <c r="CV169" s="233"/>
      <c r="CW169" s="233"/>
      <c r="CX169" s="233"/>
      <c r="CY169" s="233"/>
      <c r="CZ169" s="233"/>
      <c r="DA169" s="233"/>
      <c r="DB169" s="233"/>
      <c r="DC169" s="233"/>
      <c r="DD169" s="233"/>
      <c r="DE169" s="233"/>
      <c r="DF169" s="233"/>
      <c r="DG169" s="233"/>
      <c r="DH169" s="233"/>
      <c r="DI169" s="233"/>
      <c r="DJ169" s="233"/>
      <c r="DK169" s="233"/>
      <c r="DL169" s="233"/>
      <c r="DM169" s="233"/>
      <c r="DN169" s="233"/>
      <c r="DO169" s="233"/>
      <c r="DP169" s="233"/>
      <c r="DQ169" s="233"/>
      <c r="DR169" s="233"/>
      <c r="DS169" s="233"/>
      <c r="DT169" s="233"/>
      <c r="DU169" s="233"/>
      <c r="DV169" s="233"/>
      <c r="DW169" s="233"/>
      <c r="DX169" s="233"/>
      <c r="DY169" s="233"/>
      <c r="DZ169" s="233"/>
      <c r="EA169" s="233"/>
      <c r="EB169" s="233"/>
      <c r="EC169" s="233"/>
      <c r="ED169" s="233"/>
      <c r="EE169" s="233"/>
      <c r="EF169" s="233"/>
      <c r="EG169" s="233"/>
      <c r="EH169" s="233"/>
      <c r="EI169" s="233"/>
      <c r="EJ169" s="233"/>
      <c r="EK169" s="233"/>
      <c r="EL169" s="233"/>
      <c r="EM169" s="233"/>
      <c r="EN169" s="233"/>
      <c r="EO169" s="233"/>
      <c r="EP169" s="233"/>
    </row>
    <row r="170" spans="1:146" ht="14.25" x14ac:dyDescent="0.2">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33"/>
      <c r="CN170" s="233"/>
      <c r="CO170" s="233"/>
      <c r="CP170" s="233"/>
      <c r="CQ170" s="233"/>
      <c r="CR170" s="233"/>
      <c r="CS170" s="233"/>
      <c r="CT170" s="233"/>
      <c r="CU170" s="233"/>
      <c r="CV170" s="233"/>
      <c r="CW170" s="233"/>
      <c r="CX170" s="233"/>
      <c r="CY170" s="233"/>
      <c r="CZ170" s="233"/>
      <c r="DA170" s="233"/>
      <c r="DB170" s="233"/>
      <c r="DC170" s="233"/>
      <c r="DD170" s="233"/>
      <c r="DE170" s="233"/>
      <c r="DF170" s="233"/>
      <c r="DG170" s="233"/>
      <c r="DH170" s="233"/>
      <c r="DI170" s="233"/>
      <c r="DJ170" s="233"/>
      <c r="DK170" s="233"/>
      <c r="DL170" s="233"/>
      <c r="DM170" s="233"/>
      <c r="DN170" s="233"/>
      <c r="DO170" s="233"/>
      <c r="DP170" s="233"/>
      <c r="DQ170" s="233"/>
      <c r="DR170" s="233"/>
      <c r="DS170" s="233"/>
      <c r="DT170" s="233"/>
      <c r="DU170" s="233"/>
      <c r="DV170" s="233"/>
      <c r="DW170" s="233"/>
      <c r="DX170" s="233"/>
      <c r="DY170" s="233"/>
      <c r="DZ170" s="233"/>
      <c r="EA170" s="233"/>
      <c r="EB170" s="233"/>
      <c r="EC170" s="233"/>
      <c r="ED170" s="233"/>
      <c r="EE170" s="233"/>
      <c r="EF170" s="233"/>
      <c r="EG170" s="233"/>
      <c r="EH170" s="233"/>
      <c r="EI170" s="233"/>
      <c r="EJ170" s="233"/>
      <c r="EK170" s="233"/>
      <c r="EL170" s="233"/>
      <c r="EM170" s="233"/>
      <c r="EN170" s="233"/>
      <c r="EO170" s="233"/>
      <c r="EP170" s="233"/>
    </row>
    <row r="171" spans="1:146" ht="14.25" x14ac:dyDescent="0.2">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3"/>
      <c r="CZ171" s="233"/>
      <c r="DA171" s="233"/>
      <c r="DB171" s="233"/>
      <c r="DC171" s="233"/>
      <c r="DD171" s="233"/>
      <c r="DE171" s="233"/>
      <c r="DF171" s="233"/>
      <c r="DG171" s="233"/>
      <c r="DH171" s="233"/>
      <c r="DI171" s="233"/>
      <c r="DJ171" s="233"/>
      <c r="DK171" s="233"/>
      <c r="DL171" s="233"/>
      <c r="DM171" s="233"/>
      <c r="DN171" s="233"/>
      <c r="DO171" s="233"/>
      <c r="DP171" s="233"/>
      <c r="DQ171" s="233"/>
      <c r="DR171" s="233"/>
      <c r="DS171" s="233"/>
      <c r="DT171" s="233"/>
      <c r="DU171" s="233"/>
      <c r="DV171" s="233"/>
      <c r="DW171" s="233"/>
      <c r="DX171" s="233"/>
      <c r="DY171" s="233"/>
      <c r="DZ171" s="233"/>
      <c r="EA171" s="233"/>
      <c r="EB171" s="233"/>
      <c r="EC171" s="233"/>
      <c r="ED171" s="233"/>
      <c r="EE171" s="233"/>
      <c r="EF171" s="233"/>
      <c r="EG171" s="233"/>
      <c r="EH171" s="233"/>
      <c r="EI171" s="233"/>
      <c r="EJ171" s="233"/>
      <c r="EK171" s="233"/>
      <c r="EL171" s="233"/>
      <c r="EM171" s="233"/>
      <c r="EN171" s="233"/>
      <c r="EO171" s="233"/>
      <c r="EP171" s="233"/>
    </row>
    <row r="172" spans="1:146" ht="14.25" x14ac:dyDescent="0.2">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33"/>
      <c r="CN172" s="233"/>
      <c r="CO172" s="233"/>
      <c r="CP172" s="233"/>
      <c r="CQ172" s="233"/>
      <c r="CR172" s="233"/>
      <c r="CS172" s="233"/>
      <c r="CT172" s="233"/>
      <c r="CU172" s="233"/>
      <c r="CV172" s="233"/>
      <c r="CW172" s="233"/>
      <c r="CX172" s="233"/>
      <c r="CY172" s="233"/>
      <c r="CZ172" s="233"/>
      <c r="DA172" s="233"/>
      <c r="DB172" s="233"/>
      <c r="DC172" s="233"/>
      <c r="DD172" s="233"/>
      <c r="DE172" s="233"/>
      <c r="DF172" s="233"/>
      <c r="DG172" s="233"/>
      <c r="DH172" s="233"/>
      <c r="DI172" s="233"/>
      <c r="DJ172" s="233"/>
      <c r="DK172" s="233"/>
      <c r="DL172" s="233"/>
      <c r="DM172" s="233"/>
      <c r="DN172" s="233"/>
      <c r="DO172" s="233"/>
      <c r="DP172" s="233"/>
      <c r="DQ172" s="233"/>
      <c r="DR172" s="233"/>
      <c r="DS172" s="233"/>
      <c r="DT172" s="233"/>
      <c r="DU172" s="233"/>
      <c r="DV172" s="233"/>
      <c r="DW172" s="233"/>
      <c r="DX172" s="233"/>
      <c r="DY172" s="233"/>
      <c r="DZ172" s="233"/>
      <c r="EA172" s="233"/>
      <c r="EB172" s="233"/>
      <c r="EC172" s="233"/>
      <c r="ED172" s="233"/>
      <c r="EE172" s="233"/>
      <c r="EF172" s="233"/>
      <c r="EG172" s="233"/>
      <c r="EH172" s="233"/>
      <c r="EI172" s="233"/>
      <c r="EJ172" s="233"/>
      <c r="EK172" s="233"/>
      <c r="EL172" s="233"/>
      <c r="EM172" s="233"/>
      <c r="EN172" s="233"/>
      <c r="EO172" s="233"/>
      <c r="EP172" s="233"/>
    </row>
    <row r="173" spans="1:146" ht="14.25" x14ac:dyDescent="0.2">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33"/>
      <c r="CN173" s="233"/>
      <c r="CO173" s="233"/>
      <c r="CP173" s="233"/>
      <c r="CQ173" s="233"/>
      <c r="CR173" s="233"/>
      <c r="CS173" s="233"/>
      <c r="CT173" s="233"/>
      <c r="CU173" s="233"/>
      <c r="CV173" s="233"/>
      <c r="CW173" s="233"/>
      <c r="CX173" s="233"/>
      <c r="CY173" s="233"/>
      <c r="CZ173" s="233"/>
      <c r="DA173" s="233"/>
      <c r="DB173" s="233"/>
      <c r="DC173" s="233"/>
      <c r="DD173" s="233"/>
      <c r="DE173" s="233"/>
      <c r="DF173" s="233"/>
      <c r="DG173" s="233"/>
      <c r="DH173" s="233"/>
      <c r="DI173" s="233"/>
      <c r="DJ173" s="233"/>
      <c r="DK173" s="233"/>
      <c r="DL173" s="233"/>
      <c r="DM173" s="233"/>
      <c r="DN173" s="233"/>
      <c r="DO173" s="233"/>
      <c r="DP173" s="233"/>
      <c r="DQ173" s="233"/>
      <c r="DR173" s="233"/>
      <c r="DS173" s="233"/>
      <c r="DT173" s="233"/>
      <c r="DU173" s="233"/>
      <c r="DV173" s="233"/>
      <c r="DW173" s="233"/>
      <c r="DX173" s="233"/>
      <c r="DY173" s="233"/>
      <c r="DZ173" s="233"/>
      <c r="EA173" s="233"/>
      <c r="EB173" s="233"/>
      <c r="EC173" s="233"/>
      <c r="ED173" s="233"/>
      <c r="EE173" s="233"/>
      <c r="EF173" s="233"/>
      <c r="EG173" s="233"/>
      <c r="EH173" s="233"/>
      <c r="EI173" s="233"/>
      <c r="EJ173" s="233"/>
      <c r="EK173" s="233"/>
      <c r="EL173" s="233"/>
      <c r="EM173" s="233"/>
      <c r="EN173" s="233"/>
      <c r="EO173" s="233"/>
      <c r="EP173" s="233"/>
    </row>
    <row r="174" spans="1:146" ht="14.25" x14ac:dyDescent="0.2">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33"/>
      <c r="CN174" s="233"/>
      <c r="CO174" s="233"/>
      <c r="CP174" s="233"/>
      <c r="CQ174" s="233"/>
      <c r="CR174" s="233"/>
      <c r="CS174" s="233"/>
      <c r="CT174" s="233"/>
      <c r="CU174" s="233"/>
      <c r="CV174" s="233"/>
      <c r="CW174" s="233"/>
      <c r="CX174" s="233"/>
      <c r="CY174" s="233"/>
      <c r="CZ174" s="233"/>
      <c r="DA174" s="233"/>
      <c r="DB174" s="233"/>
      <c r="DC174" s="233"/>
      <c r="DD174" s="233"/>
      <c r="DE174" s="233"/>
      <c r="DF174" s="233"/>
      <c r="DG174" s="233"/>
      <c r="DH174" s="233"/>
      <c r="DI174" s="233"/>
      <c r="DJ174" s="233"/>
      <c r="DK174" s="233"/>
      <c r="DL174" s="233"/>
      <c r="DM174" s="233"/>
      <c r="DN174" s="233"/>
      <c r="DO174" s="233"/>
      <c r="DP174" s="233"/>
      <c r="DQ174" s="233"/>
      <c r="DR174" s="233"/>
      <c r="DS174" s="233"/>
      <c r="DT174" s="233"/>
      <c r="DU174" s="233"/>
      <c r="DV174" s="233"/>
      <c r="DW174" s="233"/>
      <c r="DX174" s="233"/>
      <c r="DY174" s="233"/>
      <c r="DZ174" s="233"/>
      <c r="EA174" s="233"/>
      <c r="EB174" s="233"/>
      <c r="EC174" s="233"/>
      <c r="ED174" s="233"/>
      <c r="EE174" s="233"/>
      <c r="EF174" s="233"/>
      <c r="EG174" s="233"/>
      <c r="EH174" s="233"/>
      <c r="EI174" s="233"/>
      <c r="EJ174" s="233"/>
      <c r="EK174" s="233"/>
      <c r="EL174" s="233"/>
      <c r="EM174" s="233"/>
      <c r="EN174" s="233"/>
      <c r="EO174" s="233"/>
      <c r="EP174" s="233"/>
    </row>
    <row r="175" spans="1:146" ht="14.25" x14ac:dyDescent="0.2">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33"/>
      <c r="CN175" s="233"/>
      <c r="CO175" s="233"/>
      <c r="CP175" s="233"/>
      <c r="CQ175" s="233"/>
      <c r="CR175" s="233"/>
      <c r="CS175" s="233"/>
      <c r="CT175" s="233"/>
      <c r="CU175" s="233"/>
      <c r="CV175" s="233"/>
      <c r="CW175" s="233"/>
      <c r="CX175" s="233"/>
      <c r="CY175" s="233"/>
      <c r="CZ175" s="233"/>
      <c r="DA175" s="233"/>
      <c r="DB175" s="233"/>
      <c r="DC175" s="233"/>
      <c r="DD175" s="233"/>
      <c r="DE175" s="233"/>
      <c r="DF175" s="233"/>
      <c r="DG175" s="233"/>
      <c r="DH175" s="233"/>
      <c r="DI175" s="233"/>
      <c r="DJ175" s="233"/>
      <c r="DK175" s="233"/>
      <c r="DL175" s="233"/>
      <c r="DM175" s="233"/>
      <c r="DN175" s="233"/>
      <c r="DO175" s="233"/>
      <c r="DP175" s="233"/>
      <c r="DQ175" s="233"/>
      <c r="DR175" s="233"/>
      <c r="DS175" s="233"/>
      <c r="DT175" s="233"/>
      <c r="DU175" s="233"/>
      <c r="DV175" s="233"/>
      <c r="DW175" s="233"/>
      <c r="DX175" s="233"/>
      <c r="DY175" s="233"/>
      <c r="DZ175" s="233"/>
      <c r="EA175" s="233"/>
      <c r="EB175" s="233"/>
      <c r="EC175" s="233"/>
      <c r="ED175" s="233"/>
      <c r="EE175" s="233"/>
      <c r="EF175" s="233"/>
      <c r="EG175" s="233"/>
      <c r="EH175" s="233"/>
      <c r="EI175" s="233"/>
      <c r="EJ175" s="233"/>
      <c r="EK175" s="233"/>
      <c r="EL175" s="233"/>
      <c r="EM175" s="233"/>
      <c r="EN175" s="233"/>
      <c r="EO175" s="233"/>
      <c r="EP175" s="233"/>
    </row>
    <row r="176" spans="1:146" ht="14.25" x14ac:dyDescent="0.2">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c r="DL176" s="233"/>
      <c r="DM176" s="233"/>
      <c r="DN176" s="233"/>
      <c r="DO176" s="233"/>
      <c r="DP176" s="233"/>
      <c r="DQ176" s="233"/>
      <c r="DR176" s="233"/>
      <c r="DS176" s="233"/>
      <c r="DT176" s="233"/>
      <c r="DU176" s="233"/>
      <c r="DV176" s="233"/>
      <c r="DW176" s="233"/>
      <c r="DX176" s="233"/>
      <c r="DY176" s="233"/>
      <c r="DZ176" s="233"/>
      <c r="EA176" s="233"/>
      <c r="EB176" s="233"/>
      <c r="EC176" s="233"/>
      <c r="ED176" s="233"/>
      <c r="EE176" s="233"/>
      <c r="EF176" s="233"/>
      <c r="EG176" s="233"/>
      <c r="EH176" s="233"/>
      <c r="EI176" s="233"/>
      <c r="EJ176" s="233"/>
      <c r="EK176" s="233"/>
      <c r="EL176" s="233"/>
      <c r="EM176" s="233"/>
      <c r="EN176" s="233"/>
      <c r="EO176" s="233"/>
      <c r="EP176" s="233"/>
    </row>
    <row r="177" spans="1:146" ht="14.25" x14ac:dyDescent="0.2">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33"/>
      <c r="CN177" s="233"/>
      <c r="CO177" s="233"/>
      <c r="CP177" s="233"/>
      <c r="CQ177" s="233"/>
      <c r="CR177" s="233"/>
      <c r="CS177" s="233"/>
      <c r="CT177" s="233"/>
      <c r="CU177" s="233"/>
      <c r="CV177" s="233"/>
      <c r="CW177" s="233"/>
      <c r="CX177" s="233"/>
      <c r="CY177" s="233"/>
      <c r="CZ177" s="233"/>
      <c r="DA177" s="233"/>
      <c r="DB177" s="233"/>
      <c r="DC177" s="233"/>
      <c r="DD177" s="233"/>
      <c r="DE177" s="233"/>
      <c r="DF177" s="233"/>
      <c r="DG177" s="233"/>
      <c r="DH177" s="233"/>
      <c r="DI177" s="233"/>
      <c r="DJ177" s="233"/>
      <c r="DK177" s="233"/>
      <c r="DL177" s="233"/>
      <c r="DM177" s="233"/>
      <c r="DN177" s="233"/>
      <c r="DO177" s="233"/>
      <c r="DP177" s="233"/>
      <c r="DQ177" s="233"/>
      <c r="DR177" s="233"/>
      <c r="DS177" s="233"/>
      <c r="DT177" s="233"/>
      <c r="DU177" s="233"/>
      <c r="DV177" s="233"/>
      <c r="DW177" s="233"/>
      <c r="DX177" s="233"/>
      <c r="DY177" s="233"/>
      <c r="DZ177" s="233"/>
      <c r="EA177" s="233"/>
      <c r="EB177" s="233"/>
      <c r="EC177" s="233"/>
      <c r="ED177" s="233"/>
      <c r="EE177" s="233"/>
      <c r="EF177" s="233"/>
      <c r="EG177" s="233"/>
      <c r="EH177" s="233"/>
      <c r="EI177" s="233"/>
      <c r="EJ177" s="233"/>
      <c r="EK177" s="233"/>
      <c r="EL177" s="233"/>
      <c r="EM177" s="233"/>
      <c r="EN177" s="233"/>
      <c r="EO177" s="233"/>
      <c r="EP177" s="233"/>
    </row>
    <row r="178" spans="1:146" ht="14.25" x14ac:dyDescent="0.2">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33"/>
      <c r="CI178" s="233"/>
      <c r="CJ178" s="233"/>
      <c r="CK178" s="233"/>
      <c r="CL178" s="233"/>
      <c r="CM178" s="233"/>
      <c r="CN178" s="233"/>
      <c r="CO178" s="233"/>
      <c r="CP178" s="233"/>
      <c r="CQ178" s="233"/>
      <c r="CR178" s="233"/>
      <c r="CS178" s="233"/>
      <c r="CT178" s="233"/>
      <c r="CU178" s="233"/>
      <c r="CV178" s="233"/>
      <c r="CW178" s="233"/>
      <c r="CX178" s="233"/>
      <c r="CY178" s="233"/>
      <c r="CZ178" s="233"/>
      <c r="DA178" s="233"/>
      <c r="DB178" s="233"/>
      <c r="DC178" s="233"/>
      <c r="DD178" s="233"/>
      <c r="DE178" s="233"/>
      <c r="DF178" s="233"/>
      <c r="DG178" s="233"/>
      <c r="DH178" s="233"/>
      <c r="DI178" s="233"/>
      <c r="DJ178" s="233"/>
      <c r="DK178" s="233"/>
      <c r="DL178" s="233"/>
      <c r="DM178" s="233"/>
      <c r="DN178" s="233"/>
      <c r="DO178" s="233"/>
      <c r="DP178" s="233"/>
      <c r="DQ178" s="233"/>
      <c r="DR178" s="233"/>
      <c r="DS178" s="233"/>
      <c r="DT178" s="233"/>
      <c r="DU178" s="233"/>
      <c r="DV178" s="233"/>
      <c r="DW178" s="233"/>
      <c r="DX178" s="233"/>
      <c r="DY178" s="233"/>
      <c r="DZ178" s="233"/>
      <c r="EA178" s="233"/>
      <c r="EB178" s="233"/>
      <c r="EC178" s="233"/>
      <c r="ED178" s="233"/>
      <c r="EE178" s="233"/>
      <c r="EF178" s="233"/>
      <c r="EG178" s="233"/>
      <c r="EH178" s="233"/>
      <c r="EI178" s="233"/>
      <c r="EJ178" s="233"/>
      <c r="EK178" s="233"/>
      <c r="EL178" s="233"/>
      <c r="EM178" s="233"/>
      <c r="EN178" s="233"/>
      <c r="EO178" s="233"/>
      <c r="EP178" s="233"/>
    </row>
    <row r="179" spans="1:146" ht="14.25" x14ac:dyDescent="0.2">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33"/>
      <c r="CI179" s="233"/>
      <c r="CJ179" s="233"/>
      <c r="CK179" s="233"/>
      <c r="CL179" s="233"/>
      <c r="CM179" s="233"/>
      <c r="CN179" s="233"/>
      <c r="CO179" s="233"/>
      <c r="CP179" s="233"/>
      <c r="CQ179" s="233"/>
      <c r="CR179" s="233"/>
      <c r="CS179" s="233"/>
      <c r="CT179" s="233"/>
      <c r="CU179" s="233"/>
      <c r="CV179" s="233"/>
      <c r="CW179" s="233"/>
      <c r="CX179" s="233"/>
      <c r="CY179" s="233"/>
      <c r="CZ179" s="233"/>
      <c r="DA179" s="233"/>
      <c r="DB179" s="233"/>
      <c r="DC179" s="233"/>
      <c r="DD179" s="233"/>
      <c r="DE179" s="233"/>
      <c r="DF179" s="233"/>
      <c r="DG179" s="233"/>
      <c r="DH179" s="233"/>
      <c r="DI179" s="233"/>
      <c r="DJ179" s="233"/>
      <c r="DK179" s="233"/>
      <c r="DL179" s="233"/>
      <c r="DM179" s="233"/>
      <c r="DN179" s="233"/>
      <c r="DO179" s="233"/>
      <c r="DP179" s="233"/>
      <c r="DQ179" s="233"/>
      <c r="DR179" s="233"/>
      <c r="DS179" s="233"/>
      <c r="DT179" s="233"/>
      <c r="DU179" s="233"/>
      <c r="DV179" s="233"/>
      <c r="DW179" s="233"/>
      <c r="DX179" s="233"/>
      <c r="DY179" s="233"/>
      <c r="DZ179" s="233"/>
      <c r="EA179" s="233"/>
      <c r="EB179" s="233"/>
      <c r="EC179" s="233"/>
      <c r="ED179" s="233"/>
      <c r="EE179" s="233"/>
      <c r="EF179" s="233"/>
      <c r="EG179" s="233"/>
      <c r="EH179" s="233"/>
      <c r="EI179" s="233"/>
      <c r="EJ179" s="233"/>
      <c r="EK179" s="233"/>
      <c r="EL179" s="233"/>
      <c r="EM179" s="233"/>
      <c r="EN179" s="233"/>
      <c r="EO179" s="233"/>
      <c r="EP179" s="233"/>
    </row>
    <row r="180" spans="1:146" ht="14.25" x14ac:dyDescent="0.2">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33"/>
      <c r="CI180" s="233"/>
      <c r="CJ180" s="233"/>
      <c r="CK180" s="233"/>
      <c r="CL180" s="233"/>
      <c r="CM180" s="233"/>
      <c r="CN180" s="233"/>
      <c r="CO180" s="233"/>
      <c r="CP180" s="233"/>
      <c r="CQ180" s="233"/>
      <c r="CR180" s="233"/>
      <c r="CS180" s="233"/>
      <c r="CT180" s="233"/>
      <c r="CU180" s="233"/>
      <c r="CV180" s="233"/>
      <c r="CW180" s="233"/>
      <c r="CX180" s="233"/>
      <c r="CY180" s="233"/>
      <c r="CZ180" s="233"/>
      <c r="DA180" s="233"/>
      <c r="DB180" s="233"/>
      <c r="DC180" s="233"/>
      <c r="DD180" s="233"/>
      <c r="DE180" s="233"/>
      <c r="DF180" s="233"/>
      <c r="DG180" s="233"/>
      <c r="DH180" s="233"/>
      <c r="DI180" s="233"/>
      <c r="DJ180" s="233"/>
      <c r="DK180" s="233"/>
      <c r="DL180" s="233"/>
      <c r="DM180" s="233"/>
      <c r="DN180" s="233"/>
      <c r="DO180" s="233"/>
      <c r="DP180" s="233"/>
      <c r="DQ180" s="233"/>
      <c r="DR180" s="233"/>
      <c r="DS180" s="233"/>
      <c r="DT180" s="233"/>
      <c r="DU180" s="233"/>
      <c r="DV180" s="233"/>
      <c r="DW180" s="233"/>
      <c r="DX180" s="233"/>
      <c r="DY180" s="233"/>
      <c r="DZ180" s="233"/>
      <c r="EA180" s="233"/>
      <c r="EB180" s="233"/>
      <c r="EC180" s="233"/>
      <c r="ED180" s="233"/>
      <c r="EE180" s="233"/>
      <c r="EF180" s="233"/>
      <c r="EG180" s="233"/>
      <c r="EH180" s="233"/>
      <c r="EI180" s="233"/>
      <c r="EJ180" s="233"/>
      <c r="EK180" s="233"/>
      <c r="EL180" s="233"/>
      <c r="EM180" s="233"/>
      <c r="EN180" s="233"/>
      <c r="EO180" s="233"/>
      <c r="EP180" s="233"/>
    </row>
    <row r="181" spans="1:146" ht="14.25" x14ac:dyDescent="0.2">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33"/>
      <c r="BK181" s="233"/>
      <c r="BL181" s="233"/>
      <c r="BM181" s="233"/>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33"/>
      <c r="CI181" s="233"/>
      <c r="CJ181" s="233"/>
      <c r="CK181" s="233"/>
      <c r="CL181" s="233"/>
      <c r="CM181" s="233"/>
      <c r="CN181" s="233"/>
      <c r="CO181" s="233"/>
      <c r="CP181" s="233"/>
      <c r="CQ181" s="233"/>
      <c r="CR181" s="233"/>
      <c r="CS181" s="233"/>
      <c r="CT181" s="233"/>
      <c r="CU181" s="233"/>
      <c r="CV181" s="233"/>
      <c r="CW181" s="233"/>
      <c r="CX181" s="233"/>
      <c r="CY181" s="233"/>
      <c r="CZ181" s="233"/>
      <c r="DA181" s="233"/>
      <c r="DB181" s="233"/>
      <c r="DC181" s="233"/>
      <c r="DD181" s="233"/>
      <c r="DE181" s="233"/>
      <c r="DF181" s="233"/>
      <c r="DG181" s="233"/>
      <c r="DH181" s="233"/>
      <c r="DI181" s="233"/>
      <c r="DJ181" s="233"/>
      <c r="DK181" s="233"/>
      <c r="DL181" s="233"/>
      <c r="DM181" s="233"/>
      <c r="DN181" s="233"/>
      <c r="DO181" s="233"/>
      <c r="DP181" s="233"/>
      <c r="DQ181" s="233"/>
      <c r="DR181" s="233"/>
      <c r="DS181" s="233"/>
      <c r="DT181" s="233"/>
      <c r="DU181" s="233"/>
      <c r="DV181" s="233"/>
      <c r="DW181" s="233"/>
      <c r="DX181" s="233"/>
      <c r="DY181" s="233"/>
      <c r="DZ181" s="233"/>
      <c r="EA181" s="233"/>
      <c r="EB181" s="233"/>
      <c r="EC181" s="233"/>
      <c r="ED181" s="233"/>
      <c r="EE181" s="233"/>
      <c r="EF181" s="233"/>
      <c r="EG181" s="233"/>
      <c r="EH181" s="233"/>
      <c r="EI181" s="233"/>
      <c r="EJ181" s="233"/>
      <c r="EK181" s="233"/>
      <c r="EL181" s="233"/>
      <c r="EM181" s="233"/>
      <c r="EN181" s="233"/>
      <c r="EO181" s="233"/>
      <c r="EP181" s="233"/>
    </row>
    <row r="182" spans="1:146" ht="14.25" x14ac:dyDescent="0.2">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33"/>
      <c r="BK182" s="233"/>
      <c r="BL182" s="233"/>
      <c r="BM182" s="233"/>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33"/>
      <c r="CI182" s="233"/>
      <c r="CJ182" s="233"/>
      <c r="CK182" s="233"/>
      <c r="CL182" s="233"/>
      <c r="CM182" s="233"/>
      <c r="CN182" s="233"/>
      <c r="CO182" s="233"/>
      <c r="CP182" s="233"/>
      <c r="CQ182" s="233"/>
      <c r="CR182" s="233"/>
      <c r="CS182" s="233"/>
      <c r="CT182" s="233"/>
      <c r="CU182" s="233"/>
      <c r="CV182" s="233"/>
      <c r="CW182" s="233"/>
      <c r="CX182" s="233"/>
      <c r="CY182" s="233"/>
      <c r="CZ182" s="233"/>
      <c r="DA182" s="233"/>
      <c r="DB182" s="233"/>
      <c r="DC182" s="233"/>
      <c r="DD182" s="233"/>
      <c r="DE182" s="233"/>
      <c r="DF182" s="233"/>
      <c r="DG182" s="233"/>
      <c r="DH182" s="233"/>
      <c r="DI182" s="233"/>
      <c r="DJ182" s="233"/>
      <c r="DK182" s="233"/>
      <c r="DL182" s="233"/>
      <c r="DM182" s="233"/>
      <c r="DN182" s="233"/>
      <c r="DO182" s="233"/>
      <c r="DP182" s="233"/>
      <c r="DQ182" s="233"/>
      <c r="DR182" s="233"/>
      <c r="DS182" s="233"/>
      <c r="DT182" s="233"/>
      <c r="DU182" s="233"/>
      <c r="DV182" s="233"/>
      <c r="DW182" s="233"/>
      <c r="DX182" s="233"/>
      <c r="DY182" s="233"/>
      <c r="DZ182" s="233"/>
      <c r="EA182" s="233"/>
      <c r="EB182" s="233"/>
      <c r="EC182" s="233"/>
      <c r="ED182" s="233"/>
      <c r="EE182" s="233"/>
      <c r="EF182" s="233"/>
      <c r="EG182" s="233"/>
      <c r="EH182" s="233"/>
      <c r="EI182" s="233"/>
      <c r="EJ182" s="233"/>
      <c r="EK182" s="233"/>
      <c r="EL182" s="233"/>
      <c r="EM182" s="233"/>
      <c r="EN182" s="233"/>
      <c r="EO182" s="233"/>
      <c r="EP182" s="233"/>
    </row>
    <row r="183" spans="1:146" ht="14.25" x14ac:dyDescent="0.2">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33"/>
      <c r="BK183" s="233"/>
      <c r="BL183" s="233"/>
      <c r="BM183" s="233"/>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33"/>
      <c r="CI183" s="233"/>
      <c r="CJ183" s="233"/>
      <c r="CK183" s="233"/>
      <c r="CL183" s="233"/>
      <c r="CM183" s="233"/>
      <c r="CN183" s="233"/>
      <c r="CO183" s="233"/>
      <c r="CP183" s="233"/>
      <c r="CQ183" s="233"/>
      <c r="CR183" s="233"/>
      <c r="CS183" s="233"/>
      <c r="CT183" s="233"/>
      <c r="CU183" s="233"/>
      <c r="CV183" s="233"/>
      <c r="CW183" s="233"/>
      <c r="CX183" s="233"/>
      <c r="CY183" s="233"/>
      <c r="CZ183" s="233"/>
      <c r="DA183" s="233"/>
      <c r="DB183" s="233"/>
      <c r="DC183" s="233"/>
      <c r="DD183" s="233"/>
      <c r="DE183" s="233"/>
      <c r="DF183" s="233"/>
      <c r="DG183" s="233"/>
      <c r="DH183" s="233"/>
      <c r="DI183" s="233"/>
      <c r="DJ183" s="233"/>
      <c r="DK183" s="233"/>
      <c r="DL183" s="233"/>
      <c r="DM183" s="233"/>
      <c r="DN183" s="233"/>
      <c r="DO183" s="233"/>
      <c r="DP183" s="233"/>
      <c r="DQ183" s="233"/>
      <c r="DR183" s="233"/>
      <c r="DS183" s="233"/>
      <c r="DT183" s="233"/>
      <c r="DU183" s="233"/>
      <c r="DV183" s="233"/>
      <c r="DW183" s="233"/>
      <c r="DX183" s="233"/>
      <c r="DY183" s="233"/>
      <c r="DZ183" s="233"/>
      <c r="EA183" s="233"/>
      <c r="EB183" s="233"/>
      <c r="EC183" s="233"/>
      <c r="ED183" s="233"/>
      <c r="EE183" s="233"/>
      <c r="EF183" s="233"/>
      <c r="EG183" s="233"/>
      <c r="EH183" s="233"/>
      <c r="EI183" s="233"/>
      <c r="EJ183" s="233"/>
      <c r="EK183" s="233"/>
      <c r="EL183" s="233"/>
      <c r="EM183" s="233"/>
      <c r="EN183" s="233"/>
      <c r="EO183" s="233"/>
      <c r="EP183" s="233"/>
    </row>
    <row r="184" spans="1:146" ht="14.25" x14ac:dyDescent="0.2">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33"/>
      <c r="CI184" s="233"/>
      <c r="CJ184" s="233"/>
      <c r="CK184" s="233"/>
      <c r="CL184" s="233"/>
      <c r="CM184" s="233"/>
      <c r="CN184" s="233"/>
      <c r="CO184" s="233"/>
      <c r="CP184" s="233"/>
      <c r="CQ184" s="233"/>
      <c r="CR184" s="233"/>
      <c r="CS184" s="233"/>
      <c r="CT184" s="233"/>
      <c r="CU184" s="233"/>
      <c r="CV184" s="233"/>
      <c r="CW184" s="233"/>
      <c r="CX184" s="233"/>
      <c r="CY184" s="233"/>
      <c r="CZ184" s="233"/>
      <c r="DA184" s="233"/>
      <c r="DB184" s="233"/>
      <c r="DC184" s="233"/>
      <c r="DD184" s="233"/>
      <c r="DE184" s="233"/>
      <c r="DF184" s="233"/>
      <c r="DG184" s="233"/>
      <c r="DH184" s="233"/>
      <c r="DI184" s="233"/>
      <c r="DJ184" s="233"/>
      <c r="DK184" s="233"/>
      <c r="DL184" s="233"/>
      <c r="DM184" s="233"/>
      <c r="DN184" s="233"/>
      <c r="DO184" s="233"/>
      <c r="DP184" s="233"/>
      <c r="DQ184" s="233"/>
      <c r="DR184" s="233"/>
      <c r="DS184" s="233"/>
      <c r="DT184" s="233"/>
      <c r="DU184" s="233"/>
      <c r="DV184" s="233"/>
      <c r="DW184" s="233"/>
      <c r="DX184" s="233"/>
      <c r="DY184" s="233"/>
      <c r="DZ184" s="233"/>
      <c r="EA184" s="233"/>
      <c r="EB184" s="233"/>
      <c r="EC184" s="233"/>
      <c r="ED184" s="233"/>
      <c r="EE184" s="233"/>
      <c r="EF184" s="233"/>
      <c r="EG184" s="233"/>
      <c r="EH184" s="233"/>
      <c r="EI184" s="233"/>
      <c r="EJ184" s="233"/>
      <c r="EK184" s="233"/>
      <c r="EL184" s="233"/>
      <c r="EM184" s="233"/>
      <c r="EN184" s="233"/>
      <c r="EO184" s="233"/>
      <c r="EP184" s="233"/>
    </row>
    <row r="185" spans="1:146" ht="14.25" x14ac:dyDescent="0.2">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33"/>
      <c r="CI185" s="233"/>
      <c r="CJ185" s="233"/>
      <c r="CK185" s="233"/>
      <c r="CL185" s="233"/>
      <c r="CM185" s="233"/>
      <c r="CN185" s="233"/>
      <c r="CO185" s="233"/>
      <c r="CP185" s="233"/>
      <c r="CQ185" s="233"/>
      <c r="CR185" s="233"/>
      <c r="CS185" s="233"/>
      <c r="CT185" s="233"/>
      <c r="CU185" s="233"/>
      <c r="CV185" s="233"/>
      <c r="CW185" s="233"/>
      <c r="CX185" s="233"/>
      <c r="CY185" s="233"/>
      <c r="CZ185" s="233"/>
      <c r="DA185" s="233"/>
      <c r="DB185" s="233"/>
      <c r="DC185" s="233"/>
      <c r="DD185" s="233"/>
      <c r="DE185" s="233"/>
      <c r="DF185" s="233"/>
      <c r="DG185" s="233"/>
      <c r="DH185" s="233"/>
      <c r="DI185" s="233"/>
      <c r="DJ185" s="233"/>
      <c r="DK185" s="233"/>
      <c r="DL185" s="233"/>
      <c r="DM185" s="233"/>
      <c r="DN185" s="233"/>
      <c r="DO185" s="233"/>
      <c r="DP185" s="233"/>
      <c r="DQ185" s="233"/>
      <c r="DR185" s="233"/>
      <c r="DS185" s="233"/>
      <c r="DT185" s="233"/>
      <c r="DU185" s="233"/>
      <c r="DV185" s="233"/>
      <c r="DW185" s="233"/>
      <c r="DX185" s="233"/>
      <c r="DY185" s="233"/>
      <c r="DZ185" s="233"/>
      <c r="EA185" s="233"/>
      <c r="EB185" s="233"/>
      <c r="EC185" s="233"/>
      <c r="ED185" s="233"/>
      <c r="EE185" s="233"/>
      <c r="EF185" s="233"/>
      <c r="EG185" s="233"/>
      <c r="EH185" s="233"/>
      <c r="EI185" s="233"/>
      <c r="EJ185" s="233"/>
      <c r="EK185" s="233"/>
      <c r="EL185" s="233"/>
      <c r="EM185" s="233"/>
      <c r="EN185" s="233"/>
      <c r="EO185" s="233"/>
      <c r="EP185" s="233"/>
    </row>
    <row r="186" spans="1:146" ht="14.25" x14ac:dyDescent="0.2">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33"/>
      <c r="CI186" s="233"/>
      <c r="CJ186" s="233"/>
      <c r="CK186" s="233"/>
      <c r="CL186" s="233"/>
      <c r="CM186" s="233"/>
      <c r="CN186" s="233"/>
      <c r="CO186" s="233"/>
      <c r="CP186" s="233"/>
      <c r="CQ186" s="233"/>
      <c r="CR186" s="233"/>
      <c r="CS186" s="233"/>
      <c r="CT186" s="233"/>
      <c r="CU186" s="233"/>
      <c r="CV186" s="233"/>
      <c r="CW186" s="233"/>
      <c r="CX186" s="233"/>
      <c r="CY186" s="233"/>
      <c r="CZ186" s="233"/>
      <c r="DA186" s="233"/>
      <c r="DB186" s="233"/>
      <c r="DC186" s="233"/>
      <c r="DD186" s="233"/>
      <c r="DE186" s="233"/>
      <c r="DF186" s="233"/>
      <c r="DG186" s="233"/>
      <c r="DH186" s="233"/>
      <c r="DI186" s="233"/>
      <c r="DJ186" s="233"/>
      <c r="DK186" s="233"/>
      <c r="DL186" s="233"/>
      <c r="DM186" s="233"/>
      <c r="DN186" s="233"/>
      <c r="DO186" s="233"/>
      <c r="DP186" s="233"/>
      <c r="DQ186" s="233"/>
      <c r="DR186" s="233"/>
      <c r="DS186" s="233"/>
      <c r="DT186" s="233"/>
      <c r="DU186" s="233"/>
      <c r="DV186" s="233"/>
      <c r="DW186" s="233"/>
      <c r="DX186" s="233"/>
      <c r="DY186" s="233"/>
      <c r="DZ186" s="233"/>
      <c r="EA186" s="233"/>
      <c r="EB186" s="233"/>
      <c r="EC186" s="233"/>
      <c r="ED186" s="233"/>
      <c r="EE186" s="233"/>
      <c r="EF186" s="233"/>
      <c r="EG186" s="233"/>
      <c r="EH186" s="233"/>
      <c r="EI186" s="233"/>
      <c r="EJ186" s="233"/>
      <c r="EK186" s="233"/>
      <c r="EL186" s="233"/>
      <c r="EM186" s="233"/>
      <c r="EN186" s="233"/>
      <c r="EO186" s="233"/>
      <c r="EP186" s="233"/>
    </row>
    <row r="187" spans="1:146" ht="14.25" x14ac:dyDescent="0.2">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33"/>
      <c r="CN187" s="233"/>
      <c r="CO187" s="233"/>
      <c r="CP187" s="233"/>
      <c r="CQ187" s="233"/>
      <c r="CR187" s="233"/>
      <c r="CS187" s="233"/>
      <c r="CT187" s="233"/>
      <c r="CU187" s="233"/>
      <c r="CV187" s="233"/>
      <c r="CW187" s="233"/>
      <c r="CX187" s="233"/>
      <c r="CY187" s="233"/>
      <c r="CZ187" s="233"/>
      <c r="DA187" s="233"/>
      <c r="DB187" s="233"/>
      <c r="DC187" s="233"/>
      <c r="DD187" s="233"/>
      <c r="DE187" s="233"/>
      <c r="DF187" s="233"/>
      <c r="DG187" s="233"/>
      <c r="DH187" s="233"/>
      <c r="DI187" s="233"/>
      <c r="DJ187" s="233"/>
      <c r="DK187" s="233"/>
      <c r="DL187" s="233"/>
      <c r="DM187" s="233"/>
      <c r="DN187" s="233"/>
      <c r="DO187" s="233"/>
      <c r="DP187" s="233"/>
      <c r="DQ187" s="233"/>
      <c r="DR187" s="233"/>
      <c r="DS187" s="233"/>
      <c r="DT187" s="233"/>
      <c r="DU187" s="233"/>
      <c r="DV187" s="233"/>
      <c r="DW187" s="233"/>
      <c r="DX187" s="233"/>
      <c r="DY187" s="233"/>
      <c r="DZ187" s="233"/>
      <c r="EA187" s="233"/>
      <c r="EB187" s="233"/>
      <c r="EC187" s="233"/>
      <c r="ED187" s="233"/>
      <c r="EE187" s="233"/>
      <c r="EF187" s="233"/>
      <c r="EG187" s="233"/>
      <c r="EH187" s="233"/>
      <c r="EI187" s="233"/>
      <c r="EJ187" s="233"/>
      <c r="EK187" s="233"/>
      <c r="EL187" s="233"/>
      <c r="EM187" s="233"/>
      <c r="EN187" s="233"/>
      <c r="EO187" s="233"/>
      <c r="EP187" s="233"/>
    </row>
    <row r="188" spans="1:146" ht="14.25" x14ac:dyDescent="0.2">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33"/>
      <c r="CI188" s="233"/>
      <c r="CJ188" s="233"/>
      <c r="CK188" s="233"/>
      <c r="CL188" s="233"/>
      <c r="CM188" s="233"/>
      <c r="CN188" s="233"/>
      <c r="CO188" s="233"/>
      <c r="CP188" s="233"/>
      <c r="CQ188" s="233"/>
      <c r="CR188" s="233"/>
      <c r="CS188" s="233"/>
      <c r="CT188" s="233"/>
      <c r="CU188" s="233"/>
      <c r="CV188" s="233"/>
      <c r="CW188" s="233"/>
      <c r="CX188" s="233"/>
      <c r="CY188" s="233"/>
      <c r="CZ188" s="233"/>
      <c r="DA188" s="233"/>
      <c r="DB188" s="233"/>
      <c r="DC188" s="233"/>
      <c r="DD188" s="233"/>
      <c r="DE188" s="233"/>
      <c r="DF188" s="233"/>
      <c r="DG188" s="233"/>
      <c r="DH188" s="233"/>
      <c r="DI188" s="233"/>
      <c r="DJ188" s="233"/>
      <c r="DK188" s="233"/>
      <c r="DL188" s="233"/>
      <c r="DM188" s="233"/>
      <c r="DN188" s="233"/>
      <c r="DO188" s="233"/>
      <c r="DP188" s="233"/>
      <c r="DQ188" s="233"/>
      <c r="DR188" s="233"/>
      <c r="DS188" s="233"/>
      <c r="DT188" s="233"/>
      <c r="DU188" s="233"/>
      <c r="DV188" s="233"/>
      <c r="DW188" s="233"/>
      <c r="DX188" s="233"/>
      <c r="DY188" s="233"/>
      <c r="DZ188" s="233"/>
      <c r="EA188" s="233"/>
      <c r="EB188" s="233"/>
      <c r="EC188" s="233"/>
      <c r="ED188" s="233"/>
      <c r="EE188" s="233"/>
      <c r="EF188" s="233"/>
      <c r="EG188" s="233"/>
      <c r="EH188" s="233"/>
      <c r="EI188" s="233"/>
      <c r="EJ188" s="233"/>
      <c r="EK188" s="233"/>
      <c r="EL188" s="233"/>
      <c r="EM188" s="233"/>
      <c r="EN188" s="233"/>
      <c r="EO188" s="233"/>
      <c r="EP188" s="233"/>
    </row>
    <row r="189" spans="1:146" ht="14.25" x14ac:dyDescent="0.2">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c r="BJ189" s="233"/>
      <c r="BK189" s="233"/>
      <c r="BL189" s="233"/>
      <c r="BM189" s="233"/>
      <c r="BN189" s="233"/>
      <c r="BO189" s="233"/>
      <c r="BP189" s="233"/>
      <c r="BQ189" s="233"/>
      <c r="BR189" s="233"/>
      <c r="BS189" s="233"/>
      <c r="BT189" s="233"/>
      <c r="BU189" s="233"/>
      <c r="BV189" s="233"/>
      <c r="BW189" s="233"/>
      <c r="BX189" s="233"/>
      <c r="BY189" s="233"/>
      <c r="BZ189" s="233"/>
      <c r="CA189" s="233"/>
      <c r="CB189" s="233"/>
      <c r="CC189" s="233"/>
      <c r="CD189" s="233"/>
      <c r="CE189" s="233"/>
      <c r="CF189" s="233"/>
      <c r="CG189" s="233"/>
      <c r="CH189" s="233"/>
      <c r="CI189" s="233"/>
      <c r="CJ189" s="233"/>
      <c r="CK189" s="233"/>
      <c r="CL189" s="233"/>
      <c r="CM189" s="233"/>
      <c r="CN189" s="233"/>
      <c r="CO189" s="233"/>
      <c r="CP189" s="233"/>
      <c r="CQ189" s="233"/>
      <c r="CR189" s="233"/>
      <c r="CS189" s="233"/>
      <c r="CT189" s="233"/>
      <c r="CU189" s="233"/>
      <c r="CV189" s="233"/>
      <c r="CW189" s="233"/>
      <c r="CX189" s="233"/>
      <c r="CY189" s="233"/>
      <c r="CZ189" s="233"/>
      <c r="DA189" s="233"/>
      <c r="DB189" s="233"/>
      <c r="DC189" s="233"/>
      <c r="DD189" s="233"/>
      <c r="DE189" s="233"/>
      <c r="DF189" s="233"/>
      <c r="DG189" s="233"/>
      <c r="DH189" s="233"/>
      <c r="DI189" s="233"/>
      <c r="DJ189" s="233"/>
      <c r="DK189" s="233"/>
      <c r="DL189" s="233"/>
      <c r="DM189" s="233"/>
      <c r="DN189" s="233"/>
      <c r="DO189" s="233"/>
      <c r="DP189" s="233"/>
      <c r="DQ189" s="233"/>
      <c r="DR189" s="233"/>
      <c r="DS189" s="233"/>
      <c r="DT189" s="233"/>
      <c r="DU189" s="233"/>
      <c r="DV189" s="233"/>
      <c r="DW189" s="233"/>
      <c r="DX189" s="233"/>
      <c r="DY189" s="233"/>
      <c r="DZ189" s="233"/>
      <c r="EA189" s="233"/>
      <c r="EB189" s="233"/>
      <c r="EC189" s="233"/>
      <c r="ED189" s="233"/>
      <c r="EE189" s="233"/>
      <c r="EF189" s="233"/>
      <c r="EG189" s="233"/>
      <c r="EH189" s="233"/>
      <c r="EI189" s="233"/>
      <c r="EJ189" s="233"/>
      <c r="EK189" s="233"/>
      <c r="EL189" s="233"/>
      <c r="EM189" s="233"/>
      <c r="EN189" s="233"/>
      <c r="EO189" s="233"/>
      <c r="EP189" s="233"/>
    </row>
    <row r="190" spans="1:146" ht="14.25" x14ac:dyDescent="0.2">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33"/>
      <c r="CI190" s="233"/>
      <c r="CJ190" s="233"/>
      <c r="CK190" s="233"/>
      <c r="CL190" s="233"/>
      <c r="CM190" s="233"/>
      <c r="CN190" s="233"/>
      <c r="CO190" s="233"/>
      <c r="CP190" s="233"/>
      <c r="CQ190" s="233"/>
      <c r="CR190" s="233"/>
      <c r="CS190" s="233"/>
      <c r="CT190" s="233"/>
      <c r="CU190" s="233"/>
      <c r="CV190" s="233"/>
      <c r="CW190" s="233"/>
      <c r="CX190" s="233"/>
      <c r="CY190" s="233"/>
      <c r="CZ190" s="233"/>
      <c r="DA190" s="233"/>
      <c r="DB190" s="233"/>
      <c r="DC190" s="233"/>
      <c r="DD190" s="233"/>
      <c r="DE190" s="233"/>
      <c r="DF190" s="233"/>
      <c r="DG190" s="233"/>
      <c r="DH190" s="233"/>
      <c r="DI190" s="233"/>
      <c r="DJ190" s="233"/>
      <c r="DK190" s="233"/>
      <c r="DL190" s="233"/>
      <c r="DM190" s="233"/>
      <c r="DN190" s="233"/>
      <c r="DO190" s="233"/>
      <c r="DP190" s="233"/>
      <c r="DQ190" s="233"/>
      <c r="DR190" s="233"/>
      <c r="DS190" s="233"/>
      <c r="DT190" s="233"/>
      <c r="DU190" s="233"/>
      <c r="DV190" s="233"/>
      <c r="DW190" s="233"/>
      <c r="DX190" s="233"/>
      <c r="DY190" s="233"/>
      <c r="DZ190" s="233"/>
      <c r="EA190" s="233"/>
      <c r="EB190" s="233"/>
      <c r="EC190" s="233"/>
      <c r="ED190" s="233"/>
      <c r="EE190" s="233"/>
      <c r="EF190" s="233"/>
      <c r="EG190" s="233"/>
      <c r="EH190" s="233"/>
      <c r="EI190" s="233"/>
      <c r="EJ190" s="233"/>
      <c r="EK190" s="233"/>
      <c r="EL190" s="233"/>
      <c r="EM190" s="233"/>
      <c r="EN190" s="233"/>
      <c r="EO190" s="233"/>
      <c r="EP190" s="233"/>
    </row>
    <row r="191" spans="1:146" ht="14.25" x14ac:dyDescent="0.2">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33"/>
      <c r="CI191" s="233"/>
      <c r="CJ191" s="233"/>
      <c r="CK191" s="233"/>
      <c r="CL191" s="233"/>
      <c r="CM191" s="233"/>
      <c r="CN191" s="233"/>
      <c r="CO191" s="233"/>
      <c r="CP191" s="233"/>
      <c r="CQ191" s="233"/>
      <c r="CR191" s="233"/>
      <c r="CS191" s="233"/>
      <c r="CT191" s="233"/>
      <c r="CU191" s="233"/>
      <c r="CV191" s="233"/>
      <c r="CW191" s="233"/>
      <c r="CX191" s="233"/>
      <c r="CY191" s="233"/>
      <c r="CZ191" s="233"/>
      <c r="DA191" s="233"/>
      <c r="DB191" s="233"/>
      <c r="DC191" s="233"/>
      <c r="DD191" s="233"/>
      <c r="DE191" s="233"/>
      <c r="DF191" s="233"/>
      <c r="DG191" s="233"/>
      <c r="DH191" s="233"/>
      <c r="DI191" s="233"/>
      <c r="DJ191" s="233"/>
      <c r="DK191" s="233"/>
      <c r="DL191" s="233"/>
      <c r="DM191" s="233"/>
      <c r="DN191" s="233"/>
      <c r="DO191" s="233"/>
      <c r="DP191" s="233"/>
      <c r="DQ191" s="233"/>
      <c r="DR191" s="233"/>
      <c r="DS191" s="233"/>
      <c r="DT191" s="233"/>
      <c r="DU191" s="233"/>
      <c r="DV191" s="233"/>
      <c r="DW191" s="233"/>
      <c r="DX191" s="233"/>
      <c r="DY191" s="233"/>
      <c r="DZ191" s="233"/>
      <c r="EA191" s="233"/>
      <c r="EB191" s="233"/>
      <c r="EC191" s="233"/>
      <c r="ED191" s="233"/>
      <c r="EE191" s="233"/>
      <c r="EF191" s="233"/>
      <c r="EG191" s="233"/>
      <c r="EH191" s="233"/>
      <c r="EI191" s="233"/>
      <c r="EJ191" s="233"/>
      <c r="EK191" s="233"/>
      <c r="EL191" s="233"/>
      <c r="EM191" s="233"/>
      <c r="EN191" s="233"/>
      <c r="EO191" s="233"/>
      <c r="EP191" s="233"/>
    </row>
    <row r="192" spans="1:146" ht="14.25" x14ac:dyDescent="0.2">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33"/>
      <c r="CI192" s="233"/>
      <c r="CJ192" s="233"/>
      <c r="CK192" s="233"/>
      <c r="CL192" s="233"/>
      <c r="CM192" s="233"/>
      <c r="CN192" s="233"/>
      <c r="CO192" s="233"/>
      <c r="CP192" s="233"/>
      <c r="CQ192" s="233"/>
      <c r="CR192" s="233"/>
      <c r="CS192" s="233"/>
      <c r="CT192" s="233"/>
      <c r="CU192" s="233"/>
      <c r="CV192" s="233"/>
      <c r="CW192" s="233"/>
      <c r="CX192" s="233"/>
      <c r="CY192" s="233"/>
      <c r="CZ192" s="233"/>
      <c r="DA192" s="233"/>
      <c r="DB192" s="233"/>
      <c r="DC192" s="233"/>
      <c r="DD192" s="233"/>
      <c r="DE192" s="233"/>
      <c r="DF192" s="233"/>
      <c r="DG192" s="233"/>
      <c r="DH192" s="233"/>
      <c r="DI192" s="233"/>
      <c r="DJ192" s="233"/>
      <c r="DK192" s="233"/>
      <c r="DL192" s="233"/>
      <c r="DM192" s="233"/>
      <c r="DN192" s="233"/>
      <c r="DO192" s="233"/>
      <c r="DP192" s="233"/>
      <c r="DQ192" s="233"/>
      <c r="DR192" s="233"/>
      <c r="DS192" s="233"/>
      <c r="DT192" s="233"/>
      <c r="DU192" s="233"/>
      <c r="DV192" s="233"/>
      <c r="DW192" s="233"/>
      <c r="DX192" s="233"/>
      <c r="DY192" s="233"/>
      <c r="DZ192" s="233"/>
      <c r="EA192" s="233"/>
      <c r="EB192" s="233"/>
      <c r="EC192" s="233"/>
      <c r="ED192" s="233"/>
      <c r="EE192" s="233"/>
      <c r="EF192" s="233"/>
      <c r="EG192" s="233"/>
      <c r="EH192" s="233"/>
      <c r="EI192" s="233"/>
      <c r="EJ192" s="233"/>
      <c r="EK192" s="233"/>
      <c r="EL192" s="233"/>
      <c r="EM192" s="233"/>
      <c r="EN192" s="233"/>
      <c r="EO192" s="233"/>
      <c r="EP192" s="233"/>
    </row>
    <row r="193" spans="1:146" ht="14.25" x14ac:dyDescent="0.2">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33"/>
      <c r="CI193" s="233"/>
      <c r="CJ193" s="233"/>
      <c r="CK193" s="233"/>
      <c r="CL193" s="233"/>
      <c r="CM193" s="233"/>
      <c r="CN193" s="233"/>
      <c r="CO193" s="233"/>
      <c r="CP193" s="233"/>
      <c r="CQ193" s="233"/>
      <c r="CR193" s="233"/>
      <c r="CS193" s="233"/>
      <c r="CT193" s="233"/>
      <c r="CU193" s="233"/>
      <c r="CV193" s="233"/>
      <c r="CW193" s="233"/>
      <c r="CX193" s="233"/>
      <c r="CY193" s="233"/>
      <c r="CZ193" s="233"/>
      <c r="DA193" s="233"/>
      <c r="DB193" s="233"/>
      <c r="DC193" s="233"/>
      <c r="DD193" s="233"/>
      <c r="DE193" s="233"/>
      <c r="DF193" s="233"/>
      <c r="DG193" s="233"/>
      <c r="DH193" s="233"/>
      <c r="DI193" s="233"/>
      <c r="DJ193" s="233"/>
      <c r="DK193" s="233"/>
      <c r="DL193" s="233"/>
      <c r="DM193" s="233"/>
      <c r="DN193" s="233"/>
      <c r="DO193" s="233"/>
      <c r="DP193" s="233"/>
      <c r="DQ193" s="233"/>
      <c r="DR193" s="233"/>
      <c r="DS193" s="233"/>
      <c r="DT193" s="233"/>
      <c r="DU193" s="233"/>
      <c r="DV193" s="233"/>
      <c r="DW193" s="233"/>
      <c r="DX193" s="233"/>
      <c r="DY193" s="233"/>
      <c r="DZ193" s="233"/>
      <c r="EA193" s="233"/>
      <c r="EB193" s="233"/>
      <c r="EC193" s="233"/>
      <c r="ED193" s="233"/>
      <c r="EE193" s="233"/>
      <c r="EF193" s="233"/>
      <c r="EG193" s="233"/>
      <c r="EH193" s="233"/>
      <c r="EI193" s="233"/>
      <c r="EJ193" s="233"/>
      <c r="EK193" s="233"/>
      <c r="EL193" s="233"/>
      <c r="EM193" s="233"/>
      <c r="EN193" s="233"/>
      <c r="EO193" s="233"/>
      <c r="EP193" s="233"/>
    </row>
    <row r="194" spans="1:146" ht="14.25" x14ac:dyDescent="0.2">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c r="BJ194" s="233"/>
      <c r="BK194" s="233"/>
      <c r="BL194" s="233"/>
      <c r="BM194" s="233"/>
      <c r="BN194" s="233"/>
      <c r="BO194" s="233"/>
      <c r="BP194" s="233"/>
      <c r="BQ194" s="233"/>
      <c r="BR194" s="233"/>
      <c r="BS194" s="233"/>
      <c r="BT194" s="233"/>
      <c r="BU194" s="233"/>
      <c r="BV194" s="233"/>
      <c r="BW194" s="233"/>
      <c r="BX194" s="233"/>
      <c r="BY194" s="233"/>
      <c r="BZ194" s="233"/>
      <c r="CA194" s="233"/>
      <c r="CB194" s="233"/>
      <c r="CC194" s="233"/>
      <c r="CD194" s="233"/>
      <c r="CE194" s="233"/>
      <c r="CF194" s="233"/>
      <c r="CG194" s="233"/>
      <c r="CH194" s="233"/>
      <c r="CI194" s="233"/>
      <c r="CJ194" s="233"/>
      <c r="CK194" s="233"/>
      <c r="CL194" s="233"/>
      <c r="CM194" s="233"/>
      <c r="CN194" s="233"/>
      <c r="CO194" s="233"/>
      <c r="CP194" s="233"/>
      <c r="CQ194" s="233"/>
      <c r="CR194" s="233"/>
      <c r="CS194" s="233"/>
      <c r="CT194" s="233"/>
      <c r="CU194" s="233"/>
      <c r="CV194" s="233"/>
      <c r="CW194" s="233"/>
      <c r="CX194" s="233"/>
      <c r="CY194" s="233"/>
      <c r="CZ194" s="233"/>
      <c r="DA194" s="233"/>
      <c r="DB194" s="233"/>
      <c r="DC194" s="233"/>
      <c r="DD194" s="233"/>
      <c r="DE194" s="233"/>
      <c r="DF194" s="233"/>
      <c r="DG194" s="233"/>
      <c r="DH194" s="233"/>
      <c r="DI194" s="233"/>
      <c r="DJ194" s="233"/>
      <c r="DK194" s="233"/>
      <c r="DL194" s="233"/>
      <c r="DM194" s="233"/>
      <c r="DN194" s="233"/>
      <c r="DO194" s="233"/>
      <c r="DP194" s="233"/>
      <c r="DQ194" s="233"/>
      <c r="DR194" s="233"/>
      <c r="DS194" s="233"/>
      <c r="DT194" s="233"/>
      <c r="DU194" s="233"/>
      <c r="DV194" s="233"/>
      <c r="DW194" s="233"/>
      <c r="DX194" s="233"/>
      <c r="DY194" s="233"/>
      <c r="DZ194" s="233"/>
      <c r="EA194" s="233"/>
      <c r="EB194" s="233"/>
      <c r="EC194" s="233"/>
      <c r="ED194" s="233"/>
      <c r="EE194" s="233"/>
      <c r="EF194" s="233"/>
      <c r="EG194" s="233"/>
      <c r="EH194" s="233"/>
      <c r="EI194" s="233"/>
      <c r="EJ194" s="233"/>
      <c r="EK194" s="233"/>
      <c r="EL194" s="233"/>
      <c r="EM194" s="233"/>
      <c r="EN194" s="233"/>
      <c r="EO194" s="233"/>
      <c r="EP194" s="233"/>
    </row>
    <row r="195" spans="1:146" ht="14.25" x14ac:dyDescent="0.2">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33"/>
      <c r="CI195" s="233"/>
      <c r="CJ195" s="233"/>
      <c r="CK195" s="233"/>
      <c r="CL195" s="233"/>
      <c r="CM195" s="233"/>
      <c r="CN195" s="233"/>
      <c r="CO195" s="233"/>
      <c r="CP195" s="233"/>
      <c r="CQ195" s="233"/>
      <c r="CR195" s="233"/>
      <c r="CS195" s="233"/>
      <c r="CT195" s="233"/>
      <c r="CU195" s="233"/>
      <c r="CV195" s="233"/>
      <c r="CW195" s="233"/>
      <c r="CX195" s="233"/>
      <c r="CY195" s="233"/>
      <c r="CZ195" s="233"/>
      <c r="DA195" s="233"/>
      <c r="DB195" s="233"/>
      <c r="DC195" s="233"/>
      <c r="DD195" s="233"/>
      <c r="DE195" s="233"/>
      <c r="DF195" s="233"/>
      <c r="DG195" s="233"/>
      <c r="DH195" s="233"/>
      <c r="DI195" s="233"/>
      <c r="DJ195" s="233"/>
      <c r="DK195" s="233"/>
      <c r="DL195" s="233"/>
      <c r="DM195" s="233"/>
      <c r="DN195" s="233"/>
      <c r="DO195" s="233"/>
      <c r="DP195" s="233"/>
      <c r="DQ195" s="233"/>
      <c r="DR195" s="233"/>
      <c r="DS195" s="233"/>
      <c r="DT195" s="233"/>
      <c r="DU195" s="233"/>
      <c r="DV195" s="233"/>
      <c r="DW195" s="233"/>
      <c r="DX195" s="233"/>
      <c r="DY195" s="233"/>
      <c r="DZ195" s="233"/>
      <c r="EA195" s="233"/>
      <c r="EB195" s="233"/>
      <c r="EC195" s="233"/>
      <c r="ED195" s="233"/>
      <c r="EE195" s="233"/>
      <c r="EF195" s="233"/>
      <c r="EG195" s="233"/>
      <c r="EH195" s="233"/>
      <c r="EI195" s="233"/>
      <c r="EJ195" s="233"/>
      <c r="EK195" s="233"/>
      <c r="EL195" s="233"/>
      <c r="EM195" s="233"/>
      <c r="EN195" s="233"/>
      <c r="EO195" s="233"/>
      <c r="EP195" s="233"/>
    </row>
    <row r="196" spans="1:146" ht="14.25" x14ac:dyDescent="0.2">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33"/>
      <c r="CI196" s="233"/>
      <c r="CJ196" s="233"/>
      <c r="CK196" s="233"/>
      <c r="CL196" s="233"/>
      <c r="CM196" s="233"/>
      <c r="CN196" s="233"/>
      <c r="CO196" s="233"/>
      <c r="CP196" s="233"/>
      <c r="CQ196" s="233"/>
      <c r="CR196" s="233"/>
      <c r="CS196" s="233"/>
      <c r="CT196" s="233"/>
      <c r="CU196" s="233"/>
      <c r="CV196" s="233"/>
      <c r="CW196" s="233"/>
      <c r="CX196" s="233"/>
      <c r="CY196" s="233"/>
      <c r="CZ196" s="233"/>
      <c r="DA196" s="233"/>
      <c r="DB196" s="233"/>
      <c r="DC196" s="233"/>
      <c r="DD196" s="233"/>
      <c r="DE196" s="233"/>
      <c r="DF196" s="233"/>
      <c r="DG196" s="233"/>
      <c r="DH196" s="233"/>
      <c r="DI196" s="233"/>
      <c r="DJ196" s="233"/>
      <c r="DK196" s="233"/>
      <c r="DL196" s="233"/>
      <c r="DM196" s="233"/>
      <c r="DN196" s="233"/>
      <c r="DO196" s="233"/>
      <c r="DP196" s="233"/>
      <c r="DQ196" s="233"/>
      <c r="DR196" s="233"/>
      <c r="DS196" s="233"/>
      <c r="DT196" s="233"/>
      <c r="DU196" s="233"/>
      <c r="DV196" s="233"/>
      <c r="DW196" s="233"/>
      <c r="DX196" s="233"/>
      <c r="DY196" s="233"/>
      <c r="DZ196" s="233"/>
      <c r="EA196" s="233"/>
      <c r="EB196" s="233"/>
      <c r="EC196" s="233"/>
      <c r="ED196" s="233"/>
      <c r="EE196" s="233"/>
      <c r="EF196" s="233"/>
      <c r="EG196" s="233"/>
      <c r="EH196" s="233"/>
      <c r="EI196" s="233"/>
      <c r="EJ196" s="233"/>
      <c r="EK196" s="233"/>
      <c r="EL196" s="233"/>
      <c r="EM196" s="233"/>
      <c r="EN196" s="233"/>
      <c r="EO196" s="233"/>
      <c r="EP196" s="233"/>
    </row>
    <row r="197" spans="1:146" ht="14.25" x14ac:dyDescent="0.2">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33"/>
      <c r="CI197" s="233"/>
      <c r="CJ197" s="233"/>
      <c r="CK197" s="233"/>
      <c r="CL197" s="233"/>
      <c r="CM197" s="233"/>
      <c r="CN197" s="233"/>
      <c r="CO197" s="233"/>
      <c r="CP197" s="233"/>
      <c r="CQ197" s="233"/>
      <c r="CR197" s="233"/>
      <c r="CS197" s="233"/>
      <c r="CT197" s="233"/>
      <c r="CU197" s="233"/>
      <c r="CV197" s="233"/>
      <c r="CW197" s="233"/>
      <c r="CX197" s="233"/>
      <c r="CY197" s="233"/>
      <c r="CZ197" s="233"/>
      <c r="DA197" s="233"/>
      <c r="DB197" s="233"/>
      <c r="DC197" s="233"/>
      <c r="DD197" s="233"/>
      <c r="DE197" s="233"/>
      <c r="DF197" s="233"/>
      <c r="DG197" s="233"/>
      <c r="DH197" s="233"/>
      <c r="DI197" s="233"/>
      <c r="DJ197" s="233"/>
      <c r="DK197" s="233"/>
      <c r="DL197" s="233"/>
      <c r="DM197" s="233"/>
      <c r="DN197" s="233"/>
      <c r="DO197" s="233"/>
      <c r="DP197" s="233"/>
      <c r="DQ197" s="233"/>
      <c r="DR197" s="233"/>
      <c r="DS197" s="233"/>
      <c r="DT197" s="233"/>
      <c r="DU197" s="233"/>
      <c r="DV197" s="233"/>
      <c r="DW197" s="233"/>
      <c r="DX197" s="233"/>
      <c r="DY197" s="233"/>
      <c r="DZ197" s="233"/>
      <c r="EA197" s="233"/>
      <c r="EB197" s="233"/>
      <c r="EC197" s="233"/>
      <c r="ED197" s="233"/>
      <c r="EE197" s="233"/>
      <c r="EF197" s="233"/>
      <c r="EG197" s="233"/>
      <c r="EH197" s="233"/>
      <c r="EI197" s="233"/>
      <c r="EJ197" s="233"/>
      <c r="EK197" s="233"/>
      <c r="EL197" s="233"/>
      <c r="EM197" s="233"/>
      <c r="EN197" s="233"/>
      <c r="EO197" s="233"/>
      <c r="EP197" s="233"/>
    </row>
    <row r="198" spans="1:146" ht="14.25" x14ac:dyDescent="0.2">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33"/>
      <c r="CI198" s="233"/>
      <c r="CJ198" s="233"/>
      <c r="CK198" s="233"/>
      <c r="CL198" s="233"/>
      <c r="CM198" s="233"/>
      <c r="CN198" s="233"/>
      <c r="CO198" s="233"/>
      <c r="CP198" s="233"/>
      <c r="CQ198" s="233"/>
      <c r="CR198" s="233"/>
      <c r="CS198" s="233"/>
      <c r="CT198" s="233"/>
      <c r="CU198" s="233"/>
      <c r="CV198" s="233"/>
      <c r="CW198" s="233"/>
      <c r="CX198" s="233"/>
      <c r="CY198" s="233"/>
      <c r="CZ198" s="233"/>
      <c r="DA198" s="233"/>
      <c r="DB198" s="233"/>
      <c r="DC198" s="233"/>
      <c r="DD198" s="233"/>
      <c r="DE198" s="233"/>
      <c r="DF198" s="233"/>
      <c r="DG198" s="233"/>
      <c r="DH198" s="233"/>
      <c r="DI198" s="233"/>
      <c r="DJ198" s="233"/>
      <c r="DK198" s="233"/>
      <c r="DL198" s="233"/>
      <c r="DM198" s="233"/>
      <c r="DN198" s="233"/>
      <c r="DO198" s="233"/>
      <c r="DP198" s="233"/>
      <c r="DQ198" s="233"/>
      <c r="DR198" s="233"/>
      <c r="DS198" s="233"/>
      <c r="DT198" s="233"/>
      <c r="DU198" s="233"/>
      <c r="DV198" s="233"/>
      <c r="DW198" s="233"/>
      <c r="DX198" s="233"/>
      <c r="DY198" s="233"/>
      <c r="DZ198" s="233"/>
      <c r="EA198" s="233"/>
      <c r="EB198" s="233"/>
      <c r="EC198" s="233"/>
      <c r="ED198" s="233"/>
      <c r="EE198" s="233"/>
      <c r="EF198" s="233"/>
      <c r="EG198" s="233"/>
      <c r="EH198" s="233"/>
      <c r="EI198" s="233"/>
      <c r="EJ198" s="233"/>
      <c r="EK198" s="233"/>
      <c r="EL198" s="233"/>
      <c r="EM198" s="233"/>
      <c r="EN198" s="233"/>
      <c r="EO198" s="233"/>
      <c r="EP198" s="233"/>
    </row>
    <row r="199" spans="1:146" ht="14.25" x14ac:dyDescent="0.2">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33"/>
      <c r="CN199" s="233"/>
      <c r="CO199" s="233"/>
      <c r="CP199" s="233"/>
      <c r="CQ199" s="233"/>
      <c r="CR199" s="233"/>
      <c r="CS199" s="233"/>
      <c r="CT199" s="233"/>
      <c r="CU199" s="233"/>
      <c r="CV199" s="233"/>
      <c r="CW199" s="233"/>
      <c r="CX199" s="233"/>
      <c r="CY199" s="233"/>
      <c r="CZ199" s="233"/>
      <c r="DA199" s="233"/>
      <c r="DB199" s="233"/>
      <c r="DC199" s="233"/>
      <c r="DD199" s="233"/>
      <c r="DE199" s="233"/>
      <c r="DF199" s="233"/>
      <c r="DG199" s="233"/>
      <c r="DH199" s="233"/>
      <c r="DI199" s="233"/>
      <c r="DJ199" s="233"/>
      <c r="DK199" s="233"/>
      <c r="DL199" s="233"/>
      <c r="DM199" s="233"/>
      <c r="DN199" s="233"/>
      <c r="DO199" s="233"/>
      <c r="DP199" s="233"/>
      <c r="DQ199" s="233"/>
      <c r="DR199" s="233"/>
      <c r="DS199" s="233"/>
      <c r="DT199" s="233"/>
      <c r="DU199" s="233"/>
      <c r="DV199" s="233"/>
      <c r="DW199" s="233"/>
      <c r="DX199" s="233"/>
      <c r="DY199" s="233"/>
      <c r="DZ199" s="233"/>
      <c r="EA199" s="233"/>
      <c r="EB199" s="233"/>
      <c r="EC199" s="233"/>
      <c r="ED199" s="233"/>
      <c r="EE199" s="233"/>
      <c r="EF199" s="233"/>
      <c r="EG199" s="233"/>
      <c r="EH199" s="233"/>
      <c r="EI199" s="233"/>
      <c r="EJ199" s="233"/>
      <c r="EK199" s="233"/>
      <c r="EL199" s="233"/>
      <c r="EM199" s="233"/>
      <c r="EN199" s="233"/>
      <c r="EO199" s="233"/>
      <c r="EP199" s="233"/>
    </row>
    <row r="200" spans="1:146" ht="14.25" x14ac:dyDescent="0.2">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33"/>
      <c r="CN200" s="233"/>
      <c r="CO200" s="233"/>
      <c r="CP200" s="233"/>
      <c r="CQ200" s="233"/>
      <c r="CR200" s="233"/>
      <c r="CS200" s="233"/>
      <c r="CT200" s="233"/>
      <c r="CU200" s="233"/>
      <c r="CV200" s="233"/>
      <c r="CW200" s="233"/>
      <c r="CX200" s="233"/>
      <c r="CY200" s="233"/>
      <c r="CZ200" s="233"/>
      <c r="DA200" s="233"/>
      <c r="DB200" s="233"/>
      <c r="DC200" s="233"/>
      <c r="DD200" s="233"/>
      <c r="DE200" s="233"/>
      <c r="DF200" s="233"/>
      <c r="DG200" s="233"/>
      <c r="DH200" s="233"/>
      <c r="DI200" s="233"/>
      <c r="DJ200" s="233"/>
      <c r="DK200" s="233"/>
      <c r="DL200" s="233"/>
      <c r="DM200" s="233"/>
      <c r="DN200" s="233"/>
      <c r="DO200" s="233"/>
      <c r="DP200" s="233"/>
      <c r="DQ200" s="233"/>
      <c r="DR200" s="233"/>
      <c r="DS200" s="233"/>
      <c r="DT200" s="233"/>
      <c r="DU200" s="233"/>
      <c r="DV200" s="233"/>
      <c r="DW200" s="233"/>
      <c r="DX200" s="233"/>
      <c r="DY200" s="233"/>
      <c r="DZ200" s="233"/>
      <c r="EA200" s="233"/>
      <c r="EB200" s="233"/>
      <c r="EC200" s="233"/>
      <c r="ED200" s="233"/>
      <c r="EE200" s="233"/>
      <c r="EF200" s="233"/>
      <c r="EG200" s="233"/>
      <c r="EH200" s="233"/>
      <c r="EI200" s="233"/>
      <c r="EJ200" s="233"/>
      <c r="EK200" s="233"/>
      <c r="EL200" s="233"/>
      <c r="EM200" s="233"/>
      <c r="EN200" s="233"/>
      <c r="EO200" s="233"/>
      <c r="EP200" s="233"/>
    </row>
    <row r="201" spans="1:146" ht="14.25" x14ac:dyDescent="0.2">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33"/>
      <c r="CI201" s="233"/>
      <c r="CJ201" s="233"/>
      <c r="CK201" s="233"/>
      <c r="CL201" s="233"/>
      <c r="CM201" s="233"/>
      <c r="CN201" s="233"/>
      <c r="CO201" s="233"/>
      <c r="CP201" s="233"/>
      <c r="CQ201" s="233"/>
      <c r="CR201" s="233"/>
      <c r="CS201" s="233"/>
      <c r="CT201" s="233"/>
      <c r="CU201" s="233"/>
      <c r="CV201" s="233"/>
      <c r="CW201" s="233"/>
      <c r="CX201" s="233"/>
      <c r="CY201" s="233"/>
      <c r="CZ201" s="233"/>
      <c r="DA201" s="233"/>
      <c r="DB201" s="233"/>
      <c r="DC201" s="233"/>
      <c r="DD201" s="233"/>
      <c r="DE201" s="233"/>
      <c r="DF201" s="233"/>
      <c r="DG201" s="233"/>
      <c r="DH201" s="233"/>
      <c r="DI201" s="233"/>
      <c r="DJ201" s="233"/>
      <c r="DK201" s="233"/>
      <c r="DL201" s="233"/>
      <c r="DM201" s="233"/>
      <c r="DN201" s="233"/>
      <c r="DO201" s="233"/>
      <c r="DP201" s="233"/>
      <c r="DQ201" s="233"/>
      <c r="DR201" s="233"/>
      <c r="DS201" s="233"/>
      <c r="DT201" s="233"/>
      <c r="DU201" s="233"/>
      <c r="DV201" s="233"/>
      <c r="DW201" s="233"/>
      <c r="DX201" s="233"/>
      <c r="DY201" s="233"/>
      <c r="DZ201" s="233"/>
      <c r="EA201" s="233"/>
      <c r="EB201" s="233"/>
      <c r="EC201" s="233"/>
      <c r="ED201" s="233"/>
      <c r="EE201" s="233"/>
      <c r="EF201" s="233"/>
      <c r="EG201" s="233"/>
      <c r="EH201" s="233"/>
      <c r="EI201" s="233"/>
      <c r="EJ201" s="233"/>
      <c r="EK201" s="233"/>
      <c r="EL201" s="233"/>
      <c r="EM201" s="233"/>
      <c r="EN201" s="233"/>
      <c r="EO201" s="233"/>
      <c r="EP201" s="233"/>
    </row>
    <row r="202" spans="1:146" ht="14.25" x14ac:dyDescent="0.2">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c r="BJ202" s="233"/>
      <c r="BK202" s="233"/>
      <c r="BL202" s="233"/>
      <c r="BM202" s="233"/>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33"/>
      <c r="CI202" s="233"/>
      <c r="CJ202" s="233"/>
      <c r="CK202" s="233"/>
      <c r="CL202" s="233"/>
      <c r="CM202" s="233"/>
      <c r="CN202" s="233"/>
      <c r="CO202" s="233"/>
      <c r="CP202" s="233"/>
      <c r="CQ202" s="233"/>
      <c r="CR202" s="233"/>
      <c r="CS202" s="233"/>
      <c r="CT202" s="233"/>
      <c r="CU202" s="233"/>
      <c r="CV202" s="233"/>
      <c r="CW202" s="233"/>
      <c r="CX202" s="233"/>
      <c r="CY202" s="233"/>
      <c r="CZ202" s="233"/>
      <c r="DA202" s="233"/>
      <c r="DB202" s="233"/>
      <c r="DC202" s="233"/>
      <c r="DD202" s="233"/>
      <c r="DE202" s="233"/>
      <c r="DF202" s="233"/>
      <c r="DG202" s="233"/>
      <c r="DH202" s="233"/>
      <c r="DI202" s="233"/>
      <c r="DJ202" s="233"/>
      <c r="DK202" s="233"/>
      <c r="DL202" s="233"/>
      <c r="DM202" s="233"/>
      <c r="DN202" s="233"/>
      <c r="DO202" s="233"/>
      <c r="DP202" s="233"/>
      <c r="DQ202" s="233"/>
      <c r="DR202" s="233"/>
      <c r="DS202" s="233"/>
      <c r="DT202" s="233"/>
      <c r="DU202" s="233"/>
      <c r="DV202" s="233"/>
      <c r="DW202" s="233"/>
      <c r="DX202" s="233"/>
      <c r="DY202" s="233"/>
      <c r="DZ202" s="233"/>
      <c r="EA202" s="233"/>
      <c r="EB202" s="233"/>
      <c r="EC202" s="233"/>
      <c r="ED202" s="233"/>
      <c r="EE202" s="233"/>
      <c r="EF202" s="233"/>
      <c r="EG202" s="233"/>
      <c r="EH202" s="233"/>
      <c r="EI202" s="233"/>
      <c r="EJ202" s="233"/>
      <c r="EK202" s="233"/>
      <c r="EL202" s="233"/>
      <c r="EM202" s="233"/>
      <c r="EN202" s="233"/>
      <c r="EO202" s="233"/>
      <c r="EP202" s="233"/>
    </row>
    <row r="203" spans="1:146" ht="14.25" x14ac:dyDescent="0.2">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33"/>
      <c r="CI203" s="233"/>
      <c r="CJ203" s="233"/>
      <c r="CK203" s="233"/>
      <c r="CL203" s="233"/>
      <c r="CM203" s="233"/>
      <c r="CN203" s="233"/>
      <c r="CO203" s="233"/>
      <c r="CP203" s="233"/>
      <c r="CQ203" s="233"/>
      <c r="CR203" s="233"/>
      <c r="CS203" s="233"/>
      <c r="CT203" s="233"/>
      <c r="CU203" s="233"/>
      <c r="CV203" s="233"/>
      <c r="CW203" s="233"/>
      <c r="CX203" s="233"/>
      <c r="CY203" s="233"/>
      <c r="CZ203" s="233"/>
      <c r="DA203" s="233"/>
      <c r="DB203" s="233"/>
      <c r="DC203" s="233"/>
      <c r="DD203" s="233"/>
      <c r="DE203" s="233"/>
      <c r="DF203" s="233"/>
      <c r="DG203" s="233"/>
      <c r="DH203" s="233"/>
      <c r="DI203" s="233"/>
      <c r="DJ203" s="233"/>
      <c r="DK203" s="233"/>
      <c r="DL203" s="233"/>
      <c r="DM203" s="233"/>
      <c r="DN203" s="233"/>
      <c r="DO203" s="233"/>
      <c r="DP203" s="233"/>
      <c r="DQ203" s="233"/>
      <c r="DR203" s="233"/>
      <c r="DS203" s="233"/>
      <c r="DT203" s="233"/>
      <c r="DU203" s="233"/>
      <c r="DV203" s="233"/>
      <c r="DW203" s="233"/>
      <c r="DX203" s="233"/>
      <c r="DY203" s="233"/>
      <c r="DZ203" s="233"/>
      <c r="EA203" s="233"/>
      <c r="EB203" s="233"/>
      <c r="EC203" s="233"/>
      <c r="ED203" s="233"/>
      <c r="EE203" s="233"/>
      <c r="EF203" s="233"/>
      <c r="EG203" s="233"/>
      <c r="EH203" s="233"/>
      <c r="EI203" s="233"/>
      <c r="EJ203" s="233"/>
      <c r="EK203" s="233"/>
      <c r="EL203" s="233"/>
      <c r="EM203" s="233"/>
      <c r="EN203" s="233"/>
      <c r="EO203" s="233"/>
      <c r="EP203" s="233"/>
    </row>
    <row r="204" spans="1:146" ht="14.25" x14ac:dyDescent="0.2">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33"/>
      <c r="CI204" s="233"/>
      <c r="CJ204" s="233"/>
      <c r="CK204" s="233"/>
      <c r="CL204" s="233"/>
      <c r="CM204" s="233"/>
      <c r="CN204" s="233"/>
      <c r="CO204" s="233"/>
      <c r="CP204" s="233"/>
      <c r="CQ204" s="233"/>
      <c r="CR204" s="233"/>
      <c r="CS204" s="233"/>
      <c r="CT204" s="233"/>
      <c r="CU204" s="233"/>
      <c r="CV204" s="233"/>
      <c r="CW204" s="233"/>
      <c r="CX204" s="233"/>
      <c r="CY204" s="233"/>
      <c r="CZ204" s="233"/>
      <c r="DA204" s="233"/>
      <c r="DB204" s="233"/>
      <c r="DC204" s="233"/>
      <c r="DD204" s="233"/>
      <c r="DE204" s="233"/>
      <c r="DF204" s="233"/>
      <c r="DG204" s="233"/>
      <c r="DH204" s="233"/>
      <c r="DI204" s="233"/>
      <c r="DJ204" s="233"/>
      <c r="DK204" s="233"/>
      <c r="DL204" s="233"/>
      <c r="DM204" s="233"/>
      <c r="DN204" s="233"/>
      <c r="DO204" s="233"/>
      <c r="DP204" s="233"/>
      <c r="DQ204" s="233"/>
      <c r="DR204" s="233"/>
      <c r="DS204" s="233"/>
      <c r="DT204" s="233"/>
      <c r="DU204" s="233"/>
      <c r="DV204" s="233"/>
      <c r="DW204" s="233"/>
      <c r="DX204" s="233"/>
      <c r="DY204" s="233"/>
      <c r="DZ204" s="233"/>
      <c r="EA204" s="233"/>
      <c r="EB204" s="233"/>
      <c r="EC204" s="233"/>
      <c r="ED204" s="233"/>
      <c r="EE204" s="233"/>
      <c r="EF204" s="233"/>
      <c r="EG204" s="233"/>
      <c r="EH204" s="233"/>
      <c r="EI204" s="233"/>
      <c r="EJ204" s="233"/>
      <c r="EK204" s="233"/>
      <c r="EL204" s="233"/>
      <c r="EM204" s="233"/>
      <c r="EN204" s="233"/>
      <c r="EO204" s="233"/>
      <c r="EP204" s="233"/>
    </row>
    <row r="205" spans="1:146" ht="14.25" x14ac:dyDescent="0.2">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33"/>
      <c r="CI205" s="233"/>
      <c r="CJ205" s="233"/>
      <c r="CK205" s="233"/>
      <c r="CL205" s="233"/>
      <c r="CM205" s="233"/>
      <c r="CN205" s="233"/>
      <c r="CO205" s="233"/>
      <c r="CP205" s="233"/>
      <c r="CQ205" s="233"/>
      <c r="CR205" s="233"/>
      <c r="CS205" s="233"/>
      <c r="CT205" s="233"/>
      <c r="CU205" s="233"/>
      <c r="CV205" s="233"/>
      <c r="CW205" s="233"/>
      <c r="CX205" s="233"/>
      <c r="CY205" s="233"/>
      <c r="CZ205" s="233"/>
      <c r="DA205" s="233"/>
      <c r="DB205" s="233"/>
      <c r="DC205" s="233"/>
      <c r="DD205" s="233"/>
      <c r="DE205" s="233"/>
      <c r="DF205" s="233"/>
      <c r="DG205" s="233"/>
      <c r="DH205" s="233"/>
      <c r="DI205" s="233"/>
      <c r="DJ205" s="233"/>
      <c r="DK205" s="233"/>
      <c r="DL205" s="233"/>
      <c r="DM205" s="233"/>
      <c r="DN205" s="233"/>
      <c r="DO205" s="233"/>
      <c r="DP205" s="233"/>
      <c r="DQ205" s="233"/>
      <c r="DR205" s="233"/>
      <c r="DS205" s="233"/>
      <c r="DT205" s="233"/>
      <c r="DU205" s="233"/>
      <c r="DV205" s="233"/>
      <c r="DW205" s="233"/>
      <c r="DX205" s="233"/>
      <c r="DY205" s="233"/>
      <c r="DZ205" s="233"/>
      <c r="EA205" s="233"/>
      <c r="EB205" s="233"/>
      <c r="EC205" s="233"/>
      <c r="ED205" s="233"/>
      <c r="EE205" s="233"/>
      <c r="EF205" s="233"/>
      <c r="EG205" s="233"/>
      <c r="EH205" s="233"/>
      <c r="EI205" s="233"/>
      <c r="EJ205" s="233"/>
      <c r="EK205" s="233"/>
      <c r="EL205" s="233"/>
      <c r="EM205" s="233"/>
      <c r="EN205" s="233"/>
      <c r="EO205" s="233"/>
      <c r="EP205" s="233"/>
    </row>
    <row r="206" spans="1:146" ht="14.25" x14ac:dyDescent="0.2">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33"/>
      <c r="CI206" s="233"/>
      <c r="CJ206" s="233"/>
      <c r="CK206" s="233"/>
      <c r="CL206" s="233"/>
      <c r="CM206" s="233"/>
      <c r="CN206" s="233"/>
      <c r="CO206" s="233"/>
      <c r="CP206" s="233"/>
      <c r="CQ206" s="233"/>
      <c r="CR206" s="233"/>
      <c r="CS206" s="233"/>
      <c r="CT206" s="233"/>
      <c r="CU206" s="233"/>
      <c r="CV206" s="233"/>
      <c r="CW206" s="233"/>
      <c r="CX206" s="233"/>
      <c r="CY206" s="233"/>
      <c r="CZ206" s="233"/>
      <c r="DA206" s="233"/>
      <c r="DB206" s="233"/>
      <c r="DC206" s="233"/>
      <c r="DD206" s="233"/>
      <c r="DE206" s="233"/>
      <c r="DF206" s="233"/>
      <c r="DG206" s="233"/>
      <c r="DH206" s="233"/>
      <c r="DI206" s="233"/>
      <c r="DJ206" s="233"/>
      <c r="DK206" s="233"/>
      <c r="DL206" s="233"/>
      <c r="DM206" s="233"/>
      <c r="DN206" s="233"/>
      <c r="DO206" s="233"/>
      <c r="DP206" s="233"/>
      <c r="DQ206" s="233"/>
      <c r="DR206" s="233"/>
      <c r="DS206" s="233"/>
      <c r="DT206" s="233"/>
      <c r="DU206" s="233"/>
      <c r="DV206" s="233"/>
      <c r="DW206" s="233"/>
      <c r="DX206" s="233"/>
      <c r="DY206" s="233"/>
      <c r="DZ206" s="233"/>
      <c r="EA206" s="233"/>
      <c r="EB206" s="233"/>
      <c r="EC206" s="233"/>
      <c r="ED206" s="233"/>
      <c r="EE206" s="233"/>
      <c r="EF206" s="233"/>
      <c r="EG206" s="233"/>
      <c r="EH206" s="233"/>
      <c r="EI206" s="233"/>
      <c r="EJ206" s="233"/>
      <c r="EK206" s="233"/>
      <c r="EL206" s="233"/>
      <c r="EM206" s="233"/>
      <c r="EN206" s="233"/>
      <c r="EO206" s="233"/>
      <c r="EP206" s="233"/>
    </row>
    <row r="207" spans="1:146" ht="14.25" x14ac:dyDescent="0.2">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33"/>
      <c r="CI207" s="233"/>
      <c r="CJ207" s="233"/>
      <c r="CK207" s="233"/>
      <c r="CL207" s="233"/>
      <c r="CM207" s="233"/>
      <c r="CN207" s="233"/>
      <c r="CO207" s="233"/>
      <c r="CP207" s="233"/>
      <c r="CQ207" s="233"/>
      <c r="CR207" s="233"/>
      <c r="CS207" s="233"/>
      <c r="CT207" s="233"/>
      <c r="CU207" s="233"/>
      <c r="CV207" s="233"/>
      <c r="CW207" s="233"/>
      <c r="CX207" s="233"/>
      <c r="CY207" s="233"/>
      <c r="CZ207" s="233"/>
      <c r="DA207" s="233"/>
      <c r="DB207" s="233"/>
      <c r="DC207" s="233"/>
      <c r="DD207" s="233"/>
      <c r="DE207" s="233"/>
      <c r="DF207" s="233"/>
      <c r="DG207" s="233"/>
      <c r="DH207" s="233"/>
      <c r="DI207" s="233"/>
      <c r="DJ207" s="233"/>
      <c r="DK207" s="233"/>
      <c r="DL207" s="233"/>
      <c r="DM207" s="233"/>
      <c r="DN207" s="233"/>
      <c r="DO207" s="233"/>
      <c r="DP207" s="233"/>
      <c r="DQ207" s="233"/>
      <c r="DR207" s="233"/>
      <c r="DS207" s="233"/>
      <c r="DT207" s="233"/>
      <c r="DU207" s="233"/>
      <c r="DV207" s="233"/>
      <c r="DW207" s="233"/>
      <c r="DX207" s="233"/>
      <c r="DY207" s="233"/>
      <c r="DZ207" s="233"/>
      <c r="EA207" s="233"/>
      <c r="EB207" s="233"/>
      <c r="EC207" s="233"/>
      <c r="ED207" s="233"/>
      <c r="EE207" s="233"/>
      <c r="EF207" s="233"/>
      <c r="EG207" s="233"/>
      <c r="EH207" s="233"/>
      <c r="EI207" s="233"/>
      <c r="EJ207" s="233"/>
      <c r="EK207" s="233"/>
      <c r="EL207" s="233"/>
      <c r="EM207" s="233"/>
      <c r="EN207" s="233"/>
      <c r="EO207" s="233"/>
      <c r="EP207" s="233"/>
    </row>
    <row r="208" spans="1:146" ht="14.25" x14ac:dyDescent="0.2">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33"/>
      <c r="CI208" s="233"/>
      <c r="CJ208" s="233"/>
      <c r="CK208" s="233"/>
      <c r="CL208" s="233"/>
      <c r="CM208" s="233"/>
      <c r="CN208" s="233"/>
      <c r="CO208" s="233"/>
      <c r="CP208" s="233"/>
      <c r="CQ208" s="233"/>
      <c r="CR208" s="233"/>
      <c r="CS208" s="233"/>
      <c r="CT208" s="233"/>
      <c r="CU208" s="233"/>
      <c r="CV208" s="233"/>
      <c r="CW208" s="233"/>
      <c r="CX208" s="233"/>
      <c r="CY208" s="233"/>
      <c r="CZ208" s="233"/>
      <c r="DA208" s="233"/>
      <c r="DB208" s="233"/>
      <c r="DC208" s="233"/>
      <c r="DD208" s="233"/>
      <c r="DE208" s="233"/>
      <c r="DF208" s="233"/>
      <c r="DG208" s="233"/>
      <c r="DH208" s="233"/>
      <c r="DI208" s="233"/>
      <c r="DJ208" s="233"/>
      <c r="DK208" s="233"/>
      <c r="DL208" s="233"/>
      <c r="DM208" s="233"/>
      <c r="DN208" s="233"/>
      <c r="DO208" s="233"/>
      <c r="DP208" s="233"/>
      <c r="DQ208" s="233"/>
      <c r="DR208" s="233"/>
      <c r="DS208" s="233"/>
      <c r="DT208" s="233"/>
      <c r="DU208" s="233"/>
      <c r="DV208" s="233"/>
      <c r="DW208" s="233"/>
      <c r="DX208" s="233"/>
      <c r="DY208" s="233"/>
      <c r="DZ208" s="233"/>
      <c r="EA208" s="233"/>
      <c r="EB208" s="233"/>
      <c r="EC208" s="233"/>
      <c r="ED208" s="233"/>
      <c r="EE208" s="233"/>
      <c r="EF208" s="233"/>
      <c r="EG208" s="233"/>
      <c r="EH208" s="233"/>
      <c r="EI208" s="233"/>
      <c r="EJ208" s="233"/>
      <c r="EK208" s="233"/>
      <c r="EL208" s="233"/>
      <c r="EM208" s="233"/>
      <c r="EN208" s="233"/>
      <c r="EO208" s="233"/>
      <c r="EP208" s="233"/>
    </row>
    <row r="209" spans="1:146" ht="14.25" x14ac:dyDescent="0.2">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33"/>
      <c r="CN209" s="233"/>
      <c r="CO209" s="233"/>
      <c r="CP209" s="233"/>
      <c r="CQ209" s="233"/>
      <c r="CR209" s="233"/>
      <c r="CS209" s="233"/>
      <c r="CT209" s="233"/>
      <c r="CU209" s="233"/>
      <c r="CV209" s="233"/>
      <c r="CW209" s="233"/>
      <c r="CX209" s="233"/>
      <c r="CY209" s="233"/>
      <c r="CZ209" s="233"/>
      <c r="DA209" s="233"/>
      <c r="DB209" s="233"/>
      <c r="DC209" s="233"/>
      <c r="DD209" s="233"/>
      <c r="DE209" s="233"/>
      <c r="DF209" s="233"/>
      <c r="DG209" s="233"/>
      <c r="DH209" s="233"/>
      <c r="DI209" s="233"/>
      <c r="DJ209" s="233"/>
      <c r="DK209" s="233"/>
      <c r="DL209" s="233"/>
      <c r="DM209" s="233"/>
      <c r="DN209" s="233"/>
      <c r="DO209" s="233"/>
      <c r="DP209" s="233"/>
      <c r="DQ209" s="233"/>
      <c r="DR209" s="233"/>
      <c r="DS209" s="233"/>
      <c r="DT209" s="233"/>
      <c r="DU209" s="233"/>
      <c r="DV209" s="233"/>
      <c r="DW209" s="233"/>
      <c r="DX209" s="233"/>
      <c r="DY209" s="233"/>
      <c r="DZ209" s="233"/>
      <c r="EA209" s="233"/>
      <c r="EB209" s="233"/>
      <c r="EC209" s="233"/>
      <c r="ED209" s="233"/>
      <c r="EE209" s="233"/>
      <c r="EF209" s="233"/>
      <c r="EG209" s="233"/>
      <c r="EH209" s="233"/>
      <c r="EI209" s="233"/>
      <c r="EJ209" s="233"/>
      <c r="EK209" s="233"/>
      <c r="EL209" s="233"/>
      <c r="EM209" s="233"/>
      <c r="EN209" s="233"/>
      <c r="EO209" s="233"/>
      <c r="EP209" s="233"/>
    </row>
    <row r="210" spans="1:146" ht="14.25" x14ac:dyDescent="0.2">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c r="DT210" s="233"/>
      <c r="DU210" s="233"/>
      <c r="DV210" s="233"/>
      <c r="DW210" s="233"/>
      <c r="DX210" s="233"/>
      <c r="DY210" s="233"/>
      <c r="DZ210" s="233"/>
      <c r="EA210" s="233"/>
      <c r="EB210" s="233"/>
      <c r="EC210" s="233"/>
      <c r="ED210" s="233"/>
      <c r="EE210" s="233"/>
      <c r="EF210" s="233"/>
      <c r="EG210" s="233"/>
      <c r="EH210" s="233"/>
      <c r="EI210" s="233"/>
      <c r="EJ210" s="233"/>
      <c r="EK210" s="233"/>
      <c r="EL210" s="233"/>
      <c r="EM210" s="233"/>
      <c r="EN210" s="233"/>
      <c r="EO210" s="233"/>
      <c r="EP210" s="233"/>
    </row>
    <row r="211" spans="1:146" ht="14.25" x14ac:dyDescent="0.2">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33"/>
      <c r="CI211" s="233"/>
      <c r="CJ211" s="233"/>
      <c r="CK211" s="233"/>
      <c r="CL211" s="233"/>
      <c r="CM211" s="233"/>
      <c r="CN211" s="233"/>
      <c r="CO211" s="233"/>
      <c r="CP211" s="233"/>
      <c r="CQ211" s="233"/>
      <c r="CR211" s="233"/>
      <c r="CS211" s="233"/>
      <c r="CT211" s="233"/>
      <c r="CU211" s="233"/>
      <c r="CV211" s="233"/>
      <c r="CW211" s="233"/>
      <c r="CX211" s="233"/>
      <c r="CY211" s="233"/>
      <c r="CZ211" s="233"/>
      <c r="DA211" s="233"/>
      <c r="DB211" s="233"/>
      <c r="DC211" s="233"/>
      <c r="DD211" s="233"/>
      <c r="DE211" s="233"/>
      <c r="DF211" s="233"/>
      <c r="DG211" s="233"/>
      <c r="DH211" s="233"/>
      <c r="DI211" s="233"/>
      <c r="DJ211" s="233"/>
      <c r="DK211" s="233"/>
      <c r="DL211" s="233"/>
      <c r="DM211" s="233"/>
      <c r="DN211" s="233"/>
      <c r="DO211" s="233"/>
      <c r="DP211" s="233"/>
      <c r="DQ211" s="233"/>
      <c r="DR211" s="233"/>
      <c r="DS211" s="233"/>
      <c r="DT211" s="233"/>
      <c r="DU211" s="233"/>
      <c r="DV211" s="233"/>
      <c r="DW211" s="233"/>
      <c r="DX211" s="233"/>
      <c r="DY211" s="233"/>
      <c r="DZ211" s="233"/>
      <c r="EA211" s="233"/>
      <c r="EB211" s="233"/>
      <c r="EC211" s="233"/>
      <c r="ED211" s="233"/>
      <c r="EE211" s="233"/>
      <c r="EF211" s="233"/>
      <c r="EG211" s="233"/>
      <c r="EH211" s="233"/>
      <c r="EI211" s="233"/>
      <c r="EJ211" s="233"/>
      <c r="EK211" s="233"/>
      <c r="EL211" s="233"/>
      <c r="EM211" s="233"/>
      <c r="EN211" s="233"/>
      <c r="EO211" s="233"/>
      <c r="EP211" s="233"/>
    </row>
    <row r="212" spans="1:146" ht="14.25" x14ac:dyDescent="0.2">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33"/>
      <c r="CN212" s="233"/>
      <c r="CO212" s="233"/>
      <c r="CP212" s="233"/>
      <c r="CQ212" s="233"/>
      <c r="CR212" s="233"/>
      <c r="CS212" s="233"/>
      <c r="CT212" s="233"/>
      <c r="CU212" s="233"/>
      <c r="CV212" s="233"/>
      <c r="CW212" s="233"/>
      <c r="CX212" s="233"/>
      <c r="CY212" s="233"/>
      <c r="CZ212" s="233"/>
      <c r="DA212" s="233"/>
      <c r="DB212" s="233"/>
      <c r="DC212" s="233"/>
      <c r="DD212" s="233"/>
      <c r="DE212" s="233"/>
      <c r="DF212" s="233"/>
      <c r="DG212" s="233"/>
      <c r="DH212" s="233"/>
      <c r="DI212" s="233"/>
      <c r="DJ212" s="233"/>
      <c r="DK212" s="233"/>
      <c r="DL212" s="233"/>
      <c r="DM212" s="233"/>
      <c r="DN212" s="233"/>
      <c r="DO212" s="233"/>
      <c r="DP212" s="233"/>
      <c r="DQ212" s="233"/>
      <c r="DR212" s="233"/>
      <c r="DS212" s="233"/>
      <c r="DT212" s="233"/>
      <c r="DU212" s="233"/>
      <c r="DV212" s="233"/>
      <c r="DW212" s="233"/>
      <c r="DX212" s="233"/>
      <c r="DY212" s="233"/>
      <c r="DZ212" s="233"/>
      <c r="EA212" s="233"/>
      <c r="EB212" s="233"/>
      <c r="EC212" s="233"/>
      <c r="ED212" s="233"/>
      <c r="EE212" s="233"/>
      <c r="EF212" s="233"/>
      <c r="EG212" s="233"/>
      <c r="EH212" s="233"/>
      <c r="EI212" s="233"/>
      <c r="EJ212" s="233"/>
      <c r="EK212" s="233"/>
      <c r="EL212" s="233"/>
      <c r="EM212" s="233"/>
      <c r="EN212" s="233"/>
      <c r="EO212" s="233"/>
      <c r="EP212" s="233"/>
    </row>
    <row r="213" spans="1:146" ht="14.25" x14ac:dyDescent="0.2">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33"/>
      <c r="CI213" s="233"/>
      <c r="CJ213" s="233"/>
      <c r="CK213" s="233"/>
      <c r="CL213" s="233"/>
      <c r="CM213" s="233"/>
      <c r="CN213" s="233"/>
      <c r="CO213" s="233"/>
      <c r="CP213" s="233"/>
      <c r="CQ213" s="233"/>
      <c r="CR213" s="233"/>
      <c r="CS213" s="233"/>
      <c r="CT213" s="233"/>
      <c r="CU213" s="233"/>
      <c r="CV213" s="233"/>
      <c r="CW213" s="233"/>
      <c r="CX213" s="233"/>
      <c r="CY213" s="233"/>
      <c r="CZ213" s="233"/>
      <c r="DA213" s="233"/>
      <c r="DB213" s="233"/>
      <c r="DC213" s="233"/>
      <c r="DD213" s="233"/>
      <c r="DE213" s="233"/>
      <c r="DF213" s="233"/>
      <c r="DG213" s="233"/>
      <c r="DH213" s="233"/>
      <c r="DI213" s="233"/>
      <c r="DJ213" s="233"/>
      <c r="DK213" s="233"/>
      <c r="DL213" s="233"/>
      <c r="DM213" s="233"/>
      <c r="DN213" s="233"/>
      <c r="DO213" s="233"/>
      <c r="DP213" s="233"/>
      <c r="DQ213" s="233"/>
      <c r="DR213" s="233"/>
      <c r="DS213" s="233"/>
      <c r="DT213" s="233"/>
      <c r="DU213" s="233"/>
      <c r="DV213" s="233"/>
      <c r="DW213" s="233"/>
      <c r="DX213" s="233"/>
      <c r="DY213" s="233"/>
      <c r="DZ213" s="233"/>
      <c r="EA213" s="233"/>
      <c r="EB213" s="233"/>
      <c r="EC213" s="233"/>
      <c r="ED213" s="233"/>
      <c r="EE213" s="233"/>
      <c r="EF213" s="233"/>
      <c r="EG213" s="233"/>
      <c r="EH213" s="233"/>
      <c r="EI213" s="233"/>
      <c r="EJ213" s="233"/>
      <c r="EK213" s="233"/>
      <c r="EL213" s="233"/>
      <c r="EM213" s="233"/>
      <c r="EN213" s="233"/>
      <c r="EO213" s="233"/>
      <c r="EP213" s="233"/>
    </row>
    <row r="214" spans="1:146" ht="14.25" x14ac:dyDescent="0.2">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row>
    <row r="215" spans="1:146" ht="14.25" x14ac:dyDescent="0.2">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row>
    <row r="216" spans="1:146" ht="14.25" x14ac:dyDescent="0.2">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row>
    <row r="217" spans="1:146" ht="14.25" x14ac:dyDescent="0.2">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33"/>
      <c r="CI217" s="233"/>
      <c r="CJ217" s="233"/>
      <c r="CK217" s="233"/>
      <c r="CL217" s="233"/>
      <c r="CM217" s="233"/>
      <c r="CN217" s="233"/>
      <c r="CO217" s="233"/>
      <c r="CP217" s="233"/>
      <c r="CQ217" s="233"/>
      <c r="CR217" s="233"/>
      <c r="CS217" s="233"/>
      <c r="CT217" s="233"/>
      <c r="CU217" s="233"/>
      <c r="CV217" s="233"/>
      <c r="CW217" s="233"/>
      <c r="CX217" s="233"/>
      <c r="CY217" s="233"/>
      <c r="CZ217" s="233"/>
      <c r="DA217" s="233"/>
      <c r="DB217" s="233"/>
      <c r="DC217" s="233"/>
      <c r="DD217" s="233"/>
      <c r="DE217" s="233"/>
      <c r="DF217" s="233"/>
      <c r="DG217" s="233"/>
      <c r="DH217" s="233"/>
      <c r="DI217" s="233"/>
      <c r="DJ217" s="233"/>
      <c r="DK217" s="233"/>
      <c r="DL217" s="233"/>
      <c r="DM217" s="233"/>
      <c r="DN217" s="233"/>
      <c r="DO217" s="233"/>
      <c r="DP217" s="233"/>
      <c r="DQ217" s="233"/>
      <c r="DR217" s="233"/>
      <c r="DS217" s="233"/>
      <c r="DT217" s="233"/>
      <c r="DU217" s="233"/>
      <c r="DV217" s="233"/>
      <c r="DW217" s="233"/>
      <c r="DX217" s="233"/>
      <c r="DY217" s="233"/>
      <c r="DZ217" s="233"/>
      <c r="EA217" s="233"/>
      <c r="EB217" s="233"/>
      <c r="EC217" s="233"/>
      <c r="ED217" s="233"/>
      <c r="EE217" s="233"/>
      <c r="EF217" s="233"/>
      <c r="EG217" s="233"/>
      <c r="EH217" s="233"/>
      <c r="EI217" s="233"/>
      <c r="EJ217" s="233"/>
      <c r="EK217" s="233"/>
      <c r="EL217" s="233"/>
      <c r="EM217" s="233"/>
      <c r="EN217" s="233"/>
      <c r="EO217" s="233"/>
      <c r="EP217" s="233"/>
    </row>
    <row r="218" spans="1:146" ht="14.25" x14ac:dyDescent="0.2">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33"/>
      <c r="CN218" s="233"/>
      <c r="CO218" s="233"/>
      <c r="CP218" s="233"/>
      <c r="CQ218" s="233"/>
      <c r="CR218" s="233"/>
      <c r="CS218" s="233"/>
      <c r="CT218" s="233"/>
      <c r="CU218" s="233"/>
      <c r="CV218" s="233"/>
      <c r="CW218" s="233"/>
      <c r="CX218" s="233"/>
      <c r="CY218" s="233"/>
      <c r="CZ218" s="233"/>
      <c r="DA218" s="233"/>
      <c r="DB218" s="233"/>
      <c r="DC218" s="233"/>
      <c r="DD218" s="233"/>
      <c r="DE218" s="233"/>
      <c r="DF218" s="233"/>
      <c r="DG218" s="233"/>
      <c r="DH218" s="233"/>
      <c r="DI218" s="233"/>
      <c r="DJ218" s="233"/>
      <c r="DK218" s="233"/>
      <c r="DL218" s="233"/>
      <c r="DM218" s="233"/>
      <c r="DN218" s="233"/>
      <c r="DO218" s="233"/>
      <c r="DP218" s="233"/>
      <c r="DQ218" s="233"/>
      <c r="DR218" s="233"/>
      <c r="DS218" s="233"/>
      <c r="DT218" s="233"/>
      <c r="DU218" s="233"/>
      <c r="DV218" s="233"/>
      <c r="DW218" s="233"/>
      <c r="DX218" s="233"/>
      <c r="DY218" s="233"/>
      <c r="DZ218" s="233"/>
      <c r="EA218" s="233"/>
      <c r="EB218" s="233"/>
      <c r="EC218" s="233"/>
      <c r="ED218" s="233"/>
      <c r="EE218" s="233"/>
      <c r="EF218" s="233"/>
      <c r="EG218" s="233"/>
      <c r="EH218" s="233"/>
      <c r="EI218" s="233"/>
      <c r="EJ218" s="233"/>
      <c r="EK218" s="233"/>
      <c r="EL218" s="233"/>
      <c r="EM218" s="233"/>
      <c r="EN218" s="233"/>
      <c r="EO218" s="233"/>
      <c r="EP218" s="233"/>
    </row>
    <row r="219" spans="1:146" ht="14.25" x14ac:dyDescent="0.2">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33"/>
      <c r="CI219" s="233"/>
      <c r="CJ219" s="233"/>
      <c r="CK219" s="233"/>
      <c r="CL219" s="233"/>
      <c r="CM219" s="233"/>
      <c r="CN219" s="233"/>
      <c r="CO219" s="233"/>
      <c r="CP219" s="233"/>
      <c r="CQ219" s="233"/>
      <c r="CR219" s="233"/>
      <c r="CS219" s="233"/>
      <c r="CT219" s="233"/>
      <c r="CU219" s="233"/>
      <c r="CV219" s="233"/>
      <c r="CW219" s="233"/>
      <c r="CX219" s="233"/>
      <c r="CY219" s="233"/>
      <c r="CZ219" s="233"/>
      <c r="DA219" s="233"/>
      <c r="DB219" s="233"/>
      <c r="DC219" s="233"/>
      <c r="DD219" s="233"/>
      <c r="DE219" s="233"/>
      <c r="DF219" s="233"/>
      <c r="DG219" s="233"/>
      <c r="DH219" s="233"/>
      <c r="DI219" s="233"/>
      <c r="DJ219" s="233"/>
      <c r="DK219" s="233"/>
      <c r="DL219" s="233"/>
      <c r="DM219" s="233"/>
      <c r="DN219" s="233"/>
      <c r="DO219" s="233"/>
      <c r="DP219" s="233"/>
      <c r="DQ219" s="233"/>
      <c r="DR219" s="233"/>
      <c r="DS219" s="233"/>
      <c r="DT219" s="233"/>
      <c r="DU219" s="233"/>
      <c r="DV219" s="233"/>
      <c r="DW219" s="233"/>
      <c r="DX219" s="233"/>
      <c r="DY219" s="233"/>
      <c r="DZ219" s="233"/>
      <c r="EA219" s="233"/>
      <c r="EB219" s="233"/>
      <c r="EC219" s="233"/>
      <c r="ED219" s="233"/>
      <c r="EE219" s="233"/>
      <c r="EF219" s="233"/>
      <c r="EG219" s="233"/>
      <c r="EH219" s="233"/>
      <c r="EI219" s="233"/>
      <c r="EJ219" s="233"/>
      <c r="EK219" s="233"/>
      <c r="EL219" s="233"/>
      <c r="EM219" s="233"/>
      <c r="EN219" s="233"/>
      <c r="EO219" s="233"/>
      <c r="EP219" s="233"/>
    </row>
    <row r="220" spans="1:146" ht="14.25" x14ac:dyDescent="0.2">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33"/>
      <c r="CN220" s="233"/>
      <c r="CO220" s="233"/>
      <c r="CP220" s="233"/>
      <c r="CQ220" s="233"/>
      <c r="CR220" s="233"/>
      <c r="CS220" s="233"/>
      <c r="CT220" s="233"/>
      <c r="CU220" s="233"/>
      <c r="CV220" s="233"/>
      <c r="CW220" s="233"/>
      <c r="CX220" s="233"/>
      <c r="CY220" s="233"/>
      <c r="CZ220" s="233"/>
      <c r="DA220" s="233"/>
      <c r="DB220" s="233"/>
      <c r="DC220" s="233"/>
      <c r="DD220" s="233"/>
      <c r="DE220" s="233"/>
      <c r="DF220" s="233"/>
      <c r="DG220" s="233"/>
      <c r="DH220" s="233"/>
      <c r="DI220" s="233"/>
      <c r="DJ220" s="233"/>
      <c r="DK220" s="233"/>
      <c r="DL220" s="233"/>
      <c r="DM220" s="233"/>
      <c r="DN220" s="233"/>
      <c r="DO220" s="233"/>
      <c r="DP220" s="233"/>
      <c r="DQ220" s="233"/>
      <c r="DR220" s="233"/>
      <c r="DS220" s="233"/>
      <c r="DT220" s="233"/>
      <c r="DU220" s="233"/>
      <c r="DV220" s="233"/>
      <c r="DW220" s="233"/>
      <c r="DX220" s="233"/>
      <c r="DY220" s="233"/>
      <c r="DZ220" s="233"/>
      <c r="EA220" s="233"/>
      <c r="EB220" s="233"/>
      <c r="EC220" s="233"/>
      <c r="ED220" s="233"/>
      <c r="EE220" s="233"/>
      <c r="EF220" s="233"/>
      <c r="EG220" s="233"/>
      <c r="EH220" s="233"/>
      <c r="EI220" s="233"/>
      <c r="EJ220" s="233"/>
      <c r="EK220" s="233"/>
      <c r="EL220" s="233"/>
      <c r="EM220" s="233"/>
      <c r="EN220" s="233"/>
      <c r="EO220" s="233"/>
      <c r="EP220" s="233"/>
    </row>
    <row r="221" spans="1:146" ht="14.25" x14ac:dyDescent="0.2">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c r="DL221" s="233"/>
      <c r="DM221" s="233"/>
      <c r="DN221" s="233"/>
      <c r="DO221" s="233"/>
      <c r="DP221" s="233"/>
      <c r="DQ221" s="233"/>
      <c r="DR221" s="233"/>
      <c r="DS221" s="233"/>
      <c r="DT221" s="233"/>
      <c r="DU221" s="233"/>
      <c r="DV221" s="233"/>
      <c r="DW221" s="233"/>
      <c r="DX221" s="233"/>
      <c r="DY221" s="233"/>
      <c r="DZ221" s="233"/>
      <c r="EA221" s="233"/>
      <c r="EB221" s="233"/>
      <c r="EC221" s="233"/>
      <c r="ED221" s="233"/>
      <c r="EE221" s="233"/>
      <c r="EF221" s="233"/>
      <c r="EG221" s="233"/>
      <c r="EH221" s="233"/>
      <c r="EI221" s="233"/>
      <c r="EJ221" s="233"/>
      <c r="EK221" s="233"/>
      <c r="EL221" s="233"/>
      <c r="EM221" s="233"/>
      <c r="EN221" s="233"/>
      <c r="EO221" s="233"/>
      <c r="EP221" s="233"/>
    </row>
    <row r="222" spans="1:146" ht="14.25" x14ac:dyDescent="0.2">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3"/>
      <c r="DU222" s="233"/>
      <c r="DV222" s="233"/>
      <c r="DW222" s="233"/>
      <c r="DX222" s="233"/>
      <c r="DY222" s="233"/>
      <c r="DZ222" s="233"/>
      <c r="EA222" s="233"/>
      <c r="EB222" s="233"/>
      <c r="EC222" s="233"/>
      <c r="ED222" s="233"/>
      <c r="EE222" s="233"/>
      <c r="EF222" s="233"/>
      <c r="EG222" s="233"/>
      <c r="EH222" s="233"/>
      <c r="EI222" s="233"/>
      <c r="EJ222" s="233"/>
      <c r="EK222" s="233"/>
      <c r="EL222" s="233"/>
      <c r="EM222" s="233"/>
      <c r="EN222" s="233"/>
      <c r="EO222" s="233"/>
      <c r="EP222" s="233"/>
    </row>
    <row r="223" spans="1:146" ht="14.25" x14ac:dyDescent="0.2">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c r="DL223" s="233"/>
      <c r="DM223" s="233"/>
      <c r="DN223" s="233"/>
      <c r="DO223" s="233"/>
      <c r="DP223" s="233"/>
      <c r="DQ223" s="233"/>
      <c r="DR223" s="233"/>
      <c r="DS223" s="233"/>
      <c r="DT223" s="233"/>
      <c r="DU223" s="233"/>
      <c r="DV223" s="233"/>
      <c r="DW223" s="233"/>
      <c r="DX223" s="233"/>
      <c r="DY223" s="233"/>
      <c r="DZ223" s="233"/>
      <c r="EA223" s="233"/>
      <c r="EB223" s="233"/>
      <c r="EC223" s="233"/>
      <c r="ED223" s="233"/>
      <c r="EE223" s="233"/>
      <c r="EF223" s="233"/>
      <c r="EG223" s="233"/>
      <c r="EH223" s="233"/>
      <c r="EI223" s="233"/>
      <c r="EJ223" s="233"/>
      <c r="EK223" s="233"/>
      <c r="EL223" s="233"/>
      <c r="EM223" s="233"/>
      <c r="EN223" s="233"/>
      <c r="EO223" s="233"/>
      <c r="EP223" s="233"/>
    </row>
    <row r="224" spans="1:146" ht="14.25" x14ac:dyDescent="0.2">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33"/>
      <c r="DE224" s="233"/>
      <c r="DF224" s="233"/>
      <c r="DG224" s="233"/>
      <c r="DH224" s="233"/>
      <c r="DI224" s="233"/>
      <c r="DJ224" s="233"/>
      <c r="DK224" s="233"/>
      <c r="DL224" s="233"/>
      <c r="DM224" s="233"/>
      <c r="DN224" s="233"/>
      <c r="DO224" s="233"/>
      <c r="DP224" s="233"/>
      <c r="DQ224" s="233"/>
      <c r="DR224" s="233"/>
      <c r="DS224" s="233"/>
      <c r="DT224" s="233"/>
      <c r="DU224" s="233"/>
      <c r="DV224" s="233"/>
      <c r="DW224" s="233"/>
      <c r="DX224" s="233"/>
      <c r="DY224" s="233"/>
      <c r="DZ224" s="233"/>
      <c r="EA224" s="233"/>
      <c r="EB224" s="233"/>
      <c r="EC224" s="233"/>
      <c r="ED224" s="233"/>
      <c r="EE224" s="233"/>
      <c r="EF224" s="233"/>
      <c r="EG224" s="233"/>
      <c r="EH224" s="233"/>
      <c r="EI224" s="233"/>
      <c r="EJ224" s="233"/>
      <c r="EK224" s="233"/>
      <c r="EL224" s="233"/>
      <c r="EM224" s="233"/>
      <c r="EN224" s="233"/>
      <c r="EO224" s="233"/>
      <c r="EP224" s="233"/>
    </row>
    <row r="225" spans="1:146" ht="14.25" x14ac:dyDescent="0.2">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33"/>
      <c r="BK225" s="233"/>
      <c r="BL225" s="233"/>
      <c r="BM225" s="233"/>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33"/>
      <c r="CI225" s="233"/>
      <c r="CJ225" s="233"/>
      <c r="CK225" s="233"/>
      <c r="CL225" s="233"/>
      <c r="CM225" s="233"/>
      <c r="CN225" s="233"/>
      <c r="CO225" s="233"/>
      <c r="CP225" s="233"/>
      <c r="CQ225" s="233"/>
      <c r="CR225" s="233"/>
      <c r="CS225" s="233"/>
      <c r="CT225" s="233"/>
      <c r="CU225" s="233"/>
      <c r="CV225" s="233"/>
      <c r="CW225" s="233"/>
      <c r="CX225" s="233"/>
      <c r="CY225" s="233"/>
      <c r="CZ225" s="233"/>
      <c r="DA225" s="233"/>
      <c r="DB225" s="233"/>
      <c r="DC225" s="233"/>
      <c r="DD225" s="233"/>
      <c r="DE225" s="233"/>
      <c r="DF225" s="233"/>
      <c r="DG225" s="233"/>
      <c r="DH225" s="233"/>
      <c r="DI225" s="233"/>
      <c r="DJ225" s="233"/>
      <c r="DK225" s="233"/>
      <c r="DL225" s="233"/>
      <c r="DM225" s="233"/>
      <c r="DN225" s="233"/>
      <c r="DO225" s="233"/>
      <c r="DP225" s="233"/>
      <c r="DQ225" s="233"/>
      <c r="DR225" s="233"/>
      <c r="DS225" s="233"/>
      <c r="DT225" s="233"/>
      <c r="DU225" s="233"/>
      <c r="DV225" s="233"/>
      <c r="DW225" s="233"/>
      <c r="DX225" s="233"/>
      <c r="DY225" s="233"/>
      <c r="DZ225" s="233"/>
      <c r="EA225" s="233"/>
      <c r="EB225" s="233"/>
      <c r="EC225" s="233"/>
      <c r="ED225" s="233"/>
      <c r="EE225" s="233"/>
      <c r="EF225" s="233"/>
      <c r="EG225" s="233"/>
      <c r="EH225" s="233"/>
      <c r="EI225" s="233"/>
      <c r="EJ225" s="233"/>
      <c r="EK225" s="233"/>
      <c r="EL225" s="233"/>
      <c r="EM225" s="233"/>
      <c r="EN225" s="233"/>
      <c r="EO225" s="233"/>
      <c r="EP225" s="233"/>
    </row>
    <row r="226" spans="1:146" ht="14.25" x14ac:dyDescent="0.2">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33"/>
      <c r="CI226" s="233"/>
      <c r="CJ226" s="233"/>
      <c r="CK226" s="233"/>
      <c r="CL226" s="233"/>
      <c r="CM226" s="233"/>
      <c r="CN226" s="233"/>
      <c r="CO226" s="233"/>
      <c r="CP226" s="233"/>
      <c r="CQ226" s="233"/>
      <c r="CR226" s="233"/>
      <c r="CS226" s="233"/>
      <c r="CT226" s="233"/>
      <c r="CU226" s="233"/>
      <c r="CV226" s="233"/>
      <c r="CW226" s="233"/>
      <c r="CX226" s="233"/>
      <c r="CY226" s="233"/>
      <c r="CZ226" s="233"/>
      <c r="DA226" s="233"/>
      <c r="DB226" s="233"/>
      <c r="DC226" s="233"/>
      <c r="DD226" s="233"/>
      <c r="DE226" s="233"/>
      <c r="DF226" s="233"/>
      <c r="DG226" s="233"/>
      <c r="DH226" s="233"/>
      <c r="DI226" s="233"/>
      <c r="DJ226" s="233"/>
      <c r="DK226" s="233"/>
      <c r="DL226" s="233"/>
      <c r="DM226" s="233"/>
      <c r="DN226" s="233"/>
      <c r="DO226" s="233"/>
      <c r="DP226" s="233"/>
      <c r="DQ226" s="233"/>
      <c r="DR226" s="233"/>
      <c r="DS226" s="233"/>
      <c r="DT226" s="233"/>
      <c r="DU226" s="233"/>
      <c r="DV226" s="233"/>
      <c r="DW226" s="233"/>
      <c r="DX226" s="233"/>
      <c r="DY226" s="233"/>
      <c r="DZ226" s="233"/>
      <c r="EA226" s="233"/>
      <c r="EB226" s="233"/>
      <c r="EC226" s="233"/>
      <c r="ED226" s="233"/>
      <c r="EE226" s="233"/>
      <c r="EF226" s="233"/>
      <c r="EG226" s="233"/>
      <c r="EH226" s="233"/>
      <c r="EI226" s="233"/>
      <c r="EJ226" s="233"/>
      <c r="EK226" s="233"/>
      <c r="EL226" s="233"/>
      <c r="EM226" s="233"/>
      <c r="EN226" s="233"/>
      <c r="EO226" s="233"/>
      <c r="EP226" s="233"/>
    </row>
    <row r="227" spans="1:146" ht="14.25" x14ac:dyDescent="0.2">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33"/>
      <c r="CN227" s="233"/>
      <c r="CO227" s="233"/>
      <c r="CP227" s="233"/>
      <c r="CQ227" s="233"/>
      <c r="CR227" s="233"/>
      <c r="CS227" s="233"/>
      <c r="CT227" s="233"/>
      <c r="CU227" s="233"/>
      <c r="CV227" s="233"/>
      <c r="CW227" s="233"/>
      <c r="CX227" s="233"/>
      <c r="CY227" s="233"/>
      <c r="CZ227" s="233"/>
      <c r="DA227" s="233"/>
      <c r="DB227" s="233"/>
      <c r="DC227" s="233"/>
      <c r="DD227" s="233"/>
      <c r="DE227" s="233"/>
      <c r="DF227" s="233"/>
      <c r="DG227" s="233"/>
      <c r="DH227" s="233"/>
      <c r="DI227" s="233"/>
      <c r="DJ227" s="233"/>
      <c r="DK227" s="233"/>
      <c r="DL227" s="233"/>
      <c r="DM227" s="233"/>
      <c r="DN227" s="233"/>
      <c r="DO227" s="233"/>
      <c r="DP227" s="233"/>
      <c r="DQ227" s="233"/>
      <c r="DR227" s="233"/>
      <c r="DS227" s="233"/>
      <c r="DT227" s="233"/>
      <c r="DU227" s="233"/>
      <c r="DV227" s="233"/>
      <c r="DW227" s="233"/>
      <c r="DX227" s="233"/>
      <c r="DY227" s="233"/>
      <c r="DZ227" s="233"/>
      <c r="EA227" s="233"/>
      <c r="EB227" s="233"/>
      <c r="EC227" s="233"/>
      <c r="ED227" s="233"/>
      <c r="EE227" s="233"/>
      <c r="EF227" s="233"/>
      <c r="EG227" s="233"/>
      <c r="EH227" s="233"/>
      <c r="EI227" s="233"/>
      <c r="EJ227" s="233"/>
      <c r="EK227" s="233"/>
      <c r="EL227" s="233"/>
      <c r="EM227" s="233"/>
      <c r="EN227" s="233"/>
      <c r="EO227" s="233"/>
      <c r="EP227" s="233"/>
    </row>
    <row r="228" spans="1:146" ht="14.25" x14ac:dyDescent="0.2">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33"/>
      <c r="CN228" s="233"/>
      <c r="CO228" s="233"/>
      <c r="CP228" s="233"/>
      <c r="CQ228" s="233"/>
      <c r="CR228" s="233"/>
      <c r="CS228" s="233"/>
      <c r="CT228" s="233"/>
      <c r="CU228" s="233"/>
      <c r="CV228" s="233"/>
      <c r="CW228" s="233"/>
      <c r="CX228" s="233"/>
      <c r="CY228" s="233"/>
      <c r="CZ228" s="233"/>
      <c r="DA228" s="233"/>
      <c r="DB228" s="233"/>
      <c r="DC228" s="233"/>
      <c r="DD228" s="233"/>
      <c r="DE228" s="233"/>
      <c r="DF228" s="233"/>
      <c r="DG228" s="233"/>
      <c r="DH228" s="233"/>
      <c r="DI228" s="233"/>
      <c r="DJ228" s="233"/>
      <c r="DK228" s="233"/>
      <c r="DL228" s="233"/>
      <c r="DM228" s="233"/>
      <c r="DN228" s="233"/>
      <c r="DO228" s="233"/>
      <c r="DP228" s="233"/>
      <c r="DQ228" s="233"/>
      <c r="DR228" s="233"/>
      <c r="DS228" s="233"/>
      <c r="DT228" s="233"/>
      <c r="DU228" s="233"/>
      <c r="DV228" s="233"/>
      <c r="DW228" s="233"/>
      <c r="DX228" s="233"/>
      <c r="DY228" s="233"/>
      <c r="DZ228" s="233"/>
      <c r="EA228" s="233"/>
      <c r="EB228" s="233"/>
      <c r="EC228" s="233"/>
      <c r="ED228" s="233"/>
      <c r="EE228" s="233"/>
      <c r="EF228" s="233"/>
      <c r="EG228" s="233"/>
      <c r="EH228" s="233"/>
      <c r="EI228" s="233"/>
      <c r="EJ228" s="233"/>
      <c r="EK228" s="233"/>
      <c r="EL228" s="233"/>
      <c r="EM228" s="233"/>
      <c r="EN228" s="233"/>
      <c r="EO228" s="233"/>
      <c r="EP228" s="233"/>
    </row>
    <row r="229" spans="1:146" ht="14.25" x14ac:dyDescent="0.2">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33"/>
      <c r="BK229" s="233"/>
      <c r="BL229" s="233"/>
      <c r="BM229" s="233"/>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33"/>
      <c r="CI229" s="233"/>
      <c r="CJ229" s="233"/>
      <c r="CK229" s="233"/>
      <c r="CL229" s="233"/>
      <c r="CM229" s="233"/>
      <c r="CN229" s="233"/>
      <c r="CO229" s="233"/>
      <c r="CP229" s="233"/>
      <c r="CQ229" s="233"/>
      <c r="CR229" s="233"/>
      <c r="CS229" s="233"/>
      <c r="CT229" s="233"/>
      <c r="CU229" s="233"/>
      <c r="CV229" s="233"/>
      <c r="CW229" s="233"/>
      <c r="CX229" s="233"/>
      <c r="CY229" s="233"/>
      <c r="CZ229" s="233"/>
      <c r="DA229" s="233"/>
      <c r="DB229" s="233"/>
      <c r="DC229" s="233"/>
      <c r="DD229" s="233"/>
      <c r="DE229" s="233"/>
      <c r="DF229" s="233"/>
      <c r="DG229" s="233"/>
      <c r="DH229" s="233"/>
      <c r="DI229" s="233"/>
      <c r="DJ229" s="233"/>
      <c r="DK229" s="233"/>
      <c r="DL229" s="233"/>
      <c r="DM229" s="233"/>
      <c r="DN229" s="233"/>
      <c r="DO229" s="233"/>
      <c r="DP229" s="233"/>
      <c r="DQ229" s="233"/>
      <c r="DR229" s="233"/>
      <c r="DS229" s="233"/>
      <c r="DT229" s="233"/>
      <c r="DU229" s="233"/>
      <c r="DV229" s="233"/>
      <c r="DW229" s="233"/>
      <c r="DX229" s="233"/>
      <c r="DY229" s="233"/>
      <c r="DZ229" s="233"/>
      <c r="EA229" s="233"/>
      <c r="EB229" s="233"/>
      <c r="EC229" s="233"/>
      <c r="ED229" s="233"/>
      <c r="EE229" s="233"/>
      <c r="EF229" s="233"/>
      <c r="EG229" s="233"/>
      <c r="EH229" s="233"/>
      <c r="EI229" s="233"/>
      <c r="EJ229" s="233"/>
      <c r="EK229" s="233"/>
      <c r="EL229" s="233"/>
      <c r="EM229" s="233"/>
      <c r="EN229" s="233"/>
      <c r="EO229" s="233"/>
      <c r="EP229" s="233"/>
    </row>
    <row r="230" spans="1:146" ht="14.25" x14ac:dyDescent="0.2">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c r="BH230" s="233"/>
      <c r="BI230" s="233"/>
      <c r="BJ230" s="233"/>
      <c r="BK230" s="233"/>
      <c r="BL230" s="233"/>
      <c r="BM230" s="233"/>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33"/>
      <c r="CI230" s="233"/>
      <c r="CJ230" s="233"/>
      <c r="CK230" s="233"/>
      <c r="CL230" s="233"/>
      <c r="CM230" s="233"/>
      <c r="CN230" s="233"/>
      <c r="CO230" s="233"/>
      <c r="CP230" s="233"/>
      <c r="CQ230" s="233"/>
      <c r="CR230" s="233"/>
      <c r="CS230" s="233"/>
      <c r="CT230" s="233"/>
      <c r="CU230" s="233"/>
      <c r="CV230" s="233"/>
      <c r="CW230" s="233"/>
      <c r="CX230" s="233"/>
      <c r="CY230" s="233"/>
      <c r="CZ230" s="233"/>
      <c r="DA230" s="233"/>
      <c r="DB230" s="233"/>
      <c r="DC230" s="233"/>
      <c r="DD230" s="233"/>
      <c r="DE230" s="233"/>
      <c r="DF230" s="233"/>
      <c r="DG230" s="233"/>
      <c r="DH230" s="233"/>
      <c r="DI230" s="233"/>
      <c r="DJ230" s="233"/>
      <c r="DK230" s="233"/>
      <c r="DL230" s="233"/>
      <c r="DM230" s="233"/>
      <c r="DN230" s="233"/>
      <c r="DO230" s="233"/>
      <c r="DP230" s="233"/>
      <c r="DQ230" s="233"/>
      <c r="DR230" s="233"/>
      <c r="DS230" s="233"/>
      <c r="DT230" s="233"/>
      <c r="DU230" s="233"/>
      <c r="DV230" s="233"/>
      <c r="DW230" s="233"/>
      <c r="DX230" s="233"/>
      <c r="DY230" s="233"/>
      <c r="DZ230" s="233"/>
      <c r="EA230" s="233"/>
      <c r="EB230" s="233"/>
      <c r="EC230" s="233"/>
      <c r="ED230" s="233"/>
      <c r="EE230" s="233"/>
      <c r="EF230" s="233"/>
      <c r="EG230" s="233"/>
      <c r="EH230" s="233"/>
      <c r="EI230" s="233"/>
      <c r="EJ230" s="233"/>
      <c r="EK230" s="233"/>
      <c r="EL230" s="233"/>
      <c r="EM230" s="233"/>
      <c r="EN230" s="233"/>
      <c r="EO230" s="233"/>
      <c r="EP230" s="233"/>
    </row>
    <row r="231" spans="1:146" ht="14.25" x14ac:dyDescent="0.2">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c r="BJ231" s="233"/>
      <c r="BK231" s="233"/>
      <c r="BL231" s="233"/>
      <c r="BM231" s="233"/>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33"/>
      <c r="CI231" s="233"/>
      <c r="CJ231" s="233"/>
      <c r="CK231" s="233"/>
      <c r="CL231" s="233"/>
      <c r="CM231" s="233"/>
      <c r="CN231" s="233"/>
      <c r="CO231" s="233"/>
      <c r="CP231" s="233"/>
      <c r="CQ231" s="233"/>
      <c r="CR231" s="233"/>
      <c r="CS231" s="233"/>
      <c r="CT231" s="233"/>
      <c r="CU231" s="233"/>
      <c r="CV231" s="233"/>
      <c r="CW231" s="233"/>
      <c r="CX231" s="233"/>
      <c r="CY231" s="233"/>
      <c r="CZ231" s="233"/>
      <c r="DA231" s="233"/>
      <c r="DB231" s="233"/>
      <c r="DC231" s="233"/>
      <c r="DD231" s="233"/>
      <c r="DE231" s="233"/>
      <c r="DF231" s="233"/>
      <c r="DG231" s="233"/>
      <c r="DH231" s="233"/>
      <c r="DI231" s="233"/>
      <c r="DJ231" s="233"/>
      <c r="DK231" s="233"/>
      <c r="DL231" s="233"/>
      <c r="DM231" s="233"/>
      <c r="DN231" s="233"/>
      <c r="DO231" s="233"/>
      <c r="DP231" s="233"/>
      <c r="DQ231" s="233"/>
      <c r="DR231" s="233"/>
      <c r="DS231" s="233"/>
      <c r="DT231" s="233"/>
      <c r="DU231" s="233"/>
      <c r="DV231" s="233"/>
      <c r="DW231" s="233"/>
      <c r="DX231" s="233"/>
      <c r="DY231" s="233"/>
      <c r="DZ231" s="233"/>
      <c r="EA231" s="233"/>
      <c r="EB231" s="233"/>
      <c r="EC231" s="233"/>
      <c r="ED231" s="233"/>
      <c r="EE231" s="233"/>
      <c r="EF231" s="233"/>
      <c r="EG231" s="233"/>
      <c r="EH231" s="233"/>
      <c r="EI231" s="233"/>
      <c r="EJ231" s="233"/>
      <c r="EK231" s="233"/>
      <c r="EL231" s="233"/>
      <c r="EM231" s="233"/>
      <c r="EN231" s="233"/>
      <c r="EO231" s="233"/>
      <c r="EP231" s="233"/>
    </row>
    <row r="232" spans="1:146" ht="14.25" x14ac:dyDescent="0.2">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c r="BJ232" s="233"/>
      <c r="BK232" s="233"/>
      <c r="BL232" s="233"/>
      <c r="BM232" s="233"/>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33"/>
      <c r="CI232" s="233"/>
      <c r="CJ232" s="233"/>
      <c r="CK232" s="233"/>
      <c r="CL232" s="233"/>
      <c r="CM232" s="233"/>
      <c r="CN232" s="233"/>
      <c r="CO232" s="233"/>
      <c r="CP232" s="233"/>
      <c r="CQ232" s="233"/>
      <c r="CR232" s="233"/>
      <c r="CS232" s="233"/>
      <c r="CT232" s="233"/>
      <c r="CU232" s="233"/>
      <c r="CV232" s="233"/>
      <c r="CW232" s="233"/>
      <c r="CX232" s="233"/>
      <c r="CY232" s="233"/>
      <c r="CZ232" s="233"/>
      <c r="DA232" s="233"/>
      <c r="DB232" s="233"/>
      <c r="DC232" s="233"/>
      <c r="DD232" s="233"/>
      <c r="DE232" s="233"/>
      <c r="DF232" s="233"/>
      <c r="DG232" s="233"/>
      <c r="DH232" s="233"/>
      <c r="DI232" s="233"/>
      <c r="DJ232" s="233"/>
      <c r="DK232" s="233"/>
      <c r="DL232" s="233"/>
      <c r="DM232" s="233"/>
      <c r="DN232" s="233"/>
      <c r="DO232" s="233"/>
      <c r="DP232" s="233"/>
      <c r="DQ232" s="233"/>
      <c r="DR232" s="233"/>
      <c r="DS232" s="233"/>
      <c r="DT232" s="233"/>
      <c r="DU232" s="233"/>
      <c r="DV232" s="233"/>
      <c r="DW232" s="233"/>
      <c r="DX232" s="233"/>
      <c r="DY232" s="233"/>
      <c r="DZ232" s="233"/>
      <c r="EA232" s="233"/>
      <c r="EB232" s="233"/>
      <c r="EC232" s="233"/>
      <c r="ED232" s="233"/>
      <c r="EE232" s="233"/>
      <c r="EF232" s="233"/>
      <c r="EG232" s="233"/>
      <c r="EH232" s="233"/>
      <c r="EI232" s="233"/>
      <c r="EJ232" s="233"/>
      <c r="EK232" s="233"/>
      <c r="EL232" s="233"/>
      <c r="EM232" s="233"/>
      <c r="EN232" s="233"/>
      <c r="EO232" s="233"/>
      <c r="EP232" s="233"/>
    </row>
    <row r="233" spans="1:146" ht="14.25" x14ac:dyDescent="0.2">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33"/>
      <c r="CI233" s="233"/>
      <c r="CJ233" s="233"/>
      <c r="CK233" s="233"/>
      <c r="CL233" s="233"/>
      <c r="CM233" s="233"/>
      <c r="CN233" s="233"/>
      <c r="CO233" s="233"/>
      <c r="CP233" s="233"/>
      <c r="CQ233" s="233"/>
      <c r="CR233" s="233"/>
      <c r="CS233" s="233"/>
      <c r="CT233" s="233"/>
      <c r="CU233" s="233"/>
      <c r="CV233" s="233"/>
      <c r="CW233" s="233"/>
      <c r="CX233" s="233"/>
      <c r="CY233" s="233"/>
      <c r="CZ233" s="233"/>
      <c r="DA233" s="233"/>
      <c r="DB233" s="233"/>
      <c r="DC233" s="233"/>
      <c r="DD233" s="233"/>
      <c r="DE233" s="233"/>
      <c r="DF233" s="233"/>
      <c r="DG233" s="233"/>
      <c r="DH233" s="233"/>
      <c r="DI233" s="233"/>
      <c r="DJ233" s="233"/>
      <c r="DK233" s="233"/>
      <c r="DL233" s="233"/>
      <c r="DM233" s="233"/>
      <c r="DN233" s="233"/>
      <c r="DO233" s="233"/>
      <c r="DP233" s="233"/>
      <c r="DQ233" s="233"/>
      <c r="DR233" s="233"/>
      <c r="DS233" s="233"/>
      <c r="DT233" s="233"/>
      <c r="DU233" s="233"/>
      <c r="DV233" s="233"/>
      <c r="DW233" s="233"/>
      <c r="DX233" s="233"/>
      <c r="DY233" s="233"/>
      <c r="DZ233" s="233"/>
      <c r="EA233" s="233"/>
      <c r="EB233" s="233"/>
      <c r="EC233" s="233"/>
      <c r="ED233" s="233"/>
      <c r="EE233" s="233"/>
      <c r="EF233" s="233"/>
      <c r="EG233" s="233"/>
      <c r="EH233" s="233"/>
      <c r="EI233" s="233"/>
      <c r="EJ233" s="233"/>
      <c r="EK233" s="233"/>
      <c r="EL233" s="233"/>
      <c r="EM233" s="233"/>
      <c r="EN233" s="233"/>
      <c r="EO233" s="233"/>
      <c r="EP233" s="233"/>
    </row>
    <row r="234" spans="1:146" ht="14.25" x14ac:dyDescent="0.2">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c r="BJ234" s="233"/>
      <c r="BK234" s="233"/>
      <c r="BL234" s="233"/>
      <c r="BM234" s="233"/>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33"/>
      <c r="CI234" s="233"/>
      <c r="CJ234" s="233"/>
      <c r="CK234" s="233"/>
      <c r="CL234" s="233"/>
      <c r="CM234" s="233"/>
      <c r="CN234" s="233"/>
      <c r="CO234" s="233"/>
      <c r="CP234" s="233"/>
      <c r="CQ234" s="233"/>
      <c r="CR234" s="233"/>
      <c r="CS234" s="233"/>
      <c r="CT234" s="233"/>
      <c r="CU234" s="233"/>
      <c r="CV234" s="233"/>
      <c r="CW234" s="233"/>
      <c r="CX234" s="233"/>
      <c r="CY234" s="233"/>
      <c r="CZ234" s="233"/>
      <c r="DA234" s="233"/>
      <c r="DB234" s="233"/>
      <c r="DC234" s="233"/>
      <c r="DD234" s="233"/>
      <c r="DE234" s="233"/>
      <c r="DF234" s="233"/>
      <c r="DG234" s="233"/>
      <c r="DH234" s="233"/>
      <c r="DI234" s="233"/>
      <c r="DJ234" s="233"/>
      <c r="DK234" s="233"/>
      <c r="DL234" s="233"/>
      <c r="DM234" s="233"/>
      <c r="DN234" s="233"/>
      <c r="DO234" s="233"/>
      <c r="DP234" s="233"/>
      <c r="DQ234" s="233"/>
      <c r="DR234" s="233"/>
      <c r="DS234" s="233"/>
      <c r="DT234" s="233"/>
      <c r="DU234" s="233"/>
      <c r="DV234" s="233"/>
      <c r="DW234" s="233"/>
      <c r="DX234" s="233"/>
      <c r="DY234" s="233"/>
      <c r="DZ234" s="233"/>
      <c r="EA234" s="233"/>
      <c r="EB234" s="233"/>
      <c r="EC234" s="233"/>
      <c r="ED234" s="233"/>
      <c r="EE234" s="233"/>
      <c r="EF234" s="233"/>
      <c r="EG234" s="233"/>
      <c r="EH234" s="233"/>
      <c r="EI234" s="233"/>
      <c r="EJ234" s="233"/>
      <c r="EK234" s="233"/>
      <c r="EL234" s="233"/>
      <c r="EM234" s="233"/>
      <c r="EN234" s="233"/>
      <c r="EO234" s="233"/>
      <c r="EP234" s="233"/>
    </row>
    <row r="235" spans="1:146" ht="14.25" x14ac:dyDescent="0.2">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c r="BH235" s="233"/>
      <c r="BI235" s="233"/>
      <c r="BJ235" s="233"/>
      <c r="BK235" s="233"/>
      <c r="BL235" s="233"/>
      <c r="BM235" s="233"/>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33"/>
      <c r="CI235" s="233"/>
      <c r="CJ235" s="233"/>
      <c r="CK235" s="233"/>
      <c r="CL235" s="233"/>
      <c r="CM235" s="233"/>
      <c r="CN235" s="233"/>
      <c r="CO235" s="233"/>
      <c r="CP235" s="233"/>
      <c r="CQ235" s="233"/>
      <c r="CR235" s="233"/>
      <c r="CS235" s="233"/>
      <c r="CT235" s="233"/>
      <c r="CU235" s="233"/>
      <c r="CV235" s="233"/>
      <c r="CW235" s="233"/>
      <c r="CX235" s="233"/>
      <c r="CY235" s="233"/>
      <c r="CZ235" s="233"/>
      <c r="DA235" s="233"/>
      <c r="DB235" s="233"/>
      <c r="DC235" s="233"/>
      <c r="DD235" s="233"/>
      <c r="DE235" s="233"/>
      <c r="DF235" s="233"/>
      <c r="DG235" s="233"/>
      <c r="DH235" s="233"/>
      <c r="DI235" s="233"/>
      <c r="DJ235" s="233"/>
      <c r="DK235" s="233"/>
      <c r="DL235" s="233"/>
      <c r="DM235" s="233"/>
      <c r="DN235" s="233"/>
      <c r="DO235" s="233"/>
      <c r="DP235" s="233"/>
      <c r="DQ235" s="233"/>
      <c r="DR235" s="233"/>
      <c r="DS235" s="233"/>
      <c r="DT235" s="233"/>
      <c r="DU235" s="233"/>
      <c r="DV235" s="233"/>
      <c r="DW235" s="233"/>
      <c r="DX235" s="233"/>
      <c r="DY235" s="233"/>
      <c r="DZ235" s="233"/>
      <c r="EA235" s="233"/>
      <c r="EB235" s="233"/>
      <c r="EC235" s="233"/>
      <c r="ED235" s="233"/>
      <c r="EE235" s="233"/>
      <c r="EF235" s="233"/>
      <c r="EG235" s="233"/>
      <c r="EH235" s="233"/>
      <c r="EI235" s="233"/>
      <c r="EJ235" s="233"/>
      <c r="EK235" s="233"/>
      <c r="EL235" s="233"/>
      <c r="EM235" s="233"/>
      <c r="EN235" s="233"/>
      <c r="EO235" s="233"/>
      <c r="EP235" s="233"/>
    </row>
    <row r="236" spans="1:146" ht="14.25" x14ac:dyDescent="0.2">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33"/>
      <c r="CI236" s="233"/>
      <c r="CJ236" s="233"/>
      <c r="CK236" s="233"/>
      <c r="CL236" s="233"/>
      <c r="CM236" s="233"/>
      <c r="CN236" s="233"/>
      <c r="CO236" s="233"/>
      <c r="CP236" s="233"/>
      <c r="CQ236" s="233"/>
      <c r="CR236" s="233"/>
      <c r="CS236" s="233"/>
      <c r="CT236" s="233"/>
      <c r="CU236" s="233"/>
      <c r="CV236" s="233"/>
      <c r="CW236" s="233"/>
      <c r="CX236" s="233"/>
      <c r="CY236" s="233"/>
      <c r="CZ236" s="233"/>
      <c r="DA236" s="233"/>
      <c r="DB236" s="233"/>
      <c r="DC236" s="233"/>
      <c r="DD236" s="233"/>
      <c r="DE236" s="233"/>
      <c r="DF236" s="233"/>
      <c r="DG236" s="233"/>
      <c r="DH236" s="233"/>
      <c r="DI236" s="233"/>
      <c r="DJ236" s="233"/>
      <c r="DK236" s="233"/>
      <c r="DL236" s="233"/>
      <c r="DM236" s="233"/>
      <c r="DN236" s="233"/>
      <c r="DO236" s="233"/>
      <c r="DP236" s="233"/>
      <c r="DQ236" s="233"/>
      <c r="DR236" s="233"/>
      <c r="DS236" s="233"/>
      <c r="DT236" s="233"/>
      <c r="DU236" s="233"/>
      <c r="DV236" s="233"/>
      <c r="DW236" s="233"/>
      <c r="DX236" s="233"/>
      <c r="DY236" s="233"/>
      <c r="DZ236" s="233"/>
      <c r="EA236" s="233"/>
      <c r="EB236" s="233"/>
      <c r="EC236" s="233"/>
      <c r="ED236" s="233"/>
      <c r="EE236" s="233"/>
      <c r="EF236" s="233"/>
      <c r="EG236" s="233"/>
      <c r="EH236" s="233"/>
      <c r="EI236" s="233"/>
      <c r="EJ236" s="233"/>
      <c r="EK236" s="233"/>
      <c r="EL236" s="233"/>
      <c r="EM236" s="233"/>
      <c r="EN236" s="233"/>
      <c r="EO236" s="233"/>
      <c r="EP236" s="233"/>
    </row>
    <row r="237" spans="1:146" ht="14.25" x14ac:dyDescent="0.2">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33"/>
      <c r="CI237" s="233"/>
      <c r="CJ237" s="233"/>
      <c r="CK237" s="233"/>
      <c r="CL237" s="233"/>
      <c r="CM237" s="233"/>
      <c r="CN237" s="233"/>
      <c r="CO237" s="233"/>
      <c r="CP237" s="233"/>
      <c r="CQ237" s="233"/>
      <c r="CR237" s="233"/>
      <c r="CS237" s="233"/>
      <c r="CT237" s="233"/>
      <c r="CU237" s="233"/>
      <c r="CV237" s="233"/>
      <c r="CW237" s="233"/>
      <c r="CX237" s="233"/>
      <c r="CY237" s="233"/>
      <c r="CZ237" s="233"/>
      <c r="DA237" s="233"/>
      <c r="DB237" s="233"/>
      <c r="DC237" s="233"/>
      <c r="DD237" s="233"/>
      <c r="DE237" s="233"/>
      <c r="DF237" s="233"/>
      <c r="DG237" s="233"/>
      <c r="DH237" s="233"/>
      <c r="DI237" s="233"/>
      <c r="DJ237" s="233"/>
      <c r="DK237" s="233"/>
      <c r="DL237" s="233"/>
      <c r="DM237" s="233"/>
      <c r="DN237" s="233"/>
      <c r="DO237" s="233"/>
      <c r="DP237" s="233"/>
      <c r="DQ237" s="233"/>
      <c r="DR237" s="233"/>
      <c r="DS237" s="233"/>
      <c r="DT237" s="233"/>
      <c r="DU237" s="233"/>
      <c r="DV237" s="233"/>
      <c r="DW237" s="233"/>
      <c r="DX237" s="233"/>
      <c r="DY237" s="233"/>
      <c r="DZ237" s="233"/>
      <c r="EA237" s="233"/>
      <c r="EB237" s="233"/>
      <c r="EC237" s="233"/>
      <c r="ED237" s="233"/>
      <c r="EE237" s="233"/>
      <c r="EF237" s="233"/>
      <c r="EG237" s="233"/>
      <c r="EH237" s="233"/>
      <c r="EI237" s="233"/>
      <c r="EJ237" s="233"/>
      <c r="EK237" s="233"/>
      <c r="EL237" s="233"/>
      <c r="EM237" s="233"/>
      <c r="EN237" s="233"/>
      <c r="EO237" s="233"/>
      <c r="EP237" s="233"/>
    </row>
    <row r="238" spans="1:146" ht="14.25" x14ac:dyDescent="0.2">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33"/>
      <c r="CN238" s="233"/>
      <c r="CO238" s="233"/>
      <c r="CP238" s="233"/>
      <c r="CQ238" s="233"/>
      <c r="CR238" s="233"/>
      <c r="CS238" s="233"/>
      <c r="CT238" s="233"/>
      <c r="CU238" s="233"/>
      <c r="CV238" s="233"/>
      <c r="CW238" s="233"/>
      <c r="CX238" s="233"/>
      <c r="CY238" s="233"/>
      <c r="CZ238" s="233"/>
      <c r="DA238" s="233"/>
      <c r="DB238" s="233"/>
      <c r="DC238" s="233"/>
      <c r="DD238" s="233"/>
      <c r="DE238" s="233"/>
      <c r="DF238" s="233"/>
      <c r="DG238" s="233"/>
      <c r="DH238" s="233"/>
      <c r="DI238" s="233"/>
      <c r="DJ238" s="233"/>
      <c r="DK238" s="233"/>
      <c r="DL238" s="233"/>
      <c r="DM238" s="233"/>
      <c r="DN238" s="233"/>
      <c r="DO238" s="233"/>
      <c r="DP238" s="233"/>
      <c r="DQ238" s="233"/>
      <c r="DR238" s="233"/>
      <c r="DS238" s="233"/>
      <c r="DT238" s="233"/>
      <c r="DU238" s="233"/>
      <c r="DV238" s="233"/>
      <c r="DW238" s="233"/>
      <c r="DX238" s="233"/>
      <c r="DY238" s="233"/>
      <c r="DZ238" s="233"/>
      <c r="EA238" s="233"/>
      <c r="EB238" s="233"/>
      <c r="EC238" s="233"/>
      <c r="ED238" s="233"/>
      <c r="EE238" s="233"/>
      <c r="EF238" s="233"/>
      <c r="EG238" s="233"/>
      <c r="EH238" s="233"/>
      <c r="EI238" s="233"/>
      <c r="EJ238" s="233"/>
      <c r="EK238" s="233"/>
      <c r="EL238" s="233"/>
      <c r="EM238" s="233"/>
      <c r="EN238" s="233"/>
      <c r="EO238" s="233"/>
      <c r="EP238" s="233"/>
    </row>
    <row r="239" spans="1:146" ht="14.25" x14ac:dyDescent="0.2">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33"/>
      <c r="CN239" s="233"/>
      <c r="CO239" s="233"/>
      <c r="CP239" s="233"/>
      <c r="CQ239" s="233"/>
      <c r="CR239" s="233"/>
      <c r="CS239" s="233"/>
      <c r="CT239" s="233"/>
      <c r="CU239" s="233"/>
      <c r="CV239" s="233"/>
      <c r="CW239" s="233"/>
      <c r="CX239" s="233"/>
      <c r="CY239" s="233"/>
      <c r="CZ239" s="233"/>
      <c r="DA239" s="233"/>
      <c r="DB239" s="233"/>
      <c r="DC239" s="233"/>
      <c r="DD239" s="233"/>
      <c r="DE239" s="233"/>
      <c r="DF239" s="233"/>
      <c r="DG239" s="233"/>
      <c r="DH239" s="233"/>
      <c r="DI239" s="233"/>
      <c r="DJ239" s="233"/>
      <c r="DK239" s="233"/>
      <c r="DL239" s="233"/>
      <c r="DM239" s="233"/>
      <c r="DN239" s="233"/>
      <c r="DO239" s="233"/>
      <c r="DP239" s="233"/>
      <c r="DQ239" s="233"/>
      <c r="DR239" s="233"/>
      <c r="DS239" s="233"/>
      <c r="DT239" s="233"/>
      <c r="DU239" s="233"/>
      <c r="DV239" s="233"/>
      <c r="DW239" s="233"/>
      <c r="DX239" s="233"/>
      <c r="DY239" s="233"/>
      <c r="DZ239" s="233"/>
      <c r="EA239" s="233"/>
      <c r="EB239" s="233"/>
      <c r="EC239" s="233"/>
      <c r="ED239" s="233"/>
      <c r="EE239" s="233"/>
      <c r="EF239" s="233"/>
      <c r="EG239" s="233"/>
      <c r="EH239" s="233"/>
      <c r="EI239" s="233"/>
      <c r="EJ239" s="233"/>
      <c r="EK239" s="233"/>
      <c r="EL239" s="233"/>
      <c r="EM239" s="233"/>
      <c r="EN239" s="233"/>
      <c r="EO239" s="233"/>
      <c r="EP239" s="233"/>
    </row>
    <row r="240" spans="1:146" ht="14.25" x14ac:dyDescent="0.2">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c r="BH240" s="233"/>
      <c r="BI240" s="233"/>
      <c r="BJ240" s="233"/>
      <c r="BK240" s="233"/>
      <c r="BL240" s="233"/>
      <c r="BM240" s="233"/>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33"/>
      <c r="CI240" s="233"/>
      <c r="CJ240" s="233"/>
      <c r="CK240" s="233"/>
      <c r="CL240" s="233"/>
      <c r="CM240" s="233"/>
      <c r="CN240" s="233"/>
      <c r="CO240" s="233"/>
      <c r="CP240" s="233"/>
      <c r="CQ240" s="233"/>
      <c r="CR240" s="233"/>
      <c r="CS240" s="233"/>
      <c r="CT240" s="233"/>
      <c r="CU240" s="233"/>
      <c r="CV240" s="233"/>
      <c r="CW240" s="233"/>
      <c r="CX240" s="233"/>
      <c r="CY240" s="233"/>
      <c r="CZ240" s="233"/>
      <c r="DA240" s="233"/>
      <c r="DB240" s="233"/>
      <c r="DC240" s="233"/>
      <c r="DD240" s="233"/>
      <c r="DE240" s="233"/>
      <c r="DF240" s="233"/>
      <c r="DG240" s="233"/>
      <c r="DH240" s="233"/>
      <c r="DI240" s="233"/>
      <c r="DJ240" s="233"/>
      <c r="DK240" s="233"/>
      <c r="DL240" s="233"/>
      <c r="DM240" s="233"/>
      <c r="DN240" s="233"/>
      <c r="DO240" s="233"/>
      <c r="DP240" s="233"/>
      <c r="DQ240" s="233"/>
      <c r="DR240" s="233"/>
      <c r="DS240" s="233"/>
      <c r="DT240" s="233"/>
      <c r="DU240" s="233"/>
      <c r="DV240" s="233"/>
      <c r="DW240" s="233"/>
      <c r="DX240" s="233"/>
      <c r="DY240" s="233"/>
      <c r="DZ240" s="233"/>
      <c r="EA240" s="233"/>
      <c r="EB240" s="233"/>
      <c r="EC240" s="233"/>
      <c r="ED240" s="233"/>
      <c r="EE240" s="233"/>
      <c r="EF240" s="233"/>
      <c r="EG240" s="233"/>
      <c r="EH240" s="233"/>
      <c r="EI240" s="233"/>
      <c r="EJ240" s="233"/>
      <c r="EK240" s="233"/>
      <c r="EL240" s="233"/>
      <c r="EM240" s="233"/>
      <c r="EN240" s="233"/>
      <c r="EO240" s="233"/>
      <c r="EP240" s="233"/>
    </row>
    <row r="241" spans="1:146" ht="14.25" x14ac:dyDescent="0.2">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c r="BH241" s="233"/>
      <c r="BI241" s="233"/>
      <c r="BJ241" s="233"/>
      <c r="BK241" s="233"/>
      <c r="BL241" s="233"/>
      <c r="BM241" s="233"/>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33"/>
      <c r="CI241" s="233"/>
      <c r="CJ241" s="233"/>
      <c r="CK241" s="233"/>
      <c r="CL241" s="233"/>
      <c r="CM241" s="233"/>
      <c r="CN241" s="233"/>
      <c r="CO241" s="233"/>
      <c r="CP241" s="233"/>
      <c r="CQ241" s="233"/>
      <c r="CR241" s="233"/>
      <c r="CS241" s="233"/>
      <c r="CT241" s="233"/>
      <c r="CU241" s="233"/>
      <c r="CV241" s="233"/>
      <c r="CW241" s="233"/>
      <c r="CX241" s="233"/>
      <c r="CY241" s="233"/>
      <c r="CZ241" s="233"/>
      <c r="DA241" s="233"/>
      <c r="DB241" s="233"/>
      <c r="DC241" s="233"/>
      <c r="DD241" s="233"/>
      <c r="DE241" s="233"/>
      <c r="DF241" s="233"/>
      <c r="DG241" s="233"/>
      <c r="DH241" s="233"/>
      <c r="DI241" s="233"/>
      <c r="DJ241" s="233"/>
      <c r="DK241" s="233"/>
      <c r="DL241" s="233"/>
      <c r="DM241" s="233"/>
      <c r="DN241" s="233"/>
      <c r="DO241" s="233"/>
      <c r="DP241" s="233"/>
      <c r="DQ241" s="233"/>
      <c r="DR241" s="233"/>
      <c r="DS241" s="233"/>
      <c r="DT241" s="233"/>
      <c r="DU241" s="233"/>
      <c r="DV241" s="233"/>
      <c r="DW241" s="233"/>
      <c r="DX241" s="233"/>
      <c r="DY241" s="233"/>
      <c r="DZ241" s="233"/>
      <c r="EA241" s="233"/>
      <c r="EB241" s="233"/>
      <c r="EC241" s="233"/>
      <c r="ED241" s="233"/>
      <c r="EE241" s="233"/>
      <c r="EF241" s="233"/>
      <c r="EG241" s="233"/>
      <c r="EH241" s="233"/>
      <c r="EI241" s="233"/>
      <c r="EJ241" s="233"/>
      <c r="EK241" s="233"/>
      <c r="EL241" s="233"/>
      <c r="EM241" s="233"/>
      <c r="EN241" s="233"/>
      <c r="EO241" s="233"/>
      <c r="EP241" s="233"/>
    </row>
    <row r="242" spans="1:146" ht="14.25" x14ac:dyDescent="0.2">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33"/>
      <c r="CI242" s="233"/>
      <c r="CJ242" s="233"/>
      <c r="CK242" s="233"/>
      <c r="CL242" s="233"/>
      <c r="CM242" s="233"/>
      <c r="CN242" s="233"/>
      <c r="CO242" s="233"/>
      <c r="CP242" s="233"/>
      <c r="CQ242" s="233"/>
      <c r="CR242" s="233"/>
      <c r="CS242" s="233"/>
      <c r="CT242" s="233"/>
      <c r="CU242" s="233"/>
      <c r="CV242" s="233"/>
      <c r="CW242" s="233"/>
      <c r="CX242" s="233"/>
      <c r="CY242" s="233"/>
      <c r="CZ242" s="233"/>
      <c r="DA242" s="233"/>
      <c r="DB242" s="233"/>
      <c r="DC242" s="233"/>
      <c r="DD242" s="233"/>
      <c r="DE242" s="233"/>
      <c r="DF242" s="233"/>
      <c r="DG242" s="233"/>
      <c r="DH242" s="233"/>
      <c r="DI242" s="233"/>
      <c r="DJ242" s="233"/>
      <c r="DK242" s="233"/>
      <c r="DL242" s="233"/>
      <c r="DM242" s="233"/>
      <c r="DN242" s="233"/>
      <c r="DO242" s="233"/>
      <c r="DP242" s="233"/>
      <c r="DQ242" s="233"/>
      <c r="DR242" s="233"/>
      <c r="DS242" s="233"/>
      <c r="DT242" s="233"/>
      <c r="DU242" s="233"/>
      <c r="DV242" s="233"/>
      <c r="DW242" s="233"/>
      <c r="DX242" s="233"/>
      <c r="DY242" s="233"/>
      <c r="DZ242" s="233"/>
      <c r="EA242" s="233"/>
      <c r="EB242" s="233"/>
      <c r="EC242" s="233"/>
      <c r="ED242" s="233"/>
      <c r="EE242" s="233"/>
      <c r="EF242" s="233"/>
      <c r="EG242" s="233"/>
      <c r="EH242" s="233"/>
      <c r="EI242" s="233"/>
      <c r="EJ242" s="233"/>
      <c r="EK242" s="233"/>
      <c r="EL242" s="233"/>
      <c r="EM242" s="233"/>
      <c r="EN242" s="233"/>
      <c r="EO242" s="233"/>
      <c r="EP242" s="233"/>
    </row>
    <row r="243" spans="1:146" ht="14.25" x14ac:dyDescent="0.2">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c r="BH243" s="233"/>
      <c r="BI243" s="233"/>
      <c r="BJ243" s="233"/>
      <c r="BK243" s="233"/>
      <c r="BL243" s="233"/>
      <c r="BM243" s="233"/>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33"/>
      <c r="CI243" s="233"/>
      <c r="CJ243" s="233"/>
      <c r="CK243" s="233"/>
      <c r="CL243" s="233"/>
      <c r="CM243" s="233"/>
      <c r="CN243" s="233"/>
      <c r="CO243" s="233"/>
      <c r="CP243" s="233"/>
      <c r="CQ243" s="233"/>
      <c r="CR243" s="233"/>
      <c r="CS243" s="233"/>
      <c r="CT243" s="233"/>
      <c r="CU243" s="233"/>
      <c r="CV243" s="233"/>
      <c r="CW243" s="233"/>
      <c r="CX243" s="233"/>
      <c r="CY243" s="233"/>
      <c r="CZ243" s="233"/>
      <c r="DA243" s="233"/>
      <c r="DB243" s="233"/>
      <c r="DC243" s="233"/>
      <c r="DD243" s="233"/>
      <c r="DE243" s="233"/>
      <c r="DF243" s="233"/>
      <c r="DG243" s="233"/>
      <c r="DH243" s="233"/>
      <c r="DI243" s="233"/>
      <c r="DJ243" s="233"/>
      <c r="DK243" s="233"/>
      <c r="DL243" s="233"/>
      <c r="DM243" s="233"/>
      <c r="DN243" s="233"/>
      <c r="DO243" s="233"/>
      <c r="DP243" s="233"/>
      <c r="DQ243" s="233"/>
      <c r="DR243" s="233"/>
      <c r="DS243" s="233"/>
      <c r="DT243" s="233"/>
      <c r="DU243" s="233"/>
      <c r="DV243" s="233"/>
      <c r="DW243" s="233"/>
      <c r="DX243" s="233"/>
      <c r="DY243" s="233"/>
      <c r="DZ243" s="233"/>
      <c r="EA243" s="233"/>
      <c r="EB243" s="233"/>
      <c r="EC243" s="233"/>
      <c r="ED243" s="233"/>
      <c r="EE243" s="233"/>
      <c r="EF243" s="233"/>
      <c r="EG243" s="233"/>
      <c r="EH243" s="233"/>
      <c r="EI243" s="233"/>
      <c r="EJ243" s="233"/>
      <c r="EK243" s="233"/>
      <c r="EL243" s="233"/>
      <c r="EM243" s="233"/>
      <c r="EN243" s="233"/>
      <c r="EO243" s="233"/>
      <c r="EP243" s="233"/>
    </row>
    <row r="244" spans="1:146" ht="14.25" x14ac:dyDescent="0.2">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c r="BJ244" s="233"/>
      <c r="BK244" s="233"/>
      <c r="BL244" s="233"/>
      <c r="BM244" s="233"/>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33"/>
      <c r="CI244" s="233"/>
      <c r="CJ244" s="233"/>
      <c r="CK244" s="233"/>
      <c r="CL244" s="233"/>
      <c r="CM244" s="233"/>
      <c r="CN244" s="233"/>
      <c r="CO244" s="233"/>
      <c r="CP244" s="233"/>
      <c r="CQ244" s="233"/>
      <c r="CR244" s="233"/>
      <c r="CS244" s="233"/>
      <c r="CT244" s="233"/>
      <c r="CU244" s="233"/>
      <c r="CV244" s="233"/>
      <c r="CW244" s="233"/>
      <c r="CX244" s="233"/>
      <c r="CY244" s="233"/>
      <c r="CZ244" s="233"/>
      <c r="DA244" s="233"/>
      <c r="DB244" s="233"/>
      <c r="DC244" s="233"/>
      <c r="DD244" s="233"/>
      <c r="DE244" s="233"/>
      <c r="DF244" s="233"/>
      <c r="DG244" s="233"/>
      <c r="DH244" s="233"/>
      <c r="DI244" s="233"/>
      <c r="DJ244" s="233"/>
      <c r="DK244" s="233"/>
      <c r="DL244" s="233"/>
      <c r="DM244" s="233"/>
      <c r="DN244" s="233"/>
      <c r="DO244" s="233"/>
      <c r="DP244" s="233"/>
      <c r="DQ244" s="233"/>
      <c r="DR244" s="233"/>
      <c r="DS244" s="233"/>
      <c r="DT244" s="233"/>
      <c r="DU244" s="233"/>
      <c r="DV244" s="233"/>
      <c r="DW244" s="233"/>
      <c r="DX244" s="233"/>
      <c r="DY244" s="233"/>
      <c r="DZ244" s="233"/>
      <c r="EA244" s="233"/>
      <c r="EB244" s="233"/>
      <c r="EC244" s="233"/>
      <c r="ED244" s="233"/>
      <c r="EE244" s="233"/>
      <c r="EF244" s="233"/>
      <c r="EG244" s="233"/>
      <c r="EH244" s="233"/>
      <c r="EI244" s="233"/>
      <c r="EJ244" s="233"/>
      <c r="EK244" s="233"/>
      <c r="EL244" s="233"/>
      <c r="EM244" s="233"/>
      <c r="EN244" s="233"/>
      <c r="EO244" s="233"/>
      <c r="EP244" s="233"/>
    </row>
    <row r="245" spans="1:146" ht="14.25" x14ac:dyDescent="0.2">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33"/>
      <c r="CI245" s="233"/>
      <c r="CJ245" s="233"/>
      <c r="CK245" s="233"/>
      <c r="CL245" s="233"/>
      <c r="CM245" s="233"/>
      <c r="CN245" s="233"/>
      <c r="CO245" s="233"/>
      <c r="CP245" s="233"/>
      <c r="CQ245" s="233"/>
      <c r="CR245" s="233"/>
      <c r="CS245" s="233"/>
      <c r="CT245" s="233"/>
      <c r="CU245" s="233"/>
      <c r="CV245" s="233"/>
      <c r="CW245" s="233"/>
      <c r="CX245" s="233"/>
      <c r="CY245" s="233"/>
      <c r="CZ245" s="233"/>
      <c r="DA245" s="233"/>
      <c r="DB245" s="233"/>
      <c r="DC245" s="233"/>
      <c r="DD245" s="233"/>
      <c r="DE245" s="233"/>
      <c r="DF245" s="233"/>
      <c r="DG245" s="233"/>
      <c r="DH245" s="233"/>
      <c r="DI245" s="233"/>
      <c r="DJ245" s="233"/>
      <c r="DK245" s="233"/>
      <c r="DL245" s="233"/>
      <c r="DM245" s="233"/>
      <c r="DN245" s="233"/>
      <c r="DO245" s="233"/>
      <c r="DP245" s="233"/>
      <c r="DQ245" s="233"/>
      <c r="DR245" s="233"/>
      <c r="DS245" s="233"/>
      <c r="DT245" s="233"/>
      <c r="DU245" s="233"/>
      <c r="DV245" s="233"/>
      <c r="DW245" s="233"/>
      <c r="DX245" s="233"/>
      <c r="DY245" s="233"/>
      <c r="DZ245" s="233"/>
      <c r="EA245" s="233"/>
      <c r="EB245" s="233"/>
      <c r="EC245" s="233"/>
      <c r="ED245" s="233"/>
      <c r="EE245" s="233"/>
      <c r="EF245" s="233"/>
      <c r="EG245" s="233"/>
      <c r="EH245" s="233"/>
      <c r="EI245" s="233"/>
      <c r="EJ245" s="233"/>
      <c r="EK245" s="233"/>
      <c r="EL245" s="233"/>
      <c r="EM245" s="233"/>
      <c r="EN245" s="233"/>
      <c r="EO245" s="233"/>
      <c r="EP245" s="233"/>
    </row>
    <row r="246" spans="1:146" ht="14.25" x14ac:dyDescent="0.2">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33"/>
      <c r="BK246" s="233"/>
      <c r="BL246" s="233"/>
      <c r="BM246" s="233"/>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33"/>
      <c r="CI246" s="233"/>
      <c r="CJ246" s="233"/>
      <c r="CK246" s="233"/>
      <c r="CL246" s="233"/>
      <c r="CM246" s="233"/>
      <c r="CN246" s="233"/>
      <c r="CO246" s="233"/>
      <c r="CP246" s="233"/>
      <c r="CQ246" s="233"/>
      <c r="CR246" s="233"/>
      <c r="CS246" s="233"/>
      <c r="CT246" s="233"/>
      <c r="CU246" s="233"/>
      <c r="CV246" s="233"/>
      <c r="CW246" s="233"/>
      <c r="CX246" s="233"/>
      <c r="CY246" s="233"/>
      <c r="CZ246" s="233"/>
      <c r="DA246" s="233"/>
      <c r="DB246" s="233"/>
      <c r="DC246" s="233"/>
      <c r="DD246" s="233"/>
      <c r="DE246" s="233"/>
      <c r="DF246" s="233"/>
      <c r="DG246" s="233"/>
      <c r="DH246" s="233"/>
      <c r="DI246" s="233"/>
      <c r="DJ246" s="233"/>
      <c r="DK246" s="233"/>
      <c r="DL246" s="233"/>
      <c r="DM246" s="233"/>
      <c r="DN246" s="233"/>
      <c r="DO246" s="233"/>
      <c r="DP246" s="233"/>
      <c r="DQ246" s="233"/>
      <c r="DR246" s="233"/>
      <c r="DS246" s="233"/>
      <c r="DT246" s="233"/>
      <c r="DU246" s="233"/>
      <c r="DV246" s="233"/>
      <c r="DW246" s="233"/>
      <c r="DX246" s="233"/>
      <c r="DY246" s="233"/>
      <c r="DZ246" s="233"/>
      <c r="EA246" s="233"/>
      <c r="EB246" s="233"/>
      <c r="EC246" s="233"/>
      <c r="ED246" s="233"/>
      <c r="EE246" s="233"/>
      <c r="EF246" s="233"/>
      <c r="EG246" s="233"/>
      <c r="EH246" s="233"/>
      <c r="EI246" s="233"/>
      <c r="EJ246" s="233"/>
      <c r="EK246" s="233"/>
      <c r="EL246" s="233"/>
      <c r="EM246" s="233"/>
      <c r="EN246" s="233"/>
      <c r="EO246" s="233"/>
      <c r="EP246" s="233"/>
    </row>
    <row r="247" spans="1:146" ht="14.25" x14ac:dyDescent="0.2">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c r="BH247" s="233"/>
      <c r="BI247" s="233"/>
      <c r="BJ247" s="233"/>
      <c r="BK247" s="233"/>
      <c r="BL247" s="233"/>
      <c r="BM247" s="233"/>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33"/>
      <c r="CI247" s="233"/>
      <c r="CJ247" s="233"/>
      <c r="CK247" s="233"/>
      <c r="CL247" s="233"/>
      <c r="CM247" s="233"/>
      <c r="CN247" s="233"/>
      <c r="CO247" s="233"/>
      <c r="CP247" s="233"/>
      <c r="CQ247" s="233"/>
      <c r="CR247" s="233"/>
      <c r="CS247" s="233"/>
      <c r="CT247" s="233"/>
      <c r="CU247" s="233"/>
      <c r="CV247" s="233"/>
      <c r="CW247" s="233"/>
      <c r="CX247" s="233"/>
      <c r="CY247" s="233"/>
      <c r="CZ247" s="233"/>
      <c r="DA247" s="233"/>
      <c r="DB247" s="233"/>
      <c r="DC247" s="233"/>
      <c r="DD247" s="233"/>
      <c r="DE247" s="233"/>
      <c r="DF247" s="233"/>
      <c r="DG247" s="233"/>
      <c r="DH247" s="233"/>
      <c r="DI247" s="233"/>
      <c r="DJ247" s="233"/>
      <c r="DK247" s="233"/>
      <c r="DL247" s="233"/>
      <c r="DM247" s="233"/>
      <c r="DN247" s="233"/>
      <c r="DO247" s="233"/>
      <c r="DP247" s="233"/>
      <c r="DQ247" s="233"/>
      <c r="DR247" s="233"/>
      <c r="DS247" s="233"/>
      <c r="DT247" s="233"/>
      <c r="DU247" s="233"/>
      <c r="DV247" s="233"/>
      <c r="DW247" s="233"/>
      <c r="DX247" s="233"/>
      <c r="DY247" s="233"/>
      <c r="DZ247" s="233"/>
      <c r="EA247" s="233"/>
      <c r="EB247" s="233"/>
      <c r="EC247" s="233"/>
      <c r="ED247" s="233"/>
      <c r="EE247" s="233"/>
      <c r="EF247" s="233"/>
      <c r="EG247" s="233"/>
      <c r="EH247" s="233"/>
      <c r="EI247" s="233"/>
      <c r="EJ247" s="233"/>
      <c r="EK247" s="233"/>
      <c r="EL247" s="233"/>
      <c r="EM247" s="233"/>
      <c r="EN247" s="233"/>
      <c r="EO247" s="233"/>
      <c r="EP247" s="233"/>
    </row>
    <row r="248" spans="1:146" ht="14.25" x14ac:dyDescent="0.2">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33"/>
      <c r="CI248" s="233"/>
      <c r="CJ248" s="233"/>
      <c r="CK248" s="233"/>
      <c r="CL248" s="233"/>
      <c r="CM248" s="233"/>
      <c r="CN248" s="233"/>
      <c r="CO248" s="233"/>
      <c r="CP248" s="233"/>
      <c r="CQ248" s="233"/>
      <c r="CR248" s="233"/>
      <c r="CS248" s="233"/>
      <c r="CT248" s="233"/>
      <c r="CU248" s="233"/>
      <c r="CV248" s="233"/>
      <c r="CW248" s="233"/>
      <c r="CX248" s="233"/>
      <c r="CY248" s="233"/>
      <c r="CZ248" s="233"/>
      <c r="DA248" s="233"/>
      <c r="DB248" s="233"/>
      <c r="DC248" s="233"/>
      <c r="DD248" s="233"/>
      <c r="DE248" s="233"/>
      <c r="DF248" s="233"/>
      <c r="DG248" s="233"/>
      <c r="DH248" s="233"/>
      <c r="DI248" s="233"/>
      <c r="DJ248" s="233"/>
      <c r="DK248" s="233"/>
      <c r="DL248" s="233"/>
      <c r="DM248" s="233"/>
      <c r="DN248" s="233"/>
      <c r="DO248" s="233"/>
      <c r="DP248" s="233"/>
      <c r="DQ248" s="233"/>
      <c r="DR248" s="233"/>
      <c r="DS248" s="233"/>
      <c r="DT248" s="233"/>
      <c r="DU248" s="233"/>
      <c r="DV248" s="233"/>
      <c r="DW248" s="233"/>
      <c r="DX248" s="233"/>
      <c r="DY248" s="233"/>
      <c r="DZ248" s="233"/>
      <c r="EA248" s="233"/>
      <c r="EB248" s="233"/>
      <c r="EC248" s="233"/>
      <c r="ED248" s="233"/>
      <c r="EE248" s="233"/>
      <c r="EF248" s="233"/>
      <c r="EG248" s="233"/>
      <c r="EH248" s="233"/>
      <c r="EI248" s="233"/>
      <c r="EJ248" s="233"/>
      <c r="EK248" s="233"/>
      <c r="EL248" s="233"/>
      <c r="EM248" s="233"/>
      <c r="EN248" s="233"/>
      <c r="EO248" s="233"/>
      <c r="EP248" s="233"/>
    </row>
    <row r="249" spans="1:146" ht="14.25" x14ac:dyDescent="0.2">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33"/>
      <c r="CN249" s="233"/>
      <c r="CO249" s="233"/>
      <c r="CP249" s="233"/>
      <c r="CQ249" s="233"/>
      <c r="CR249" s="233"/>
      <c r="CS249" s="233"/>
      <c r="CT249" s="233"/>
      <c r="CU249" s="233"/>
      <c r="CV249" s="233"/>
      <c r="CW249" s="233"/>
      <c r="CX249" s="233"/>
      <c r="CY249" s="233"/>
      <c r="CZ249" s="233"/>
      <c r="DA249" s="233"/>
      <c r="DB249" s="233"/>
      <c r="DC249" s="233"/>
      <c r="DD249" s="233"/>
      <c r="DE249" s="233"/>
      <c r="DF249" s="233"/>
      <c r="DG249" s="233"/>
      <c r="DH249" s="233"/>
      <c r="DI249" s="233"/>
      <c r="DJ249" s="233"/>
      <c r="DK249" s="233"/>
      <c r="DL249" s="233"/>
      <c r="DM249" s="233"/>
      <c r="DN249" s="233"/>
      <c r="DO249" s="233"/>
      <c r="DP249" s="233"/>
      <c r="DQ249" s="233"/>
      <c r="DR249" s="233"/>
      <c r="DS249" s="233"/>
      <c r="DT249" s="233"/>
      <c r="DU249" s="233"/>
      <c r="DV249" s="233"/>
      <c r="DW249" s="233"/>
      <c r="DX249" s="233"/>
      <c r="DY249" s="233"/>
      <c r="DZ249" s="233"/>
      <c r="EA249" s="233"/>
      <c r="EB249" s="233"/>
      <c r="EC249" s="233"/>
      <c r="ED249" s="233"/>
      <c r="EE249" s="233"/>
      <c r="EF249" s="233"/>
      <c r="EG249" s="233"/>
      <c r="EH249" s="233"/>
      <c r="EI249" s="233"/>
      <c r="EJ249" s="233"/>
      <c r="EK249" s="233"/>
      <c r="EL249" s="233"/>
      <c r="EM249" s="233"/>
      <c r="EN249" s="233"/>
      <c r="EO249" s="233"/>
      <c r="EP249" s="233"/>
    </row>
    <row r="250" spans="1:146" ht="14.25" x14ac:dyDescent="0.2">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c r="BH250" s="233"/>
      <c r="BI250" s="233"/>
      <c r="BJ250" s="233"/>
      <c r="BK250" s="233"/>
      <c r="BL250" s="233"/>
      <c r="BM250" s="233"/>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33"/>
      <c r="CI250" s="233"/>
      <c r="CJ250" s="233"/>
      <c r="CK250" s="233"/>
      <c r="CL250" s="233"/>
      <c r="CM250" s="233"/>
      <c r="CN250" s="233"/>
      <c r="CO250" s="233"/>
      <c r="CP250" s="233"/>
      <c r="CQ250" s="233"/>
      <c r="CR250" s="233"/>
      <c r="CS250" s="233"/>
      <c r="CT250" s="233"/>
      <c r="CU250" s="233"/>
      <c r="CV250" s="233"/>
      <c r="CW250" s="233"/>
      <c r="CX250" s="233"/>
      <c r="CY250" s="233"/>
      <c r="CZ250" s="233"/>
      <c r="DA250" s="233"/>
      <c r="DB250" s="233"/>
      <c r="DC250" s="233"/>
      <c r="DD250" s="233"/>
      <c r="DE250" s="233"/>
      <c r="DF250" s="233"/>
      <c r="DG250" s="233"/>
      <c r="DH250" s="233"/>
      <c r="DI250" s="233"/>
      <c r="DJ250" s="233"/>
      <c r="DK250" s="233"/>
      <c r="DL250" s="233"/>
      <c r="DM250" s="233"/>
      <c r="DN250" s="233"/>
      <c r="DO250" s="233"/>
      <c r="DP250" s="233"/>
      <c r="DQ250" s="233"/>
      <c r="DR250" s="233"/>
      <c r="DS250" s="233"/>
      <c r="DT250" s="233"/>
      <c r="DU250" s="233"/>
      <c r="DV250" s="233"/>
      <c r="DW250" s="233"/>
      <c r="DX250" s="233"/>
      <c r="DY250" s="233"/>
      <c r="DZ250" s="233"/>
      <c r="EA250" s="233"/>
      <c r="EB250" s="233"/>
      <c r="EC250" s="233"/>
      <c r="ED250" s="233"/>
      <c r="EE250" s="233"/>
      <c r="EF250" s="233"/>
      <c r="EG250" s="233"/>
      <c r="EH250" s="233"/>
      <c r="EI250" s="233"/>
      <c r="EJ250" s="233"/>
      <c r="EK250" s="233"/>
      <c r="EL250" s="233"/>
      <c r="EM250" s="233"/>
      <c r="EN250" s="233"/>
      <c r="EO250" s="233"/>
      <c r="EP250" s="233"/>
    </row>
    <row r="251" spans="1:146" ht="14.25" x14ac:dyDescent="0.2">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33"/>
      <c r="CI251" s="233"/>
      <c r="CJ251" s="233"/>
      <c r="CK251" s="233"/>
      <c r="CL251" s="233"/>
      <c r="CM251" s="233"/>
      <c r="CN251" s="233"/>
      <c r="CO251" s="233"/>
      <c r="CP251" s="233"/>
      <c r="CQ251" s="233"/>
      <c r="CR251" s="233"/>
      <c r="CS251" s="233"/>
      <c r="CT251" s="233"/>
      <c r="CU251" s="233"/>
      <c r="CV251" s="233"/>
      <c r="CW251" s="233"/>
      <c r="CX251" s="233"/>
      <c r="CY251" s="233"/>
      <c r="CZ251" s="233"/>
      <c r="DA251" s="233"/>
      <c r="DB251" s="233"/>
      <c r="DC251" s="233"/>
      <c r="DD251" s="233"/>
      <c r="DE251" s="233"/>
      <c r="DF251" s="233"/>
      <c r="DG251" s="233"/>
      <c r="DH251" s="233"/>
      <c r="DI251" s="233"/>
      <c r="DJ251" s="233"/>
      <c r="DK251" s="233"/>
      <c r="DL251" s="233"/>
      <c r="DM251" s="233"/>
      <c r="DN251" s="233"/>
      <c r="DO251" s="233"/>
      <c r="DP251" s="233"/>
      <c r="DQ251" s="233"/>
      <c r="DR251" s="233"/>
      <c r="DS251" s="233"/>
      <c r="DT251" s="233"/>
      <c r="DU251" s="233"/>
      <c r="DV251" s="233"/>
      <c r="DW251" s="233"/>
      <c r="DX251" s="233"/>
      <c r="DY251" s="233"/>
      <c r="DZ251" s="233"/>
      <c r="EA251" s="233"/>
      <c r="EB251" s="233"/>
      <c r="EC251" s="233"/>
      <c r="ED251" s="233"/>
      <c r="EE251" s="233"/>
      <c r="EF251" s="233"/>
      <c r="EG251" s="233"/>
      <c r="EH251" s="233"/>
      <c r="EI251" s="233"/>
      <c r="EJ251" s="233"/>
      <c r="EK251" s="233"/>
      <c r="EL251" s="233"/>
      <c r="EM251" s="233"/>
      <c r="EN251" s="233"/>
      <c r="EO251" s="233"/>
      <c r="EP251" s="233"/>
    </row>
    <row r="252" spans="1:146" ht="14.25" x14ac:dyDescent="0.2">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c r="BH252" s="233"/>
      <c r="BI252" s="233"/>
      <c r="BJ252" s="233"/>
      <c r="BK252" s="233"/>
      <c r="BL252" s="233"/>
      <c r="BM252" s="233"/>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33"/>
      <c r="CI252" s="233"/>
      <c r="CJ252" s="233"/>
      <c r="CK252" s="233"/>
      <c r="CL252" s="233"/>
      <c r="CM252" s="233"/>
      <c r="CN252" s="233"/>
      <c r="CO252" s="233"/>
      <c r="CP252" s="233"/>
      <c r="CQ252" s="233"/>
      <c r="CR252" s="233"/>
      <c r="CS252" s="233"/>
      <c r="CT252" s="233"/>
      <c r="CU252" s="233"/>
      <c r="CV252" s="233"/>
      <c r="CW252" s="233"/>
      <c r="CX252" s="233"/>
      <c r="CY252" s="233"/>
      <c r="CZ252" s="233"/>
      <c r="DA252" s="233"/>
      <c r="DB252" s="233"/>
      <c r="DC252" s="233"/>
      <c r="DD252" s="233"/>
      <c r="DE252" s="233"/>
      <c r="DF252" s="233"/>
      <c r="DG252" s="233"/>
      <c r="DH252" s="233"/>
      <c r="DI252" s="233"/>
      <c r="DJ252" s="233"/>
      <c r="DK252" s="233"/>
      <c r="DL252" s="233"/>
      <c r="DM252" s="233"/>
      <c r="DN252" s="233"/>
      <c r="DO252" s="233"/>
      <c r="DP252" s="233"/>
      <c r="DQ252" s="233"/>
      <c r="DR252" s="233"/>
      <c r="DS252" s="233"/>
      <c r="DT252" s="233"/>
      <c r="DU252" s="233"/>
      <c r="DV252" s="233"/>
      <c r="DW252" s="233"/>
      <c r="DX252" s="233"/>
      <c r="DY252" s="233"/>
      <c r="DZ252" s="233"/>
      <c r="EA252" s="233"/>
      <c r="EB252" s="233"/>
      <c r="EC252" s="233"/>
      <c r="ED252" s="233"/>
      <c r="EE252" s="233"/>
      <c r="EF252" s="233"/>
      <c r="EG252" s="233"/>
      <c r="EH252" s="233"/>
      <c r="EI252" s="233"/>
      <c r="EJ252" s="233"/>
      <c r="EK252" s="233"/>
      <c r="EL252" s="233"/>
      <c r="EM252" s="233"/>
      <c r="EN252" s="233"/>
      <c r="EO252" s="233"/>
      <c r="EP252" s="233"/>
    </row>
    <row r="253" spans="1:146" ht="14.25" x14ac:dyDescent="0.2">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c r="BJ253" s="233"/>
      <c r="BK253" s="233"/>
      <c r="BL253" s="233"/>
      <c r="BM253" s="233"/>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33"/>
      <c r="CI253" s="233"/>
      <c r="CJ253" s="233"/>
      <c r="CK253" s="233"/>
      <c r="CL253" s="233"/>
      <c r="CM253" s="233"/>
      <c r="CN253" s="233"/>
      <c r="CO253" s="233"/>
      <c r="CP253" s="233"/>
      <c r="CQ253" s="233"/>
      <c r="CR253" s="233"/>
      <c r="CS253" s="233"/>
      <c r="CT253" s="233"/>
      <c r="CU253" s="233"/>
      <c r="CV253" s="233"/>
      <c r="CW253" s="233"/>
      <c r="CX253" s="233"/>
      <c r="CY253" s="233"/>
      <c r="CZ253" s="233"/>
      <c r="DA253" s="233"/>
      <c r="DB253" s="233"/>
      <c r="DC253" s="233"/>
      <c r="DD253" s="233"/>
      <c r="DE253" s="233"/>
      <c r="DF253" s="233"/>
      <c r="DG253" s="233"/>
      <c r="DH253" s="233"/>
      <c r="DI253" s="233"/>
      <c r="DJ253" s="233"/>
      <c r="DK253" s="233"/>
      <c r="DL253" s="233"/>
      <c r="DM253" s="233"/>
      <c r="DN253" s="233"/>
      <c r="DO253" s="233"/>
      <c r="DP253" s="233"/>
      <c r="DQ253" s="233"/>
      <c r="DR253" s="233"/>
      <c r="DS253" s="233"/>
      <c r="DT253" s="233"/>
      <c r="DU253" s="233"/>
      <c r="DV253" s="233"/>
      <c r="DW253" s="233"/>
      <c r="DX253" s="233"/>
      <c r="DY253" s="233"/>
      <c r="DZ253" s="233"/>
      <c r="EA253" s="233"/>
      <c r="EB253" s="233"/>
      <c r="EC253" s="233"/>
      <c r="ED253" s="233"/>
      <c r="EE253" s="233"/>
      <c r="EF253" s="233"/>
      <c r="EG253" s="233"/>
      <c r="EH253" s="233"/>
      <c r="EI253" s="233"/>
      <c r="EJ253" s="233"/>
      <c r="EK253" s="233"/>
      <c r="EL253" s="233"/>
      <c r="EM253" s="233"/>
      <c r="EN253" s="233"/>
      <c r="EO253" s="233"/>
      <c r="EP253" s="233"/>
    </row>
    <row r="254" spans="1:146" ht="14.25" x14ac:dyDescent="0.2">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33"/>
      <c r="CI254" s="233"/>
      <c r="CJ254" s="233"/>
      <c r="CK254" s="233"/>
      <c r="CL254" s="233"/>
      <c r="CM254" s="233"/>
      <c r="CN254" s="233"/>
      <c r="CO254" s="233"/>
      <c r="CP254" s="233"/>
      <c r="CQ254" s="233"/>
      <c r="CR254" s="233"/>
      <c r="CS254" s="233"/>
      <c r="CT254" s="233"/>
      <c r="CU254" s="233"/>
      <c r="CV254" s="233"/>
      <c r="CW254" s="233"/>
      <c r="CX254" s="233"/>
      <c r="CY254" s="233"/>
      <c r="CZ254" s="233"/>
      <c r="DA254" s="233"/>
      <c r="DB254" s="233"/>
      <c r="DC254" s="233"/>
      <c r="DD254" s="233"/>
      <c r="DE254" s="233"/>
      <c r="DF254" s="233"/>
      <c r="DG254" s="233"/>
      <c r="DH254" s="233"/>
      <c r="DI254" s="233"/>
      <c r="DJ254" s="233"/>
      <c r="DK254" s="233"/>
      <c r="DL254" s="233"/>
      <c r="DM254" s="233"/>
      <c r="DN254" s="233"/>
      <c r="DO254" s="233"/>
      <c r="DP254" s="233"/>
      <c r="DQ254" s="233"/>
      <c r="DR254" s="233"/>
      <c r="DS254" s="233"/>
      <c r="DT254" s="233"/>
      <c r="DU254" s="233"/>
      <c r="DV254" s="233"/>
      <c r="DW254" s="233"/>
      <c r="DX254" s="233"/>
      <c r="DY254" s="233"/>
      <c r="DZ254" s="233"/>
      <c r="EA254" s="233"/>
      <c r="EB254" s="233"/>
      <c r="EC254" s="233"/>
      <c r="ED254" s="233"/>
      <c r="EE254" s="233"/>
      <c r="EF254" s="233"/>
      <c r="EG254" s="233"/>
      <c r="EH254" s="233"/>
      <c r="EI254" s="233"/>
      <c r="EJ254" s="233"/>
      <c r="EK254" s="233"/>
      <c r="EL254" s="233"/>
      <c r="EM254" s="233"/>
      <c r="EN254" s="233"/>
      <c r="EO254" s="233"/>
      <c r="EP254" s="233"/>
    </row>
    <row r="255" spans="1:146" ht="14.25" x14ac:dyDescent="0.2">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33"/>
      <c r="CN255" s="233"/>
      <c r="CO255" s="233"/>
      <c r="CP255" s="233"/>
      <c r="CQ255" s="233"/>
      <c r="CR255" s="233"/>
      <c r="CS255" s="233"/>
      <c r="CT255" s="233"/>
      <c r="CU255" s="233"/>
      <c r="CV255" s="233"/>
      <c r="CW255" s="233"/>
      <c r="CX255" s="233"/>
      <c r="CY255" s="233"/>
      <c r="CZ255" s="233"/>
      <c r="DA255" s="233"/>
      <c r="DB255" s="233"/>
      <c r="DC255" s="233"/>
      <c r="DD255" s="233"/>
      <c r="DE255" s="233"/>
      <c r="DF255" s="233"/>
      <c r="DG255" s="233"/>
      <c r="DH255" s="233"/>
      <c r="DI255" s="233"/>
      <c r="DJ255" s="233"/>
      <c r="DK255" s="233"/>
      <c r="DL255" s="233"/>
      <c r="DM255" s="233"/>
      <c r="DN255" s="233"/>
      <c r="DO255" s="233"/>
      <c r="DP255" s="233"/>
      <c r="DQ255" s="233"/>
      <c r="DR255" s="233"/>
      <c r="DS255" s="233"/>
      <c r="DT255" s="233"/>
      <c r="DU255" s="233"/>
      <c r="DV255" s="233"/>
      <c r="DW255" s="233"/>
      <c r="DX255" s="233"/>
      <c r="DY255" s="233"/>
      <c r="DZ255" s="233"/>
      <c r="EA255" s="233"/>
      <c r="EB255" s="233"/>
      <c r="EC255" s="233"/>
      <c r="ED255" s="233"/>
      <c r="EE255" s="233"/>
      <c r="EF255" s="233"/>
      <c r="EG255" s="233"/>
      <c r="EH255" s="233"/>
      <c r="EI255" s="233"/>
      <c r="EJ255" s="233"/>
      <c r="EK255" s="233"/>
      <c r="EL255" s="233"/>
      <c r="EM255" s="233"/>
      <c r="EN255" s="233"/>
      <c r="EO255" s="233"/>
      <c r="EP255" s="233"/>
    </row>
    <row r="256" spans="1:146" ht="14.25" x14ac:dyDescent="0.2">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33"/>
      <c r="CI256" s="233"/>
      <c r="CJ256" s="233"/>
      <c r="CK256" s="233"/>
      <c r="CL256" s="233"/>
      <c r="CM256" s="233"/>
      <c r="CN256" s="233"/>
      <c r="CO256" s="233"/>
      <c r="CP256" s="233"/>
      <c r="CQ256" s="233"/>
      <c r="CR256" s="233"/>
      <c r="CS256" s="233"/>
      <c r="CT256" s="233"/>
      <c r="CU256" s="233"/>
      <c r="CV256" s="233"/>
      <c r="CW256" s="233"/>
      <c r="CX256" s="233"/>
      <c r="CY256" s="233"/>
      <c r="CZ256" s="233"/>
      <c r="DA256" s="233"/>
      <c r="DB256" s="233"/>
      <c r="DC256" s="233"/>
      <c r="DD256" s="233"/>
      <c r="DE256" s="233"/>
      <c r="DF256" s="233"/>
      <c r="DG256" s="233"/>
      <c r="DH256" s="233"/>
      <c r="DI256" s="233"/>
      <c r="DJ256" s="233"/>
      <c r="DK256" s="233"/>
      <c r="DL256" s="233"/>
      <c r="DM256" s="233"/>
      <c r="DN256" s="233"/>
      <c r="DO256" s="233"/>
      <c r="DP256" s="233"/>
      <c r="DQ256" s="233"/>
      <c r="DR256" s="233"/>
      <c r="DS256" s="233"/>
      <c r="DT256" s="233"/>
      <c r="DU256" s="233"/>
      <c r="DV256" s="233"/>
      <c r="DW256" s="233"/>
      <c r="DX256" s="233"/>
      <c r="DY256" s="233"/>
      <c r="DZ256" s="233"/>
      <c r="EA256" s="233"/>
      <c r="EB256" s="233"/>
      <c r="EC256" s="233"/>
      <c r="ED256" s="233"/>
      <c r="EE256" s="233"/>
      <c r="EF256" s="233"/>
      <c r="EG256" s="233"/>
      <c r="EH256" s="233"/>
      <c r="EI256" s="233"/>
      <c r="EJ256" s="233"/>
      <c r="EK256" s="233"/>
      <c r="EL256" s="233"/>
      <c r="EM256" s="233"/>
      <c r="EN256" s="233"/>
      <c r="EO256" s="233"/>
      <c r="EP256" s="233"/>
    </row>
    <row r="257" spans="1:146" ht="14.25" x14ac:dyDescent="0.2">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33"/>
      <c r="CI257" s="233"/>
      <c r="CJ257" s="233"/>
      <c r="CK257" s="233"/>
      <c r="CL257" s="233"/>
      <c r="CM257" s="233"/>
      <c r="CN257" s="233"/>
      <c r="CO257" s="233"/>
      <c r="CP257" s="233"/>
      <c r="CQ257" s="233"/>
      <c r="CR257" s="233"/>
      <c r="CS257" s="233"/>
      <c r="CT257" s="233"/>
      <c r="CU257" s="233"/>
      <c r="CV257" s="233"/>
      <c r="CW257" s="233"/>
      <c r="CX257" s="233"/>
      <c r="CY257" s="233"/>
      <c r="CZ257" s="233"/>
      <c r="DA257" s="233"/>
      <c r="DB257" s="233"/>
      <c r="DC257" s="233"/>
      <c r="DD257" s="233"/>
      <c r="DE257" s="233"/>
      <c r="DF257" s="233"/>
      <c r="DG257" s="233"/>
      <c r="DH257" s="233"/>
      <c r="DI257" s="233"/>
      <c r="DJ257" s="233"/>
      <c r="DK257" s="233"/>
      <c r="DL257" s="233"/>
      <c r="DM257" s="233"/>
      <c r="DN257" s="233"/>
      <c r="DO257" s="233"/>
      <c r="DP257" s="233"/>
      <c r="DQ257" s="233"/>
      <c r="DR257" s="233"/>
      <c r="DS257" s="233"/>
      <c r="DT257" s="233"/>
      <c r="DU257" s="233"/>
      <c r="DV257" s="233"/>
      <c r="DW257" s="233"/>
      <c r="DX257" s="233"/>
      <c r="DY257" s="233"/>
      <c r="DZ257" s="233"/>
      <c r="EA257" s="233"/>
      <c r="EB257" s="233"/>
      <c r="EC257" s="233"/>
      <c r="ED257" s="233"/>
      <c r="EE257" s="233"/>
      <c r="EF257" s="233"/>
      <c r="EG257" s="233"/>
      <c r="EH257" s="233"/>
      <c r="EI257" s="233"/>
      <c r="EJ257" s="233"/>
      <c r="EK257" s="233"/>
      <c r="EL257" s="233"/>
      <c r="EM257" s="233"/>
      <c r="EN257" s="233"/>
      <c r="EO257" s="233"/>
      <c r="EP257" s="233"/>
    </row>
    <row r="258" spans="1:146" ht="14.25" x14ac:dyDescent="0.2">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row>
    <row r="259" spans="1:146" ht="14.25" x14ac:dyDescent="0.2">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c r="BH259" s="233"/>
      <c r="BI259" s="233"/>
      <c r="BJ259" s="233"/>
      <c r="BK259" s="233"/>
      <c r="BL259" s="233"/>
      <c r="BM259" s="233"/>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33"/>
      <c r="CI259" s="233"/>
      <c r="CJ259" s="233"/>
      <c r="CK259" s="233"/>
      <c r="CL259" s="233"/>
      <c r="CM259" s="233"/>
      <c r="CN259" s="233"/>
      <c r="CO259" s="233"/>
      <c r="CP259" s="233"/>
      <c r="CQ259" s="233"/>
      <c r="CR259" s="233"/>
      <c r="CS259" s="233"/>
      <c r="CT259" s="233"/>
      <c r="CU259" s="233"/>
      <c r="CV259" s="233"/>
      <c r="CW259" s="233"/>
      <c r="CX259" s="233"/>
      <c r="CY259" s="233"/>
      <c r="CZ259" s="233"/>
      <c r="DA259" s="233"/>
      <c r="DB259" s="233"/>
      <c r="DC259" s="233"/>
      <c r="DD259" s="233"/>
      <c r="DE259" s="233"/>
      <c r="DF259" s="233"/>
      <c r="DG259" s="233"/>
      <c r="DH259" s="233"/>
      <c r="DI259" s="233"/>
      <c r="DJ259" s="233"/>
      <c r="DK259" s="233"/>
      <c r="DL259" s="233"/>
      <c r="DM259" s="233"/>
      <c r="DN259" s="233"/>
      <c r="DO259" s="233"/>
      <c r="DP259" s="233"/>
      <c r="DQ259" s="233"/>
      <c r="DR259" s="233"/>
      <c r="DS259" s="233"/>
      <c r="DT259" s="233"/>
      <c r="DU259" s="233"/>
      <c r="DV259" s="233"/>
      <c r="DW259" s="233"/>
      <c r="DX259" s="233"/>
      <c r="DY259" s="233"/>
      <c r="DZ259" s="233"/>
      <c r="EA259" s="233"/>
      <c r="EB259" s="233"/>
      <c r="EC259" s="233"/>
      <c r="ED259" s="233"/>
      <c r="EE259" s="233"/>
      <c r="EF259" s="233"/>
      <c r="EG259" s="233"/>
      <c r="EH259" s="233"/>
      <c r="EI259" s="233"/>
      <c r="EJ259" s="233"/>
      <c r="EK259" s="233"/>
      <c r="EL259" s="233"/>
      <c r="EM259" s="233"/>
      <c r="EN259" s="233"/>
      <c r="EO259" s="233"/>
      <c r="EP259" s="233"/>
    </row>
    <row r="260" spans="1:146" ht="14.25" x14ac:dyDescent="0.2">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c r="DL260" s="233"/>
      <c r="DM260" s="233"/>
      <c r="DN260" s="233"/>
      <c r="DO260" s="233"/>
      <c r="DP260" s="233"/>
      <c r="DQ260" s="233"/>
      <c r="DR260" s="233"/>
      <c r="DS260" s="233"/>
      <c r="DT260" s="233"/>
      <c r="DU260" s="233"/>
      <c r="DV260" s="233"/>
      <c r="DW260" s="233"/>
      <c r="DX260" s="233"/>
      <c r="DY260" s="233"/>
      <c r="DZ260" s="233"/>
      <c r="EA260" s="233"/>
      <c r="EB260" s="233"/>
      <c r="EC260" s="233"/>
      <c r="ED260" s="233"/>
      <c r="EE260" s="233"/>
      <c r="EF260" s="233"/>
      <c r="EG260" s="233"/>
      <c r="EH260" s="233"/>
      <c r="EI260" s="233"/>
      <c r="EJ260" s="233"/>
      <c r="EK260" s="233"/>
      <c r="EL260" s="233"/>
      <c r="EM260" s="233"/>
      <c r="EN260" s="233"/>
      <c r="EO260" s="233"/>
      <c r="EP260" s="233"/>
    </row>
    <row r="261" spans="1:146" ht="14.25" x14ac:dyDescent="0.2">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33"/>
      <c r="CI261" s="233"/>
      <c r="CJ261" s="233"/>
      <c r="CK261" s="233"/>
      <c r="CL261" s="233"/>
      <c r="CM261" s="233"/>
      <c r="CN261" s="233"/>
      <c r="CO261" s="233"/>
      <c r="CP261" s="233"/>
      <c r="CQ261" s="233"/>
      <c r="CR261" s="233"/>
      <c r="CS261" s="233"/>
      <c r="CT261" s="233"/>
      <c r="CU261" s="233"/>
      <c r="CV261" s="233"/>
      <c r="CW261" s="233"/>
      <c r="CX261" s="233"/>
      <c r="CY261" s="233"/>
      <c r="CZ261" s="233"/>
      <c r="DA261" s="233"/>
      <c r="DB261" s="233"/>
      <c r="DC261" s="233"/>
      <c r="DD261" s="233"/>
      <c r="DE261" s="233"/>
      <c r="DF261" s="233"/>
      <c r="DG261" s="233"/>
      <c r="DH261" s="233"/>
      <c r="DI261" s="233"/>
      <c r="DJ261" s="233"/>
      <c r="DK261" s="233"/>
      <c r="DL261" s="233"/>
      <c r="DM261" s="233"/>
      <c r="DN261" s="233"/>
      <c r="DO261" s="233"/>
      <c r="DP261" s="233"/>
      <c r="DQ261" s="233"/>
      <c r="DR261" s="233"/>
      <c r="DS261" s="233"/>
      <c r="DT261" s="233"/>
      <c r="DU261" s="233"/>
      <c r="DV261" s="233"/>
      <c r="DW261" s="233"/>
      <c r="DX261" s="233"/>
      <c r="DY261" s="233"/>
      <c r="DZ261" s="233"/>
      <c r="EA261" s="233"/>
      <c r="EB261" s="233"/>
      <c r="EC261" s="233"/>
      <c r="ED261" s="233"/>
      <c r="EE261" s="233"/>
      <c r="EF261" s="233"/>
      <c r="EG261" s="233"/>
      <c r="EH261" s="233"/>
      <c r="EI261" s="233"/>
      <c r="EJ261" s="233"/>
      <c r="EK261" s="233"/>
      <c r="EL261" s="233"/>
      <c r="EM261" s="233"/>
      <c r="EN261" s="233"/>
      <c r="EO261" s="233"/>
      <c r="EP261" s="233"/>
    </row>
    <row r="262" spans="1:146" ht="14.25" x14ac:dyDescent="0.2">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c r="BJ262" s="233"/>
      <c r="BK262" s="233"/>
      <c r="BL262" s="233"/>
      <c r="BM262" s="233"/>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33"/>
      <c r="CI262" s="233"/>
      <c r="CJ262" s="233"/>
      <c r="CK262" s="233"/>
      <c r="CL262" s="233"/>
      <c r="CM262" s="233"/>
      <c r="CN262" s="233"/>
      <c r="CO262" s="233"/>
      <c r="CP262" s="233"/>
      <c r="CQ262" s="233"/>
      <c r="CR262" s="233"/>
      <c r="CS262" s="233"/>
      <c r="CT262" s="233"/>
      <c r="CU262" s="233"/>
      <c r="CV262" s="233"/>
      <c r="CW262" s="233"/>
      <c r="CX262" s="233"/>
      <c r="CY262" s="233"/>
      <c r="CZ262" s="233"/>
      <c r="DA262" s="233"/>
      <c r="DB262" s="233"/>
      <c r="DC262" s="233"/>
      <c r="DD262" s="233"/>
      <c r="DE262" s="233"/>
      <c r="DF262" s="233"/>
      <c r="DG262" s="233"/>
      <c r="DH262" s="233"/>
      <c r="DI262" s="233"/>
      <c r="DJ262" s="233"/>
      <c r="DK262" s="233"/>
      <c r="DL262" s="233"/>
      <c r="DM262" s="233"/>
      <c r="DN262" s="233"/>
      <c r="DO262" s="233"/>
      <c r="DP262" s="233"/>
      <c r="DQ262" s="233"/>
      <c r="DR262" s="233"/>
      <c r="DS262" s="233"/>
      <c r="DT262" s="233"/>
      <c r="DU262" s="233"/>
      <c r="DV262" s="233"/>
      <c r="DW262" s="233"/>
      <c r="DX262" s="233"/>
      <c r="DY262" s="233"/>
      <c r="DZ262" s="233"/>
      <c r="EA262" s="233"/>
      <c r="EB262" s="233"/>
      <c r="EC262" s="233"/>
      <c r="ED262" s="233"/>
      <c r="EE262" s="233"/>
      <c r="EF262" s="233"/>
      <c r="EG262" s="233"/>
      <c r="EH262" s="233"/>
      <c r="EI262" s="233"/>
      <c r="EJ262" s="233"/>
      <c r="EK262" s="233"/>
      <c r="EL262" s="233"/>
      <c r="EM262" s="233"/>
      <c r="EN262" s="233"/>
      <c r="EO262" s="233"/>
      <c r="EP262" s="233"/>
    </row>
    <row r="263" spans="1:146" ht="14.25" x14ac:dyDescent="0.2">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c r="BH263" s="233"/>
      <c r="BI263" s="233"/>
      <c r="BJ263" s="233"/>
      <c r="BK263" s="233"/>
      <c r="BL263" s="233"/>
      <c r="BM263" s="233"/>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33"/>
      <c r="CI263" s="233"/>
      <c r="CJ263" s="233"/>
      <c r="CK263" s="233"/>
      <c r="CL263" s="233"/>
      <c r="CM263" s="233"/>
      <c r="CN263" s="233"/>
      <c r="CO263" s="233"/>
      <c r="CP263" s="233"/>
      <c r="CQ263" s="233"/>
      <c r="CR263" s="233"/>
      <c r="CS263" s="233"/>
      <c r="CT263" s="233"/>
      <c r="CU263" s="233"/>
      <c r="CV263" s="233"/>
      <c r="CW263" s="233"/>
      <c r="CX263" s="233"/>
      <c r="CY263" s="233"/>
      <c r="CZ263" s="233"/>
      <c r="DA263" s="233"/>
      <c r="DB263" s="233"/>
      <c r="DC263" s="233"/>
      <c r="DD263" s="233"/>
      <c r="DE263" s="233"/>
      <c r="DF263" s="233"/>
      <c r="DG263" s="233"/>
      <c r="DH263" s="233"/>
      <c r="DI263" s="233"/>
      <c r="DJ263" s="233"/>
      <c r="DK263" s="233"/>
      <c r="DL263" s="233"/>
      <c r="DM263" s="233"/>
      <c r="DN263" s="233"/>
      <c r="DO263" s="233"/>
      <c r="DP263" s="233"/>
      <c r="DQ263" s="233"/>
      <c r="DR263" s="233"/>
      <c r="DS263" s="233"/>
      <c r="DT263" s="233"/>
      <c r="DU263" s="233"/>
      <c r="DV263" s="233"/>
      <c r="DW263" s="233"/>
      <c r="DX263" s="233"/>
      <c r="DY263" s="233"/>
      <c r="DZ263" s="233"/>
      <c r="EA263" s="233"/>
      <c r="EB263" s="233"/>
      <c r="EC263" s="233"/>
      <c r="ED263" s="233"/>
      <c r="EE263" s="233"/>
      <c r="EF263" s="233"/>
      <c r="EG263" s="233"/>
      <c r="EH263" s="233"/>
      <c r="EI263" s="233"/>
      <c r="EJ263" s="233"/>
      <c r="EK263" s="233"/>
      <c r="EL263" s="233"/>
      <c r="EM263" s="233"/>
      <c r="EN263" s="233"/>
      <c r="EO263" s="233"/>
      <c r="EP263" s="233"/>
    </row>
    <row r="264" spans="1:146" ht="14.25" x14ac:dyDescent="0.2">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33"/>
      <c r="CI264" s="233"/>
      <c r="CJ264" s="233"/>
      <c r="CK264" s="233"/>
      <c r="CL264" s="233"/>
      <c r="CM264" s="233"/>
      <c r="CN264" s="233"/>
      <c r="CO264" s="233"/>
      <c r="CP264" s="233"/>
      <c r="CQ264" s="233"/>
      <c r="CR264" s="233"/>
      <c r="CS264" s="233"/>
      <c r="CT264" s="233"/>
      <c r="CU264" s="233"/>
      <c r="CV264" s="233"/>
      <c r="CW264" s="233"/>
      <c r="CX264" s="233"/>
      <c r="CY264" s="233"/>
      <c r="CZ264" s="233"/>
      <c r="DA264" s="233"/>
      <c r="DB264" s="233"/>
      <c r="DC264" s="233"/>
      <c r="DD264" s="233"/>
      <c r="DE264" s="233"/>
      <c r="DF264" s="233"/>
      <c r="DG264" s="233"/>
      <c r="DH264" s="233"/>
      <c r="DI264" s="233"/>
      <c r="DJ264" s="233"/>
      <c r="DK264" s="233"/>
      <c r="DL264" s="233"/>
      <c r="DM264" s="233"/>
      <c r="DN264" s="233"/>
      <c r="DO264" s="233"/>
      <c r="DP264" s="233"/>
      <c r="DQ264" s="233"/>
      <c r="DR264" s="233"/>
      <c r="DS264" s="233"/>
      <c r="DT264" s="233"/>
      <c r="DU264" s="233"/>
      <c r="DV264" s="233"/>
      <c r="DW264" s="233"/>
      <c r="DX264" s="233"/>
      <c r="DY264" s="233"/>
      <c r="DZ264" s="233"/>
      <c r="EA264" s="233"/>
      <c r="EB264" s="233"/>
      <c r="EC264" s="233"/>
      <c r="ED264" s="233"/>
      <c r="EE264" s="233"/>
      <c r="EF264" s="233"/>
      <c r="EG264" s="233"/>
      <c r="EH264" s="233"/>
      <c r="EI264" s="233"/>
      <c r="EJ264" s="233"/>
      <c r="EK264" s="233"/>
      <c r="EL264" s="233"/>
      <c r="EM264" s="233"/>
      <c r="EN264" s="233"/>
      <c r="EO264" s="233"/>
      <c r="EP264" s="233"/>
    </row>
    <row r="265" spans="1:146" ht="14.25" x14ac:dyDescent="0.2">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33"/>
      <c r="BK265" s="233"/>
      <c r="BL265" s="233"/>
      <c r="BM265" s="233"/>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33"/>
      <c r="CI265" s="233"/>
      <c r="CJ265" s="233"/>
      <c r="CK265" s="233"/>
      <c r="CL265" s="233"/>
      <c r="CM265" s="233"/>
      <c r="CN265" s="233"/>
      <c r="CO265" s="233"/>
      <c r="CP265" s="233"/>
      <c r="CQ265" s="233"/>
      <c r="CR265" s="233"/>
      <c r="CS265" s="233"/>
      <c r="CT265" s="233"/>
      <c r="CU265" s="233"/>
      <c r="CV265" s="233"/>
      <c r="CW265" s="233"/>
      <c r="CX265" s="233"/>
      <c r="CY265" s="233"/>
      <c r="CZ265" s="233"/>
      <c r="DA265" s="233"/>
      <c r="DB265" s="233"/>
      <c r="DC265" s="233"/>
      <c r="DD265" s="233"/>
      <c r="DE265" s="233"/>
      <c r="DF265" s="233"/>
      <c r="DG265" s="233"/>
      <c r="DH265" s="233"/>
      <c r="DI265" s="233"/>
      <c r="DJ265" s="233"/>
      <c r="DK265" s="233"/>
      <c r="DL265" s="233"/>
      <c r="DM265" s="233"/>
      <c r="DN265" s="233"/>
      <c r="DO265" s="233"/>
      <c r="DP265" s="233"/>
      <c r="DQ265" s="233"/>
      <c r="DR265" s="233"/>
      <c r="DS265" s="233"/>
      <c r="DT265" s="233"/>
      <c r="DU265" s="233"/>
      <c r="DV265" s="233"/>
      <c r="DW265" s="233"/>
      <c r="DX265" s="233"/>
      <c r="DY265" s="233"/>
      <c r="DZ265" s="233"/>
      <c r="EA265" s="233"/>
      <c r="EB265" s="233"/>
      <c r="EC265" s="233"/>
      <c r="ED265" s="233"/>
      <c r="EE265" s="233"/>
      <c r="EF265" s="233"/>
      <c r="EG265" s="233"/>
      <c r="EH265" s="233"/>
      <c r="EI265" s="233"/>
      <c r="EJ265" s="233"/>
      <c r="EK265" s="233"/>
      <c r="EL265" s="233"/>
      <c r="EM265" s="233"/>
      <c r="EN265" s="233"/>
      <c r="EO265" s="233"/>
      <c r="EP265" s="233"/>
    </row>
    <row r="266" spans="1:146" ht="14.25" x14ac:dyDescent="0.2">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33"/>
      <c r="CI266" s="233"/>
      <c r="CJ266" s="233"/>
      <c r="CK266" s="233"/>
      <c r="CL266" s="233"/>
      <c r="CM266" s="233"/>
      <c r="CN266" s="233"/>
      <c r="CO266" s="233"/>
      <c r="CP266" s="233"/>
      <c r="CQ266" s="233"/>
      <c r="CR266" s="233"/>
      <c r="CS266" s="233"/>
      <c r="CT266" s="233"/>
      <c r="CU266" s="233"/>
      <c r="CV266" s="233"/>
      <c r="CW266" s="233"/>
      <c r="CX266" s="233"/>
      <c r="CY266" s="233"/>
      <c r="CZ266" s="233"/>
      <c r="DA266" s="233"/>
      <c r="DB266" s="233"/>
      <c r="DC266" s="233"/>
      <c r="DD266" s="233"/>
      <c r="DE266" s="233"/>
      <c r="DF266" s="233"/>
      <c r="DG266" s="233"/>
      <c r="DH266" s="233"/>
      <c r="DI266" s="233"/>
      <c r="DJ266" s="233"/>
      <c r="DK266" s="233"/>
      <c r="DL266" s="233"/>
      <c r="DM266" s="233"/>
      <c r="DN266" s="233"/>
      <c r="DO266" s="233"/>
      <c r="DP266" s="233"/>
      <c r="DQ266" s="233"/>
      <c r="DR266" s="233"/>
      <c r="DS266" s="233"/>
      <c r="DT266" s="233"/>
      <c r="DU266" s="233"/>
      <c r="DV266" s="233"/>
      <c r="DW266" s="233"/>
      <c r="DX266" s="233"/>
      <c r="DY266" s="233"/>
      <c r="DZ266" s="233"/>
      <c r="EA266" s="233"/>
      <c r="EB266" s="233"/>
      <c r="EC266" s="233"/>
      <c r="ED266" s="233"/>
      <c r="EE266" s="233"/>
      <c r="EF266" s="233"/>
      <c r="EG266" s="233"/>
      <c r="EH266" s="233"/>
      <c r="EI266" s="233"/>
      <c r="EJ266" s="233"/>
      <c r="EK266" s="233"/>
      <c r="EL266" s="233"/>
      <c r="EM266" s="233"/>
      <c r="EN266" s="233"/>
      <c r="EO266" s="233"/>
      <c r="EP266" s="233"/>
    </row>
    <row r="267" spans="1:146" ht="14.25" x14ac:dyDescent="0.2">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33"/>
      <c r="CI267" s="233"/>
      <c r="CJ267" s="233"/>
      <c r="CK267" s="233"/>
      <c r="CL267" s="233"/>
      <c r="CM267" s="233"/>
      <c r="CN267" s="233"/>
      <c r="CO267" s="233"/>
      <c r="CP267" s="233"/>
      <c r="CQ267" s="233"/>
      <c r="CR267" s="233"/>
      <c r="CS267" s="233"/>
      <c r="CT267" s="233"/>
      <c r="CU267" s="233"/>
      <c r="CV267" s="233"/>
      <c r="CW267" s="233"/>
      <c r="CX267" s="233"/>
      <c r="CY267" s="233"/>
      <c r="CZ267" s="233"/>
      <c r="DA267" s="233"/>
      <c r="DB267" s="233"/>
      <c r="DC267" s="233"/>
      <c r="DD267" s="233"/>
      <c r="DE267" s="233"/>
      <c r="DF267" s="233"/>
      <c r="DG267" s="233"/>
      <c r="DH267" s="233"/>
      <c r="DI267" s="233"/>
      <c r="DJ267" s="233"/>
      <c r="DK267" s="233"/>
      <c r="DL267" s="233"/>
      <c r="DM267" s="233"/>
      <c r="DN267" s="233"/>
      <c r="DO267" s="233"/>
      <c r="DP267" s="233"/>
      <c r="DQ267" s="233"/>
      <c r="DR267" s="233"/>
      <c r="DS267" s="233"/>
      <c r="DT267" s="233"/>
      <c r="DU267" s="233"/>
      <c r="DV267" s="233"/>
      <c r="DW267" s="233"/>
      <c r="DX267" s="233"/>
      <c r="DY267" s="233"/>
      <c r="DZ267" s="233"/>
      <c r="EA267" s="233"/>
      <c r="EB267" s="233"/>
      <c r="EC267" s="233"/>
      <c r="ED267" s="233"/>
      <c r="EE267" s="233"/>
      <c r="EF267" s="233"/>
      <c r="EG267" s="233"/>
      <c r="EH267" s="233"/>
      <c r="EI267" s="233"/>
      <c r="EJ267" s="233"/>
      <c r="EK267" s="233"/>
      <c r="EL267" s="233"/>
      <c r="EM267" s="233"/>
      <c r="EN267" s="233"/>
      <c r="EO267" s="233"/>
      <c r="EP267" s="233"/>
    </row>
    <row r="268" spans="1:146" ht="14.25" x14ac:dyDescent="0.2">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33"/>
      <c r="CI268" s="233"/>
      <c r="CJ268" s="233"/>
      <c r="CK268" s="233"/>
      <c r="CL268" s="233"/>
      <c r="CM268" s="233"/>
      <c r="CN268" s="233"/>
      <c r="CO268" s="233"/>
      <c r="CP268" s="233"/>
      <c r="CQ268" s="233"/>
      <c r="CR268" s="233"/>
      <c r="CS268" s="233"/>
      <c r="CT268" s="233"/>
      <c r="CU268" s="233"/>
      <c r="CV268" s="233"/>
      <c r="CW268" s="233"/>
      <c r="CX268" s="233"/>
      <c r="CY268" s="233"/>
      <c r="CZ268" s="233"/>
      <c r="DA268" s="233"/>
      <c r="DB268" s="233"/>
      <c r="DC268" s="233"/>
      <c r="DD268" s="233"/>
      <c r="DE268" s="233"/>
      <c r="DF268" s="233"/>
      <c r="DG268" s="233"/>
      <c r="DH268" s="233"/>
      <c r="DI268" s="233"/>
      <c r="DJ268" s="233"/>
      <c r="DK268" s="233"/>
      <c r="DL268" s="233"/>
      <c r="DM268" s="233"/>
      <c r="DN268" s="233"/>
      <c r="DO268" s="233"/>
      <c r="DP268" s="233"/>
      <c r="DQ268" s="233"/>
      <c r="DR268" s="233"/>
      <c r="DS268" s="233"/>
      <c r="DT268" s="233"/>
      <c r="DU268" s="233"/>
      <c r="DV268" s="233"/>
      <c r="DW268" s="233"/>
      <c r="DX268" s="233"/>
      <c r="DY268" s="233"/>
      <c r="DZ268" s="233"/>
      <c r="EA268" s="233"/>
      <c r="EB268" s="233"/>
      <c r="EC268" s="233"/>
      <c r="ED268" s="233"/>
      <c r="EE268" s="233"/>
      <c r="EF268" s="233"/>
      <c r="EG268" s="233"/>
      <c r="EH268" s="233"/>
      <c r="EI268" s="233"/>
      <c r="EJ268" s="233"/>
      <c r="EK268" s="233"/>
      <c r="EL268" s="233"/>
      <c r="EM268" s="233"/>
      <c r="EN268" s="233"/>
      <c r="EO268" s="233"/>
      <c r="EP268" s="233"/>
    </row>
    <row r="269" spans="1:146" ht="14.25" x14ac:dyDescent="0.2">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33"/>
      <c r="CI269" s="233"/>
      <c r="CJ269" s="233"/>
      <c r="CK269" s="233"/>
      <c r="CL269" s="233"/>
      <c r="CM269" s="233"/>
      <c r="CN269" s="233"/>
      <c r="CO269" s="233"/>
      <c r="CP269" s="233"/>
      <c r="CQ269" s="233"/>
      <c r="CR269" s="233"/>
      <c r="CS269" s="233"/>
      <c r="CT269" s="233"/>
      <c r="CU269" s="233"/>
      <c r="CV269" s="233"/>
      <c r="CW269" s="233"/>
      <c r="CX269" s="233"/>
      <c r="CY269" s="233"/>
      <c r="CZ269" s="233"/>
      <c r="DA269" s="233"/>
      <c r="DB269" s="233"/>
      <c r="DC269" s="233"/>
      <c r="DD269" s="233"/>
      <c r="DE269" s="233"/>
      <c r="DF269" s="233"/>
      <c r="DG269" s="233"/>
      <c r="DH269" s="233"/>
      <c r="DI269" s="233"/>
      <c r="DJ269" s="233"/>
      <c r="DK269" s="233"/>
      <c r="DL269" s="233"/>
      <c r="DM269" s="233"/>
      <c r="DN269" s="233"/>
      <c r="DO269" s="233"/>
      <c r="DP269" s="233"/>
      <c r="DQ269" s="233"/>
      <c r="DR269" s="233"/>
      <c r="DS269" s="233"/>
      <c r="DT269" s="233"/>
      <c r="DU269" s="233"/>
      <c r="DV269" s="233"/>
      <c r="DW269" s="233"/>
      <c r="DX269" s="233"/>
      <c r="DY269" s="233"/>
      <c r="DZ269" s="233"/>
      <c r="EA269" s="233"/>
      <c r="EB269" s="233"/>
      <c r="EC269" s="233"/>
      <c r="ED269" s="233"/>
      <c r="EE269" s="233"/>
      <c r="EF269" s="233"/>
      <c r="EG269" s="233"/>
      <c r="EH269" s="233"/>
      <c r="EI269" s="233"/>
      <c r="EJ269" s="233"/>
      <c r="EK269" s="233"/>
      <c r="EL269" s="233"/>
      <c r="EM269" s="233"/>
      <c r="EN269" s="233"/>
      <c r="EO269" s="233"/>
      <c r="EP269" s="233"/>
    </row>
    <row r="270" spans="1:146" ht="14.25" x14ac:dyDescent="0.2">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33"/>
      <c r="CI270" s="233"/>
      <c r="CJ270" s="233"/>
      <c r="CK270" s="233"/>
      <c r="CL270" s="233"/>
      <c r="CM270" s="233"/>
      <c r="CN270" s="233"/>
      <c r="CO270" s="233"/>
      <c r="CP270" s="233"/>
      <c r="CQ270" s="233"/>
      <c r="CR270" s="233"/>
      <c r="CS270" s="233"/>
      <c r="CT270" s="233"/>
      <c r="CU270" s="233"/>
      <c r="CV270" s="233"/>
      <c r="CW270" s="233"/>
      <c r="CX270" s="233"/>
      <c r="CY270" s="233"/>
      <c r="CZ270" s="233"/>
      <c r="DA270" s="233"/>
      <c r="DB270" s="233"/>
      <c r="DC270" s="233"/>
      <c r="DD270" s="233"/>
      <c r="DE270" s="233"/>
      <c r="DF270" s="233"/>
      <c r="DG270" s="233"/>
      <c r="DH270" s="233"/>
      <c r="DI270" s="233"/>
      <c r="DJ270" s="233"/>
      <c r="DK270" s="233"/>
      <c r="DL270" s="233"/>
      <c r="DM270" s="233"/>
      <c r="DN270" s="233"/>
      <c r="DO270" s="233"/>
      <c r="DP270" s="233"/>
      <c r="DQ270" s="233"/>
      <c r="DR270" s="233"/>
      <c r="DS270" s="233"/>
      <c r="DT270" s="233"/>
      <c r="DU270" s="233"/>
      <c r="DV270" s="233"/>
      <c r="DW270" s="233"/>
      <c r="DX270" s="233"/>
      <c r="DY270" s="233"/>
      <c r="DZ270" s="233"/>
      <c r="EA270" s="233"/>
      <c r="EB270" s="233"/>
      <c r="EC270" s="233"/>
      <c r="ED270" s="233"/>
      <c r="EE270" s="233"/>
      <c r="EF270" s="233"/>
      <c r="EG270" s="233"/>
      <c r="EH270" s="233"/>
      <c r="EI270" s="233"/>
      <c r="EJ270" s="233"/>
      <c r="EK270" s="233"/>
      <c r="EL270" s="233"/>
      <c r="EM270" s="233"/>
      <c r="EN270" s="233"/>
      <c r="EO270" s="233"/>
      <c r="EP270" s="233"/>
    </row>
    <row r="271" spans="1:146" ht="14.25" x14ac:dyDescent="0.2">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33"/>
      <c r="CI271" s="233"/>
      <c r="CJ271" s="233"/>
      <c r="CK271" s="233"/>
      <c r="CL271" s="233"/>
      <c r="CM271" s="233"/>
      <c r="CN271" s="233"/>
      <c r="CO271" s="233"/>
      <c r="CP271" s="233"/>
      <c r="CQ271" s="233"/>
      <c r="CR271" s="233"/>
      <c r="CS271" s="233"/>
      <c r="CT271" s="233"/>
      <c r="CU271" s="233"/>
      <c r="CV271" s="233"/>
      <c r="CW271" s="233"/>
      <c r="CX271" s="233"/>
      <c r="CY271" s="233"/>
      <c r="CZ271" s="233"/>
      <c r="DA271" s="233"/>
      <c r="DB271" s="233"/>
      <c r="DC271" s="233"/>
      <c r="DD271" s="233"/>
      <c r="DE271" s="233"/>
      <c r="DF271" s="233"/>
      <c r="DG271" s="233"/>
      <c r="DH271" s="233"/>
      <c r="DI271" s="233"/>
      <c r="DJ271" s="233"/>
      <c r="DK271" s="233"/>
      <c r="DL271" s="233"/>
      <c r="DM271" s="233"/>
      <c r="DN271" s="233"/>
      <c r="DO271" s="233"/>
      <c r="DP271" s="233"/>
      <c r="DQ271" s="233"/>
      <c r="DR271" s="233"/>
      <c r="DS271" s="233"/>
      <c r="DT271" s="233"/>
      <c r="DU271" s="233"/>
      <c r="DV271" s="233"/>
      <c r="DW271" s="233"/>
      <c r="DX271" s="233"/>
      <c r="DY271" s="233"/>
      <c r="DZ271" s="233"/>
      <c r="EA271" s="233"/>
      <c r="EB271" s="233"/>
      <c r="EC271" s="233"/>
      <c r="ED271" s="233"/>
      <c r="EE271" s="233"/>
      <c r="EF271" s="233"/>
      <c r="EG271" s="233"/>
      <c r="EH271" s="233"/>
      <c r="EI271" s="233"/>
      <c r="EJ271" s="233"/>
      <c r="EK271" s="233"/>
      <c r="EL271" s="233"/>
      <c r="EM271" s="233"/>
      <c r="EN271" s="233"/>
      <c r="EO271" s="233"/>
      <c r="EP271" s="233"/>
    </row>
    <row r="272" spans="1:146" ht="14.25" x14ac:dyDescent="0.2">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33"/>
      <c r="CN272" s="233"/>
      <c r="CO272" s="233"/>
      <c r="CP272" s="233"/>
      <c r="CQ272" s="233"/>
      <c r="CR272" s="233"/>
      <c r="CS272" s="233"/>
      <c r="CT272" s="233"/>
      <c r="CU272" s="233"/>
      <c r="CV272" s="233"/>
      <c r="CW272" s="233"/>
      <c r="CX272" s="233"/>
      <c r="CY272" s="233"/>
      <c r="CZ272" s="233"/>
      <c r="DA272" s="233"/>
      <c r="DB272" s="233"/>
      <c r="DC272" s="233"/>
      <c r="DD272" s="233"/>
      <c r="DE272" s="233"/>
      <c r="DF272" s="233"/>
      <c r="DG272" s="233"/>
      <c r="DH272" s="233"/>
      <c r="DI272" s="233"/>
      <c r="DJ272" s="233"/>
      <c r="DK272" s="233"/>
      <c r="DL272" s="233"/>
      <c r="DM272" s="233"/>
      <c r="DN272" s="233"/>
      <c r="DO272" s="233"/>
      <c r="DP272" s="233"/>
      <c r="DQ272" s="233"/>
      <c r="DR272" s="233"/>
      <c r="DS272" s="233"/>
      <c r="DT272" s="233"/>
      <c r="DU272" s="233"/>
      <c r="DV272" s="233"/>
      <c r="DW272" s="233"/>
      <c r="DX272" s="233"/>
      <c r="DY272" s="233"/>
      <c r="DZ272" s="233"/>
      <c r="EA272" s="233"/>
      <c r="EB272" s="233"/>
      <c r="EC272" s="233"/>
      <c r="ED272" s="233"/>
      <c r="EE272" s="233"/>
      <c r="EF272" s="233"/>
      <c r="EG272" s="233"/>
      <c r="EH272" s="233"/>
      <c r="EI272" s="233"/>
      <c r="EJ272" s="233"/>
      <c r="EK272" s="233"/>
      <c r="EL272" s="233"/>
      <c r="EM272" s="233"/>
      <c r="EN272" s="233"/>
      <c r="EO272" s="233"/>
      <c r="EP272" s="233"/>
    </row>
    <row r="273" spans="1:146" ht="14.25" x14ac:dyDescent="0.2">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c r="BH273" s="233"/>
      <c r="BI273" s="233"/>
      <c r="BJ273" s="233"/>
      <c r="BK273" s="233"/>
      <c r="BL273" s="233"/>
      <c r="BM273" s="233"/>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33"/>
      <c r="CI273" s="233"/>
      <c r="CJ273" s="233"/>
      <c r="CK273" s="233"/>
      <c r="CL273" s="233"/>
      <c r="CM273" s="233"/>
      <c r="CN273" s="233"/>
      <c r="CO273" s="233"/>
      <c r="CP273" s="233"/>
      <c r="CQ273" s="233"/>
      <c r="CR273" s="233"/>
      <c r="CS273" s="233"/>
      <c r="CT273" s="233"/>
      <c r="CU273" s="233"/>
      <c r="CV273" s="233"/>
      <c r="CW273" s="233"/>
      <c r="CX273" s="233"/>
      <c r="CY273" s="233"/>
      <c r="CZ273" s="233"/>
      <c r="DA273" s="233"/>
      <c r="DB273" s="233"/>
      <c r="DC273" s="233"/>
      <c r="DD273" s="233"/>
      <c r="DE273" s="233"/>
      <c r="DF273" s="233"/>
      <c r="DG273" s="233"/>
      <c r="DH273" s="233"/>
      <c r="DI273" s="233"/>
      <c r="DJ273" s="233"/>
      <c r="DK273" s="233"/>
      <c r="DL273" s="233"/>
      <c r="DM273" s="233"/>
      <c r="DN273" s="233"/>
      <c r="DO273" s="233"/>
      <c r="DP273" s="233"/>
      <c r="DQ273" s="233"/>
      <c r="DR273" s="233"/>
      <c r="DS273" s="233"/>
      <c r="DT273" s="233"/>
      <c r="DU273" s="233"/>
      <c r="DV273" s="233"/>
      <c r="DW273" s="233"/>
      <c r="DX273" s="233"/>
      <c r="DY273" s="233"/>
      <c r="DZ273" s="233"/>
      <c r="EA273" s="233"/>
      <c r="EB273" s="233"/>
      <c r="EC273" s="233"/>
      <c r="ED273" s="233"/>
      <c r="EE273" s="233"/>
      <c r="EF273" s="233"/>
      <c r="EG273" s="233"/>
      <c r="EH273" s="233"/>
      <c r="EI273" s="233"/>
      <c r="EJ273" s="233"/>
      <c r="EK273" s="233"/>
      <c r="EL273" s="233"/>
      <c r="EM273" s="233"/>
      <c r="EN273" s="233"/>
      <c r="EO273" s="233"/>
      <c r="EP273" s="233"/>
    </row>
    <row r="274" spans="1:146" ht="14.25" x14ac:dyDescent="0.2">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33"/>
      <c r="CI274" s="233"/>
      <c r="CJ274" s="233"/>
      <c r="CK274" s="233"/>
      <c r="CL274" s="233"/>
      <c r="CM274" s="233"/>
      <c r="CN274" s="233"/>
      <c r="CO274" s="233"/>
      <c r="CP274" s="233"/>
      <c r="CQ274" s="233"/>
      <c r="CR274" s="233"/>
      <c r="CS274" s="233"/>
      <c r="CT274" s="233"/>
      <c r="CU274" s="233"/>
      <c r="CV274" s="233"/>
      <c r="CW274" s="233"/>
      <c r="CX274" s="233"/>
      <c r="CY274" s="233"/>
      <c r="CZ274" s="233"/>
      <c r="DA274" s="233"/>
      <c r="DB274" s="233"/>
      <c r="DC274" s="233"/>
      <c r="DD274" s="233"/>
      <c r="DE274" s="233"/>
      <c r="DF274" s="233"/>
      <c r="DG274" s="233"/>
      <c r="DH274" s="233"/>
      <c r="DI274" s="233"/>
      <c r="DJ274" s="233"/>
      <c r="DK274" s="233"/>
      <c r="DL274" s="233"/>
      <c r="DM274" s="233"/>
      <c r="DN274" s="233"/>
      <c r="DO274" s="233"/>
      <c r="DP274" s="233"/>
      <c r="DQ274" s="233"/>
      <c r="DR274" s="233"/>
      <c r="DS274" s="233"/>
      <c r="DT274" s="233"/>
      <c r="DU274" s="233"/>
      <c r="DV274" s="233"/>
      <c r="DW274" s="233"/>
      <c r="DX274" s="233"/>
      <c r="DY274" s="233"/>
      <c r="DZ274" s="233"/>
      <c r="EA274" s="233"/>
      <c r="EB274" s="233"/>
      <c r="EC274" s="233"/>
      <c r="ED274" s="233"/>
      <c r="EE274" s="233"/>
      <c r="EF274" s="233"/>
      <c r="EG274" s="233"/>
      <c r="EH274" s="233"/>
      <c r="EI274" s="233"/>
      <c r="EJ274" s="233"/>
      <c r="EK274" s="233"/>
      <c r="EL274" s="233"/>
      <c r="EM274" s="233"/>
      <c r="EN274" s="233"/>
      <c r="EO274" s="233"/>
      <c r="EP274" s="233"/>
    </row>
    <row r="275" spans="1:146" ht="14.25" x14ac:dyDescent="0.2">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33"/>
      <c r="CI275" s="233"/>
      <c r="CJ275" s="233"/>
      <c r="CK275" s="233"/>
      <c r="CL275" s="233"/>
      <c r="CM275" s="233"/>
      <c r="CN275" s="233"/>
      <c r="CO275" s="233"/>
      <c r="CP275" s="233"/>
      <c r="CQ275" s="233"/>
      <c r="CR275" s="233"/>
      <c r="CS275" s="233"/>
      <c r="CT275" s="233"/>
      <c r="CU275" s="233"/>
      <c r="CV275" s="233"/>
      <c r="CW275" s="233"/>
      <c r="CX275" s="233"/>
      <c r="CY275" s="233"/>
      <c r="CZ275" s="233"/>
      <c r="DA275" s="233"/>
      <c r="DB275" s="233"/>
      <c r="DC275" s="233"/>
      <c r="DD275" s="233"/>
      <c r="DE275" s="233"/>
      <c r="DF275" s="233"/>
      <c r="DG275" s="233"/>
      <c r="DH275" s="233"/>
      <c r="DI275" s="233"/>
      <c r="DJ275" s="233"/>
      <c r="DK275" s="233"/>
      <c r="DL275" s="233"/>
      <c r="DM275" s="233"/>
      <c r="DN275" s="233"/>
      <c r="DO275" s="233"/>
      <c r="DP275" s="233"/>
      <c r="DQ275" s="233"/>
      <c r="DR275" s="233"/>
      <c r="DS275" s="233"/>
      <c r="DT275" s="233"/>
      <c r="DU275" s="233"/>
      <c r="DV275" s="233"/>
      <c r="DW275" s="233"/>
      <c r="DX275" s="233"/>
      <c r="DY275" s="233"/>
      <c r="DZ275" s="233"/>
      <c r="EA275" s="233"/>
      <c r="EB275" s="233"/>
      <c r="EC275" s="233"/>
      <c r="ED275" s="233"/>
      <c r="EE275" s="233"/>
      <c r="EF275" s="233"/>
      <c r="EG275" s="233"/>
      <c r="EH275" s="233"/>
      <c r="EI275" s="233"/>
      <c r="EJ275" s="233"/>
      <c r="EK275" s="233"/>
      <c r="EL275" s="233"/>
      <c r="EM275" s="233"/>
      <c r="EN275" s="233"/>
      <c r="EO275" s="233"/>
      <c r="EP275" s="233"/>
    </row>
    <row r="276" spans="1:146" ht="14.25" x14ac:dyDescent="0.2">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33"/>
      <c r="CI276" s="233"/>
      <c r="CJ276" s="233"/>
      <c r="CK276" s="233"/>
      <c r="CL276" s="233"/>
      <c r="CM276" s="233"/>
      <c r="CN276" s="233"/>
      <c r="CO276" s="233"/>
      <c r="CP276" s="233"/>
      <c r="CQ276" s="233"/>
      <c r="CR276" s="233"/>
      <c r="CS276" s="233"/>
      <c r="CT276" s="233"/>
      <c r="CU276" s="233"/>
      <c r="CV276" s="233"/>
      <c r="CW276" s="233"/>
      <c r="CX276" s="233"/>
      <c r="CY276" s="233"/>
      <c r="CZ276" s="233"/>
      <c r="DA276" s="233"/>
      <c r="DB276" s="233"/>
      <c r="DC276" s="233"/>
      <c r="DD276" s="233"/>
      <c r="DE276" s="233"/>
      <c r="DF276" s="233"/>
      <c r="DG276" s="233"/>
      <c r="DH276" s="233"/>
      <c r="DI276" s="233"/>
      <c r="DJ276" s="233"/>
      <c r="DK276" s="233"/>
      <c r="DL276" s="233"/>
      <c r="DM276" s="233"/>
      <c r="DN276" s="233"/>
      <c r="DO276" s="233"/>
      <c r="DP276" s="233"/>
      <c r="DQ276" s="233"/>
      <c r="DR276" s="233"/>
      <c r="DS276" s="233"/>
      <c r="DT276" s="233"/>
      <c r="DU276" s="233"/>
      <c r="DV276" s="233"/>
      <c r="DW276" s="233"/>
      <c r="DX276" s="233"/>
      <c r="DY276" s="233"/>
      <c r="DZ276" s="233"/>
      <c r="EA276" s="233"/>
      <c r="EB276" s="233"/>
      <c r="EC276" s="233"/>
      <c r="ED276" s="233"/>
      <c r="EE276" s="233"/>
      <c r="EF276" s="233"/>
      <c r="EG276" s="233"/>
      <c r="EH276" s="233"/>
      <c r="EI276" s="233"/>
      <c r="EJ276" s="233"/>
      <c r="EK276" s="233"/>
      <c r="EL276" s="233"/>
      <c r="EM276" s="233"/>
      <c r="EN276" s="233"/>
      <c r="EO276" s="233"/>
      <c r="EP276" s="233"/>
    </row>
    <row r="277" spans="1:146" ht="14.25" x14ac:dyDescent="0.2">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33"/>
      <c r="CI277" s="233"/>
      <c r="CJ277" s="233"/>
      <c r="CK277" s="233"/>
      <c r="CL277" s="233"/>
      <c r="CM277" s="233"/>
      <c r="CN277" s="233"/>
      <c r="CO277" s="233"/>
      <c r="CP277" s="233"/>
      <c r="CQ277" s="233"/>
      <c r="CR277" s="233"/>
      <c r="CS277" s="233"/>
      <c r="CT277" s="233"/>
      <c r="CU277" s="233"/>
      <c r="CV277" s="233"/>
      <c r="CW277" s="233"/>
      <c r="CX277" s="233"/>
      <c r="CY277" s="233"/>
      <c r="CZ277" s="233"/>
      <c r="DA277" s="233"/>
      <c r="DB277" s="233"/>
      <c r="DC277" s="233"/>
      <c r="DD277" s="233"/>
      <c r="DE277" s="233"/>
      <c r="DF277" s="233"/>
      <c r="DG277" s="233"/>
      <c r="DH277" s="233"/>
      <c r="DI277" s="233"/>
      <c r="DJ277" s="233"/>
      <c r="DK277" s="233"/>
      <c r="DL277" s="233"/>
      <c r="DM277" s="233"/>
      <c r="DN277" s="233"/>
      <c r="DO277" s="233"/>
      <c r="DP277" s="233"/>
      <c r="DQ277" s="233"/>
      <c r="DR277" s="233"/>
      <c r="DS277" s="233"/>
      <c r="DT277" s="233"/>
      <c r="DU277" s="233"/>
      <c r="DV277" s="233"/>
      <c r="DW277" s="233"/>
      <c r="DX277" s="233"/>
      <c r="DY277" s="233"/>
      <c r="DZ277" s="233"/>
      <c r="EA277" s="233"/>
      <c r="EB277" s="233"/>
      <c r="EC277" s="233"/>
      <c r="ED277" s="233"/>
      <c r="EE277" s="233"/>
      <c r="EF277" s="233"/>
      <c r="EG277" s="233"/>
      <c r="EH277" s="233"/>
      <c r="EI277" s="233"/>
      <c r="EJ277" s="233"/>
      <c r="EK277" s="233"/>
      <c r="EL277" s="233"/>
      <c r="EM277" s="233"/>
      <c r="EN277" s="233"/>
      <c r="EO277" s="233"/>
      <c r="EP277" s="233"/>
    </row>
    <row r="278" spans="1:146" ht="14.25" x14ac:dyDescent="0.2">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c r="BH278" s="233"/>
      <c r="BI278" s="233"/>
      <c r="BJ278" s="233"/>
      <c r="BK278" s="233"/>
      <c r="BL278" s="233"/>
      <c r="BM278" s="233"/>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33"/>
      <c r="CI278" s="233"/>
      <c r="CJ278" s="233"/>
      <c r="CK278" s="233"/>
      <c r="CL278" s="233"/>
      <c r="CM278" s="233"/>
      <c r="CN278" s="233"/>
      <c r="CO278" s="233"/>
      <c r="CP278" s="233"/>
      <c r="CQ278" s="233"/>
      <c r="CR278" s="233"/>
      <c r="CS278" s="233"/>
      <c r="CT278" s="233"/>
      <c r="CU278" s="233"/>
      <c r="CV278" s="233"/>
      <c r="CW278" s="233"/>
      <c r="CX278" s="233"/>
      <c r="CY278" s="233"/>
      <c r="CZ278" s="233"/>
      <c r="DA278" s="233"/>
      <c r="DB278" s="233"/>
      <c r="DC278" s="233"/>
      <c r="DD278" s="233"/>
      <c r="DE278" s="233"/>
      <c r="DF278" s="233"/>
      <c r="DG278" s="233"/>
      <c r="DH278" s="233"/>
      <c r="DI278" s="233"/>
      <c r="DJ278" s="233"/>
      <c r="DK278" s="233"/>
      <c r="DL278" s="233"/>
      <c r="DM278" s="233"/>
      <c r="DN278" s="233"/>
      <c r="DO278" s="233"/>
      <c r="DP278" s="233"/>
      <c r="DQ278" s="233"/>
      <c r="DR278" s="233"/>
      <c r="DS278" s="233"/>
      <c r="DT278" s="233"/>
      <c r="DU278" s="233"/>
      <c r="DV278" s="233"/>
      <c r="DW278" s="233"/>
      <c r="DX278" s="233"/>
      <c r="DY278" s="233"/>
      <c r="DZ278" s="233"/>
      <c r="EA278" s="233"/>
      <c r="EB278" s="233"/>
      <c r="EC278" s="233"/>
      <c r="ED278" s="233"/>
      <c r="EE278" s="233"/>
      <c r="EF278" s="233"/>
      <c r="EG278" s="233"/>
      <c r="EH278" s="233"/>
      <c r="EI278" s="233"/>
      <c r="EJ278" s="233"/>
      <c r="EK278" s="233"/>
      <c r="EL278" s="233"/>
      <c r="EM278" s="233"/>
      <c r="EN278" s="233"/>
      <c r="EO278" s="233"/>
      <c r="EP278" s="233"/>
    </row>
    <row r="279" spans="1:146" ht="14.25" x14ac:dyDescent="0.2">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c r="BH279" s="233"/>
      <c r="BI279" s="233"/>
      <c r="BJ279" s="233"/>
      <c r="BK279" s="233"/>
      <c r="BL279" s="233"/>
      <c r="BM279" s="233"/>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33"/>
      <c r="CI279" s="233"/>
      <c r="CJ279" s="233"/>
      <c r="CK279" s="233"/>
      <c r="CL279" s="233"/>
      <c r="CM279" s="233"/>
      <c r="CN279" s="233"/>
      <c r="CO279" s="233"/>
      <c r="CP279" s="233"/>
      <c r="CQ279" s="233"/>
      <c r="CR279" s="233"/>
      <c r="CS279" s="233"/>
      <c r="CT279" s="233"/>
      <c r="CU279" s="233"/>
      <c r="CV279" s="233"/>
      <c r="CW279" s="233"/>
      <c r="CX279" s="233"/>
      <c r="CY279" s="233"/>
      <c r="CZ279" s="233"/>
      <c r="DA279" s="233"/>
      <c r="DB279" s="233"/>
      <c r="DC279" s="233"/>
      <c r="DD279" s="233"/>
      <c r="DE279" s="233"/>
      <c r="DF279" s="233"/>
      <c r="DG279" s="233"/>
      <c r="DH279" s="233"/>
      <c r="DI279" s="233"/>
      <c r="DJ279" s="233"/>
      <c r="DK279" s="233"/>
      <c r="DL279" s="233"/>
      <c r="DM279" s="233"/>
      <c r="DN279" s="233"/>
      <c r="DO279" s="233"/>
      <c r="DP279" s="233"/>
      <c r="DQ279" s="233"/>
      <c r="DR279" s="233"/>
      <c r="DS279" s="233"/>
      <c r="DT279" s="233"/>
      <c r="DU279" s="233"/>
      <c r="DV279" s="233"/>
      <c r="DW279" s="233"/>
      <c r="DX279" s="233"/>
      <c r="DY279" s="233"/>
      <c r="DZ279" s="233"/>
      <c r="EA279" s="233"/>
      <c r="EB279" s="233"/>
      <c r="EC279" s="233"/>
      <c r="ED279" s="233"/>
      <c r="EE279" s="233"/>
      <c r="EF279" s="233"/>
      <c r="EG279" s="233"/>
      <c r="EH279" s="233"/>
      <c r="EI279" s="233"/>
      <c r="EJ279" s="233"/>
      <c r="EK279" s="233"/>
      <c r="EL279" s="233"/>
      <c r="EM279" s="233"/>
      <c r="EN279" s="233"/>
      <c r="EO279" s="233"/>
      <c r="EP279" s="233"/>
    </row>
    <row r="280" spans="1:146" ht="14.25" x14ac:dyDescent="0.2">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33"/>
      <c r="BK280" s="233"/>
      <c r="BL280" s="233"/>
      <c r="BM280" s="233"/>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33"/>
      <c r="CI280" s="233"/>
      <c r="CJ280" s="233"/>
      <c r="CK280" s="233"/>
      <c r="CL280" s="233"/>
      <c r="CM280" s="233"/>
      <c r="CN280" s="233"/>
      <c r="CO280" s="233"/>
      <c r="CP280" s="233"/>
      <c r="CQ280" s="233"/>
      <c r="CR280" s="233"/>
      <c r="CS280" s="233"/>
      <c r="CT280" s="233"/>
      <c r="CU280" s="233"/>
      <c r="CV280" s="233"/>
      <c r="CW280" s="233"/>
      <c r="CX280" s="233"/>
      <c r="CY280" s="233"/>
      <c r="CZ280" s="233"/>
      <c r="DA280" s="233"/>
      <c r="DB280" s="233"/>
      <c r="DC280" s="233"/>
      <c r="DD280" s="233"/>
      <c r="DE280" s="233"/>
      <c r="DF280" s="233"/>
      <c r="DG280" s="233"/>
      <c r="DH280" s="233"/>
      <c r="DI280" s="233"/>
      <c r="DJ280" s="233"/>
      <c r="DK280" s="233"/>
      <c r="DL280" s="233"/>
      <c r="DM280" s="233"/>
      <c r="DN280" s="233"/>
      <c r="DO280" s="233"/>
      <c r="DP280" s="233"/>
      <c r="DQ280" s="233"/>
      <c r="DR280" s="233"/>
      <c r="DS280" s="233"/>
      <c r="DT280" s="233"/>
      <c r="DU280" s="233"/>
      <c r="DV280" s="233"/>
      <c r="DW280" s="233"/>
      <c r="DX280" s="233"/>
      <c r="DY280" s="233"/>
      <c r="DZ280" s="233"/>
      <c r="EA280" s="233"/>
      <c r="EB280" s="233"/>
      <c r="EC280" s="233"/>
      <c r="ED280" s="233"/>
      <c r="EE280" s="233"/>
      <c r="EF280" s="233"/>
      <c r="EG280" s="233"/>
      <c r="EH280" s="233"/>
      <c r="EI280" s="233"/>
      <c r="EJ280" s="233"/>
      <c r="EK280" s="233"/>
      <c r="EL280" s="233"/>
      <c r="EM280" s="233"/>
      <c r="EN280" s="233"/>
      <c r="EO280" s="233"/>
      <c r="EP280" s="233"/>
    </row>
    <row r="281" spans="1:146" ht="14.25" x14ac:dyDescent="0.2">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33"/>
      <c r="BK281" s="233"/>
      <c r="BL281" s="233"/>
      <c r="BM281" s="233"/>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33"/>
      <c r="CI281" s="233"/>
      <c r="CJ281" s="233"/>
      <c r="CK281" s="233"/>
      <c r="CL281" s="233"/>
      <c r="CM281" s="233"/>
      <c r="CN281" s="233"/>
      <c r="CO281" s="233"/>
      <c r="CP281" s="233"/>
      <c r="CQ281" s="233"/>
      <c r="CR281" s="233"/>
      <c r="CS281" s="233"/>
      <c r="CT281" s="233"/>
      <c r="CU281" s="233"/>
      <c r="CV281" s="233"/>
      <c r="CW281" s="233"/>
      <c r="CX281" s="233"/>
      <c r="CY281" s="233"/>
      <c r="CZ281" s="233"/>
      <c r="DA281" s="233"/>
      <c r="DB281" s="233"/>
      <c r="DC281" s="233"/>
      <c r="DD281" s="233"/>
      <c r="DE281" s="233"/>
      <c r="DF281" s="233"/>
      <c r="DG281" s="233"/>
      <c r="DH281" s="233"/>
      <c r="DI281" s="233"/>
      <c r="DJ281" s="233"/>
      <c r="DK281" s="233"/>
      <c r="DL281" s="233"/>
      <c r="DM281" s="233"/>
      <c r="DN281" s="233"/>
      <c r="DO281" s="233"/>
      <c r="DP281" s="233"/>
      <c r="DQ281" s="233"/>
      <c r="DR281" s="233"/>
      <c r="DS281" s="233"/>
      <c r="DT281" s="233"/>
      <c r="DU281" s="233"/>
      <c r="DV281" s="233"/>
      <c r="DW281" s="233"/>
      <c r="DX281" s="233"/>
      <c r="DY281" s="233"/>
      <c r="DZ281" s="233"/>
      <c r="EA281" s="233"/>
      <c r="EB281" s="233"/>
      <c r="EC281" s="233"/>
      <c r="ED281" s="233"/>
      <c r="EE281" s="233"/>
      <c r="EF281" s="233"/>
      <c r="EG281" s="233"/>
      <c r="EH281" s="233"/>
      <c r="EI281" s="233"/>
      <c r="EJ281" s="233"/>
      <c r="EK281" s="233"/>
      <c r="EL281" s="233"/>
      <c r="EM281" s="233"/>
      <c r="EN281" s="233"/>
      <c r="EO281" s="233"/>
      <c r="EP281" s="233"/>
    </row>
    <row r="282" spans="1:146" ht="14.25" x14ac:dyDescent="0.2">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row>
    <row r="283" spans="1:146" ht="14.25" x14ac:dyDescent="0.2">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33"/>
      <c r="CI283" s="233"/>
      <c r="CJ283" s="233"/>
      <c r="CK283" s="233"/>
      <c r="CL283" s="233"/>
      <c r="CM283" s="233"/>
      <c r="CN283" s="233"/>
      <c r="CO283" s="233"/>
      <c r="CP283" s="233"/>
      <c r="CQ283" s="233"/>
      <c r="CR283" s="233"/>
      <c r="CS283" s="233"/>
      <c r="CT283" s="233"/>
      <c r="CU283" s="233"/>
      <c r="CV283" s="233"/>
      <c r="CW283" s="233"/>
      <c r="CX283" s="233"/>
      <c r="CY283" s="233"/>
      <c r="CZ283" s="233"/>
      <c r="DA283" s="233"/>
      <c r="DB283" s="233"/>
      <c r="DC283" s="233"/>
      <c r="DD283" s="233"/>
      <c r="DE283" s="233"/>
      <c r="DF283" s="233"/>
      <c r="DG283" s="233"/>
      <c r="DH283" s="233"/>
      <c r="DI283" s="233"/>
      <c r="DJ283" s="233"/>
      <c r="DK283" s="233"/>
      <c r="DL283" s="233"/>
      <c r="DM283" s="233"/>
      <c r="DN283" s="233"/>
      <c r="DO283" s="233"/>
      <c r="DP283" s="233"/>
      <c r="DQ283" s="233"/>
      <c r="DR283" s="233"/>
      <c r="DS283" s="233"/>
      <c r="DT283" s="233"/>
      <c r="DU283" s="233"/>
      <c r="DV283" s="233"/>
      <c r="DW283" s="233"/>
      <c r="DX283" s="233"/>
      <c r="DY283" s="233"/>
      <c r="DZ283" s="233"/>
      <c r="EA283" s="233"/>
      <c r="EB283" s="233"/>
      <c r="EC283" s="233"/>
      <c r="ED283" s="233"/>
      <c r="EE283" s="233"/>
      <c r="EF283" s="233"/>
      <c r="EG283" s="233"/>
      <c r="EH283" s="233"/>
      <c r="EI283" s="233"/>
      <c r="EJ283" s="233"/>
      <c r="EK283" s="233"/>
      <c r="EL283" s="233"/>
      <c r="EM283" s="233"/>
      <c r="EN283" s="233"/>
      <c r="EO283" s="233"/>
      <c r="EP283" s="233"/>
    </row>
    <row r="284" spans="1:146" ht="14.25" x14ac:dyDescent="0.2">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33"/>
      <c r="CI284" s="233"/>
      <c r="CJ284" s="233"/>
      <c r="CK284" s="233"/>
      <c r="CL284" s="233"/>
      <c r="CM284" s="233"/>
      <c r="CN284" s="233"/>
      <c r="CO284" s="233"/>
      <c r="CP284" s="233"/>
      <c r="CQ284" s="233"/>
      <c r="CR284" s="233"/>
      <c r="CS284" s="233"/>
      <c r="CT284" s="233"/>
      <c r="CU284" s="233"/>
      <c r="CV284" s="233"/>
      <c r="CW284" s="233"/>
      <c r="CX284" s="233"/>
      <c r="CY284" s="233"/>
      <c r="CZ284" s="233"/>
      <c r="DA284" s="233"/>
      <c r="DB284" s="233"/>
      <c r="DC284" s="233"/>
      <c r="DD284" s="233"/>
      <c r="DE284" s="233"/>
      <c r="DF284" s="233"/>
      <c r="DG284" s="233"/>
      <c r="DH284" s="233"/>
      <c r="DI284" s="233"/>
      <c r="DJ284" s="233"/>
      <c r="DK284" s="233"/>
      <c r="DL284" s="233"/>
      <c r="DM284" s="233"/>
      <c r="DN284" s="233"/>
      <c r="DO284" s="233"/>
      <c r="DP284" s="233"/>
      <c r="DQ284" s="233"/>
      <c r="DR284" s="233"/>
      <c r="DS284" s="233"/>
      <c r="DT284" s="233"/>
      <c r="DU284" s="233"/>
      <c r="DV284" s="233"/>
      <c r="DW284" s="233"/>
      <c r="DX284" s="233"/>
      <c r="DY284" s="233"/>
      <c r="DZ284" s="233"/>
      <c r="EA284" s="233"/>
      <c r="EB284" s="233"/>
      <c r="EC284" s="233"/>
      <c r="ED284" s="233"/>
      <c r="EE284" s="233"/>
      <c r="EF284" s="233"/>
      <c r="EG284" s="233"/>
      <c r="EH284" s="233"/>
      <c r="EI284" s="233"/>
      <c r="EJ284" s="233"/>
      <c r="EK284" s="233"/>
      <c r="EL284" s="233"/>
      <c r="EM284" s="233"/>
      <c r="EN284" s="233"/>
      <c r="EO284" s="233"/>
      <c r="EP284" s="233"/>
    </row>
    <row r="285" spans="1:146" ht="14.25" x14ac:dyDescent="0.2">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33"/>
      <c r="CI285" s="233"/>
      <c r="CJ285" s="233"/>
      <c r="CK285" s="233"/>
      <c r="CL285" s="233"/>
      <c r="CM285" s="233"/>
      <c r="CN285" s="233"/>
      <c r="CO285" s="233"/>
      <c r="CP285" s="233"/>
      <c r="CQ285" s="233"/>
      <c r="CR285" s="233"/>
      <c r="CS285" s="233"/>
      <c r="CT285" s="233"/>
      <c r="CU285" s="233"/>
      <c r="CV285" s="233"/>
      <c r="CW285" s="233"/>
      <c r="CX285" s="233"/>
      <c r="CY285" s="233"/>
      <c r="CZ285" s="233"/>
      <c r="DA285" s="233"/>
      <c r="DB285" s="233"/>
      <c r="DC285" s="233"/>
      <c r="DD285" s="233"/>
      <c r="DE285" s="233"/>
      <c r="DF285" s="233"/>
      <c r="DG285" s="233"/>
      <c r="DH285" s="233"/>
      <c r="DI285" s="233"/>
      <c r="DJ285" s="233"/>
      <c r="DK285" s="233"/>
      <c r="DL285" s="233"/>
      <c r="DM285" s="233"/>
      <c r="DN285" s="233"/>
      <c r="DO285" s="233"/>
      <c r="DP285" s="233"/>
      <c r="DQ285" s="233"/>
      <c r="DR285" s="233"/>
      <c r="DS285" s="233"/>
      <c r="DT285" s="233"/>
      <c r="DU285" s="233"/>
      <c r="DV285" s="233"/>
      <c r="DW285" s="233"/>
      <c r="DX285" s="233"/>
      <c r="DY285" s="233"/>
      <c r="DZ285" s="233"/>
      <c r="EA285" s="233"/>
      <c r="EB285" s="233"/>
      <c r="EC285" s="233"/>
      <c r="ED285" s="233"/>
      <c r="EE285" s="233"/>
      <c r="EF285" s="233"/>
      <c r="EG285" s="233"/>
      <c r="EH285" s="233"/>
      <c r="EI285" s="233"/>
      <c r="EJ285" s="233"/>
      <c r="EK285" s="233"/>
      <c r="EL285" s="233"/>
      <c r="EM285" s="233"/>
      <c r="EN285" s="233"/>
      <c r="EO285" s="233"/>
      <c r="EP285" s="233"/>
    </row>
    <row r="286" spans="1:146" ht="14.25" x14ac:dyDescent="0.2">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33"/>
      <c r="CI286" s="233"/>
      <c r="CJ286" s="233"/>
      <c r="CK286" s="233"/>
      <c r="CL286" s="233"/>
      <c r="CM286" s="233"/>
      <c r="CN286" s="233"/>
      <c r="CO286" s="233"/>
      <c r="CP286" s="233"/>
      <c r="CQ286" s="233"/>
      <c r="CR286" s="233"/>
      <c r="CS286" s="233"/>
      <c r="CT286" s="233"/>
      <c r="CU286" s="233"/>
      <c r="CV286" s="233"/>
      <c r="CW286" s="233"/>
      <c r="CX286" s="233"/>
      <c r="CY286" s="233"/>
      <c r="CZ286" s="233"/>
      <c r="DA286" s="233"/>
      <c r="DB286" s="233"/>
      <c r="DC286" s="233"/>
      <c r="DD286" s="233"/>
      <c r="DE286" s="233"/>
      <c r="DF286" s="233"/>
      <c r="DG286" s="233"/>
      <c r="DH286" s="233"/>
      <c r="DI286" s="233"/>
      <c r="DJ286" s="233"/>
      <c r="DK286" s="233"/>
      <c r="DL286" s="233"/>
      <c r="DM286" s="233"/>
      <c r="DN286" s="233"/>
      <c r="DO286" s="233"/>
      <c r="DP286" s="233"/>
      <c r="DQ286" s="233"/>
      <c r="DR286" s="233"/>
      <c r="DS286" s="233"/>
      <c r="DT286" s="233"/>
      <c r="DU286" s="233"/>
      <c r="DV286" s="233"/>
      <c r="DW286" s="233"/>
      <c r="DX286" s="233"/>
      <c r="DY286" s="233"/>
      <c r="DZ286" s="233"/>
      <c r="EA286" s="233"/>
      <c r="EB286" s="233"/>
      <c r="EC286" s="233"/>
      <c r="ED286" s="233"/>
      <c r="EE286" s="233"/>
      <c r="EF286" s="233"/>
      <c r="EG286" s="233"/>
      <c r="EH286" s="233"/>
      <c r="EI286" s="233"/>
      <c r="EJ286" s="233"/>
      <c r="EK286" s="233"/>
      <c r="EL286" s="233"/>
      <c r="EM286" s="233"/>
      <c r="EN286" s="233"/>
      <c r="EO286" s="233"/>
      <c r="EP286" s="233"/>
    </row>
    <row r="287" spans="1:146" ht="14.25" x14ac:dyDescent="0.2">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33"/>
      <c r="CN287" s="233"/>
      <c r="CO287" s="233"/>
      <c r="CP287" s="233"/>
      <c r="CQ287" s="233"/>
      <c r="CR287" s="233"/>
      <c r="CS287" s="233"/>
      <c r="CT287" s="233"/>
      <c r="CU287" s="233"/>
      <c r="CV287" s="233"/>
      <c r="CW287" s="233"/>
      <c r="CX287" s="233"/>
      <c r="CY287" s="233"/>
      <c r="CZ287" s="233"/>
      <c r="DA287" s="233"/>
      <c r="DB287" s="233"/>
      <c r="DC287" s="233"/>
      <c r="DD287" s="233"/>
      <c r="DE287" s="233"/>
      <c r="DF287" s="233"/>
      <c r="DG287" s="233"/>
      <c r="DH287" s="233"/>
      <c r="DI287" s="233"/>
      <c r="DJ287" s="233"/>
      <c r="DK287" s="233"/>
      <c r="DL287" s="233"/>
      <c r="DM287" s="233"/>
      <c r="DN287" s="233"/>
      <c r="DO287" s="233"/>
      <c r="DP287" s="233"/>
      <c r="DQ287" s="233"/>
      <c r="DR287" s="233"/>
      <c r="DS287" s="233"/>
      <c r="DT287" s="233"/>
      <c r="DU287" s="233"/>
      <c r="DV287" s="233"/>
      <c r="DW287" s="233"/>
      <c r="DX287" s="233"/>
      <c r="DY287" s="233"/>
      <c r="DZ287" s="233"/>
      <c r="EA287" s="233"/>
      <c r="EB287" s="233"/>
      <c r="EC287" s="233"/>
      <c r="ED287" s="233"/>
      <c r="EE287" s="233"/>
      <c r="EF287" s="233"/>
      <c r="EG287" s="233"/>
      <c r="EH287" s="233"/>
      <c r="EI287" s="233"/>
      <c r="EJ287" s="233"/>
      <c r="EK287" s="233"/>
      <c r="EL287" s="233"/>
      <c r="EM287" s="233"/>
      <c r="EN287" s="233"/>
      <c r="EO287" s="233"/>
      <c r="EP287" s="233"/>
    </row>
    <row r="288" spans="1:146" ht="14.25" x14ac:dyDescent="0.2">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33"/>
      <c r="CI288" s="233"/>
      <c r="CJ288" s="233"/>
      <c r="CK288" s="233"/>
      <c r="CL288" s="233"/>
      <c r="CM288" s="233"/>
      <c r="CN288" s="233"/>
      <c r="CO288" s="233"/>
      <c r="CP288" s="233"/>
      <c r="CQ288" s="233"/>
      <c r="CR288" s="233"/>
      <c r="CS288" s="233"/>
      <c r="CT288" s="233"/>
      <c r="CU288" s="233"/>
      <c r="CV288" s="233"/>
      <c r="CW288" s="233"/>
      <c r="CX288" s="233"/>
      <c r="CY288" s="233"/>
      <c r="CZ288" s="233"/>
      <c r="DA288" s="233"/>
      <c r="DB288" s="233"/>
      <c r="DC288" s="233"/>
      <c r="DD288" s="233"/>
      <c r="DE288" s="233"/>
      <c r="DF288" s="233"/>
      <c r="DG288" s="233"/>
      <c r="DH288" s="233"/>
      <c r="DI288" s="233"/>
      <c r="DJ288" s="233"/>
      <c r="DK288" s="233"/>
      <c r="DL288" s="233"/>
      <c r="DM288" s="233"/>
      <c r="DN288" s="233"/>
      <c r="DO288" s="233"/>
      <c r="DP288" s="233"/>
      <c r="DQ288" s="233"/>
      <c r="DR288" s="233"/>
      <c r="DS288" s="233"/>
      <c r="DT288" s="233"/>
      <c r="DU288" s="233"/>
      <c r="DV288" s="233"/>
      <c r="DW288" s="233"/>
      <c r="DX288" s="233"/>
      <c r="DY288" s="233"/>
      <c r="DZ288" s="233"/>
      <c r="EA288" s="233"/>
      <c r="EB288" s="233"/>
      <c r="EC288" s="233"/>
      <c r="ED288" s="233"/>
      <c r="EE288" s="233"/>
      <c r="EF288" s="233"/>
      <c r="EG288" s="233"/>
      <c r="EH288" s="233"/>
      <c r="EI288" s="233"/>
      <c r="EJ288" s="233"/>
      <c r="EK288" s="233"/>
      <c r="EL288" s="233"/>
      <c r="EM288" s="233"/>
      <c r="EN288" s="233"/>
      <c r="EO288" s="233"/>
      <c r="EP288" s="233"/>
    </row>
    <row r="289" spans="1:146" ht="14.25" x14ac:dyDescent="0.2">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33"/>
      <c r="CN289" s="233"/>
      <c r="CO289" s="233"/>
      <c r="CP289" s="233"/>
      <c r="CQ289" s="233"/>
      <c r="CR289" s="233"/>
      <c r="CS289" s="233"/>
      <c r="CT289" s="233"/>
      <c r="CU289" s="233"/>
      <c r="CV289" s="233"/>
      <c r="CW289" s="233"/>
      <c r="CX289" s="233"/>
      <c r="CY289" s="233"/>
      <c r="CZ289" s="233"/>
      <c r="DA289" s="233"/>
      <c r="DB289" s="233"/>
      <c r="DC289" s="233"/>
      <c r="DD289" s="233"/>
      <c r="DE289" s="233"/>
      <c r="DF289" s="233"/>
      <c r="DG289" s="233"/>
      <c r="DH289" s="233"/>
      <c r="DI289" s="233"/>
      <c r="DJ289" s="233"/>
      <c r="DK289" s="233"/>
      <c r="DL289" s="233"/>
      <c r="DM289" s="233"/>
      <c r="DN289" s="233"/>
      <c r="DO289" s="233"/>
      <c r="DP289" s="233"/>
      <c r="DQ289" s="233"/>
      <c r="DR289" s="233"/>
      <c r="DS289" s="233"/>
      <c r="DT289" s="233"/>
      <c r="DU289" s="233"/>
      <c r="DV289" s="233"/>
      <c r="DW289" s="233"/>
      <c r="DX289" s="233"/>
      <c r="DY289" s="233"/>
      <c r="DZ289" s="233"/>
      <c r="EA289" s="233"/>
      <c r="EB289" s="233"/>
      <c r="EC289" s="233"/>
      <c r="ED289" s="233"/>
      <c r="EE289" s="233"/>
      <c r="EF289" s="233"/>
      <c r="EG289" s="233"/>
      <c r="EH289" s="233"/>
      <c r="EI289" s="233"/>
      <c r="EJ289" s="233"/>
      <c r="EK289" s="233"/>
      <c r="EL289" s="233"/>
      <c r="EM289" s="233"/>
      <c r="EN289" s="233"/>
      <c r="EO289" s="233"/>
      <c r="EP289" s="233"/>
    </row>
    <row r="290" spans="1:146" ht="14.25" x14ac:dyDescent="0.2">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33"/>
      <c r="CI290" s="233"/>
      <c r="CJ290" s="233"/>
      <c r="CK290" s="233"/>
      <c r="CL290" s="233"/>
      <c r="CM290" s="233"/>
      <c r="CN290" s="233"/>
      <c r="CO290" s="233"/>
      <c r="CP290" s="233"/>
      <c r="CQ290" s="233"/>
      <c r="CR290" s="233"/>
      <c r="CS290" s="233"/>
      <c r="CT290" s="233"/>
      <c r="CU290" s="233"/>
      <c r="CV290" s="233"/>
      <c r="CW290" s="233"/>
      <c r="CX290" s="233"/>
      <c r="CY290" s="233"/>
      <c r="CZ290" s="233"/>
      <c r="DA290" s="233"/>
      <c r="DB290" s="233"/>
      <c r="DC290" s="233"/>
      <c r="DD290" s="233"/>
      <c r="DE290" s="233"/>
      <c r="DF290" s="233"/>
      <c r="DG290" s="233"/>
      <c r="DH290" s="233"/>
      <c r="DI290" s="233"/>
      <c r="DJ290" s="233"/>
      <c r="DK290" s="233"/>
      <c r="DL290" s="233"/>
      <c r="DM290" s="233"/>
      <c r="DN290" s="233"/>
      <c r="DO290" s="233"/>
      <c r="DP290" s="233"/>
      <c r="DQ290" s="233"/>
      <c r="DR290" s="233"/>
      <c r="DS290" s="233"/>
      <c r="DT290" s="233"/>
      <c r="DU290" s="233"/>
      <c r="DV290" s="233"/>
      <c r="DW290" s="233"/>
      <c r="DX290" s="233"/>
      <c r="DY290" s="233"/>
      <c r="DZ290" s="233"/>
      <c r="EA290" s="233"/>
      <c r="EB290" s="233"/>
      <c r="EC290" s="233"/>
      <c r="ED290" s="233"/>
      <c r="EE290" s="233"/>
      <c r="EF290" s="233"/>
      <c r="EG290" s="233"/>
      <c r="EH290" s="233"/>
      <c r="EI290" s="233"/>
      <c r="EJ290" s="233"/>
      <c r="EK290" s="233"/>
      <c r="EL290" s="233"/>
      <c r="EM290" s="233"/>
      <c r="EN290" s="233"/>
      <c r="EO290" s="233"/>
      <c r="EP290" s="233"/>
    </row>
    <row r="291" spans="1:146" ht="14.25" x14ac:dyDescent="0.2">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33"/>
      <c r="CI291" s="233"/>
      <c r="CJ291" s="233"/>
      <c r="CK291" s="233"/>
      <c r="CL291" s="233"/>
      <c r="CM291" s="233"/>
      <c r="CN291" s="233"/>
      <c r="CO291" s="233"/>
      <c r="CP291" s="233"/>
      <c r="CQ291" s="233"/>
      <c r="CR291" s="233"/>
      <c r="CS291" s="233"/>
      <c r="CT291" s="233"/>
      <c r="CU291" s="233"/>
      <c r="CV291" s="233"/>
      <c r="CW291" s="233"/>
      <c r="CX291" s="233"/>
      <c r="CY291" s="233"/>
      <c r="CZ291" s="233"/>
      <c r="DA291" s="233"/>
      <c r="DB291" s="233"/>
      <c r="DC291" s="233"/>
      <c r="DD291" s="233"/>
      <c r="DE291" s="233"/>
      <c r="DF291" s="233"/>
      <c r="DG291" s="233"/>
      <c r="DH291" s="233"/>
      <c r="DI291" s="233"/>
      <c r="DJ291" s="233"/>
      <c r="DK291" s="233"/>
      <c r="DL291" s="233"/>
      <c r="DM291" s="233"/>
      <c r="DN291" s="233"/>
      <c r="DO291" s="233"/>
      <c r="DP291" s="233"/>
      <c r="DQ291" s="233"/>
      <c r="DR291" s="233"/>
      <c r="DS291" s="233"/>
      <c r="DT291" s="233"/>
      <c r="DU291" s="233"/>
      <c r="DV291" s="233"/>
      <c r="DW291" s="233"/>
      <c r="DX291" s="233"/>
      <c r="DY291" s="233"/>
      <c r="DZ291" s="233"/>
      <c r="EA291" s="233"/>
      <c r="EB291" s="233"/>
      <c r="EC291" s="233"/>
      <c r="ED291" s="233"/>
      <c r="EE291" s="233"/>
      <c r="EF291" s="233"/>
      <c r="EG291" s="233"/>
      <c r="EH291" s="233"/>
      <c r="EI291" s="233"/>
      <c r="EJ291" s="233"/>
      <c r="EK291" s="233"/>
      <c r="EL291" s="233"/>
      <c r="EM291" s="233"/>
      <c r="EN291" s="233"/>
      <c r="EO291" s="233"/>
      <c r="EP291" s="233"/>
    </row>
    <row r="292" spans="1:146" ht="14.25" x14ac:dyDescent="0.2">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33"/>
      <c r="CI292" s="233"/>
      <c r="CJ292" s="233"/>
      <c r="CK292" s="233"/>
      <c r="CL292" s="233"/>
      <c r="CM292" s="233"/>
      <c r="CN292" s="233"/>
      <c r="CO292" s="233"/>
      <c r="CP292" s="233"/>
      <c r="CQ292" s="233"/>
      <c r="CR292" s="233"/>
      <c r="CS292" s="233"/>
      <c r="CT292" s="233"/>
      <c r="CU292" s="233"/>
      <c r="CV292" s="233"/>
      <c r="CW292" s="233"/>
      <c r="CX292" s="233"/>
      <c r="CY292" s="233"/>
      <c r="CZ292" s="233"/>
      <c r="DA292" s="233"/>
      <c r="DB292" s="233"/>
      <c r="DC292" s="233"/>
      <c r="DD292" s="233"/>
      <c r="DE292" s="233"/>
      <c r="DF292" s="233"/>
      <c r="DG292" s="233"/>
      <c r="DH292" s="233"/>
      <c r="DI292" s="233"/>
      <c r="DJ292" s="233"/>
      <c r="DK292" s="233"/>
      <c r="DL292" s="233"/>
      <c r="DM292" s="233"/>
      <c r="DN292" s="233"/>
      <c r="DO292" s="233"/>
      <c r="DP292" s="233"/>
      <c r="DQ292" s="233"/>
      <c r="DR292" s="233"/>
      <c r="DS292" s="233"/>
      <c r="DT292" s="233"/>
      <c r="DU292" s="233"/>
      <c r="DV292" s="233"/>
      <c r="DW292" s="233"/>
      <c r="DX292" s="233"/>
      <c r="DY292" s="233"/>
      <c r="DZ292" s="233"/>
      <c r="EA292" s="233"/>
      <c r="EB292" s="233"/>
      <c r="EC292" s="233"/>
      <c r="ED292" s="233"/>
      <c r="EE292" s="233"/>
      <c r="EF292" s="233"/>
      <c r="EG292" s="233"/>
      <c r="EH292" s="233"/>
      <c r="EI292" s="233"/>
      <c r="EJ292" s="233"/>
      <c r="EK292" s="233"/>
      <c r="EL292" s="233"/>
      <c r="EM292" s="233"/>
      <c r="EN292" s="233"/>
      <c r="EO292" s="233"/>
      <c r="EP292" s="233"/>
    </row>
    <row r="293" spans="1:146" ht="14.25" x14ac:dyDescent="0.2">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33"/>
      <c r="CN293" s="233"/>
      <c r="CO293" s="233"/>
      <c r="CP293" s="233"/>
      <c r="CQ293" s="233"/>
      <c r="CR293" s="233"/>
      <c r="CS293" s="233"/>
      <c r="CT293" s="233"/>
      <c r="CU293" s="233"/>
      <c r="CV293" s="233"/>
      <c r="CW293" s="233"/>
      <c r="CX293" s="233"/>
      <c r="CY293" s="233"/>
      <c r="CZ293" s="233"/>
      <c r="DA293" s="233"/>
      <c r="DB293" s="233"/>
      <c r="DC293" s="233"/>
      <c r="DD293" s="233"/>
      <c r="DE293" s="233"/>
      <c r="DF293" s="233"/>
      <c r="DG293" s="233"/>
      <c r="DH293" s="233"/>
      <c r="DI293" s="233"/>
      <c r="DJ293" s="233"/>
      <c r="DK293" s="233"/>
      <c r="DL293" s="233"/>
      <c r="DM293" s="233"/>
      <c r="DN293" s="233"/>
      <c r="DO293" s="233"/>
      <c r="DP293" s="233"/>
      <c r="DQ293" s="233"/>
      <c r="DR293" s="233"/>
      <c r="DS293" s="233"/>
      <c r="DT293" s="233"/>
      <c r="DU293" s="233"/>
      <c r="DV293" s="233"/>
      <c r="DW293" s="233"/>
      <c r="DX293" s="233"/>
      <c r="DY293" s="233"/>
      <c r="DZ293" s="233"/>
      <c r="EA293" s="233"/>
      <c r="EB293" s="233"/>
      <c r="EC293" s="233"/>
      <c r="ED293" s="233"/>
      <c r="EE293" s="233"/>
      <c r="EF293" s="233"/>
      <c r="EG293" s="233"/>
      <c r="EH293" s="233"/>
      <c r="EI293" s="233"/>
      <c r="EJ293" s="233"/>
      <c r="EK293" s="233"/>
      <c r="EL293" s="233"/>
      <c r="EM293" s="233"/>
      <c r="EN293" s="233"/>
      <c r="EO293" s="233"/>
      <c r="EP293" s="233"/>
    </row>
    <row r="294" spans="1:146" ht="14.25" x14ac:dyDescent="0.2">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c r="BJ294" s="233"/>
      <c r="BK294" s="233"/>
      <c r="BL294" s="233"/>
      <c r="BM294" s="233"/>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33"/>
      <c r="CI294" s="233"/>
      <c r="CJ294" s="233"/>
      <c r="CK294" s="233"/>
      <c r="CL294" s="233"/>
      <c r="CM294" s="233"/>
      <c r="CN294" s="233"/>
      <c r="CO294" s="233"/>
      <c r="CP294" s="233"/>
      <c r="CQ294" s="233"/>
      <c r="CR294" s="233"/>
      <c r="CS294" s="233"/>
      <c r="CT294" s="233"/>
      <c r="CU294" s="233"/>
      <c r="CV294" s="233"/>
      <c r="CW294" s="233"/>
      <c r="CX294" s="233"/>
      <c r="CY294" s="233"/>
      <c r="CZ294" s="233"/>
      <c r="DA294" s="233"/>
      <c r="DB294" s="233"/>
      <c r="DC294" s="233"/>
      <c r="DD294" s="233"/>
      <c r="DE294" s="233"/>
      <c r="DF294" s="233"/>
      <c r="DG294" s="233"/>
      <c r="DH294" s="233"/>
      <c r="DI294" s="233"/>
      <c r="DJ294" s="233"/>
      <c r="DK294" s="233"/>
      <c r="DL294" s="233"/>
      <c r="DM294" s="233"/>
      <c r="DN294" s="233"/>
      <c r="DO294" s="233"/>
      <c r="DP294" s="233"/>
      <c r="DQ294" s="233"/>
      <c r="DR294" s="233"/>
      <c r="DS294" s="233"/>
      <c r="DT294" s="233"/>
      <c r="DU294" s="233"/>
      <c r="DV294" s="233"/>
      <c r="DW294" s="233"/>
      <c r="DX294" s="233"/>
      <c r="DY294" s="233"/>
      <c r="DZ294" s="233"/>
      <c r="EA294" s="233"/>
      <c r="EB294" s="233"/>
      <c r="EC294" s="233"/>
      <c r="ED294" s="233"/>
      <c r="EE294" s="233"/>
      <c r="EF294" s="233"/>
      <c r="EG294" s="233"/>
      <c r="EH294" s="233"/>
      <c r="EI294" s="233"/>
      <c r="EJ294" s="233"/>
      <c r="EK294" s="233"/>
      <c r="EL294" s="233"/>
      <c r="EM294" s="233"/>
      <c r="EN294" s="233"/>
      <c r="EO294" s="233"/>
      <c r="EP294" s="233"/>
    </row>
    <row r="295" spans="1:146" ht="14.25" x14ac:dyDescent="0.2">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33"/>
      <c r="CI295" s="233"/>
      <c r="CJ295" s="233"/>
      <c r="CK295" s="233"/>
      <c r="CL295" s="233"/>
      <c r="CM295" s="233"/>
      <c r="CN295" s="233"/>
      <c r="CO295" s="233"/>
      <c r="CP295" s="233"/>
      <c r="CQ295" s="233"/>
      <c r="CR295" s="233"/>
      <c r="CS295" s="233"/>
      <c r="CT295" s="233"/>
      <c r="CU295" s="233"/>
      <c r="CV295" s="233"/>
      <c r="CW295" s="233"/>
      <c r="CX295" s="233"/>
      <c r="CY295" s="233"/>
      <c r="CZ295" s="233"/>
      <c r="DA295" s="233"/>
      <c r="DB295" s="233"/>
      <c r="DC295" s="233"/>
      <c r="DD295" s="233"/>
      <c r="DE295" s="233"/>
      <c r="DF295" s="233"/>
      <c r="DG295" s="233"/>
      <c r="DH295" s="233"/>
      <c r="DI295" s="233"/>
      <c r="DJ295" s="233"/>
      <c r="DK295" s="233"/>
      <c r="DL295" s="233"/>
      <c r="DM295" s="233"/>
      <c r="DN295" s="233"/>
      <c r="DO295" s="233"/>
      <c r="DP295" s="233"/>
      <c r="DQ295" s="233"/>
      <c r="DR295" s="233"/>
      <c r="DS295" s="233"/>
      <c r="DT295" s="233"/>
      <c r="DU295" s="233"/>
      <c r="DV295" s="233"/>
      <c r="DW295" s="233"/>
      <c r="DX295" s="233"/>
      <c r="DY295" s="233"/>
      <c r="DZ295" s="233"/>
      <c r="EA295" s="233"/>
      <c r="EB295" s="233"/>
      <c r="EC295" s="233"/>
      <c r="ED295" s="233"/>
      <c r="EE295" s="233"/>
      <c r="EF295" s="233"/>
      <c r="EG295" s="233"/>
      <c r="EH295" s="233"/>
      <c r="EI295" s="233"/>
      <c r="EJ295" s="233"/>
      <c r="EK295" s="233"/>
      <c r="EL295" s="233"/>
      <c r="EM295" s="233"/>
      <c r="EN295" s="233"/>
      <c r="EO295" s="233"/>
      <c r="EP295" s="233"/>
    </row>
    <row r="296" spans="1:146" ht="14.25" x14ac:dyDescent="0.2">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33"/>
      <c r="CI296" s="233"/>
      <c r="CJ296" s="233"/>
      <c r="CK296" s="233"/>
      <c r="CL296" s="233"/>
      <c r="CM296" s="233"/>
      <c r="CN296" s="233"/>
      <c r="CO296" s="233"/>
      <c r="CP296" s="233"/>
      <c r="CQ296" s="233"/>
      <c r="CR296" s="233"/>
      <c r="CS296" s="233"/>
      <c r="CT296" s="233"/>
      <c r="CU296" s="233"/>
      <c r="CV296" s="233"/>
      <c r="CW296" s="233"/>
      <c r="CX296" s="233"/>
      <c r="CY296" s="233"/>
      <c r="CZ296" s="233"/>
      <c r="DA296" s="233"/>
      <c r="DB296" s="233"/>
      <c r="DC296" s="233"/>
      <c r="DD296" s="233"/>
      <c r="DE296" s="233"/>
      <c r="DF296" s="233"/>
      <c r="DG296" s="233"/>
      <c r="DH296" s="233"/>
      <c r="DI296" s="233"/>
      <c r="DJ296" s="233"/>
      <c r="DK296" s="233"/>
      <c r="DL296" s="233"/>
      <c r="DM296" s="233"/>
      <c r="DN296" s="233"/>
      <c r="DO296" s="233"/>
      <c r="DP296" s="233"/>
      <c r="DQ296" s="233"/>
      <c r="DR296" s="233"/>
      <c r="DS296" s="233"/>
      <c r="DT296" s="233"/>
      <c r="DU296" s="233"/>
      <c r="DV296" s="233"/>
      <c r="DW296" s="233"/>
      <c r="DX296" s="233"/>
      <c r="DY296" s="233"/>
      <c r="DZ296" s="233"/>
      <c r="EA296" s="233"/>
      <c r="EB296" s="233"/>
      <c r="EC296" s="233"/>
      <c r="ED296" s="233"/>
      <c r="EE296" s="233"/>
      <c r="EF296" s="233"/>
      <c r="EG296" s="233"/>
      <c r="EH296" s="233"/>
      <c r="EI296" s="233"/>
      <c r="EJ296" s="233"/>
      <c r="EK296" s="233"/>
      <c r="EL296" s="233"/>
      <c r="EM296" s="233"/>
      <c r="EN296" s="233"/>
      <c r="EO296" s="233"/>
      <c r="EP296" s="233"/>
    </row>
    <row r="297" spans="1:146" ht="14.25" x14ac:dyDescent="0.2">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33"/>
      <c r="CN297" s="233"/>
      <c r="CO297" s="233"/>
      <c r="CP297" s="233"/>
      <c r="CQ297" s="233"/>
      <c r="CR297" s="233"/>
      <c r="CS297" s="233"/>
      <c r="CT297" s="233"/>
      <c r="CU297" s="233"/>
      <c r="CV297" s="233"/>
      <c r="CW297" s="233"/>
      <c r="CX297" s="233"/>
      <c r="CY297" s="233"/>
      <c r="CZ297" s="233"/>
      <c r="DA297" s="233"/>
      <c r="DB297" s="233"/>
      <c r="DC297" s="233"/>
      <c r="DD297" s="233"/>
      <c r="DE297" s="233"/>
      <c r="DF297" s="233"/>
      <c r="DG297" s="233"/>
      <c r="DH297" s="233"/>
      <c r="DI297" s="233"/>
      <c r="DJ297" s="233"/>
      <c r="DK297" s="233"/>
      <c r="DL297" s="233"/>
      <c r="DM297" s="233"/>
      <c r="DN297" s="233"/>
      <c r="DO297" s="233"/>
      <c r="DP297" s="233"/>
      <c r="DQ297" s="233"/>
      <c r="DR297" s="233"/>
      <c r="DS297" s="233"/>
      <c r="DT297" s="233"/>
      <c r="DU297" s="233"/>
      <c r="DV297" s="233"/>
      <c r="DW297" s="233"/>
      <c r="DX297" s="233"/>
      <c r="DY297" s="233"/>
      <c r="DZ297" s="233"/>
      <c r="EA297" s="233"/>
      <c r="EB297" s="233"/>
      <c r="EC297" s="233"/>
      <c r="ED297" s="233"/>
      <c r="EE297" s="233"/>
      <c r="EF297" s="233"/>
      <c r="EG297" s="233"/>
      <c r="EH297" s="233"/>
      <c r="EI297" s="233"/>
      <c r="EJ297" s="233"/>
      <c r="EK297" s="233"/>
      <c r="EL297" s="233"/>
      <c r="EM297" s="233"/>
      <c r="EN297" s="233"/>
      <c r="EO297" s="233"/>
      <c r="EP297" s="233"/>
    </row>
    <row r="298" spans="1:146" ht="14.25" x14ac:dyDescent="0.2">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c r="BJ298" s="233"/>
      <c r="BK298" s="233"/>
      <c r="BL298" s="233"/>
      <c r="BM298" s="233"/>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33"/>
      <c r="CI298" s="233"/>
      <c r="CJ298" s="233"/>
      <c r="CK298" s="233"/>
      <c r="CL298" s="233"/>
      <c r="CM298" s="233"/>
      <c r="CN298" s="233"/>
      <c r="CO298" s="233"/>
      <c r="CP298" s="233"/>
      <c r="CQ298" s="233"/>
      <c r="CR298" s="233"/>
      <c r="CS298" s="233"/>
      <c r="CT298" s="233"/>
      <c r="CU298" s="233"/>
      <c r="CV298" s="233"/>
      <c r="CW298" s="233"/>
      <c r="CX298" s="233"/>
      <c r="CY298" s="233"/>
      <c r="CZ298" s="233"/>
      <c r="DA298" s="233"/>
      <c r="DB298" s="233"/>
      <c r="DC298" s="233"/>
      <c r="DD298" s="233"/>
      <c r="DE298" s="233"/>
      <c r="DF298" s="233"/>
      <c r="DG298" s="233"/>
      <c r="DH298" s="233"/>
      <c r="DI298" s="233"/>
      <c r="DJ298" s="233"/>
      <c r="DK298" s="233"/>
      <c r="DL298" s="233"/>
      <c r="DM298" s="233"/>
      <c r="DN298" s="233"/>
      <c r="DO298" s="233"/>
      <c r="DP298" s="233"/>
      <c r="DQ298" s="233"/>
      <c r="DR298" s="233"/>
      <c r="DS298" s="233"/>
      <c r="DT298" s="233"/>
      <c r="DU298" s="233"/>
      <c r="DV298" s="233"/>
      <c r="DW298" s="233"/>
      <c r="DX298" s="233"/>
      <c r="DY298" s="233"/>
      <c r="DZ298" s="233"/>
      <c r="EA298" s="233"/>
      <c r="EB298" s="233"/>
      <c r="EC298" s="233"/>
      <c r="ED298" s="233"/>
      <c r="EE298" s="233"/>
      <c r="EF298" s="233"/>
      <c r="EG298" s="233"/>
      <c r="EH298" s="233"/>
      <c r="EI298" s="233"/>
      <c r="EJ298" s="233"/>
      <c r="EK298" s="233"/>
      <c r="EL298" s="233"/>
      <c r="EM298" s="233"/>
      <c r="EN298" s="233"/>
      <c r="EO298" s="233"/>
      <c r="EP298" s="233"/>
    </row>
    <row r="299" spans="1:146" ht="14.25" x14ac:dyDescent="0.2">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c r="BJ299" s="233"/>
      <c r="BK299" s="233"/>
      <c r="BL299" s="233"/>
      <c r="BM299" s="233"/>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33"/>
      <c r="CI299" s="233"/>
      <c r="CJ299" s="233"/>
      <c r="CK299" s="233"/>
      <c r="CL299" s="233"/>
      <c r="CM299" s="233"/>
      <c r="CN299" s="233"/>
      <c r="CO299" s="233"/>
      <c r="CP299" s="233"/>
      <c r="CQ299" s="233"/>
      <c r="CR299" s="233"/>
      <c r="CS299" s="233"/>
      <c r="CT299" s="233"/>
      <c r="CU299" s="233"/>
      <c r="CV299" s="233"/>
      <c r="CW299" s="233"/>
      <c r="CX299" s="233"/>
      <c r="CY299" s="233"/>
      <c r="CZ299" s="233"/>
      <c r="DA299" s="233"/>
      <c r="DB299" s="233"/>
      <c r="DC299" s="233"/>
      <c r="DD299" s="233"/>
      <c r="DE299" s="233"/>
      <c r="DF299" s="233"/>
      <c r="DG299" s="233"/>
      <c r="DH299" s="233"/>
      <c r="DI299" s="233"/>
      <c r="DJ299" s="233"/>
      <c r="DK299" s="233"/>
      <c r="DL299" s="233"/>
      <c r="DM299" s="233"/>
      <c r="DN299" s="233"/>
      <c r="DO299" s="233"/>
      <c r="DP299" s="233"/>
      <c r="DQ299" s="233"/>
      <c r="DR299" s="233"/>
      <c r="DS299" s="233"/>
      <c r="DT299" s="233"/>
      <c r="DU299" s="233"/>
      <c r="DV299" s="233"/>
      <c r="DW299" s="233"/>
      <c r="DX299" s="233"/>
      <c r="DY299" s="233"/>
      <c r="DZ299" s="233"/>
      <c r="EA299" s="233"/>
      <c r="EB299" s="233"/>
      <c r="EC299" s="233"/>
      <c r="ED299" s="233"/>
      <c r="EE299" s="233"/>
      <c r="EF299" s="233"/>
      <c r="EG299" s="233"/>
      <c r="EH299" s="233"/>
      <c r="EI299" s="233"/>
      <c r="EJ299" s="233"/>
      <c r="EK299" s="233"/>
      <c r="EL299" s="233"/>
      <c r="EM299" s="233"/>
      <c r="EN299" s="233"/>
      <c r="EO299" s="233"/>
      <c r="EP299" s="233"/>
    </row>
    <row r="300" spans="1:146" ht="14.25" x14ac:dyDescent="0.2">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33"/>
      <c r="CN300" s="233"/>
      <c r="CO300" s="233"/>
      <c r="CP300" s="233"/>
      <c r="CQ300" s="233"/>
      <c r="CR300" s="233"/>
      <c r="CS300" s="233"/>
      <c r="CT300" s="233"/>
      <c r="CU300" s="233"/>
      <c r="CV300" s="233"/>
      <c r="CW300" s="233"/>
      <c r="CX300" s="233"/>
      <c r="CY300" s="233"/>
      <c r="CZ300" s="233"/>
      <c r="DA300" s="233"/>
      <c r="DB300" s="233"/>
      <c r="DC300" s="233"/>
      <c r="DD300" s="233"/>
      <c r="DE300" s="233"/>
      <c r="DF300" s="233"/>
      <c r="DG300" s="233"/>
      <c r="DH300" s="233"/>
      <c r="DI300" s="233"/>
      <c r="DJ300" s="233"/>
      <c r="DK300" s="233"/>
      <c r="DL300" s="233"/>
      <c r="DM300" s="233"/>
      <c r="DN300" s="233"/>
      <c r="DO300" s="233"/>
      <c r="DP300" s="233"/>
      <c r="DQ300" s="233"/>
      <c r="DR300" s="233"/>
      <c r="DS300" s="233"/>
      <c r="DT300" s="233"/>
      <c r="DU300" s="233"/>
      <c r="DV300" s="233"/>
      <c r="DW300" s="233"/>
      <c r="DX300" s="233"/>
      <c r="DY300" s="233"/>
      <c r="DZ300" s="233"/>
      <c r="EA300" s="233"/>
      <c r="EB300" s="233"/>
      <c r="EC300" s="233"/>
      <c r="ED300" s="233"/>
      <c r="EE300" s="233"/>
      <c r="EF300" s="233"/>
      <c r="EG300" s="233"/>
      <c r="EH300" s="233"/>
      <c r="EI300" s="233"/>
      <c r="EJ300" s="233"/>
      <c r="EK300" s="233"/>
      <c r="EL300" s="233"/>
      <c r="EM300" s="233"/>
      <c r="EN300" s="233"/>
      <c r="EO300" s="233"/>
      <c r="EP300" s="233"/>
    </row>
    <row r="301" spans="1:146" ht="14.25" x14ac:dyDescent="0.2">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33"/>
      <c r="CN301" s="233"/>
      <c r="CO301" s="233"/>
      <c r="CP301" s="233"/>
      <c r="CQ301" s="233"/>
      <c r="CR301" s="233"/>
      <c r="CS301" s="233"/>
      <c r="CT301" s="233"/>
      <c r="CU301" s="233"/>
      <c r="CV301" s="233"/>
      <c r="CW301" s="233"/>
      <c r="CX301" s="233"/>
      <c r="CY301" s="233"/>
      <c r="CZ301" s="233"/>
      <c r="DA301" s="233"/>
      <c r="DB301" s="233"/>
      <c r="DC301" s="233"/>
      <c r="DD301" s="233"/>
      <c r="DE301" s="233"/>
      <c r="DF301" s="233"/>
      <c r="DG301" s="233"/>
      <c r="DH301" s="233"/>
      <c r="DI301" s="233"/>
      <c r="DJ301" s="233"/>
      <c r="DK301" s="233"/>
      <c r="DL301" s="233"/>
      <c r="DM301" s="233"/>
      <c r="DN301" s="233"/>
      <c r="DO301" s="233"/>
      <c r="DP301" s="233"/>
      <c r="DQ301" s="233"/>
      <c r="DR301" s="233"/>
      <c r="DS301" s="233"/>
      <c r="DT301" s="233"/>
      <c r="DU301" s="233"/>
      <c r="DV301" s="233"/>
      <c r="DW301" s="233"/>
      <c r="DX301" s="233"/>
      <c r="DY301" s="233"/>
      <c r="DZ301" s="233"/>
      <c r="EA301" s="233"/>
      <c r="EB301" s="233"/>
      <c r="EC301" s="233"/>
      <c r="ED301" s="233"/>
      <c r="EE301" s="233"/>
      <c r="EF301" s="233"/>
      <c r="EG301" s="233"/>
      <c r="EH301" s="233"/>
      <c r="EI301" s="233"/>
      <c r="EJ301" s="233"/>
      <c r="EK301" s="233"/>
      <c r="EL301" s="233"/>
      <c r="EM301" s="233"/>
      <c r="EN301" s="233"/>
      <c r="EO301" s="233"/>
      <c r="EP301" s="233"/>
    </row>
    <row r="302" spans="1:146" ht="14.25" x14ac:dyDescent="0.2">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c r="BJ302" s="233"/>
      <c r="BK302" s="233"/>
      <c r="BL302" s="233"/>
      <c r="BM302" s="233"/>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33"/>
      <c r="CI302" s="233"/>
      <c r="CJ302" s="233"/>
      <c r="CK302" s="233"/>
      <c r="CL302" s="233"/>
      <c r="CM302" s="233"/>
      <c r="CN302" s="233"/>
      <c r="CO302" s="233"/>
      <c r="CP302" s="233"/>
      <c r="CQ302" s="233"/>
      <c r="CR302" s="233"/>
      <c r="CS302" s="233"/>
      <c r="CT302" s="233"/>
      <c r="CU302" s="233"/>
      <c r="CV302" s="233"/>
      <c r="CW302" s="233"/>
      <c r="CX302" s="233"/>
      <c r="CY302" s="233"/>
      <c r="CZ302" s="233"/>
      <c r="DA302" s="233"/>
      <c r="DB302" s="233"/>
      <c r="DC302" s="233"/>
      <c r="DD302" s="233"/>
      <c r="DE302" s="233"/>
      <c r="DF302" s="233"/>
      <c r="DG302" s="233"/>
      <c r="DH302" s="233"/>
      <c r="DI302" s="233"/>
      <c r="DJ302" s="233"/>
      <c r="DK302" s="233"/>
      <c r="DL302" s="233"/>
      <c r="DM302" s="233"/>
      <c r="DN302" s="233"/>
      <c r="DO302" s="233"/>
      <c r="DP302" s="233"/>
      <c r="DQ302" s="233"/>
      <c r="DR302" s="233"/>
      <c r="DS302" s="233"/>
      <c r="DT302" s="233"/>
      <c r="DU302" s="233"/>
      <c r="DV302" s="233"/>
      <c r="DW302" s="233"/>
      <c r="DX302" s="233"/>
      <c r="DY302" s="233"/>
      <c r="DZ302" s="233"/>
      <c r="EA302" s="233"/>
      <c r="EB302" s="233"/>
      <c r="EC302" s="233"/>
      <c r="ED302" s="233"/>
      <c r="EE302" s="233"/>
      <c r="EF302" s="233"/>
      <c r="EG302" s="233"/>
      <c r="EH302" s="233"/>
      <c r="EI302" s="233"/>
      <c r="EJ302" s="233"/>
      <c r="EK302" s="233"/>
      <c r="EL302" s="233"/>
      <c r="EM302" s="233"/>
      <c r="EN302" s="233"/>
      <c r="EO302" s="233"/>
      <c r="EP302" s="233"/>
    </row>
    <row r="303" spans="1:146" ht="14.25" x14ac:dyDescent="0.2">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c r="BH303" s="233"/>
      <c r="BI303" s="233"/>
      <c r="BJ303" s="233"/>
      <c r="BK303" s="233"/>
      <c r="BL303" s="233"/>
      <c r="BM303" s="233"/>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33"/>
      <c r="CI303" s="233"/>
      <c r="CJ303" s="233"/>
      <c r="CK303" s="233"/>
      <c r="CL303" s="233"/>
      <c r="CM303" s="233"/>
      <c r="CN303" s="233"/>
      <c r="CO303" s="233"/>
      <c r="CP303" s="233"/>
      <c r="CQ303" s="233"/>
      <c r="CR303" s="233"/>
      <c r="CS303" s="233"/>
      <c r="CT303" s="233"/>
      <c r="CU303" s="233"/>
      <c r="CV303" s="233"/>
      <c r="CW303" s="233"/>
      <c r="CX303" s="233"/>
      <c r="CY303" s="233"/>
      <c r="CZ303" s="233"/>
      <c r="DA303" s="233"/>
      <c r="DB303" s="233"/>
      <c r="DC303" s="233"/>
      <c r="DD303" s="233"/>
      <c r="DE303" s="233"/>
      <c r="DF303" s="233"/>
      <c r="DG303" s="233"/>
      <c r="DH303" s="233"/>
      <c r="DI303" s="233"/>
      <c r="DJ303" s="233"/>
      <c r="DK303" s="233"/>
      <c r="DL303" s="233"/>
      <c r="DM303" s="233"/>
      <c r="DN303" s="233"/>
      <c r="DO303" s="233"/>
      <c r="DP303" s="233"/>
      <c r="DQ303" s="233"/>
      <c r="DR303" s="233"/>
      <c r="DS303" s="233"/>
      <c r="DT303" s="233"/>
      <c r="DU303" s="233"/>
      <c r="DV303" s="233"/>
      <c r="DW303" s="233"/>
      <c r="DX303" s="233"/>
      <c r="DY303" s="233"/>
      <c r="DZ303" s="233"/>
      <c r="EA303" s="233"/>
      <c r="EB303" s="233"/>
      <c r="EC303" s="233"/>
      <c r="ED303" s="233"/>
      <c r="EE303" s="233"/>
      <c r="EF303" s="233"/>
      <c r="EG303" s="233"/>
      <c r="EH303" s="233"/>
      <c r="EI303" s="233"/>
      <c r="EJ303" s="233"/>
      <c r="EK303" s="233"/>
      <c r="EL303" s="233"/>
      <c r="EM303" s="233"/>
      <c r="EN303" s="233"/>
      <c r="EO303" s="233"/>
      <c r="EP303" s="233"/>
    </row>
    <row r="304" spans="1:146" ht="14.25" x14ac:dyDescent="0.2">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c r="BH304" s="233"/>
      <c r="BI304" s="233"/>
      <c r="BJ304" s="233"/>
      <c r="BK304" s="233"/>
      <c r="BL304" s="233"/>
      <c r="BM304" s="233"/>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33"/>
      <c r="CI304" s="233"/>
      <c r="CJ304" s="233"/>
      <c r="CK304" s="233"/>
      <c r="CL304" s="233"/>
      <c r="CM304" s="233"/>
      <c r="CN304" s="233"/>
      <c r="CO304" s="233"/>
      <c r="CP304" s="233"/>
      <c r="CQ304" s="233"/>
      <c r="CR304" s="233"/>
      <c r="CS304" s="233"/>
      <c r="CT304" s="233"/>
      <c r="CU304" s="233"/>
      <c r="CV304" s="233"/>
      <c r="CW304" s="233"/>
      <c r="CX304" s="233"/>
      <c r="CY304" s="233"/>
      <c r="CZ304" s="233"/>
      <c r="DA304" s="233"/>
      <c r="DB304" s="233"/>
      <c r="DC304" s="233"/>
      <c r="DD304" s="233"/>
      <c r="DE304" s="233"/>
      <c r="DF304" s="233"/>
      <c r="DG304" s="233"/>
      <c r="DH304" s="233"/>
      <c r="DI304" s="233"/>
      <c r="DJ304" s="233"/>
      <c r="DK304" s="233"/>
      <c r="DL304" s="233"/>
      <c r="DM304" s="233"/>
      <c r="DN304" s="233"/>
      <c r="DO304" s="233"/>
      <c r="DP304" s="233"/>
      <c r="DQ304" s="233"/>
      <c r="DR304" s="233"/>
      <c r="DS304" s="233"/>
      <c r="DT304" s="233"/>
      <c r="DU304" s="233"/>
      <c r="DV304" s="233"/>
      <c r="DW304" s="233"/>
      <c r="DX304" s="233"/>
      <c r="DY304" s="233"/>
      <c r="DZ304" s="233"/>
      <c r="EA304" s="233"/>
      <c r="EB304" s="233"/>
      <c r="EC304" s="233"/>
      <c r="ED304" s="233"/>
      <c r="EE304" s="233"/>
      <c r="EF304" s="233"/>
      <c r="EG304" s="233"/>
      <c r="EH304" s="233"/>
      <c r="EI304" s="233"/>
      <c r="EJ304" s="233"/>
      <c r="EK304" s="233"/>
      <c r="EL304" s="233"/>
      <c r="EM304" s="233"/>
      <c r="EN304" s="233"/>
      <c r="EO304" s="233"/>
      <c r="EP304" s="233"/>
    </row>
    <row r="305" spans="1:146" ht="14.25" x14ac:dyDescent="0.2">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33"/>
      <c r="CN305" s="233"/>
      <c r="CO305" s="233"/>
      <c r="CP305" s="233"/>
      <c r="CQ305" s="233"/>
      <c r="CR305" s="233"/>
      <c r="CS305" s="233"/>
      <c r="CT305" s="233"/>
      <c r="CU305" s="233"/>
      <c r="CV305" s="233"/>
      <c r="CW305" s="233"/>
      <c r="CX305" s="233"/>
      <c r="CY305" s="233"/>
      <c r="CZ305" s="233"/>
      <c r="DA305" s="233"/>
      <c r="DB305" s="233"/>
      <c r="DC305" s="233"/>
      <c r="DD305" s="233"/>
      <c r="DE305" s="233"/>
      <c r="DF305" s="233"/>
      <c r="DG305" s="233"/>
      <c r="DH305" s="233"/>
      <c r="DI305" s="233"/>
      <c r="DJ305" s="233"/>
      <c r="DK305" s="233"/>
      <c r="DL305" s="233"/>
      <c r="DM305" s="233"/>
      <c r="DN305" s="233"/>
      <c r="DO305" s="233"/>
      <c r="DP305" s="233"/>
      <c r="DQ305" s="233"/>
      <c r="DR305" s="233"/>
      <c r="DS305" s="233"/>
      <c r="DT305" s="233"/>
      <c r="DU305" s="233"/>
      <c r="DV305" s="233"/>
      <c r="DW305" s="233"/>
      <c r="DX305" s="233"/>
      <c r="DY305" s="233"/>
      <c r="DZ305" s="233"/>
      <c r="EA305" s="233"/>
      <c r="EB305" s="233"/>
      <c r="EC305" s="233"/>
      <c r="ED305" s="233"/>
      <c r="EE305" s="233"/>
      <c r="EF305" s="233"/>
      <c r="EG305" s="233"/>
      <c r="EH305" s="233"/>
      <c r="EI305" s="233"/>
      <c r="EJ305" s="233"/>
      <c r="EK305" s="233"/>
      <c r="EL305" s="233"/>
      <c r="EM305" s="233"/>
      <c r="EN305" s="233"/>
      <c r="EO305" s="233"/>
      <c r="EP305" s="233"/>
    </row>
    <row r="306" spans="1:146" ht="14.25" x14ac:dyDescent="0.2">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33"/>
      <c r="CN306" s="233"/>
      <c r="CO306" s="233"/>
      <c r="CP306" s="233"/>
      <c r="CQ306" s="233"/>
      <c r="CR306" s="233"/>
      <c r="CS306" s="233"/>
      <c r="CT306" s="233"/>
      <c r="CU306" s="233"/>
      <c r="CV306" s="233"/>
      <c r="CW306" s="233"/>
      <c r="CX306" s="233"/>
      <c r="CY306" s="233"/>
      <c r="CZ306" s="233"/>
      <c r="DA306" s="233"/>
      <c r="DB306" s="233"/>
      <c r="DC306" s="233"/>
      <c r="DD306" s="233"/>
      <c r="DE306" s="233"/>
      <c r="DF306" s="233"/>
      <c r="DG306" s="233"/>
      <c r="DH306" s="233"/>
      <c r="DI306" s="233"/>
      <c r="DJ306" s="233"/>
      <c r="DK306" s="233"/>
      <c r="DL306" s="233"/>
      <c r="DM306" s="233"/>
      <c r="DN306" s="233"/>
      <c r="DO306" s="233"/>
      <c r="DP306" s="233"/>
      <c r="DQ306" s="233"/>
      <c r="DR306" s="233"/>
      <c r="DS306" s="233"/>
      <c r="DT306" s="233"/>
      <c r="DU306" s="233"/>
      <c r="DV306" s="233"/>
      <c r="DW306" s="233"/>
      <c r="DX306" s="233"/>
      <c r="DY306" s="233"/>
      <c r="DZ306" s="233"/>
      <c r="EA306" s="233"/>
      <c r="EB306" s="233"/>
      <c r="EC306" s="233"/>
      <c r="ED306" s="233"/>
      <c r="EE306" s="233"/>
      <c r="EF306" s="233"/>
      <c r="EG306" s="233"/>
      <c r="EH306" s="233"/>
      <c r="EI306" s="233"/>
      <c r="EJ306" s="233"/>
      <c r="EK306" s="233"/>
      <c r="EL306" s="233"/>
      <c r="EM306" s="233"/>
      <c r="EN306" s="233"/>
      <c r="EO306" s="233"/>
      <c r="EP306" s="233"/>
    </row>
    <row r="307" spans="1:146" ht="14.25" x14ac:dyDescent="0.2">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33"/>
      <c r="CN307" s="233"/>
      <c r="CO307" s="233"/>
      <c r="CP307" s="233"/>
      <c r="CQ307" s="233"/>
      <c r="CR307" s="233"/>
      <c r="CS307" s="233"/>
      <c r="CT307" s="233"/>
      <c r="CU307" s="233"/>
      <c r="CV307" s="233"/>
      <c r="CW307" s="233"/>
      <c r="CX307" s="233"/>
      <c r="CY307" s="233"/>
      <c r="CZ307" s="233"/>
      <c r="DA307" s="233"/>
      <c r="DB307" s="233"/>
      <c r="DC307" s="233"/>
      <c r="DD307" s="233"/>
      <c r="DE307" s="233"/>
      <c r="DF307" s="233"/>
      <c r="DG307" s="233"/>
      <c r="DH307" s="233"/>
      <c r="DI307" s="233"/>
      <c r="DJ307" s="233"/>
      <c r="DK307" s="233"/>
      <c r="DL307" s="233"/>
      <c r="DM307" s="233"/>
      <c r="DN307" s="233"/>
      <c r="DO307" s="233"/>
      <c r="DP307" s="233"/>
      <c r="DQ307" s="233"/>
      <c r="DR307" s="233"/>
      <c r="DS307" s="233"/>
      <c r="DT307" s="233"/>
      <c r="DU307" s="233"/>
      <c r="DV307" s="233"/>
      <c r="DW307" s="233"/>
      <c r="DX307" s="233"/>
      <c r="DY307" s="233"/>
      <c r="DZ307" s="233"/>
      <c r="EA307" s="233"/>
      <c r="EB307" s="233"/>
      <c r="EC307" s="233"/>
      <c r="ED307" s="233"/>
      <c r="EE307" s="233"/>
      <c r="EF307" s="233"/>
      <c r="EG307" s="233"/>
      <c r="EH307" s="233"/>
      <c r="EI307" s="233"/>
      <c r="EJ307" s="233"/>
      <c r="EK307" s="233"/>
      <c r="EL307" s="233"/>
      <c r="EM307" s="233"/>
      <c r="EN307" s="233"/>
      <c r="EO307" s="233"/>
      <c r="EP307" s="233"/>
    </row>
    <row r="308" spans="1:146" ht="14.25" x14ac:dyDescent="0.2">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c r="BH308" s="233"/>
      <c r="BI308" s="233"/>
      <c r="BJ308" s="233"/>
      <c r="BK308" s="233"/>
      <c r="BL308" s="233"/>
      <c r="BM308" s="233"/>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33"/>
      <c r="CI308" s="233"/>
      <c r="CJ308" s="233"/>
      <c r="CK308" s="233"/>
      <c r="CL308" s="233"/>
      <c r="CM308" s="233"/>
      <c r="CN308" s="233"/>
      <c r="CO308" s="233"/>
      <c r="CP308" s="233"/>
      <c r="CQ308" s="233"/>
      <c r="CR308" s="233"/>
      <c r="CS308" s="233"/>
      <c r="CT308" s="233"/>
      <c r="CU308" s="233"/>
      <c r="CV308" s="233"/>
      <c r="CW308" s="233"/>
      <c r="CX308" s="233"/>
      <c r="CY308" s="233"/>
      <c r="CZ308" s="233"/>
      <c r="DA308" s="233"/>
      <c r="DB308" s="233"/>
      <c r="DC308" s="233"/>
      <c r="DD308" s="233"/>
      <c r="DE308" s="233"/>
      <c r="DF308" s="233"/>
      <c r="DG308" s="233"/>
      <c r="DH308" s="233"/>
      <c r="DI308" s="233"/>
      <c r="DJ308" s="233"/>
      <c r="DK308" s="233"/>
      <c r="DL308" s="233"/>
      <c r="DM308" s="233"/>
      <c r="DN308" s="233"/>
      <c r="DO308" s="233"/>
      <c r="DP308" s="233"/>
      <c r="DQ308" s="233"/>
      <c r="DR308" s="233"/>
      <c r="DS308" s="233"/>
      <c r="DT308" s="233"/>
      <c r="DU308" s="233"/>
      <c r="DV308" s="233"/>
      <c r="DW308" s="233"/>
      <c r="DX308" s="233"/>
      <c r="DY308" s="233"/>
      <c r="DZ308" s="233"/>
      <c r="EA308" s="233"/>
      <c r="EB308" s="233"/>
      <c r="EC308" s="233"/>
      <c r="ED308" s="233"/>
      <c r="EE308" s="233"/>
      <c r="EF308" s="233"/>
      <c r="EG308" s="233"/>
      <c r="EH308" s="233"/>
      <c r="EI308" s="233"/>
      <c r="EJ308" s="233"/>
      <c r="EK308" s="233"/>
      <c r="EL308" s="233"/>
      <c r="EM308" s="233"/>
      <c r="EN308" s="233"/>
      <c r="EO308" s="233"/>
      <c r="EP308" s="233"/>
    </row>
    <row r="309" spans="1:146" ht="14.25" x14ac:dyDescent="0.2">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33"/>
      <c r="CN309" s="233"/>
      <c r="CO309" s="233"/>
      <c r="CP309" s="233"/>
      <c r="CQ309" s="233"/>
      <c r="CR309" s="233"/>
      <c r="CS309" s="233"/>
      <c r="CT309" s="233"/>
      <c r="CU309" s="233"/>
      <c r="CV309" s="233"/>
      <c r="CW309" s="233"/>
      <c r="CX309" s="233"/>
      <c r="CY309" s="233"/>
      <c r="CZ309" s="233"/>
      <c r="DA309" s="233"/>
      <c r="DB309" s="233"/>
      <c r="DC309" s="233"/>
      <c r="DD309" s="233"/>
      <c r="DE309" s="233"/>
      <c r="DF309" s="233"/>
      <c r="DG309" s="233"/>
      <c r="DH309" s="233"/>
      <c r="DI309" s="233"/>
      <c r="DJ309" s="233"/>
      <c r="DK309" s="233"/>
      <c r="DL309" s="233"/>
      <c r="DM309" s="233"/>
      <c r="DN309" s="233"/>
      <c r="DO309" s="233"/>
      <c r="DP309" s="233"/>
      <c r="DQ309" s="233"/>
      <c r="DR309" s="233"/>
      <c r="DS309" s="233"/>
      <c r="DT309" s="233"/>
      <c r="DU309" s="233"/>
      <c r="DV309" s="233"/>
      <c r="DW309" s="233"/>
      <c r="DX309" s="233"/>
      <c r="DY309" s="233"/>
      <c r="DZ309" s="233"/>
      <c r="EA309" s="233"/>
      <c r="EB309" s="233"/>
      <c r="EC309" s="233"/>
      <c r="ED309" s="233"/>
      <c r="EE309" s="233"/>
      <c r="EF309" s="233"/>
      <c r="EG309" s="233"/>
      <c r="EH309" s="233"/>
      <c r="EI309" s="233"/>
      <c r="EJ309" s="233"/>
      <c r="EK309" s="233"/>
      <c r="EL309" s="233"/>
      <c r="EM309" s="233"/>
      <c r="EN309" s="233"/>
      <c r="EO309" s="233"/>
      <c r="EP309" s="233"/>
    </row>
    <row r="310" spans="1:146" ht="14.25" x14ac:dyDescent="0.2">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c r="DT310" s="233"/>
      <c r="DU310" s="233"/>
      <c r="DV310" s="233"/>
      <c r="DW310" s="233"/>
      <c r="DX310" s="233"/>
      <c r="DY310" s="233"/>
      <c r="DZ310" s="233"/>
      <c r="EA310" s="233"/>
      <c r="EB310" s="233"/>
      <c r="EC310" s="233"/>
      <c r="ED310" s="233"/>
      <c r="EE310" s="233"/>
      <c r="EF310" s="233"/>
      <c r="EG310" s="233"/>
      <c r="EH310" s="233"/>
      <c r="EI310" s="233"/>
      <c r="EJ310" s="233"/>
      <c r="EK310" s="233"/>
      <c r="EL310" s="233"/>
      <c r="EM310" s="233"/>
      <c r="EN310" s="233"/>
      <c r="EO310" s="233"/>
      <c r="EP310" s="233"/>
    </row>
    <row r="311" spans="1:146" ht="14.25" x14ac:dyDescent="0.2">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c r="BH311" s="233"/>
      <c r="BI311" s="233"/>
      <c r="BJ311" s="233"/>
      <c r="BK311" s="233"/>
      <c r="BL311" s="233"/>
      <c r="BM311" s="233"/>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33"/>
      <c r="CI311" s="233"/>
      <c r="CJ311" s="233"/>
      <c r="CK311" s="233"/>
      <c r="CL311" s="233"/>
      <c r="CM311" s="233"/>
      <c r="CN311" s="233"/>
      <c r="CO311" s="233"/>
      <c r="CP311" s="233"/>
      <c r="CQ311" s="233"/>
      <c r="CR311" s="233"/>
      <c r="CS311" s="233"/>
      <c r="CT311" s="233"/>
      <c r="CU311" s="233"/>
      <c r="CV311" s="233"/>
      <c r="CW311" s="233"/>
      <c r="CX311" s="233"/>
      <c r="CY311" s="233"/>
      <c r="CZ311" s="233"/>
      <c r="DA311" s="233"/>
      <c r="DB311" s="233"/>
      <c r="DC311" s="233"/>
      <c r="DD311" s="233"/>
      <c r="DE311" s="233"/>
      <c r="DF311" s="233"/>
      <c r="DG311" s="233"/>
      <c r="DH311" s="233"/>
      <c r="DI311" s="233"/>
      <c r="DJ311" s="233"/>
      <c r="DK311" s="233"/>
      <c r="DL311" s="233"/>
      <c r="DM311" s="233"/>
      <c r="DN311" s="233"/>
      <c r="DO311" s="233"/>
      <c r="DP311" s="233"/>
      <c r="DQ311" s="233"/>
      <c r="DR311" s="233"/>
      <c r="DS311" s="233"/>
      <c r="DT311" s="233"/>
      <c r="DU311" s="233"/>
      <c r="DV311" s="233"/>
      <c r="DW311" s="233"/>
      <c r="DX311" s="233"/>
      <c r="DY311" s="233"/>
      <c r="DZ311" s="233"/>
      <c r="EA311" s="233"/>
      <c r="EB311" s="233"/>
      <c r="EC311" s="233"/>
      <c r="ED311" s="233"/>
      <c r="EE311" s="233"/>
      <c r="EF311" s="233"/>
      <c r="EG311" s="233"/>
      <c r="EH311" s="233"/>
      <c r="EI311" s="233"/>
      <c r="EJ311" s="233"/>
      <c r="EK311" s="233"/>
      <c r="EL311" s="233"/>
      <c r="EM311" s="233"/>
      <c r="EN311" s="233"/>
      <c r="EO311" s="233"/>
      <c r="EP311" s="233"/>
    </row>
    <row r="312" spans="1:146" ht="14.25" x14ac:dyDescent="0.2">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33"/>
      <c r="CN312" s="233"/>
      <c r="CO312" s="233"/>
      <c r="CP312" s="233"/>
      <c r="CQ312" s="233"/>
      <c r="CR312" s="233"/>
      <c r="CS312" s="233"/>
      <c r="CT312" s="233"/>
      <c r="CU312" s="233"/>
      <c r="CV312" s="233"/>
      <c r="CW312" s="233"/>
      <c r="CX312" s="233"/>
      <c r="CY312" s="233"/>
      <c r="CZ312" s="233"/>
      <c r="DA312" s="233"/>
      <c r="DB312" s="233"/>
      <c r="DC312" s="233"/>
      <c r="DD312" s="233"/>
      <c r="DE312" s="233"/>
      <c r="DF312" s="233"/>
      <c r="DG312" s="233"/>
      <c r="DH312" s="233"/>
      <c r="DI312" s="233"/>
      <c r="DJ312" s="233"/>
      <c r="DK312" s="233"/>
      <c r="DL312" s="233"/>
      <c r="DM312" s="233"/>
      <c r="DN312" s="233"/>
      <c r="DO312" s="233"/>
      <c r="DP312" s="233"/>
      <c r="DQ312" s="233"/>
      <c r="DR312" s="233"/>
      <c r="DS312" s="233"/>
      <c r="DT312" s="233"/>
      <c r="DU312" s="233"/>
      <c r="DV312" s="233"/>
      <c r="DW312" s="233"/>
      <c r="DX312" s="233"/>
      <c r="DY312" s="233"/>
      <c r="DZ312" s="233"/>
      <c r="EA312" s="233"/>
      <c r="EB312" s="233"/>
      <c r="EC312" s="233"/>
      <c r="ED312" s="233"/>
      <c r="EE312" s="233"/>
      <c r="EF312" s="233"/>
      <c r="EG312" s="233"/>
      <c r="EH312" s="233"/>
      <c r="EI312" s="233"/>
      <c r="EJ312" s="233"/>
      <c r="EK312" s="233"/>
      <c r="EL312" s="233"/>
      <c r="EM312" s="233"/>
      <c r="EN312" s="233"/>
      <c r="EO312" s="233"/>
      <c r="EP312" s="233"/>
    </row>
    <row r="313" spans="1:146" ht="14.25" x14ac:dyDescent="0.2">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33"/>
      <c r="CN313" s="233"/>
      <c r="CO313" s="233"/>
      <c r="CP313" s="233"/>
      <c r="CQ313" s="233"/>
      <c r="CR313" s="233"/>
      <c r="CS313" s="233"/>
      <c r="CT313" s="233"/>
      <c r="CU313" s="233"/>
      <c r="CV313" s="233"/>
      <c r="CW313" s="233"/>
      <c r="CX313" s="233"/>
      <c r="CY313" s="233"/>
      <c r="CZ313" s="233"/>
      <c r="DA313" s="233"/>
      <c r="DB313" s="233"/>
      <c r="DC313" s="233"/>
      <c r="DD313" s="233"/>
      <c r="DE313" s="233"/>
      <c r="DF313" s="233"/>
      <c r="DG313" s="233"/>
      <c r="DH313" s="233"/>
      <c r="DI313" s="233"/>
      <c r="DJ313" s="233"/>
      <c r="DK313" s="233"/>
      <c r="DL313" s="233"/>
      <c r="DM313" s="233"/>
      <c r="DN313" s="233"/>
      <c r="DO313" s="233"/>
      <c r="DP313" s="233"/>
      <c r="DQ313" s="233"/>
      <c r="DR313" s="233"/>
      <c r="DS313" s="233"/>
      <c r="DT313" s="233"/>
      <c r="DU313" s="233"/>
      <c r="DV313" s="233"/>
      <c r="DW313" s="233"/>
      <c r="DX313" s="233"/>
      <c r="DY313" s="233"/>
      <c r="DZ313" s="233"/>
      <c r="EA313" s="233"/>
      <c r="EB313" s="233"/>
      <c r="EC313" s="233"/>
      <c r="ED313" s="233"/>
      <c r="EE313" s="233"/>
      <c r="EF313" s="233"/>
      <c r="EG313" s="233"/>
      <c r="EH313" s="233"/>
      <c r="EI313" s="233"/>
      <c r="EJ313" s="233"/>
      <c r="EK313" s="233"/>
      <c r="EL313" s="233"/>
      <c r="EM313" s="233"/>
      <c r="EN313" s="233"/>
      <c r="EO313" s="233"/>
      <c r="EP313" s="233"/>
    </row>
    <row r="314" spans="1:146" ht="14.25" x14ac:dyDescent="0.2">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c r="BH314" s="233"/>
      <c r="BI314" s="233"/>
      <c r="BJ314" s="233"/>
      <c r="BK314" s="233"/>
      <c r="BL314" s="233"/>
      <c r="BM314" s="233"/>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33"/>
      <c r="CI314" s="233"/>
      <c r="CJ314" s="233"/>
      <c r="CK314" s="233"/>
      <c r="CL314" s="233"/>
      <c r="CM314" s="233"/>
      <c r="CN314" s="233"/>
      <c r="CO314" s="233"/>
      <c r="CP314" s="233"/>
      <c r="CQ314" s="233"/>
      <c r="CR314" s="233"/>
      <c r="CS314" s="233"/>
      <c r="CT314" s="233"/>
      <c r="CU314" s="233"/>
      <c r="CV314" s="233"/>
      <c r="CW314" s="233"/>
      <c r="CX314" s="233"/>
      <c r="CY314" s="233"/>
      <c r="CZ314" s="233"/>
      <c r="DA314" s="233"/>
      <c r="DB314" s="233"/>
      <c r="DC314" s="233"/>
      <c r="DD314" s="233"/>
      <c r="DE314" s="233"/>
      <c r="DF314" s="233"/>
      <c r="DG314" s="233"/>
      <c r="DH314" s="233"/>
      <c r="DI314" s="233"/>
      <c r="DJ314" s="233"/>
      <c r="DK314" s="233"/>
      <c r="DL314" s="233"/>
      <c r="DM314" s="233"/>
      <c r="DN314" s="233"/>
      <c r="DO314" s="233"/>
      <c r="DP314" s="233"/>
      <c r="DQ314" s="233"/>
      <c r="DR314" s="233"/>
      <c r="DS314" s="233"/>
      <c r="DT314" s="233"/>
      <c r="DU314" s="233"/>
      <c r="DV314" s="233"/>
      <c r="DW314" s="233"/>
      <c r="DX314" s="233"/>
      <c r="DY314" s="233"/>
      <c r="DZ314" s="233"/>
      <c r="EA314" s="233"/>
      <c r="EB314" s="233"/>
      <c r="EC314" s="233"/>
      <c r="ED314" s="233"/>
      <c r="EE314" s="233"/>
      <c r="EF314" s="233"/>
      <c r="EG314" s="233"/>
      <c r="EH314" s="233"/>
      <c r="EI314" s="233"/>
      <c r="EJ314" s="233"/>
      <c r="EK314" s="233"/>
      <c r="EL314" s="233"/>
      <c r="EM314" s="233"/>
      <c r="EN314" s="233"/>
      <c r="EO314" s="233"/>
      <c r="EP314" s="233"/>
    </row>
    <row r="315" spans="1:146" ht="14.25" x14ac:dyDescent="0.2">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c r="BH315" s="233"/>
      <c r="BI315" s="233"/>
      <c r="BJ315" s="233"/>
      <c r="BK315" s="233"/>
      <c r="BL315" s="233"/>
      <c r="BM315" s="233"/>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33"/>
      <c r="CI315" s="233"/>
      <c r="CJ315" s="233"/>
      <c r="CK315" s="233"/>
      <c r="CL315" s="233"/>
      <c r="CM315" s="233"/>
      <c r="CN315" s="233"/>
      <c r="CO315" s="233"/>
      <c r="CP315" s="233"/>
      <c r="CQ315" s="233"/>
      <c r="CR315" s="233"/>
      <c r="CS315" s="233"/>
      <c r="CT315" s="233"/>
      <c r="CU315" s="233"/>
      <c r="CV315" s="233"/>
      <c r="CW315" s="233"/>
      <c r="CX315" s="233"/>
      <c r="CY315" s="233"/>
      <c r="CZ315" s="233"/>
      <c r="DA315" s="233"/>
      <c r="DB315" s="233"/>
      <c r="DC315" s="233"/>
      <c r="DD315" s="233"/>
      <c r="DE315" s="233"/>
      <c r="DF315" s="233"/>
      <c r="DG315" s="233"/>
      <c r="DH315" s="233"/>
      <c r="DI315" s="233"/>
      <c r="DJ315" s="233"/>
      <c r="DK315" s="233"/>
      <c r="DL315" s="233"/>
      <c r="DM315" s="233"/>
      <c r="DN315" s="233"/>
      <c r="DO315" s="233"/>
      <c r="DP315" s="233"/>
      <c r="DQ315" s="233"/>
      <c r="DR315" s="233"/>
      <c r="DS315" s="233"/>
      <c r="DT315" s="233"/>
      <c r="DU315" s="233"/>
      <c r="DV315" s="233"/>
      <c r="DW315" s="233"/>
      <c r="DX315" s="233"/>
      <c r="DY315" s="233"/>
      <c r="DZ315" s="233"/>
      <c r="EA315" s="233"/>
      <c r="EB315" s="233"/>
      <c r="EC315" s="233"/>
      <c r="ED315" s="233"/>
      <c r="EE315" s="233"/>
      <c r="EF315" s="233"/>
      <c r="EG315" s="233"/>
      <c r="EH315" s="233"/>
      <c r="EI315" s="233"/>
      <c r="EJ315" s="233"/>
      <c r="EK315" s="233"/>
      <c r="EL315" s="233"/>
      <c r="EM315" s="233"/>
      <c r="EN315" s="233"/>
      <c r="EO315" s="233"/>
      <c r="EP315" s="233"/>
    </row>
    <row r="316" spans="1:146" ht="14.25" x14ac:dyDescent="0.2">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row>
    <row r="317" spans="1:146" ht="14.25" x14ac:dyDescent="0.2">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33"/>
      <c r="CN317" s="233"/>
      <c r="CO317" s="233"/>
      <c r="CP317" s="233"/>
      <c r="CQ317" s="233"/>
      <c r="CR317" s="233"/>
      <c r="CS317" s="233"/>
      <c r="CT317" s="233"/>
      <c r="CU317" s="233"/>
      <c r="CV317" s="233"/>
      <c r="CW317" s="233"/>
      <c r="CX317" s="233"/>
      <c r="CY317" s="233"/>
      <c r="CZ317" s="233"/>
      <c r="DA317" s="233"/>
      <c r="DB317" s="233"/>
      <c r="DC317" s="233"/>
      <c r="DD317" s="233"/>
      <c r="DE317" s="233"/>
      <c r="DF317" s="233"/>
      <c r="DG317" s="233"/>
      <c r="DH317" s="233"/>
      <c r="DI317" s="233"/>
      <c r="DJ317" s="233"/>
      <c r="DK317" s="233"/>
      <c r="DL317" s="233"/>
      <c r="DM317" s="233"/>
      <c r="DN317" s="233"/>
      <c r="DO317" s="233"/>
      <c r="DP317" s="233"/>
      <c r="DQ317" s="233"/>
      <c r="DR317" s="233"/>
      <c r="DS317" s="233"/>
      <c r="DT317" s="233"/>
      <c r="DU317" s="233"/>
      <c r="DV317" s="233"/>
      <c r="DW317" s="233"/>
      <c r="DX317" s="233"/>
      <c r="DY317" s="233"/>
      <c r="DZ317" s="233"/>
      <c r="EA317" s="233"/>
      <c r="EB317" s="233"/>
      <c r="EC317" s="233"/>
      <c r="ED317" s="233"/>
      <c r="EE317" s="233"/>
      <c r="EF317" s="233"/>
      <c r="EG317" s="233"/>
      <c r="EH317" s="233"/>
      <c r="EI317" s="233"/>
      <c r="EJ317" s="233"/>
      <c r="EK317" s="233"/>
      <c r="EL317" s="233"/>
      <c r="EM317" s="233"/>
      <c r="EN317" s="233"/>
      <c r="EO317" s="233"/>
      <c r="EP317" s="233"/>
    </row>
    <row r="318" spans="1:146" ht="14.25" x14ac:dyDescent="0.2">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c r="BH318" s="233"/>
      <c r="BI318" s="233"/>
      <c r="BJ318" s="233"/>
      <c r="BK318" s="233"/>
      <c r="BL318" s="233"/>
      <c r="BM318" s="233"/>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33"/>
      <c r="CN318" s="233"/>
      <c r="CO318" s="233"/>
      <c r="CP318" s="233"/>
      <c r="CQ318" s="233"/>
      <c r="CR318" s="233"/>
      <c r="CS318" s="233"/>
      <c r="CT318" s="233"/>
      <c r="CU318" s="233"/>
      <c r="CV318" s="233"/>
      <c r="CW318" s="233"/>
      <c r="CX318" s="233"/>
      <c r="CY318" s="233"/>
      <c r="CZ318" s="233"/>
      <c r="DA318" s="233"/>
      <c r="DB318" s="233"/>
      <c r="DC318" s="233"/>
      <c r="DD318" s="233"/>
      <c r="DE318" s="233"/>
      <c r="DF318" s="233"/>
      <c r="DG318" s="233"/>
      <c r="DH318" s="233"/>
      <c r="DI318" s="233"/>
      <c r="DJ318" s="233"/>
      <c r="DK318" s="233"/>
      <c r="DL318" s="233"/>
      <c r="DM318" s="233"/>
      <c r="DN318" s="233"/>
      <c r="DO318" s="233"/>
      <c r="DP318" s="233"/>
      <c r="DQ318" s="233"/>
      <c r="DR318" s="233"/>
      <c r="DS318" s="233"/>
      <c r="DT318" s="233"/>
      <c r="DU318" s="233"/>
      <c r="DV318" s="233"/>
      <c r="DW318" s="233"/>
      <c r="DX318" s="233"/>
      <c r="DY318" s="233"/>
      <c r="DZ318" s="233"/>
      <c r="EA318" s="233"/>
      <c r="EB318" s="233"/>
      <c r="EC318" s="233"/>
      <c r="ED318" s="233"/>
      <c r="EE318" s="233"/>
      <c r="EF318" s="233"/>
      <c r="EG318" s="233"/>
      <c r="EH318" s="233"/>
      <c r="EI318" s="233"/>
      <c r="EJ318" s="233"/>
      <c r="EK318" s="233"/>
      <c r="EL318" s="233"/>
      <c r="EM318" s="233"/>
      <c r="EN318" s="233"/>
      <c r="EO318" s="233"/>
      <c r="EP318" s="233"/>
    </row>
    <row r="319" spans="1:146" ht="14.25" x14ac:dyDescent="0.2">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c r="BH319" s="233"/>
      <c r="BI319" s="233"/>
      <c r="BJ319" s="233"/>
      <c r="BK319" s="233"/>
      <c r="BL319" s="233"/>
      <c r="BM319" s="233"/>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33"/>
      <c r="CI319" s="233"/>
      <c r="CJ319" s="233"/>
      <c r="CK319" s="233"/>
      <c r="CL319" s="233"/>
      <c r="CM319" s="233"/>
      <c r="CN319" s="233"/>
      <c r="CO319" s="233"/>
      <c r="CP319" s="233"/>
      <c r="CQ319" s="233"/>
      <c r="CR319" s="233"/>
      <c r="CS319" s="233"/>
      <c r="CT319" s="233"/>
      <c r="CU319" s="233"/>
      <c r="CV319" s="233"/>
      <c r="CW319" s="233"/>
      <c r="CX319" s="233"/>
      <c r="CY319" s="233"/>
      <c r="CZ319" s="233"/>
      <c r="DA319" s="233"/>
      <c r="DB319" s="233"/>
      <c r="DC319" s="233"/>
      <c r="DD319" s="233"/>
      <c r="DE319" s="233"/>
      <c r="DF319" s="233"/>
      <c r="DG319" s="233"/>
      <c r="DH319" s="233"/>
      <c r="DI319" s="233"/>
      <c r="DJ319" s="233"/>
      <c r="DK319" s="233"/>
      <c r="DL319" s="233"/>
      <c r="DM319" s="233"/>
      <c r="DN319" s="233"/>
      <c r="DO319" s="233"/>
      <c r="DP319" s="233"/>
      <c r="DQ319" s="233"/>
      <c r="DR319" s="233"/>
      <c r="DS319" s="233"/>
      <c r="DT319" s="233"/>
      <c r="DU319" s="233"/>
      <c r="DV319" s="233"/>
      <c r="DW319" s="233"/>
      <c r="DX319" s="233"/>
      <c r="DY319" s="233"/>
      <c r="DZ319" s="233"/>
      <c r="EA319" s="233"/>
      <c r="EB319" s="233"/>
      <c r="EC319" s="233"/>
      <c r="ED319" s="233"/>
      <c r="EE319" s="233"/>
      <c r="EF319" s="233"/>
      <c r="EG319" s="233"/>
      <c r="EH319" s="233"/>
      <c r="EI319" s="233"/>
      <c r="EJ319" s="233"/>
      <c r="EK319" s="233"/>
      <c r="EL319" s="233"/>
      <c r="EM319" s="233"/>
      <c r="EN319" s="233"/>
      <c r="EO319" s="233"/>
      <c r="EP319" s="233"/>
    </row>
    <row r="320" spans="1:146" ht="14.25" x14ac:dyDescent="0.2">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row>
    <row r="321" spans="1:146" ht="14.25" x14ac:dyDescent="0.2">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row>
    <row r="322" spans="1:146" ht="14.25" x14ac:dyDescent="0.2">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c r="BH322" s="233"/>
      <c r="BI322" s="233"/>
      <c r="BJ322" s="233"/>
      <c r="BK322" s="233"/>
      <c r="BL322" s="233"/>
      <c r="BM322" s="233"/>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33"/>
      <c r="CN322" s="233"/>
      <c r="CO322" s="233"/>
      <c r="CP322" s="233"/>
      <c r="CQ322" s="233"/>
      <c r="CR322" s="233"/>
      <c r="CS322" s="233"/>
      <c r="CT322" s="233"/>
      <c r="CU322" s="233"/>
      <c r="CV322" s="233"/>
      <c r="CW322" s="233"/>
      <c r="CX322" s="233"/>
      <c r="CY322" s="233"/>
      <c r="CZ322" s="233"/>
      <c r="DA322" s="233"/>
      <c r="DB322" s="233"/>
      <c r="DC322" s="233"/>
      <c r="DD322" s="233"/>
      <c r="DE322" s="233"/>
      <c r="DF322" s="233"/>
      <c r="DG322" s="233"/>
      <c r="DH322" s="233"/>
      <c r="DI322" s="233"/>
      <c r="DJ322" s="233"/>
      <c r="DK322" s="233"/>
      <c r="DL322" s="233"/>
      <c r="DM322" s="233"/>
      <c r="DN322" s="233"/>
      <c r="DO322" s="233"/>
      <c r="DP322" s="233"/>
      <c r="DQ322" s="233"/>
      <c r="DR322" s="233"/>
      <c r="DS322" s="233"/>
      <c r="DT322" s="233"/>
      <c r="DU322" s="233"/>
      <c r="DV322" s="233"/>
      <c r="DW322" s="233"/>
      <c r="DX322" s="233"/>
      <c r="DY322" s="233"/>
      <c r="DZ322" s="233"/>
      <c r="EA322" s="233"/>
      <c r="EB322" s="233"/>
      <c r="EC322" s="233"/>
      <c r="ED322" s="233"/>
      <c r="EE322" s="233"/>
      <c r="EF322" s="233"/>
      <c r="EG322" s="233"/>
      <c r="EH322" s="233"/>
      <c r="EI322" s="233"/>
      <c r="EJ322" s="233"/>
      <c r="EK322" s="233"/>
      <c r="EL322" s="233"/>
      <c r="EM322" s="233"/>
      <c r="EN322" s="233"/>
      <c r="EO322" s="233"/>
      <c r="EP322" s="233"/>
    </row>
    <row r="323" spans="1:146" ht="14.25" x14ac:dyDescent="0.2">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33"/>
      <c r="CI323" s="233"/>
      <c r="CJ323" s="233"/>
      <c r="CK323" s="233"/>
      <c r="CL323" s="233"/>
      <c r="CM323" s="233"/>
      <c r="CN323" s="233"/>
      <c r="CO323" s="233"/>
      <c r="CP323" s="233"/>
      <c r="CQ323" s="233"/>
      <c r="CR323" s="233"/>
      <c r="CS323" s="233"/>
      <c r="CT323" s="233"/>
      <c r="CU323" s="233"/>
      <c r="CV323" s="233"/>
      <c r="CW323" s="233"/>
      <c r="CX323" s="233"/>
      <c r="CY323" s="233"/>
      <c r="CZ323" s="233"/>
      <c r="DA323" s="233"/>
      <c r="DB323" s="233"/>
      <c r="DC323" s="233"/>
      <c r="DD323" s="233"/>
      <c r="DE323" s="233"/>
      <c r="DF323" s="233"/>
      <c r="DG323" s="233"/>
      <c r="DH323" s="233"/>
      <c r="DI323" s="233"/>
      <c r="DJ323" s="233"/>
      <c r="DK323" s="233"/>
      <c r="DL323" s="233"/>
      <c r="DM323" s="233"/>
      <c r="DN323" s="233"/>
      <c r="DO323" s="233"/>
      <c r="DP323" s="233"/>
      <c r="DQ323" s="233"/>
      <c r="DR323" s="233"/>
      <c r="DS323" s="233"/>
      <c r="DT323" s="233"/>
      <c r="DU323" s="233"/>
      <c r="DV323" s="233"/>
      <c r="DW323" s="233"/>
      <c r="DX323" s="233"/>
      <c r="DY323" s="233"/>
      <c r="DZ323" s="233"/>
      <c r="EA323" s="233"/>
      <c r="EB323" s="233"/>
      <c r="EC323" s="233"/>
      <c r="ED323" s="233"/>
      <c r="EE323" s="233"/>
      <c r="EF323" s="233"/>
      <c r="EG323" s="233"/>
      <c r="EH323" s="233"/>
      <c r="EI323" s="233"/>
      <c r="EJ323" s="233"/>
      <c r="EK323" s="233"/>
      <c r="EL323" s="233"/>
      <c r="EM323" s="233"/>
      <c r="EN323" s="233"/>
      <c r="EO323" s="233"/>
      <c r="EP323" s="233"/>
    </row>
    <row r="324" spans="1:146" ht="14.25" x14ac:dyDescent="0.2">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c r="BH324" s="233"/>
      <c r="BI324" s="233"/>
      <c r="BJ324" s="233"/>
      <c r="BK324" s="233"/>
      <c r="BL324" s="233"/>
      <c r="BM324" s="233"/>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33"/>
      <c r="CI324" s="233"/>
      <c r="CJ324" s="233"/>
      <c r="CK324" s="233"/>
      <c r="CL324" s="233"/>
      <c r="CM324" s="233"/>
      <c r="CN324" s="233"/>
      <c r="CO324" s="233"/>
      <c r="CP324" s="233"/>
      <c r="CQ324" s="233"/>
      <c r="CR324" s="233"/>
      <c r="CS324" s="233"/>
      <c r="CT324" s="233"/>
      <c r="CU324" s="233"/>
      <c r="CV324" s="233"/>
      <c r="CW324" s="233"/>
      <c r="CX324" s="233"/>
      <c r="CY324" s="233"/>
      <c r="CZ324" s="233"/>
      <c r="DA324" s="233"/>
      <c r="DB324" s="233"/>
      <c r="DC324" s="233"/>
      <c r="DD324" s="233"/>
      <c r="DE324" s="233"/>
      <c r="DF324" s="233"/>
      <c r="DG324" s="233"/>
      <c r="DH324" s="233"/>
      <c r="DI324" s="233"/>
      <c r="DJ324" s="233"/>
      <c r="DK324" s="233"/>
      <c r="DL324" s="233"/>
      <c r="DM324" s="233"/>
      <c r="DN324" s="233"/>
      <c r="DO324" s="233"/>
      <c r="DP324" s="233"/>
      <c r="DQ324" s="233"/>
      <c r="DR324" s="233"/>
      <c r="DS324" s="233"/>
      <c r="DT324" s="233"/>
      <c r="DU324" s="233"/>
      <c r="DV324" s="233"/>
      <c r="DW324" s="233"/>
      <c r="DX324" s="233"/>
      <c r="DY324" s="233"/>
      <c r="DZ324" s="233"/>
      <c r="EA324" s="233"/>
      <c r="EB324" s="233"/>
      <c r="EC324" s="233"/>
      <c r="ED324" s="233"/>
      <c r="EE324" s="233"/>
      <c r="EF324" s="233"/>
      <c r="EG324" s="233"/>
      <c r="EH324" s="233"/>
      <c r="EI324" s="233"/>
      <c r="EJ324" s="233"/>
      <c r="EK324" s="233"/>
      <c r="EL324" s="233"/>
      <c r="EM324" s="233"/>
      <c r="EN324" s="233"/>
      <c r="EO324" s="233"/>
      <c r="EP324" s="233"/>
    </row>
    <row r="325" spans="1:146" ht="14.25" x14ac:dyDescent="0.2">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c r="BH325" s="233"/>
      <c r="BI325" s="233"/>
      <c r="BJ325" s="233"/>
      <c r="BK325" s="233"/>
      <c r="BL325" s="233"/>
      <c r="BM325" s="233"/>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33"/>
      <c r="CI325" s="233"/>
      <c r="CJ325" s="233"/>
      <c r="CK325" s="233"/>
      <c r="CL325" s="233"/>
      <c r="CM325" s="233"/>
      <c r="CN325" s="233"/>
      <c r="CO325" s="233"/>
      <c r="CP325" s="233"/>
      <c r="CQ325" s="233"/>
      <c r="CR325" s="233"/>
      <c r="CS325" s="233"/>
      <c r="CT325" s="233"/>
      <c r="CU325" s="233"/>
      <c r="CV325" s="233"/>
      <c r="CW325" s="233"/>
      <c r="CX325" s="233"/>
      <c r="CY325" s="233"/>
      <c r="CZ325" s="233"/>
      <c r="DA325" s="233"/>
      <c r="DB325" s="233"/>
      <c r="DC325" s="233"/>
      <c r="DD325" s="233"/>
      <c r="DE325" s="233"/>
      <c r="DF325" s="233"/>
      <c r="DG325" s="233"/>
      <c r="DH325" s="233"/>
      <c r="DI325" s="233"/>
      <c r="DJ325" s="233"/>
      <c r="DK325" s="233"/>
      <c r="DL325" s="233"/>
      <c r="DM325" s="233"/>
      <c r="DN325" s="233"/>
      <c r="DO325" s="233"/>
      <c r="DP325" s="233"/>
      <c r="DQ325" s="233"/>
      <c r="DR325" s="233"/>
      <c r="DS325" s="233"/>
      <c r="DT325" s="233"/>
      <c r="DU325" s="233"/>
      <c r="DV325" s="233"/>
      <c r="DW325" s="233"/>
      <c r="DX325" s="233"/>
      <c r="DY325" s="233"/>
      <c r="DZ325" s="233"/>
      <c r="EA325" s="233"/>
      <c r="EB325" s="233"/>
      <c r="EC325" s="233"/>
      <c r="ED325" s="233"/>
      <c r="EE325" s="233"/>
      <c r="EF325" s="233"/>
      <c r="EG325" s="233"/>
      <c r="EH325" s="233"/>
      <c r="EI325" s="233"/>
      <c r="EJ325" s="233"/>
      <c r="EK325" s="233"/>
      <c r="EL325" s="233"/>
      <c r="EM325" s="233"/>
      <c r="EN325" s="233"/>
      <c r="EO325" s="233"/>
      <c r="EP325" s="233"/>
    </row>
    <row r="326" spans="1:146" ht="14.25" x14ac:dyDescent="0.2">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c r="BH326" s="233"/>
      <c r="BI326" s="233"/>
      <c r="BJ326" s="233"/>
      <c r="BK326" s="233"/>
      <c r="BL326" s="233"/>
      <c r="BM326" s="233"/>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33"/>
      <c r="CI326" s="233"/>
      <c r="CJ326" s="233"/>
      <c r="CK326" s="233"/>
      <c r="CL326" s="233"/>
      <c r="CM326" s="233"/>
      <c r="CN326" s="233"/>
      <c r="CO326" s="233"/>
      <c r="CP326" s="233"/>
      <c r="CQ326" s="233"/>
      <c r="CR326" s="233"/>
      <c r="CS326" s="233"/>
      <c r="CT326" s="233"/>
      <c r="CU326" s="233"/>
      <c r="CV326" s="233"/>
      <c r="CW326" s="233"/>
      <c r="CX326" s="233"/>
      <c r="CY326" s="233"/>
      <c r="CZ326" s="233"/>
      <c r="DA326" s="233"/>
      <c r="DB326" s="233"/>
      <c r="DC326" s="233"/>
      <c r="DD326" s="233"/>
      <c r="DE326" s="233"/>
      <c r="DF326" s="233"/>
      <c r="DG326" s="233"/>
      <c r="DH326" s="233"/>
      <c r="DI326" s="233"/>
      <c r="DJ326" s="233"/>
      <c r="DK326" s="233"/>
      <c r="DL326" s="233"/>
      <c r="DM326" s="233"/>
      <c r="DN326" s="233"/>
      <c r="DO326" s="233"/>
      <c r="DP326" s="233"/>
      <c r="DQ326" s="233"/>
      <c r="DR326" s="233"/>
      <c r="DS326" s="233"/>
      <c r="DT326" s="233"/>
      <c r="DU326" s="233"/>
      <c r="DV326" s="233"/>
      <c r="DW326" s="233"/>
      <c r="DX326" s="233"/>
      <c r="DY326" s="233"/>
      <c r="DZ326" s="233"/>
      <c r="EA326" s="233"/>
      <c r="EB326" s="233"/>
      <c r="EC326" s="233"/>
      <c r="ED326" s="233"/>
      <c r="EE326" s="233"/>
      <c r="EF326" s="233"/>
      <c r="EG326" s="233"/>
      <c r="EH326" s="233"/>
      <c r="EI326" s="233"/>
      <c r="EJ326" s="233"/>
      <c r="EK326" s="233"/>
      <c r="EL326" s="233"/>
      <c r="EM326" s="233"/>
      <c r="EN326" s="233"/>
      <c r="EO326" s="233"/>
      <c r="EP326" s="233"/>
    </row>
    <row r="327" spans="1:146" ht="14.25" x14ac:dyDescent="0.2">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c r="BH327" s="233"/>
      <c r="BI327" s="233"/>
      <c r="BJ327" s="233"/>
      <c r="BK327" s="233"/>
      <c r="BL327" s="233"/>
      <c r="BM327" s="233"/>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33"/>
      <c r="CI327" s="233"/>
      <c r="CJ327" s="233"/>
      <c r="CK327" s="233"/>
      <c r="CL327" s="233"/>
      <c r="CM327" s="233"/>
      <c r="CN327" s="233"/>
      <c r="CO327" s="233"/>
      <c r="CP327" s="233"/>
      <c r="CQ327" s="233"/>
      <c r="CR327" s="233"/>
      <c r="CS327" s="233"/>
      <c r="CT327" s="233"/>
      <c r="CU327" s="233"/>
      <c r="CV327" s="233"/>
      <c r="CW327" s="233"/>
      <c r="CX327" s="233"/>
      <c r="CY327" s="233"/>
      <c r="CZ327" s="233"/>
      <c r="DA327" s="233"/>
      <c r="DB327" s="233"/>
      <c r="DC327" s="233"/>
      <c r="DD327" s="233"/>
      <c r="DE327" s="233"/>
      <c r="DF327" s="233"/>
      <c r="DG327" s="233"/>
      <c r="DH327" s="233"/>
      <c r="DI327" s="233"/>
      <c r="DJ327" s="233"/>
      <c r="DK327" s="233"/>
      <c r="DL327" s="233"/>
      <c r="DM327" s="233"/>
      <c r="DN327" s="233"/>
      <c r="DO327" s="233"/>
      <c r="DP327" s="233"/>
      <c r="DQ327" s="233"/>
      <c r="DR327" s="233"/>
      <c r="DS327" s="233"/>
      <c r="DT327" s="233"/>
      <c r="DU327" s="233"/>
      <c r="DV327" s="233"/>
      <c r="DW327" s="233"/>
      <c r="DX327" s="233"/>
      <c r="DY327" s="233"/>
      <c r="DZ327" s="233"/>
      <c r="EA327" s="233"/>
      <c r="EB327" s="233"/>
      <c r="EC327" s="233"/>
      <c r="ED327" s="233"/>
      <c r="EE327" s="233"/>
      <c r="EF327" s="233"/>
      <c r="EG327" s="233"/>
      <c r="EH327" s="233"/>
      <c r="EI327" s="233"/>
      <c r="EJ327" s="233"/>
      <c r="EK327" s="233"/>
      <c r="EL327" s="233"/>
      <c r="EM327" s="233"/>
      <c r="EN327" s="233"/>
      <c r="EO327" s="233"/>
      <c r="EP327" s="233"/>
    </row>
    <row r="328" spans="1:146" ht="14.25" x14ac:dyDescent="0.2">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33"/>
      <c r="CN328" s="233"/>
      <c r="CO328" s="233"/>
      <c r="CP328" s="233"/>
      <c r="CQ328" s="233"/>
      <c r="CR328" s="233"/>
      <c r="CS328" s="233"/>
      <c r="CT328" s="233"/>
      <c r="CU328" s="233"/>
      <c r="CV328" s="233"/>
      <c r="CW328" s="233"/>
      <c r="CX328" s="233"/>
      <c r="CY328" s="233"/>
      <c r="CZ328" s="233"/>
      <c r="DA328" s="233"/>
      <c r="DB328" s="233"/>
      <c r="DC328" s="233"/>
      <c r="DD328" s="233"/>
      <c r="DE328" s="233"/>
      <c r="DF328" s="233"/>
      <c r="DG328" s="233"/>
      <c r="DH328" s="233"/>
      <c r="DI328" s="233"/>
      <c r="DJ328" s="233"/>
      <c r="DK328" s="233"/>
      <c r="DL328" s="233"/>
      <c r="DM328" s="233"/>
      <c r="DN328" s="233"/>
      <c r="DO328" s="233"/>
      <c r="DP328" s="233"/>
      <c r="DQ328" s="233"/>
      <c r="DR328" s="233"/>
      <c r="DS328" s="233"/>
      <c r="DT328" s="233"/>
      <c r="DU328" s="233"/>
      <c r="DV328" s="233"/>
      <c r="DW328" s="233"/>
      <c r="DX328" s="233"/>
      <c r="DY328" s="233"/>
      <c r="DZ328" s="233"/>
      <c r="EA328" s="233"/>
      <c r="EB328" s="233"/>
      <c r="EC328" s="233"/>
      <c r="ED328" s="233"/>
      <c r="EE328" s="233"/>
      <c r="EF328" s="233"/>
      <c r="EG328" s="233"/>
      <c r="EH328" s="233"/>
      <c r="EI328" s="233"/>
      <c r="EJ328" s="233"/>
      <c r="EK328" s="233"/>
      <c r="EL328" s="233"/>
      <c r="EM328" s="233"/>
      <c r="EN328" s="233"/>
      <c r="EO328" s="233"/>
      <c r="EP328" s="233"/>
    </row>
    <row r="329" spans="1:146" ht="14.25" x14ac:dyDescent="0.2">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c r="BH329" s="233"/>
      <c r="BI329" s="233"/>
      <c r="BJ329" s="233"/>
      <c r="BK329" s="233"/>
      <c r="BL329" s="233"/>
      <c r="BM329" s="233"/>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33"/>
      <c r="CI329" s="233"/>
      <c r="CJ329" s="233"/>
      <c r="CK329" s="233"/>
      <c r="CL329" s="233"/>
      <c r="CM329" s="233"/>
      <c r="CN329" s="233"/>
      <c r="CO329" s="233"/>
      <c r="CP329" s="233"/>
      <c r="CQ329" s="233"/>
      <c r="CR329" s="233"/>
      <c r="CS329" s="233"/>
      <c r="CT329" s="233"/>
      <c r="CU329" s="233"/>
      <c r="CV329" s="233"/>
      <c r="CW329" s="233"/>
      <c r="CX329" s="233"/>
      <c r="CY329" s="233"/>
      <c r="CZ329" s="233"/>
      <c r="DA329" s="233"/>
      <c r="DB329" s="233"/>
      <c r="DC329" s="233"/>
      <c r="DD329" s="233"/>
      <c r="DE329" s="233"/>
      <c r="DF329" s="233"/>
      <c r="DG329" s="233"/>
      <c r="DH329" s="233"/>
      <c r="DI329" s="233"/>
      <c r="DJ329" s="233"/>
      <c r="DK329" s="233"/>
      <c r="DL329" s="233"/>
      <c r="DM329" s="233"/>
      <c r="DN329" s="233"/>
      <c r="DO329" s="233"/>
      <c r="DP329" s="233"/>
      <c r="DQ329" s="233"/>
      <c r="DR329" s="233"/>
      <c r="DS329" s="233"/>
      <c r="DT329" s="233"/>
      <c r="DU329" s="233"/>
      <c r="DV329" s="233"/>
      <c r="DW329" s="233"/>
      <c r="DX329" s="233"/>
      <c r="DY329" s="233"/>
      <c r="DZ329" s="233"/>
      <c r="EA329" s="233"/>
      <c r="EB329" s="233"/>
      <c r="EC329" s="233"/>
      <c r="ED329" s="233"/>
      <c r="EE329" s="233"/>
      <c r="EF329" s="233"/>
      <c r="EG329" s="233"/>
      <c r="EH329" s="233"/>
      <c r="EI329" s="233"/>
      <c r="EJ329" s="233"/>
      <c r="EK329" s="233"/>
      <c r="EL329" s="233"/>
      <c r="EM329" s="233"/>
      <c r="EN329" s="233"/>
      <c r="EO329" s="233"/>
      <c r="EP329" s="233"/>
    </row>
    <row r="330" spans="1:146" ht="14.25" x14ac:dyDescent="0.2">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33"/>
      <c r="CN330" s="233"/>
      <c r="CO330" s="233"/>
      <c r="CP330" s="233"/>
      <c r="CQ330" s="233"/>
      <c r="CR330" s="233"/>
      <c r="CS330" s="233"/>
      <c r="CT330" s="233"/>
      <c r="CU330" s="233"/>
      <c r="CV330" s="233"/>
      <c r="CW330" s="233"/>
      <c r="CX330" s="233"/>
      <c r="CY330" s="233"/>
      <c r="CZ330" s="233"/>
      <c r="DA330" s="233"/>
      <c r="DB330" s="233"/>
      <c r="DC330" s="233"/>
      <c r="DD330" s="233"/>
      <c r="DE330" s="233"/>
      <c r="DF330" s="233"/>
      <c r="DG330" s="233"/>
      <c r="DH330" s="233"/>
      <c r="DI330" s="233"/>
      <c r="DJ330" s="233"/>
      <c r="DK330" s="233"/>
      <c r="DL330" s="233"/>
      <c r="DM330" s="233"/>
      <c r="DN330" s="233"/>
      <c r="DO330" s="233"/>
      <c r="DP330" s="233"/>
      <c r="DQ330" s="233"/>
      <c r="DR330" s="233"/>
      <c r="DS330" s="233"/>
      <c r="DT330" s="233"/>
      <c r="DU330" s="233"/>
      <c r="DV330" s="233"/>
      <c r="DW330" s="233"/>
      <c r="DX330" s="233"/>
      <c r="DY330" s="233"/>
      <c r="DZ330" s="233"/>
      <c r="EA330" s="233"/>
      <c r="EB330" s="233"/>
      <c r="EC330" s="233"/>
      <c r="ED330" s="233"/>
      <c r="EE330" s="233"/>
      <c r="EF330" s="233"/>
      <c r="EG330" s="233"/>
      <c r="EH330" s="233"/>
      <c r="EI330" s="233"/>
      <c r="EJ330" s="233"/>
      <c r="EK330" s="233"/>
      <c r="EL330" s="233"/>
      <c r="EM330" s="233"/>
      <c r="EN330" s="233"/>
      <c r="EO330" s="233"/>
      <c r="EP330" s="233"/>
    </row>
    <row r="331" spans="1:146" ht="14.25" x14ac:dyDescent="0.2">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c r="AW331" s="233"/>
      <c r="AX331" s="233"/>
      <c r="AY331" s="233"/>
      <c r="AZ331" s="233"/>
      <c r="BA331" s="233"/>
      <c r="BB331" s="233"/>
      <c r="BC331" s="233"/>
      <c r="BD331" s="233"/>
      <c r="BE331" s="233"/>
      <c r="BF331" s="233"/>
      <c r="BG331" s="233"/>
      <c r="BH331" s="233"/>
      <c r="BI331" s="233"/>
      <c r="BJ331" s="233"/>
      <c r="BK331" s="233"/>
      <c r="BL331" s="233"/>
      <c r="BM331" s="233"/>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33"/>
      <c r="CI331" s="233"/>
      <c r="CJ331" s="233"/>
      <c r="CK331" s="233"/>
      <c r="CL331" s="233"/>
      <c r="CM331" s="233"/>
      <c r="CN331" s="233"/>
      <c r="CO331" s="233"/>
      <c r="CP331" s="233"/>
      <c r="CQ331" s="233"/>
      <c r="CR331" s="233"/>
      <c r="CS331" s="233"/>
      <c r="CT331" s="233"/>
      <c r="CU331" s="233"/>
      <c r="CV331" s="233"/>
      <c r="CW331" s="233"/>
      <c r="CX331" s="233"/>
      <c r="CY331" s="233"/>
      <c r="CZ331" s="233"/>
      <c r="DA331" s="233"/>
      <c r="DB331" s="233"/>
      <c r="DC331" s="233"/>
      <c r="DD331" s="233"/>
      <c r="DE331" s="233"/>
      <c r="DF331" s="233"/>
      <c r="DG331" s="233"/>
      <c r="DH331" s="233"/>
      <c r="DI331" s="233"/>
      <c r="DJ331" s="233"/>
      <c r="DK331" s="233"/>
      <c r="DL331" s="233"/>
      <c r="DM331" s="233"/>
      <c r="DN331" s="233"/>
      <c r="DO331" s="233"/>
      <c r="DP331" s="233"/>
      <c r="DQ331" s="233"/>
      <c r="DR331" s="233"/>
      <c r="DS331" s="233"/>
      <c r="DT331" s="233"/>
      <c r="DU331" s="233"/>
      <c r="DV331" s="233"/>
      <c r="DW331" s="233"/>
      <c r="DX331" s="233"/>
      <c r="DY331" s="233"/>
      <c r="DZ331" s="233"/>
      <c r="EA331" s="233"/>
      <c r="EB331" s="233"/>
      <c r="EC331" s="233"/>
      <c r="ED331" s="233"/>
      <c r="EE331" s="233"/>
      <c r="EF331" s="233"/>
      <c r="EG331" s="233"/>
      <c r="EH331" s="233"/>
      <c r="EI331" s="233"/>
      <c r="EJ331" s="233"/>
      <c r="EK331" s="233"/>
      <c r="EL331" s="233"/>
      <c r="EM331" s="233"/>
      <c r="EN331" s="233"/>
      <c r="EO331" s="233"/>
      <c r="EP331" s="233"/>
    </row>
    <row r="332" spans="1:146" ht="14.25" x14ac:dyDescent="0.2">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row>
    <row r="333" spans="1:146" ht="14.25" x14ac:dyDescent="0.2">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row>
    <row r="334" spans="1:146" ht="14.25" x14ac:dyDescent="0.2">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row>
    <row r="335" spans="1:146" ht="14.25" x14ac:dyDescent="0.2">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233"/>
      <c r="BE335" s="233"/>
      <c r="BF335" s="233"/>
      <c r="BG335" s="233"/>
      <c r="BH335" s="233"/>
      <c r="BI335" s="233"/>
      <c r="BJ335" s="233"/>
      <c r="BK335" s="233"/>
      <c r="BL335" s="233"/>
      <c r="BM335" s="233"/>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33"/>
      <c r="CI335" s="233"/>
      <c r="CJ335" s="233"/>
      <c r="CK335" s="233"/>
      <c r="CL335" s="233"/>
      <c r="CM335" s="233"/>
      <c r="CN335" s="233"/>
      <c r="CO335" s="233"/>
      <c r="CP335" s="233"/>
      <c r="CQ335" s="233"/>
      <c r="CR335" s="233"/>
      <c r="CS335" s="233"/>
      <c r="CT335" s="233"/>
      <c r="CU335" s="233"/>
      <c r="CV335" s="233"/>
      <c r="CW335" s="233"/>
      <c r="CX335" s="233"/>
      <c r="CY335" s="233"/>
      <c r="CZ335" s="233"/>
      <c r="DA335" s="233"/>
      <c r="DB335" s="233"/>
      <c r="DC335" s="233"/>
      <c r="DD335" s="233"/>
      <c r="DE335" s="233"/>
      <c r="DF335" s="233"/>
      <c r="DG335" s="233"/>
      <c r="DH335" s="233"/>
      <c r="DI335" s="233"/>
      <c r="DJ335" s="233"/>
      <c r="DK335" s="233"/>
      <c r="DL335" s="233"/>
      <c r="DM335" s="233"/>
      <c r="DN335" s="233"/>
      <c r="DO335" s="233"/>
      <c r="DP335" s="233"/>
      <c r="DQ335" s="233"/>
      <c r="DR335" s="233"/>
      <c r="DS335" s="233"/>
      <c r="DT335" s="233"/>
      <c r="DU335" s="233"/>
      <c r="DV335" s="233"/>
      <c r="DW335" s="233"/>
      <c r="DX335" s="233"/>
      <c r="DY335" s="233"/>
      <c r="DZ335" s="233"/>
      <c r="EA335" s="233"/>
      <c r="EB335" s="233"/>
      <c r="EC335" s="233"/>
      <c r="ED335" s="233"/>
      <c r="EE335" s="233"/>
      <c r="EF335" s="233"/>
      <c r="EG335" s="233"/>
      <c r="EH335" s="233"/>
      <c r="EI335" s="233"/>
      <c r="EJ335" s="233"/>
      <c r="EK335" s="233"/>
      <c r="EL335" s="233"/>
      <c r="EM335" s="233"/>
      <c r="EN335" s="233"/>
      <c r="EO335" s="233"/>
      <c r="EP335" s="233"/>
    </row>
    <row r="336" spans="1:146" ht="14.25" x14ac:dyDescent="0.2">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33"/>
      <c r="AX336" s="233"/>
      <c r="AY336" s="233"/>
      <c r="AZ336" s="233"/>
      <c r="BA336" s="233"/>
      <c r="BB336" s="233"/>
      <c r="BC336" s="233"/>
      <c r="BD336" s="233"/>
      <c r="BE336" s="233"/>
      <c r="BF336" s="233"/>
      <c r="BG336" s="233"/>
      <c r="BH336" s="233"/>
      <c r="BI336" s="233"/>
      <c r="BJ336" s="233"/>
      <c r="BK336" s="233"/>
      <c r="BL336" s="233"/>
      <c r="BM336" s="233"/>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33"/>
      <c r="CI336" s="233"/>
      <c r="CJ336" s="233"/>
      <c r="CK336" s="233"/>
      <c r="CL336" s="233"/>
      <c r="CM336" s="233"/>
      <c r="CN336" s="233"/>
      <c r="CO336" s="233"/>
      <c r="CP336" s="233"/>
      <c r="CQ336" s="233"/>
      <c r="CR336" s="233"/>
      <c r="CS336" s="233"/>
      <c r="CT336" s="233"/>
      <c r="CU336" s="233"/>
      <c r="CV336" s="233"/>
      <c r="CW336" s="233"/>
      <c r="CX336" s="233"/>
      <c r="CY336" s="233"/>
      <c r="CZ336" s="233"/>
      <c r="DA336" s="233"/>
      <c r="DB336" s="233"/>
      <c r="DC336" s="233"/>
      <c r="DD336" s="233"/>
      <c r="DE336" s="233"/>
      <c r="DF336" s="233"/>
      <c r="DG336" s="233"/>
      <c r="DH336" s="233"/>
      <c r="DI336" s="233"/>
      <c r="DJ336" s="233"/>
      <c r="DK336" s="233"/>
      <c r="DL336" s="233"/>
      <c r="DM336" s="233"/>
      <c r="DN336" s="233"/>
      <c r="DO336" s="233"/>
      <c r="DP336" s="233"/>
      <c r="DQ336" s="233"/>
      <c r="DR336" s="233"/>
      <c r="DS336" s="233"/>
      <c r="DT336" s="233"/>
      <c r="DU336" s="233"/>
      <c r="DV336" s="233"/>
      <c r="DW336" s="233"/>
      <c r="DX336" s="233"/>
      <c r="DY336" s="233"/>
      <c r="DZ336" s="233"/>
      <c r="EA336" s="233"/>
      <c r="EB336" s="233"/>
      <c r="EC336" s="233"/>
      <c r="ED336" s="233"/>
      <c r="EE336" s="233"/>
      <c r="EF336" s="233"/>
      <c r="EG336" s="233"/>
      <c r="EH336" s="233"/>
      <c r="EI336" s="233"/>
      <c r="EJ336" s="233"/>
      <c r="EK336" s="233"/>
      <c r="EL336" s="233"/>
      <c r="EM336" s="233"/>
      <c r="EN336" s="233"/>
      <c r="EO336" s="233"/>
      <c r="EP336" s="233"/>
    </row>
    <row r="337" spans="1:146" ht="14.25" x14ac:dyDescent="0.2">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row>
    <row r="338" spans="1:146" ht="14.25" x14ac:dyDescent="0.2">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c r="AW338" s="233"/>
      <c r="AX338" s="233"/>
      <c r="AY338" s="233"/>
      <c r="AZ338" s="233"/>
      <c r="BA338" s="233"/>
      <c r="BB338" s="233"/>
      <c r="BC338" s="233"/>
      <c r="BD338" s="233"/>
      <c r="BE338" s="233"/>
      <c r="BF338" s="233"/>
      <c r="BG338" s="233"/>
      <c r="BH338" s="233"/>
      <c r="BI338" s="233"/>
      <c r="BJ338" s="233"/>
      <c r="BK338" s="233"/>
      <c r="BL338" s="233"/>
      <c r="BM338" s="233"/>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33"/>
      <c r="CI338" s="233"/>
      <c r="CJ338" s="233"/>
      <c r="CK338" s="233"/>
      <c r="CL338" s="233"/>
      <c r="CM338" s="233"/>
      <c r="CN338" s="233"/>
      <c r="CO338" s="233"/>
      <c r="CP338" s="233"/>
      <c r="CQ338" s="233"/>
      <c r="CR338" s="233"/>
      <c r="CS338" s="233"/>
      <c r="CT338" s="233"/>
      <c r="CU338" s="233"/>
      <c r="CV338" s="233"/>
      <c r="CW338" s="233"/>
      <c r="CX338" s="233"/>
      <c r="CY338" s="233"/>
      <c r="CZ338" s="233"/>
      <c r="DA338" s="233"/>
      <c r="DB338" s="233"/>
      <c r="DC338" s="233"/>
      <c r="DD338" s="233"/>
      <c r="DE338" s="233"/>
      <c r="DF338" s="233"/>
      <c r="DG338" s="233"/>
      <c r="DH338" s="233"/>
      <c r="DI338" s="233"/>
      <c r="DJ338" s="233"/>
      <c r="DK338" s="233"/>
      <c r="DL338" s="233"/>
      <c r="DM338" s="233"/>
      <c r="DN338" s="233"/>
      <c r="DO338" s="233"/>
      <c r="DP338" s="233"/>
      <c r="DQ338" s="233"/>
      <c r="DR338" s="233"/>
      <c r="DS338" s="233"/>
      <c r="DT338" s="233"/>
      <c r="DU338" s="233"/>
      <c r="DV338" s="233"/>
      <c r="DW338" s="233"/>
      <c r="DX338" s="233"/>
      <c r="DY338" s="233"/>
      <c r="DZ338" s="233"/>
      <c r="EA338" s="233"/>
      <c r="EB338" s="233"/>
      <c r="EC338" s="233"/>
      <c r="ED338" s="233"/>
      <c r="EE338" s="233"/>
      <c r="EF338" s="233"/>
      <c r="EG338" s="233"/>
      <c r="EH338" s="233"/>
      <c r="EI338" s="233"/>
      <c r="EJ338" s="233"/>
      <c r="EK338" s="233"/>
      <c r="EL338" s="233"/>
      <c r="EM338" s="233"/>
      <c r="EN338" s="233"/>
      <c r="EO338" s="233"/>
      <c r="EP338" s="233"/>
    </row>
    <row r="339" spans="1:146" ht="14.25" x14ac:dyDescent="0.2">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33"/>
      <c r="AX339" s="233"/>
      <c r="AY339" s="233"/>
      <c r="AZ339" s="233"/>
      <c r="BA339" s="233"/>
      <c r="BB339" s="233"/>
      <c r="BC339" s="233"/>
      <c r="BD339" s="233"/>
      <c r="BE339" s="233"/>
      <c r="BF339" s="233"/>
      <c r="BG339" s="233"/>
      <c r="BH339" s="233"/>
      <c r="BI339" s="233"/>
      <c r="BJ339" s="233"/>
      <c r="BK339" s="233"/>
      <c r="BL339" s="233"/>
      <c r="BM339" s="233"/>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33"/>
      <c r="CI339" s="233"/>
      <c r="CJ339" s="233"/>
      <c r="CK339" s="233"/>
      <c r="CL339" s="233"/>
      <c r="CM339" s="233"/>
      <c r="CN339" s="233"/>
      <c r="CO339" s="233"/>
      <c r="CP339" s="233"/>
      <c r="CQ339" s="233"/>
      <c r="CR339" s="233"/>
      <c r="CS339" s="233"/>
      <c r="CT339" s="233"/>
      <c r="CU339" s="233"/>
      <c r="CV339" s="233"/>
      <c r="CW339" s="233"/>
      <c r="CX339" s="233"/>
      <c r="CY339" s="233"/>
      <c r="CZ339" s="233"/>
      <c r="DA339" s="233"/>
      <c r="DB339" s="233"/>
      <c r="DC339" s="233"/>
      <c r="DD339" s="233"/>
      <c r="DE339" s="233"/>
      <c r="DF339" s="233"/>
      <c r="DG339" s="233"/>
      <c r="DH339" s="233"/>
      <c r="DI339" s="233"/>
      <c r="DJ339" s="233"/>
      <c r="DK339" s="233"/>
      <c r="DL339" s="233"/>
      <c r="DM339" s="233"/>
      <c r="DN339" s="233"/>
      <c r="DO339" s="233"/>
      <c r="DP339" s="233"/>
      <c r="DQ339" s="233"/>
      <c r="DR339" s="233"/>
      <c r="DS339" s="233"/>
      <c r="DT339" s="233"/>
      <c r="DU339" s="233"/>
      <c r="DV339" s="233"/>
      <c r="DW339" s="233"/>
      <c r="DX339" s="233"/>
      <c r="DY339" s="233"/>
      <c r="DZ339" s="233"/>
      <c r="EA339" s="233"/>
      <c r="EB339" s="233"/>
      <c r="EC339" s="233"/>
      <c r="ED339" s="233"/>
      <c r="EE339" s="233"/>
      <c r="EF339" s="233"/>
      <c r="EG339" s="233"/>
      <c r="EH339" s="233"/>
      <c r="EI339" s="233"/>
      <c r="EJ339" s="233"/>
      <c r="EK339" s="233"/>
      <c r="EL339" s="233"/>
      <c r="EM339" s="233"/>
      <c r="EN339" s="233"/>
      <c r="EO339" s="233"/>
      <c r="EP339" s="233"/>
    </row>
    <row r="340" spans="1:146" ht="14.25" x14ac:dyDescent="0.2">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33"/>
      <c r="AX340" s="233"/>
      <c r="AY340" s="233"/>
      <c r="AZ340" s="233"/>
      <c r="BA340" s="233"/>
      <c r="BB340" s="233"/>
      <c r="BC340" s="233"/>
      <c r="BD340" s="233"/>
      <c r="BE340" s="233"/>
      <c r="BF340" s="233"/>
      <c r="BG340" s="233"/>
      <c r="BH340" s="233"/>
      <c r="BI340" s="233"/>
      <c r="BJ340" s="233"/>
      <c r="BK340" s="233"/>
      <c r="BL340" s="233"/>
      <c r="BM340" s="233"/>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33"/>
      <c r="CN340" s="233"/>
      <c r="CO340" s="233"/>
      <c r="CP340" s="233"/>
      <c r="CQ340" s="233"/>
      <c r="CR340" s="233"/>
      <c r="CS340" s="233"/>
      <c r="CT340" s="233"/>
      <c r="CU340" s="233"/>
      <c r="CV340" s="233"/>
      <c r="CW340" s="233"/>
      <c r="CX340" s="233"/>
      <c r="CY340" s="233"/>
      <c r="CZ340" s="233"/>
      <c r="DA340" s="233"/>
      <c r="DB340" s="233"/>
      <c r="DC340" s="233"/>
      <c r="DD340" s="233"/>
      <c r="DE340" s="233"/>
      <c r="DF340" s="233"/>
      <c r="DG340" s="233"/>
      <c r="DH340" s="233"/>
      <c r="DI340" s="233"/>
      <c r="DJ340" s="233"/>
      <c r="DK340" s="233"/>
      <c r="DL340" s="233"/>
      <c r="DM340" s="233"/>
      <c r="DN340" s="233"/>
      <c r="DO340" s="233"/>
      <c r="DP340" s="233"/>
      <c r="DQ340" s="233"/>
      <c r="DR340" s="233"/>
      <c r="DS340" s="233"/>
      <c r="DT340" s="233"/>
      <c r="DU340" s="233"/>
      <c r="DV340" s="233"/>
      <c r="DW340" s="233"/>
      <c r="DX340" s="233"/>
      <c r="DY340" s="233"/>
      <c r="DZ340" s="233"/>
      <c r="EA340" s="233"/>
      <c r="EB340" s="233"/>
      <c r="EC340" s="233"/>
      <c r="ED340" s="233"/>
      <c r="EE340" s="233"/>
      <c r="EF340" s="233"/>
      <c r="EG340" s="233"/>
      <c r="EH340" s="233"/>
      <c r="EI340" s="233"/>
      <c r="EJ340" s="233"/>
      <c r="EK340" s="233"/>
      <c r="EL340" s="233"/>
      <c r="EM340" s="233"/>
      <c r="EN340" s="233"/>
      <c r="EO340" s="233"/>
      <c r="EP340" s="233"/>
    </row>
    <row r="341" spans="1:146" ht="14.25" x14ac:dyDescent="0.2">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c r="AZ341" s="233"/>
      <c r="BA341" s="233"/>
      <c r="BB341" s="233"/>
      <c r="BC341" s="233"/>
      <c r="BD341" s="233"/>
      <c r="BE341" s="233"/>
      <c r="BF341" s="233"/>
      <c r="BG341" s="233"/>
      <c r="BH341" s="233"/>
      <c r="BI341" s="233"/>
      <c r="BJ341" s="233"/>
      <c r="BK341" s="233"/>
      <c r="BL341" s="233"/>
      <c r="BM341" s="233"/>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33"/>
      <c r="CI341" s="233"/>
      <c r="CJ341" s="233"/>
      <c r="CK341" s="233"/>
      <c r="CL341" s="233"/>
      <c r="CM341" s="233"/>
      <c r="CN341" s="233"/>
      <c r="CO341" s="233"/>
      <c r="CP341" s="233"/>
      <c r="CQ341" s="233"/>
      <c r="CR341" s="233"/>
      <c r="CS341" s="233"/>
      <c r="CT341" s="233"/>
      <c r="CU341" s="233"/>
      <c r="CV341" s="233"/>
      <c r="CW341" s="233"/>
      <c r="CX341" s="233"/>
      <c r="CY341" s="233"/>
      <c r="CZ341" s="233"/>
      <c r="DA341" s="233"/>
      <c r="DB341" s="233"/>
      <c r="DC341" s="233"/>
      <c r="DD341" s="233"/>
      <c r="DE341" s="233"/>
      <c r="DF341" s="233"/>
      <c r="DG341" s="233"/>
      <c r="DH341" s="233"/>
      <c r="DI341" s="233"/>
      <c r="DJ341" s="233"/>
      <c r="DK341" s="233"/>
      <c r="DL341" s="233"/>
      <c r="DM341" s="233"/>
      <c r="DN341" s="233"/>
      <c r="DO341" s="233"/>
      <c r="DP341" s="233"/>
      <c r="DQ341" s="233"/>
      <c r="DR341" s="233"/>
      <c r="DS341" s="233"/>
      <c r="DT341" s="233"/>
      <c r="DU341" s="233"/>
      <c r="DV341" s="233"/>
      <c r="DW341" s="233"/>
      <c r="DX341" s="233"/>
      <c r="DY341" s="233"/>
      <c r="DZ341" s="233"/>
      <c r="EA341" s="233"/>
      <c r="EB341" s="233"/>
      <c r="EC341" s="233"/>
      <c r="ED341" s="233"/>
      <c r="EE341" s="233"/>
      <c r="EF341" s="233"/>
      <c r="EG341" s="233"/>
      <c r="EH341" s="233"/>
      <c r="EI341" s="233"/>
      <c r="EJ341" s="233"/>
      <c r="EK341" s="233"/>
      <c r="EL341" s="233"/>
      <c r="EM341" s="233"/>
      <c r="EN341" s="233"/>
      <c r="EO341" s="233"/>
      <c r="EP341" s="233"/>
    </row>
    <row r="342" spans="1:146" ht="14.25" x14ac:dyDescent="0.2">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233"/>
      <c r="BE342" s="233"/>
      <c r="BF342" s="233"/>
      <c r="BG342" s="233"/>
      <c r="BH342" s="233"/>
      <c r="BI342" s="233"/>
      <c r="BJ342" s="233"/>
      <c r="BK342" s="233"/>
      <c r="BL342" s="233"/>
      <c r="BM342" s="233"/>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33"/>
      <c r="CI342" s="233"/>
      <c r="CJ342" s="233"/>
      <c r="CK342" s="233"/>
      <c r="CL342" s="233"/>
      <c r="CM342" s="233"/>
      <c r="CN342" s="233"/>
      <c r="CO342" s="233"/>
      <c r="CP342" s="233"/>
      <c r="CQ342" s="233"/>
      <c r="CR342" s="233"/>
      <c r="CS342" s="233"/>
      <c r="CT342" s="233"/>
      <c r="CU342" s="233"/>
      <c r="CV342" s="233"/>
      <c r="CW342" s="233"/>
      <c r="CX342" s="233"/>
      <c r="CY342" s="233"/>
      <c r="CZ342" s="233"/>
      <c r="DA342" s="233"/>
      <c r="DB342" s="233"/>
      <c r="DC342" s="233"/>
      <c r="DD342" s="233"/>
      <c r="DE342" s="233"/>
      <c r="DF342" s="233"/>
      <c r="DG342" s="233"/>
      <c r="DH342" s="233"/>
      <c r="DI342" s="233"/>
      <c r="DJ342" s="233"/>
      <c r="DK342" s="233"/>
      <c r="DL342" s="233"/>
      <c r="DM342" s="233"/>
      <c r="DN342" s="233"/>
      <c r="DO342" s="233"/>
      <c r="DP342" s="233"/>
      <c r="DQ342" s="233"/>
      <c r="DR342" s="233"/>
      <c r="DS342" s="233"/>
      <c r="DT342" s="233"/>
      <c r="DU342" s="233"/>
      <c r="DV342" s="233"/>
      <c r="DW342" s="233"/>
      <c r="DX342" s="233"/>
      <c r="DY342" s="233"/>
      <c r="DZ342" s="233"/>
      <c r="EA342" s="233"/>
      <c r="EB342" s="233"/>
      <c r="EC342" s="233"/>
      <c r="ED342" s="233"/>
      <c r="EE342" s="233"/>
      <c r="EF342" s="233"/>
      <c r="EG342" s="233"/>
      <c r="EH342" s="233"/>
      <c r="EI342" s="233"/>
      <c r="EJ342" s="233"/>
      <c r="EK342" s="233"/>
      <c r="EL342" s="233"/>
      <c r="EM342" s="233"/>
      <c r="EN342" s="233"/>
      <c r="EO342" s="233"/>
      <c r="EP342" s="233"/>
    </row>
    <row r="343" spans="1:146" ht="14.25" x14ac:dyDescent="0.2">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33"/>
      <c r="AX343" s="233"/>
      <c r="AY343" s="233"/>
      <c r="AZ343" s="233"/>
      <c r="BA343" s="233"/>
      <c r="BB343" s="233"/>
      <c r="BC343" s="233"/>
      <c r="BD343" s="233"/>
      <c r="BE343" s="233"/>
      <c r="BF343" s="233"/>
      <c r="BG343" s="233"/>
      <c r="BH343" s="233"/>
      <c r="BI343" s="233"/>
      <c r="BJ343" s="233"/>
      <c r="BK343" s="233"/>
      <c r="BL343" s="233"/>
      <c r="BM343" s="233"/>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33"/>
      <c r="CI343" s="233"/>
      <c r="CJ343" s="233"/>
      <c r="CK343" s="233"/>
      <c r="CL343" s="233"/>
      <c r="CM343" s="233"/>
      <c r="CN343" s="233"/>
      <c r="CO343" s="233"/>
      <c r="CP343" s="233"/>
      <c r="CQ343" s="233"/>
      <c r="CR343" s="233"/>
      <c r="CS343" s="233"/>
      <c r="CT343" s="233"/>
      <c r="CU343" s="233"/>
      <c r="CV343" s="233"/>
      <c r="CW343" s="233"/>
      <c r="CX343" s="233"/>
      <c r="CY343" s="233"/>
      <c r="CZ343" s="233"/>
      <c r="DA343" s="233"/>
      <c r="DB343" s="233"/>
      <c r="DC343" s="233"/>
      <c r="DD343" s="233"/>
      <c r="DE343" s="233"/>
      <c r="DF343" s="233"/>
      <c r="DG343" s="233"/>
      <c r="DH343" s="233"/>
      <c r="DI343" s="233"/>
      <c r="DJ343" s="233"/>
      <c r="DK343" s="233"/>
      <c r="DL343" s="233"/>
      <c r="DM343" s="233"/>
      <c r="DN343" s="233"/>
      <c r="DO343" s="233"/>
      <c r="DP343" s="233"/>
      <c r="DQ343" s="233"/>
      <c r="DR343" s="233"/>
      <c r="DS343" s="233"/>
      <c r="DT343" s="233"/>
      <c r="DU343" s="233"/>
      <c r="DV343" s="233"/>
      <c r="DW343" s="233"/>
      <c r="DX343" s="233"/>
      <c r="DY343" s="233"/>
      <c r="DZ343" s="233"/>
      <c r="EA343" s="233"/>
      <c r="EB343" s="233"/>
      <c r="EC343" s="233"/>
      <c r="ED343" s="233"/>
      <c r="EE343" s="233"/>
      <c r="EF343" s="233"/>
      <c r="EG343" s="233"/>
      <c r="EH343" s="233"/>
      <c r="EI343" s="233"/>
      <c r="EJ343" s="233"/>
      <c r="EK343" s="233"/>
      <c r="EL343" s="233"/>
      <c r="EM343" s="233"/>
      <c r="EN343" s="233"/>
      <c r="EO343" s="233"/>
      <c r="EP343" s="233"/>
    </row>
    <row r="344" spans="1:146" ht="14.25" x14ac:dyDescent="0.2">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row>
    <row r="345" spans="1:146" ht="14.25" x14ac:dyDescent="0.2">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33"/>
      <c r="AX345" s="233"/>
      <c r="AY345" s="233"/>
      <c r="AZ345" s="233"/>
      <c r="BA345" s="233"/>
      <c r="BB345" s="233"/>
      <c r="BC345" s="233"/>
      <c r="BD345" s="233"/>
      <c r="BE345" s="233"/>
      <c r="BF345" s="233"/>
      <c r="BG345" s="233"/>
      <c r="BH345" s="233"/>
      <c r="BI345" s="233"/>
      <c r="BJ345" s="233"/>
      <c r="BK345" s="233"/>
      <c r="BL345" s="233"/>
      <c r="BM345" s="233"/>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33"/>
      <c r="CI345" s="233"/>
      <c r="CJ345" s="233"/>
      <c r="CK345" s="233"/>
      <c r="CL345" s="233"/>
      <c r="CM345" s="233"/>
      <c r="CN345" s="233"/>
      <c r="CO345" s="233"/>
      <c r="CP345" s="233"/>
      <c r="CQ345" s="233"/>
      <c r="CR345" s="233"/>
      <c r="CS345" s="233"/>
      <c r="CT345" s="233"/>
      <c r="CU345" s="233"/>
      <c r="CV345" s="233"/>
      <c r="CW345" s="233"/>
      <c r="CX345" s="233"/>
      <c r="CY345" s="233"/>
      <c r="CZ345" s="233"/>
      <c r="DA345" s="233"/>
      <c r="DB345" s="233"/>
      <c r="DC345" s="233"/>
      <c r="DD345" s="233"/>
      <c r="DE345" s="233"/>
      <c r="DF345" s="233"/>
      <c r="DG345" s="233"/>
      <c r="DH345" s="233"/>
      <c r="DI345" s="233"/>
      <c r="DJ345" s="233"/>
      <c r="DK345" s="233"/>
      <c r="DL345" s="233"/>
      <c r="DM345" s="233"/>
      <c r="DN345" s="233"/>
      <c r="DO345" s="233"/>
      <c r="DP345" s="233"/>
      <c r="DQ345" s="233"/>
      <c r="DR345" s="233"/>
      <c r="DS345" s="233"/>
      <c r="DT345" s="233"/>
      <c r="DU345" s="233"/>
      <c r="DV345" s="233"/>
      <c r="DW345" s="233"/>
      <c r="DX345" s="233"/>
      <c r="DY345" s="233"/>
      <c r="DZ345" s="233"/>
      <c r="EA345" s="233"/>
      <c r="EB345" s="233"/>
      <c r="EC345" s="233"/>
      <c r="ED345" s="233"/>
      <c r="EE345" s="233"/>
      <c r="EF345" s="233"/>
      <c r="EG345" s="233"/>
      <c r="EH345" s="233"/>
      <c r="EI345" s="233"/>
      <c r="EJ345" s="233"/>
      <c r="EK345" s="233"/>
      <c r="EL345" s="233"/>
      <c r="EM345" s="233"/>
      <c r="EN345" s="233"/>
      <c r="EO345" s="233"/>
      <c r="EP345" s="233"/>
    </row>
    <row r="346" spans="1:146" ht="14.25" x14ac:dyDescent="0.2">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c r="AW346" s="233"/>
      <c r="AX346" s="233"/>
      <c r="AY346" s="233"/>
      <c r="AZ346" s="233"/>
      <c r="BA346" s="233"/>
      <c r="BB346" s="233"/>
      <c r="BC346" s="233"/>
      <c r="BD346" s="233"/>
      <c r="BE346" s="233"/>
      <c r="BF346" s="233"/>
      <c r="BG346" s="233"/>
      <c r="BH346" s="233"/>
      <c r="BI346" s="233"/>
      <c r="BJ346" s="233"/>
      <c r="BK346" s="233"/>
      <c r="BL346" s="233"/>
      <c r="BM346" s="233"/>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33"/>
      <c r="CI346" s="233"/>
      <c r="CJ346" s="233"/>
      <c r="CK346" s="233"/>
      <c r="CL346" s="233"/>
      <c r="CM346" s="233"/>
      <c r="CN346" s="233"/>
      <c r="CO346" s="233"/>
      <c r="CP346" s="233"/>
      <c r="CQ346" s="233"/>
      <c r="CR346" s="233"/>
      <c r="CS346" s="233"/>
      <c r="CT346" s="233"/>
      <c r="CU346" s="233"/>
      <c r="CV346" s="233"/>
      <c r="CW346" s="233"/>
      <c r="CX346" s="233"/>
      <c r="CY346" s="233"/>
      <c r="CZ346" s="233"/>
      <c r="DA346" s="233"/>
      <c r="DB346" s="233"/>
      <c r="DC346" s="233"/>
      <c r="DD346" s="233"/>
      <c r="DE346" s="233"/>
      <c r="DF346" s="233"/>
      <c r="DG346" s="233"/>
      <c r="DH346" s="233"/>
      <c r="DI346" s="233"/>
      <c r="DJ346" s="233"/>
      <c r="DK346" s="233"/>
      <c r="DL346" s="233"/>
      <c r="DM346" s="233"/>
      <c r="DN346" s="233"/>
      <c r="DO346" s="233"/>
      <c r="DP346" s="233"/>
      <c r="DQ346" s="233"/>
      <c r="DR346" s="233"/>
      <c r="DS346" s="233"/>
      <c r="DT346" s="233"/>
      <c r="DU346" s="233"/>
      <c r="DV346" s="233"/>
      <c r="DW346" s="233"/>
      <c r="DX346" s="233"/>
      <c r="DY346" s="233"/>
      <c r="DZ346" s="233"/>
      <c r="EA346" s="233"/>
      <c r="EB346" s="233"/>
      <c r="EC346" s="233"/>
      <c r="ED346" s="233"/>
      <c r="EE346" s="233"/>
      <c r="EF346" s="233"/>
      <c r="EG346" s="233"/>
      <c r="EH346" s="233"/>
      <c r="EI346" s="233"/>
      <c r="EJ346" s="233"/>
      <c r="EK346" s="233"/>
      <c r="EL346" s="233"/>
      <c r="EM346" s="233"/>
      <c r="EN346" s="233"/>
      <c r="EO346" s="233"/>
      <c r="EP346" s="233"/>
    </row>
    <row r="347" spans="1:146" ht="14.25" x14ac:dyDescent="0.2">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row>
    <row r="348" spans="1:146" ht="14.25" x14ac:dyDescent="0.2">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33"/>
      <c r="BF348" s="233"/>
      <c r="BG348" s="233"/>
      <c r="BH348" s="233"/>
      <c r="BI348" s="233"/>
      <c r="BJ348" s="233"/>
      <c r="BK348" s="233"/>
      <c r="BL348" s="233"/>
      <c r="BM348" s="233"/>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33"/>
      <c r="CI348" s="233"/>
      <c r="CJ348" s="233"/>
      <c r="CK348" s="233"/>
      <c r="CL348" s="233"/>
      <c r="CM348" s="233"/>
      <c r="CN348" s="233"/>
      <c r="CO348" s="233"/>
      <c r="CP348" s="233"/>
      <c r="CQ348" s="233"/>
      <c r="CR348" s="233"/>
      <c r="CS348" s="233"/>
      <c r="CT348" s="233"/>
      <c r="CU348" s="233"/>
      <c r="CV348" s="233"/>
      <c r="CW348" s="233"/>
      <c r="CX348" s="233"/>
      <c r="CY348" s="233"/>
      <c r="CZ348" s="233"/>
      <c r="DA348" s="233"/>
      <c r="DB348" s="233"/>
      <c r="DC348" s="233"/>
      <c r="DD348" s="233"/>
      <c r="DE348" s="233"/>
      <c r="DF348" s="233"/>
      <c r="DG348" s="233"/>
      <c r="DH348" s="233"/>
      <c r="DI348" s="233"/>
      <c r="DJ348" s="233"/>
      <c r="DK348" s="233"/>
      <c r="DL348" s="233"/>
      <c r="DM348" s="233"/>
      <c r="DN348" s="233"/>
      <c r="DO348" s="233"/>
      <c r="DP348" s="233"/>
      <c r="DQ348" s="233"/>
      <c r="DR348" s="233"/>
      <c r="DS348" s="233"/>
      <c r="DT348" s="233"/>
      <c r="DU348" s="233"/>
      <c r="DV348" s="233"/>
      <c r="DW348" s="233"/>
      <c r="DX348" s="233"/>
      <c r="DY348" s="233"/>
      <c r="DZ348" s="233"/>
      <c r="EA348" s="233"/>
      <c r="EB348" s="233"/>
      <c r="EC348" s="233"/>
      <c r="ED348" s="233"/>
      <c r="EE348" s="233"/>
      <c r="EF348" s="233"/>
      <c r="EG348" s="233"/>
      <c r="EH348" s="233"/>
      <c r="EI348" s="233"/>
      <c r="EJ348" s="233"/>
      <c r="EK348" s="233"/>
      <c r="EL348" s="233"/>
      <c r="EM348" s="233"/>
      <c r="EN348" s="233"/>
      <c r="EO348" s="233"/>
      <c r="EP348" s="233"/>
    </row>
    <row r="349" spans="1:146" ht="14.25" x14ac:dyDescent="0.2">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c r="DL349" s="233"/>
      <c r="DM349" s="233"/>
      <c r="DN349" s="233"/>
      <c r="DO349" s="233"/>
      <c r="DP349" s="233"/>
      <c r="DQ349" s="233"/>
      <c r="DR349" s="233"/>
      <c r="DS349" s="233"/>
      <c r="DT349" s="233"/>
      <c r="DU349" s="233"/>
      <c r="DV349" s="233"/>
      <c r="DW349" s="233"/>
      <c r="DX349" s="233"/>
      <c r="DY349" s="233"/>
      <c r="DZ349" s="233"/>
      <c r="EA349" s="233"/>
      <c r="EB349" s="233"/>
      <c r="EC349" s="233"/>
      <c r="ED349" s="233"/>
      <c r="EE349" s="233"/>
      <c r="EF349" s="233"/>
      <c r="EG349" s="233"/>
      <c r="EH349" s="233"/>
      <c r="EI349" s="233"/>
      <c r="EJ349" s="233"/>
      <c r="EK349" s="233"/>
      <c r="EL349" s="233"/>
      <c r="EM349" s="233"/>
      <c r="EN349" s="233"/>
      <c r="EO349" s="233"/>
      <c r="EP349" s="233"/>
    </row>
    <row r="350" spans="1:146" ht="14.25" x14ac:dyDescent="0.2">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33"/>
      <c r="CN350" s="233"/>
      <c r="CO350" s="233"/>
      <c r="CP350" s="233"/>
      <c r="CQ350" s="233"/>
      <c r="CR350" s="233"/>
      <c r="CS350" s="233"/>
      <c r="CT350" s="233"/>
      <c r="CU350" s="233"/>
      <c r="CV350" s="233"/>
      <c r="CW350" s="233"/>
      <c r="CX350" s="233"/>
      <c r="CY350" s="233"/>
      <c r="CZ350" s="233"/>
      <c r="DA350" s="233"/>
      <c r="DB350" s="233"/>
      <c r="DC350" s="233"/>
      <c r="DD350" s="233"/>
      <c r="DE350" s="233"/>
      <c r="DF350" s="233"/>
      <c r="DG350" s="233"/>
      <c r="DH350" s="233"/>
      <c r="DI350" s="233"/>
      <c r="DJ350" s="233"/>
      <c r="DK350" s="233"/>
      <c r="DL350" s="233"/>
      <c r="DM350" s="233"/>
      <c r="DN350" s="233"/>
      <c r="DO350" s="233"/>
      <c r="DP350" s="233"/>
      <c r="DQ350" s="233"/>
      <c r="DR350" s="233"/>
      <c r="DS350" s="233"/>
      <c r="DT350" s="233"/>
      <c r="DU350" s="233"/>
      <c r="DV350" s="233"/>
      <c r="DW350" s="233"/>
      <c r="DX350" s="233"/>
      <c r="DY350" s="233"/>
      <c r="DZ350" s="233"/>
      <c r="EA350" s="233"/>
      <c r="EB350" s="233"/>
      <c r="EC350" s="233"/>
      <c r="ED350" s="233"/>
      <c r="EE350" s="233"/>
      <c r="EF350" s="233"/>
      <c r="EG350" s="233"/>
      <c r="EH350" s="233"/>
      <c r="EI350" s="233"/>
      <c r="EJ350" s="233"/>
      <c r="EK350" s="233"/>
      <c r="EL350" s="233"/>
      <c r="EM350" s="233"/>
      <c r="EN350" s="233"/>
      <c r="EO350" s="233"/>
      <c r="EP350" s="233"/>
    </row>
    <row r="351" spans="1:146" ht="14.25" x14ac:dyDescent="0.2">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33"/>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33"/>
      <c r="CN351" s="233"/>
      <c r="CO351" s="233"/>
      <c r="CP351" s="233"/>
      <c r="CQ351" s="233"/>
      <c r="CR351" s="233"/>
      <c r="CS351" s="233"/>
      <c r="CT351" s="233"/>
      <c r="CU351" s="233"/>
      <c r="CV351" s="233"/>
      <c r="CW351" s="233"/>
      <c r="CX351" s="233"/>
      <c r="CY351" s="233"/>
      <c r="CZ351" s="233"/>
      <c r="DA351" s="233"/>
      <c r="DB351" s="233"/>
      <c r="DC351" s="233"/>
      <c r="DD351" s="233"/>
      <c r="DE351" s="233"/>
      <c r="DF351" s="233"/>
      <c r="DG351" s="233"/>
      <c r="DH351" s="233"/>
      <c r="DI351" s="233"/>
      <c r="DJ351" s="233"/>
      <c r="DK351" s="233"/>
      <c r="DL351" s="233"/>
      <c r="DM351" s="233"/>
      <c r="DN351" s="233"/>
      <c r="DO351" s="233"/>
      <c r="DP351" s="233"/>
      <c r="DQ351" s="233"/>
      <c r="DR351" s="233"/>
      <c r="DS351" s="233"/>
      <c r="DT351" s="233"/>
      <c r="DU351" s="233"/>
      <c r="DV351" s="233"/>
      <c r="DW351" s="233"/>
      <c r="DX351" s="233"/>
      <c r="DY351" s="233"/>
      <c r="DZ351" s="233"/>
      <c r="EA351" s="233"/>
      <c r="EB351" s="233"/>
      <c r="EC351" s="233"/>
      <c r="ED351" s="233"/>
      <c r="EE351" s="233"/>
      <c r="EF351" s="233"/>
      <c r="EG351" s="233"/>
      <c r="EH351" s="233"/>
      <c r="EI351" s="233"/>
      <c r="EJ351" s="233"/>
      <c r="EK351" s="233"/>
      <c r="EL351" s="233"/>
      <c r="EM351" s="233"/>
      <c r="EN351" s="233"/>
      <c r="EO351" s="233"/>
      <c r="EP351" s="233"/>
    </row>
    <row r="352" spans="1:146" ht="14.25" x14ac:dyDescent="0.2">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33"/>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33"/>
      <c r="CN352" s="233"/>
      <c r="CO352" s="233"/>
      <c r="CP352" s="233"/>
      <c r="CQ352" s="233"/>
      <c r="CR352" s="233"/>
      <c r="CS352" s="233"/>
      <c r="CT352" s="233"/>
      <c r="CU352" s="233"/>
      <c r="CV352" s="233"/>
      <c r="CW352" s="233"/>
      <c r="CX352" s="233"/>
      <c r="CY352" s="233"/>
      <c r="CZ352" s="233"/>
      <c r="DA352" s="233"/>
      <c r="DB352" s="233"/>
      <c r="DC352" s="233"/>
      <c r="DD352" s="233"/>
      <c r="DE352" s="233"/>
      <c r="DF352" s="233"/>
      <c r="DG352" s="233"/>
      <c r="DH352" s="233"/>
      <c r="DI352" s="233"/>
      <c r="DJ352" s="233"/>
      <c r="DK352" s="233"/>
      <c r="DL352" s="233"/>
      <c r="DM352" s="233"/>
      <c r="DN352" s="233"/>
      <c r="DO352" s="233"/>
      <c r="DP352" s="233"/>
      <c r="DQ352" s="233"/>
      <c r="DR352" s="233"/>
      <c r="DS352" s="233"/>
      <c r="DT352" s="233"/>
      <c r="DU352" s="233"/>
      <c r="DV352" s="233"/>
      <c r="DW352" s="233"/>
      <c r="DX352" s="233"/>
      <c r="DY352" s="233"/>
      <c r="DZ352" s="233"/>
      <c r="EA352" s="233"/>
      <c r="EB352" s="233"/>
      <c r="EC352" s="233"/>
      <c r="ED352" s="233"/>
      <c r="EE352" s="233"/>
      <c r="EF352" s="233"/>
      <c r="EG352" s="233"/>
      <c r="EH352" s="233"/>
      <c r="EI352" s="233"/>
      <c r="EJ352" s="233"/>
      <c r="EK352" s="233"/>
      <c r="EL352" s="233"/>
      <c r="EM352" s="233"/>
      <c r="EN352" s="233"/>
      <c r="EO352" s="233"/>
      <c r="EP352" s="233"/>
    </row>
    <row r="353" spans="1:146" ht="14.25" x14ac:dyDescent="0.2">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row>
    <row r="354" spans="1:146" ht="14.25" x14ac:dyDescent="0.2">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33"/>
      <c r="CN354" s="233"/>
      <c r="CO354" s="233"/>
      <c r="CP354" s="233"/>
      <c r="CQ354" s="233"/>
      <c r="CR354" s="233"/>
      <c r="CS354" s="233"/>
      <c r="CT354" s="233"/>
      <c r="CU354" s="233"/>
      <c r="CV354" s="233"/>
      <c r="CW354" s="233"/>
      <c r="CX354" s="233"/>
      <c r="CY354" s="233"/>
      <c r="CZ354" s="233"/>
      <c r="DA354" s="233"/>
      <c r="DB354" s="233"/>
      <c r="DC354" s="233"/>
      <c r="DD354" s="233"/>
      <c r="DE354" s="233"/>
      <c r="DF354" s="233"/>
      <c r="DG354" s="233"/>
      <c r="DH354" s="233"/>
      <c r="DI354" s="233"/>
      <c r="DJ354" s="233"/>
      <c r="DK354" s="233"/>
      <c r="DL354" s="233"/>
      <c r="DM354" s="233"/>
      <c r="DN354" s="233"/>
      <c r="DO354" s="233"/>
      <c r="DP354" s="233"/>
      <c r="DQ354" s="233"/>
      <c r="DR354" s="233"/>
      <c r="DS354" s="233"/>
      <c r="DT354" s="233"/>
      <c r="DU354" s="233"/>
      <c r="DV354" s="233"/>
      <c r="DW354" s="233"/>
      <c r="DX354" s="233"/>
      <c r="DY354" s="233"/>
      <c r="DZ354" s="233"/>
      <c r="EA354" s="233"/>
      <c r="EB354" s="233"/>
      <c r="EC354" s="233"/>
      <c r="ED354" s="233"/>
      <c r="EE354" s="233"/>
      <c r="EF354" s="233"/>
      <c r="EG354" s="233"/>
      <c r="EH354" s="233"/>
      <c r="EI354" s="233"/>
      <c r="EJ354" s="233"/>
      <c r="EK354" s="233"/>
      <c r="EL354" s="233"/>
      <c r="EM354" s="233"/>
      <c r="EN354" s="233"/>
      <c r="EO354" s="233"/>
      <c r="EP354" s="233"/>
    </row>
    <row r="355" spans="1:146" ht="14.25" x14ac:dyDescent="0.2">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33"/>
      <c r="CN355" s="233"/>
      <c r="CO355" s="233"/>
      <c r="CP355" s="233"/>
      <c r="CQ355" s="233"/>
      <c r="CR355" s="233"/>
      <c r="CS355" s="233"/>
      <c r="CT355" s="233"/>
      <c r="CU355" s="233"/>
      <c r="CV355" s="233"/>
      <c r="CW355" s="233"/>
      <c r="CX355" s="233"/>
      <c r="CY355" s="233"/>
      <c r="CZ355" s="233"/>
      <c r="DA355" s="233"/>
      <c r="DB355" s="233"/>
      <c r="DC355" s="233"/>
      <c r="DD355" s="233"/>
      <c r="DE355" s="233"/>
      <c r="DF355" s="233"/>
      <c r="DG355" s="233"/>
      <c r="DH355" s="233"/>
      <c r="DI355" s="233"/>
      <c r="DJ355" s="233"/>
      <c r="DK355" s="233"/>
      <c r="DL355" s="233"/>
      <c r="DM355" s="233"/>
      <c r="DN355" s="233"/>
      <c r="DO355" s="233"/>
      <c r="DP355" s="233"/>
      <c r="DQ355" s="233"/>
      <c r="DR355" s="233"/>
      <c r="DS355" s="233"/>
      <c r="DT355" s="233"/>
      <c r="DU355" s="233"/>
      <c r="DV355" s="233"/>
      <c r="DW355" s="233"/>
      <c r="DX355" s="233"/>
      <c r="DY355" s="233"/>
      <c r="DZ355" s="233"/>
      <c r="EA355" s="233"/>
      <c r="EB355" s="233"/>
      <c r="EC355" s="233"/>
      <c r="ED355" s="233"/>
      <c r="EE355" s="233"/>
      <c r="EF355" s="233"/>
      <c r="EG355" s="233"/>
      <c r="EH355" s="233"/>
      <c r="EI355" s="233"/>
      <c r="EJ355" s="233"/>
      <c r="EK355" s="233"/>
      <c r="EL355" s="233"/>
      <c r="EM355" s="233"/>
      <c r="EN355" s="233"/>
      <c r="EO355" s="233"/>
      <c r="EP355" s="233"/>
    </row>
    <row r="356" spans="1:146" ht="14.25" x14ac:dyDescent="0.2">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33"/>
      <c r="CN356" s="233"/>
      <c r="CO356" s="233"/>
      <c r="CP356" s="233"/>
      <c r="CQ356" s="233"/>
      <c r="CR356" s="233"/>
      <c r="CS356" s="233"/>
      <c r="CT356" s="233"/>
      <c r="CU356" s="233"/>
      <c r="CV356" s="233"/>
      <c r="CW356" s="233"/>
      <c r="CX356" s="233"/>
      <c r="CY356" s="233"/>
      <c r="CZ356" s="233"/>
      <c r="DA356" s="233"/>
      <c r="DB356" s="233"/>
      <c r="DC356" s="233"/>
      <c r="DD356" s="233"/>
      <c r="DE356" s="233"/>
      <c r="DF356" s="233"/>
      <c r="DG356" s="233"/>
      <c r="DH356" s="233"/>
      <c r="DI356" s="233"/>
      <c r="DJ356" s="233"/>
      <c r="DK356" s="233"/>
      <c r="DL356" s="233"/>
      <c r="DM356" s="233"/>
      <c r="DN356" s="233"/>
      <c r="DO356" s="233"/>
      <c r="DP356" s="233"/>
      <c r="DQ356" s="233"/>
      <c r="DR356" s="233"/>
      <c r="DS356" s="233"/>
      <c r="DT356" s="233"/>
      <c r="DU356" s="233"/>
      <c r="DV356" s="233"/>
      <c r="DW356" s="233"/>
      <c r="DX356" s="233"/>
      <c r="DY356" s="233"/>
      <c r="DZ356" s="233"/>
      <c r="EA356" s="233"/>
      <c r="EB356" s="233"/>
      <c r="EC356" s="233"/>
      <c r="ED356" s="233"/>
      <c r="EE356" s="233"/>
      <c r="EF356" s="233"/>
      <c r="EG356" s="233"/>
      <c r="EH356" s="233"/>
      <c r="EI356" s="233"/>
      <c r="EJ356" s="233"/>
      <c r="EK356" s="233"/>
      <c r="EL356" s="233"/>
      <c r="EM356" s="233"/>
      <c r="EN356" s="233"/>
      <c r="EO356" s="233"/>
      <c r="EP356" s="233"/>
    </row>
    <row r="357" spans="1:146" ht="14.25" x14ac:dyDescent="0.2">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33"/>
      <c r="CN357" s="233"/>
      <c r="CO357" s="233"/>
      <c r="CP357" s="233"/>
      <c r="CQ357" s="233"/>
      <c r="CR357" s="233"/>
      <c r="CS357" s="233"/>
      <c r="CT357" s="233"/>
      <c r="CU357" s="233"/>
      <c r="CV357" s="233"/>
      <c r="CW357" s="233"/>
      <c r="CX357" s="233"/>
      <c r="CY357" s="233"/>
      <c r="CZ357" s="233"/>
      <c r="DA357" s="233"/>
      <c r="DB357" s="233"/>
      <c r="DC357" s="233"/>
      <c r="DD357" s="233"/>
      <c r="DE357" s="233"/>
      <c r="DF357" s="233"/>
      <c r="DG357" s="233"/>
      <c r="DH357" s="233"/>
      <c r="DI357" s="233"/>
      <c r="DJ357" s="233"/>
      <c r="DK357" s="233"/>
      <c r="DL357" s="233"/>
      <c r="DM357" s="233"/>
      <c r="DN357" s="233"/>
      <c r="DO357" s="233"/>
      <c r="DP357" s="233"/>
      <c r="DQ357" s="233"/>
      <c r="DR357" s="233"/>
      <c r="DS357" s="233"/>
      <c r="DT357" s="233"/>
      <c r="DU357" s="233"/>
      <c r="DV357" s="233"/>
      <c r="DW357" s="233"/>
      <c r="DX357" s="233"/>
      <c r="DY357" s="233"/>
      <c r="DZ357" s="233"/>
      <c r="EA357" s="233"/>
      <c r="EB357" s="233"/>
      <c r="EC357" s="233"/>
      <c r="ED357" s="233"/>
      <c r="EE357" s="233"/>
      <c r="EF357" s="233"/>
      <c r="EG357" s="233"/>
      <c r="EH357" s="233"/>
      <c r="EI357" s="233"/>
      <c r="EJ357" s="233"/>
      <c r="EK357" s="233"/>
      <c r="EL357" s="233"/>
      <c r="EM357" s="233"/>
      <c r="EN357" s="233"/>
      <c r="EO357" s="233"/>
      <c r="EP357" s="233"/>
    </row>
    <row r="358" spans="1:146" ht="14.25" x14ac:dyDescent="0.2">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33"/>
      <c r="CN358" s="233"/>
      <c r="CO358" s="233"/>
      <c r="CP358" s="233"/>
      <c r="CQ358" s="233"/>
      <c r="CR358" s="233"/>
      <c r="CS358" s="233"/>
      <c r="CT358" s="233"/>
      <c r="CU358" s="233"/>
      <c r="CV358" s="233"/>
      <c r="CW358" s="233"/>
      <c r="CX358" s="233"/>
      <c r="CY358" s="233"/>
      <c r="CZ358" s="233"/>
      <c r="DA358" s="233"/>
      <c r="DB358" s="233"/>
      <c r="DC358" s="233"/>
      <c r="DD358" s="233"/>
      <c r="DE358" s="233"/>
      <c r="DF358" s="233"/>
      <c r="DG358" s="233"/>
      <c r="DH358" s="233"/>
      <c r="DI358" s="233"/>
      <c r="DJ358" s="233"/>
      <c r="DK358" s="233"/>
      <c r="DL358" s="233"/>
      <c r="DM358" s="233"/>
      <c r="DN358" s="233"/>
      <c r="DO358" s="233"/>
      <c r="DP358" s="233"/>
      <c r="DQ358" s="233"/>
      <c r="DR358" s="233"/>
      <c r="DS358" s="233"/>
      <c r="DT358" s="233"/>
      <c r="DU358" s="233"/>
      <c r="DV358" s="233"/>
      <c r="DW358" s="233"/>
      <c r="DX358" s="233"/>
      <c r="DY358" s="233"/>
      <c r="DZ358" s="233"/>
      <c r="EA358" s="233"/>
      <c r="EB358" s="233"/>
      <c r="EC358" s="233"/>
      <c r="ED358" s="233"/>
      <c r="EE358" s="233"/>
      <c r="EF358" s="233"/>
      <c r="EG358" s="233"/>
      <c r="EH358" s="233"/>
      <c r="EI358" s="233"/>
      <c r="EJ358" s="233"/>
      <c r="EK358" s="233"/>
      <c r="EL358" s="233"/>
      <c r="EM358" s="233"/>
      <c r="EN358" s="233"/>
      <c r="EO358" s="233"/>
      <c r="EP358" s="233"/>
    </row>
    <row r="359" spans="1:146" ht="14.25" x14ac:dyDescent="0.2">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33"/>
      <c r="CI359" s="233"/>
      <c r="CJ359" s="233"/>
      <c r="CK359" s="233"/>
      <c r="CL359" s="233"/>
      <c r="CM359" s="233"/>
      <c r="CN359" s="233"/>
      <c r="CO359" s="233"/>
      <c r="CP359" s="233"/>
      <c r="CQ359" s="233"/>
      <c r="CR359" s="233"/>
      <c r="CS359" s="233"/>
      <c r="CT359" s="233"/>
      <c r="CU359" s="233"/>
      <c r="CV359" s="233"/>
      <c r="CW359" s="233"/>
      <c r="CX359" s="233"/>
      <c r="CY359" s="233"/>
      <c r="CZ359" s="233"/>
      <c r="DA359" s="233"/>
      <c r="DB359" s="233"/>
      <c r="DC359" s="233"/>
      <c r="DD359" s="233"/>
      <c r="DE359" s="233"/>
      <c r="DF359" s="233"/>
      <c r="DG359" s="233"/>
      <c r="DH359" s="233"/>
      <c r="DI359" s="233"/>
      <c r="DJ359" s="233"/>
      <c r="DK359" s="233"/>
      <c r="DL359" s="233"/>
      <c r="DM359" s="233"/>
      <c r="DN359" s="233"/>
      <c r="DO359" s="233"/>
      <c r="DP359" s="233"/>
      <c r="DQ359" s="233"/>
      <c r="DR359" s="233"/>
      <c r="DS359" s="233"/>
      <c r="DT359" s="233"/>
      <c r="DU359" s="233"/>
      <c r="DV359" s="233"/>
      <c r="DW359" s="233"/>
      <c r="DX359" s="233"/>
      <c r="DY359" s="233"/>
      <c r="DZ359" s="233"/>
      <c r="EA359" s="233"/>
      <c r="EB359" s="233"/>
      <c r="EC359" s="233"/>
      <c r="ED359" s="233"/>
      <c r="EE359" s="233"/>
      <c r="EF359" s="233"/>
      <c r="EG359" s="233"/>
      <c r="EH359" s="233"/>
      <c r="EI359" s="233"/>
      <c r="EJ359" s="233"/>
      <c r="EK359" s="233"/>
      <c r="EL359" s="233"/>
      <c r="EM359" s="233"/>
      <c r="EN359" s="233"/>
      <c r="EO359" s="233"/>
      <c r="EP359" s="233"/>
    </row>
    <row r="360" spans="1:146" ht="14.25" x14ac:dyDescent="0.2">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c r="DT360" s="233"/>
      <c r="DU360" s="233"/>
      <c r="DV360" s="233"/>
      <c r="DW360" s="233"/>
      <c r="DX360" s="233"/>
      <c r="DY360" s="233"/>
      <c r="DZ360" s="233"/>
      <c r="EA360" s="233"/>
      <c r="EB360" s="233"/>
      <c r="EC360" s="233"/>
      <c r="ED360" s="233"/>
      <c r="EE360" s="233"/>
      <c r="EF360" s="233"/>
      <c r="EG360" s="233"/>
      <c r="EH360" s="233"/>
      <c r="EI360" s="233"/>
      <c r="EJ360" s="233"/>
      <c r="EK360" s="233"/>
      <c r="EL360" s="233"/>
      <c r="EM360" s="233"/>
      <c r="EN360" s="233"/>
      <c r="EO360" s="233"/>
      <c r="EP360" s="233"/>
    </row>
    <row r="361" spans="1:146" ht="14.25" x14ac:dyDescent="0.2">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233"/>
      <c r="BE361" s="233"/>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33"/>
      <c r="CN361" s="233"/>
      <c r="CO361" s="233"/>
      <c r="CP361" s="233"/>
      <c r="CQ361" s="233"/>
      <c r="CR361" s="233"/>
      <c r="CS361" s="233"/>
      <c r="CT361" s="233"/>
      <c r="CU361" s="233"/>
      <c r="CV361" s="233"/>
      <c r="CW361" s="233"/>
      <c r="CX361" s="233"/>
      <c r="CY361" s="233"/>
      <c r="CZ361" s="233"/>
      <c r="DA361" s="233"/>
      <c r="DB361" s="233"/>
      <c r="DC361" s="233"/>
      <c r="DD361" s="233"/>
      <c r="DE361" s="233"/>
      <c r="DF361" s="233"/>
      <c r="DG361" s="233"/>
      <c r="DH361" s="233"/>
      <c r="DI361" s="233"/>
      <c r="DJ361" s="233"/>
      <c r="DK361" s="233"/>
      <c r="DL361" s="233"/>
      <c r="DM361" s="233"/>
      <c r="DN361" s="233"/>
      <c r="DO361" s="233"/>
      <c r="DP361" s="233"/>
      <c r="DQ361" s="233"/>
      <c r="DR361" s="233"/>
      <c r="DS361" s="233"/>
      <c r="DT361" s="233"/>
      <c r="DU361" s="233"/>
      <c r="DV361" s="233"/>
      <c r="DW361" s="233"/>
      <c r="DX361" s="233"/>
      <c r="DY361" s="233"/>
      <c r="DZ361" s="233"/>
      <c r="EA361" s="233"/>
      <c r="EB361" s="233"/>
      <c r="EC361" s="233"/>
      <c r="ED361" s="233"/>
      <c r="EE361" s="233"/>
      <c r="EF361" s="233"/>
      <c r="EG361" s="233"/>
      <c r="EH361" s="233"/>
      <c r="EI361" s="233"/>
      <c r="EJ361" s="233"/>
      <c r="EK361" s="233"/>
      <c r="EL361" s="233"/>
      <c r="EM361" s="233"/>
      <c r="EN361" s="233"/>
      <c r="EO361" s="233"/>
      <c r="EP361" s="233"/>
    </row>
    <row r="362" spans="1:146" ht="14.25" x14ac:dyDescent="0.2">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33"/>
      <c r="CN362" s="233"/>
      <c r="CO362" s="233"/>
      <c r="CP362" s="233"/>
      <c r="CQ362" s="233"/>
      <c r="CR362" s="233"/>
      <c r="CS362" s="233"/>
      <c r="CT362" s="233"/>
      <c r="CU362" s="233"/>
      <c r="CV362" s="233"/>
      <c r="CW362" s="233"/>
      <c r="CX362" s="233"/>
      <c r="CY362" s="233"/>
      <c r="CZ362" s="233"/>
      <c r="DA362" s="233"/>
      <c r="DB362" s="233"/>
      <c r="DC362" s="233"/>
      <c r="DD362" s="233"/>
      <c r="DE362" s="233"/>
      <c r="DF362" s="233"/>
      <c r="DG362" s="233"/>
      <c r="DH362" s="233"/>
      <c r="DI362" s="233"/>
      <c r="DJ362" s="233"/>
      <c r="DK362" s="233"/>
      <c r="DL362" s="233"/>
      <c r="DM362" s="233"/>
      <c r="DN362" s="233"/>
      <c r="DO362" s="233"/>
      <c r="DP362" s="233"/>
      <c r="DQ362" s="233"/>
      <c r="DR362" s="233"/>
      <c r="DS362" s="233"/>
      <c r="DT362" s="233"/>
      <c r="DU362" s="233"/>
      <c r="DV362" s="233"/>
      <c r="DW362" s="233"/>
      <c r="DX362" s="233"/>
      <c r="DY362" s="233"/>
      <c r="DZ362" s="233"/>
      <c r="EA362" s="233"/>
      <c r="EB362" s="233"/>
      <c r="EC362" s="233"/>
      <c r="ED362" s="233"/>
      <c r="EE362" s="233"/>
      <c r="EF362" s="233"/>
      <c r="EG362" s="233"/>
      <c r="EH362" s="233"/>
      <c r="EI362" s="233"/>
      <c r="EJ362" s="233"/>
      <c r="EK362" s="233"/>
      <c r="EL362" s="233"/>
      <c r="EM362" s="233"/>
      <c r="EN362" s="233"/>
      <c r="EO362" s="233"/>
      <c r="EP362" s="233"/>
    </row>
    <row r="363" spans="1:146" ht="14.25" x14ac:dyDescent="0.2">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33"/>
      <c r="CN363" s="233"/>
      <c r="CO363" s="233"/>
      <c r="CP363" s="233"/>
      <c r="CQ363" s="233"/>
      <c r="CR363" s="233"/>
      <c r="CS363" s="233"/>
      <c r="CT363" s="233"/>
      <c r="CU363" s="233"/>
      <c r="CV363" s="233"/>
      <c r="CW363" s="233"/>
      <c r="CX363" s="233"/>
      <c r="CY363" s="233"/>
      <c r="CZ363" s="233"/>
      <c r="DA363" s="233"/>
      <c r="DB363" s="233"/>
      <c r="DC363" s="233"/>
      <c r="DD363" s="233"/>
      <c r="DE363" s="233"/>
      <c r="DF363" s="233"/>
      <c r="DG363" s="233"/>
      <c r="DH363" s="233"/>
      <c r="DI363" s="233"/>
      <c r="DJ363" s="233"/>
      <c r="DK363" s="233"/>
      <c r="DL363" s="233"/>
      <c r="DM363" s="233"/>
      <c r="DN363" s="233"/>
      <c r="DO363" s="233"/>
      <c r="DP363" s="233"/>
      <c r="DQ363" s="233"/>
      <c r="DR363" s="233"/>
      <c r="DS363" s="233"/>
      <c r="DT363" s="233"/>
      <c r="DU363" s="233"/>
      <c r="DV363" s="233"/>
      <c r="DW363" s="233"/>
      <c r="DX363" s="233"/>
      <c r="DY363" s="233"/>
      <c r="DZ363" s="233"/>
      <c r="EA363" s="233"/>
      <c r="EB363" s="233"/>
      <c r="EC363" s="233"/>
      <c r="ED363" s="233"/>
      <c r="EE363" s="233"/>
      <c r="EF363" s="233"/>
      <c r="EG363" s="233"/>
      <c r="EH363" s="233"/>
      <c r="EI363" s="233"/>
      <c r="EJ363" s="233"/>
      <c r="EK363" s="233"/>
      <c r="EL363" s="233"/>
      <c r="EM363" s="233"/>
      <c r="EN363" s="233"/>
      <c r="EO363" s="233"/>
      <c r="EP363" s="233"/>
    </row>
    <row r="364" spans="1:146" ht="14.25" x14ac:dyDescent="0.2">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33"/>
      <c r="AX364" s="233"/>
      <c r="AY364" s="233"/>
      <c r="AZ364" s="233"/>
      <c r="BA364" s="233"/>
      <c r="BB364" s="233"/>
      <c r="BC364" s="233"/>
      <c r="BD364" s="233"/>
      <c r="BE364" s="233"/>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33"/>
      <c r="CN364" s="233"/>
      <c r="CO364" s="233"/>
      <c r="CP364" s="233"/>
      <c r="CQ364" s="233"/>
      <c r="CR364" s="233"/>
      <c r="CS364" s="233"/>
      <c r="CT364" s="233"/>
      <c r="CU364" s="233"/>
      <c r="CV364" s="233"/>
      <c r="CW364" s="233"/>
      <c r="CX364" s="233"/>
      <c r="CY364" s="233"/>
      <c r="CZ364" s="233"/>
      <c r="DA364" s="233"/>
      <c r="DB364" s="233"/>
      <c r="DC364" s="233"/>
      <c r="DD364" s="233"/>
      <c r="DE364" s="233"/>
      <c r="DF364" s="233"/>
      <c r="DG364" s="233"/>
      <c r="DH364" s="233"/>
      <c r="DI364" s="233"/>
      <c r="DJ364" s="233"/>
      <c r="DK364" s="233"/>
      <c r="DL364" s="233"/>
      <c r="DM364" s="233"/>
      <c r="DN364" s="233"/>
      <c r="DO364" s="233"/>
      <c r="DP364" s="233"/>
      <c r="DQ364" s="233"/>
      <c r="DR364" s="233"/>
      <c r="DS364" s="233"/>
      <c r="DT364" s="233"/>
      <c r="DU364" s="233"/>
      <c r="DV364" s="233"/>
      <c r="DW364" s="233"/>
      <c r="DX364" s="233"/>
      <c r="DY364" s="233"/>
      <c r="DZ364" s="233"/>
      <c r="EA364" s="233"/>
      <c r="EB364" s="233"/>
      <c r="EC364" s="233"/>
      <c r="ED364" s="233"/>
      <c r="EE364" s="233"/>
      <c r="EF364" s="233"/>
      <c r="EG364" s="233"/>
      <c r="EH364" s="233"/>
      <c r="EI364" s="233"/>
      <c r="EJ364" s="233"/>
      <c r="EK364" s="233"/>
      <c r="EL364" s="233"/>
      <c r="EM364" s="233"/>
      <c r="EN364" s="233"/>
      <c r="EO364" s="233"/>
      <c r="EP364" s="233"/>
    </row>
    <row r="365" spans="1:146" ht="14.25" x14ac:dyDescent="0.2">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3"/>
      <c r="AX365" s="233"/>
      <c r="AY365" s="233"/>
      <c r="AZ365" s="233"/>
      <c r="BA365" s="233"/>
      <c r="BB365" s="233"/>
      <c r="BC365" s="233"/>
      <c r="BD365" s="233"/>
      <c r="BE365" s="233"/>
      <c r="BF365" s="233"/>
      <c r="BG365" s="233"/>
      <c r="BH365" s="233"/>
      <c r="BI365" s="233"/>
      <c r="BJ365" s="233"/>
      <c r="BK365" s="233"/>
      <c r="BL365" s="233"/>
      <c r="BM365" s="233"/>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33"/>
      <c r="CI365" s="233"/>
      <c r="CJ365" s="233"/>
      <c r="CK365" s="233"/>
      <c r="CL365" s="233"/>
      <c r="CM365" s="233"/>
      <c r="CN365" s="233"/>
      <c r="CO365" s="233"/>
      <c r="CP365" s="233"/>
      <c r="CQ365" s="233"/>
      <c r="CR365" s="233"/>
      <c r="CS365" s="233"/>
      <c r="CT365" s="233"/>
      <c r="CU365" s="233"/>
      <c r="CV365" s="233"/>
      <c r="CW365" s="233"/>
      <c r="CX365" s="233"/>
      <c r="CY365" s="233"/>
      <c r="CZ365" s="233"/>
      <c r="DA365" s="233"/>
      <c r="DB365" s="233"/>
      <c r="DC365" s="233"/>
      <c r="DD365" s="233"/>
      <c r="DE365" s="233"/>
      <c r="DF365" s="233"/>
      <c r="DG365" s="233"/>
      <c r="DH365" s="233"/>
      <c r="DI365" s="233"/>
      <c r="DJ365" s="233"/>
      <c r="DK365" s="233"/>
      <c r="DL365" s="233"/>
      <c r="DM365" s="233"/>
      <c r="DN365" s="233"/>
      <c r="DO365" s="233"/>
      <c r="DP365" s="233"/>
      <c r="DQ365" s="233"/>
      <c r="DR365" s="233"/>
      <c r="DS365" s="233"/>
      <c r="DT365" s="233"/>
      <c r="DU365" s="233"/>
      <c r="DV365" s="233"/>
      <c r="DW365" s="233"/>
      <c r="DX365" s="233"/>
      <c r="DY365" s="233"/>
      <c r="DZ365" s="233"/>
      <c r="EA365" s="233"/>
      <c r="EB365" s="233"/>
      <c r="EC365" s="233"/>
      <c r="ED365" s="233"/>
      <c r="EE365" s="233"/>
      <c r="EF365" s="233"/>
      <c r="EG365" s="233"/>
      <c r="EH365" s="233"/>
      <c r="EI365" s="233"/>
      <c r="EJ365" s="233"/>
      <c r="EK365" s="233"/>
      <c r="EL365" s="233"/>
      <c r="EM365" s="233"/>
      <c r="EN365" s="233"/>
      <c r="EO365" s="233"/>
      <c r="EP365" s="233"/>
    </row>
    <row r="366" spans="1:146" ht="14.25" x14ac:dyDescent="0.2">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c r="AY366" s="233"/>
      <c r="AZ366" s="233"/>
      <c r="BA366" s="233"/>
      <c r="BB366" s="233"/>
      <c r="BC366" s="233"/>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33"/>
      <c r="CI366" s="233"/>
      <c r="CJ366" s="233"/>
      <c r="CK366" s="233"/>
      <c r="CL366" s="233"/>
      <c r="CM366" s="233"/>
      <c r="CN366" s="233"/>
      <c r="CO366" s="233"/>
      <c r="CP366" s="233"/>
      <c r="CQ366" s="233"/>
      <c r="CR366" s="233"/>
      <c r="CS366" s="233"/>
      <c r="CT366" s="233"/>
      <c r="CU366" s="233"/>
      <c r="CV366" s="233"/>
      <c r="CW366" s="233"/>
      <c r="CX366" s="233"/>
      <c r="CY366" s="233"/>
      <c r="CZ366" s="233"/>
      <c r="DA366" s="233"/>
      <c r="DB366" s="233"/>
      <c r="DC366" s="233"/>
      <c r="DD366" s="233"/>
      <c r="DE366" s="233"/>
      <c r="DF366" s="233"/>
      <c r="DG366" s="233"/>
      <c r="DH366" s="233"/>
      <c r="DI366" s="233"/>
      <c r="DJ366" s="233"/>
      <c r="DK366" s="233"/>
      <c r="DL366" s="233"/>
      <c r="DM366" s="233"/>
      <c r="DN366" s="233"/>
      <c r="DO366" s="233"/>
      <c r="DP366" s="233"/>
      <c r="DQ366" s="233"/>
      <c r="DR366" s="233"/>
      <c r="DS366" s="233"/>
      <c r="DT366" s="233"/>
      <c r="DU366" s="233"/>
      <c r="DV366" s="233"/>
      <c r="DW366" s="233"/>
      <c r="DX366" s="233"/>
      <c r="DY366" s="233"/>
      <c r="DZ366" s="233"/>
      <c r="EA366" s="233"/>
      <c r="EB366" s="233"/>
      <c r="EC366" s="233"/>
      <c r="ED366" s="233"/>
      <c r="EE366" s="233"/>
      <c r="EF366" s="233"/>
      <c r="EG366" s="233"/>
      <c r="EH366" s="233"/>
      <c r="EI366" s="233"/>
      <c r="EJ366" s="233"/>
      <c r="EK366" s="233"/>
      <c r="EL366" s="233"/>
      <c r="EM366" s="233"/>
      <c r="EN366" s="233"/>
      <c r="EO366" s="233"/>
      <c r="EP366" s="233"/>
    </row>
    <row r="367" spans="1:146" ht="14.25" x14ac:dyDescent="0.2">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c r="AW367" s="233"/>
      <c r="AX367" s="233"/>
      <c r="AY367" s="233"/>
      <c r="AZ367" s="233"/>
      <c r="BA367" s="233"/>
      <c r="BB367" s="233"/>
      <c r="BC367" s="233"/>
      <c r="BD367" s="233"/>
      <c r="BE367" s="233"/>
      <c r="BF367" s="233"/>
      <c r="BG367" s="233"/>
      <c r="BH367" s="233"/>
      <c r="BI367" s="233"/>
      <c r="BJ367" s="233"/>
      <c r="BK367" s="233"/>
      <c r="BL367" s="233"/>
      <c r="BM367" s="233"/>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33"/>
      <c r="CI367" s="233"/>
      <c r="CJ367" s="233"/>
      <c r="CK367" s="233"/>
      <c r="CL367" s="233"/>
      <c r="CM367" s="233"/>
      <c r="CN367" s="233"/>
      <c r="CO367" s="233"/>
      <c r="CP367" s="233"/>
      <c r="CQ367" s="233"/>
      <c r="CR367" s="233"/>
      <c r="CS367" s="233"/>
      <c r="CT367" s="233"/>
      <c r="CU367" s="233"/>
      <c r="CV367" s="233"/>
      <c r="CW367" s="233"/>
      <c r="CX367" s="233"/>
      <c r="CY367" s="233"/>
      <c r="CZ367" s="233"/>
      <c r="DA367" s="233"/>
      <c r="DB367" s="233"/>
      <c r="DC367" s="233"/>
      <c r="DD367" s="233"/>
      <c r="DE367" s="233"/>
      <c r="DF367" s="233"/>
      <c r="DG367" s="233"/>
      <c r="DH367" s="233"/>
      <c r="DI367" s="233"/>
      <c r="DJ367" s="233"/>
      <c r="DK367" s="233"/>
      <c r="DL367" s="233"/>
      <c r="DM367" s="233"/>
      <c r="DN367" s="233"/>
      <c r="DO367" s="233"/>
      <c r="DP367" s="233"/>
      <c r="DQ367" s="233"/>
      <c r="DR367" s="233"/>
      <c r="DS367" s="233"/>
      <c r="DT367" s="233"/>
      <c r="DU367" s="233"/>
      <c r="DV367" s="233"/>
      <c r="DW367" s="233"/>
      <c r="DX367" s="233"/>
      <c r="DY367" s="233"/>
      <c r="DZ367" s="233"/>
      <c r="EA367" s="233"/>
      <c r="EB367" s="233"/>
      <c r="EC367" s="233"/>
      <c r="ED367" s="233"/>
      <c r="EE367" s="233"/>
      <c r="EF367" s="233"/>
      <c r="EG367" s="233"/>
      <c r="EH367" s="233"/>
      <c r="EI367" s="233"/>
      <c r="EJ367" s="233"/>
      <c r="EK367" s="233"/>
      <c r="EL367" s="233"/>
      <c r="EM367" s="233"/>
      <c r="EN367" s="233"/>
      <c r="EO367" s="233"/>
      <c r="EP367" s="233"/>
    </row>
    <row r="368" spans="1:146" ht="14.25" x14ac:dyDescent="0.2">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233"/>
      <c r="BE368" s="233"/>
      <c r="BF368" s="233"/>
      <c r="BG368" s="233"/>
      <c r="BH368" s="233"/>
      <c r="BI368" s="233"/>
      <c r="BJ368" s="233"/>
      <c r="BK368" s="233"/>
      <c r="BL368" s="233"/>
      <c r="BM368" s="233"/>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33"/>
      <c r="CI368" s="233"/>
      <c r="CJ368" s="233"/>
      <c r="CK368" s="233"/>
      <c r="CL368" s="233"/>
      <c r="CM368" s="233"/>
      <c r="CN368" s="233"/>
      <c r="CO368" s="233"/>
      <c r="CP368" s="233"/>
      <c r="CQ368" s="233"/>
      <c r="CR368" s="233"/>
      <c r="CS368" s="233"/>
      <c r="CT368" s="233"/>
      <c r="CU368" s="233"/>
      <c r="CV368" s="233"/>
      <c r="CW368" s="233"/>
      <c r="CX368" s="233"/>
      <c r="CY368" s="233"/>
      <c r="CZ368" s="233"/>
      <c r="DA368" s="233"/>
      <c r="DB368" s="233"/>
      <c r="DC368" s="233"/>
      <c r="DD368" s="233"/>
      <c r="DE368" s="233"/>
      <c r="DF368" s="233"/>
      <c r="DG368" s="233"/>
      <c r="DH368" s="233"/>
      <c r="DI368" s="233"/>
      <c r="DJ368" s="233"/>
      <c r="DK368" s="233"/>
      <c r="DL368" s="233"/>
      <c r="DM368" s="233"/>
      <c r="DN368" s="233"/>
      <c r="DO368" s="233"/>
      <c r="DP368" s="233"/>
      <c r="DQ368" s="233"/>
      <c r="DR368" s="233"/>
      <c r="DS368" s="233"/>
      <c r="DT368" s="233"/>
      <c r="DU368" s="233"/>
      <c r="DV368" s="233"/>
      <c r="DW368" s="233"/>
      <c r="DX368" s="233"/>
      <c r="DY368" s="233"/>
      <c r="DZ368" s="233"/>
      <c r="EA368" s="233"/>
      <c r="EB368" s="233"/>
      <c r="EC368" s="233"/>
      <c r="ED368" s="233"/>
      <c r="EE368" s="233"/>
      <c r="EF368" s="233"/>
      <c r="EG368" s="233"/>
      <c r="EH368" s="233"/>
      <c r="EI368" s="233"/>
      <c r="EJ368" s="233"/>
      <c r="EK368" s="233"/>
      <c r="EL368" s="233"/>
      <c r="EM368" s="233"/>
      <c r="EN368" s="233"/>
      <c r="EO368" s="233"/>
      <c r="EP368" s="233"/>
    </row>
    <row r="369" spans="1:146" ht="14.25" x14ac:dyDescent="0.2">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233"/>
      <c r="AY369" s="233"/>
      <c r="AZ369" s="233"/>
      <c r="BA369" s="233"/>
      <c r="BB369" s="233"/>
      <c r="BC369" s="233"/>
      <c r="BD369" s="233"/>
      <c r="BE369" s="233"/>
      <c r="BF369" s="233"/>
      <c r="BG369" s="233"/>
      <c r="BH369" s="233"/>
      <c r="BI369" s="233"/>
      <c r="BJ369" s="233"/>
      <c r="BK369" s="233"/>
      <c r="BL369" s="233"/>
      <c r="BM369" s="233"/>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33"/>
      <c r="CI369" s="233"/>
      <c r="CJ369" s="233"/>
      <c r="CK369" s="233"/>
      <c r="CL369" s="233"/>
      <c r="CM369" s="233"/>
      <c r="CN369" s="233"/>
      <c r="CO369" s="233"/>
      <c r="CP369" s="233"/>
      <c r="CQ369" s="233"/>
      <c r="CR369" s="233"/>
      <c r="CS369" s="233"/>
      <c r="CT369" s="233"/>
      <c r="CU369" s="233"/>
      <c r="CV369" s="233"/>
      <c r="CW369" s="233"/>
      <c r="CX369" s="233"/>
      <c r="CY369" s="233"/>
      <c r="CZ369" s="233"/>
      <c r="DA369" s="233"/>
      <c r="DB369" s="233"/>
      <c r="DC369" s="233"/>
      <c r="DD369" s="233"/>
      <c r="DE369" s="233"/>
      <c r="DF369" s="233"/>
      <c r="DG369" s="233"/>
      <c r="DH369" s="233"/>
      <c r="DI369" s="233"/>
      <c r="DJ369" s="233"/>
      <c r="DK369" s="233"/>
      <c r="DL369" s="233"/>
      <c r="DM369" s="233"/>
      <c r="DN369" s="233"/>
      <c r="DO369" s="233"/>
      <c r="DP369" s="233"/>
      <c r="DQ369" s="233"/>
      <c r="DR369" s="233"/>
      <c r="DS369" s="233"/>
      <c r="DT369" s="233"/>
      <c r="DU369" s="233"/>
      <c r="DV369" s="233"/>
      <c r="DW369" s="233"/>
      <c r="DX369" s="233"/>
      <c r="DY369" s="233"/>
      <c r="DZ369" s="233"/>
      <c r="EA369" s="233"/>
      <c r="EB369" s="233"/>
      <c r="EC369" s="233"/>
      <c r="ED369" s="233"/>
      <c r="EE369" s="233"/>
      <c r="EF369" s="233"/>
      <c r="EG369" s="233"/>
      <c r="EH369" s="233"/>
      <c r="EI369" s="233"/>
      <c r="EJ369" s="233"/>
      <c r="EK369" s="233"/>
      <c r="EL369" s="233"/>
      <c r="EM369" s="233"/>
      <c r="EN369" s="233"/>
      <c r="EO369" s="233"/>
      <c r="EP369" s="233"/>
    </row>
    <row r="370" spans="1:146" ht="14.25" x14ac:dyDescent="0.2">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33"/>
      <c r="CN370" s="233"/>
      <c r="CO370" s="233"/>
      <c r="CP370" s="233"/>
      <c r="CQ370" s="233"/>
      <c r="CR370" s="233"/>
      <c r="CS370" s="233"/>
      <c r="CT370" s="233"/>
      <c r="CU370" s="233"/>
      <c r="CV370" s="233"/>
      <c r="CW370" s="233"/>
      <c r="CX370" s="233"/>
      <c r="CY370" s="233"/>
      <c r="CZ370" s="233"/>
      <c r="DA370" s="233"/>
      <c r="DB370" s="233"/>
      <c r="DC370" s="233"/>
      <c r="DD370" s="233"/>
      <c r="DE370" s="233"/>
      <c r="DF370" s="233"/>
      <c r="DG370" s="233"/>
      <c r="DH370" s="233"/>
      <c r="DI370" s="233"/>
      <c r="DJ370" s="233"/>
      <c r="DK370" s="233"/>
      <c r="DL370" s="233"/>
      <c r="DM370" s="233"/>
      <c r="DN370" s="233"/>
      <c r="DO370" s="233"/>
      <c r="DP370" s="233"/>
      <c r="DQ370" s="233"/>
      <c r="DR370" s="233"/>
      <c r="DS370" s="233"/>
      <c r="DT370" s="233"/>
      <c r="DU370" s="233"/>
      <c r="DV370" s="233"/>
      <c r="DW370" s="233"/>
      <c r="DX370" s="233"/>
      <c r="DY370" s="233"/>
      <c r="DZ370" s="233"/>
      <c r="EA370" s="233"/>
      <c r="EB370" s="233"/>
      <c r="EC370" s="233"/>
      <c r="ED370" s="233"/>
      <c r="EE370" s="233"/>
      <c r="EF370" s="233"/>
      <c r="EG370" s="233"/>
      <c r="EH370" s="233"/>
      <c r="EI370" s="233"/>
      <c r="EJ370" s="233"/>
      <c r="EK370" s="233"/>
      <c r="EL370" s="233"/>
      <c r="EM370" s="233"/>
      <c r="EN370" s="233"/>
      <c r="EO370" s="233"/>
      <c r="EP370" s="233"/>
    </row>
    <row r="371" spans="1:146" ht="14.25" x14ac:dyDescent="0.2">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33"/>
      <c r="CI371" s="233"/>
      <c r="CJ371" s="233"/>
      <c r="CK371" s="233"/>
      <c r="CL371" s="233"/>
      <c r="CM371" s="233"/>
      <c r="CN371" s="233"/>
      <c r="CO371" s="233"/>
      <c r="CP371" s="233"/>
      <c r="CQ371" s="233"/>
      <c r="CR371" s="233"/>
      <c r="CS371" s="233"/>
      <c r="CT371" s="233"/>
      <c r="CU371" s="233"/>
      <c r="CV371" s="233"/>
      <c r="CW371" s="233"/>
      <c r="CX371" s="233"/>
      <c r="CY371" s="233"/>
      <c r="CZ371" s="233"/>
      <c r="DA371" s="233"/>
      <c r="DB371" s="233"/>
      <c r="DC371" s="233"/>
      <c r="DD371" s="233"/>
      <c r="DE371" s="233"/>
      <c r="DF371" s="233"/>
      <c r="DG371" s="233"/>
      <c r="DH371" s="233"/>
      <c r="DI371" s="233"/>
      <c r="DJ371" s="233"/>
      <c r="DK371" s="233"/>
      <c r="DL371" s="233"/>
      <c r="DM371" s="233"/>
      <c r="DN371" s="233"/>
      <c r="DO371" s="233"/>
      <c r="DP371" s="233"/>
      <c r="DQ371" s="233"/>
      <c r="DR371" s="233"/>
      <c r="DS371" s="233"/>
      <c r="DT371" s="233"/>
      <c r="DU371" s="233"/>
      <c r="DV371" s="233"/>
      <c r="DW371" s="233"/>
      <c r="DX371" s="233"/>
      <c r="DY371" s="233"/>
      <c r="DZ371" s="233"/>
      <c r="EA371" s="233"/>
      <c r="EB371" s="233"/>
      <c r="EC371" s="233"/>
      <c r="ED371" s="233"/>
      <c r="EE371" s="233"/>
      <c r="EF371" s="233"/>
      <c r="EG371" s="233"/>
      <c r="EH371" s="233"/>
      <c r="EI371" s="233"/>
      <c r="EJ371" s="233"/>
      <c r="EK371" s="233"/>
      <c r="EL371" s="233"/>
      <c r="EM371" s="233"/>
      <c r="EN371" s="233"/>
      <c r="EO371" s="233"/>
      <c r="EP371" s="233"/>
    </row>
    <row r="372" spans="1:146" ht="14.25" x14ac:dyDescent="0.2">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33"/>
      <c r="CI372" s="233"/>
      <c r="CJ372" s="233"/>
      <c r="CK372" s="233"/>
      <c r="CL372" s="233"/>
      <c r="CM372" s="233"/>
      <c r="CN372" s="233"/>
      <c r="CO372" s="233"/>
      <c r="CP372" s="233"/>
      <c r="CQ372" s="233"/>
      <c r="CR372" s="233"/>
      <c r="CS372" s="233"/>
      <c r="CT372" s="233"/>
      <c r="CU372" s="233"/>
      <c r="CV372" s="233"/>
      <c r="CW372" s="233"/>
      <c r="CX372" s="233"/>
      <c r="CY372" s="233"/>
      <c r="CZ372" s="233"/>
      <c r="DA372" s="233"/>
      <c r="DB372" s="233"/>
      <c r="DC372" s="233"/>
      <c r="DD372" s="233"/>
      <c r="DE372" s="233"/>
      <c r="DF372" s="233"/>
      <c r="DG372" s="233"/>
      <c r="DH372" s="233"/>
      <c r="DI372" s="233"/>
      <c r="DJ372" s="233"/>
      <c r="DK372" s="233"/>
      <c r="DL372" s="233"/>
      <c r="DM372" s="233"/>
      <c r="DN372" s="233"/>
      <c r="DO372" s="233"/>
      <c r="DP372" s="233"/>
      <c r="DQ372" s="233"/>
      <c r="DR372" s="233"/>
      <c r="DS372" s="233"/>
      <c r="DT372" s="233"/>
      <c r="DU372" s="233"/>
      <c r="DV372" s="233"/>
      <c r="DW372" s="233"/>
      <c r="DX372" s="233"/>
      <c r="DY372" s="233"/>
      <c r="DZ372" s="233"/>
      <c r="EA372" s="233"/>
      <c r="EB372" s="233"/>
      <c r="EC372" s="233"/>
      <c r="ED372" s="233"/>
      <c r="EE372" s="233"/>
      <c r="EF372" s="233"/>
      <c r="EG372" s="233"/>
      <c r="EH372" s="233"/>
      <c r="EI372" s="233"/>
      <c r="EJ372" s="233"/>
      <c r="EK372" s="233"/>
      <c r="EL372" s="233"/>
      <c r="EM372" s="233"/>
      <c r="EN372" s="233"/>
      <c r="EO372" s="233"/>
      <c r="EP372" s="233"/>
    </row>
    <row r="373" spans="1:146" ht="14.25" x14ac:dyDescent="0.2">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c r="AZ373" s="233"/>
      <c r="BA373" s="233"/>
      <c r="BB373" s="233"/>
      <c r="BC373" s="233"/>
      <c r="BD373" s="233"/>
      <c r="BE373" s="233"/>
      <c r="BF373" s="233"/>
      <c r="BG373" s="233"/>
      <c r="BH373" s="233"/>
      <c r="BI373" s="233"/>
      <c r="BJ373" s="233"/>
      <c r="BK373" s="233"/>
      <c r="BL373" s="233"/>
      <c r="BM373" s="233"/>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33"/>
      <c r="CI373" s="233"/>
      <c r="CJ373" s="233"/>
      <c r="CK373" s="233"/>
      <c r="CL373" s="233"/>
      <c r="CM373" s="233"/>
      <c r="CN373" s="233"/>
      <c r="CO373" s="233"/>
      <c r="CP373" s="233"/>
      <c r="CQ373" s="233"/>
      <c r="CR373" s="233"/>
      <c r="CS373" s="233"/>
      <c r="CT373" s="233"/>
      <c r="CU373" s="233"/>
      <c r="CV373" s="233"/>
      <c r="CW373" s="233"/>
      <c r="CX373" s="233"/>
      <c r="CY373" s="233"/>
      <c r="CZ373" s="233"/>
      <c r="DA373" s="233"/>
      <c r="DB373" s="233"/>
      <c r="DC373" s="233"/>
      <c r="DD373" s="233"/>
      <c r="DE373" s="233"/>
      <c r="DF373" s="233"/>
      <c r="DG373" s="233"/>
      <c r="DH373" s="233"/>
      <c r="DI373" s="233"/>
      <c r="DJ373" s="233"/>
      <c r="DK373" s="233"/>
      <c r="DL373" s="233"/>
      <c r="DM373" s="233"/>
      <c r="DN373" s="233"/>
      <c r="DO373" s="233"/>
      <c r="DP373" s="233"/>
      <c r="DQ373" s="233"/>
      <c r="DR373" s="233"/>
      <c r="DS373" s="233"/>
      <c r="DT373" s="233"/>
      <c r="DU373" s="233"/>
      <c r="DV373" s="233"/>
      <c r="DW373" s="233"/>
      <c r="DX373" s="233"/>
      <c r="DY373" s="233"/>
      <c r="DZ373" s="233"/>
      <c r="EA373" s="233"/>
      <c r="EB373" s="233"/>
      <c r="EC373" s="233"/>
      <c r="ED373" s="233"/>
      <c r="EE373" s="233"/>
      <c r="EF373" s="233"/>
      <c r="EG373" s="233"/>
      <c r="EH373" s="233"/>
      <c r="EI373" s="233"/>
      <c r="EJ373" s="233"/>
      <c r="EK373" s="233"/>
      <c r="EL373" s="233"/>
      <c r="EM373" s="233"/>
      <c r="EN373" s="233"/>
      <c r="EO373" s="233"/>
      <c r="EP373" s="233"/>
    </row>
    <row r="374" spans="1:146" ht="14.25" x14ac:dyDescent="0.2">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33"/>
      <c r="CI374" s="233"/>
      <c r="CJ374" s="233"/>
      <c r="CK374" s="233"/>
      <c r="CL374" s="233"/>
      <c r="CM374" s="233"/>
      <c r="CN374" s="233"/>
      <c r="CO374" s="233"/>
      <c r="CP374" s="233"/>
      <c r="CQ374" s="233"/>
      <c r="CR374" s="233"/>
      <c r="CS374" s="233"/>
      <c r="CT374" s="233"/>
      <c r="CU374" s="233"/>
      <c r="CV374" s="233"/>
      <c r="CW374" s="233"/>
      <c r="CX374" s="233"/>
      <c r="CY374" s="233"/>
      <c r="CZ374" s="233"/>
      <c r="DA374" s="233"/>
      <c r="DB374" s="233"/>
      <c r="DC374" s="233"/>
      <c r="DD374" s="233"/>
      <c r="DE374" s="233"/>
      <c r="DF374" s="233"/>
      <c r="DG374" s="233"/>
      <c r="DH374" s="233"/>
      <c r="DI374" s="233"/>
      <c r="DJ374" s="233"/>
      <c r="DK374" s="233"/>
      <c r="DL374" s="233"/>
      <c r="DM374" s="233"/>
      <c r="DN374" s="233"/>
      <c r="DO374" s="233"/>
      <c r="DP374" s="233"/>
      <c r="DQ374" s="233"/>
      <c r="DR374" s="233"/>
      <c r="DS374" s="233"/>
      <c r="DT374" s="233"/>
      <c r="DU374" s="233"/>
      <c r="DV374" s="233"/>
      <c r="DW374" s="233"/>
      <c r="DX374" s="233"/>
      <c r="DY374" s="233"/>
      <c r="DZ374" s="233"/>
      <c r="EA374" s="233"/>
      <c r="EB374" s="233"/>
      <c r="EC374" s="233"/>
      <c r="ED374" s="233"/>
      <c r="EE374" s="233"/>
      <c r="EF374" s="233"/>
      <c r="EG374" s="233"/>
      <c r="EH374" s="233"/>
      <c r="EI374" s="233"/>
      <c r="EJ374" s="233"/>
      <c r="EK374" s="233"/>
      <c r="EL374" s="233"/>
      <c r="EM374" s="233"/>
      <c r="EN374" s="233"/>
      <c r="EO374" s="233"/>
      <c r="EP374" s="233"/>
    </row>
    <row r="375" spans="1:146" ht="14.25" x14ac:dyDescent="0.2">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row>
    <row r="376" spans="1:146" ht="14.25" x14ac:dyDescent="0.2">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33"/>
      <c r="CI376" s="233"/>
      <c r="CJ376" s="233"/>
      <c r="CK376" s="233"/>
      <c r="CL376" s="233"/>
      <c r="CM376" s="233"/>
      <c r="CN376" s="233"/>
      <c r="CO376" s="233"/>
      <c r="CP376" s="233"/>
      <c r="CQ376" s="233"/>
      <c r="CR376" s="233"/>
      <c r="CS376" s="233"/>
      <c r="CT376" s="233"/>
      <c r="CU376" s="233"/>
      <c r="CV376" s="233"/>
      <c r="CW376" s="233"/>
      <c r="CX376" s="233"/>
      <c r="CY376" s="233"/>
      <c r="CZ376" s="233"/>
      <c r="DA376" s="233"/>
      <c r="DB376" s="233"/>
      <c r="DC376" s="233"/>
      <c r="DD376" s="233"/>
      <c r="DE376" s="233"/>
      <c r="DF376" s="233"/>
      <c r="DG376" s="233"/>
      <c r="DH376" s="233"/>
      <c r="DI376" s="233"/>
      <c r="DJ376" s="233"/>
      <c r="DK376" s="233"/>
      <c r="DL376" s="233"/>
      <c r="DM376" s="233"/>
      <c r="DN376" s="233"/>
      <c r="DO376" s="233"/>
      <c r="DP376" s="233"/>
      <c r="DQ376" s="233"/>
      <c r="DR376" s="233"/>
      <c r="DS376" s="233"/>
      <c r="DT376" s="233"/>
      <c r="DU376" s="233"/>
      <c r="DV376" s="233"/>
      <c r="DW376" s="233"/>
      <c r="DX376" s="233"/>
      <c r="DY376" s="233"/>
      <c r="DZ376" s="233"/>
      <c r="EA376" s="233"/>
      <c r="EB376" s="233"/>
      <c r="EC376" s="233"/>
      <c r="ED376" s="233"/>
      <c r="EE376" s="233"/>
      <c r="EF376" s="233"/>
      <c r="EG376" s="233"/>
      <c r="EH376" s="233"/>
      <c r="EI376" s="233"/>
      <c r="EJ376" s="233"/>
      <c r="EK376" s="233"/>
      <c r="EL376" s="233"/>
      <c r="EM376" s="233"/>
      <c r="EN376" s="233"/>
      <c r="EO376" s="233"/>
      <c r="EP376" s="233"/>
    </row>
    <row r="377" spans="1:146" ht="14.25" x14ac:dyDescent="0.2">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c r="BG377" s="233"/>
      <c r="BH377" s="233"/>
      <c r="BI377" s="233"/>
      <c r="BJ377" s="233"/>
      <c r="BK377" s="233"/>
      <c r="BL377" s="233"/>
      <c r="BM377" s="233"/>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33"/>
      <c r="CI377" s="233"/>
      <c r="CJ377" s="233"/>
      <c r="CK377" s="233"/>
      <c r="CL377" s="233"/>
      <c r="CM377" s="233"/>
      <c r="CN377" s="233"/>
      <c r="CO377" s="233"/>
      <c r="CP377" s="233"/>
      <c r="CQ377" s="233"/>
      <c r="CR377" s="233"/>
      <c r="CS377" s="233"/>
      <c r="CT377" s="233"/>
      <c r="CU377" s="233"/>
      <c r="CV377" s="233"/>
      <c r="CW377" s="233"/>
      <c r="CX377" s="233"/>
      <c r="CY377" s="233"/>
      <c r="CZ377" s="233"/>
      <c r="DA377" s="233"/>
      <c r="DB377" s="233"/>
      <c r="DC377" s="233"/>
      <c r="DD377" s="233"/>
      <c r="DE377" s="233"/>
      <c r="DF377" s="233"/>
      <c r="DG377" s="233"/>
      <c r="DH377" s="233"/>
      <c r="DI377" s="233"/>
      <c r="DJ377" s="233"/>
      <c r="DK377" s="233"/>
      <c r="DL377" s="233"/>
      <c r="DM377" s="233"/>
      <c r="DN377" s="233"/>
      <c r="DO377" s="233"/>
      <c r="DP377" s="233"/>
      <c r="DQ377" s="233"/>
      <c r="DR377" s="233"/>
      <c r="DS377" s="233"/>
      <c r="DT377" s="233"/>
      <c r="DU377" s="233"/>
      <c r="DV377" s="233"/>
      <c r="DW377" s="233"/>
      <c r="DX377" s="233"/>
      <c r="DY377" s="233"/>
      <c r="DZ377" s="233"/>
      <c r="EA377" s="233"/>
      <c r="EB377" s="233"/>
      <c r="EC377" s="233"/>
      <c r="ED377" s="233"/>
      <c r="EE377" s="233"/>
      <c r="EF377" s="233"/>
      <c r="EG377" s="233"/>
      <c r="EH377" s="233"/>
      <c r="EI377" s="233"/>
      <c r="EJ377" s="233"/>
      <c r="EK377" s="233"/>
      <c r="EL377" s="233"/>
      <c r="EM377" s="233"/>
      <c r="EN377" s="233"/>
      <c r="EO377" s="233"/>
      <c r="EP377" s="233"/>
    </row>
    <row r="378" spans="1:146" ht="14.25" x14ac:dyDescent="0.2">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c r="AZ378" s="233"/>
      <c r="BA378" s="233"/>
      <c r="BB378" s="233"/>
      <c r="BC378" s="233"/>
      <c r="BD378" s="233"/>
      <c r="BE378" s="233"/>
      <c r="BF378" s="233"/>
      <c r="BG378" s="233"/>
      <c r="BH378" s="233"/>
      <c r="BI378" s="233"/>
      <c r="BJ378" s="233"/>
      <c r="BK378" s="233"/>
      <c r="BL378" s="233"/>
      <c r="BM378" s="233"/>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33"/>
      <c r="CI378" s="233"/>
      <c r="CJ378" s="233"/>
      <c r="CK378" s="233"/>
      <c r="CL378" s="233"/>
      <c r="CM378" s="233"/>
      <c r="CN378" s="233"/>
      <c r="CO378" s="233"/>
      <c r="CP378" s="233"/>
      <c r="CQ378" s="233"/>
      <c r="CR378" s="233"/>
      <c r="CS378" s="233"/>
      <c r="CT378" s="233"/>
      <c r="CU378" s="233"/>
      <c r="CV378" s="233"/>
      <c r="CW378" s="233"/>
      <c r="CX378" s="233"/>
      <c r="CY378" s="233"/>
      <c r="CZ378" s="233"/>
      <c r="DA378" s="233"/>
      <c r="DB378" s="233"/>
      <c r="DC378" s="233"/>
      <c r="DD378" s="233"/>
      <c r="DE378" s="233"/>
      <c r="DF378" s="233"/>
      <c r="DG378" s="233"/>
      <c r="DH378" s="233"/>
      <c r="DI378" s="233"/>
      <c r="DJ378" s="233"/>
      <c r="DK378" s="233"/>
      <c r="DL378" s="233"/>
      <c r="DM378" s="233"/>
      <c r="DN378" s="233"/>
      <c r="DO378" s="233"/>
      <c r="DP378" s="233"/>
      <c r="DQ378" s="233"/>
      <c r="DR378" s="233"/>
      <c r="DS378" s="233"/>
      <c r="DT378" s="233"/>
      <c r="DU378" s="233"/>
      <c r="DV378" s="233"/>
      <c r="DW378" s="233"/>
      <c r="DX378" s="233"/>
      <c r="DY378" s="233"/>
      <c r="DZ378" s="233"/>
      <c r="EA378" s="233"/>
      <c r="EB378" s="233"/>
      <c r="EC378" s="233"/>
      <c r="ED378" s="233"/>
      <c r="EE378" s="233"/>
      <c r="EF378" s="233"/>
      <c r="EG378" s="233"/>
      <c r="EH378" s="233"/>
      <c r="EI378" s="233"/>
      <c r="EJ378" s="233"/>
      <c r="EK378" s="233"/>
      <c r="EL378" s="233"/>
      <c r="EM378" s="233"/>
      <c r="EN378" s="233"/>
      <c r="EO378" s="233"/>
      <c r="EP378" s="233"/>
    </row>
    <row r="379" spans="1:146" ht="14.25" x14ac:dyDescent="0.2">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33"/>
      <c r="CI379" s="233"/>
      <c r="CJ379" s="233"/>
      <c r="CK379" s="233"/>
      <c r="CL379" s="233"/>
      <c r="CM379" s="233"/>
      <c r="CN379" s="233"/>
      <c r="CO379" s="233"/>
      <c r="CP379" s="233"/>
      <c r="CQ379" s="233"/>
      <c r="CR379" s="233"/>
      <c r="CS379" s="233"/>
      <c r="CT379" s="233"/>
      <c r="CU379" s="233"/>
      <c r="CV379" s="233"/>
      <c r="CW379" s="233"/>
      <c r="CX379" s="233"/>
      <c r="CY379" s="233"/>
      <c r="CZ379" s="233"/>
      <c r="DA379" s="233"/>
      <c r="DB379" s="233"/>
      <c r="DC379" s="233"/>
      <c r="DD379" s="233"/>
      <c r="DE379" s="233"/>
      <c r="DF379" s="233"/>
      <c r="DG379" s="233"/>
      <c r="DH379" s="233"/>
      <c r="DI379" s="233"/>
      <c r="DJ379" s="233"/>
      <c r="DK379" s="233"/>
      <c r="DL379" s="233"/>
      <c r="DM379" s="233"/>
      <c r="DN379" s="233"/>
      <c r="DO379" s="233"/>
      <c r="DP379" s="233"/>
      <c r="DQ379" s="233"/>
      <c r="DR379" s="233"/>
      <c r="DS379" s="233"/>
      <c r="DT379" s="233"/>
      <c r="DU379" s="233"/>
      <c r="DV379" s="233"/>
      <c r="DW379" s="233"/>
      <c r="DX379" s="233"/>
      <c r="DY379" s="233"/>
      <c r="DZ379" s="233"/>
      <c r="EA379" s="233"/>
      <c r="EB379" s="233"/>
      <c r="EC379" s="233"/>
      <c r="ED379" s="233"/>
      <c r="EE379" s="233"/>
      <c r="EF379" s="233"/>
      <c r="EG379" s="233"/>
      <c r="EH379" s="233"/>
      <c r="EI379" s="233"/>
      <c r="EJ379" s="233"/>
      <c r="EK379" s="233"/>
      <c r="EL379" s="233"/>
      <c r="EM379" s="233"/>
      <c r="EN379" s="233"/>
      <c r="EO379" s="233"/>
      <c r="EP379" s="233"/>
    </row>
    <row r="380" spans="1:146" ht="14.25" x14ac:dyDescent="0.2">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c r="AZ380" s="233"/>
      <c r="BA380" s="233"/>
      <c r="BB380" s="233"/>
      <c r="BC380" s="233"/>
      <c r="BD380" s="233"/>
      <c r="BE380" s="233"/>
      <c r="BF380" s="233"/>
      <c r="BG380" s="233"/>
      <c r="BH380" s="233"/>
      <c r="BI380" s="233"/>
      <c r="BJ380" s="233"/>
      <c r="BK380" s="233"/>
      <c r="BL380" s="233"/>
      <c r="BM380" s="233"/>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33"/>
      <c r="CI380" s="233"/>
      <c r="CJ380" s="233"/>
      <c r="CK380" s="233"/>
      <c r="CL380" s="233"/>
      <c r="CM380" s="233"/>
      <c r="CN380" s="233"/>
      <c r="CO380" s="233"/>
      <c r="CP380" s="233"/>
      <c r="CQ380" s="233"/>
      <c r="CR380" s="233"/>
      <c r="CS380" s="233"/>
      <c r="CT380" s="233"/>
      <c r="CU380" s="233"/>
      <c r="CV380" s="233"/>
      <c r="CW380" s="233"/>
      <c r="CX380" s="233"/>
      <c r="CY380" s="233"/>
      <c r="CZ380" s="233"/>
      <c r="DA380" s="233"/>
      <c r="DB380" s="233"/>
      <c r="DC380" s="233"/>
      <c r="DD380" s="233"/>
      <c r="DE380" s="233"/>
      <c r="DF380" s="233"/>
      <c r="DG380" s="233"/>
      <c r="DH380" s="233"/>
      <c r="DI380" s="233"/>
      <c r="DJ380" s="233"/>
      <c r="DK380" s="233"/>
      <c r="DL380" s="233"/>
      <c r="DM380" s="233"/>
      <c r="DN380" s="233"/>
      <c r="DO380" s="233"/>
      <c r="DP380" s="233"/>
      <c r="DQ380" s="233"/>
      <c r="DR380" s="233"/>
      <c r="DS380" s="233"/>
      <c r="DT380" s="233"/>
      <c r="DU380" s="233"/>
      <c r="DV380" s="233"/>
      <c r="DW380" s="233"/>
      <c r="DX380" s="233"/>
      <c r="DY380" s="233"/>
      <c r="DZ380" s="233"/>
      <c r="EA380" s="233"/>
      <c r="EB380" s="233"/>
      <c r="EC380" s="233"/>
      <c r="ED380" s="233"/>
      <c r="EE380" s="233"/>
      <c r="EF380" s="233"/>
      <c r="EG380" s="233"/>
      <c r="EH380" s="233"/>
      <c r="EI380" s="233"/>
      <c r="EJ380" s="233"/>
      <c r="EK380" s="233"/>
      <c r="EL380" s="233"/>
      <c r="EM380" s="233"/>
      <c r="EN380" s="233"/>
      <c r="EO380" s="233"/>
      <c r="EP380" s="233"/>
    </row>
    <row r="381" spans="1:146" ht="14.25" x14ac:dyDescent="0.2">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33"/>
      <c r="CI381" s="233"/>
      <c r="CJ381" s="233"/>
      <c r="CK381" s="233"/>
      <c r="CL381" s="233"/>
      <c r="CM381" s="233"/>
      <c r="CN381" s="233"/>
      <c r="CO381" s="233"/>
      <c r="CP381" s="233"/>
      <c r="CQ381" s="233"/>
      <c r="CR381" s="233"/>
      <c r="CS381" s="233"/>
      <c r="CT381" s="233"/>
      <c r="CU381" s="233"/>
      <c r="CV381" s="233"/>
      <c r="CW381" s="233"/>
      <c r="CX381" s="233"/>
      <c r="CY381" s="233"/>
      <c r="CZ381" s="233"/>
      <c r="DA381" s="233"/>
      <c r="DB381" s="233"/>
      <c r="DC381" s="233"/>
      <c r="DD381" s="233"/>
      <c r="DE381" s="233"/>
      <c r="DF381" s="233"/>
      <c r="DG381" s="233"/>
      <c r="DH381" s="233"/>
      <c r="DI381" s="233"/>
      <c r="DJ381" s="233"/>
      <c r="DK381" s="233"/>
      <c r="DL381" s="233"/>
      <c r="DM381" s="233"/>
      <c r="DN381" s="233"/>
      <c r="DO381" s="233"/>
      <c r="DP381" s="233"/>
      <c r="DQ381" s="233"/>
      <c r="DR381" s="233"/>
      <c r="DS381" s="233"/>
      <c r="DT381" s="233"/>
      <c r="DU381" s="233"/>
      <c r="DV381" s="233"/>
      <c r="DW381" s="233"/>
      <c r="DX381" s="233"/>
      <c r="DY381" s="233"/>
      <c r="DZ381" s="233"/>
      <c r="EA381" s="233"/>
      <c r="EB381" s="233"/>
      <c r="EC381" s="233"/>
      <c r="ED381" s="233"/>
      <c r="EE381" s="233"/>
      <c r="EF381" s="233"/>
      <c r="EG381" s="233"/>
      <c r="EH381" s="233"/>
      <c r="EI381" s="233"/>
      <c r="EJ381" s="233"/>
      <c r="EK381" s="233"/>
      <c r="EL381" s="233"/>
      <c r="EM381" s="233"/>
      <c r="EN381" s="233"/>
      <c r="EO381" s="233"/>
      <c r="EP381" s="233"/>
    </row>
    <row r="382" spans="1:146" ht="14.25" x14ac:dyDescent="0.2">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33"/>
      <c r="CI382" s="233"/>
      <c r="CJ382" s="233"/>
      <c r="CK382" s="233"/>
      <c r="CL382" s="233"/>
      <c r="CM382" s="233"/>
      <c r="CN382" s="233"/>
      <c r="CO382" s="233"/>
      <c r="CP382" s="233"/>
      <c r="CQ382" s="233"/>
      <c r="CR382" s="233"/>
      <c r="CS382" s="233"/>
      <c r="CT382" s="233"/>
      <c r="CU382" s="233"/>
      <c r="CV382" s="233"/>
      <c r="CW382" s="233"/>
      <c r="CX382" s="233"/>
      <c r="CY382" s="233"/>
      <c r="CZ382" s="233"/>
      <c r="DA382" s="233"/>
      <c r="DB382" s="233"/>
      <c r="DC382" s="233"/>
      <c r="DD382" s="233"/>
      <c r="DE382" s="233"/>
      <c r="DF382" s="233"/>
      <c r="DG382" s="233"/>
      <c r="DH382" s="233"/>
      <c r="DI382" s="233"/>
      <c r="DJ382" s="233"/>
      <c r="DK382" s="233"/>
      <c r="DL382" s="233"/>
      <c r="DM382" s="233"/>
      <c r="DN382" s="233"/>
      <c r="DO382" s="233"/>
      <c r="DP382" s="233"/>
      <c r="DQ382" s="233"/>
      <c r="DR382" s="233"/>
      <c r="DS382" s="233"/>
      <c r="DT382" s="233"/>
      <c r="DU382" s="233"/>
      <c r="DV382" s="233"/>
      <c r="DW382" s="233"/>
      <c r="DX382" s="233"/>
      <c r="DY382" s="233"/>
      <c r="DZ382" s="233"/>
      <c r="EA382" s="233"/>
      <c r="EB382" s="233"/>
      <c r="EC382" s="233"/>
      <c r="ED382" s="233"/>
      <c r="EE382" s="233"/>
      <c r="EF382" s="233"/>
      <c r="EG382" s="233"/>
      <c r="EH382" s="233"/>
      <c r="EI382" s="233"/>
      <c r="EJ382" s="233"/>
      <c r="EK382" s="233"/>
      <c r="EL382" s="233"/>
      <c r="EM382" s="233"/>
      <c r="EN382" s="233"/>
      <c r="EO382" s="233"/>
      <c r="EP382" s="233"/>
    </row>
    <row r="383" spans="1:146" ht="14.25" x14ac:dyDescent="0.2">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33"/>
      <c r="CI383" s="233"/>
      <c r="CJ383" s="233"/>
      <c r="CK383" s="233"/>
      <c r="CL383" s="233"/>
      <c r="CM383" s="233"/>
      <c r="CN383" s="233"/>
      <c r="CO383" s="233"/>
      <c r="CP383" s="233"/>
      <c r="CQ383" s="233"/>
      <c r="CR383" s="233"/>
      <c r="CS383" s="233"/>
      <c r="CT383" s="233"/>
      <c r="CU383" s="233"/>
      <c r="CV383" s="233"/>
      <c r="CW383" s="233"/>
      <c r="CX383" s="233"/>
      <c r="CY383" s="233"/>
      <c r="CZ383" s="233"/>
      <c r="DA383" s="233"/>
      <c r="DB383" s="233"/>
      <c r="DC383" s="233"/>
      <c r="DD383" s="233"/>
      <c r="DE383" s="233"/>
      <c r="DF383" s="233"/>
      <c r="DG383" s="233"/>
      <c r="DH383" s="233"/>
      <c r="DI383" s="233"/>
      <c r="DJ383" s="233"/>
      <c r="DK383" s="233"/>
      <c r="DL383" s="233"/>
      <c r="DM383" s="233"/>
      <c r="DN383" s="233"/>
      <c r="DO383" s="233"/>
      <c r="DP383" s="233"/>
      <c r="DQ383" s="233"/>
      <c r="DR383" s="233"/>
      <c r="DS383" s="233"/>
      <c r="DT383" s="233"/>
      <c r="DU383" s="233"/>
      <c r="DV383" s="233"/>
      <c r="DW383" s="233"/>
      <c r="DX383" s="233"/>
      <c r="DY383" s="233"/>
      <c r="DZ383" s="233"/>
      <c r="EA383" s="233"/>
      <c r="EB383" s="233"/>
      <c r="EC383" s="233"/>
      <c r="ED383" s="233"/>
      <c r="EE383" s="233"/>
      <c r="EF383" s="233"/>
      <c r="EG383" s="233"/>
      <c r="EH383" s="233"/>
      <c r="EI383" s="233"/>
      <c r="EJ383" s="233"/>
      <c r="EK383" s="233"/>
      <c r="EL383" s="233"/>
      <c r="EM383" s="233"/>
      <c r="EN383" s="233"/>
      <c r="EO383" s="233"/>
      <c r="EP383" s="233"/>
    </row>
    <row r="384" spans="1:146" ht="14.25" x14ac:dyDescent="0.2">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row>
    <row r="385" spans="1:146" ht="14.25" x14ac:dyDescent="0.2">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row>
    <row r="386" spans="1:146" ht="14.25" x14ac:dyDescent="0.2">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33"/>
      <c r="CI386" s="233"/>
      <c r="CJ386" s="233"/>
      <c r="CK386" s="233"/>
      <c r="CL386" s="233"/>
      <c r="CM386" s="233"/>
      <c r="CN386" s="233"/>
      <c r="CO386" s="233"/>
      <c r="CP386" s="233"/>
      <c r="CQ386" s="233"/>
      <c r="CR386" s="233"/>
      <c r="CS386" s="233"/>
      <c r="CT386" s="233"/>
      <c r="CU386" s="233"/>
      <c r="CV386" s="233"/>
      <c r="CW386" s="233"/>
      <c r="CX386" s="233"/>
      <c r="CY386" s="233"/>
      <c r="CZ386" s="233"/>
      <c r="DA386" s="233"/>
      <c r="DB386" s="233"/>
      <c r="DC386" s="233"/>
      <c r="DD386" s="233"/>
      <c r="DE386" s="233"/>
      <c r="DF386" s="233"/>
      <c r="DG386" s="233"/>
      <c r="DH386" s="233"/>
      <c r="DI386" s="233"/>
      <c r="DJ386" s="233"/>
      <c r="DK386" s="233"/>
      <c r="DL386" s="233"/>
      <c r="DM386" s="233"/>
      <c r="DN386" s="233"/>
      <c r="DO386" s="233"/>
      <c r="DP386" s="233"/>
      <c r="DQ386" s="233"/>
      <c r="DR386" s="233"/>
      <c r="DS386" s="233"/>
      <c r="DT386" s="233"/>
      <c r="DU386" s="233"/>
      <c r="DV386" s="233"/>
      <c r="DW386" s="233"/>
      <c r="DX386" s="233"/>
      <c r="DY386" s="233"/>
      <c r="DZ386" s="233"/>
      <c r="EA386" s="233"/>
      <c r="EB386" s="233"/>
      <c r="EC386" s="233"/>
      <c r="ED386" s="233"/>
      <c r="EE386" s="233"/>
      <c r="EF386" s="233"/>
      <c r="EG386" s="233"/>
      <c r="EH386" s="233"/>
      <c r="EI386" s="233"/>
      <c r="EJ386" s="233"/>
      <c r="EK386" s="233"/>
      <c r="EL386" s="233"/>
      <c r="EM386" s="233"/>
      <c r="EN386" s="233"/>
      <c r="EO386" s="233"/>
      <c r="EP386" s="233"/>
    </row>
    <row r="387" spans="1:146" ht="14.25" x14ac:dyDescent="0.2">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33"/>
      <c r="CI387" s="233"/>
      <c r="CJ387" s="233"/>
      <c r="CK387" s="233"/>
      <c r="CL387" s="233"/>
      <c r="CM387" s="233"/>
      <c r="CN387" s="233"/>
      <c r="CO387" s="233"/>
      <c r="CP387" s="233"/>
      <c r="CQ387" s="233"/>
      <c r="CR387" s="233"/>
      <c r="CS387" s="233"/>
      <c r="CT387" s="233"/>
      <c r="CU387" s="233"/>
      <c r="CV387" s="233"/>
      <c r="CW387" s="233"/>
      <c r="CX387" s="233"/>
      <c r="CY387" s="233"/>
      <c r="CZ387" s="233"/>
      <c r="DA387" s="233"/>
      <c r="DB387" s="233"/>
      <c r="DC387" s="233"/>
      <c r="DD387" s="233"/>
      <c r="DE387" s="233"/>
      <c r="DF387" s="233"/>
      <c r="DG387" s="233"/>
      <c r="DH387" s="233"/>
      <c r="DI387" s="233"/>
      <c r="DJ387" s="233"/>
      <c r="DK387" s="233"/>
      <c r="DL387" s="233"/>
      <c r="DM387" s="233"/>
      <c r="DN387" s="233"/>
      <c r="DO387" s="233"/>
      <c r="DP387" s="233"/>
      <c r="DQ387" s="233"/>
      <c r="DR387" s="233"/>
      <c r="DS387" s="233"/>
      <c r="DT387" s="233"/>
      <c r="DU387" s="233"/>
      <c r="DV387" s="233"/>
      <c r="DW387" s="233"/>
      <c r="DX387" s="233"/>
      <c r="DY387" s="233"/>
      <c r="DZ387" s="233"/>
      <c r="EA387" s="233"/>
      <c r="EB387" s="233"/>
      <c r="EC387" s="233"/>
      <c r="ED387" s="233"/>
      <c r="EE387" s="233"/>
      <c r="EF387" s="233"/>
      <c r="EG387" s="233"/>
      <c r="EH387" s="233"/>
      <c r="EI387" s="233"/>
      <c r="EJ387" s="233"/>
      <c r="EK387" s="233"/>
      <c r="EL387" s="233"/>
      <c r="EM387" s="233"/>
      <c r="EN387" s="233"/>
      <c r="EO387" s="233"/>
      <c r="EP387" s="233"/>
    </row>
    <row r="388" spans="1:146" ht="14.25" x14ac:dyDescent="0.2">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233"/>
      <c r="CA388" s="233"/>
      <c r="CB388" s="233"/>
      <c r="CC388" s="233"/>
      <c r="CD388" s="233"/>
      <c r="CE388" s="233"/>
      <c r="CF388" s="233"/>
      <c r="CG388" s="233"/>
      <c r="CH388" s="233"/>
      <c r="CI388" s="233"/>
      <c r="CJ388" s="233"/>
      <c r="CK388" s="233"/>
      <c r="CL388" s="233"/>
      <c r="CM388" s="233"/>
      <c r="CN388" s="233"/>
      <c r="CO388" s="233"/>
      <c r="CP388" s="233"/>
      <c r="CQ388" s="233"/>
      <c r="CR388" s="233"/>
      <c r="CS388" s="233"/>
      <c r="CT388" s="233"/>
      <c r="CU388" s="233"/>
      <c r="CV388" s="233"/>
      <c r="CW388" s="233"/>
      <c r="CX388" s="233"/>
      <c r="CY388" s="233"/>
      <c r="CZ388" s="233"/>
      <c r="DA388" s="233"/>
      <c r="DB388" s="233"/>
      <c r="DC388" s="233"/>
      <c r="DD388" s="233"/>
      <c r="DE388" s="233"/>
      <c r="DF388" s="233"/>
      <c r="DG388" s="233"/>
      <c r="DH388" s="233"/>
      <c r="DI388" s="233"/>
      <c r="DJ388" s="233"/>
      <c r="DK388" s="233"/>
      <c r="DL388" s="233"/>
      <c r="DM388" s="233"/>
      <c r="DN388" s="233"/>
      <c r="DO388" s="233"/>
      <c r="DP388" s="233"/>
      <c r="DQ388" s="233"/>
      <c r="DR388" s="233"/>
      <c r="DS388" s="233"/>
      <c r="DT388" s="233"/>
      <c r="DU388" s="233"/>
      <c r="DV388" s="233"/>
      <c r="DW388" s="233"/>
      <c r="DX388" s="233"/>
      <c r="DY388" s="233"/>
      <c r="DZ388" s="233"/>
      <c r="EA388" s="233"/>
      <c r="EB388" s="233"/>
      <c r="EC388" s="233"/>
      <c r="ED388" s="233"/>
      <c r="EE388" s="233"/>
      <c r="EF388" s="233"/>
      <c r="EG388" s="233"/>
      <c r="EH388" s="233"/>
      <c r="EI388" s="233"/>
      <c r="EJ388" s="233"/>
      <c r="EK388" s="233"/>
      <c r="EL388" s="233"/>
      <c r="EM388" s="233"/>
      <c r="EN388" s="233"/>
      <c r="EO388" s="233"/>
      <c r="EP388" s="233"/>
    </row>
    <row r="389" spans="1:146" ht="14.25" x14ac:dyDescent="0.2">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33"/>
      <c r="CI389" s="233"/>
      <c r="CJ389" s="233"/>
      <c r="CK389" s="233"/>
      <c r="CL389" s="233"/>
      <c r="CM389" s="233"/>
      <c r="CN389" s="233"/>
      <c r="CO389" s="233"/>
      <c r="CP389" s="233"/>
      <c r="CQ389" s="233"/>
      <c r="CR389" s="233"/>
      <c r="CS389" s="233"/>
      <c r="CT389" s="233"/>
      <c r="CU389" s="233"/>
      <c r="CV389" s="233"/>
      <c r="CW389" s="233"/>
      <c r="CX389" s="233"/>
      <c r="CY389" s="233"/>
      <c r="CZ389" s="233"/>
      <c r="DA389" s="233"/>
      <c r="DB389" s="233"/>
      <c r="DC389" s="233"/>
      <c r="DD389" s="233"/>
      <c r="DE389" s="233"/>
      <c r="DF389" s="233"/>
      <c r="DG389" s="233"/>
      <c r="DH389" s="233"/>
      <c r="DI389" s="233"/>
      <c r="DJ389" s="233"/>
      <c r="DK389" s="233"/>
      <c r="DL389" s="233"/>
      <c r="DM389" s="233"/>
      <c r="DN389" s="233"/>
      <c r="DO389" s="233"/>
      <c r="DP389" s="233"/>
      <c r="DQ389" s="233"/>
      <c r="DR389" s="233"/>
      <c r="DS389" s="233"/>
      <c r="DT389" s="233"/>
      <c r="DU389" s="233"/>
      <c r="DV389" s="233"/>
      <c r="DW389" s="233"/>
      <c r="DX389" s="233"/>
      <c r="DY389" s="233"/>
      <c r="DZ389" s="233"/>
      <c r="EA389" s="233"/>
      <c r="EB389" s="233"/>
      <c r="EC389" s="233"/>
      <c r="ED389" s="233"/>
      <c r="EE389" s="233"/>
      <c r="EF389" s="233"/>
      <c r="EG389" s="233"/>
      <c r="EH389" s="233"/>
      <c r="EI389" s="233"/>
      <c r="EJ389" s="233"/>
      <c r="EK389" s="233"/>
      <c r="EL389" s="233"/>
      <c r="EM389" s="233"/>
      <c r="EN389" s="233"/>
      <c r="EO389" s="233"/>
      <c r="EP389" s="233"/>
    </row>
    <row r="390" spans="1:146" ht="14.25" x14ac:dyDescent="0.2">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33"/>
      <c r="CI390" s="233"/>
      <c r="CJ390" s="233"/>
      <c r="CK390" s="233"/>
      <c r="CL390" s="233"/>
      <c r="CM390" s="233"/>
      <c r="CN390" s="233"/>
      <c r="CO390" s="233"/>
      <c r="CP390" s="233"/>
      <c r="CQ390" s="233"/>
      <c r="CR390" s="233"/>
      <c r="CS390" s="233"/>
      <c r="CT390" s="233"/>
      <c r="CU390" s="233"/>
      <c r="CV390" s="233"/>
      <c r="CW390" s="233"/>
      <c r="CX390" s="233"/>
      <c r="CY390" s="233"/>
      <c r="CZ390" s="233"/>
      <c r="DA390" s="233"/>
      <c r="DB390" s="233"/>
      <c r="DC390" s="233"/>
      <c r="DD390" s="233"/>
      <c r="DE390" s="233"/>
      <c r="DF390" s="233"/>
      <c r="DG390" s="233"/>
      <c r="DH390" s="233"/>
      <c r="DI390" s="233"/>
      <c r="DJ390" s="233"/>
      <c r="DK390" s="233"/>
      <c r="DL390" s="233"/>
      <c r="DM390" s="233"/>
      <c r="DN390" s="233"/>
      <c r="DO390" s="233"/>
      <c r="DP390" s="233"/>
      <c r="DQ390" s="233"/>
      <c r="DR390" s="233"/>
      <c r="DS390" s="233"/>
      <c r="DT390" s="233"/>
      <c r="DU390" s="233"/>
      <c r="DV390" s="233"/>
      <c r="DW390" s="233"/>
      <c r="DX390" s="233"/>
      <c r="DY390" s="233"/>
      <c r="DZ390" s="233"/>
      <c r="EA390" s="233"/>
      <c r="EB390" s="233"/>
      <c r="EC390" s="233"/>
      <c r="ED390" s="233"/>
      <c r="EE390" s="233"/>
      <c r="EF390" s="233"/>
      <c r="EG390" s="233"/>
      <c r="EH390" s="233"/>
      <c r="EI390" s="233"/>
      <c r="EJ390" s="233"/>
      <c r="EK390" s="233"/>
      <c r="EL390" s="233"/>
      <c r="EM390" s="233"/>
      <c r="EN390" s="233"/>
      <c r="EO390" s="233"/>
      <c r="EP390" s="233"/>
    </row>
    <row r="391" spans="1:146" ht="14.25" x14ac:dyDescent="0.2">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c r="AZ391" s="233"/>
      <c r="BA391" s="233"/>
      <c r="BB391" s="233"/>
      <c r="BC391" s="233"/>
      <c r="BD391" s="233"/>
      <c r="BE391" s="233"/>
      <c r="BF391" s="233"/>
      <c r="BG391" s="233"/>
      <c r="BH391" s="233"/>
      <c r="BI391" s="233"/>
      <c r="BJ391" s="233"/>
      <c r="BK391" s="233"/>
      <c r="BL391" s="233"/>
      <c r="BM391" s="233"/>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33"/>
      <c r="CI391" s="233"/>
      <c r="CJ391" s="233"/>
      <c r="CK391" s="233"/>
      <c r="CL391" s="233"/>
      <c r="CM391" s="233"/>
      <c r="CN391" s="233"/>
      <c r="CO391" s="233"/>
      <c r="CP391" s="233"/>
      <c r="CQ391" s="233"/>
      <c r="CR391" s="233"/>
      <c r="CS391" s="233"/>
      <c r="CT391" s="233"/>
      <c r="CU391" s="233"/>
      <c r="CV391" s="233"/>
      <c r="CW391" s="233"/>
      <c r="CX391" s="233"/>
      <c r="CY391" s="233"/>
      <c r="CZ391" s="233"/>
      <c r="DA391" s="233"/>
      <c r="DB391" s="233"/>
      <c r="DC391" s="233"/>
      <c r="DD391" s="233"/>
      <c r="DE391" s="233"/>
      <c r="DF391" s="233"/>
      <c r="DG391" s="233"/>
      <c r="DH391" s="233"/>
      <c r="DI391" s="233"/>
      <c r="DJ391" s="233"/>
      <c r="DK391" s="233"/>
      <c r="DL391" s="233"/>
      <c r="DM391" s="233"/>
      <c r="DN391" s="233"/>
      <c r="DO391" s="233"/>
      <c r="DP391" s="233"/>
      <c r="DQ391" s="233"/>
      <c r="DR391" s="233"/>
      <c r="DS391" s="233"/>
      <c r="DT391" s="233"/>
      <c r="DU391" s="233"/>
      <c r="DV391" s="233"/>
      <c r="DW391" s="233"/>
      <c r="DX391" s="233"/>
      <c r="DY391" s="233"/>
      <c r="DZ391" s="233"/>
      <c r="EA391" s="233"/>
      <c r="EB391" s="233"/>
      <c r="EC391" s="233"/>
      <c r="ED391" s="233"/>
      <c r="EE391" s="233"/>
      <c r="EF391" s="233"/>
      <c r="EG391" s="233"/>
      <c r="EH391" s="233"/>
      <c r="EI391" s="233"/>
      <c r="EJ391" s="233"/>
      <c r="EK391" s="233"/>
      <c r="EL391" s="233"/>
      <c r="EM391" s="233"/>
      <c r="EN391" s="233"/>
      <c r="EO391" s="233"/>
      <c r="EP391" s="233"/>
    </row>
    <row r="392" spans="1:146" ht="14.25" x14ac:dyDescent="0.2">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row>
    <row r="393" spans="1:146" ht="14.25" x14ac:dyDescent="0.2">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c r="AV393" s="233"/>
      <c r="AW393" s="233"/>
      <c r="AX393" s="233"/>
      <c r="AY393" s="233"/>
      <c r="AZ393" s="233"/>
      <c r="BA393" s="233"/>
      <c r="BB393" s="233"/>
      <c r="BC393" s="233"/>
      <c r="BD393" s="233"/>
      <c r="BE393" s="233"/>
      <c r="BF393" s="233"/>
      <c r="BG393" s="233"/>
      <c r="BH393" s="233"/>
      <c r="BI393" s="233"/>
      <c r="BJ393" s="233"/>
      <c r="BK393" s="233"/>
      <c r="BL393" s="233"/>
      <c r="BM393" s="233"/>
      <c r="BN393" s="233"/>
      <c r="BO393" s="233"/>
      <c r="BP393" s="233"/>
      <c r="BQ393" s="233"/>
      <c r="BR393" s="233"/>
      <c r="BS393" s="233"/>
      <c r="BT393" s="233"/>
      <c r="BU393" s="233"/>
      <c r="BV393" s="233"/>
      <c r="BW393" s="233"/>
      <c r="BX393" s="233"/>
      <c r="BY393" s="233"/>
      <c r="BZ393" s="233"/>
      <c r="CA393" s="233"/>
      <c r="CB393" s="233"/>
      <c r="CC393" s="233"/>
      <c r="CD393" s="233"/>
      <c r="CE393" s="233"/>
      <c r="CF393" s="233"/>
      <c r="CG393" s="233"/>
      <c r="CH393" s="233"/>
      <c r="CI393" s="233"/>
      <c r="CJ393" s="233"/>
      <c r="CK393" s="233"/>
      <c r="CL393" s="233"/>
      <c r="CM393" s="233"/>
      <c r="CN393" s="233"/>
      <c r="CO393" s="233"/>
      <c r="CP393" s="233"/>
      <c r="CQ393" s="233"/>
      <c r="CR393" s="233"/>
      <c r="CS393" s="233"/>
      <c r="CT393" s="233"/>
      <c r="CU393" s="233"/>
      <c r="CV393" s="233"/>
      <c r="CW393" s="233"/>
      <c r="CX393" s="233"/>
      <c r="CY393" s="233"/>
      <c r="CZ393" s="233"/>
      <c r="DA393" s="233"/>
      <c r="DB393" s="233"/>
      <c r="DC393" s="233"/>
      <c r="DD393" s="233"/>
      <c r="DE393" s="233"/>
      <c r="DF393" s="233"/>
      <c r="DG393" s="233"/>
      <c r="DH393" s="233"/>
      <c r="DI393" s="233"/>
      <c r="DJ393" s="233"/>
      <c r="DK393" s="233"/>
      <c r="DL393" s="233"/>
      <c r="DM393" s="233"/>
      <c r="DN393" s="233"/>
      <c r="DO393" s="233"/>
      <c r="DP393" s="233"/>
      <c r="DQ393" s="233"/>
      <c r="DR393" s="233"/>
      <c r="DS393" s="233"/>
      <c r="DT393" s="233"/>
      <c r="DU393" s="233"/>
      <c r="DV393" s="233"/>
      <c r="DW393" s="233"/>
      <c r="DX393" s="233"/>
      <c r="DY393" s="233"/>
      <c r="DZ393" s="233"/>
      <c r="EA393" s="233"/>
      <c r="EB393" s="233"/>
      <c r="EC393" s="233"/>
      <c r="ED393" s="233"/>
      <c r="EE393" s="233"/>
      <c r="EF393" s="233"/>
      <c r="EG393" s="233"/>
      <c r="EH393" s="233"/>
      <c r="EI393" s="233"/>
      <c r="EJ393" s="233"/>
      <c r="EK393" s="233"/>
      <c r="EL393" s="233"/>
      <c r="EM393" s="233"/>
      <c r="EN393" s="233"/>
      <c r="EO393" s="233"/>
      <c r="EP393" s="233"/>
    </row>
    <row r="394" spans="1:146" ht="14.25" x14ac:dyDescent="0.2">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33"/>
      <c r="CI394" s="233"/>
      <c r="CJ394" s="233"/>
      <c r="CK394" s="233"/>
      <c r="CL394" s="233"/>
      <c r="CM394" s="233"/>
      <c r="CN394" s="233"/>
      <c r="CO394" s="233"/>
      <c r="CP394" s="233"/>
      <c r="CQ394" s="233"/>
      <c r="CR394" s="233"/>
      <c r="CS394" s="233"/>
      <c r="CT394" s="233"/>
      <c r="CU394" s="233"/>
      <c r="CV394" s="233"/>
      <c r="CW394" s="233"/>
      <c r="CX394" s="233"/>
      <c r="CY394" s="233"/>
      <c r="CZ394" s="233"/>
      <c r="DA394" s="233"/>
      <c r="DB394" s="233"/>
      <c r="DC394" s="233"/>
      <c r="DD394" s="233"/>
      <c r="DE394" s="233"/>
      <c r="DF394" s="233"/>
      <c r="DG394" s="233"/>
      <c r="DH394" s="233"/>
      <c r="DI394" s="233"/>
      <c r="DJ394" s="233"/>
      <c r="DK394" s="233"/>
      <c r="DL394" s="233"/>
      <c r="DM394" s="233"/>
      <c r="DN394" s="233"/>
      <c r="DO394" s="233"/>
      <c r="DP394" s="233"/>
      <c r="DQ394" s="233"/>
      <c r="DR394" s="233"/>
      <c r="DS394" s="233"/>
      <c r="DT394" s="233"/>
      <c r="DU394" s="233"/>
      <c r="DV394" s="233"/>
      <c r="DW394" s="233"/>
      <c r="DX394" s="233"/>
      <c r="DY394" s="233"/>
      <c r="DZ394" s="233"/>
      <c r="EA394" s="233"/>
      <c r="EB394" s="233"/>
      <c r="EC394" s="233"/>
      <c r="ED394" s="233"/>
      <c r="EE394" s="233"/>
      <c r="EF394" s="233"/>
      <c r="EG394" s="233"/>
      <c r="EH394" s="233"/>
      <c r="EI394" s="233"/>
      <c r="EJ394" s="233"/>
      <c r="EK394" s="233"/>
      <c r="EL394" s="233"/>
      <c r="EM394" s="233"/>
      <c r="EN394" s="233"/>
      <c r="EO394" s="233"/>
      <c r="EP394" s="233"/>
    </row>
    <row r="395" spans="1:146" ht="14.25" x14ac:dyDescent="0.2">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33"/>
      <c r="CI395" s="233"/>
      <c r="CJ395" s="233"/>
      <c r="CK395" s="233"/>
      <c r="CL395" s="233"/>
      <c r="CM395" s="233"/>
      <c r="CN395" s="233"/>
      <c r="CO395" s="233"/>
      <c r="CP395" s="233"/>
      <c r="CQ395" s="233"/>
      <c r="CR395" s="233"/>
      <c r="CS395" s="233"/>
      <c r="CT395" s="233"/>
      <c r="CU395" s="233"/>
      <c r="CV395" s="233"/>
      <c r="CW395" s="233"/>
      <c r="CX395" s="233"/>
      <c r="CY395" s="233"/>
      <c r="CZ395" s="233"/>
      <c r="DA395" s="233"/>
      <c r="DB395" s="233"/>
      <c r="DC395" s="233"/>
      <c r="DD395" s="233"/>
      <c r="DE395" s="233"/>
      <c r="DF395" s="233"/>
      <c r="DG395" s="233"/>
      <c r="DH395" s="233"/>
      <c r="DI395" s="233"/>
      <c r="DJ395" s="233"/>
      <c r="DK395" s="233"/>
      <c r="DL395" s="233"/>
      <c r="DM395" s="233"/>
      <c r="DN395" s="233"/>
      <c r="DO395" s="233"/>
      <c r="DP395" s="233"/>
      <c r="DQ395" s="233"/>
      <c r="DR395" s="233"/>
      <c r="DS395" s="233"/>
      <c r="DT395" s="233"/>
      <c r="DU395" s="233"/>
      <c r="DV395" s="233"/>
      <c r="DW395" s="233"/>
      <c r="DX395" s="233"/>
      <c r="DY395" s="233"/>
      <c r="DZ395" s="233"/>
      <c r="EA395" s="233"/>
      <c r="EB395" s="233"/>
      <c r="EC395" s="233"/>
      <c r="ED395" s="233"/>
      <c r="EE395" s="233"/>
      <c r="EF395" s="233"/>
      <c r="EG395" s="233"/>
      <c r="EH395" s="233"/>
      <c r="EI395" s="233"/>
      <c r="EJ395" s="233"/>
      <c r="EK395" s="233"/>
      <c r="EL395" s="233"/>
      <c r="EM395" s="233"/>
      <c r="EN395" s="233"/>
      <c r="EO395" s="233"/>
      <c r="EP395" s="233"/>
    </row>
    <row r="396" spans="1:146" ht="14.25" x14ac:dyDescent="0.2">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33"/>
      <c r="CI396" s="233"/>
      <c r="CJ396" s="233"/>
      <c r="CK396" s="233"/>
      <c r="CL396" s="233"/>
      <c r="CM396" s="233"/>
      <c r="CN396" s="233"/>
      <c r="CO396" s="233"/>
      <c r="CP396" s="233"/>
      <c r="CQ396" s="233"/>
      <c r="CR396" s="233"/>
      <c r="CS396" s="233"/>
      <c r="CT396" s="233"/>
      <c r="CU396" s="233"/>
      <c r="CV396" s="233"/>
      <c r="CW396" s="233"/>
      <c r="CX396" s="233"/>
      <c r="CY396" s="233"/>
      <c r="CZ396" s="233"/>
      <c r="DA396" s="233"/>
      <c r="DB396" s="233"/>
      <c r="DC396" s="233"/>
      <c r="DD396" s="233"/>
      <c r="DE396" s="233"/>
      <c r="DF396" s="233"/>
      <c r="DG396" s="233"/>
      <c r="DH396" s="233"/>
      <c r="DI396" s="233"/>
      <c r="DJ396" s="233"/>
      <c r="DK396" s="233"/>
      <c r="DL396" s="233"/>
      <c r="DM396" s="233"/>
      <c r="DN396" s="233"/>
      <c r="DO396" s="233"/>
      <c r="DP396" s="233"/>
      <c r="DQ396" s="233"/>
      <c r="DR396" s="233"/>
      <c r="DS396" s="233"/>
      <c r="DT396" s="233"/>
      <c r="DU396" s="233"/>
      <c r="DV396" s="233"/>
      <c r="DW396" s="233"/>
      <c r="DX396" s="233"/>
      <c r="DY396" s="233"/>
      <c r="DZ396" s="233"/>
      <c r="EA396" s="233"/>
      <c r="EB396" s="233"/>
      <c r="EC396" s="233"/>
      <c r="ED396" s="233"/>
      <c r="EE396" s="233"/>
      <c r="EF396" s="233"/>
      <c r="EG396" s="233"/>
      <c r="EH396" s="233"/>
      <c r="EI396" s="233"/>
      <c r="EJ396" s="233"/>
      <c r="EK396" s="233"/>
      <c r="EL396" s="233"/>
      <c r="EM396" s="233"/>
      <c r="EN396" s="233"/>
      <c r="EO396" s="233"/>
      <c r="EP396" s="233"/>
    </row>
    <row r="397" spans="1:146" ht="14.25" x14ac:dyDescent="0.2">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c r="AW397" s="233"/>
      <c r="AX397" s="233"/>
      <c r="AY397" s="233"/>
      <c r="AZ397" s="233"/>
      <c r="BA397" s="233"/>
      <c r="BB397" s="233"/>
      <c r="BC397" s="233"/>
      <c r="BD397" s="233"/>
      <c r="BE397" s="233"/>
      <c r="BF397" s="233"/>
      <c r="BG397" s="233"/>
      <c r="BH397" s="233"/>
      <c r="BI397" s="233"/>
      <c r="BJ397" s="233"/>
      <c r="BK397" s="233"/>
      <c r="BL397" s="233"/>
      <c r="BM397" s="233"/>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33"/>
      <c r="CI397" s="233"/>
      <c r="CJ397" s="233"/>
      <c r="CK397" s="233"/>
      <c r="CL397" s="233"/>
      <c r="CM397" s="233"/>
      <c r="CN397" s="233"/>
      <c r="CO397" s="233"/>
      <c r="CP397" s="233"/>
      <c r="CQ397" s="233"/>
      <c r="CR397" s="233"/>
      <c r="CS397" s="233"/>
      <c r="CT397" s="233"/>
      <c r="CU397" s="233"/>
      <c r="CV397" s="233"/>
      <c r="CW397" s="233"/>
      <c r="CX397" s="233"/>
      <c r="CY397" s="233"/>
      <c r="CZ397" s="233"/>
      <c r="DA397" s="233"/>
      <c r="DB397" s="233"/>
      <c r="DC397" s="233"/>
      <c r="DD397" s="233"/>
      <c r="DE397" s="233"/>
      <c r="DF397" s="233"/>
      <c r="DG397" s="233"/>
      <c r="DH397" s="233"/>
      <c r="DI397" s="233"/>
      <c r="DJ397" s="233"/>
      <c r="DK397" s="233"/>
      <c r="DL397" s="233"/>
      <c r="DM397" s="233"/>
      <c r="DN397" s="233"/>
      <c r="DO397" s="233"/>
      <c r="DP397" s="233"/>
      <c r="DQ397" s="233"/>
      <c r="DR397" s="233"/>
      <c r="DS397" s="233"/>
      <c r="DT397" s="233"/>
      <c r="DU397" s="233"/>
      <c r="DV397" s="233"/>
      <c r="DW397" s="233"/>
      <c r="DX397" s="233"/>
      <c r="DY397" s="233"/>
      <c r="DZ397" s="233"/>
      <c r="EA397" s="233"/>
      <c r="EB397" s="233"/>
      <c r="EC397" s="233"/>
      <c r="ED397" s="233"/>
      <c r="EE397" s="233"/>
      <c r="EF397" s="233"/>
      <c r="EG397" s="233"/>
      <c r="EH397" s="233"/>
      <c r="EI397" s="233"/>
      <c r="EJ397" s="233"/>
      <c r="EK397" s="233"/>
      <c r="EL397" s="233"/>
      <c r="EM397" s="233"/>
      <c r="EN397" s="233"/>
      <c r="EO397" s="233"/>
      <c r="EP397" s="233"/>
    </row>
    <row r="398" spans="1:146" ht="14.25" x14ac:dyDescent="0.2">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c r="AW398" s="233"/>
      <c r="AX398" s="233"/>
      <c r="AY398" s="233"/>
      <c r="AZ398" s="233"/>
      <c r="BA398" s="233"/>
      <c r="BB398" s="233"/>
      <c r="BC398" s="233"/>
      <c r="BD398" s="233"/>
      <c r="BE398" s="233"/>
      <c r="BF398" s="233"/>
      <c r="BG398" s="233"/>
      <c r="BH398" s="233"/>
      <c r="BI398" s="233"/>
      <c r="BJ398" s="233"/>
      <c r="BK398" s="233"/>
      <c r="BL398" s="233"/>
      <c r="BM398" s="233"/>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33"/>
      <c r="CI398" s="233"/>
      <c r="CJ398" s="233"/>
      <c r="CK398" s="233"/>
      <c r="CL398" s="233"/>
      <c r="CM398" s="233"/>
      <c r="CN398" s="233"/>
      <c r="CO398" s="233"/>
      <c r="CP398" s="233"/>
      <c r="CQ398" s="233"/>
      <c r="CR398" s="233"/>
      <c r="CS398" s="233"/>
      <c r="CT398" s="233"/>
      <c r="CU398" s="233"/>
      <c r="CV398" s="233"/>
      <c r="CW398" s="233"/>
      <c r="CX398" s="233"/>
      <c r="CY398" s="233"/>
      <c r="CZ398" s="233"/>
      <c r="DA398" s="233"/>
      <c r="DB398" s="233"/>
      <c r="DC398" s="233"/>
      <c r="DD398" s="233"/>
      <c r="DE398" s="233"/>
      <c r="DF398" s="233"/>
      <c r="DG398" s="233"/>
      <c r="DH398" s="233"/>
      <c r="DI398" s="233"/>
      <c r="DJ398" s="233"/>
      <c r="DK398" s="233"/>
      <c r="DL398" s="233"/>
      <c r="DM398" s="233"/>
      <c r="DN398" s="233"/>
      <c r="DO398" s="233"/>
      <c r="DP398" s="233"/>
      <c r="DQ398" s="233"/>
      <c r="DR398" s="233"/>
      <c r="DS398" s="233"/>
      <c r="DT398" s="233"/>
      <c r="DU398" s="233"/>
      <c r="DV398" s="233"/>
      <c r="DW398" s="233"/>
      <c r="DX398" s="233"/>
      <c r="DY398" s="233"/>
      <c r="DZ398" s="233"/>
      <c r="EA398" s="233"/>
      <c r="EB398" s="233"/>
      <c r="EC398" s="233"/>
      <c r="ED398" s="233"/>
      <c r="EE398" s="233"/>
      <c r="EF398" s="233"/>
      <c r="EG398" s="233"/>
      <c r="EH398" s="233"/>
      <c r="EI398" s="233"/>
      <c r="EJ398" s="233"/>
      <c r="EK398" s="233"/>
      <c r="EL398" s="233"/>
      <c r="EM398" s="233"/>
      <c r="EN398" s="233"/>
      <c r="EO398" s="233"/>
      <c r="EP398" s="233"/>
    </row>
    <row r="399" spans="1:146" ht="14.25" x14ac:dyDescent="0.2">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33"/>
      <c r="CN399" s="233"/>
      <c r="CO399" s="233"/>
      <c r="CP399" s="233"/>
      <c r="CQ399" s="233"/>
      <c r="CR399" s="233"/>
      <c r="CS399" s="233"/>
      <c r="CT399" s="233"/>
      <c r="CU399" s="233"/>
      <c r="CV399" s="233"/>
      <c r="CW399" s="233"/>
      <c r="CX399" s="233"/>
      <c r="CY399" s="233"/>
      <c r="CZ399" s="233"/>
      <c r="DA399" s="233"/>
      <c r="DB399" s="233"/>
      <c r="DC399" s="233"/>
      <c r="DD399" s="233"/>
      <c r="DE399" s="233"/>
      <c r="DF399" s="233"/>
      <c r="DG399" s="233"/>
      <c r="DH399" s="233"/>
      <c r="DI399" s="233"/>
      <c r="DJ399" s="233"/>
      <c r="DK399" s="233"/>
      <c r="DL399" s="233"/>
      <c r="DM399" s="233"/>
      <c r="DN399" s="233"/>
      <c r="DO399" s="233"/>
      <c r="DP399" s="233"/>
      <c r="DQ399" s="233"/>
      <c r="DR399" s="233"/>
      <c r="DS399" s="233"/>
      <c r="DT399" s="233"/>
      <c r="DU399" s="233"/>
      <c r="DV399" s="233"/>
      <c r="DW399" s="233"/>
      <c r="DX399" s="233"/>
      <c r="DY399" s="233"/>
      <c r="DZ399" s="233"/>
      <c r="EA399" s="233"/>
      <c r="EB399" s="233"/>
      <c r="EC399" s="233"/>
      <c r="ED399" s="233"/>
      <c r="EE399" s="233"/>
      <c r="EF399" s="233"/>
      <c r="EG399" s="233"/>
      <c r="EH399" s="233"/>
      <c r="EI399" s="233"/>
      <c r="EJ399" s="233"/>
      <c r="EK399" s="233"/>
      <c r="EL399" s="233"/>
      <c r="EM399" s="233"/>
      <c r="EN399" s="233"/>
      <c r="EO399" s="233"/>
      <c r="EP399" s="233"/>
    </row>
    <row r="400" spans="1:146" ht="14.25" x14ac:dyDescent="0.2">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c r="BH400" s="233"/>
      <c r="BI400" s="233"/>
      <c r="BJ400" s="233"/>
      <c r="BK400" s="233"/>
      <c r="BL400" s="233"/>
      <c r="BM400" s="233"/>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33"/>
      <c r="CI400" s="233"/>
      <c r="CJ400" s="233"/>
      <c r="CK400" s="233"/>
      <c r="CL400" s="233"/>
      <c r="CM400" s="233"/>
      <c r="CN400" s="233"/>
      <c r="CO400" s="233"/>
      <c r="CP400" s="233"/>
      <c r="CQ400" s="233"/>
      <c r="CR400" s="233"/>
      <c r="CS400" s="233"/>
      <c r="CT400" s="233"/>
      <c r="CU400" s="233"/>
      <c r="CV400" s="233"/>
      <c r="CW400" s="233"/>
      <c r="CX400" s="233"/>
      <c r="CY400" s="233"/>
      <c r="CZ400" s="233"/>
      <c r="DA400" s="233"/>
      <c r="DB400" s="233"/>
      <c r="DC400" s="233"/>
      <c r="DD400" s="233"/>
      <c r="DE400" s="233"/>
      <c r="DF400" s="233"/>
      <c r="DG400" s="233"/>
      <c r="DH400" s="233"/>
      <c r="DI400" s="233"/>
      <c r="DJ400" s="233"/>
      <c r="DK400" s="233"/>
      <c r="DL400" s="233"/>
      <c r="DM400" s="233"/>
      <c r="DN400" s="233"/>
      <c r="DO400" s="233"/>
      <c r="DP400" s="233"/>
      <c r="DQ400" s="233"/>
      <c r="DR400" s="233"/>
      <c r="DS400" s="233"/>
      <c r="DT400" s="233"/>
      <c r="DU400" s="233"/>
      <c r="DV400" s="233"/>
      <c r="DW400" s="233"/>
      <c r="DX400" s="233"/>
      <c r="DY400" s="233"/>
      <c r="DZ400" s="233"/>
      <c r="EA400" s="233"/>
      <c r="EB400" s="233"/>
      <c r="EC400" s="233"/>
      <c r="ED400" s="233"/>
      <c r="EE400" s="233"/>
      <c r="EF400" s="233"/>
      <c r="EG400" s="233"/>
      <c r="EH400" s="233"/>
      <c r="EI400" s="233"/>
      <c r="EJ400" s="233"/>
      <c r="EK400" s="233"/>
      <c r="EL400" s="233"/>
      <c r="EM400" s="233"/>
      <c r="EN400" s="233"/>
      <c r="EO400" s="233"/>
      <c r="EP400" s="233"/>
    </row>
    <row r="401" spans="1:146" ht="14.25" x14ac:dyDescent="0.2">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c r="AW401" s="233"/>
      <c r="AX401" s="233"/>
      <c r="AY401" s="233"/>
      <c r="AZ401" s="233"/>
      <c r="BA401" s="233"/>
      <c r="BB401" s="233"/>
      <c r="BC401" s="233"/>
      <c r="BD401" s="233"/>
      <c r="BE401" s="233"/>
      <c r="BF401" s="233"/>
      <c r="BG401" s="233"/>
      <c r="BH401" s="233"/>
      <c r="BI401" s="233"/>
      <c r="BJ401" s="233"/>
      <c r="BK401" s="233"/>
      <c r="BL401" s="233"/>
      <c r="BM401" s="233"/>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33"/>
      <c r="CI401" s="233"/>
      <c r="CJ401" s="233"/>
      <c r="CK401" s="233"/>
      <c r="CL401" s="233"/>
      <c r="CM401" s="233"/>
      <c r="CN401" s="233"/>
      <c r="CO401" s="233"/>
      <c r="CP401" s="233"/>
      <c r="CQ401" s="233"/>
      <c r="CR401" s="233"/>
      <c r="CS401" s="233"/>
      <c r="CT401" s="233"/>
      <c r="CU401" s="233"/>
      <c r="CV401" s="233"/>
      <c r="CW401" s="233"/>
      <c r="CX401" s="233"/>
      <c r="CY401" s="233"/>
      <c r="CZ401" s="233"/>
      <c r="DA401" s="233"/>
      <c r="DB401" s="233"/>
      <c r="DC401" s="233"/>
      <c r="DD401" s="233"/>
      <c r="DE401" s="233"/>
      <c r="DF401" s="233"/>
      <c r="DG401" s="233"/>
      <c r="DH401" s="233"/>
      <c r="DI401" s="233"/>
      <c r="DJ401" s="233"/>
      <c r="DK401" s="233"/>
      <c r="DL401" s="233"/>
      <c r="DM401" s="233"/>
      <c r="DN401" s="233"/>
      <c r="DO401" s="233"/>
      <c r="DP401" s="233"/>
      <c r="DQ401" s="233"/>
      <c r="DR401" s="233"/>
      <c r="DS401" s="233"/>
      <c r="DT401" s="233"/>
      <c r="DU401" s="233"/>
      <c r="DV401" s="233"/>
      <c r="DW401" s="233"/>
      <c r="DX401" s="233"/>
      <c r="DY401" s="233"/>
      <c r="DZ401" s="233"/>
      <c r="EA401" s="233"/>
      <c r="EB401" s="233"/>
      <c r="EC401" s="233"/>
      <c r="ED401" s="233"/>
      <c r="EE401" s="233"/>
      <c r="EF401" s="233"/>
      <c r="EG401" s="233"/>
      <c r="EH401" s="233"/>
      <c r="EI401" s="233"/>
      <c r="EJ401" s="233"/>
      <c r="EK401" s="233"/>
      <c r="EL401" s="233"/>
      <c r="EM401" s="233"/>
      <c r="EN401" s="233"/>
      <c r="EO401" s="233"/>
      <c r="EP401" s="233"/>
    </row>
    <row r="402" spans="1:146" ht="14.25" x14ac:dyDescent="0.2">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c r="BH402" s="233"/>
      <c r="BI402" s="233"/>
      <c r="BJ402" s="233"/>
      <c r="BK402" s="233"/>
      <c r="BL402" s="233"/>
      <c r="BM402" s="233"/>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33"/>
      <c r="CI402" s="233"/>
      <c r="CJ402" s="233"/>
      <c r="CK402" s="233"/>
      <c r="CL402" s="233"/>
      <c r="CM402" s="233"/>
      <c r="CN402" s="233"/>
      <c r="CO402" s="233"/>
      <c r="CP402" s="233"/>
      <c r="CQ402" s="233"/>
      <c r="CR402" s="233"/>
      <c r="CS402" s="233"/>
      <c r="CT402" s="233"/>
      <c r="CU402" s="233"/>
      <c r="CV402" s="233"/>
      <c r="CW402" s="233"/>
      <c r="CX402" s="233"/>
      <c r="CY402" s="233"/>
      <c r="CZ402" s="233"/>
      <c r="DA402" s="233"/>
      <c r="DB402" s="233"/>
      <c r="DC402" s="233"/>
      <c r="DD402" s="233"/>
      <c r="DE402" s="233"/>
      <c r="DF402" s="233"/>
      <c r="DG402" s="233"/>
      <c r="DH402" s="233"/>
      <c r="DI402" s="233"/>
      <c r="DJ402" s="233"/>
      <c r="DK402" s="233"/>
      <c r="DL402" s="233"/>
      <c r="DM402" s="233"/>
      <c r="DN402" s="233"/>
      <c r="DO402" s="233"/>
      <c r="DP402" s="233"/>
      <c r="DQ402" s="233"/>
      <c r="DR402" s="233"/>
      <c r="DS402" s="233"/>
      <c r="DT402" s="233"/>
      <c r="DU402" s="233"/>
      <c r="DV402" s="233"/>
      <c r="DW402" s="233"/>
      <c r="DX402" s="233"/>
      <c r="DY402" s="233"/>
      <c r="DZ402" s="233"/>
      <c r="EA402" s="233"/>
      <c r="EB402" s="233"/>
      <c r="EC402" s="233"/>
      <c r="ED402" s="233"/>
      <c r="EE402" s="233"/>
      <c r="EF402" s="233"/>
      <c r="EG402" s="233"/>
      <c r="EH402" s="233"/>
      <c r="EI402" s="233"/>
      <c r="EJ402" s="233"/>
      <c r="EK402" s="233"/>
      <c r="EL402" s="233"/>
      <c r="EM402" s="233"/>
      <c r="EN402" s="233"/>
      <c r="EO402" s="233"/>
      <c r="EP402" s="233"/>
    </row>
    <row r="403" spans="1:146" ht="14.25" x14ac:dyDescent="0.2">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c r="BH403" s="233"/>
      <c r="BI403" s="233"/>
      <c r="BJ403" s="233"/>
      <c r="BK403" s="233"/>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233"/>
      <c r="CK403" s="233"/>
      <c r="CL403" s="233"/>
      <c r="CM403" s="233"/>
      <c r="CN403" s="233"/>
      <c r="CO403" s="233"/>
      <c r="CP403" s="233"/>
      <c r="CQ403" s="233"/>
      <c r="CR403" s="233"/>
      <c r="CS403" s="233"/>
      <c r="CT403" s="233"/>
      <c r="CU403" s="233"/>
      <c r="CV403" s="233"/>
      <c r="CW403" s="233"/>
      <c r="CX403" s="233"/>
      <c r="CY403" s="233"/>
      <c r="CZ403" s="233"/>
      <c r="DA403" s="233"/>
      <c r="DB403" s="233"/>
      <c r="DC403" s="233"/>
      <c r="DD403" s="233"/>
      <c r="DE403" s="233"/>
      <c r="DF403" s="233"/>
      <c r="DG403" s="233"/>
      <c r="DH403" s="233"/>
      <c r="DI403" s="233"/>
      <c r="DJ403" s="233"/>
      <c r="DK403" s="233"/>
      <c r="DL403" s="233"/>
      <c r="DM403" s="233"/>
      <c r="DN403" s="233"/>
      <c r="DO403" s="233"/>
      <c r="DP403" s="233"/>
      <c r="DQ403" s="233"/>
      <c r="DR403" s="233"/>
      <c r="DS403" s="233"/>
      <c r="DT403" s="233"/>
      <c r="DU403" s="233"/>
      <c r="DV403" s="233"/>
      <c r="DW403" s="233"/>
      <c r="DX403" s="233"/>
      <c r="DY403" s="233"/>
      <c r="DZ403" s="233"/>
      <c r="EA403" s="233"/>
      <c r="EB403" s="233"/>
      <c r="EC403" s="233"/>
      <c r="ED403" s="233"/>
      <c r="EE403" s="233"/>
      <c r="EF403" s="233"/>
      <c r="EG403" s="233"/>
      <c r="EH403" s="233"/>
      <c r="EI403" s="233"/>
      <c r="EJ403" s="233"/>
      <c r="EK403" s="233"/>
      <c r="EL403" s="233"/>
      <c r="EM403" s="233"/>
      <c r="EN403" s="233"/>
      <c r="EO403" s="233"/>
      <c r="EP403" s="233"/>
    </row>
    <row r="404" spans="1:146" ht="14.25" x14ac:dyDescent="0.2">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c r="AW404" s="233"/>
      <c r="AX404" s="233"/>
      <c r="AY404" s="233"/>
      <c r="AZ404" s="233"/>
      <c r="BA404" s="233"/>
      <c r="BB404" s="233"/>
      <c r="BC404" s="233"/>
      <c r="BD404" s="233"/>
      <c r="BE404" s="233"/>
      <c r="BF404" s="233"/>
      <c r="BG404" s="233"/>
      <c r="BH404" s="233"/>
      <c r="BI404" s="233"/>
      <c r="BJ404" s="233"/>
      <c r="BK404" s="233"/>
      <c r="BL404" s="233"/>
      <c r="BM404" s="233"/>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33"/>
      <c r="CI404" s="233"/>
      <c r="CJ404" s="233"/>
      <c r="CK404" s="233"/>
      <c r="CL404" s="233"/>
      <c r="CM404" s="233"/>
      <c r="CN404" s="233"/>
      <c r="CO404" s="233"/>
      <c r="CP404" s="233"/>
      <c r="CQ404" s="233"/>
      <c r="CR404" s="233"/>
      <c r="CS404" s="233"/>
      <c r="CT404" s="233"/>
      <c r="CU404" s="233"/>
      <c r="CV404" s="233"/>
      <c r="CW404" s="233"/>
      <c r="CX404" s="233"/>
      <c r="CY404" s="233"/>
      <c r="CZ404" s="233"/>
      <c r="DA404" s="233"/>
      <c r="DB404" s="233"/>
      <c r="DC404" s="233"/>
      <c r="DD404" s="233"/>
      <c r="DE404" s="233"/>
      <c r="DF404" s="233"/>
      <c r="DG404" s="233"/>
      <c r="DH404" s="233"/>
      <c r="DI404" s="233"/>
      <c r="DJ404" s="233"/>
      <c r="DK404" s="233"/>
      <c r="DL404" s="233"/>
      <c r="DM404" s="233"/>
      <c r="DN404" s="233"/>
      <c r="DO404" s="233"/>
      <c r="DP404" s="233"/>
      <c r="DQ404" s="233"/>
      <c r="DR404" s="233"/>
      <c r="DS404" s="233"/>
      <c r="DT404" s="233"/>
      <c r="DU404" s="233"/>
      <c r="DV404" s="233"/>
      <c r="DW404" s="233"/>
      <c r="DX404" s="233"/>
      <c r="DY404" s="233"/>
      <c r="DZ404" s="233"/>
      <c r="EA404" s="233"/>
      <c r="EB404" s="233"/>
      <c r="EC404" s="233"/>
      <c r="ED404" s="233"/>
      <c r="EE404" s="233"/>
      <c r="EF404" s="233"/>
      <c r="EG404" s="233"/>
      <c r="EH404" s="233"/>
      <c r="EI404" s="233"/>
      <c r="EJ404" s="233"/>
      <c r="EK404" s="233"/>
      <c r="EL404" s="233"/>
      <c r="EM404" s="233"/>
      <c r="EN404" s="233"/>
      <c r="EO404" s="233"/>
      <c r="EP404" s="233"/>
    </row>
    <row r="405" spans="1:146" ht="14.25" x14ac:dyDescent="0.2">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row>
    <row r="406" spans="1:146" ht="14.25" x14ac:dyDescent="0.2">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c r="AW406" s="233"/>
      <c r="AX406" s="233"/>
      <c r="AY406" s="233"/>
      <c r="AZ406" s="233"/>
      <c r="BA406" s="233"/>
      <c r="BB406" s="233"/>
      <c r="BC406" s="233"/>
      <c r="BD406" s="233"/>
      <c r="BE406" s="233"/>
      <c r="BF406" s="233"/>
      <c r="BG406" s="233"/>
      <c r="BH406" s="233"/>
      <c r="BI406" s="233"/>
      <c r="BJ406" s="233"/>
      <c r="BK406" s="233"/>
      <c r="BL406" s="233"/>
      <c r="BM406" s="233"/>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33"/>
      <c r="CI406" s="233"/>
      <c r="CJ406" s="233"/>
      <c r="CK406" s="233"/>
      <c r="CL406" s="233"/>
      <c r="CM406" s="233"/>
      <c r="CN406" s="233"/>
      <c r="CO406" s="233"/>
      <c r="CP406" s="233"/>
      <c r="CQ406" s="233"/>
      <c r="CR406" s="233"/>
      <c r="CS406" s="233"/>
      <c r="CT406" s="233"/>
      <c r="CU406" s="233"/>
      <c r="CV406" s="233"/>
      <c r="CW406" s="233"/>
      <c r="CX406" s="233"/>
      <c r="CY406" s="233"/>
      <c r="CZ406" s="233"/>
      <c r="DA406" s="233"/>
      <c r="DB406" s="233"/>
      <c r="DC406" s="233"/>
      <c r="DD406" s="233"/>
      <c r="DE406" s="233"/>
      <c r="DF406" s="233"/>
      <c r="DG406" s="233"/>
      <c r="DH406" s="233"/>
      <c r="DI406" s="233"/>
      <c r="DJ406" s="233"/>
      <c r="DK406" s="233"/>
      <c r="DL406" s="233"/>
      <c r="DM406" s="233"/>
      <c r="DN406" s="233"/>
      <c r="DO406" s="233"/>
      <c r="DP406" s="233"/>
      <c r="DQ406" s="233"/>
      <c r="DR406" s="233"/>
      <c r="DS406" s="233"/>
      <c r="DT406" s="233"/>
      <c r="DU406" s="233"/>
      <c r="DV406" s="233"/>
      <c r="DW406" s="233"/>
      <c r="DX406" s="233"/>
      <c r="DY406" s="233"/>
      <c r="DZ406" s="233"/>
      <c r="EA406" s="233"/>
      <c r="EB406" s="233"/>
      <c r="EC406" s="233"/>
      <c r="ED406" s="233"/>
      <c r="EE406" s="233"/>
      <c r="EF406" s="233"/>
      <c r="EG406" s="233"/>
      <c r="EH406" s="233"/>
      <c r="EI406" s="233"/>
      <c r="EJ406" s="233"/>
      <c r="EK406" s="233"/>
      <c r="EL406" s="233"/>
      <c r="EM406" s="233"/>
      <c r="EN406" s="233"/>
      <c r="EO406" s="233"/>
      <c r="EP406" s="233"/>
    </row>
    <row r="407" spans="1:146" ht="14.25" x14ac:dyDescent="0.2">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233"/>
      <c r="BE407" s="233"/>
      <c r="BF407" s="233"/>
      <c r="BG407" s="233"/>
      <c r="BH407" s="233"/>
      <c r="BI407" s="233"/>
      <c r="BJ407" s="233"/>
      <c r="BK407" s="233"/>
      <c r="BL407" s="233"/>
      <c r="BM407" s="233"/>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33"/>
      <c r="CI407" s="233"/>
      <c r="CJ407" s="233"/>
      <c r="CK407" s="233"/>
      <c r="CL407" s="233"/>
      <c r="CM407" s="233"/>
      <c r="CN407" s="233"/>
      <c r="CO407" s="233"/>
      <c r="CP407" s="233"/>
      <c r="CQ407" s="233"/>
      <c r="CR407" s="233"/>
      <c r="CS407" s="233"/>
      <c r="CT407" s="233"/>
      <c r="CU407" s="233"/>
      <c r="CV407" s="233"/>
      <c r="CW407" s="233"/>
      <c r="CX407" s="233"/>
      <c r="CY407" s="233"/>
      <c r="CZ407" s="233"/>
      <c r="DA407" s="233"/>
      <c r="DB407" s="233"/>
      <c r="DC407" s="233"/>
      <c r="DD407" s="233"/>
      <c r="DE407" s="233"/>
      <c r="DF407" s="233"/>
      <c r="DG407" s="233"/>
      <c r="DH407" s="233"/>
      <c r="DI407" s="233"/>
      <c r="DJ407" s="233"/>
      <c r="DK407" s="233"/>
      <c r="DL407" s="233"/>
      <c r="DM407" s="233"/>
      <c r="DN407" s="233"/>
      <c r="DO407" s="233"/>
      <c r="DP407" s="233"/>
      <c r="DQ407" s="233"/>
      <c r="DR407" s="233"/>
      <c r="DS407" s="233"/>
      <c r="DT407" s="233"/>
      <c r="DU407" s="233"/>
      <c r="DV407" s="233"/>
      <c r="DW407" s="233"/>
      <c r="DX407" s="233"/>
      <c r="DY407" s="233"/>
      <c r="DZ407" s="233"/>
      <c r="EA407" s="233"/>
      <c r="EB407" s="233"/>
      <c r="EC407" s="233"/>
      <c r="ED407" s="233"/>
      <c r="EE407" s="233"/>
      <c r="EF407" s="233"/>
      <c r="EG407" s="233"/>
      <c r="EH407" s="233"/>
      <c r="EI407" s="233"/>
      <c r="EJ407" s="233"/>
      <c r="EK407" s="233"/>
      <c r="EL407" s="233"/>
      <c r="EM407" s="233"/>
      <c r="EN407" s="233"/>
      <c r="EO407" s="233"/>
      <c r="EP407" s="233"/>
    </row>
    <row r="408" spans="1:146" ht="14.25" x14ac:dyDescent="0.2">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c r="AW408" s="233"/>
      <c r="AX408" s="233"/>
      <c r="AY408" s="233"/>
      <c r="AZ408" s="233"/>
      <c r="BA408" s="233"/>
      <c r="BB408" s="233"/>
      <c r="BC408" s="233"/>
      <c r="BD408" s="233"/>
      <c r="BE408" s="233"/>
      <c r="BF408" s="233"/>
      <c r="BG408" s="233"/>
      <c r="BH408" s="233"/>
      <c r="BI408" s="233"/>
      <c r="BJ408" s="233"/>
      <c r="BK408" s="233"/>
      <c r="BL408" s="233"/>
      <c r="BM408" s="233"/>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33"/>
      <c r="CI408" s="233"/>
      <c r="CJ408" s="233"/>
      <c r="CK408" s="233"/>
      <c r="CL408" s="233"/>
      <c r="CM408" s="233"/>
      <c r="CN408" s="233"/>
      <c r="CO408" s="233"/>
      <c r="CP408" s="233"/>
      <c r="CQ408" s="233"/>
      <c r="CR408" s="233"/>
      <c r="CS408" s="233"/>
      <c r="CT408" s="233"/>
      <c r="CU408" s="233"/>
      <c r="CV408" s="233"/>
      <c r="CW408" s="233"/>
      <c r="CX408" s="233"/>
      <c r="CY408" s="233"/>
      <c r="CZ408" s="233"/>
      <c r="DA408" s="233"/>
      <c r="DB408" s="233"/>
      <c r="DC408" s="233"/>
      <c r="DD408" s="233"/>
      <c r="DE408" s="233"/>
      <c r="DF408" s="233"/>
      <c r="DG408" s="233"/>
      <c r="DH408" s="233"/>
      <c r="DI408" s="233"/>
      <c r="DJ408" s="233"/>
      <c r="DK408" s="233"/>
      <c r="DL408" s="233"/>
      <c r="DM408" s="233"/>
      <c r="DN408" s="233"/>
      <c r="DO408" s="233"/>
      <c r="DP408" s="233"/>
      <c r="DQ408" s="233"/>
      <c r="DR408" s="233"/>
      <c r="DS408" s="233"/>
      <c r="DT408" s="233"/>
      <c r="DU408" s="233"/>
      <c r="DV408" s="233"/>
      <c r="DW408" s="233"/>
      <c r="DX408" s="233"/>
      <c r="DY408" s="233"/>
      <c r="DZ408" s="233"/>
      <c r="EA408" s="233"/>
      <c r="EB408" s="233"/>
      <c r="EC408" s="233"/>
      <c r="ED408" s="233"/>
      <c r="EE408" s="233"/>
      <c r="EF408" s="233"/>
      <c r="EG408" s="233"/>
      <c r="EH408" s="233"/>
      <c r="EI408" s="233"/>
      <c r="EJ408" s="233"/>
      <c r="EK408" s="233"/>
      <c r="EL408" s="233"/>
      <c r="EM408" s="233"/>
      <c r="EN408" s="233"/>
      <c r="EO408" s="233"/>
      <c r="EP408" s="233"/>
    </row>
    <row r="409" spans="1:146" ht="14.25" x14ac:dyDescent="0.2">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c r="AW409" s="233"/>
      <c r="AX409" s="233"/>
      <c r="AY409" s="233"/>
      <c r="AZ409" s="233"/>
      <c r="BA409" s="233"/>
      <c r="BB409" s="233"/>
      <c r="BC409" s="233"/>
      <c r="BD409" s="233"/>
      <c r="BE409" s="233"/>
      <c r="BF409" s="233"/>
      <c r="BG409" s="233"/>
      <c r="BH409" s="233"/>
      <c r="BI409" s="233"/>
      <c r="BJ409" s="233"/>
      <c r="BK409" s="233"/>
      <c r="BL409" s="233"/>
      <c r="BM409" s="233"/>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33"/>
      <c r="CI409" s="233"/>
      <c r="CJ409" s="233"/>
      <c r="CK409" s="233"/>
      <c r="CL409" s="233"/>
      <c r="CM409" s="233"/>
      <c r="CN409" s="233"/>
      <c r="CO409" s="233"/>
      <c r="CP409" s="233"/>
      <c r="CQ409" s="233"/>
      <c r="CR409" s="233"/>
      <c r="CS409" s="233"/>
      <c r="CT409" s="233"/>
      <c r="CU409" s="233"/>
      <c r="CV409" s="233"/>
      <c r="CW409" s="233"/>
      <c r="CX409" s="233"/>
      <c r="CY409" s="233"/>
      <c r="CZ409" s="233"/>
      <c r="DA409" s="233"/>
      <c r="DB409" s="233"/>
      <c r="DC409" s="233"/>
      <c r="DD409" s="233"/>
      <c r="DE409" s="233"/>
      <c r="DF409" s="233"/>
      <c r="DG409" s="233"/>
      <c r="DH409" s="233"/>
      <c r="DI409" s="233"/>
      <c r="DJ409" s="233"/>
      <c r="DK409" s="233"/>
      <c r="DL409" s="233"/>
      <c r="DM409" s="233"/>
      <c r="DN409" s="233"/>
      <c r="DO409" s="233"/>
      <c r="DP409" s="233"/>
      <c r="DQ409" s="233"/>
      <c r="DR409" s="233"/>
      <c r="DS409" s="233"/>
      <c r="DT409" s="233"/>
      <c r="DU409" s="233"/>
      <c r="DV409" s="233"/>
      <c r="DW409" s="233"/>
      <c r="DX409" s="233"/>
      <c r="DY409" s="233"/>
      <c r="DZ409" s="233"/>
      <c r="EA409" s="233"/>
      <c r="EB409" s="233"/>
      <c r="EC409" s="233"/>
      <c r="ED409" s="233"/>
      <c r="EE409" s="233"/>
      <c r="EF409" s="233"/>
      <c r="EG409" s="233"/>
      <c r="EH409" s="233"/>
      <c r="EI409" s="233"/>
      <c r="EJ409" s="233"/>
      <c r="EK409" s="233"/>
      <c r="EL409" s="233"/>
      <c r="EM409" s="233"/>
      <c r="EN409" s="233"/>
      <c r="EO409" s="233"/>
      <c r="EP409" s="233"/>
    </row>
    <row r="410" spans="1:146" ht="14.25" x14ac:dyDescent="0.2">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33"/>
      <c r="CN410" s="233"/>
      <c r="CO410" s="233"/>
      <c r="CP410" s="233"/>
      <c r="CQ410" s="233"/>
      <c r="CR410" s="233"/>
      <c r="CS410" s="233"/>
      <c r="CT410" s="233"/>
      <c r="CU410" s="233"/>
      <c r="CV410" s="233"/>
      <c r="CW410" s="233"/>
      <c r="CX410" s="233"/>
      <c r="CY410" s="233"/>
      <c r="CZ410" s="233"/>
      <c r="DA410" s="233"/>
      <c r="DB410" s="233"/>
      <c r="DC410" s="233"/>
      <c r="DD410" s="233"/>
      <c r="DE410" s="233"/>
      <c r="DF410" s="233"/>
      <c r="DG410" s="233"/>
      <c r="DH410" s="233"/>
      <c r="DI410" s="233"/>
      <c r="DJ410" s="233"/>
      <c r="DK410" s="233"/>
      <c r="DL410" s="233"/>
      <c r="DM410" s="233"/>
      <c r="DN410" s="233"/>
      <c r="DO410" s="233"/>
      <c r="DP410" s="233"/>
      <c r="DQ410" s="233"/>
      <c r="DR410" s="233"/>
      <c r="DS410" s="233"/>
      <c r="DT410" s="233"/>
      <c r="DU410" s="233"/>
      <c r="DV410" s="233"/>
      <c r="DW410" s="233"/>
      <c r="DX410" s="233"/>
      <c r="DY410" s="233"/>
      <c r="DZ410" s="233"/>
      <c r="EA410" s="233"/>
      <c r="EB410" s="233"/>
      <c r="EC410" s="233"/>
      <c r="ED410" s="233"/>
      <c r="EE410" s="233"/>
      <c r="EF410" s="233"/>
      <c r="EG410" s="233"/>
      <c r="EH410" s="233"/>
      <c r="EI410" s="233"/>
      <c r="EJ410" s="233"/>
      <c r="EK410" s="233"/>
      <c r="EL410" s="233"/>
      <c r="EM410" s="233"/>
      <c r="EN410" s="233"/>
      <c r="EO410" s="233"/>
      <c r="EP410" s="233"/>
    </row>
    <row r="411" spans="1:146" ht="14.25" x14ac:dyDescent="0.2">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c r="AW411" s="233"/>
      <c r="AX411" s="233"/>
      <c r="AY411" s="233"/>
      <c r="AZ411" s="233"/>
      <c r="BA411" s="233"/>
      <c r="BB411" s="233"/>
      <c r="BC411" s="233"/>
      <c r="BD411" s="233"/>
      <c r="BE411" s="233"/>
      <c r="BF411" s="233"/>
      <c r="BG411" s="233"/>
      <c r="BH411" s="233"/>
      <c r="BI411" s="233"/>
      <c r="BJ411" s="233"/>
      <c r="BK411" s="233"/>
      <c r="BL411" s="233"/>
      <c r="BM411" s="233"/>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33"/>
      <c r="CI411" s="233"/>
      <c r="CJ411" s="233"/>
      <c r="CK411" s="233"/>
      <c r="CL411" s="233"/>
      <c r="CM411" s="233"/>
      <c r="CN411" s="233"/>
      <c r="CO411" s="233"/>
      <c r="CP411" s="233"/>
      <c r="CQ411" s="233"/>
      <c r="CR411" s="233"/>
      <c r="CS411" s="233"/>
      <c r="CT411" s="233"/>
      <c r="CU411" s="233"/>
      <c r="CV411" s="233"/>
      <c r="CW411" s="233"/>
      <c r="CX411" s="233"/>
      <c r="CY411" s="233"/>
      <c r="CZ411" s="233"/>
      <c r="DA411" s="233"/>
      <c r="DB411" s="233"/>
      <c r="DC411" s="233"/>
      <c r="DD411" s="233"/>
      <c r="DE411" s="233"/>
      <c r="DF411" s="233"/>
      <c r="DG411" s="233"/>
      <c r="DH411" s="233"/>
      <c r="DI411" s="233"/>
      <c r="DJ411" s="233"/>
      <c r="DK411" s="233"/>
      <c r="DL411" s="233"/>
      <c r="DM411" s="233"/>
      <c r="DN411" s="233"/>
      <c r="DO411" s="233"/>
      <c r="DP411" s="233"/>
      <c r="DQ411" s="233"/>
      <c r="DR411" s="233"/>
      <c r="DS411" s="233"/>
      <c r="DT411" s="233"/>
      <c r="DU411" s="233"/>
      <c r="DV411" s="233"/>
      <c r="DW411" s="233"/>
      <c r="DX411" s="233"/>
      <c r="DY411" s="233"/>
      <c r="DZ411" s="233"/>
      <c r="EA411" s="233"/>
      <c r="EB411" s="233"/>
      <c r="EC411" s="233"/>
      <c r="ED411" s="233"/>
      <c r="EE411" s="233"/>
      <c r="EF411" s="233"/>
      <c r="EG411" s="233"/>
      <c r="EH411" s="233"/>
      <c r="EI411" s="233"/>
      <c r="EJ411" s="233"/>
      <c r="EK411" s="233"/>
      <c r="EL411" s="233"/>
      <c r="EM411" s="233"/>
      <c r="EN411" s="233"/>
      <c r="EO411" s="233"/>
      <c r="EP411" s="233"/>
    </row>
    <row r="412" spans="1:146" ht="14.25" x14ac:dyDescent="0.2">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row>
    <row r="413" spans="1:146" ht="14.25" x14ac:dyDescent="0.2">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233"/>
      <c r="BE413" s="233"/>
      <c r="BF413" s="233"/>
      <c r="BG413" s="233"/>
      <c r="BH413" s="233"/>
      <c r="BI413" s="233"/>
      <c r="BJ413" s="233"/>
      <c r="BK413" s="233"/>
      <c r="BL413" s="233"/>
      <c r="BM413" s="233"/>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33"/>
      <c r="CI413" s="233"/>
      <c r="CJ413" s="233"/>
      <c r="CK413" s="233"/>
      <c r="CL413" s="233"/>
      <c r="CM413" s="233"/>
      <c r="CN413" s="233"/>
      <c r="CO413" s="233"/>
      <c r="CP413" s="233"/>
      <c r="CQ413" s="233"/>
      <c r="CR413" s="233"/>
      <c r="CS413" s="233"/>
      <c r="CT413" s="233"/>
      <c r="CU413" s="233"/>
      <c r="CV413" s="233"/>
      <c r="CW413" s="233"/>
      <c r="CX413" s="233"/>
      <c r="CY413" s="233"/>
      <c r="CZ413" s="233"/>
      <c r="DA413" s="233"/>
      <c r="DB413" s="233"/>
      <c r="DC413" s="233"/>
      <c r="DD413" s="233"/>
      <c r="DE413" s="233"/>
      <c r="DF413" s="233"/>
      <c r="DG413" s="233"/>
      <c r="DH413" s="233"/>
      <c r="DI413" s="233"/>
      <c r="DJ413" s="233"/>
      <c r="DK413" s="233"/>
      <c r="DL413" s="233"/>
      <c r="DM413" s="233"/>
      <c r="DN413" s="233"/>
      <c r="DO413" s="233"/>
      <c r="DP413" s="233"/>
      <c r="DQ413" s="233"/>
      <c r="DR413" s="233"/>
      <c r="DS413" s="233"/>
      <c r="DT413" s="233"/>
      <c r="DU413" s="233"/>
      <c r="DV413" s="233"/>
      <c r="DW413" s="233"/>
      <c r="DX413" s="233"/>
      <c r="DY413" s="233"/>
      <c r="DZ413" s="233"/>
      <c r="EA413" s="233"/>
      <c r="EB413" s="233"/>
      <c r="EC413" s="233"/>
      <c r="ED413" s="233"/>
      <c r="EE413" s="233"/>
      <c r="EF413" s="233"/>
      <c r="EG413" s="233"/>
      <c r="EH413" s="233"/>
      <c r="EI413" s="233"/>
      <c r="EJ413" s="233"/>
      <c r="EK413" s="233"/>
      <c r="EL413" s="233"/>
      <c r="EM413" s="233"/>
      <c r="EN413" s="233"/>
      <c r="EO413" s="233"/>
      <c r="EP413" s="233"/>
    </row>
    <row r="414" spans="1:146" ht="14.25" x14ac:dyDescent="0.2">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c r="BH414" s="233"/>
      <c r="BI414" s="233"/>
      <c r="BJ414" s="233"/>
      <c r="BK414" s="233"/>
      <c r="BL414" s="233"/>
      <c r="BM414" s="233"/>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33"/>
      <c r="CI414" s="233"/>
      <c r="CJ414" s="233"/>
      <c r="CK414" s="233"/>
      <c r="CL414" s="233"/>
      <c r="CM414" s="233"/>
      <c r="CN414" s="233"/>
      <c r="CO414" s="233"/>
      <c r="CP414" s="233"/>
      <c r="CQ414" s="233"/>
      <c r="CR414" s="233"/>
      <c r="CS414" s="233"/>
      <c r="CT414" s="233"/>
      <c r="CU414" s="233"/>
      <c r="CV414" s="233"/>
      <c r="CW414" s="233"/>
      <c r="CX414" s="233"/>
      <c r="CY414" s="233"/>
      <c r="CZ414" s="233"/>
      <c r="DA414" s="233"/>
      <c r="DB414" s="233"/>
      <c r="DC414" s="233"/>
      <c r="DD414" s="233"/>
      <c r="DE414" s="233"/>
      <c r="DF414" s="233"/>
      <c r="DG414" s="233"/>
      <c r="DH414" s="233"/>
      <c r="DI414" s="233"/>
      <c r="DJ414" s="233"/>
      <c r="DK414" s="233"/>
      <c r="DL414" s="233"/>
      <c r="DM414" s="233"/>
      <c r="DN414" s="233"/>
      <c r="DO414" s="233"/>
      <c r="DP414" s="233"/>
      <c r="DQ414" s="233"/>
      <c r="DR414" s="233"/>
      <c r="DS414" s="233"/>
      <c r="DT414" s="233"/>
      <c r="DU414" s="233"/>
      <c r="DV414" s="233"/>
      <c r="DW414" s="233"/>
      <c r="DX414" s="233"/>
      <c r="DY414" s="233"/>
      <c r="DZ414" s="233"/>
      <c r="EA414" s="233"/>
      <c r="EB414" s="233"/>
      <c r="EC414" s="233"/>
      <c r="ED414" s="233"/>
      <c r="EE414" s="233"/>
      <c r="EF414" s="233"/>
      <c r="EG414" s="233"/>
      <c r="EH414" s="233"/>
      <c r="EI414" s="233"/>
      <c r="EJ414" s="233"/>
      <c r="EK414" s="233"/>
      <c r="EL414" s="233"/>
      <c r="EM414" s="233"/>
      <c r="EN414" s="233"/>
      <c r="EO414" s="233"/>
      <c r="EP414" s="233"/>
    </row>
    <row r="415" spans="1:146" ht="14.25" x14ac:dyDescent="0.2">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c r="AW415" s="233"/>
      <c r="AX415" s="233"/>
      <c r="AY415" s="233"/>
      <c r="AZ415" s="233"/>
      <c r="BA415" s="233"/>
      <c r="BB415" s="233"/>
      <c r="BC415" s="233"/>
      <c r="BD415" s="233"/>
      <c r="BE415" s="233"/>
      <c r="BF415" s="233"/>
      <c r="BG415" s="233"/>
      <c r="BH415" s="233"/>
      <c r="BI415" s="233"/>
      <c r="BJ415" s="233"/>
      <c r="BK415" s="233"/>
      <c r="BL415" s="233"/>
      <c r="BM415" s="233"/>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33"/>
      <c r="CI415" s="233"/>
      <c r="CJ415" s="233"/>
      <c r="CK415" s="233"/>
      <c r="CL415" s="233"/>
      <c r="CM415" s="233"/>
      <c r="CN415" s="233"/>
      <c r="CO415" s="233"/>
      <c r="CP415" s="233"/>
      <c r="CQ415" s="233"/>
      <c r="CR415" s="233"/>
      <c r="CS415" s="233"/>
      <c r="CT415" s="233"/>
      <c r="CU415" s="233"/>
      <c r="CV415" s="233"/>
      <c r="CW415" s="233"/>
      <c r="CX415" s="233"/>
      <c r="CY415" s="233"/>
      <c r="CZ415" s="233"/>
      <c r="DA415" s="233"/>
      <c r="DB415" s="233"/>
      <c r="DC415" s="233"/>
      <c r="DD415" s="233"/>
      <c r="DE415" s="233"/>
      <c r="DF415" s="233"/>
      <c r="DG415" s="233"/>
      <c r="DH415" s="233"/>
      <c r="DI415" s="233"/>
      <c r="DJ415" s="233"/>
      <c r="DK415" s="233"/>
      <c r="DL415" s="233"/>
      <c r="DM415" s="233"/>
      <c r="DN415" s="233"/>
      <c r="DO415" s="233"/>
      <c r="DP415" s="233"/>
      <c r="DQ415" s="233"/>
      <c r="DR415" s="233"/>
      <c r="DS415" s="233"/>
      <c r="DT415" s="233"/>
      <c r="DU415" s="233"/>
      <c r="DV415" s="233"/>
      <c r="DW415" s="233"/>
      <c r="DX415" s="233"/>
      <c r="DY415" s="233"/>
      <c r="DZ415" s="233"/>
      <c r="EA415" s="233"/>
      <c r="EB415" s="233"/>
      <c r="EC415" s="233"/>
      <c r="ED415" s="233"/>
      <c r="EE415" s="233"/>
      <c r="EF415" s="233"/>
      <c r="EG415" s="233"/>
      <c r="EH415" s="233"/>
      <c r="EI415" s="233"/>
      <c r="EJ415" s="233"/>
      <c r="EK415" s="233"/>
      <c r="EL415" s="233"/>
      <c r="EM415" s="233"/>
      <c r="EN415" s="233"/>
      <c r="EO415" s="233"/>
      <c r="EP415" s="233"/>
    </row>
    <row r="416" spans="1:146" ht="14.25" x14ac:dyDescent="0.2">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33"/>
      <c r="CI416" s="233"/>
      <c r="CJ416" s="233"/>
      <c r="CK416" s="233"/>
      <c r="CL416" s="233"/>
      <c r="CM416" s="233"/>
      <c r="CN416" s="233"/>
      <c r="CO416" s="233"/>
      <c r="CP416" s="233"/>
      <c r="CQ416" s="233"/>
      <c r="CR416" s="233"/>
      <c r="CS416" s="233"/>
      <c r="CT416" s="233"/>
      <c r="CU416" s="233"/>
      <c r="CV416" s="233"/>
      <c r="CW416" s="233"/>
      <c r="CX416" s="233"/>
      <c r="CY416" s="233"/>
      <c r="CZ416" s="233"/>
      <c r="DA416" s="233"/>
      <c r="DB416" s="233"/>
      <c r="DC416" s="233"/>
      <c r="DD416" s="233"/>
      <c r="DE416" s="233"/>
      <c r="DF416" s="233"/>
      <c r="DG416" s="233"/>
      <c r="DH416" s="233"/>
      <c r="DI416" s="233"/>
      <c r="DJ416" s="233"/>
      <c r="DK416" s="233"/>
      <c r="DL416" s="233"/>
      <c r="DM416" s="233"/>
      <c r="DN416" s="233"/>
      <c r="DO416" s="233"/>
      <c r="DP416" s="233"/>
      <c r="DQ416" s="233"/>
      <c r="DR416" s="233"/>
      <c r="DS416" s="233"/>
      <c r="DT416" s="233"/>
      <c r="DU416" s="233"/>
      <c r="DV416" s="233"/>
      <c r="DW416" s="233"/>
      <c r="DX416" s="233"/>
      <c r="DY416" s="233"/>
      <c r="DZ416" s="233"/>
      <c r="EA416" s="233"/>
      <c r="EB416" s="233"/>
      <c r="EC416" s="233"/>
      <c r="ED416" s="233"/>
      <c r="EE416" s="233"/>
      <c r="EF416" s="233"/>
      <c r="EG416" s="233"/>
      <c r="EH416" s="233"/>
      <c r="EI416" s="233"/>
      <c r="EJ416" s="233"/>
      <c r="EK416" s="233"/>
      <c r="EL416" s="233"/>
      <c r="EM416" s="233"/>
      <c r="EN416" s="233"/>
      <c r="EO416" s="233"/>
      <c r="EP416" s="233"/>
    </row>
    <row r="417" spans="1:146" ht="14.25" x14ac:dyDescent="0.2">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c r="AW417" s="233"/>
      <c r="AX417" s="233"/>
      <c r="AY417" s="233"/>
      <c r="AZ417" s="233"/>
      <c r="BA417" s="233"/>
      <c r="BB417" s="233"/>
      <c r="BC417" s="233"/>
      <c r="BD417" s="233"/>
      <c r="BE417" s="233"/>
      <c r="BF417" s="233"/>
      <c r="BG417" s="233"/>
      <c r="BH417" s="233"/>
      <c r="BI417" s="233"/>
      <c r="BJ417" s="233"/>
      <c r="BK417" s="233"/>
      <c r="BL417" s="233"/>
      <c r="BM417" s="233"/>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33"/>
      <c r="CI417" s="233"/>
      <c r="CJ417" s="233"/>
      <c r="CK417" s="233"/>
      <c r="CL417" s="233"/>
      <c r="CM417" s="233"/>
      <c r="CN417" s="233"/>
      <c r="CO417" s="233"/>
      <c r="CP417" s="233"/>
      <c r="CQ417" s="233"/>
      <c r="CR417" s="233"/>
      <c r="CS417" s="233"/>
      <c r="CT417" s="233"/>
      <c r="CU417" s="233"/>
      <c r="CV417" s="233"/>
      <c r="CW417" s="233"/>
      <c r="CX417" s="233"/>
      <c r="CY417" s="233"/>
      <c r="CZ417" s="233"/>
      <c r="DA417" s="233"/>
      <c r="DB417" s="233"/>
      <c r="DC417" s="233"/>
      <c r="DD417" s="233"/>
      <c r="DE417" s="233"/>
      <c r="DF417" s="233"/>
      <c r="DG417" s="233"/>
      <c r="DH417" s="233"/>
      <c r="DI417" s="233"/>
      <c r="DJ417" s="233"/>
      <c r="DK417" s="233"/>
      <c r="DL417" s="233"/>
      <c r="DM417" s="233"/>
      <c r="DN417" s="233"/>
      <c r="DO417" s="233"/>
      <c r="DP417" s="233"/>
      <c r="DQ417" s="233"/>
      <c r="DR417" s="233"/>
      <c r="DS417" s="233"/>
      <c r="DT417" s="233"/>
      <c r="DU417" s="233"/>
      <c r="DV417" s="233"/>
      <c r="DW417" s="233"/>
      <c r="DX417" s="233"/>
      <c r="DY417" s="233"/>
      <c r="DZ417" s="233"/>
      <c r="EA417" s="233"/>
      <c r="EB417" s="233"/>
      <c r="EC417" s="233"/>
      <c r="ED417" s="233"/>
      <c r="EE417" s="233"/>
      <c r="EF417" s="233"/>
      <c r="EG417" s="233"/>
      <c r="EH417" s="233"/>
      <c r="EI417" s="233"/>
      <c r="EJ417" s="233"/>
      <c r="EK417" s="233"/>
      <c r="EL417" s="233"/>
      <c r="EM417" s="233"/>
      <c r="EN417" s="233"/>
      <c r="EO417" s="233"/>
      <c r="EP417" s="233"/>
    </row>
    <row r="418" spans="1:146" ht="14.25" x14ac:dyDescent="0.2">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c r="AW418" s="233"/>
      <c r="AX418" s="233"/>
      <c r="AY418" s="233"/>
      <c r="AZ418" s="233"/>
      <c r="BA418" s="233"/>
      <c r="BB418" s="233"/>
      <c r="BC418" s="233"/>
      <c r="BD418" s="233"/>
      <c r="BE418" s="233"/>
      <c r="BF418" s="233"/>
      <c r="BG418" s="233"/>
      <c r="BH418" s="233"/>
      <c r="BI418" s="233"/>
      <c r="BJ418" s="233"/>
      <c r="BK418" s="233"/>
      <c r="BL418" s="233"/>
      <c r="BM418" s="233"/>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33"/>
      <c r="CI418" s="233"/>
      <c r="CJ418" s="233"/>
      <c r="CK418" s="233"/>
      <c r="CL418" s="233"/>
      <c r="CM418" s="233"/>
      <c r="CN418" s="233"/>
      <c r="CO418" s="233"/>
      <c r="CP418" s="233"/>
      <c r="CQ418" s="233"/>
      <c r="CR418" s="233"/>
      <c r="CS418" s="233"/>
      <c r="CT418" s="233"/>
      <c r="CU418" s="233"/>
      <c r="CV418" s="233"/>
      <c r="CW418" s="233"/>
      <c r="CX418" s="233"/>
      <c r="CY418" s="233"/>
      <c r="CZ418" s="233"/>
      <c r="DA418" s="233"/>
      <c r="DB418" s="233"/>
      <c r="DC418" s="233"/>
      <c r="DD418" s="233"/>
      <c r="DE418" s="233"/>
      <c r="DF418" s="233"/>
      <c r="DG418" s="233"/>
      <c r="DH418" s="233"/>
      <c r="DI418" s="233"/>
      <c r="DJ418" s="233"/>
      <c r="DK418" s="233"/>
      <c r="DL418" s="233"/>
      <c r="DM418" s="233"/>
      <c r="DN418" s="233"/>
      <c r="DO418" s="233"/>
      <c r="DP418" s="233"/>
      <c r="DQ418" s="233"/>
      <c r="DR418" s="233"/>
      <c r="DS418" s="233"/>
      <c r="DT418" s="233"/>
      <c r="DU418" s="233"/>
      <c r="DV418" s="233"/>
      <c r="DW418" s="233"/>
      <c r="DX418" s="233"/>
      <c r="DY418" s="233"/>
      <c r="DZ418" s="233"/>
      <c r="EA418" s="233"/>
      <c r="EB418" s="233"/>
      <c r="EC418" s="233"/>
      <c r="ED418" s="233"/>
      <c r="EE418" s="233"/>
      <c r="EF418" s="233"/>
      <c r="EG418" s="233"/>
      <c r="EH418" s="233"/>
      <c r="EI418" s="233"/>
      <c r="EJ418" s="233"/>
      <c r="EK418" s="233"/>
      <c r="EL418" s="233"/>
      <c r="EM418" s="233"/>
      <c r="EN418" s="233"/>
      <c r="EO418" s="233"/>
      <c r="EP418" s="233"/>
    </row>
    <row r="419" spans="1:146" ht="14.25" x14ac:dyDescent="0.2">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33"/>
      <c r="CI419" s="233"/>
      <c r="CJ419" s="233"/>
      <c r="CK419" s="233"/>
      <c r="CL419" s="233"/>
      <c r="CM419" s="233"/>
      <c r="CN419" s="233"/>
      <c r="CO419" s="233"/>
      <c r="CP419" s="233"/>
      <c r="CQ419" s="233"/>
      <c r="CR419" s="233"/>
      <c r="CS419" s="233"/>
      <c r="CT419" s="233"/>
      <c r="CU419" s="233"/>
      <c r="CV419" s="233"/>
      <c r="CW419" s="233"/>
      <c r="CX419" s="233"/>
      <c r="CY419" s="233"/>
      <c r="CZ419" s="233"/>
      <c r="DA419" s="233"/>
      <c r="DB419" s="233"/>
      <c r="DC419" s="233"/>
      <c r="DD419" s="233"/>
      <c r="DE419" s="233"/>
      <c r="DF419" s="233"/>
      <c r="DG419" s="233"/>
      <c r="DH419" s="233"/>
      <c r="DI419" s="233"/>
      <c r="DJ419" s="233"/>
      <c r="DK419" s="233"/>
      <c r="DL419" s="233"/>
      <c r="DM419" s="233"/>
      <c r="DN419" s="233"/>
      <c r="DO419" s="233"/>
      <c r="DP419" s="233"/>
      <c r="DQ419" s="233"/>
      <c r="DR419" s="233"/>
      <c r="DS419" s="233"/>
      <c r="DT419" s="233"/>
      <c r="DU419" s="233"/>
      <c r="DV419" s="233"/>
      <c r="DW419" s="233"/>
      <c r="DX419" s="233"/>
      <c r="DY419" s="233"/>
      <c r="DZ419" s="233"/>
      <c r="EA419" s="233"/>
      <c r="EB419" s="233"/>
      <c r="EC419" s="233"/>
      <c r="ED419" s="233"/>
      <c r="EE419" s="233"/>
      <c r="EF419" s="233"/>
      <c r="EG419" s="233"/>
      <c r="EH419" s="233"/>
      <c r="EI419" s="233"/>
      <c r="EJ419" s="233"/>
      <c r="EK419" s="233"/>
      <c r="EL419" s="233"/>
      <c r="EM419" s="233"/>
      <c r="EN419" s="233"/>
      <c r="EO419" s="233"/>
      <c r="EP419" s="233"/>
    </row>
    <row r="420" spans="1:146" ht="14.25" x14ac:dyDescent="0.2">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33"/>
      <c r="BF420" s="233"/>
      <c r="BG420" s="233"/>
      <c r="BH420" s="233"/>
      <c r="BI420" s="233"/>
      <c r="BJ420" s="233"/>
      <c r="BK420" s="233"/>
      <c r="BL420" s="233"/>
      <c r="BM420" s="233"/>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33"/>
      <c r="CI420" s="233"/>
      <c r="CJ420" s="233"/>
      <c r="CK420" s="233"/>
      <c r="CL420" s="233"/>
      <c r="CM420" s="233"/>
      <c r="CN420" s="233"/>
      <c r="CO420" s="233"/>
      <c r="CP420" s="233"/>
      <c r="CQ420" s="233"/>
      <c r="CR420" s="233"/>
      <c r="CS420" s="233"/>
      <c r="CT420" s="233"/>
      <c r="CU420" s="233"/>
      <c r="CV420" s="233"/>
      <c r="CW420" s="233"/>
      <c r="CX420" s="233"/>
      <c r="CY420" s="233"/>
      <c r="CZ420" s="233"/>
      <c r="DA420" s="233"/>
      <c r="DB420" s="233"/>
      <c r="DC420" s="233"/>
      <c r="DD420" s="233"/>
      <c r="DE420" s="233"/>
      <c r="DF420" s="233"/>
      <c r="DG420" s="233"/>
      <c r="DH420" s="233"/>
      <c r="DI420" s="233"/>
      <c r="DJ420" s="233"/>
      <c r="DK420" s="233"/>
      <c r="DL420" s="233"/>
      <c r="DM420" s="233"/>
      <c r="DN420" s="233"/>
      <c r="DO420" s="233"/>
      <c r="DP420" s="233"/>
      <c r="DQ420" s="233"/>
      <c r="DR420" s="233"/>
      <c r="DS420" s="233"/>
      <c r="DT420" s="233"/>
      <c r="DU420" s="233"/>
      <c r="DV420" s="233"/>
      <c r="DW420" s="233"/>
      <c r="DX420" s="233"/>
      <c r="DY420" s="233"/>
      <c r="DZ420" s="233"/>
      <c r="EA420" s="233"/>
      <c r="EB420" s="233"/>
      <c r="EC420" s="233"/>
      <c r="ED420" s="233"/>
      <c r="EE420" s="233"/>
      <c r="EF420" s="233"/>
      <c r="EG420" s="233"/>
      <c r="EH420" s="233"/>
      <c r="EI420" s="233"/>
      <c r="EJ420" s="233"/>
      <c r="EK420" s="233"/>
      <c r="EL420" s="233"/>
      <c r="EM420" s="233"/>
      <c r="EN420" s="233"/>
      <c r="EO420" s="233"/>
      <c r="EP420" s="233"/>
    </row>
    <row r="421" spans="1:146" ht="14.25" x14ac:dyDescent="0.2">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row>
    <row r="422" spans="1:146" ht="14.25" x14ac:dyDescent="0.2">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row>
    <row r="423" spans="1:146" ht="14.25" x14ac:dyDescent="0.2">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row>
    <row r="424" spans="1:146" ht="14.25" x14ac:dyDescent="0.2">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row>
    <row r="425" spans="1:146" ht="14.25" x14ac:dyDescent="0.2">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33"/>
      <c r="CN425" s="233"/>
      <c r="CO425" s="233"/>
      <c r="CP425" s="233"/>
      <c r="CQ425" s="233"/>
      <c r="CR425" s="233"/>
      <c r="CS425" s="233"/>
      <c r="CT425" s="233"/>
      <c r="CU425" s="233"/>
      <c r="CV425" s="233"/>
      <c r="CW425" s="233"/>
      <c r="CX425" s="233"/>
      <c r="CY425" s="233"/>
      <c r="CZ425" s="233"/>
      <c r="DA425" s="233"/>
      <c r="DB425" s="233"/>
      <c r="DC425" s="233"/>
      <c r="DD425" s="233"/>
      <c r="DE425" s="233"/>
      <c r="DF425" s="233"/>
      <c r="DG425" s="233"/>
      <c r="DH425" s="233"/>
      <c r="DI425" s="233"/>
      <c r="DJ425" s="233"/>
      <c r="DK425" s="233"/>
      <c r="DL425" s="233"/>
      <c r="DM425" s="233"/>
      <c r="DN425" s="233"/>
      <c r="DO425" s="233"/>
      <c r="DP425" s="233"/>
      <c r="DQ425" s="233"/>
      <c r="DR425" s="233"/>
      <c r="DS425" s="233"/>
      <c r="DT425" s="233"/>
      <c r="DU425" s="233"/>
      <c r="DV425" s="233"/>
      <c r="DW425" s="233"/>
      <c r="DX425" s="233"/>
      <c r="DY425" s="233"/>
      <c r="DZ425" s="233"/>
      <c r="EA425" s="233"/>
      <c r="EB425" s="233"/>
      <c r="EC425" s="233"/>
      <c r="ED425" s="233"/>
      <c r="EE425" s="233"/>
      <c r="EF425" s="233"/>
      <c r="EG425" s="233"/>
      <c r="EH425" s="233"/>
      <c r="EI425" s="233"/>
      <c r="EJ425" s="233"/>
      <c r="EK425" s="233"/>
      <c r="EL425" s="233"/>
      <c r="EM425" s="233"/>
      <c r="EN425" s="233"/>
      <c r="EO425" s="233"/>
      <c r="EP425" s="233"/>
    </row>
    <row r="426" spans="1:146" ht="14.25" x14ac:dyDescent="0.2">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33"/>
      <c r="CN426" s="233"/>
      <c r="CO426" s="233"/>
      <c r="CP426" s="233"/>
      <c r="CQ426" s="233"/>
      <c r="CR426" s="233"/>
      <c r="CS426" s="233"/>
      <c r="CT426" s="233"/>
      <c r="CU426" s="233"/>
      <c r="CV426" s="233"/>
      <c r="CW426" s="233"/>
      <c r="CX426" s="233"/>
      <c r="CY426" s="233"/>
      <c r="CZ426" s="233"/>
      <c r="DA426" s="233"/>
      <c r="DB426" s="233"/>
      <c r="DC426" s="233"/>
      <c r="DD426" s="233"/>
      <c r="DE426" s="233"/>
      <c r="DF426" s="233"/>
      <c r="DG426" s="233"/>
      <c r="DH426" s="233"/>
      <c r="DI426" s="233"/>
      <c r="DJ426" s="233"/>
      <c r="DK426" s="233"/>
      <c r="DL426" s="233"/>
      <c r="DM426" s="233"/>
      <c r="DN426" s="233"/>
      <c r="DO426" s="233"/>
      <c r="DP426" s="233"/>
      <c r="DQ426" s="233"/>
      <c r="DR426" s="233"/>
      <c r="DS426" s="233"/>
      <c r="DT426" s="233"/>
      <c r="DU426" s="233"/>
      <c r="DV426" s="233"/>
      <c r="DW426" s="233"/>
      <c r="DX426" s="233"/>
      <c r="DY426" s="233"/>
      <c r="DZ426" s="233"/>
      <c r="EA426" s="233"/>
      <c r="EB426" s="233"/>
      <c r="EC426" s="233"/>
      <c r="ED426" s="233"/>
      <c r="EE426" s="233"/>
      <c r="EF426" s="233"/>
      <c r="EG426" s="233"/>
      <c r="EH426" s="233"/>
      <c r="EI426" s="233"/>
      <c r="EJ426" s="233"/>
      <c r="EK426" s="233"/>
      <c r="EL426" s="233"/>
      <c r="EM426" s="233"/>
      <c r="EN426" s="233"/>
      <c r="EO426" s="233"/>
      <c r="EP426" s="233"/>
    </row>
    <row r="427" spans="1:146" ht="14.25" x14ac:dyDescent="0.2">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33"/>
      <c r="CN427" s="233"/>
      <c r="CO427" s="233"/>
      <c r="CP427" s="233"/>
      <c r="CQ427" s="233"/>
      <c r="CR427" s="233"/>
      <c r="CS427" s="233"/>
      <c r="CT427" s="233"/>
      <c r="CU427" s="233"/>
      <c r="CV427" s="233"/>
      <c r="CW427" s="233"/>
      <c r="CX427" s="233"/>
      <c r="CY427" s="233"/>
      <c r="CZ427" s="233"/>
      <c r="DA427" s="233"/>
      <c r="DB427" s="233"/>
      <c r="DC427" s="233"/>
      <c r="DD427" s="233"/>
      <c r="DE427" s="233"/>
      <c r="DF427" s="233"/>
      <c r="DG427" s="233"/>
      <c r="DH427" s="233"/>
      <c r="DI427" s="233"/>
      <c r="DJ427" s="233"/>
      <c r="DK427" s="233"/>
      <c r="DL427" s="233"/>
      <c r="DM427" s="233"/>
      <c r="DN427" s="233"/>
      <c r="DO427" s="233"/>
      <c r="DP427" s="233"/>
      <c r="DQ427" s="233"/>
      <c r="DR427" s="233"/>
      <c r="DS427" s="233"/>
      <c r="DT427" s="233"/>
      <c r="DU427" s="233"/>
      <c r="DV427" s="233"/>
      <c r="DW427" s="233"/>
      <c r="DX427" s="233"/>
      <c r="DY427" s="233"/>
      <c r="DZ427" s="233"/>
      <c r="EA427" s="233"/>
      <c r="EB427" s="233"/>
      <c r="EC427" s="233"/>
      <c r="ED427" s="233"/>
      <c r="EE427" s="233"/>
      <c r="EF427" s="233"/>
      <c r="EG427" s="233"/>
      <c r="EH427" s="233"/>
      <c r="EI427" s="233"/>
      <c r="EJ427" s="233"/>
      <c r="EK427" s="233"/>
      <c r="EL427" s="233"/>
      <c r="EM427" s="233"/>
      <c r="EN427" s="233"/>
      <c r="EO427" s="233"/>
      <c r="EP427" s="233"/>
    </row>
    <row r="428" spans="1:146" ht="14.25" x14ac:dyDescent="0.2">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33"/>
      <c r="CI428" s="233"/>
      <c r="CJ428" s="233"/>
      <c r="CK428" s="233"/>
      <c r="CL428" s="233"/>
      <c r="CM428" s="233"/>
      <c r="CN428" s="233"/>
      <c r="CO428" s="233"/>
      <c r="CP428" s="233"/>
      <c r="CQ428" s="233"/>
      <c r="CR428" s="233"/>
      <c r="CS428" s="233"/>
      <c r="CT428" s="233"/>
      <c r="CU428" s="233"/>
      <c r="CV428" s="233"/>
      <c r="CW428" s="233"/>
      <c r="CX428" s="233"/>
      <c r="CY428" s="233"/>
      <c r="CZ428" s="233"/>
      <c r="DA428" s="233"/>
      <c r="DB428" s="233"/>
      <c r="DC428" s="233"/>
      <c r="DD428" s="233"/>
      <c r="DE428" s="233"/>
      <c r="DF428" s="233"/>
      <c r="DG428" s="233"/>
      <c r="DH428" s="233"/>
      <c r="DI428" s="233"/>
      <c r="DJ428" s="233"/>
      <c r="DK428" s="233"/>
      <c r="DL428" s="233"/>
      <c r="DM428" s="233"/>
      <c r="DN428" s="233"/>
      <c r="DO428" s="233"/>
      <c r="DP428" s="233"/>
      <c r="DQ428" s="233"/>
      <c r="DR428" s="233"/>
      <c r="DS428" s="233"/>
      <c r="DT428" s="233"/>
      <c r="DU428" s="233"/>
      <c r="DV428" s="233"/>
      <c r="DW428" s="233"/>
      <c r="DX428" s="233"/>
      <c r="DY428" s="233"/>
      <c r="DZ428" s="233"/>
      <c r="EA428" s="233"/>
      <c r="EB428" s="233"/>
      <c r="EC428" s="233"/>
      <c r="ED428" s="233"/>
      <c r="EE428" s="233"/>
      <c r="EF428" s="233"/>
      <c r="EG428" s="233"/>
      <c r="EH428" s="233"/>
      <c r="EI428" s="233"/>
      <c r="EJ428" s="233"/>
      <c r="EK428" s="233"/>
      <c r="EL428" s="233"/>
      <c r="EM428" s="233"/>
      <c r="EN428" s="233"/>
      <c r="EO428" s="233"/>
      <c r="EP428" s="233"/>
    </row>
    <row r="429" spans="1:146" ht="14.25" x14ac:dyDescent="0.2">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c r="AZ429" s="233"/>
      <c r="BA429" s="233"/>
      <c r="BB429" s="233"/>
      <c r="BC429" s="233"/>
      <c r="BD429" s="233"/>
      <c r="BE429" s="233"/>
      <c r="BF429" s="233"/>
      <c r="BG429" s="233"/>
      <c r="BH429" s="233"/>
      <c r="BI429" s="233"/>
      <c r="BJ429" s="233"/>
      <c r="BK429" s="233"/>
      <c r="BL429" s="233"/>
      <c r="BM429" s="233"/>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33"/>
      <c r="CI429" s="233"/>
      <c r="CJ429" s="233"/>
      <c r="CK429" s="233"/>
      <c r="CL429" s="233"/>
      <c r="CM429" s="233"/>
      <c r="CN429" s="233"/>
      <c r="CO429" s="233"/>
      <c r="CP429" s="233"/>
      <c r="CQ429" s="233"/>
      <c r="CR429" s="233"/>
      <c r="CS429" s="233"/>
      <c r="CT429" s="233"/>
      <c r="CU429" s="233"/>
      <c r="CV429" s="233"/>
      <c r="CW429" s="233"/>
      <c r="CX429" s="233"/>
      <c r="CY429" s="233"/>
      <c r="CZ429" s="233"/>
      <c r="DA429" s="233"/>
      <c r="DB429" s="233"/>
      <c r="DC429" s="233"/>
      <c r="DD429" s="233"/>
      <c r="DE429" s="233"/>
      <c r="DF429" s="233"/>
      <c r="DG429" s="233"/>
      <c r="DH429" s="233"/>
      <c r="DI429" s="233"/>
      <c r="DJ429" s="233"/>
      <c r="DK429" s="233"/>
      <c r="DL429" s="233"/>
      <c r="DM429" s="233"/>
      <c r="DN429" s="233"/>
      <c r="DO429" s="233"/>
      <c r="DP429" s="233"/>
      <c r="DQ429" s="233"/>
      <c r="DR429" s="233"/>
      <c r="DS429" s="233"/>
      <c r="DT429" s="233"/>
      <c r="DU429" s="233"/>
      <c r="DV429" s="233"/>
      <c r="DW429" s="233"/>
      <c r="DX429" s="233"/>
      <c r="DY429" s="233"/>
      <c r="DZ429" s="233"/>
      <c r="EA429" s="233"/>
      <c r="EB429" s="233"/>
      <c r="EC429" s="233"/>
      <c r="ED429" s="233"/>
      <c r="EE429" s="233"/>
      <c r="EF429" s="233"/>
      <c r="EG429" s="233"/>
      <c r="EH429" s="233"/>
      <c r="EI429" s="233"/>
      <c r="EJ429" s="233"/>
      <c r="EK429" s="233"/>
      <c r="EL429" s="233"/>
      <c r="EM429" s="233"/>
      <c r="EN429" s="233"/>
      <c r="EO429" s="233"/>
      <c r="EP429" s="233"/>
    </row>
    <row r="430" spans="1:146" ht="14.25" x14ac:dyDescent="0.2">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c r="AW430" s="233"/>
      <c r="AX430" s="233"/>
      <c r="AY430" s="233"/>
      <c r="AZ430" s="233"/>
      <c r="BA430" s="233"/>
      <c r="BB430" s="233"/>
      <c r="BC430" s="233"/>
      <c r="BD430" s="233"/>
      <c r="BE430" s="233"/>
      <c r="BF430" s="233"/>
      <c r="BG430" s="233"/>
      <c r="BH430" s="233"/>
      <c r="BI430" s="233"/>
      <c r="BJ430" s="233"/>
      <c r="BK430" s="233"/>
      <c r="BL430" s="233"/>
      <c r="BM430" s="233"/>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33"/>
      <c r="CI430" s="233"/>
      <c r="CJ430" s="233"/>
      <c r="CK430" s="233"/>
      <c r="CL430" s="233"/>
      <c r="CM430" s="233"/>
      <c r="CN430" s="233"/>
      <c r="CO430" s="233"/>
      <c r="CP430" s="233"/>
      <c r="CQ430" s="233"/>
      <c r="CR430" s="233"/>
      <c r="CS430" s="233"/>
      <c r="CT430" s="233"/>
      <c r="CU430" s="233"/>
      <c r="CV430" s="233"/>
      <c r="CW430" s="233"/>
      <c r="CX430" s="233"/>
      <c r="CY430" s="233"/>
      <c r="CZ430" s="233"/>
      <c r="DA430" s="233"/>
      <c r="DB430" s="233"/>
      <c r="DC430" s="233"/>
      <c r="DD430" s="233"/>
      <c r="DE430" s="233"/>
      <c r="DF430" s="233"/>
      <c r="DG430" s="233"/>
      <c r="DH430" s="233"/>
      <c r="DI430" s="233"/>
      <c r="DJ430" s="233"/>
      <c r="DK430" s="233"/>
      <c r="DL430" s="233"/>
      <c r="DM430" s="233"/>
      <c r="DN430" s="233"/>
      <c r="DO430" s="233"/>
      <c r="DP430" s="233"/>
      <c r="DQ430" s="233"/>
      <c r="DR430" s="233"/>
      <c r="DS430" s="233"/>
      <c r="DT430" s="233"/>
      <c r="DU430" s="233"/>
      <c r="DV430" s="233"/>
      <c r="DW430" s="233"/>
      <c r="DX430" s="233"/>
      <c r="DY430" s="233"/>
      <c r="DZ430" s="233"/>
      <c r="EA430" s="233"/>
      <c r="EB430" s="233"/>
      <c r="EC430" s="233"/>
      <c r="ED430" s="233"/>
      <c r="EE430" s="233"/>
      <c r="EF430" s="233"/>
      <c r="EG430" s="233"/>
      <c r="EH430" s="233"/>
      <c r="EI430" s="233"/>
      <c r="EJ430" s="233"/>
      <c r="EK430" s="233"/>
      <c r="EL430" s="233"/>
      <c r="EM430" s="233"/>
      <c r="EN430" s="233"/>
      <c r="EO430" s="233"/>
      <c r="EP430" s="233"/>
    </row>
    <row r="431" spans="1:146" ht="14.25" x14ac:dyDescent="0.2">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33"/>
      <c r="CI431" s="233"/>
      <c r="CJ431" s="233"/>
      <c r="CK431" s="233"/>
      <c r="CL431" s="233"/>
      <c r="CM431" s="233"/>
      <c r="CN431" s="233"/>
      <c r="CO431" s="233"/>
      <c r="CP431" s="233"/>
      <c r="CQ431" s="233"/>
      <c r="CR431" s="233"/>
      <c r="CS431" s="233"/>
      <c r="CT431" s="233"/>
      <c r="CU431" s="233"/>
      <c r="CV431" s="233"/>
      <c r="CW431" s="233"/>
      <c r="CX431" s="233"/>
      <c r="CY431" s="233"/>
      <c r="CZ431" s="233"/>
      <c r="DA431" s="233"/>
      <c r="DB431" s="233"/>
      <c r="DC431" s="233"/>
      <c r="DD431" s="233"/>
      <c r="DE431" s="233"/>
      <c r="DF431" s="233"/>
      <c r="DG431" s="233"/>
      <c r="DH431" s="233"/>
      <c r="DI431" s="233"/>
      <c r="DJ431" s="233"/>
      <c r="DK431" s="233"/>
      <c r="DL431" s="233"/>
      <c r="DM431" s="233"/>
      <c r="DN431" s="233"/>
      <c r="DO431" s="233"/>
      <c r="DP431" s="233"/>
      <c r="DQ431" s="233"/>
      <c r="DR431" s="233"/>
      <c r="DS431" s="233"/>
      <c r="DT431" s="233"/>
      <c r="DU431" s="233"/>
      <c r="DV431" s="233"/>
      <c r="DW431" s="233"/>
      <c r="DX431" s="233"/>
      <c r="DY431" s="233"/>
      <c r="DZ431" s="233"/>
      <c r="EA431" s="233"/>
      <c r="EB431" s="233"/>
      <c r="EC431" s="233"/>
      <c r="ED431" s="233"/>
      <c r="EE431" s="233"/>
      <c r="EF431" s="233"/>
      <c r="EG431" s="233"/>
      <c r="EH431" s="233"/>
      <c r="EI431" s="233"/>
      <c r="EJ431" s="233"/>
      <c r="EK431" s="233"/>
      <c r="EL431" s="233"/>
      <c r="EM431" s="233"/>
      <c r="EN431" s="233"/>
      <c r="EO431" s="233"/>
      <c r="EP431" s="233"/>
    </row>
    <row r="432" spans="1:146" ht="14.25" x14ac:dyDescent="0.2">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row>
    <row r="433" spans="1:146" ht="14.25" x14ac:dyDescent="0.2">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33"/>
      <c r="CI433" s="233"/>
      <c r="CJ433" s="233"/>
      <c r="CK433" s="233"/>
      <c r="CL433" s="233"/>
      <c r="CM433" s="233"/>
      <c r="CN433" s="233"/>
      <c r="CO433" s="233"/>
      <c r="CP433" s="233"/>
      <c r="CQ433" s="233"/>
      <c r="CR433" s="233"/>
      <c r="CS433" s="233"/>
      <c r="CT433" s="233"/>
      <c r="CU433" s="233"/>
      <c r="CV433" s="233"/>
      <c r="CW433" s="233"/>
      <c r="CX433" s="233"/>
      <c r="CY433" s="233"/>
      <c r="CZ433" s="233"/>
      <c r="DA433" s="233"/>
      <c r="DB433" s="233"/>
      <c r="DC433" s="233"/>
      <c r="DD433" s="233"/>
      <c r="DE433" s="233"/>
      <c r="DF433" s="233"/>
      <c r="DG433" s="233"/>
      <c r="DH433" s="233"/>
      <c r="DI433" s="233"/>
      <c r="DJ433" s="233"/>
      <c r="DK433" s="233"/>
      <c r="DL433" s="233"/>
      <c r="DM433" s="233"/>
      <c r="DN433" s="233"/>
      <c r="DO433" s="233"/>
      <c r="DP433" s="233"/>
      <c r="DQ433" s="233"/>
      <c r="DR433" s="233"/>
      <c r="DS433" s="233"/>
      <c r="DT433" s="233"/>
      <c r="DU433" s="233"/>
      <c r="DV433" s="233"/>
      <c r="DW433" s="233"/>
      <c r="DX433" s="233"/>
      <c r="DY433" s="233"/>
      <c r="DZ433" s="233"/>
      <c r="EA433" s="233"/>
      <c r="EB433" s="233"/>
      <c r="EC433" s="233"/>
      <c r="ED433" s="233"/>
      <c r="EE433" s="233"/>
      <c r="EF433" s="233"/>
      <c r="EG433" s="233"/>
      <c r="EH433" s="233"/>
      <c r="EI433" s="233"/>
      <c r="EJ433" s="233"/>
      <c r="EK433" s="233"/>
      <c r="EL433" s="233"/>
      <c r="EM433" s="233"/>
      <c r="EN433" s="233"/>
      <c r="EO433" s="233"/>
      <c r="EP433" s="233"/>
    </row>
    <row r="434" spans="1:146" ht="14.25" x14ac:dyDescent="0.2">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c r="AW434" s="233"/>
      <c r="AX434" s="233"/>
      <c r="AY434" s="233"/>
      <c r="AZ434" s="233"/>
      <c r="BA434" s="233"/>
      <c r="BB434" s="233"/>
      <c r="BC434" s="233"/>
      <c r="BD434" s="233"/>
      <c r="BE434" s="233"/>
      <c r="BF434" s="233"/>
      <c r="BG434" s="233"/>
      <c r="BH434" s="233"/>
      <c r="BI434" s="233"/>
      <c r="BJ434" s="233"/>
      <c r="BK434" s="233"/>
      <c r="BL434" s="233"/>
      <c r="BM434" s="233"/>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33"/>
      <c r="CI434" s="233"/>
      <c r="CJ434" s="233"/>
      <c r="CK434" s="233"/>
      <c r="CL434" s="233"/>
      <c r="CM434" s="233"/>
      <c r="CN434" s="233"/>
      <c r="CO434" s="233"/>
      <c r="CP434" s="233"/>
      <c r="CQ434" s="233"/>
      <c r="CR434" s="233"/>
      <c r="CS434" s="233"/>
      <c r="CT434" s="233"/>
      <c r="CU434" s="233"/>
      <c r="CV434" s="233"/>
      <c r="CW434" s="233"/>
      <c r="CX434" s="233"/>
      <c r="CY434" s="233"/>
      <c r="CZ434" s="233"/>
      <c r="DA434" s="233"/>
      <c r="DB434" s="233"/>
      <c r="DC434" s="233"/>
      <c r="DD434" s="233"/>
      <c r="DE434" s="233"/>
      <c r="DF434" s="233"/>
      <c r="DG434" s="233"/>
      <c r="DH434" s="233"/>
      <c r="DI434" s="233"/>
      <c r="DJ434" s="233"/>
      <c r="DK434" s="233"/>
      <c r="DL434" s="233"/>
      <c r="DM434" s="233"/>
      <c r="DN434" s="233"/>
      <c r="DO434" s="233"/>
      <c r="DP434" s="233"/>
      <c r="DQ434" s="233"/>
      <c r="DR434" s="233"/>
      <c r="DS434" s="233"/>
      <c r="DT434" s="233"/>
      <c r="DU434" s="233"/>
      <c r="DV434" s="233"/>
      <c r="DW434" s="233"/>
      <c r="DX434" s="233"/>
      <c r="DY434" s="233"/>
      <c r="DZ434" s="233"/>
      <c r="EA434" s="233"/>
      <c r="EB434" s="233"/>
      <c r="EC434" s="233"/>
      <c r="ED434" s="233"/>
      <c r="EE434" s="233"/>
      <c r="EF434" s="233"/>
      <c r="EG434" s="233"/>
      <c r="EH434" s="233"/>
      <c r="EI434" s="233"/>
      <c r="EJ434" s="233"/>
      <c r="EK434" s="233"/>
      <c r="EL434" s="233"/>
      <c r="EM434" s="233"/>
      <c r="EN434" s="233"/>
      <c r="EO434" s="233"/>
      <c r="EP434" s="233"/>
    </row>
    <row r="435" spans="1:146" ht="14.25" x14ac:dyDescent="0.2">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row>
    <row r="436" spans="1:146" ht="14.25" x14ac:dyDescent="0.2">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33"/>
      <c r="CI436" s="233"/>
      <c r="CJ436" s="233"/>
      <c r="CK436" s="233"/>
      <c r="CL436" s="233"/>
      <c r="CM436" s="233"/>
      <c r="CN436" s="233"/>
      <c r="CO436" s="233"/>
      <c r="CP436" s="233"/>
      <c r="CQ436" s="233"/>
      <c r="CR436" s="233"/>
      <c r="CS436" s="233"/>
      <c r="CT436" s="233"/>
      <c r="CU436" s="233"/>
      <c r="CV436" s="233"/>
      <c r="CW436" s="233"/>
      <c r="CX436" s="233"/>
      <c r="CY436" s="233"/>
      <c r="CZ436" s="233"/>
      <c r="DA436" s="233"/>
      <c r="DB436" s="233"/>
      <c r="DC436" s="233"/>
      <c r="DD436" s="233"/>
      <c r="DE436" s="233"/>
      <c r="DF436" s="233"/>
      <c r="DG436" s="233"/>
      <c r="DH436" s="233"/>
      <c r="DI436" s="233"/>
      <c r="DJ436" s="233"/>
      <c r="DK436" s="233"/>
      <c r="DL436" s="233"/>
      <c r="DM436" s="233"/>
      <c r="DN436" s="233"/>
      <c r="DO436" s="233"/>
      <c r="DP436" s="233"/>
      <c r="DQ436" s="233"/>
      <c r="DR436" s="233"/>
      <c r="DS436" s="233"/>
      <c r="DT436" s="233"/>
      <c r="DU436" s="233"/>
      <c r="DV436" s="233"/>
      <c r="DW436" s="233"/>
      <c r="DX436" s="233"/>
      <c r="DY436" s="233"/>
      <c r="DZ436" s="233"/>
      <c r="EA436" s="233"/>
      <c r="EB436" s="233"/>
      <c r="EC436" s="233"/>
      <c r="ED436" s="233"/>
      <c r="EE436" s="233"/>
      <c r="EF436" s="233"/>
      <c r="EG436" s="233"/>
      <c r="EH436" s="233"/>
      <c r="EI436" s="233"/>
      <c r="EJ436" s="233"/>
      <c r="EK436" s="233"/>
      <c r="EL436" s="233"/>
      <c r="EM436" s="233"/>
      <c r="EN436" s="233"/>
      <c r="EO436" s="233"/>
      <c r="EP436" s="233"/>
    </row>
    <row r="437" spans="1:146" ht="14.25" x14ac:dyDescent="0.2">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33"/>
      <c r="CI437" s="233"/>
      <c r="CJ437" s="233"/>
      <c r="CK437" s="233"/>
      <c r="CL437" s="233"/>
      <c r="CM437" s="233"/>
      <c r="CN437" s="233"/>
      <c r="CO437" s="233"/>
      <c r="CP437" s="233"/>
      <c r="CQ437" s="233"/>
      <c r="CR437" s="233"/>
      <c r="CS437" s="233"/>
      <c r="CT437" s="233"/>
      <c r="CU437" s="233"/>
      <c r="CV437" s="233"/>
      <c r="CW437" s="233"/>
      <c r="CX437" s="233"/>
      <c r="CY437" s="233"/>
      <c r="CZ437" s="233"/>
      <c r="DA437" s="233"/>
      <c r="DB437" s="233"/>
      <c r="DC437" s="233"/>
      <c r="DD437" s="233"/>
      <c r="DE437" s="233"/>
      <c r="DF437" s="233"/>
      <c r="DG437" s="233"/>
      <c r="DH437" s="233"/>
      <c r="DI437" s="233"/>
      <c r="DJ437" s="233"/>
      <c r="DK437" s="233"/>
      <c r="DL437" s="233"/>
      <c r="DM437" s="233"/>
      <c r="DN437" s="233"/>
      <c r="DO437" s="233"/>
      <c r="DP437" s="233"/>
      <c r="DQ437" s="233"/>
      <c r="DR437" s="233"/>
      <c r="DS437" s="233"/>
      <c r="DT437" s="233"/>
      <c r="DU437" s="233"/>
      <c r="DV437" s="233"/>
      <c r="DW437" s="233"/>
      <c r="DX437" s="233"/>
      <c r="DY437" s="233"/>
      <c r="DZ437" s="233"/>
      <c r="EA437" s="233"/>
      <c r="EB437" s="233"/>
      <c r="EC437" s="233"/>
      <c r="ED437" s="233"/>
      <c r="EE437" s="233"/>
      <c r="EF437" s="233"/>
      <c r="EG437" s="233"/>
      <c r="EH437" s="233"/>
      <c r="EI437" s="233"/>
      <c r="EJ437" s="233"/>
      <c r="EK437" s="233"/>
      <c r="EL437" s="233"/>
      <c r="EM437" s="233"/>
      <c r="EN437" s="233"/>
      <c r="EO437" s="233"/>
      <c r="EP437" s="233"/>
    </row>
    <row r="438" spans="1:146" ht="14.25" x14ac:dyDescent="0.2">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row>
    <row r="439" spans="1:146" ht="14.25" x14ac:dyDescent="0.2">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33"/>
      <c r="CN439" s="233"/>
      <c r="CO439" s="233"/>
      <c r="CP439" s="233"/>
      <c r="CQ439" s="233"/>
      <c r="CR439" s="233"/>
      <c r="CS439" s="233"/>
      <c r="CT439" s="233"/>
      <c r="CU439" s="233"/>
      <c r="CV439" s="233"/>
      <c r="CW439" s="233"/>
      <c r="CX439" s="233"/>
      <c r="CY439" s="233"/>
      <c r="CZ439" s="233"/>
      <c r="DA439" s="233"/>
      <c r="DB439" s="233"/>
      <c r="DC439" s="233"/>
      <c r="DD439" s="233"/>
      <c r="DE439" s="233"/>
      <c r="DF439" s="233"/>
      <c r="DG439" s="233"/>
      <c r="DH439" s="233"/>
      <c r="DI439" s="233"/>
      <c r="DJ439" s="233"/>
      <c r="DK439" s="233"/>
      <c r="DL439" s="233"/>
      <c r="DM439" s="233"/>
      <c r="DN439" s="233"/>
      <c r="DO439" s="233"/>
      <c r="DP439" s="233"/>
      <c r="DQ439" s="233"/>
      <c r="DR439" s="233"/>
      <c r="DS439" s="233"/>
      <c r="DT439" s="233"/>
      <c r="DU439" s="233"/>
      <c r="DV439" s="233"/>
      <c r="DW439" s="233"/>
      <c r="DX439" s="233"/>
      <c r="DY439" s="233"/>
      <c r="DZ439" s="233"/>
      <c r="EA439" s="233"/>
      <c r="EB439" s="233"/>
      <c r="EC439" s="233"/>
      <c r="ED439" s="233"/>
      <c r="EE439" s="233"/>
      <c r="EF439" s="233"/>
      <c r="EG439" s="233"/>
      <c r="EH439" s="233"/>
      <c r="EI439" s="233"/>
      <c r="EJ439" s="233"/>
      <c r="EK439" s="233"/>
      <c r="EL439" s="233"/>
      <c r="EM439" s="233"/>
      <c r="EN439" s="233"/>
      <c r="EO439" s="233"/>
      <c r="EP439" s="233"/>
    </row>
    <row r="440" spans="1:146" ht="14.25" x14ac:dyDescent="0.2">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row>
    <row r="441" spans="1:146" ht="14.25" x14ac:dyDescent="0.2">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233"/>
      <c r="BE441" s="233"/>
      <c r="BF441" s="233"/>
      <c r="BG441" s="233"/>
      <c r="BH441" s="233"/>
      <c r="BI441" s="233"/>
      <c r="BJ441" s="233"/>
      <c r="BK441" s="233"/>
      <c r="BL441" s="233"/>
      <c r="BM441" s="233"/>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33"/>
      <c r="CI441" s="233"/>
      <c r="CJ441" s="233"/>
      <c r="CK441" s="233"/>
      <c r="CL441" s="233"/>
      <c r="CM441" s="233"/>
      <c r="CN441" s="233"/>
      <c r="CO441" s="233"/>
      <c r="CP441" s="233"/>
      <c r="CQ441" s="233"/>
      <c r="CR441" s="233"/>
      <c r="CS441" s="233"/>
      <c r="CT441" s="233"/>
      <c r="CU441" s="233"/>
      <c r="CV441" s="233"/>
      <c r="CW441" s="233"/>
      <c r="CX441" s="233"/>
      <c r="CY441" s="233"/>
      <c r="CZ441" s="233"/>
      <c r="DA441" s="233"/>
      <c r="DB441" s="233"/>
      <c r="DC441" s="233"/>
      <c r="DD441" s="233"/>
      <c r="DE441" s="233"/>
      <c r="DF441" s="233"/>
      <c r="DG441" s="233"/>
      <c r="DH441" s="233"/>
      <c r="DI441" s="233"/>
      <c r="DJ441" s="233"/>
      <c r="DK441" s="233"/>
      <c r="DL441" s="233"/>
      <c r="DM441" s="233"/>
      <c r="DN441" s="233"/>
      <c r="DO441" s="233"/>
      <c r="DP441" s="233"/>
      <c r="DQ441" s="233"/>
      <c r="DR441" s="233"/>
      <c r="DS441" s="233"/>
      <c r="DT441" s="233"/>
      <c r="DU441" s="233"/>
      <c r="DV441" s="233"/>
      <c r="DW441" s="233"/>
      <c r="DX441" s="233"/>
      <c r="DY441" s="233"/>
      <c r="DZ441" s="233"/>
      <c r="EA441" s="233"/>
      <c r="EB441" s="233"/>
      <c r="EC441" s="233"/>
      <c r="ED441" s="233"/>
      <c r="EE441" s="233"/>
      <c r="EF441" s="233"/>
      <c r="EG441" s="233"/>
      <c r="EH441" s="233"/>
      <c r="EI441" s="233"/>
      <c r="EJ441" s="233"/>
      <c r="EK441" s="233"/>
      <c r="EL441" s="233"/>
      <c r="EM441" s="233"/>
      <c r="EN441" s="233"/>
      <c r="EO441" s="233"/>
      <c r="EP441" s="233"/>
    </row>
    <row r="442" spans="1:146" ht="14.25" x14ac:dyDescent="0.2">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row>
    <row r="443" spans="1:146" ht="14.25" x14ac:dyDescent="0.2">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row>
    <row r="444" spans="1:146" ht="14.25" x14ac:dyDescent="0.2">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row>
    <row r="445" spans="1:146" ht="14.25" x14ac:dyDescent="0.2">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233"/>
      <c r="BE445" s="233"/>
      <c r="BF445" s="233"/>
      <c r="BG445" s="233"/>
      <c r="BH445" s="233"/>
      <c r="BI445" s="233"/>
      <c r="BJ445" s="233"/>
      <c r="BK445" s="233"/>
      <c r="BL445" s="233"/>
      <c r="BM445" s="233"/>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33"/>
      <c r="CI445" s="233"/>
      <c r="CJ445" s="233"/>
      <c r="CK445" s="233"/>
      <c r="CL445" s="233"/>
      <c r="CM445" s="233"/>
      <c r="CN445" s="233"/>
      <c r="CO445" s="233"/>
      <c r="CP445" s="233"/>
      <c r="CQ445" s="233"/>
      <c r="CR445" s="233"/>
      <c r="CS445" s="233"/>
      <c r="CT445" s="233"/>
      <c r="CU445" s="233"/>
      <c r="CV445" s="233"/>
      <c r="CW445" s="233"/>
      <c r="CX445" s="233"/>
      <c r="CY445" s="233"/>
      <c r="CZ445" s="233"/>
      <c r="DA445" s="233"/>
      <c r="DB445" s="233"/>
      <c r="DC445" s="233"/>
      <c r="DD445" s="233"/>
      <c r="DE445" s="233"/>
      <c r="DF445" s="233"/>
      <c r="DG445" s="233"/>
      <c r="DH445" s="233"/>
      <c r="DI445" s="233"/>
      <c r="DJ445" s="233"/>
      <c r="DK445" s="233"/>
      <c r="DL445" s="233"/>
      <c r="DM445" s="233"/>
      <c r="DN445" s="233"/>
      <c r="DO445" s="233"/>
      <c r="DP445" s="233"/>
      <c r="DQ445" s="233"/>
      <c r="DR445" s="233"/>
      <c r="DS445" s="233"/>
      <c r="DT445" s="233"/>
      <c r="DU445" s="233"/>
      <c r="DV445" s="233"/>
      <c r="DW445" s="233"/>
      <c r="DX445" s="233"/>
      <c r="DY445" s="233"/>
      <c r="DZ445" s="233"/>
      <c r="EA445" s="233"/>
      <c r="EB445" s="233"/>
      <c r="EC445" s="233"/>
      <c r="ED445" s="233"/>
      <c r="EE445" s="233"/>
      <c r="EF445" s="233"/>
      <c r="EG445" s="233"/>
      <c r="EH445" s="233"/>
      <c r="EI445" s="233"/>
      <c r="EJ445" s="233"/>
      <c r="EK445" s="233"/>
      <c r="EL445" s="233"/>
      <c r="EM445" s="233"/>
      <c r="EN445" s="233"/>
      <c r="EO445" s="233"/>
      <c r="EP445" s="233"/>
    </row>
    <row r="446" spans="1:146" ht="14.25" x14ac:dyDescent="0.2">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233"/>
      <c r="BE446" s="233"/>
      <c r="BF446" s="233"/>
      <c r="BG446" s="233"/>
      <c r="BH446" s="233"/>
      <c r="BI446" s="233"/>
      <c r="BJ446" s="233"/>
      <c r="BK446" s="233"/>
      <c r="BL446" s="233"/>
      <c r="BM446" s="233"/>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33"/>
      <c r="CI446" s="233"/>
      <c r="CJ446" s="233"/>
      <c r="CK446" s="233"/>
      <c r="CL446" s="233"/>
      <c r="CM446" s="233"/>
      <c r="CN446" s="233"/>
      <c r="CO446" s="233"/>
      <c r="CP446" s="233"/>
      <c r="CQ446" s="233"/>
      <c r="CR446" s="233"/>
      <c r="CS446" s="233"/>
      <c r="CT446" s="233"/>
      <c r="CU446" s="233"/>
      <c r="CV446" s="233"/>
      <c r="CW446" s="233"/>
      <c r="CX446" s="233"/>
      <c r="CY446" s="233"/>
      <c r="CZ446" s="233"/>
      <c r="DA446" s="233"/>
      <c r="DB446" s="233"/>
      <c r="DC446" s="233"/>
      <c r="DD446" s="233"/>
      <c r="DE446" s="233"/>
      <c r="DF446" s="233"/>
      <c r="DG446" s="233"/>
      <c r="DH446" s="233"/>
      <c r="DI446" s="233"/>
      <c r="DJ446" s="233"/>
      <c r="DK446" s="233"/>
      <c r="DL446" s="233"/>
      <c r="DM446" s="233"/>
      <c r="DN446" s="233"/>
      <c r="DO446" s="233"/>
      <c r="DP446" s="233"/>
      <c r="DQ446" s="233"/>
      <c r="DR446" s="233"/>
      <c r="DS446" s="233"/>
      <c r="DT446" s="233"/>
      <c r="DU446" s="233"/>
      <c r="DV446" s="233"/>
      <c r="DW446" s="233"/>
      <c r="DX446" s="233"/>
      <c r="DY446" s="233"/>
      <c r="DZ446" s="233"/>
      <c r="EA446" s="233"/>
      <c r="EB446" s="233"/>
      <c r="EC446" s="233"/>
      <c r="ED446" s="233"/>
      <c r="EE446" s="233"/>
      <c r="EF446" s="233"/>
      <c r="EG446" s="233"/>
      <c r="EH446" s="233"/>
      <c r="EI446" s="233"/>
      <c r="EJ446" s="233"/>
      <c r="EK446" s="233"/>
      <c r="EL446" s="233"/>
      <c r="EM446" s="233"/>
      <c r="EN446" s="233"/>
      <c r="EO446" s="233"/>
      <c r="EP446" s="233"/>
    </row>
    <row r="447" spans="1:146" ht="14.25" x14ac:dyDescent="0.2">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3"/>
      <c r="CK447" s="233"/>
      <c r="CL447" s="233"/>
      <c r="CM447" s="233"/>
      <c r="CN447" s="233"/>
      <c r="CO447" s="233"/>
      <c r="CP447" s="233"/>
      <c r="CQ447" s="233"/>
      <c r="CR447" s="233"/>
      <c r="CS447" s="233"/>
      <c r="CT447" s="233"/>
      <c r="CU447" s="233"/>
      <c r="CV447" s="233"/>
      <c r="CW447" s="233"/>
      <c r="CX447" s="233"/>
      <c r="CY447" s="233"/>
      <c r="CZ447" s="233"/>
      <c r="DA447" s="233"/>
      <c r="DB447" s="233"/>
      <c r="DC447" s="233"/>
      <c r="DD447" s="233"/>
      <c r="DE447" s="233"/>
      <c r="DF447" s="233"/>
      <c r="DG447" s="233"/>
      <c r="DH447" s="233"/>
      <c r="DI447" s="233"/>
      <c r="DJ447" s="233"/>
      <c r="DK447" s="233"/>
      <c r="DL447" s="233"/>
      <c r="DM447" s="233"/>
      <c r="DN447" s="233"/>
      <c r="DO447" s="233"/>
      <c r="DP447" s="233"/>
      <c r="DQ447" s="233"/>
      <c r="DR447" s="233"/>
      <c r="DS447" s="233"/>
      <c r="DT447" s="233"/>
      <c r="DU447" s="233"/>
      <c r="DV447" s="233"/>
      <c r="DW447" s="233"/>
      <c r="DX447" s="233"/>
      <c r="DY447" s="233"/>
      <c r="DZ447" s="233"/>
      <c r="EA447" s="233"/>
      <c r="EB447" s="233"/>
      <c r="EC447" s="233"/>
      <c r="ED447" s="233"/>
      <c r="EE447" s="233"/>
      <c r="EF447" s="233"/>
      <c r="EG447" s="233"/>
      <c r="EH447" s="233"/>
      <c r="EI447" s="233"/>
      <c r="EJ447" s="233"/>
      <c r="EK447" s="233"/>
      <c r="EL447" s="233"/>
      <c r="EM447" s="233"/>
      <c r="EN447" s="233"/>
      <c r="EO447" s="233"/>
      <c r="EP447" s="233"/>
    </row>
    <row r="448" spans="1:146" ht="14.25" x14ac:dyDescent="0.2">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233"/>
      <c r="BE448" s="233"/>
      <c r="BF448" s="233"/>
      <c r="BG448" s="233"/>
      <c r="BH448" s="233"/>
      <c r="BI448" s="233"/>
      <c r="BJ448" s="233"/>
      <c r="BK448" s="233"/>
      <c r="BL448" s="233"/>
      <c r="BM448" s="233"/>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33"/>
      <c r="CI448" s="233"/>
      <c r="CJ448" s="233"/>
      <c r="CK448" s="233"/>
      <c r="CL448" s="233"/>
      <c r="CM448" s="233"/>
      <c r="CN448" s="233"/>
      <c r="CO448" s="233"/>
      <c r="CP448" s="233"/>
      <c r="CQ448" s="233"/>
      <c r="CR448" s="233"/>
      <c r="CS448" s="233"/>
      <c r="CT448" s="233"/>
      <c r="CU448" s="233"/>
      <c r="CV448" s="233"/>
      <c r="CW448" s="233"/>
      <c r="CX448" s="233"/>
      <c r="CY448" s="233"/>
      <c r="CZ448" s="233"/>
      <c r="DA448" s="233"/>
      <c r="DB448" s="233"/>
      <c r="DC448" s="233"/>
      <c r="DD448" s="233"/>
      <c r="DE448" s="233"/>
      <c r="DF448" s="233"/>
      <c r="DG448" s="233"/>
      <c r="DH448" s="233"/>
      <c r="DI448" s="233"/>
      <c r="DJ448" s="233"/>
      <c r="DK448" s="233"/>
      <c r="DL448" s="233"/>
      <c r="DM448" s="233"/>
      <c r="DN448" s="233"/>
      <c r="DO448" s="233"/>
      <c r="DP448" s="233"/>
      <c r="DQ448" s="233"/>
      <c r="DR448" s="233"/>
      <c r="DS448" s="233"/>
      <c r="DT448" s="233"/>
      <c r="DU448" s="233"/>
      <c r="DV448" s="233"/>
      <c r="DW448" s="233"/>
      <c r="DX448" s="233"/>
      <c r="DY448" s="233"/>
      <c r="DZ448" s="233"/>
      <c r="EA448" s="233"/>
      <c r="EB448" s="233"/>
      <c r="EC448" s="233"/>
      <c r="ED448" s="233"/>
      <c r="EE448" s="233"/>
      <c r="EF448" s="233"/>
      <c r="EG448" s="233"/>
      <c r="EH448" s="233"/>
      <c r="EI448" s="233"/>
      <c r="EJ448" s="233"/>
      <c r="EK448" s="233"/>
      <c r="EL448" s="233"/>
      <c r="EM448" s="233"/>
      <c r="EN448" s="233"/>
      <c r="EO448" s="233"/>
      <c r="EP448" s="233"/>
    </row>
    <row r="449" spans="1:146" ht="14.25" x14ac:dyDescent="0.2">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233"/>
      <c r="BE449" s="233"/>
      <c r="BF449" s="233"/>
      <c r="BG449" s="233"/>
      <c r="BH449" s="233"/>
      <c r="BI449" s="233"/>
      <c r="BJ449" s="233"/>
      <c r="BK449" s="233"/>
      <c r="BL449" s="233"/>
      <c r="BM449" s="233"/>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33"/>
      <c r="CI449" s="233"/>
      <c r="CJ449" s="233"/>
      <c r="CK449" s="233"/>
      <c r="CL449" s="233"/>
      <c r="CM449" s="233"/>
      <c r="CN449" s="233"/>
      <c r="CO449" s="233"/>
      <c r="CP449" s="233"/>
      <c r="CQ449" s="233"/>
      <c r="CR449" s="233"/>
      <c r="CS449" s="233"/>
      <c r="CT449" s="233"/>
      <c r="CU449" s="233"/>
      <c r="CV449" s="233"/>
      <c r="CW449" s="233"/>
      <c r="CX449" s="233"/>
      <c r="CY449" s="233"/>
      <c r="CZ449" s="233"/>
      <c r="DA449" s="233"/>
      <c r="DB449" s="233"/>
      <c r="DC449" s="233"/>
      <c r="DD449" s="233"/>
      <c r="DE449" s="233"/>
      <c r="DF449" s="233"/>
      <c r="DG449" s="233"/>
      <c r="DH449" s="233"/>
      <c r="DI449" s="233"/>
      <c r="DJ449" s="233"/>
      <c r="DK449" s="233"/>
      <c r="DL449" s="233"/>
      <c r="DM449" s="233"/>
      <c r="DN449" s="233"/>
      <c r="DO449" s="233"/>
      <c r="DP449" s="233"/>
      <c r="DQ449" s="233"/>
      <c r="DR449" s="233"/>
      <c r="DS449" s="233"/>
      <c r="DT449" s="233"/>
      <c r="DU449" s="233"/>
      <c r="DV449" s="233"/>
      <c r="DW449" s="233"/>
      <c r="DX449" s="233"/>
      <c r="DY449" s="233"/>
      <c r="DZ449" s="233"/>
      <c r="EA449" s="233"/>
      <c r="EB449" s="233"/>
      <c r="EC449" s="233"/>
      <c r="ED449" s="233"/>
      <c r="EE449" s="233"/>
      <c r="EF449" s="233"/>
      <c r="EG449" s="233"/>
      <c r="EH449" s="233"/>
      <c r="EI449" s="233"/>
      <c r="EJ449" s="233"/>
      <c r="EK449" s="233"/>
      <c r="EL449" s="233"/>
      <c r="EM449" s="233"/>
      <c r="EN449" s="233"/>
      <c r="EO449" s="233"/>
      <c r="EP449" s="233"/>
    </row>
    <row r="450" spans="1:146" ht="14.25" x14ac:dyDescent="0.2">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233"/>
      <c r="BE450" s="233"/>
      <c r="BF450" s="233"/>
      <c r="BG450" s="233"/>
      <c r="BH450" s="233"/>
      <c r="BI450" s="233"/>
      <c r="BJ450" s="233"/>
      <c r="BK450" s="233"/>
      <c r="BL450" s="233"/>
      <c r="BM450" s="233"/>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33"/>
      <c r="CI450" s="233"/>
      <c r="CJ450" s="233"/>
      <c r="CK450" s="233"/>
      <c r="CL450" s="233"/>
      <c r="CM450" s="233"/>
      <c r="CN450" s="233"/>
      <c r="CO450" s="233"/>
      <c r="CP450" s="233"/>
      <c r="CQ450" s="233"/>
      <c r="CR450" s="233"/>
      <c r="CS450" s="233"/>
      <c r="CT450" s="233"/>
      <c r="CU450" s="233"/>
      <c r="CV450" s="233"/>
      <c r="CW450" s="233"/>
      <c r="CX450" s="233"/>
      <c r="CY450" s="233"/>
      <c r="CZ450" s="233"/>
      <c r="DA450" s="233"/>
      <c r="DB450" s="233"/>
      <c r="DC450" s="233"/>
      <c r="DD450" s="233"/>
      <c r="DE450" s="233"/>
      <c r="DF450" s="233"/>
      <c r="DG450" s="233"/>
      <c r="DH450" s="233"/>
      <c r="DI450" s="233"/>
      <c r="DJ450" s="233"/>
      <c r="DK450" s="233"/>
      <c r="DL450" s="233"/>
      <c r="DM450" s="233"/>
      <c r="DN450" s="233"/>
      <c r="DO450" s="233"/>
      <c r="DP450" s="233"/>
      <c r="DQ450" s="233"/>
      <c r="DR450" s="233"/>
      <c r="DS450" s="233"/>
      <c r="DT450" s="233"/>
      <c r="DU450" s="233"/>
      <c r="DV450" s="233"/>
      <c r="DW450" s="233"/>
      <c r="DX450" s="233"/>
      <c r="DY450" s="233"/>
      <c r="DZ450" s="233"/>
      <c r="EA450" s="233"/>
      <c r="EB450" s="233"/>
      <c r="EC450" s="233"/>
      <c r="ED450" s="233"/>
      <c r="EE450" s="233"/>
      <c r="EF450" s="233"/>
      <c r="EG450" s="233"/>
      <c r="EH450" s="233"/>
      <c r="EI450" s="233"/>
      <c r="EJ450" s="233"/>
      <c r="EK450" s="233"/>
      <c r="EL450" s="233"/>
      <c r="EM450" s="233"/>
      <c r="EN450" s="233"/>
      <c r="EO450" s="233"/>
      <c r="EP450" s="233"/>
    </row>
    <row r="451" spans="1:146" ht="14.25" x14ac:dyDescent="0.2">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233"/>
      <c r="BE451" s="233"/>
      <c r="BF451" s="233"/>
      <c r="BG451" s="233"/>
      <c r="BH451" s="233"/>
      <c r="BI451" s="233"/>
      <c r="BJ451" s="233"/>
      <c r="BK451" s="233"/>
      <c r="BL451" s="233"/>
      <c r="BM451" s="233"/>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33"/>
      <c r="CI451" s="233"/>
      <c r="CJ451" s="233"/>
      <c r="CK451" s="233"/>
      <c r="CL451" s="233"/>
      <c r="CM451" s="233"/>
      <c r="CN451" s="233"/>
      <c r="CO451" s="233"/>
      <c r="CP451" s="233"/>
      <c r="CQ451" s="233"/>
      <c r="CR451" s="233"/>
      <c r="CS451" s="233"/>
      <c r="CT451" s="233"/>
      <c r="CU451" s="233"/>
      <c r="CV451" s="233"/>
      <c r="CW451" s="233"/>
      <c r="CX451" s="233"/>
      <c r="CY451" s="233"/>
      <c r="CZ451" s="233"/>
      <c r="DA451" s="233"/>
      <c r="DB451" s="233"/>
      <c r="DC451" s="233"/>
      <c r="DD451" s="233"/>
      <c r="DE451" s="233"/>
      <c r="DF451" s="233"/>
      <c r="DG451" s="233"/>
      <c r="DH451" s="233"/>
      <c r="DI451" s="233"/>
      <c r="DJ451" s="233"/>
      <c r="DK451" s="233"/>
      <c r="DL451" s="233"/>
      <c r="DM451" s="233"/>
      <c r="DN451" s="233"/>
      <c r="DO451" s="233"/>
      <c r="DP451" s="233"/>
      <c r="DQ451" s="233"/>
      <c r="DR451" s="233"/>
      <c r="DS451" s="233"/>
      <c r="DT451" s="233"/>
      <c r="DU451" s="233"/>
      <c r="DV451" s="233"/>
      <c r="DW451" s="233"/>
      <c r="DX451" s="233"/>
      <c r="DY451" s="233"/>
      <c r="DZ451" s="233"/>
      <c r="EA451" s="233"/>
      <c r="EB451" s="233"/>
      <c r="EC451" s="233"/>
      <c r="ED451" s="233"/>
      <c r="EE451" s="233"/>
      <c r="EF451" s="233"/>
      <c r="EG451" s="233"/>
      <c r="EH451" s="233"/>
      <c r="EI451" s="233"/>
      <c r="EJ451" s="233"/>
      <c r="EK451" s="233"/>
      <c r="EL451" s="233"/>
      <c r="EM451" s="233"/>
      <c r="EN451" s="233"/>
      <c r="EO451" s="233"/>
      <c r="EP451" s="233"/>
    </row>
    <row r="452" spans="1:146" ht="14.25" x14ac:dyDescent="0.2">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233"/>
      <c r="BE452" s="233"/>
      <c r="BF452" s="233"/>
      <c r="BG452" s="233"/>
      <c r="BH452" s="233"/>
      <c r="BI452" s="233"/>
      <c r="BJ452" s="233"/>
      <c r="BK452" s="233"/>
      <c r="BL452" s="233"/>
      <c r="BM452" s="233"/>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33"/>
      <c r="CI452" s="233"/>
      <c r="CJ452" s="233"/>
      <c r="CK452" s="233"/>
      <c r="CL452" s="233"/>
      <c r="CM452" s="233"/>
      <c r="CN452" s="233"/>
      <c r="CO452" s="233"/>
      <c r="CP452" s="233"/>
      <c r="CQ452" s="233"/>
      <c r="CR452" s="233"/>
      <c r="CS452" s="233"/>
      <c r="CT452" s="233"/>
      <c r="CU452" s="233"/>
      <c r="CV452" s="233"/>
      <c r="CW452" s="233"/>
      <c r="CX452" s="233"/>
      <c r="CY452" s="233"/>
      <c r="CZ452" s="233"/>
      <c r="DA452" s="233"/>
      <c r="DB452" s="233"/>
      <c r="DC452" s="233"/>
      <c r="DD452" s="233"/>
      <c r="DE452" s="233"/>
      <c r="DF452" s="233"/>
      <c r="DG452" s="233"/>
      <c r="DH452" s="233"/>
      <c r="DI452" s="233"/>
      <c r="DJ452" s="233"/>
      <c r="DK452" s="233"/>
      <c r="DL452" s="233"/>
      <c r="DM452" s="233"/>
      <c r="DN452" s="233"/>
      <c r="DO452" s="233"/>
      <c r="DP452" s="233"/>
      <c r="DQ452" s="233"/>
      <c r="DR452" s="233"/>
      <c r="DS452" s="233"/>
      <c r="DT452" s="233"/>
      <c r="DU452" s="233"/>
      <c r="DV452" s="233"/>
      <c r="DW452" s="233"/>
      <c r="DX452" s="233"/>
      <c r="DY452" s="233"/>
      <c r="DZ452" s="233"/>
      <c r="EA452" s="233"/>
      <c r="EB452" s="233"/>
      <c r="EC452" s="233"/>
      <c r="ED452" s="233"/>
      <c r="EE452" s="233"/>
      <c r="EF452" s="233"/>
      <c r="EG452" s="233"/>
      <c r="EH452" s="233"/>
      <c r="EI452" s="233"/>
      <c r="EJ452" s="233"/>
      <c r="EK452" s="233"/>
      <c r="EL452" s="233"/>
      <c r="EM452" s="233"/>
      <c r="EN452" s="233"/>
      <c r="EO452" s="233"/>
      <c r="EP452" s="233"/>
    </row>
    <row r="453" spans="1:146" ht="14.25" x14ac:dyDescent="0.2">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233"/>
      <c r="BE453" s="233"/>
      <c r="BF453" s="233"/>
      <c r="BG453" s="233"/>
      <c r="BH453" s="233"/>
      <c r="BI453" s="233"/>
      <c r="BJ453" s="233"/>
      <c r="BK453" s="233"/>
      <c r="BL453" s="233"/>
      <c r="BM453" s="233"/>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33"/>
      <c r="CI453" s="233"/>
      <c r="CJ453" s="233"/>
      <c r="CK453" s="233"/>
      <c r="CL453" s="233"/>
      <c r="CM453" s="233"/>
      <c r="CN453" s="233"/>
      <c r="CO453" s="233"/>
      <c r="CP453" s="233"/>
      <c r="CQ453" s="233"/>
      <c r="CR453" s="233"/>
      <c r="CS453" s="233"/>
      <c r="CT453" s="233"/>
      <c r="CU453" s="233"/>
      <c r="CV453" s="233"/>
      <c r="CW453" s="233"/>
      <c r="CX453" s="233"/>
      <c r="CY453" s="233"/>
      <c r="CZ453" s="233"/>
      <c r="DA453" s="233"/>
      <c r="DB453" s="233"/>
      <c r="DC453" s="233"/>
      <c r="DD453" s="233"/>
      <c r="DE453" s="233"/>
      <c r="DF453" s="233"/>
      <c r="DG453" s="233"/>
      <c r="DH453" s="233"/>
      <c r="DI453" s="233"/>
      <c r="DJ453" s="233"/>
      <c r="DK453" s="233"/>
      <c r="DL453" s="233"/>
      <c r="DM453" s="233"/>
      <c r="DN453" s="233"/>
      <c r="DO453" s="233"/>
      <c r="DP453" s="233"/>
      <c r="DQ453" s="233"/>
      <c r="DR453" s="233"/>
      <c r="DS453" s="233"/>
      <c r="DT453" s="233"/>
      <c r="DU453" s="233"/>
      <c r="DV453" s="233"/>
      <c r="DW453" s="233"/>
      <c r="DX453" s="233"/>
      <c r="DY453" s="233"/>
      <c r="DZ453" s="233"/>
      <c r="EA453" s="233"/>
      <c r="EB453" s="233"/>
      <c r="EC453" s="233"/>
      <c r="ED453" s="233"/>
      <c r="EE453" s="233"/>
      <c r="EF453" s="233"/>
      <c r="EG453" s="233"/>
      <c r="EH453" s="233"/>
      <c r="EI453" s="233"/>
      <c r="EJ453" s="233"/>
      <c r="EK453" s="233"/>
      <c r="EL453" s="233"/>
      <c r="EM453" s="233"/>
      <c r="EN453" s="233"/>
      <c r="EO453" s="233"/>
      <c r="EP453" s="233"/>
    </row>
    <row r="454" spans="1:146" ht="14.25" x14ac:dyDescent="0.2">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233"/>
      <c r="BE454" s="233"/>
      <c r="BF454" s="233"/>
      <c r="BG454" s="233"/>
      <c r="BH454" s="233"/>
      <c r="BI454" s="233"/>
      <c r="BJ454" s="233"/>
      <c r="BK454" s="233"/>
      <c r="BL454" s="233"/>
      <c r="BM454" s="233"/>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33"/>
      <c r="CI454" s="233"/>
      <c r="CJ454" s="233"/>
      <c r="CK454" s="233"/>
      <c r="CL454" s="233"/>
      <c r="CM454" s="233"/>
      <c r="CN454" s="233"/>
      <c r="CO454" s="233"/>
      <c r="CP454" s="233"/>
      <c r="CQ454" s="233"/>
      <c r="CR454" s="233"/>
      <c r="CS454" s="233"/>
      <c r="CT454" s="233"/>
      <c r="CU454" s="233"/>
      <c r="CV454" s="233"/>
      <c r="CW454" s="233"/>
      <c r="CX454" s="233"/>
      <c r="CY454" s="233"/>
      <c r="CZ454" s="233"/>
      <c r="DA454" s="233"/>
      <c r="DB454" s="233"/>
      <c r="DC454" s="233"/>
      <c r="DD454" s="233"/>
      <c r="DE454" s="233"/>
      <c r="DF454" s="233"/>
      <c r="DG454" s="233"/>
      <c r="DH454" s="233"/>
      <c r="DI454" s="233"/>
      <c r="DJ454" s="233"/>
      <c r="DK454" s="233"/>
      <c r="DL454" s="233"/>
      <c r="DM454" s="233"/>
      <c r="DN454" s="233"/>
      <c r="DO454" s="233"/>
      <c r="DP454" s="233"/>
      <c r="DQ454" s="233"/>
      <c r="DR454" s="233"/>
      <c r="DS454" s="233"/>
      <c r="DT454" s="233"/>
      <c r="DU454" s="233"/>
      <c r="DV454" s="233"/>
      <c r="DW454" s="233"/>
      <c r="DX454" s="233"/>
      <c r="DY454" s="233"/>
      <c r="DZ454" s="233"/>
      <c r="EA454" s="233"/>
      <c r="EB454" s="233"/>
      <c r="EC454" s="233"/>
      <c r="ED454" s="233"/>
      <c r="EE454" s="233"/>
      <c r="EF454" s="233"/>
      <c r="EG454" s="233"/>
      <c r="EH454" s="233"/>
      <c r="EI454" s="233"/>
      <c r="EJ454" s="233"/>
      <c r="EK454" s="233"/>
      <c r="EL454" s="233"/>
      <c r="EM454" s="233"/>
      <c r="EN454" s="233"/>
      <c r="EO454" s="233"/>
      <c r="EP454" s="233"/>
    </row>
    <row r="455" spans="1:146" ht="14.25" x14ac:dyDescent="0.2">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233"/>
      <c r="BE455" s="233"/>
      <c r="BF455" s="233"/>
      <c r="BG455" s="233"/>
      <c r="BH455" s="233"/>
      <c r="BI455" s="233"/>
      <c r="BJ455" s="233"/>
      <c r="BK455" s="233"/>
      <c r="BL455" s="233"/>
      <c r="BM455" s="233"/>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33"/>
      <c r="CI455" s="233"/>
      <c r="CJ455" s="233"/>
      <c r="CK455" s="233"/>
      <c r="CL455" s="233"/>
      <c r="CM455" s="233"/>
      <c r="CN455" s="233"/>
      <c r="CO455" s="233"/>
      <c r="CP455" s="233"/>
      <c r="CQ455" s="233"/>
      <c r="CR455" s="233"/>
      <c r="CS455" s="233"/>
      <c r="CT455" s="233"/>
      <c r="CU455" s="233"/>
      <c r="CV455" s="233"/>
      <c r="CW455" s="233"/>
      <c r="CX455" s="233"/>
      <c r="CY455" s="233"/>
      <c r="CZ455" s="233"/>
      <c r="DA455" s="233"/>
      <c r="DB455" s="233"/>
      <c r="DC455" s="233"/>
      <c r="DD455" s="233"/>
      <c r="DE455" s="233"/>
      <c r="DF455" s="233"/>
      <c r="DG455" s="233"/>
      <c r="DH455" s="233"/>
      <c r="DI455" s="233"/>
      <c r="DJ455" s="233"/>
      <c r="DK455" s="233"/>
      <c r="DL455" s="233"/>
      <c r="DM455" s="233"/>
      <c r="DN455" s="233"/>
      <c r="DO455" s="233"/>
      <c r="DP455" s="233"/>
      <c r="DQ455" s="233"/>
      <c r="DR455" s="233"/>
      <c r="DS455" s="233"/>
      <c r="DT455" s="233"/>
      <c r="DU455" s="233"/>
      <c r="DV455" s="233"/>
      <c r="DW455" s="233"/>
      <c r="DX455" s="233"/>
      <c r="DY455" s="233"/>
      <c r="DZ455" s="233"/>
      <c r="EA455" s="233"/>
      <c r="EB455" s="233"/>
      <c r="EC455" s="233"/>
      <c r="ED455" s="233"/>
      <c r="EE455" s="233"/>
      <c r="EF455" s="233"/>
      <c r="EG455" s="233"/>
      <c r="EH455" s="233"/>
      <c r="EI455" s="233"/>
      <c r="EJ455" s="233"/>
      <c r="EK455" s="233"/>
      <c r="EL455" s="233"/>
      <c r="EM455" s="233"/>
      <c r="EN455" s="233"/>
      <c r="EO455" s="233"/>
      <c r="EP455" s="233"/>
    </row>
    <row r="456" spans="1:146" ht="14.25" x14ac:dyDescent="0.2">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33"/>
      <c r="BF456" s="233"/>
      <c r="BG456" s="233"/>
      <c r="BH456" s="233"/>
      <c r="BI456" s="233"/>
      <c r="BJ456" s="233"/>
      <c r="BK456" s="233"/>
      <c r="BL456" s="233"/>
      <c r="BM456" s="233"/>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33"/>
      <c r="CI456" s="233"/>
      <c r="CJ456" s="233"/>
      <c r="CK456" s="233"/>
      <c r="CL456" s="233"/>
      <c r="CM456" s="233"/>
      <c r="CN456" s="233"/>
      <c r="CO456" s="233"/>
      <c r="CP456" s="233"/>
      <c r="CQ456" s="233"/>
      <c r="CR456" s="233"/>
      <c r="CS456" s="233"/>
      <c r="CT456" s="233"/>
      <c r="CU456" s="233"/>
      <c r="CV456" s="233"/>
      <c r="CW456" s="233"/>
      <c r="CX456" s="233"/>
      <c r="CY456" s="233"/>
      <c r="CZ456" s="233"/>
      <c r="DA456" s="233"/>
      <c r="DB456" s="233"/>
      <c r="DC456" s="233"/>
      <c r="DD456" s="233"/>
      <c r="DE456" s="233"/>
      <c r="DF456" s="233"/>
      <c r="DG456" s="233"/>
      <c r="DH456" s="233"/>
      <c r="DI456" s="233"/>
      <c r="DJ456" s="233"/>
      <c r="DK456" s="233"/>
      <c r="DL456" s="233"/>
      <c r="DM456" s="233"/>
      <c r="DN456" s="233"/>
      <c r="DO456" s="233"/>
      <c r="DP456" s="233"/>
      <c r="DQ456" s="233"/>
      <c r="DR456" s="233"/>
      <c r="DS456" s="233"/>
      <c r="DT456" s="233"/>
      <c r="DU456" s="233"/>
      <c r="DV456" s="233"/>
      <c r="DW456" s="233"/>
      <c r="DX456" s="233"/>
      <c r="DY456" s="233"/>
      <c r="DZ456" s="233"/>
      <c r="EA456" s="233"/>
      <c r="EB456" s="233"/>
      <c r="EC456" s="233"/>
      <c r="ED456" s="233"/>
      <c r="EE456" s="233"/>
      <c r="EF456" s="233"/>
      <c r="EG456" s="233"/>
      <c r="EH456" s="233"/>
      <c r="EI456" s="233"/>
      <c r="EJ456" s="233"/>
      <c r="EK456" s="233"/>
      <c r="EL456" s="233"/>
      <c r="EM456" s="233"/>
      <c r="EN456" s="233"/>
      <c r="EO456" s="233"/>
      <c r="EP456" s="233"/>
    </row>
    <row r="457" spans="1:146" ht="14.25" x14ac:dyDescent="0.2">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33"/>
      <c r="BF457" s="233"/>
      <c r="BG457" s="233"/>
      <c r="BH457" s="233"/>
      <c r="BI457" s="233"/>
      <c r="BJ457" s="233"/>
      <c r="BK457" s="233"/>
      <c r="BL457" s="233"/>
      <c r="BM457" s="233"/>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33"/>
      <c r="CI457" s="233"/>
      <c r="CJ457" s="233"/>
      <c r="CK457" s="233"/>
      <c r="CL457" s="233"/>
      <c r="CM457" s="233"/>
      <c r="CN457" s="233"/>
      <c r="CO457" s="233"/>
      <c r="CP457" s="233"/>
      <c r="CQ457" s="233"/>
      <c r="CR457" s="233"/>
      <c r="CS457" s="233"/>
      <c r="CT457" s="233"/>
      <c r="CU457" s="233"/>
      <c r="CV457" s="233"/>
      <c r="CW457" s="233"/>
      <c r="CX457" s="233"/>
      <c r="CY457" s="233"/>
      <c r="CZ457" s="233"/>
      <c r="DA457" s="233"/>
      <c r="DB457" s="233"/>
      <c r="DC457" s="233"/>
      <c r="DD457" s="233"/>
      <c r="DE457" s="233"/>
      <c r="DF457" s="233"/>
      <c r="DG457" s="233"/>
      <c r="DH457" s="233"/>
      <c r="DI457" s="233"/>
      <c r="DJ457" s="233"/>
      <c r="DK457" s="233"/>
      <c r="DL457" s="233"/>
      <c r="DM457" s="233"/>
      <c r="DN457" s="233"/>
      <c r="DO457" s="233"/>
      <c r="DP457" s="233"/>
      <c r="DQ457" s="233"/>
      <c r="DR457" s="233"/>
      <c r="DS457" s="233"/>
      <c r="DT457" s="233"/>
      <c r="DU457" s="233"/>
      <c r="DV457" s="233"/>
      <c r="DW457" s="233"/>
      <c r="DX457" s="233"/>
      <c r="DY457" s="233"/>
      <c r="DZ457" s="233"/>
      <c r="EA457" s="233"/>
      <c r="EB457" s="233"/>
      <c r="EC457" s="233"/>
      <c r="ED457" s="233"/>
      <c r="EE457" s="233"/>
      <c r="EF457" s="233"/>
      <c r="EG457" s="233"/>
      <c r="EH457" s="233"/>
      <c r="EI457" s="233"/>
      <c r="EJ457" s="233"/>
      <c r="EK457" s="233"/>
      <c r="EL457" s="233"/>
      <c r="EM457" s="233"/>
      <c r="EN457" s="233"/>
      <c r="EO457" s="233"/>
      <c r="EP457" s="233"/>
    </row>
    <row r="458" spans="1:146" ht="14.25" x14ac:dyDescent="0.2">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33"/>
      <c r="BF458" s="233"/>
      <c r="BG458" s="233"/>
      <c r="BH458" s="233"/>
      <c r="BI458" s="233"/>
      <c r="BJ458" s="233"/>
      <c r="BK458" s="233"/>
      <c r="BL458" s="233"/>
      <c r="BM458" s="233"/>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33"/>
      <c r="CI458" s="233"/>
      <c r="CJ458" s="233"/>
      <c r="CK458" s="233"/>
      <c r="CL458" s="233"/>
      <c r="CM458" s="233"/>
      <c r="CN458" s="233"/>
      <c r="CO458" s="233"/>
      <c r="CP458" s="233"/>
      <c r="CQ458" s="233"/>
      <c r="CR458" s="233"/>
      <c r="CS458" s="233"/>
      <c r="CT458" s="233"/>
      <c r="CU458" s="233"/>
      <c r="CV458" s="233"/>
      <c r="CW458" s="233"/>
      <c r="CX458" s="233"/>
      <c r="CY458" s="233"/>
      <c r="CZ458" s="233"/>
      <c r="DA458" s="233"/>
      <c r="DB458" s="233"/>
      <c r="DC458" s="233"/>
      <c r="DD458" s="233"/>
      <c r="DE458" s="233"/>
      <c r="DF458" s="233"/>
      <c r="DG458" s="233"/>
      <c r="DH458" s="233"/>
      <c r="DI458" s="233"/>
      <c r="DJ458" s="233"/>
      <c r="DK458" s="233"/>
      <c r="DL458" s="233"/>
      <c r="DM458" s="233"/>
      <c r="DN458" s="233"/>
      <c r="DO458" s="233"/>
      <c r="DP458" s="233"/>
      <c r="DQ458" s="233"/>
      <c r="DR458" s="233"/>
      <c r="DS458" s="233"/>
      <c r="DT458" s="233"/>
      <c r="DU458" s="233"/>
      <c r="DV458" s="233"/>
      <c r="DW458" s="233"/>
      <c r="DX458" s="233"/>
      <c r="DY458" s="233"/>
      <c r="DZ458" s="233"/>
      <c r="EA458" s="233"/>
      <c r="EB458" s="233"/>
      <c r="EC458" s="233"/>
      <c r="ED458" s="233"/>
      <c r="EE458" s="233"/>
      <c r="EF458" s="233"/>
      <c r="EG458" s="233"/>
      <c r="EH458" s="233"/>
      <c r="EI458" s="233"/>
      <c r="EJ458" s="233"/>
      <c r="EK458" s="233"/>
      <c r="EL458" s="233"/>
      <c r="EM458" s="233"/>
      <c r="EN458" s="233"/>
      <c r="EO458" s="233"/>
      <c r="EP458" s="233"/>
    </row>
    <row r="459" spans="1:146" ht="14.25" x14ac:dyDescent="0.2">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33"/>
      <c r="BF459" s="233"/>
      <c r="BG459" s="233"/>
      <c r="BH459" s="233"/>
      <c r="BI459" s="233"/>
      <c r="BJ459" s="233"/>
      <c r="BK459" s="233"/>
      <c r="BL459" s="233"/>
      <c r="BM459" s="233"/>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33"/>
      <c r="CI459" s="233"/>
      <c r="CJ459" s="233"/>
      <c r="CK459" s="233"/>
      <c r="CL459" s="233"/>
      <c r="CM459" s="233"/>
      <c r="CN459" s="233"/>
      <c r="CO459" s="233"/>
      <c r="CP459" s="233"/>
      <c r="CQ459" s="233"/>
      <c r="CR459" s="233"/>
      <c r="CS459" s="233"/>
      <c r="CT459" s="233"/>
      <c r="CU459" s="233"/>
      <c r="CV459" s="233"/>
      <c r="CW459" s="233"/>
      <c r="CX459" s="233"/>
      <c r="CY459" s="233"/>
      <c r="CZ459" s="233"/>
      <c r="DA459" s="233"/>
      <c r="DB459" s="233"/>
      <c r="DC459" s="233"/>
      <c r="DD459" s="233"/>
      <c r="DE459" s="233"/>
      <c r="DF459" s="233"/>
      <c r="DG459" s="233"/>
      <c r="DH459" s="233"/>
      <c r="DI459" s="233"/>
      <c r="DJ459" s="233"/>
      <c r="DK459" s="233"/>
      <c r="DL459" s="233"/>
      <c r="DM459" s="233"/>
      <c r="DN459" s="233"/>
      <c r="DO459" s="233"/>
      <c r="DP459" s="233"/>
      <c r="DQ459" s="233"/>
      <c r="DR459" s="233"/>
      <c r="DS459" s="233"/>
      <c r="DT459" s="233"/>
      <c r="DU459" s="233"/>
      <c r="DV459" s="233"/>
      <c r="DW459" s="233"/>
      <c r="DX459" s="233"/>
      <c r="DY459" s="233"/>
      <c r="DZ459" s="233"/>
      <c r="EA459" s="233"/>
      <c r="EB459" s="233"/>
      <c r="EC459" s="233"/>
      <c r="ED459" s="233"/>
      <c r="EE459" s="233"/>
      <c r="EF459" s="233"/>
      <c r="EG459" s="233"/>
      <c r="EH459" s="233"/>
      <c r="EI459" s="233"/>
      <c r="EJ459" s="233"/>
      <c r="EK459" s="233"/>
      <c r="EL459" s="233"/>
      <c r="EM459" s="233"/>
      <c r="EN459" s="233"/>
      <c r="EO459" s="233"/>
      <c r="EP459" s="233"/>
    </row>
    <row r="460" spans="1:146" ht="14.25" x14ac:dyDescent="0.2">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c r="DT460" s="233"/>
      <c r="DU460" s="233"/>
      <c r="DV460" s="233"/>
      <c r="DW460" s="233"/>
      <c r="DX460" s="233"/>
      <c r="DY460" s="233"/>
      <c r="DZ460" s="233"/>
      <c r="EA460" s="233"/>
      <c r="EB460" s="233"/>
      <c r="EC460" s="233"/>
      <c r="ED460" s="233"/>
      <c r="EE460" s="233"/>
      <c r="EF460" s="233"/>
      <c r="EG460" s="233"/>
      <c r="EH460" s="233"/>
      <c r="EI460" s="233"/>
      <c r="EJ460" s="233"/>
      <c r="EK460" s="233"/>
      <c r="EL460" s="233"/>
      <c r="EM460" s="233"/>
      <c r="EN460" s="233"/>
      <c r="EO460" s="233"/>
      <c r="EP460" s="233"/>
    </row>
    <row r="461" spans="1:146" ht="14.25" x14ac:dyDescent="0.2">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33"/>
      <c r="BF461" s="233"/>
      <c r="BG461" s="233"/>
      <c r="BH461" s="233"/>
      <c r="BI461" s="233"/>
      <c r="BJ461" s="233"/>
      <c r="BK461" s="233"/>
      <c r="BL461" s="233"/>
      <c r="BM461" s="233"/>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33"/>
      <c r="CI461" s="233"/>
      <c r="CJ461" s="233"/>
      <c r="CK461" s="233"/>
      <c r="CL461" s="233"/>
      <c r="CM461" s="233"/>
      <c r="CN461" s="233"/>
      <c r="CO461" s="233"/>
      <c r="CP461" s="233"/>
      <c r="CQ461" s="233"/>
      <c r="CR461" s="233"/>
      <c r="CS461" s="233"/>
      <c r="CT461" s="233"/>
      <c r="CU461" s="233"/>
      <c r="CV461" s="233"/>
      <c r="CW461" s="233"/>
      <c r="CX461" s="233"/>
      <c r="CY461" s="233"/>
      <c r="CZ461" s="233"/>
      <c r="DA461" s="233"/>
      <c r="DB461" s="233"/>
      <c r="DC461" s="233"/>
      <c r="DD461" s="233"/>
      <c r="DE461" s="233"/>
      <c r="DF461" s="233"/>
      <c r="DG461" s="233"/>
      <c r="DH461" s="233"/>
      <c r="DI461" s="233"/>
      <c r="DJ461" s="233"/>
      <c r="DK461" s="233"/>
      <c r="DL461" s="233"/>
      <c r="DM461" s="233"/>
      <c r="DN461" s="233"/>
      <c r="DO461" s="233"/>
      <c r="DP461" s="233"/>
      <c r="DQ461" s="233"/>
      <c r="DR461" s="233"/>
      <c r="DS461" s="233"/>
      <c r="DT461" s="233"/>
      <c r="DU461" s="233"/>
      <c r="DV461" s="233"/>
      <c r="DW461" s="233"/>
      <c r="DX461" s="233"/>
      <c r="DY461" s="233"/>
      <c r="DZ461" s="233"/>
      <c r="EA461" s="233"/>
      <c r="EB461" s="233"/>
      <c r="EC461" s="233"/>
      <c r="ED461" s="233"/>
      <c r="EE461" s="233"/>
      <c r="EF461" s="233"/>
      <c r="EG461" s="233"/>
      <c r="EH461" s="233"/>
      <c r="EI461" s="233"/>
      <c r="EJ461" s="233"/>
      <c r="EK461" s="233"/>
      <c r="EL461" s="233"/>
      <c r="EM461" s="233"/>
      <c r="EN461" s="233"/>
      <c r="EO461" s="233"/>
      <c r="EP461" s="233"/>
    </row>
    <row r="462" spans="1:146" ht="14.25" x14ac:dyDescent="0.2">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233"/>
      <c r="BE462" s="233"/>
      <c r="BF462" s="233"/>
      <c r="BG462" s="233"/>
      <c r="BH462" s="233"/>
      <c r="BI462" s="233"/>
      <c r="BJ462" s="233"/>
      <c r="BK462" s="233"/>
      <c r="BL462" s="233"/>
      <c r="BM462" s="233"/>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33"/>
      <c r="CI462" s="233"/>
      <c r="CJ462" s="233"/>
      <c r="CK462" s="233"/>
      <c r="CL462" s="233"/>
      <c r="CM462" s="233"/>
      <c r="CN462" s="233"/>
      <c r="CO462" s="233"/>
      <c r="CP462" s="233"/>
      <c r="CQ462" s="233"/>
      <c r="CR462" s="233"/>
      <c r="CS462" s="233"/>
      <c r="CT462" s="233"/>
      <c r="CU462" s="233"/>
      <c r="CV462" s="233"/>
      <c r="CW462" s="233"/>
      <c r="CX462" s="233"/>
      <c r="CY462" s="233"/>
      <c r="CZ462" s="233"/>
      <c r="DA462" s="233"/>
      <c r="DB462" s="233"/>
      <c r="DC462" s="233"/>
      <c r="DD462" s="233"/>
      <c r="DE462" s="233"/>
      <c r="DF462" s="233"/>
      <c r="DG462" s="233"/>
      <c r="DH462" s="233"/>
      <c r="DI462" s="233"/>
      <c r="DJ462" s="233"/>
      <c r="DK462" s="233"/>
      <c r="DL462" s="233"/>
      <c r="DM462" s="233"/>
      <c r="DN462" s="233"/>
      <c r="DO462" s="233"/>
      <c r="DP462" s="233"/>
      <c r="DQ462" s="233"/>
      <c r="DR462" s="233"/>
      <c r="DS462" s="233"/>
      <c r="DT462" s="233"/>
      <c r="DU462" s="233"/>
      <c r="DV462" s="233"/>
      <c r="DW462" s="233"/>
      <c r="DX462" s="233"/>
      <c r="DY462" s="233"/>
      <c r="DZ462" s="233"/>
      <c r="EA462" s="233"/>
      <c r="EB462" s="233"/>
      <c r="EC462" s="233"/>
      <c r="ED462" s="233"/>
      <c r="EE462" s="233"/>
      <c r="EF462" s="233"/>
      <c r="EG462" s="233"/>
      <c r="EH462" s="233"/>
      <c r="EI462" s="233"/>
      <c r="EJ462" s="233"/>
      <c r="EK462" s="233"/>
      <c r="EL462" s="233"/>
      <c r="EM462" s="233"/>
      <c r="EN462" s="233"/>
      <c r="EO462" s="233"/>
      <c r="EP462" s="233"/>
    </row>
    <row r="463" spans="1:146" ht="14.25" x14ac:dyDescent="0.2">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233"/>
      <c r="BE463" s="233"/>
      <c r="BF463" s="233"/>
      <c r="BG463" s="233"/>
      <c r="BH463" s="233"/>
      <c r="BI463" s="233"/>
      <c r="BJ463" s="233"/>
      <c r="BK463" s="233"/>
      <c r="BL463" s="233"/>
      <c r="BM463" s="233"/>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33"/>
      <c r="CI463" s="233"/>
      <c r="CJ463" s="233"/>
      <c r="CK463" s="233"/>
      <c r="CL463" s="233"/>
      <c r="CM463" s="233"/>
      <c r="CN463" s="233"/>
      <c r="CO463" s="233"/>
      <c r="CP463" s="233"/>
      <c r="CQ463" s="233"/>
      <c r="CR463" s="233"/>
      <c r="CS463" s="233"/>
      <c r="CT463" s="233"/>
      <c r="CU463" s="233"/>
      <c r="CV463" s="233"/>
      <c r="CW463" s="233"/>
      <c r="CX463" s="233"/>
      <c r="CY463" s="233"/>
      <c r="CZ463" s="233"/>
      <c r="DA463" s="233"/>
      <c r="DB463" s="233"/>
      <c r="DC463" s="233"/>
      <c r="DD463" s="233"/>
      <c r="DE463" s="233"/>
      <c r="DF463" s="233"/>
      <c r="DG463" s="233"/>
      <c r="DH463" s="233"/>
      <c r="DI463" s="233"/>
      <c r="DJ463" s="233"/>
      <c r="DK463" s="233"/>
      <c r="DL463" s="233"/>
      <c r="DM463" s="233"/>
      <c r="DN463" s="233"/>
      <c r="DO463" s="233"/>
      <c r="DP463" s="233"/>
      <c r="DQ463" s="233"/>
      <c r="DR463" s="233"/>
      <c r="DS463" s="233"/>
      <c r="DT463" s="233"/>
      <c r="DU463" s="233"/>
      <c r="DV463" s="233"/>
      <c r="DW463" s="233"/>
      <c r="DX463" s="233"/>
      <c r="DY463" s="233"/>
      <c r="DZ463" s="233"/>
      <c r="EA463" s="233"/>
      <c r="EB463" s="233"/>
      <c r="EC463" s="233"/>
      <c r="ED463" s="233"/>
      <c r="EE463" s="233"/>
      <c r="EF463" s="233"/>
      <c r="EG463" s="233"/>
      <c r="EH463" s="233"/>
      <c r="EI463" s="233"/>
      <c r="EJ463" s="233"/>
      <c r="EK463" s="233"/>
      <c r="EL463" s="233"/>
      <c r="EM463" s="233"/>
      <c r="EN463" s="233"/>
      <c r="EO463" s="233"/>
      <c r="EP463" s="233"/>
    </row>
    <row r="464" spans="1:146" ht="14.25" x14ac:dyDescent="0.2">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33"/>
      <c r="CI464" s="233"/>
      <c r="CJ464" s="233"/>
      <c r="CK464" s="233"/>
      <c r="CL464" s="233"/>
      <c r="CM464" s="233"/>
      <c r="CN464" s="233"/>
      <c r="CO464" s="233"/>
      <c r="CP464" s="233"/>
      <c r="CQ464" s="233"/>
      <c r="CR464" s="233"/>
      <c r="CS464" s="233"/>
      <c r="CT464" s="233"/>
      <c r="CU464" s="233"/>
      <c r="CV464" s="233"/>
      <c r="CW464" s="233"/>
      <c r="CX464" s="233"/>
      <c r="CY464" s="233"/>
      <c r="CZ464" s="233"/>
      <c r="DA464" s="233"/>
      <c r="DB464" s="233"/>
      <c r="DC464" s="233"/>
      <c r="DD464" s="233"/>
      <c r="DE464" s="233"/>
      <c r="DF464" s="233"/>
      <c r="DG464" s="233"/>
      <c r="DH464" s="233"/>
      <c r="DI464" s="233"/>
      <c r="DJ464" s="233"/>
      <c r="DK464" s="233"/>
      <c r="DL464" s="233"/>
      <c r="DM464" s="233"/>
      <c r="DN464" s="233"/>
      <c r="DO464" s="233"/>
      <c r="DP464" s="233"/>
      <c r="DQ464" s="233"/>
      <c r="DR464" s="233"/>
      <c r="DS464" s="233"/>
      <c r="DT464" s="233"/>
      <c r="DU464" s="233"/>
      <c r="DV464" s="233"/>
      <c r="DW464" s="233"/>
      <c r="DX464" s="233"/>
      <c r="DY464" s="233"/>
      <c r="DZ464" s="233"/>
      <c r="EA464" s="233"/>
      <c r="EB464" s="233"/>
      <c r="EC464" s="233"/>
      <c r="ED464" s="233"/>
      <c r="EE464" s="233"/>
      <c r="EF464" s="233"/>
      <c r="EG464" s="233"/>
      <c r="EH464" s="233"/>
      <c r="EI464" s="233"/>
      <c r="EJ464" s="233"/>
      <c r="EK464" s="233"/>
      <c r="EL464" s="233"/>
      <c r="EM464" s="233"/>
      <c r="EN464" s="233"/>
      <c r="EO464" s="233"/>
      <c r="EP464" s="233"/>
    </row>
    <row r="465" spans="1:146" ht="14.25" x14ac:dyDescent="0.2">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233"/>
      <c r="BE465" s="233"/>
      <c r="BF465" s="233"/>
      <c r="BG465" s="233"/>
      <c r="BH465" s="233"/>
      <c r="BI465" s="233"/>
      <c r="BJ465" s="233"/>
      <c r="BK465" s="233"/>
      <c r="BL465" s="233"/>
      <c r="BM465" s="233"/>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33"/>
      <c r="CI465" s="233"/>
      <c r="CJ465" s="233"/>
      <c r="CK465" s="233"/>
      <c r="CL465" s="233"/>
      <c r="CM465" s="233"/>
      <c r="CN465" s="233"/>
      <c r="CO465" s="233"/>
      <c r="CP465" s="233"/>
      <c r="CQ465" s="233"/>
      <c r="CR465" s="233"/>
      <c r="CS465" s="233"/>
      <c r="CT465" s="233"/>
      <c r="CU465" s="233"/>
      <c r="CV465" s="233"/>
      <c r="CW465" s="233"/>
      <c r="CX465" s="233"/>
      <c r="CY465" s="233"/>
      <c r="CZ465" s="233"/>
      <c r="DA465" s="233"/>
      <c r="DB465" s="233"/>
      <c r="DC465" s="233"/>
      <c r="DD465" s="233"/>
      <c r="DE465" s="233"/>
      <c r="DF465" s="233"/>
      <c r="DG465" s="233"/>
      <c r="DH465" s="233"/>
      <c r="DI465" s="233"/>
      <c r="DJ465" s="233"/>
      <c r="DK465" s="233"/>
      <c r="DL465" s="233"/>
      <c r="DM465" s="233"/>
      <c r="DN465" s="233"/>
      <c r="DO465" s="233"/>
      <c r="DP465" s="233"/>
      <c r="DQ465" s="233"/>
      <c r="DR465" s="233"/>
      <c r="DS465" s="233"/>
      <c r="DT465" s="233"/>
      <c r="DU465" s="233"/>
      <c r="DV465" s="233"/>
      <c r="DW465" s="233"/>
      <c r="DX465" s="233"/>
      <c r="DY465" s="233"/>
      <c r="DZ465" s="233"/>
      <c r="EA465" s="233"/>
      <c r="EB465" s="233"/>
      <c r="EC465" s="233"/>
      <c r="ED465" s="233"/>
      <c r="EE465" s="233"/>
      <c r="EF465" s="233"/>
      <c r="EG465" s="233"/>
      <c r="EH465" s="233"/>
      <c r="EI465" s="233"/>
      <c r="EJ465" s="233"/>
      <c r="EK465" s="233"/>
      <c r="EL465" s="233"/>
      <c r="EM465" s="233"/>
      <c r="EN465" s="233"/>
      <c r="EO465" s="233"/>
      <c r="EP465" s="233"/>
    </row>
    <row r="466" spans="1:146" ht="14.25" x14ac:dyDescent="0.2">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33"/>
      <c r="CI466" s="233"/>
      <c r="CJ466" s="233"/>
      <c r="CK466" s="233"/>
      <c r="CL466" s="233"/>
      <c r="CM466" s="233"/>
      <c r="CN466" s="233"/>
      <c r="CO466" s="233"/>
      <c r="CP466" s="233"/>
      <c r="CQ466" s="233"/>
      <c r="CR466" s="233"/>
      <c r="CS466" s="233"/>
      <c r="CT466" s="233"/>
      <c r="CU466" s="233"/>
      <c r="CV466" s="233"/>
      <c r="CW466" s="233"/>
      <c r="CX466" s="233"/>
      <c r="CY466" s="233"/>
      <c r="CZ466" s="233"/>
      <c r="DA466" s="233"/>
      <c r="DB466" s="233"/>
      <c r="DC466" s="233"/>
      <c r="DD466" s="233"/>
      <c r="DE466" s="233"/>
      <c r="DF466" s="233"/>
      <c r="DG466" s="233"/>
      <c r="DH466" s="233"/>
      <c r="DI466" s="233"/>
      <c r="DJ466" s="233"/>
      <c r="DK466" s="233"/>
      <c r="DL466" s="233"/>
      <c r="DM466" s="233"/>
      <c r="DN466" s="233"/>
      <c r="DO466" s="233"/>
      <c r="DP466" s="233"/>
      <c r="DQ466" s="233"/>
      <c r="DR466" s="233"/>
      <c r="DS466" s="233"/>
      <c r="DT466" s="233"/>
      <c r="DU466" s="233"/>
      <c r="DV466" s="233"/>
      <c r="DW466" s="233"/>
      <c r="DX466" s="233"/>
      <c r="DY466" s="233"/>
      <c r="DZ466" s="233"/>
      <c r="EA466" s="233"/>
      <c r="EB466" s="233"/>
      <c r="EC466" s="233"/>
      <c r="ED466" s="233"/>
      <c r="EE466" s="233"/>
      <c r="EF466" s="233"/>
      <c r="EG466" s="233"/>
      <c r="EH466" s="233"/>
      <c r="EI466" s="233"/>
      <c r="EJ466" s="233"/>
      <c r="EK466" s="233"/>
      <c r="EL466" s="233"/>
      <c r="EM466" s="233"/>
      <c r="EN466" s="233"/>
      <c r="EO466" s="233"/>
      <c r="EP466" s="233"/>
    </row>
    <row r="467" spans="1:146" ht="14.25" x14ac:dyDescent="0.2">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33"/>
      <c r="CI467" s="233"/>
      <c r="CJ467" s="233"/>
      <c r="CK467" s="233"/>
      <c r="CL467" s="233"/>
      <c r="CM467" s="233"/>
      <c r="CN467" s="233"/>
      <c r="CO467" s="233"/>
      <c r="CP467" s="233"/>
      <c r="CQ467" s="233"/>
      <c r="CR467" s="233"/>
      <c r="CS467" s="233"/>
      <c r="CT467" s="233"/>
      <c r="CU467" s="233"/>
      <c r="CV467" s="233"/>
      <c r="CW467" s="233"/>
      <c r="CX467" s="233"/>
      <c r="CY467" s="233"/>
      <c r="CZ467" s="233"/>
      <c r="DA467" s="233"/>
      <c r="DB467" s="233"/>
      <c r="DC467" s="233"/>
      <c r="DD467" s="233"/>
      <c r="DE467" s="233"/>
      <c r="DF467" s="233"/>
      <c r="DG467" s="233"/>
      <c r="DH467" s="233"/>
      <c r="DI467" s="233"/>
      <c r="DJ467" s="233"/>
      <c r="DK467" s="233"/>
      <c r="DL467" s="233"/>
      <c r="DM467" s="233"/>
      <c r="DN467" s="233"/>
      <c r="DO467" s="233"/>
      <c r="DP467" s="233"/>
      <c r="DQ467" s="233"/>
      <c r="DR467" s="233"/>
      <c r="DS467" s="233"/>
      <c r="DT467" s="233"/>
      <c r="DU467" s="233"/>
      <c r="DV467" s="233"/>
      <c r="DW467" s="233"/>
      <c r="DX467" s="233"/>
      <c r="DY467" s="233"/>
      <c r="DZ467" s="233"/>
      <c r="EA467" s="233"/>
      <c r="EB467" s="233"/>
      <c r="EC467" s="233"/>
      <c r="ED467" s="233"/>
      <c r="EE467" s="233"/>
      <c r="EF467" s="233"/>
      <c r="EG467" s="233"/>
      <c r="EH467" s="233"/>
      <c r="EI467" s="233"/>
      <c r="EJ467" s="233"/>
      <c r="EK467" s="233"/>
      <c r="EL467" s="233"/>
      <c r="EM467" s="233"/>
      <c r="EN467" s="233"/>
      <c r="EO467" s="233"/>
      <c r="EP467" s="233"/>
    </row>
    <row r="468" spans="1:146" ht="14.25" x14ac:dyDescent="0.2">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33"/>
      <c r="CI468" s="233"/>
      <c r="CJ468" s="233"/>
      <c r="CK468" s="233"/>
      <c r="CL468" s="233"/>
      <c r="CM468" s="233"/>
      <c r="CN468" s="233"/>
      <c r="CO468" s="233"/>
      <c r="CP468" s="233"/>
      <c r="CQ468" s="233"/>
      <c r="CR468" s="233"/>
      <c r="CS468" s="233"/>
      <c r="CT468" s="233"/>
      <c r="CU468" s="233"/>
      <c r="CV468" s="233"/>
      <c r="CW468" s="233"/>
      <c r="CX468" s="233"/>
      <c r="CY468" s="233"/>
      <c r="CZ468" s="233"/>
      <c r="DA468" s="233"/>
      <c r="DB468" s="233"/>
      <c r="DC468" s="233"/>
      <c r="DD468" s="233"/>
      <c r="DE468" s="233"/>
      <c r="DF468" s="233"/>
      <c r="DG468" s="233"/>
      <c r="DH468" s="233"/>
      <c r="DI468" s="233"/>
      <c r="DJ468" s="233"/>
      <c r="DK468" s="233"/>
      <c r="DL468" s="233"/>
      <c r="DM468" s="233"/>
      <c r="DN468" s="233"/>
      <c r="DO468" s="233"/>
      <c r="DP468" s="233"/>
      <c r="DQ468" s="233"/>
      <c r="DR468" s="233"/>
      <c r="DS468" s="233"/>
      <c r="DT468" s="233"/>
      <c r="DU468" s="233"/>
      <c r="DV468" s="233"/>
      <c r="DW468" s="233"/>
      <c r="DX468" s="233"/>
      <c r="DY468" s="233"/>
      <c r="DZ468" s="233"/>
      <c r="EA468" s="233"/>
      <c r="EB468" s="233"/>
      <c r="EC468" s="233"/>
      <c r="ED468" s="233"/>
      <c r="EE468" s="233"/>
      <c r="EF468" s="233"/>
      <c r="EG468" s="233"/>
      <c r="EH468" s="233"/>
      <c r="EI468" s="233"/>
      <c r="EJ468" s="233"/>
      <c r="EK468" s="233"/>
      <c r="EL468" s="233"/>
      <c r="EM468" s="233"/>
      <c r="EN468" s="233"/>
      <c r="EO468" s="233"/>
      <c r="EP468" s="233"/>
    </row>
    <row r="469" spans="1:146" ht="14.25" x14ac:dyDescent="0.2">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233"/>
      <c r="BE469" s="233"/>
      <c r="BF469" s="233"/>
      <c r="BG469" s="233"/>
      <c r="BH469" s="233"/>
      <c r="BI469" s="233"/>
      <c r="BJ469" s="233"/>
      <c r="BK469" s="233"/>
      <c r="BL469" s="233"/>
      <c r="BM469" s="233"/>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33"/>
      <c r="CI469" s="233"/>
      <c r="CJ469" s="233"/>
      <c r="CK469" s="233"/>
      <c r="CL469" s="233"/>
      <c r="CM469" s="233"/>
      <c r="CN469" s="233"/>
      <c r="CO469" s="233"/>
      <c r="CP469" s="233"/>
      <c r="CQ469" s="233"/>
      <c r="CR469" s="233"/>
      <c r="CS469" s="233"/>
      <c r="CT469" s="233"/>
      <c r="CU469" s="233"/>
      <c r="CV469" s="233"/>
      <c r="CW469" s="233"/>
      <c r="CX469" s="233"/>
      <c r="CY469" s="233"/>
      <c r="CZ469" s="233"/>
      <c r="DA469" s="233"/>
      <c r="DB469" s="233"/>
      <c r="DC469" s="233"/>
      <c r="DD469" s="233"/>
      <c r="DE469" s="233"/>
      <c r="DF469" s="233"/>
      <c r="DG469" s="233"/>
      <c r="DH469" s="233"/>
      <c r="DI469" s="233"/>
      <c r="DJ469" s="233"/>
      <c r="DK469" s="233"/>
      <c r="DL469" s="233"/>
      <c r="DM469" s="233"/>
      <c r="DN469" s="233"/>
      <c r="DO469" s="233"/>
      <c r="DP469" s="233"/>
      <c r="DQ469" s="233"/>
      <c r="DR469" s="233"/>
      <c r="DS469" s="233"/>
      <c r="DT469" s="233"/>
      <c r="DU469" s="233"/>
      <c r="DV469" s="233"/>
      <c r="DW469" s="233"/>
      <c r="DX469" s="233"/>
      <c r="DY469" s="233"/>
      <c r="DZ469" s="233"/>
      <c r="EA469" s="233"/>
      <c r="EB469" s="233"/>
      <c r="EC469" s="233"/>
      <c r="ED469" s="233"/>
      <c r="EE469" s="233"/>
      <c r="EF469" s="233"/>
      <c r="EG469" s="233"/>
      <c r="EH469" s="233"/>
      <c r="EI469" s="233"/>
      <c r="EJ469" s="233"/>
      <c r="EK469" s="233"/>
      <c r="EL469" s="233"/>
      <c r="EM469" s="233"/>
      <c r="EN469" s="233"/>
      <c r="EO469" s="233"/>
      <c r="EP469" s="233"/>
    </row>
    <row r="470" spans="1:146" ht="14.25" x14ac:dyDescent="0.2">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233"/>
      <c r="BE470" s="233"/>
      <c r="BF470" s="233"/>
      <c r="BG470" s="233"/>
      <c r="BH470" s="233"/>
      <c r="BI470" s="233"/>
      <c r="BJ470" s="233"/>
      <c r="BK470" s="233"/>
      <c r="BL470" s="233"/>
      <c r="BM470" s="233"/>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33"/>
      <c r="CI470" s="233"/>
      <c r="CJ470" s="233"/>
      <c r="CK470" s="233"/>
      <c r="CL470" s="233"/>
      <c r="CM470" s="233"/>
      <c r="CN470" s="233"/>
      <c r="CO470" s="233"/>
      <c r="CP470" s="233"/>
      <c r="CQ470" s="233"/>
      <c r="CR470" s="233"/>
      <c r="CS470" s="233"/>
      <c r="CT470" s="233"/>
      <c r="CU470" s="233"/>
      <c r="CV470" s="233"/>
      <c r="CW470" s="233"/>
      <c r="CX470" s="233"/>
      <c r="CY470" s="233"/>
      <c r="CZ470" s="233"/>
      <c r="DA470" s="233"/>
      <c r="DB470" s="233"/>
      <c r="DC470" s="233"/>
      <c r="DD470" s="233"/>
      <c r="DE470" s="233"/>
      <c r="DF470" s="233"/>
      <c r="DG470" s="233"/>
      <c r="DH470" s="233"/>
      <c r="DI470" s="233"/>
      <c r="DJ470" s="233"/>
      <c r="DK470" s="233"/>
      <c r="DL470" s="233"/>
      <c r="DM470" s="233"/>
      <c r="DN470" s="233"/>
      <c r="DO470" s="233"/>
      <c r="DP470" s="233"/>
      <c r="DQ470" s="233"/>
      <c r="DR470" s="233"/>
      <c r="DS470" s="233"/>
      <c r="DT470" s="233"/>
      <c r="DU470" s="233"/>
      <c r="DV470" s="233"/>
      <c r="DW470" s="233"/>
      <c r="DX470" s="233"/>
      <c r="DY470" s="233"/>
      <c r="DZ470" s="233"/>
      <c r="EA470" s="233"/>
      <c r="EB470" s="233"/>
      <c r="EC470" s="233"/>
      <c r="ED470" s="233"/>
      <c r="EE470" s="233"/>
      <c r="EF470" s="233"/>
      <c r="EG470" s="233"/>
      <c r="EH470" s="233"/>
      <c r="EI470" s="233"/>
      <c r="EJ470" s="233"/>
      <c r="EK470" s="233"/>
      <c r="EL470" s="233"/>
      <c r="EM470" s="233"/>
      <c r="EN470" s="233"/>
      <c r="EO470" s="233"/>
      <c r="EP470" s="233"/>
    </row>
    <row r="471" spans="1:146" ht="14.25" x14ac:dyDescent="0.2">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233"/>
      <c r="BE471" s="233"/>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33"/>
      <c r="CN471" s="233"/>
      <c r="CO471" s="233"/>
      <c r="CP471" s="233"/>
      <c r="CQ471" s="233"/>
      <c r="CR471" s="233"/>
      <c r="CS471" s="233"/>
      <c r="CT471" s="233"/>
      <c r="CU471" s="233"/>
      <c r="CV471" s="233"/>
      <c r="CW471" s="233"/>
      <c r="CX471" s="233"/>
      <c r="CY471" s="233"/>
      <c r="CZ471" s="233"/>
      <c r="DA471" s="233"/>
      <c r="DB471" s="233"/>
      <c r="DC471" s="233"/>
      <c r="DD471" s="233"/>
      <c r="DE471" s="233"/>
      <c r="DF471" s="233"/>
      <c r="DG471" s="233"/>
      <c r="DH471" s="233"/>
      <c r="DI471" s="233"/>
      <c r="DJ471" s="233"/>
      <c r="DK471" s="233"/>
      <c r="DL471" s="233"/>
      <c r="DM471" s="233"/>
      <c r="DN471" s="233"/>
      <c r="DO471" s="233"/>
      <c r="DP471" s="233"/>
      <c r="DQ471" s="233"/>
      <c r="DR471" s="233"/>
      <c r="DS471" s="233"/>
      <c r="DT471" s="233"/>
      <c r="DU471" s="233"/>
      <c r="DV471" s="233"/>
      <c r="DW471" s="233"/>
      <c r="DX471" s="233"/>
      <c r="DY471" s="233"/>
      <c r="DZ471" s="233"/>
      <c r="EA471" s="233"/>
      <c r="EB471" s="233"/>
      <c r="EC471" s="233"/>
      <c r="ED471" s="233"/>
      <c r="EE471" s="233"/>
      <c r="EF471" s="233"/>
      <c r="EG471" s="233"/>
      <c r="EH471" s="233"/>
      <c r="EI471" s="233"/>
      <c r="EJ471" s="233"/>
      <c r="EK471" s="233"/>
      <c r="EL471" s="233"/>
      <c r="EM471" s="233"/>
      <c r="EN471" s="233"/>
      <c r="EO471" s="233"/>
      <c r="EP471" s="233"/>
    </row>
    <row r="472" spans="1:146" ht="14.25" x14ac:dyDescent="0.2">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233"/>
      <c r="BE472" s="233"/>
      <c r="BF472" s="233"/>
      <c r="BG472" s="233"/>
      <c r="BH472" s="233"/>
      <c r="BI472" s="233"/>
      <c r="BJ472" s="233"/>
      <c r="BK472" s="233"/>
      <c r="BL472" s="233"/>
      <c r="BM472" s="233"/>
      <c r="BN472" s="233"/>
      <c r="BO472" s="233"/>
      <c r="BP472" s="233"/>
      <c r="BQ472" s="233"/>
      <c r="BR472" s="233"/>
      <c r="BS472" s="233"/>
      <c r="BT472" s="233"/>
      <c r="BU472" s="233"/>
      <c r="BV472" s="233"/>
      <c r="BW472" s="233"/>
      <c r="BX472" s="233"/>
      <c r="BY472" s="233"/>
      <c r="BZ472" s="233"/>
      <c r="CA472" s="233"/>
      <c r="CB472" s="233"/>
      <c r="CC472" s="233"/>
      <c r="CD472" s="233"/>
      <c r="CE472" s="233"/>
      <c r="CF472" s="233"/>
      <c r="CG472" s="233"/>
      <c r="CH472" s="233"/>
      <c r="CI472" s="233"/>
      <c r="CJ472" s="233"/>
      <c r="CK472" s="233"/>
      <c r="CL472" s="233"/>
      <c r="CM472" s="233"/>
      <c r="CN472" s="233"/>
      <c r="CO472" s="233"/>
      <c r="CP472" s="233"/>
      <c r="CQ472" s="233"/>
      <c r="CR472" s="233"/>
      <c r="CS472" s="233"/>
      <c r="CT472" s="233"/>
      <c r="CU472" s="233"/>
      <c r="CV472" s="233"/>
      <c r="CW472" s="233"/>
      <c r="CX472" s="233"/>
      <c r="CY472" s="233"/>
      <c r="CZ472" s="233"/>
      <c r="DA472" s="233"/>
      <c r="DB472" s="233"/>
      <c r="DC472" s="233"/>
      <c r="DD472" s="233"/>
      <c r="DE472" s="233"/>
      <c r="DF472" s="233"/>
      <c r="DG472" s="233"/>
      <c r="DH472" s="233"/>
      <c r="DI472" s="233"/>
      <c r="DJ472" s="233"/>
      <c r="DK472" s="233"/>
      <c r="DL472" s="233"/>
      <c r="DM472" s="233"/>
      <c r="DN472" s="233"/>
      <c r="DO472" s="233"/>
      <c r="DP472" s="233"/>
      <c r="DQ472" s="233"/>
      <c r="DR472" s="233"/>
      <c r="DS472" s="233"/>
      <c r="DT472" s="233"/>
      <c r="DU472" s="233"/>
      <c r="DV472" s="233"/>
      <c r="DW472" s="233"/>
      <c r="DX472" s="233"/>
      <c r="DY472" s="233"/>
      <c r="DZ472" s="233"/>
      <c r="EA472" s="233"/>
      <c r="EB472" s="233"/>
      <c r="EC472" s="233"/>
      <c r="ED472" s="233"/>
      <c r="EE472" s="233"/>
      <c r="EF472" s="233"/>
      <c r="EG472" s="233"/>
      <c r="EH472" s="233"/>
      <c r="EI472" s="233"/>
      <c r="EJ472" s="233"/>
      <c r="EK472" s="233"/>
      <c r="EL472" s="233"/>
      <c r="EM472" s="233"/>
      <c r="EN472" s="233"/>
      <c r="EO472" s="233"/>
      <c r="EP472" s="233"/>
    </row>
    <row r="473" spans="1:146" ht="14.25" x14ac:dyDescent="0.2">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233"/>
      <c r="BE473" s="233"/>
      <c r="BF473" s="233"/>
      <c r="BG473" s="233"/>
      <c r="BH473" s="233"/>
      <c r="BI473" s="233"/>
      <c r="BJ473" s="233"/>
      <c r="BK473" s="233"/>
      <c r="BL473" s="233"/>
      <c r="BM473" s="233"/>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33"/>
      <c r="CI473" s="233"/>
      <c r="CJ473" s="233"/>
      <c r="CK473" s="233"/>
      <c r="CL473" s="233"/>
      <c r="CM473" s="233"/>
      <c r="CN473" s="233"/>
      <c r="CO473" s="233"/>
      <c r="CP473" s="233"/>
      <c r="CQ473" s="233"/>
      <c r="CR473" s="233"/>
      <c r="CS473" s="233"/>
      <c r="CT473" s="233"/>
      <c r="CU473" s="233"/>
      <c r="CV473" s="233"/>
      <c r="CW473" s="233"/>
      <c r="CX473" s="233"/>
      <c r="CY473" s="233"/>
      <c r="CZ473" s="233"/>
      <c r="DA473" s="233"/>
      <c r="DB473" s="233"/>
      <c r="DC473" s="233"/>
      <c r="DD473" s="233"/>
      <c r="DE473" s="233"/>
      <c r="DF473" s="233"/>
      <c r="DG473" s="233"/>
      <c r="DH473" s="233"/>
      <c r="DI473" s="233"/>
      <c r="DJ473" s="233"/>
      <c r="DK473" s="233"/>
      <c r="DL473" s="233"/>
      <c r="DM473" s="233"/>
      <c r="DN473" s="233"/>
      <c r="DO473" s="233"/>
      <c r="DP473" s="233"/>
      <c r="DQ473" s="233"/>
      <c r="DR473" s="233"/>
      <c r="DS473" s="233"/>
      <c r="DT473" s="233"/>
      <c r="DU473" s="233"/>
      <c r="DV473" s="233"/>
      <c r="DW473" s="233"/>
      <c r="DX473" s="233"/>
      <c r="DY473" s="233"/>
      <c r="DZ473" s="233"/>
      <c r="EA473" s="233"/>
      <c r="EB473" s="233"/>
      <c r="EC473" s="233"/>
      <c r="ED473" s="233"/>
      <c r="EE473" s="233"/>
      <c r="EF473" s="233"/>
      <c r="EG473" s="233"/>
      <c r="EH473" s="233"/>
      <c r="EI473" s="233"/>
      <c r="EJ473" s="233"/>
      <c r="EK473" s="233"/>
      <c r="EL473" s="233"/>
      <c r="EM473" s="233"/>
      <c r="EN473" s="233"/>
      <c r="EO473" s="233"/>
      <c r="EP473" s="233"/>
    </row>
    <row r="474" spans="1:146" ht="14.25" x14ac:dyDescent="0.2">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233"/>
      <c r="BE474" s="233"/>
      <c r="BF474" s="233"/>
      <c r="BG474" s="233"/>
      <c r="BH474" s="233"/>
      <c r="BI474" s="233"/>
      <c r="BJ474" s="233"/>
      <c r="BK474" s="233"/>
      <c r="BL474" s="233"/>
      <c r="BM474" s="233"/>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33"/>
      <c r="CI474" s="233"/>
      <c r="CJ474" s="233"/>
      <c r="CK474" s="233"/>
      <c r="CL474" s="233"/>
      <c r="CM474" s="233"/>
      <c r="CN474" s="233"/>
      <c r="CO474" s="233"/>
      <c r="CP474" s="233"/>
      <c r="CQ474" s="233"/>
      <c r="CR474" s="233"/>
      <c r="CS474" s="233"/>
      <c r="CT474" s="233"/>
      <c r="CU474" s="233"/>
      <c r="CV474" s="233"/>
      <c r="CW474" s="233"/>
      <c r="CX474" s="233"/>
      <c r="CY474" s="233"/>
      <c r="CZ474" s="233"/>
      <c r="DA474" s="233"/>
      <c r="DB474" s="233"/>
      <c r="DC474" s="233"/>
      <c r="DD474" s="233"/>
      <c r="DE474" s="233"/>
      <c r="DF474" s="233"/>
      <c r="DG474" s="233"/>
      <c r="DH474" s="233"/>
      <c r="DI474" s="233"/>
      <c r="DJ474" s="233"/>
      <c r="DK474" s="233"/>
      <c r="DL474" s="233"/>
      <c r="DM474" s="233"/>
      <c r="DN474" s="233"/>
      <c r="DO474" s="233"/>
      <c r="DP474" s="233"/>
      <c r="DQ474" s="233"/>
      <c r="DR474" s="233"/>
      <c r="DS474" s="233"/>
      <c r="DT474" s="233"/>
      <c r="DU474" s="233"/>
      <c r="DV474" s="233"/>
      <c r="DW474" s="233"/>
      <c r="DX474" s="233"/>
      <c r="DY474" s="233"/>
      <c r="DZ474" s="233"/>
      <c r="EA474" s="233"/>
      <c r="EB474" s="233"/>
      <c r="EC474" s="233"/>
      <c r="ED474" s="233"/>
      <c r="EE474" s="233"/>
      <c r="EF474" s="233"/>
      <c r="EG474" s="233"/>
      <c r="EH474" s="233"/>
      <c r="EI474" s="233"/>
      <c r="EJ474" s="233"/>
      <c r="EK474" s="233"/>
      <c r="EL474" s="233"/>
      <c r="EM474" s="233"/>
      <c r="EN474" s="233"/>
      <c r="EO474" s="233"/>
      <c r="EP474" s="233"/>
    </row>
    <row r="475" spans="1:146" ht="14.25" x14ac:dyDescent="0.2">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233"/>
      <c r="BE475" s="233"/>
      <c r="BF475" s="233"/>
      <c r="BG475" s="233"/>
      <c r="BH475" s="233"/>
      <c r="BI475" s="233"/>
      <c r="BJ475" s="233"/>
      <c r="BK475" s="233"/>
      <c r="BL475" s="233"/>
      <c r="BM475" s="233"/>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33"/>
      <c r="CI475" s="233"/>
      <c r="CJ475" s="233"/>
      <c r="CK475" s="233"/>
      <c r="CL475" s="233"/>
      <c r="CM475" s="233"/>
      <c r="CN475" s="233"/>
      <c r="CO475" s="233"/>
      <c r="CP475" s="233"/>
      <c r="CQ475" s="233"/>
      <c r="CR475" s="233"/>
      <c r="CS475" s="233"/>
      <c r="CT475" s="233"/>
      <c r="CU475" s="233"/>
      <c r="CV475" s="233"/>
      <c r="CW475" s="233"/>
      <c r="CX475" s="233"/>
      <c r="CY475" s="233"/>
      <c r="CZ475" s="233"/>
      <c r="DA475" s="233"/>
      <c r="DB475" s="233"/>
      <c r="DC475" s="233"/>
      <c r="DD475" s="233"/>
      <c r="DE475" s="233"/>
      <c r="DF475" s="233"/>
      <c r="DG475" s="233"/>
      <c r="DH475" s="233"/>
      <c r="DI475" s="233"/>
      <c r="DJ475" s="233"/>
      <c r="DK475" s="233"/>
      <c r="DL475" s="233"/>
      <c r="DM475" s="233"/>
      <c r="DN475" s="233"/>
      <c r="DO475" s="233"/>
      <c r="DP475" s="233"/>
      <c r="DQ475" s="233"/>
      <c r="DR475" s="233"/>
      <c r="DS475" s="233"/>
      <c r="DT475" s="233"/>
      <c r="DU475" s="233"/>
      <c r="DV475" s="233"/>
      <c r="DW475" s="233"/>
      <c r="DX475" s="233"/>
      <c r="DY475" s="233"/>
      <c r="DZ475" s="233"/>
      <c r="EA475" s="233"/>
      <c r="EB475" s="233"/>
      <c r="EC475" s="233"/>
      <c r="ED475" s="233"/>
      <c r="EE475" s="233"/>
      <c r="EF475" s="233"/>
      <c r="EG475" s="233"/>
      <c r="EH475" s="233"/>
      <c r="EI475" s="233"/>
      <c r="EJ475" s="233"/>
      <c r="EK475" s="233"/>
      <c r="EL475" s="233"/>
      <c r="EM475" s="233"/>
      <c r="EN475" s="233"/>
      <c r="EO475" s="233"/>
      <c r="EP475" s="233"/>
    </row>
    <row r="476" spans="1:146" ht="14.25" x14ac:dyDescent="0.2">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233"/>
      <c r="BE476" s="233"/>
      <c r="BF476" s="233"/>
      <c r="BG476" s="233"/>
      <c r="BH476" s="233"/>
      <c r="BI476" s="233"/>
      <c r="BJ476" s="233"/>
      <c r="BK476" s="233"/>
      <c r="BL476" s="233"/>
      <c r="BM476" s="233"/>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33"/>
      <c r="CI476" s="233"/>
      <c r="CJ476" s="233"/>
      <c r="CK476" s="233"/>
      <c r="CL476" s="233"/>
      <c r="CM476" s="233"/>
      <c r="CN476" s="233"/>
      <c r="CO476" s="233"/>
      <c r="CP476" s="233"/>
      <c r="CQ476" s="233"/>
      <c r="CR476" s="233"/>
      <c r="CS476" s="233"/>
      <c r="CT476" s="233"/>
      <c r="CU476" s="233"/>
      <c r="CV476" s="233"/>
      <c r="CW476" s="233"/>
      <c r="CX476" s="233"/>
      <c r="CY476" s="233"/>
      <c r="CZ476" s="233"/>
      <c r="DA476" s="233"/>
      <c r="DB476" s="233"/>
      <c r="DC476" s="233"/>
      <c r="DD476" s="233"/>
      <c r="DE476" s="233"/>
      <c r="DF476" s="233"/>
      <c r="DG476" s="233"/>
      <c r="DH476" s="233"/>
      <c r="DI476" s="233"/>
      <c r="DJ476" s="233"/>
      <c r="DK476" s="233"/>
      <c r="DL476" s="233"/>
      <c r="DM476" s="233"/>
      <c r="DN476" s="233"/>
      <c r="DO476" s="233"/>
      <c r="DP476" s="233"/>
      <c r="DQ476" s="233"/>
      <c r="DR476" s="233"/>
      <c r="DS476" s="233"/>
      <c r="DT476" s="233"/>
      <c r="DU476" s="233"/>
      <c r="DV476" s="233"/>
      <c r="DW476" s="233"/>
      <c r="DX476" s="233"/>
      <c r="DY476" s="233"/>
      <c r="DZ476" s="233"/>
      <c r="EA476" s="233"/>
      <c r="EB476" s="233"/>
      <c r="EC476" s="233"/>
      <c r="ED476" s="233"/>
      <c r="EE476" s="233"/>
      <c r="EF476" s="233"/>
      <c r="EG476" s="233"/>
      <c r="EH476" s="233"/>
      <c r="EI476" s="233"/>
      <c r="EJ476" s="233"/>
      <c r="EK476" s="233"/>
      <c r="EL476" s="233"/>
      <c r="EM476" s="233"/>
      <c r="EN476" s="233"/>
      <c r="EO476" s="233"/>
      <c r="EP476" s="233"/>
    </row>
    <row r="477" spans="1:146" ht="14.25" x14ac:dyDescent="0.2">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233"/>
      <c r="BE477" s="233"/>
      <c r="BF477" s="233"/>
      <c r="BG477" s="233"/>
      <c r="BH477" s="233"/>
      <c r="BI477" s="233"/>
      <c r="BJ477" s="233"/>
      <c r="BK477" s="233"/>
      <c r="BL477" s="233"/>
      <c r="BM477" s="233"/>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33"/>
      <c r="CI477" s="233"/>
      <c r="CJ477" s="233"/>
      <c r="CK477" s="233"/>
      <c r="CL477" s="233"/>
      <c r="CM477" s="233"/>
      <c r="CN477" s="233"/>
      <c r="CO477" s="233"/>
      <c r="CP477" s="233"/>
      <c r="CQ477" s="233"/>
      <c r="CR477" s="233"/>
      <c r="CS477" s="233"/>
      <c r="CT477" s="233"/>
      <c r="CU477" s="233"/>
      <c r="CV477" s="233"/>
      <c r="CW477" s="233"/>
      <c r="CX477" s="233"/>
      <c r="CY477" s="233"/>
      <c r="CZ477" s="233"/>
      <c r="DA477" s="233"/>
      <c r="DB477" s="233"/>
      <c r="DC477" s="233"/>
      <c r="DD477" s="233"/>
      <c r="DE477" s="233"/>
      <c r="DF477" s="233"/>
      <c r="DG477" s="233"/>
      <c r="DH477" s="233"/>
      <c r="DI477" s="233"/>
      <c r="DJ477" s="233"/>
      <c r="DK477" s="233"/>
      <c r="DL477" s="233"/>
      <c r="DM477" s="233"/>
      <c r="DN477" s="233"/>
      <c r="DO477" s="233"/>
      <c r="DP477" s="233"/>
      <c r="DQ477" s="233"/>
      <c r="DR477" s="233"/>
      <c r="DS477" s="233"/>
      <c r="DT477" s="233"/>
      <c r="DU477" s="233"/>
      <c r="DV477" s="233"/>
      <c r="DW477" s="233"/>
      <c r="DX477" s="233"/>
      <c r="DY477" s="233"/>
      <c r="DZ477" s="233"/>
      <c r="EA477" s="233"/>
      <c r="EB477" s="233"/>
      <c r="EC477" s="233"/>
      <c r="ED477" s="233"/>
      <c r="EE477" s="233"/>
      <c r="EF477" s="233"/>
      <c r="EG477" s="233"/>
      <c r="EH477" s="233"/>
      <c r="EI477" s="233"/>
      <c r="EJ477" s="233"/>
      <c r="EK477" s="233"/>
      <c r="EL477" s="233"/>
      <c r="EM477" s="233"/>
      <c r="EN477" s="233"/>
      <c r="EO477" s="233"/>
      <c r="EP477" s="233"/>
    </row>
    <row r="478" spans="1:146" ht="14.25" x14ac:dyDescent="0.2">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233"/>
      <c r="BE478" s="233"/>
      <c r="BF478" s="233"/>
      <c r="BG478" s="233"/>
      <c r="BH478" s="233"/>
      <c r="BI478" s="233"/>
      <c r="BJ478" s="233"/>
      <c r="BK478" s="233"/>
      <c r="BL478" s="233"/>
      <c r="BM478" s="233"/>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33"/>
      <c r="CI478" s="233"/>
      <c r="CJ478" s="233"/>
      <c r="CK478" s="233"/>
      <c r="CL478" s="233"/>
      <c r="CM478" s="233"/>
      <c r="CN478" s="233"/>
      <c r="CO478" s="233"/>
      <c r="CP478" s="233"/>
      <c r="CQ478" s="233"/>
      <c r="CR478" s="233"/>
      <c r="CS478" s="233"/>
      <c r="CT478" s="233"/>
      <c r="CU478" s="233"/>
      <c r="CV478" s="233"/>
      <c r="CW478" s="233"/>
      <c r="CX478" s="233"/>
      <c r="CY478" s="233"/>
      <c r="CZ478" s="233"/>
      <c r="DA478" s="233"/>
      <c r="DB478" s="233"/>
      <c r="DC478" s="233"/>
      <c r="DD478" s="233"/>
      <c r="DE478" s="233"/>
      <c r="DF478" s="233"/>
      <c r="DG478" s="233"/>
      <c r="DH478" s="233"/>
      <c r="DI478" s="233"/>
      <c r="DJ478" s="233"/>
      <c r="DK478" s="233"/>
      <c r="DL478" s="233"/>
      <c r="DM478" s="233"/>
      <c r="DN478" s="233"/>
      <c r="DO478" s="233"/>
      <c r="DP478" s="233"/>
      <c r="DQ478" s="233"/>
      <c r="DR478" s="233"/>
      <c r="DS478" s="233"/>
      <c r="DT478" s="233"/>
      <c r="DU478" s="233"/>
      <c r="DV478" s="233"/>
      <c r="DW478" s="233"/>
      <c r="DX478" s="233"/>
      <c r="DY478" s="233"/>
      <c r="DZ478" s="233"/>
      <c r="EA478" s="233"/>
      <c r="EB478" s="233"/>
      <c r="EC478" s="233"/>
      <c r="ED478" s="233"/>
      <c r="EE478" s="233"/>
      <c r="EF478" s="233"/>
      <c r="EG478" s="233"/>
      <c r="EH478" s="233"/>
      <c r="EI478" s="233"/>
      <c r="EJ478" s="233"/>
      <c r="EK478" s="233"/>
      <c r="EL478" s="233"/>
      <c r="EM478" s="233"/>
      <c r="EN478" s="233"/>
      <c r="EO478" s="233"/>
      <c r="EP478" s="233"/>
    </row>
    <row r="479" spans="1:146" ht="14.25" x14ac:dyDescent="0.2">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233"/>
      <c r="BE479" s="233"/>
      <c r="BF479" s="233"/>
      <c r="BG479" s="233"/>
      <c r="BH479" s="233"/>
      <c r="BI479" s="233"/>
      <c r="BJ479" s="233"/>
      <c r="BK479" s="233"/>
      <c r="BL479" s="233"/>
      <c r="BM479" s="233"/>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33"/>
      <c r="CI479" s="233"/>
      <c r="CJ479" s="233"/>
      <c r="CK479" s="233"/>
      <c r="CL479" s="233"/>
      <c r="CM479" s="233"/>
      <c r="CN479" s="233"/>
      <c r="CO479" s="233"/>
      <c r="CP479" s="233"/>
      <c r="CQ479" s="233"/>
      <c r="CR479" s="233"/>
      <c r="CS479" s="233"/>
      <c r="CT479" s="233"/>
      <c r="CU479" s="233"/>
      <c r="CV479" s="233"/>
      <c r="CW479" s="233"/>
      <c r="CX479" s="233"/>
      <c r="CY479" s="233"/>
      <c r="CZ479" s="233"/>
      <c r="DA479" s="233"/>
      <c r="DB479" s="233"/>
      <c r="DC479" s="233"/>
      <c r="DD479" s="233"/>
      <c r="DE479" s="233"/>
      <c r="DF479" s="233"/>
      <c r="DG479" s="233"/>
      <c r="DH479" s="233"/>
      <c r="DI479" s="233"/>
      <c r="DJ479" s="233"/>
      <c r="DK479" s="233"/>
      <c r="DL479" s="233"/>
      <c r="DM479" s="233"/>
      <c r="DN479" s="233"/>
      <c r="DO479" s="233"/>
      <c r="DP479" s="233"/>
      <c r="DQ479" s="233"/>
      <c r="DR479" s="233"/>
      <c r="DS479" s="233"/>
      <c r="DT479" s="233"/>
      <c r="DU479" s="233"/>
      <c r="DV479" s="233"/>
      <c r="DW479" s="233"/>
      <c r="DX479" s="233"/>
      <c r="DY479" s="233"/>
      <c r="DZ479" s="233"/>
      <c r="EA479" s="233"/>
      <c r="EB479" s="233"/>
      <c r="EC479" s="233"/>
      <c r="ED479" s="233"/>
      <c r="EE479" s="233"/>
      <c r="EF479" s="233"/>
      <c r="EG479" s="233"/>
      <c r="EH479" s="233"/>
      <c r="EI479" s="233"/>
      <c r="EJ479" s="233"/>
      <c r="EK479" s="233"/>
      <c r="EL479" s="233"/>
      <c r="EM479" s="233"/>
      <c r="EN479" s="233"/>
      <c r="EO479" s="233"/>
      <c r="EP479" s="233"/>
    </row>
    <row r="480" spans="1:146" ht="14.25" x14ac:dyDescent="0.2">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233"/>
      <c r="BE480" s="233"/>
      <c r="BF480" s="233"/>
      <c r="BG480" s="233"/>
      <c r="BH480" s="233"/>
      <c r="BI480" s="233"/>
      <c r="BJ480" s="233"/>
      <c r="BK480" s="233"/>
      <c r="BL480" s="233"/>
      <c r="BM480" s="233"/>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33"/>
      <c r="CI480" s="233"/>
      <c r="CJ480" s="233"/>
      <c r="CK480" s="233"/>
      <c r="CL480" s="233"/>
      <c r="CM480" s="233"/>
      <c r="CN480" s="233"/>
      <c r="CO480" s="233"/>
      <c r="CP480" s="233"/>
      <c r="CQ480" s="233"/>
      <c r="CR480" s="233"/>
      <c r="CS480" s="233"/>
      <c r="CT480" s="233"/>
      <c r="CU480" s="233"/>
      <c r="CV480" s="233"/>
      <c r="CW480" s="233"/>
      <c r="CX480" s="233"/>
      <c r="CY480" s="233"/>
      <c r="CZ480" s="233"/>
      <c r="DA480" s="233"/>
      <c r="DB480" s="233"/>
      <c r="DC480" s="233"/>
      <c r="DD480" s="233"/>
      <c r="DE480" s="233"/>
      <c r="DF480" s="233"/>
      <c r="DG480" s="233"/>
      <c r="DH480" s="233"/>
      <c r="DI480" s="233"/>
      <c r="DJ480" s="233"/>
      <c r="DK480" s="233"/>
      <c r="DL480" s="233"/>
      <c r="DM480" s="233"/>
      <c r="DN480" s="233"/>
      <c r="DO480" s="233"/>
      <c r="DP480" s="233"/>
      <c r="DQ480" s="233"/>
      <c r="DR480" s="233"/>
      <c r="DS480" s="233"/>
      <c r="DT480" s="233"/>
      <c r="DU480" s="233"/>
      <c r="DV480" s="233"/>
      <c r="DW480" s="233"/>
      <c r="DX480" s="233"/>
      <c r="DY480" s="233"/>
      <c r="DZ480" s="233"/>
      <c r="EA480" s="233"/>
      <c r="EB480" s="233"/>
      <c r="EC480" s="233"/>
      <c r="ED480" s="233"/>
      <c r="EE480" s="233"/>
      <c r="EF480" s="233"/>
      <c r="EG480" s="233"/>
      <c r="EH480" s="233"/>
      <c r="EI480" s="233"/>
      <c r="EJ480" s="233"/>
      <c r="EK480" s="233"/>
      <c r="EL480" s="233"/>
      <c r="EM480" s="233"/>
      <c r="EN480" s="233"/>
      <c r="EO480" s="233"/>
      <c r="EP480" s="233"/>
    </row>
    <row r="481" spans="1:146" ht="14.25" x14ac:dyDescent="0.2">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233"/>
      <c r="BE481" s="233"/>
      <c r="BF481" s="233"/>
      <c r="BG481" s="233"/>
      <c r="BH481" s="233"/>
      <c r="BI481" s="233"/>
      <c r="BJ481" s="233"/>
      <c r="BK481" s="233"/>
      <c r="BL481" s="233"/>
      <c r="BM481" s="233"/>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33"/>
      <c r="CI481" s="233"/>
      <c r="CJ481" s="233"/>
      <c r="CK481" s="233"/>
      <c r="CL481" s="233"/>
      <c r="CM481" s="233"/>
      <c r="CN481" s="233"/>
      <c r="CO481" s="233"/>
      <c r="CP481" s="233"/>
      <c r="CQ481" s="233"/>
      <c r="CR481" s="233"/>
      <c r="CS481" s="233"/>
      <c r="CT481" s="233"/>
      <c r="CU481" s="233"/>
      <c r="CV481" s="233"/>
      <c r="CW481" s="233"/>
      <c r="CX481" s="233"/>
      <c r="CY481" s="233"/>
      <c r="CZ481" s="233"/>
      <c r="DA481" s="233"/>
      <c r="DB481" s="233"/>
      <c r="DC481" s="233"/>
      <c r="DD481" s="233"/>
      <c r="DE481" s="233"/>
      <c r="DF481" s="233"/>
      <c r="DG481" s="233"/>
      <c r="DH481" s="233"/>
      <c r="DI481" s="233"/>
      <c r="DJ481" s="233"/>
      <c r="DK481" s="233"/>
      <c r="DL481" s="233"/>
      <c r="DM481" s="233"/>
      <c r="DN481" s="233"/>
      <c r="DO481" s="233"/>
      <c r="DP481" s="233"/>
      <c r="DQ481" s="233"/>
      <c r="DR481" s="233"/>
      <c r="DS481" s="233"/>
      <c r="DT481" s="233"/>
      <c r="DU481" s="233"/>
      <c r="DV481" s="233"/>
      <c r="DW481" s="233"/>
      <c r="DX481" s="233"/>
      <c r="DY481" s="233"/>
      <c r="DZ481" s="233"/>
      <c r="EA481" s="233"/>
      <c r="EB481" s="233"/>
      <c r="EC481" s="233"/>
      <c r="ED481" s="233"/>
      <c r="EE481" s="233"/>
      <c r="EF481" s="233"/>
      <c r="EG481" s="233"/>
      <c r="EH481" s="233"/>
      <c r="EI481" s="233"/>
      <c r="EJ481" s="233"/>
      <c r="EK481" s="233"/>
      <c r="EL481" s="233"/>
      <c r="EM481" s="233"/>
      <c r="EN481" s="233"/>
      <c r="EO481" s="233"/>
      <c r="EP481" s="233"/>
    </row>
    <row r="482" spans="1:146" ht="14.25" x14ac:dyDescent="0.2">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233"/>
      <c r="BE482" s="233"/>
      <c r="BF482" s="233"/>
      <c r="BG482" s="233"/>
      <c r="BH482" s="233"/>
      <c r="BI482" s="233"/>
      <c r="BJ482" s="233"/>
      <c r="BK482" s="233"/>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33"/>
      <c r="CN482" s="233"/>
      <c r="CO482" s="233"/>
      <c r="CP482" s="233"/>
      <c r="CQ482" s="233"/>
      <c r="CR482" s="233"/>
      <c r="CS482" s="233"/>
      <c r="CT482" s="233"/>
      <c r="CU482" s="233"/>
      <c r="CV482" s="233"/>
      <c r="CW482" s="233"/>
      <c r="CX482" s="233"/>
      <c r="CY482" s="233"/>
      <c r="CZ482" s="233"/>
      <c r="DA482" s="233"/>
      <c r="DB482" s="233"/>
      <c r="DC482" s="233"/>
      <c r="DD482" s="233"/>
      <c r="DE482" s="233"/>
      <c r="DF482" s="233"/>
      <c r="DG482" s="233"/>
      <c r="DH482" s="233"/>
      <c r="DI482" s="233"/>
      <c r="DJ482" s="233"/>
      <c r="DK482" s="233"/>
      <c r="DL482" s="233"/>
      <c r="DM482" s="233"/>
      <c r="DN482" s="233"/>
      <c r="DO482" s="233"/>
      <c r="DP482" s="233"/>
      <c r="DQ482" s="233"/>
      <c r="DR482" s="233"/>
      <c r="DS482" s="233"/>
      <c r="DT482" s="233"/>
      <c r="DU482" s="233"/>
      <c r="DV482" s="233"/>
      <c r="DW482" s="233"/>
      <c r="DX482" s="233"/>
      <c r="DY482" s="233"/>
      <c r="DZ482" s="233"/>
      <c r="EA482" s="233"/>
      <c r="EB482" s="233"/>
      <c r="EC482" s="233"/>
      <c r="ED482" s="233"/>
      <c r="EE482" s="233"/>
      <c r="EF482" s="233"/>
      <c r="EG482" s="233"/>
      <c r="EH482" s="233"/>
      <c r="EI482" s="233"/>
      <c r="EJ482" s="233"/>
      <c r="EK482" s="233"/>
      <c r="EL482" s="233"/>
      <c r="EM482" s="233"/>
      <c r="EN482" s="233"/>
      <c r="EO482" s="233"/>
      <c r="EP482" s="233"/>
    </row>
    <row r="483" spans="1:146" ht="14.25" x14ac:dyDescent="0.2">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233"/>
      <c r="BE483" s="233"/>
      <c r="BF483" s="233"/>
      <c r="BG483" s="233"/>
      <c r="BH483" s="233"/>
      <c r="BI483" s="233"/>
      <c r="BJ483" s="233"/>
      <c r="BK483" s="233"/>
      <c r="BL483" s="233"/>
      <c r="BM483" s="233"/>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33"/>
      <c r="CI483" s="233"/>
      <c r="CJ483" s="233"/>
      <c r="CK483" s="233"/>
      <c r="CL483" s="233"/>
      <c r="CM483" s="233"/>
      <c r="CN483" s="233"/>
      <c r="CO483" s="233"/>
      <c r="CP483" s="233"/>
      <c r="CQ483" s="233"/>
      <c r="CR483" s="233"/>
      <c r="CS483" s="233"/>
      <c r="CT483" s="233"/>
      <c r="CU483" s="233"/>
      <c r="CV483" s="233"/>
      <c r="CW483" s="233"/>
      <c r="CX483" s="233"/>
      <c r="CY483" s="233"/>
      <c r="CZ483" s="233"/>
      <c r="DA483" s="233"/>
      <c r="DB483" s="233"/>
      <c r="DC483" s="233"/>
      <c r="DD483" s="233"/>
      <c r="DE483" s="233"/>
      <c r="DF483" s="233"/>
      <c r="DG483" s="233"/>
      <c r="DH483" s="233"/>
      <c r="DI483" s="233"/>
      <c r="DJ483" s="233"/>
      <c r="DK483" s="233"/>
      <c r="DL483" s="233"/>
      <c r="DM483" s="233"/>
      <c r="DN483" s="233"/>
      <c r="DO483" s="233"/>
      <c r="DP483" s="233"/>
      <c r="DQ483" s="233"/>
      <c r="DR483" s="233"/>
      <c r="DS483" s="233"/>
      <c r="DT483" s="233"/>
      <c r="DU483" s="233"/>
      <c r="DV483" s="233"/>
      <c r="DW483" s="233"/>
      <c r="DX483" s="233"/>
      <c r="DY483" s="233"/>
      <c r="DZ483" s="233"/>
      <c r="EA483" s="233"/>
      <c r="EB483" s="233"/>
      <c r="EC483" s="233"/>
      <c r="ED483" s="233"/>
      <c r="EE483" s="233"/>
      <c r="EF483" s="233"/>
      <c r="EG483" s="233"/>
      <c r="EH483" s="233"/>
      <c r="EI483" s="233"/>
      <c r="EJ483" s="233"/>
      <c r="EK483" s="233"/>
      <c r="EL483" s="233"/>
      <c r="EM483" s="233"/>
      <c r="EN483" s="233"/>
      <c r="EO483" s="233"/>
      <c r="EP483" s="233"/>
    </row>
    <row r="484" spans="1:146" ht="14.25" x14ac:dyDescent="0.2">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33"/>
      <c r="CI484" s="233"/>
      <c r="CJ484" s="233"/>
      <c r="CK484" s="233"/>
      <c r="CL484" s="233"/>
      <c r="CM484" s="233"/>
      <c r="CN484" s="233"/>
      <c r="CO484" s="233"/>
      <c r="CP484" s="233"/>
      <c r="CQ484" s="233"/>
      <c r="CR484" s="233"/>
      <c r="CS484" s="233"/>
      <c r="CT484" s="233"/>
      <c r="CU484" s="233"/>
      <c r="CV484" s="233"/>
      <c r="CW484" s="233"/>
      <c r="CX484" s="233"/>
      <c r="CY484" s="233"/>
      <c r="CZ484" s="233"/>
      <c r="DA484" s="233"/>
      <c r="DB484" s="233"/>
      <c r="DC484" s="233"/>
      <c r="DD484" s="233"/>
      <c r="DE484" s="233"/>
      <c r="DF484" s="233"/>
      <c r="DG484" s="233"/>
      <c r="DH484" s="233"/>
      <c r="DI484" s="233"/>
      <c r="DJ484" s="233"/>
      <c r="DK484" s="233"/>
      <c r="DL484" s="233"/>
      <c r="DM484" s="233"/>
      <c r="DN484" s="233"/>
      <c r="DO484" s="233"/>
      <c r="DP484" s="233"/>
      <c r="DQ484" s="233"/>
      <c r="DR484" s="233"/>
      <c r="DS484" s="233"/>
      <c r="DT484" s="233"/>
      <c r="DU484" s="233"/>
      <c r="DV484" s="233"/>
      <c r="DW484" s="233"/>
      <c r="DX484" s="233"/>
      <c r="DY484" s="233"/>
      <c r="DZ484" s="233"/>
      <c r="EA484" s="233"/>
      <c r="EB484" s="233"/>
      <c r="EC484" s="233"/>
      <c r="ED484" s="233"/>
      <c r="EE484" s="233"/>
      <c r="EF484" s="233"/>
      <c r="EG484" s="233"/>
      <c r="EH484" s="233"/>
      <c r="EI484" s="233"/>
      <c r="EJ484" s="233"/>
      <c r="EK484" s="233"/>
      <c r="EL484" s="233"/>
      <c r="EM484" s="233"/>
      <c r="EN484" s="233"/>
      <c r="EO484" s="233"/>
      <c r="EP484" s="233"/>
    </row>
    <row r="485" spans="1:146" ht="14.25" x14ac:dyDescent="0.2">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233"/>
      <c r="BE485" s="233"/>
      <c r="BF485" s="233"/>
      <c r="BG485" s="233"/>
      <c r="BH485" s="233"/>
      <c r="BI485" s="233"/>
      <c r="BJ485" s="233"/>
      <c r="BK485" s="233"/>
      <c r="BL485" s="233"/>
      <c r="BM485" s="233"/>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33"/>
      <c r="CI485" s="233"/>
      <c r="CJ485" s="233"/>
      <c r="CK485" s="233"/>
      <c r="CL485" s="233"/>
      <c r="CM485" s="233"/>
      <c r="CN485" s="233"/>
      <c r="CO485" s="233"/>
      <c r="CP485" s="233"/>
      <c r="CQ485" s="233"/>
      <c r="CR485" s="233"/>
      <c r="CS485" s="233"/>
      <c r="CT485" s="233"/>
      <c r="CU485" s="233"/>
      <c r="CV485" s="233"/>
      <c r="CW485" s="233"/>
      <c r="CX485" s="233"/>
      <c r="CY485" s="233"/>
      <c r="CZ485" s="233"/>
      <c r="DA485" s="233"/>
      <c r="DB485" s="233"/>
      <c r="DC485" s="233"/>
      <c r="DD485" s="233"/>
      <c r="DE485" s="233"/>
      <c r="DF485" s="233"/>
      <c r="DG485" s="233"/>
      <c r="DH485" s="233"/>
      <c r="DI485" s="233"/>
      <c r="DJ485" s="233"/>
      <c r="DK485" s="233"/>
      <c r="DL485" s="233"/>
      <c r="DM485" s="233"/>
      <c r="DN485" s="233"/>
      <c r="DO485" s="233"/>
      <c r="DP485" s="233"/>
      <c r="DQ485" s="233"/>
      <c r="DR485" s="233"/>
      <c r="DS485" s="233"/>
      <c r="DT485" s="233"/>
      <c r="DU485" s="233"/>
      <c r="DV485" s="233"/>
      <c r="DW485" s="233"/>
      <c r="DX485" s="233"/>
      <c r="DY485" s="233"/>
      <c r="DZ485" s="233"/>
      <c r="EA485" s="233"/>
      <c r="EB485" s="233"/>
      <c r="EC485" s="233"/>
      <c r="ED485" s="233"/>
      <c r="EE485" s="233"/>
      <c r="EF485" s="233"/>
      <c r="EG485" s="233"/>
      <c r="EH485" s="233"/>
      <c r="EI485" s="233"/>
      <c r="EJ485" s="233"/>
      <c r="EK485" s="233"/>
      <c r="EL485" s="233"/>
      <c r="EM485" s="233"/>
      <c r="EN485" s="233"/>
      <c r="EO485" s="233"/>
      <c r="EP485" s="233"/>
    </row>
    <row r="486" spans="1:146" ht="14.25" x14ac:dyDescent="0.2">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33"/>
      <c r="CI486" s="233"/>
      <c r="CJ486" s="233"/>
      <c r="CK486" s="233"/>
      <c r="CL486" s="233"/>
      <c r="CM486" s="233"/>
      <c r="CN486" s="233"/>
      <c r="CO486" s="233"/>
      <c r="CP486" s="233"/>
      <c r="CQ486" s="233"/>
      <c r="CR486" s="233"/>
      <c r="CS486" s="233"/>
      <c r="CT486" s="233"/>
      <c r="CU486" s="233"/>
      <c r="CV486" s="233"/>
      <c r="CW486" s="233"/>
      <c r="CX486" s="233"/>
      <c r="CY486" s="233"/>
      <c r="CZ486" s="233"/>
      <c r="DA486" s="233"/>
      <c r="DB486" s="233"/>
      <c r="DC486" s="233"/>
      <c r="DD486" s="233"/>
      <c r="DE486" s="233"/>
      <c r="DF486" s="233"/>
      <c r="DG486" s="233"/>
      <c r="DH486" s="233"/>
      <c r="DI486" s="233"/>
      <c r="DJ486" s="233"/>
      <c r="DK486" s="233"/>
      <c r="DL486" s="233"/>
      <c r="DM486" s="233"/>
      <c r="DN486" s="233"/>
      <c r="DO486" s="233"/>
      <c r="DP486" s="233"/>
      <c r="DQ486" s="233"/>
      <c r="DR486" s="233"/>
      <c r="DS486" s="233"/>
      <c r="DT486" s="233"/>
      <c r="DU486" s="233"/>
      <c r="DV486" s="233"/>
      <c r="DW486" s="233"/>
      <c r="DX486" s="233"/>
      <c r="DY486" s="233"/>
      <c r="DZ486" s="233"/>
      <c r="EA486" s="233"/>
      <c r="EB486" s="233"/>
      <c r="EC486" s="233"/>
      <c r="ED486" s="233"/>
      <c r="EE486" s="233"/>
      <c r="EF486" s="233"/>
      <c r="EG486" s="233"/>
      <c r="EH486" s="233"/>
      <c r="EI486" s="233"/>
      <c r="EJ486" s="233"/>
      <c r="EK486" s="233"/>
      <c r="EL486" s="233"/>
      <c r="EM486" s="233"/>
      <c r="EN486" s="233"/>
      <c r="EO486" s="233"/>
      <c r="EP486" s="233"/>
    </row>
    <row r="487" spans="1:146" ht="14.25" x14ac:dyDescent="0.2">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233"/>
      <c r="BE487" s="233"/>
      <c r="BF487" s="233"/>
      <c r="BG487" s="233"/>
      <c r="BH487" s="233"/>
      <c r="BI487" s="233"/>
      <c r="BJ487" s="233"/>
      <c r="BK487" s="233"/>
      <c r="BL487" s="233"/>
      <c r="BM487" s="233"/>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33"/>
      <c r="CI487" s="233"/>
      <c r="CJ487" s="233"/>
      <c r="CK487" s="233"/>
      <c r="CL487" s="233"/>
      <c r="CM487" s="233"/>
      <c r="CN487" s="233"/>
      <c r="CO487" s="233"/>
      <c r="CP487" s="233"/>
      <c r="CQ487" s="233"/>
      <c r="CR487" s="233"/>
      <c r="CS487" s="233"/>
      <c r="CT487" s="233"/>
      <c r="CU487" s="233"/>
      <c r="CV487" s="233"/>
      <c r="CW487" s="233"/>
      <c r="CX487" s="233"/>
      <c r="CY487" s="233"/>
      <c r="CZ487" s="233"/>
      <c r="DA487" s="233"/>
      <c r="DB487" s="233"/>
      <c r="DC487" s="233"/>
      <c r="DD487" s="233"/>
      <c r="DE487" s="233"/>
      <c r="DF487" s="233"/>
      <c r="DG487" s="233"/>
      <c r="DH487" s="233"/>
      <c r="DI487" s="233"/>
      <c r="DJ487" s="233"/>
      <c r="DK487" s="233"/>
      <c r="DL487" s="233"/>
      <c r="DM487" s="233"/>
      <c r="DN487" s="233"/>
      <c r="DO487" s="233"/>
      <c r="DP487" s="233"/>
      <c r="DQ487" s="233"/>
      <c r="DR487" s="233"/>
      <c r="DS487" s="233"/>
      <c r="DT487" s="233"/>
      <c r="DU487" s="233"/>
      <c r="DV487" s="233"/>
      <c r="DW487" s="233"/>
      <c r="DX487" s="233"/>
      <c r="DY487" s="233"/>
      <c r="DZ487" s="233"/>
      <c r="EA487" s="233"/>
      <c r="EB487" s="233"/>
      <c r="EC487" s="233"/>
      <c r="ED487" s="233"/>
      <c r="EE487" s="233"/>
      <c r="EF487" s="233"/>
      <c r="EG487" s="233"/>
      <c r="EH487" s="233"/>
      <c r="EI487" s="233"/>
      <c r="EJ487" s="233"/>
      <c r="EK487" s="233"/>
      <c r="EL487" s="233"/>
      <c r="EM487" s="233"/>
      <c r="EN487" s="233"/>
      <c r="EO487" s="233"/>
      <c r="EP487" s="233"/>
    </row>
    <row r="488" spans="1:146" ht="14.25" x14ac:dyDescent="0.2">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233"/>
      <c r="BE488" s="233"/>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33"/>
      <c r="CN488" s="233"/>
      <c r="CO488" s="233"/>
      <c r="CP488" s="233"/>
      <c r="CQ488" s="233"/>
      <c r="CR488" s="233"/>
      <c r="CS488" s="233"/>
      <c r="CT488" s="233"/>
      <c r="CU488" s="233"/>
      <c r="CV488" s="233"/>
      <c r="CW488" s="233"/>
      <c r="CX488" s="233"/>
      <c r="CY488" s="233"/>
      <c r="CZ488" s="233"/>
      <c r="DA488" s="233"/>
      <c r="DB488" s="233"/>
      <c r="DC488" s="233"/>
      <c r="DD488" s="233"/>
      <c r="DE488" s="233"/>
      <c r="DF488" s="233"/>
      <c r="DG488" s="233"/>
      <c r="DH488" s="233"/>
      <c r="DI488" s="233"/>
      <c r="DJ488" s="233"/>
      <c r="DK488" s="233"/>
      <c r="DL488" s="233"/>
      <c r="DM488" s="233"/>
      <c r="DN488" s="233"/>
      <c r="DO488" s="233"/>
      <c r="DP488" s="233"/>
      <c r="DQ488" s="233"/>
      <c r="DR488" s="233"/>
      <c r="DS488" s="233"/>
      <c r="DT488" s="233"/>
      <c r="DU488" s="233"/>
      <c r="DV488" s="233"/>
      <c r="DW488" s="233"/>
      <c r="DX488" s="233"/>
      <c r="DY488" s="233"/>
      <c r="DZ488" s="233"/>
      <c r="EA488" s="233"/>
      <c r="EB488" s="233"/>
      <c r="EC488" s="233"/>
      <c r="ED488" s="233"/>
      <c r="EE488" s="233"/>
      <c r="EF488" s="233"/>
      <c r="EG488" s="233"/>
      <c r="EH488" s="233"/>
      <c r="EI488" s="233"/>
      <c r="EJ488" s="233"/>
      <c r="EK488" s="233"/>
      <c r="EL488" s="233"/>
      <c r="EM488" s="233"/>
      <c r="EN488" s="233"/>
      <c r="EO488" s="233"/>
      <c r="EP488" s="233"/>
    </row>
    <row r="489" spans="1:146" ht="14.25" x14ac:dyDescent="0.2">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233"/>
      <c r="BE489" s="233"/>
      <c r="BF489" s="233"/>
      <c r="BG489" s="233"/>
      <c r="BH489" s="233"/>
      <c r="BI489" s="233"/>
      <c r="BJ489" s="233"/>
      <c r="BK489" s="233"/>
      <c r="BL489" s="233"/>
      <c r="BM489" s="233"/>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33"/>
      <c r="CI489" s="233"/>
      <c r="CJ489" s="233"/>
      <c r="CK489" s="233"/>
      <c r="CL489" s="233"/>
      <c r="CM489" s="233"/>
      <c r="CN489" s="233"/>
      <c r="CO489" s="233"/>
      <c r="CP489" s="233"/>
      <c r="CQ489" s="233"/>
      <c r="CR489" s="233"/>
      <c r="CS489" s="233"/>
      <c r="CT489" s="233"/>
      <c r="CU489" s="233"/>
      <c r="CV489" s="233"/>
      <c r="CW489" s="233"/>
      <c r="CX489" s="233"/>
      <c r="CY489" s="233"/>
      <c r="CZ489" s="233"/>
      <c r="DA489" s="233"/>
      <c r="DB489" s="233"/>
      <c r="DC489" s="233"/>
      <c r="DD489" s="233"/>
      <c r="DE489" s="233"/>
      <c r="DF489" s="233"/>
      <c r="DG489" s="233"/>
      <c r="DH489" s="233"/>
      <c r="DI489" s="233"/>
      <c r="DJ489" s="233"/>
      <c r="DK489" s="233"/>
      <c r="DL489" s="233"/>
      <c r="DM489" s="233"/>
      <c r="DN489" s="233"/>
      <c r="DO489" s="233"/>
      <c r="DP489" s="233"/>
      <c r="DQ489" s="233"/>
      <c r="DR489" s="233"/>
      <c r="DS489" s="233"/>
      <c r="DT489" s="233"/>
      <c r="DU489" s="233"/>
      <c r="DV489" s="233"/>
      <c r="DW489" s="233"/>
      <c r="DX489" s="233"/>
      <c r="DY489" s="233"/>
      <c r="DZ489" s="233"/>
      <c r="EA489" s="233"/>
      <c r="EB489" s="233"/>
      <c r="EC489" s="233"/>
      <c r="ED489" s="233"/>
      <c r="EE489" s="233"/>
      <c r="EF489" s="233"/>
      <c r="EG489" s="233"/>
      <c r="EH489" s="233"/>
      <c r="EI489" s="233"/>
      <c r="EJ489" s="233"/>
      <c r="EK489" s="233"/>
      <c r="EL489" s="233"/>
      <c r="EM489" s="233"/>
      <c r="EN489" s="233"/>
      <c r="EO489" s="233"/>
      <c r="EP489" s="233"/>
    </row>
    <row r="490" spans="1:146" ht="14.25" x14ac:dyDescent="0.2">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233"/>
      <c r="BE490" s="233"/>
      <c r="BF490" s="233"/>
      <c r="BG490" s="233"/>
      <c r="BH490" s="233"/>
      <c r="BI490" s="233"/>
      <c r="BJ490" s="233"/>
      <c r="BK490" s="233"/>
      <c r="BL490" s="233"/>
      <c r="BM490" s="233"/>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33"/>
      <c r="CI490" s="233"/>
      <c r="CJ490" s="233"/>
      <c r="CK490" s="233"/>
      <c r="CL490" s="233"/>
      <c r="CM490" s="233"/>
      <c r="CN490" s="233"/>
      <c r="CO490" s="233"/>
      <c r="CP490" s="233"/>
      <c r="CQ490" s="233"/>
      <c r="CR490" s="233"/>
      <c r="CS490" s="233"/>
      <c r="CT490" s="233"/>
      <c r="CU490" s="233"/>
      <c r="CV490" s="233"/>
      <c r="CW490" s="233"/>
      <c r="CX490" s="233"/>
      <c r="CY490" s="233"/>
      <c r="CZ490" s="233"/>
      <c r="DA490" s="233"/>
      <c r="DB490" s="233"/>
      <c r="DC490" s="233"/>
      <c r="DD490" s="233"/>
      <c r="DE490" s="233"/>
      <c r="DF490" s="233"/>
      <c r="DG490" s="233"/>
      <c r="DH490" s="233"/>
      <c r="DI490" s="233"/>
      <c r="DJ490" s="233"/>
      <c r="DK490" s="233"/>
      <c r="DL490" s="233"/>
      <c r="DM490" s="233"/>
      <c r="DN490" s="233"/>
      <c r="DO490" s="233"/>
      <c r="DP490" s="233"/>
      <c r="DQ490" s="233"/>
      <c r="DR490" s="233"/>
      <c r="DS490" s="233"/>
      <c r="DT490" s="233"/>
      <c r="DU490" s="233"/>
      <c r="DV490" s="233"/>
      <c r="DW490" s="233"/>
      <c r="DX490" s="233"/>
      <c r="DY490" s="233"/>
      <c r="DZ490" s="233"/>
      <c r="EA490" s="233"/>
      <c r="EB490" s="233"/>
      <c r="EC490" s="233"/>
      <c r="ED490" s="233"/>
      <c r="EE490" s="233"/>
      <c r="EF490" s="233"/>
      <c r="EG490" s="233"/>
      <c r="EH490" s="233"/>
      <c r="EI490" s="233"/>
      <c r="EJ490" s="233"/>
      <c r="EK490" s="233"/>
      <c r="EL490" s="233"/>
      <c r="EM490" s="233"/>
      <c r="EN490" s="233"/>
      <c r="EO490" s="233"/>
      <c r="EP490" s="233"/>
    </row>
    <row r="491" spans="1:146" ht="14.25" x14ac:dyDescent="0.2">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233"/>
      <c r="BE491" s="233"/>
      <c r="BF491" s="233"/>
      <c r="BG491" s="233"/>
      <c r="BH491" s="233"/>
      <c r="BI491" s="233"/>
      <c r="BJ491" s="233"/>
      <c r="BK491" s="233"/>
      <c r="BL491" s="233"/>
      <c r="BM491" s="233"/>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33"/>
      <c r="CI491" s="233"/>
      <c r="CJ491" s="233"/>
      <c r="CK491" s="233"/>
      <c r="CL491" s="233"/>
      <c r="CM491" s="233"/>
      <c r="CN491" s="233"/>
      <c r="CO491" s="233"/>
      <c r="CP491" s="233"/>
      <c r="CQ491" s="233"/>
      <c r="CR491" s="233"/>
      <c r="CS491" s="233"/>
      <c r="CT491" s="233"/>
      <c r="CU491" s="233"/>
      <c r="CV491" s="233"/>
      <c r="CW491" s="233"/>
      <c r="CX491" s="233"/>
      <c r="CY491" s="233"/>
      <c r="CZ491" s="233"/>
      <c r="DA491" s="233"/>
      <c r="DB491" s="233"/>
      <c r="DC491" s="233"/>
      <c r="DD491" s="233"/>
      <c r="DE491" s="233"/>
      <c r="DF491" s="233"/>
      <c r="DG491" s="233"/>
      <c r="DH491" s="233"/>
      <c r="DI491" s="233"/>
      <c r="DJ491" s="233"/>
      <c r="DK491" s="233"/>
      <c r="DL491" s="233"/>
      <c r="DM491" s="233"/>
      <c r="DN491" s="233"/>
      <c r="DO491" s="233"/>
      <c r="DP491" s="233"/>
      <c r="DQ491" s="233"/>
      <c r="DR491" s="233"/>
      <c r="DS491" s="233"/>
      <c r="DT491" s="233"/>
      <c r="DU491" s="233"/>
      <c r="DV491" s="233"/>
      <c r="DW491" s="233"/>
      <c r="DX491" s="233"/>
      <c r="DY491" s="233"/>
      <c r="DZ491" s="233"/>
      <c r="EA491" s="233"/>
      <c r="EB491" s="233"/>
      <c r="EC491" s="233"/>
      <c r="ED491" s="233"/>
      <c r="EE491" s="233"/>
      <c r="EF491" s="233"/>
      <c r="EG491" s="233"/>
      <c r="EH491" s="233"/>
      <c r="EI491" s="233"/>
      <c r="EJ491" s="233"/>
      <c r="EK491" s="233"/>
      <c r="EL491" s="233"/>
      <c r="EM491" s="233"/>
      <c r="EN491" s="233"/>
      <c r="EO491" s="233"/>
      <c r="EP491" s="233"/>
    </row>
    <row r="492" spans="1:146" ht="14.25" x14ac:dyDescent="0.2">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33"/>
      <c r="BF492" s="233"/>
      <c r="BG492" s="233"/>
      <c r="BH492" s="233"/>
      <c r="BI492" s="233"/>
      <c r="BJ492" s="233"/>
      <c r="BK492" s="233"/>
      <c r="BL492" s="233"/>
      <c r="BM492" s="233"/>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33"/>
      <c r="CI492" s="233"/>
      <c r="CJ492" s="233"/>
      <c r="CK492" s="233"/>
      <c r="CL492" s="233"/>
      <c r="CM492" s="233"/>
      <c r="CN492" s="233"/>
      <c r="CO492" s="233"/>
      <c r="CP492" s="233"/>
      <c r="CQ492" s="233"/>
      <c r="CR492" s="233"/>
      <c r="CS492" s="233"/>
      <c r="CT492" s="233"/>
      <c r="CU492" s="233"/>
      <c r="CV492" s="233"/>
      <c r="CW492" s="233"/>
      <c r="CX492" s="233"/>
      <c r="CY492" s="233"/>
      <c r="CZ492" s="233"/>
      <c r="DA492" s="233"/>
      <c r="DB492" s="233"/>
      <c r="DC492" s="233"/>
      <c r="DD492" s="233"/>
      <c r="DE492" s="233"/>
      <c r="DF492" s="233"/>
      <c r="DG492" s="233"/>
      <c r="DH492" s="233"/>
      <c r="DI492" s="233"/>
      <c r="DJ492" s="233"/>
      <c r="DK492" s="233"/>
      <c r="DL492" s="233"/>
      <c r="DM492" s="233"/>
      <c r="DN492" s="233"/>
      <c r="DO492" s="233"/>
      <c r="DP492" s="233"/>
      <c r="DQ492" s="233"/>
      <c r="DR492" s="233"/>
      <c r="DS492" s="233"/>
      <c r="DT492" s="233"/>
      <c r="DU492" s="233"/>
      <c r="DV492" s="233"/>
      <c r="DW492" s="233"/>
      <c r="DX492" s="233"/>
      <c r="DY492" s="233"/>
      <c r="DZ492" s="233"/>
      <c r="EA492" s="233"/>
      <c r="EB492" s="233"/>
      <c r="EC492" s="233"/>
      <c r="ED492" s="233"/>
      <c r="EE492" s="233"/>
      <c r="EF492" s="233"/>
      <c r="EG492" s="233"/>
      <c r="EH492" s="233"/>
      <c r="EI492" s="233"/>
      <c r="EJ492" s="233"/>
      <c r="EK492" s="233"/>
      <c r="EL492" s="233"/>
      <c r="EM492" s="233"/>
      <c r="EN492" s="233"/>
      <c r="EO492" s="233"/>
      <c r="EP492" s="233"/>
    </row>
    <row r="493" spans="1:146" ht="14.25" x14ac:dyDescent="0.2">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33"/>
      <c r="BF493" s="233"/>
      <c r="BG493" s="233"/>
      <c r="BH493" s="233"/>
      <c r="BI493" s="233"/>
      <c r="BJ493" s="233"/>
      <c r="BK493" s="233"/>
      <c r="BL493" s="233"/>
      <c r="BM493" s="233"/>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33"/>
      <c r="CI493" s="233"/>
      <c r="CJ493" s="233"/>
      <c r="CK493" s="233"/>
      <c r="CL493" s="233"/>
      <c r="CM493" s="233"/>
      <c r="CN493" s="233"/>
      <c r="CO493" s="233"/>
      <c r="CP493" s="233"/>
      <c r="CQ493" s="233"/>
      <c r="CR493" s="233"/>
      <c r="CS493" s="233"/>
      <c r="CT493" s="233"/>
      <c r="CU493" s="233"/>
      <c r="CV493" s="233"/>
      <c r="CW493" s="233"/>
      <c r="CX493" s="233"/>
      <c r="CY493" s="233"/>
      <c r="CZ493" s="233"/>
      <c r="DA493" s="233"/>
      <c r="DB493" s="233"/>
      <c r="DC493" s="233"/>
      <c r="DD493" s="233"/>
      <c r="DE493" s="233"/>
      <c r="DF493" s="233"/>
      <c r="DG493" s="233"/>
      <c r="DH493" s="233"/>
      <c r="DI493" s="233"/>
      <c r="DJ493" s="233"/>
      <c r="DK493" s="233"/>
      <c r="DL493" s="233"/>
      <c r="DM493" s="233"/>
      <c r="DN493" s="233"/>
      <c r="DO493" s="233"/>
      <c r="DP493" s="233"/>
      <c r="DQ493" s="233"/>
      <c r="DR493" s="233"/>
      <c r="DS493" s="233"/>
      <c r="DT493" s="233"/>
      <c r="DU493" s="233"/>
      <c r="DV493" s="233"/>
      <c r="DW493" s="233"/>
      <c r="DX493" s="233"/>
      <c r="DY493" s="233"/>
      <c r="DZ493" s="233"/>
      <c r="EA493" s="233"/>
      <c r="EB493" s="233"/>
      <c r="EC493" s="233"/>
      <c r="ED493" s="233"/>
      <c r="EE493" s="233"/>
      <c r="EF493" s="233"/>
      <c r="EG493" s="233"/>
      <c r="EH493" s="233"/>
      <c r="EI493" s="233"/>
      <c r="EJ493" s="233"/>
      <c r="EK493" s="233"/>
      <c r="EL493" s="233"/>
      <c r="EM493" s="233"/>
      <c r="EN493" s="233"/>
      <c r="EO493" s="233"/>
      <c r="EP493" s="233"/>
    </row>
    <row r="494" spans="1:146" ht="14.25" x14ac:dyDescent="0.2">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33"/>
      <c r="CN494" s="233"/>
      <c r="CO494" s="233"/>
      <c r="CP494" s="233"/>
      <c r="CQ494" s="233"/>
      <c r="CR494" s="233"/>
      <c r="CS494" s="233"/>
      <c r="CT494" s="233"/>
      <c r="CU494" s="233"/>
      <c r="CV494" s="233"/>
      <c r="CW494" s="233"/>
      <c r="CX494" s="233"/>
      <c r="CY494" s="233"/>
      <c r="CZ494" s="233"/>
      <c r="DA494" s="233"/>
      <c r="DB494" s="233"/>
      <c r="DC494" s="233"/>
      <c r="DD494" s="233"/>
      <c r="DE494" s="233"/>
      <c r="DF494" s="233"/>
      <c r="DG494" s="233"/>
      <c r="DH494" s="233"/>
      <c r="DI494" s="233"/>
      <c r="DJ494" s="233"/>
      <c r="DK494" s="233"/>
      <c r="DL494" s="233"/>
      <c r="DM494" s="233"/>
      <c r="DN494" s="233"/>
      <c r="DO494" s="233"/>
      <c r="DP494" s="233"/>
      <c r="DQ494" s="233"/>
      <c r="DR494" s="233"/>
      <c r="DS494" s="233"/>
      <c r="DT494" s="233"/>
      <c r="DU494" s="233"/>
      <c r="DV494" s="233"/>
      <c r="DW494" s="233"/>
      <c r="DX494" s="233"/>
      <c r="DY494" s="233"/>
      <c r="DZ494" s="233"/>
      <c r="EA494" s="233"/>
      <c r="EB494" s="233"/>
      <c r="EC494" s="233"/>
      <c r="ED494" s="233"/>
      <c r="EE494" s="233"/>
      <c r="EF494" s="233"/>
      <c r="EG494" s="233"/>
      <c r="EH494" s="233"/>
      <c r="EI494" s="233"/>
      <c r="EJ494" s="233"/>
      <c r="EK494" s="233"/>
      <c r="EL494" s="233"/>
      <c r="EM494" s="233"/>
      <c r="EN494" s="233"/>
      <c r="EO494" s="233"/>
      <c r="EP494" s="233"/>
    </row>
    <row r="495" spans="1:146" ht="14.25" x14ac:dyDescent="0.2">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233"/>
      <c r="CK495" s="233"/>
      <c r="CL495" s="233"/>
      <c r="CM495" s="233"/>
      <c r="CN495" s="233"/>
      <c r="CO495" s="233"/>
      <c r="CP495" s="233"/>
      <c r="CQ495" s="233"/>
      <c r="CR495" s="233"/>
      <c r="CS495" s="233"/>
      <c r="CT495" s="233"/>
      <c r="CU495" s="233"/>
      <c r="CV495" s="233"/>
      <c r="CW495" s="233"/>
      <c r="CX495" s="233"/>
      <c r="CY495" s="233"/>
      <c r="CZ495" s="233"/>
      <c r="DA495" s="233"/>
      <c r="DB495" s="233"/>
      <c r="DC495" s="233"/>
      <c r="DD495" s="233"/>
      <c r="DE495" s="233"/>
      <c r="DF495" s="233"/>
      <c r="DG495" s="233"/>
      <c r="DH495" s="233"/>
      <c r="DI495" s="233"/>
      <c r="DJ495" s="233"/>
      <c r="DK495" s="233"/>
      <c r="DL495" s="233"/>
      <c r="DM495" s="233"/>
      <c r="DN495" s="233"/>
      <c r="DO495" s="233"/>
      <c r="DP495" s="233"/>
      <c r="DQ495" s="233"/>
      <c r="DR495" s="233"/>
      <c r="DS495" s="233"/>
      <c r="DT495" s="233"/>
      <c r="DU495" s="233"/>
      <c r="DV495" s="233"/>
      <c r="DW495" s="233"/>
      <c r="DX495" s="233"/>
      <c r="DY495" s="233"/>
      <c r="DZ495" s="233"/>
      <c r="EA495" s="233"/>
      <c r="EB495" s="233"/>
      <c r="EC495" s="233"/>
      <c r="ED495" s="233"/>
      <c r="EE495" s="233"/>
      <c r="EF495" s="233"/>
      <c r="EG495" s="233"/>
      <c r="EH495" s="233"/>
      <c r="EI495" s="233"/>
      <c r="EJ495" s="233"/>
      <c r="EK495" s="233"/>
      <c r="EL495" s="233"/>
      <c r="EM495" s="233"/>
      <c r="EN495" s="233"/>
      <c r="EO495" s="233"/>
      <c r="EP495" s="233"/>
    </row>
    <row r="496" spans="1:146" ht="14.25" x14ac:dyDescent="0.2">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33"/>
      <c r="CN496" s="233"/>
      <c r="CO496" s="233"/>
      <c r="CP496" s="233"/>
      <c r="CQ496" s="233"/>
      <c r="CR496" s="233"/>
      <c r="CS496" s="233"/>
      <c r="CT496" s="233"/>
      <c r="CU496" s="233"/>
      <c r="CV496" s="233"/>
      <c r="CW496" s="233"/>
      <c r="CX496" s="233"/>
      <c r="CY496" s="233"/>
      <c r="CZ496" s="233"/>
      <c r="DA496" s="233"/>
      <c r="DB496" s="233"/>
      <c r="DC496" s="233"/>
      <c r="DD496" s="233"/>
      <c r="DE496" s="233"/>
      <c r="DF496" s="233"/>
      <c r="DG496" s="233"/>
      <c r="DH496" s="233"/>
      <c r="DI496" s="233"/>
      <c r="DJ496" s="233"/>
      <c r="DK496" s="233"/>
      <c r="DL496" s="233"/>
      <c r="DM496" s="233"/>
      <c r="DN496" s="233"/>
      <c r="DO496" s="233"/>
      <c r="DP496" s="233"/>
      <c r="DQ496" s="233"/>
      <c r="DR496" s="233"/>
      <c r="DS496" s="233"/>
      <c r="DT496" s="233"/>
      <c r="DU496" s="233"/>
      <c r="DV496" s="233"/>
      <c r="DW496" s="233"/>
      <c r="DX496" s="233"/>
      <c r="DY496" s="233"/>
      <c r="DZ496" s="233"/>
      <c r="EA496" s="233"/>
      <c r="EB496" s="233"/>
      <c r="EC496" s="233"/>
      <c r="ED496" s="233"/>
      <c r="EE496" s="233"/>
      <c r="EF496" s="233"/>
      <c r="EG496" s="233"/>
      <c r="EH496" s="233"/>
      <c r="EI496" s="233"/>
      <c r="EJ496" s="233"/>
      <c r="EK496" s="233"/>
      <c r="EL496" s="233"/>
      <c r="EM496" s="233"/>
      <c r="EN496" s="233"/>
      <c r="EO496" s="233"/>
      <c r="EP496" s="233"/>
    </row>
    <row r="497" spans="1:146" ht="14.25" x14ac:dyDescent="0.2">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33"/>
      <c r="BF497" s="233"/>
      <c r="BG497" s="233"/>
      <c r="BH497" s="233"/>
      <c r="BI497" s="233"/>
      <c r="BJ497" s="233"/>
      <c r="BK497" s="233"/>
      <c r="BL497" s="233"/>
      <c r="BM497" s="233"/>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33"/>
      <c r="CI497" s="233"/>
      <c r="CJ497" s="233"/>
      <c r="CK497" s="233"/>
      <c r="CL497" s="233"/>
      <c r="CM497" s="233"/>
      <c r="CN497" s="233"/>
      <c r="CO497" s="233"/>
      <c r="CP497" s="233"/>
      <c r="CQ497" s="233"/>
      <c r="CR497" s="233"/>
      <c r="CS497" s="233"/>
      <c r="CT497" s="233"/>
      <c r="CU497" s="233"/>
      <c r="CV497" s="233"/>
      <c r="CW497" s="233"/>
      <c r="CX497" s="233"/>
      <c r="CY497" s="233"/>
      <c r="CZ497" s="233"/>
      <c r="DA497" s="233"/>
      <c r="DB497" s="233"/>
      <c r="DC497" s="233"/>
      <c r="DD497" s="233"/>
      <c r="DE497" s="233"/>
      <c r="DF497" s="233"/>
      <c r="DG497" s="233"/>
      <c r="DH497" s="233"/>
      <c r="DI497" s="233"/>
      <c r="DJ497" s="233"/>
      <c r="DK497" s="233"/>
      <c r="DL497" s="233"/>
      <c r="DM497" s="233"/>
      <c r="DN497" s="233"/>
      <c r="DO497" s="233"/>
      <c r="DP497" s="233"/>
      <c r="DQ497" s="233"/>
      <c r="DR497" s="233"/>
      <c r="DS497" s="233"/>
      <c r="DT497" s="233"/>
      <c r="DU497" s="233"/>
      <c r="DV497" s="233"/>
      <c r="DW497" s="233"/>
      <c r="DX497" s="233"/>
      <c r="DY497" s="233"/>
      <c r="DZ497" s="233"/>
      <c r="EA497" s="233"/>
      <c r="EB497" s="233"/>
      <c r="EC497" s="233"/>
      <c r="ED497" s="233"/>
      <c r="EE497" s="233"/>
      <c r="EF497" s="233"/>
      <c r="EG497" s="233"/>
      <c r="EH497" s="233"/>
      <c r="EI497" s="233"/>
      <c r="EJ497" s="233"/>
      <c r="EK497" s="233"/>
      <c r="EL497" s="233"/>
      <c r="EM497" s="233"/>
      <c r="EN497" s="233"/>
      <c r="EO497" s="233"/>
      <c r="EP497" s="233"/>
    </row>
    <row r="498" spans="1:146" ht="14.25" x14ac:dyDescent="0.2">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233"/>
      <c r="BE498" s="233"/>
      <c r="BF498" s="233"/>
      <c r="BG498" s="233"/>
      <c r="BH498" s="233"/>
      <c r="BI498" s="233"/>
      <c r="BJ498" s="233"/>
      <c r="BK498" s="233"/>
      <c r="BL498" s="233"/>
      <c r="BM498" s="233"/>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33"/>
      <c r="CI498" s="233"/>
      <c r="CJ498" s="233"/>
      <c r="CK498" s="233"/>
      <c r="CL498" s="233"/>
      <c r="CM498" s="233"/>
      <c r="CN498" s="233"/>
      <c r="CO498" s="233"/>
      <c r="CP498" s="233"/>
      <c r="CQ498" s="233"/>
      <c r="CR498" s="233"/>
      <c r="CS498" s="233"/>
      <c r="CT498" s="233"/>
      <c r="CU498" s="233"/>
      <c r="CV498" s="233"/>
      <c r="CW498" s="233"/>
      <c r="CX498" s="233"/>
      <c r="CY498" s="233"/>
      <c r="CZ498" s="233"/>
      <c r="DA498" s="233"/>
      <c r="DB498" s="233"/>
      <c r="DC498" s="233"/>
      <c r="DD498" s="233"/>
      <c r="DE498" s="233"/>
      <c r="DF498" s="233"/>
      <c r="DG498" s="233"/>
      <c r="DH498" s="233"/>
      <c r="DI498" s="233"/>
      <c r="DJ498" s="233"/>
      <c r="DK498" s="233"/>
      <c r="DL498" s="233"/>
      <c r="DM498" s="233"/>
      <c r="DN498" s="233"/>
      <c r="DO498" s="233"/>
      <c r="DP498" s="233"/>
      <c r="DQ498" s="233"/>
      <c r="DR498" s="233"/>
      <c r="DS498" s="233"/>
      <c r="DT498" s="233"/>
      <c r="DU498" s="233"/>
      <c r="DV498" s="233"/>
      <c r="DW498" s="233"/>
      <c r="DX498" s="233"/>
      <c r="DY498" s="233"/>
      <c r="DZ498" s="233"/>
      <c r="EA498" s="233"/>
      <c r="EB498" s="233"/>
      <c r="EC498" s="233"/>
      <c r="ED498" s="233"/>
      <c r="EE498" s="233"/>
      <c r="EF498" s="233"/>
      <c r="EG498" s="233"/>
      <c r="EH498" s="233"/>
      <c r="EI498" s="233"/>
      <c r="EJ498" s="233"/>
      <c r="EK498" s="233"/>
      <c r="EL498" s="233"/>
      <c r="EM498" s="233"/>
      <c r="EN498" s="233"/>
      <c r="EO498" s="233"/>
      <c r="EP498" s="233"/>
    </row>
    <row r="499" spans="1:146" ht="14.25" x14ac:dyDescent="0.2">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33"/>
      <c r="CN499" s="233"/>
      <c r="CO499" s="233"/>
      <c r="CP499" s="233"/>
      <c r="CQ499" s="233"/>
      <c r="CR499" s="233"/>
      <c r="CS499" s="233"/>
      <c r="CT499" s="233"/>
      <c r="CU499" s="233"/>
      <c r="CV499" s="233"/>
      <c r="CW499" s="233"/>
      <c r="CX499" s="233"/>
      <c r="CY499" s="233"/>
      <c r="CZ499" s="233"/>
      <c r="DA499" s="233"/>
      <c r="DB499" s="233"/>
      <c r="DC499" s="233"/>
      <c r="DD499" s="233"/>
      <c r="DE499" s="233"/>
      <c r="DF499" s="233"/>
      <c r="DG499" s="233"/>
      <c r="DH499" s="233"/>
      <c r="DI499" s="233"/>
      <c r="DJ499" s="233"/>
      <c r="DK499" s="233"/>
      <c r="DL499" s="233"/>
      <c r="DM499" s="233"/>
      <c r="DN499" s="233"/>
      <c r="DO499" s="233"/>
      <c r="DP499" s="233"/>
      <c r="DQ499" s="233"/>
      <c r="DR499" s="233"/>
      <c r="DS499" s="233"/>
      <c r="DT499" s="233"/>
      <c r="DU499" s="233"/>
      <c r="DV499" s="233"/>
      <c r="DW499" s="233"/>
      <c r="DX499" s="233"/>
      <c r="DY499" s="233"/>
      <c r="DZ499" s="233"/>
      <c r="EA499" s="233"/>
      <c r="EB499" s="233"/>
      <c r="EC499" s="233"/>
      <c r="ED499" s="233"/>
      <c r="EE499" s="233"/>
      <c r="EF499" s="233"/>
      <c r="EG499" s="233"/>
      <c r="EH499" s="233"/>
      <c r="EI499" s="233"/>
      <c r="EJ499" s="233"/>
      <c r="EK499" s="233"/>
      <c r="EL499" s="233"/>
      <c r="EM499" s="233"/>
      <c r="EN499" s="233"/>
      <c r="EO499" s="233"/>
      <c r="EP499" s="233"/>
    </row>
    <row r="500" spans="1:146" ht="14.25" x14ac:dyDescent="0.2">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33"/>
      <c r="CN500" s="233"/>
      <c r="CO500" s="233"/>
      <c r="CP500" s="233"/>
      <c r="CQ500" s="233"/>
      <c r="CR500" s="233"/>
      <c r="CS500" s="233"/>
      <c r="CT500" s="233"/>
      <c r="CU500" s="233"/>
      <c r="CV500" s="233"/>
      <c r="CW500" s="233"/>
      <c r="CX500" s="233"/>
      <c r="CY500" s="233"/>
      <c r="CZ500" s="233"/>
      <c r="DA500" s="233"/>
      <c r="DB500" s="233"/>
      <c r="DC500" s="233"/>
      <c r="DD500" s="233"/>
      <c r="DE500" s="233"/>
      <c r="DF500" s="233"/>
      <c r="DG500" s="233"/>
      <c r="DH500" s="233"/>
      <c r="DI500" s="233"/>
      <c r="DJ500" s="233"/>
      <c r="DK500" s="233"/>
      <c r="DL500" s="233"/>
      <c r="DM500" s="233"/>
      <c r="DN500" s="233"/>
      <c r="DO500" s="233"/>
      <c r="DP500" s="233"/>
      <c r="DQ500" s="233"/>
      <c r="DR500" s="233"/>
      <c r="DS500" s="233"/>
      <c r="DT500" s="233"/>
      <c r="DU500" s="233"/>
      <c r="DV500" s="233"/>
      <c r="DW500" s="233"/>
      <c r="DX500" s="233"/>
      <c r="DY500" s="233"/>
      <c r="DZ500" s="233"/>
      <c r="EA500" s="233"/>
      <c r="EB500" s="233"/>
      <c r="EC500" s="233"/>
      <c r="ED500" s="233"/>
      <c r="EE500" s="233"/>
      <c r="EF500" s="233"/>
      <c r="EG500" s="233"/>
      <c r="EH500" s="233"/>
      <c r="EI500" s="233"/>
      <c r="EJ500" s="233"/>
      <c r="EK500" s="233"/>
      <c r="EL500" s="233"/>
      <c r="EM500" s="233"/>
      <c r="EN500" s="233"/>
      <c r="EO500" s="233"/>
      <c r="EP500" s="233"/>
    </row>
    <row r="501" spans="1:146" ht="14.25" x14ac:dyDescent="0.2">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233"/>
      <c r="BE501" s="233"/>
      <c r="BF501" s="233"/>
      <c r="BG501" s="233"/>
      <c r="BH501" s="233"/>
      <c r="BI501" s="233"/>
      <c r="BJ501" s="233"/>
      <c r="BK501" s="233"/>
      <c r="BL501" s="233"/>
      <c r="BM501" s="233"/>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33"/>
      <c r="CI501" s="233"/>
      <c r="CJ501" s="233"/>
      <c r="CK501" s="233"/>
      <c r="CL501" s="233"/>
      <c r="CM501" s="233"/>
      <c r="CN501" s="233"/>
      <c r="CO501" s="233"/>
      <c r="CP501" s="233"/>
      <c r="CQ501" s="233"/>
      <c r="CR501" s="233"/>
      <c r="CS501" s="233"/>
      <c r="CT501" s="233"/>
      <c r="CU501" s="233"/>
      <c r="CV501" s="233"/>
      <c r="CW501" s="233"/>
      <c r="CX501" s="233"/>
      <c r="CY501" s="233"/>
      <c r="CZ501" s="233"/>
      <c r="DA501" s="233"/>
      <c r="DB501" s="233"/>
      <c r="DC501" s="233"/>
      <c r="DD501" s="233"/>
      <c r="DE501" s="233"/>
      <c r="DF501" s="233"/>
      <c r="DG501" s="233"/>
      <c r="DH501" s="233"/>
      <c r="DI501" s="233"/>
      <c r="DJ501" s="233"/>
      <c r="DK501" s="233"/>
      <c r="DL501" s="233"/>
      <c r="DM501" s="233"/>
      <c r="DN501" s="233"/>
      <c r="DO501" s="233"/>
      <c r="DP501" s="233"/>
      <c r="DQ501" s="233"/>
      <c r="DR501" s="233"/>
      <c r="DS501" s="233"/>
      <c r="DT501" s="233"/>
      <c r="DU501" s="233"/>
      <c r="DV501" s="233"/>
      <c r="DW501" s="233"/>
      <c r="DX501" s="233"/>
      <c r="DY501" s="233"/>
      <c r="DZ501" s="233"/>
      <c r="EA501" s="233"/>
      <c r="EB501" s="233"/>
      <c r="EC501" s="233"/>
      <c r="ED501" s="233"/>
      <c r="EE501" s="233"/>
      <c r="EF501" s="233"/>
      <c r="EG501" s="233"/>
      <c r="EH501" s="233"/>
      <c r="EI501" s="233"/>
      <c r="EJ501" s="233"/>
      <c r="EK501" s="233"/>
      <c r="EL501" s="233"/>
      <c r="EM501" s="233"/>
      <c r="EN501" s="233"/>
      <c r="EO501" s="233"/>
      <c r="EP501" s="233"/>
    </row>
    <row r="502" spans="1:146" ht="14.25" x14ac:dyDescent="0.2">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33"/>
      <c r="CI502" s="233"/>
      <c r="CJ502" s="233"/>
      <c r="CK502" s="233"/>
      <c r="CL502" s="233"/>
      <c r="CM502" s="233"/>
      <c r="CN502" s="233"/>
      <c r="CO502" s="233"/>
      <c r="CP502" s="233"/>
      <c r="CQ502" s="233"/>
      <c r="CR502" s="233"/>
      <c r="CS502" s="233"/>
      <c r="CT502" s="233"/>
      <c r="CU502" s="233"/>
      <c r="CV502" s="233"/>
      <c r="CW502" s="233"/>
      <c r="CX502" s="233"/>
      <c r="CY502" s="233"/>
      <c r="CZ502" s="233"/>
      <c r="DA502" s="233"/>
      <c r="DB502" s="233"/>
      <c r="DC502" s="233"/>
      <c r="DD502" s="233"/>
      <c r="DE502" s="233"/>
      <c r="DF502" s="233"/>
      <c r="DG502" s="233"/>
      <c r="DH502" s="233"/>
      <c r="DI502" s="233"/>
      <c r="DJ502" s="233"/>
      <c r="DK502" s="233"/>
      <c r="DL502" s="233"/>
      <c r="DM502" s="233"/>
      <c r="DN502" s="233"/>
      <c r="DO502" s="233"/>
      <c r="DP502" s="233"/>
      <c r="DQ502" s="233"/>
      <c r="DR502" s="233"/>
      <c r="DS502" s="233"/>
      <c r="DT502" s="233"/>
      <c r="DU502" s="233"/>
      <c r="DV502" s="233"/>
      <c r="DW502" s="233"/>
      <c r="DX502" s="233"/>
      <c r="DY502" s="233"/>
      <c r="DZ502" s="233"/>
      <c r="EA502" s="233"/>
      <c r="EB502" s="233"/>
      <c r="EC502" s="233"/>
      <c r="ED502" s="233"/>
      <c r="EE502" s="233"/>
      <c r="EF502" s="233"/>
      <c r="EG502" s="233"/>
      <c r="EH502" s="233"/>
      <c r="EI502" s="233"/>
      <c r="EJ502" s="233"/>
      <c r="EK502" s="233"/>
      <c r="EL502" s="233"/>
      <c r="EM502" s="233"/>
      <c r="EN502" s="233"/>
      <c r="EO502" s="233"/>
      <c r="EP502" s="233"/>
    </row>
    <row r="503" spans="1:146" ht="14.25" x14ac:dyDescent="0.2">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33"/>
      <c r="CI503" s="233"/>
      <c r="CJ503" s="233"/>
      <c r="CK503" s="233"/>
      <c r="CL503" s="233"/>
      <c r="CM503" s="233"/>
      <c r="CN503" s="233"/>
      <c r="CO503" s="233"/>
      <c r="CP503" s="233"/>
      <c r="CQ503" s="233"/>
      <c r="CR503" s="233"/>
      <c r="CS503" s="233"/>
      <c r="CT503" s="233"/>
      <c r="CU503" s="233"/>
      <c r="CV503" s="233"/>
      <c r="CW503" s="233"/>
      <c r="CX503" s="233"/>
      <c r="CY503" s="233"/>
      <c r="CZ503" s="233"/>
      <c r="DA503" s="233"/>
      <c r="DB503" s="233"/>
      <c r="DC503" s="233"/>
      <c r="DD503" s="233"/>
      <c r="DE503" s="233"/>
      <c r="DF503" s="233"/>
      <c r="DG503" s="233"/>
      <c r="DH503" s="233"/>
      <c r="DI503" s="233"/>
      <c r="DJ503" s="233"/>
      <c r="DK503" s="233"/>
      <c r="DL503" s="233"/>
      <c r="DM503" s="233"/>
      <c r="DN503" s="233"/>
      <c r="DO503" s="233"/>
      <c r="DP503" s="233"/>
      <c r="DQ503" s="233"/>
      <c r="DR503" s="233"/>
      <c r="DS503" s="233"/>
      <c r="DT503" s="233"/>
      <c r="DU503" s="233"/>
      <c r="DV503" s="233"/>
      <c r="DW503" s="233"/>
      <c r="DX503" s="233"/>
      <c r="DY503" s="233"/>
      <c r="DZ503" s="233"/>
      <c r="EA503" s="233"/>
      <c r="EB503" s="233"/>
      <c r="EC503" s="233"/>
      <c r="ED503" s="233"/>
      <c r="EE503" s="233"/>
      <c r="EF503" s="233"/>
      <c r="EG503" s="233"/>
      <c r="EH503" s="233"/>
      <c r="EI503" s="233"/>
      <c r="EJ503" s="233"/>
      <c r="EK503" s="233"/>
      <c r="EL503" s="233"/>
      <c r="EM503" s="233"/>
      <c r="EN503" s="233"/>
      <c r="EO503" s="233"/>
      <c r="EP503" s="233"/>
    </row>
    <row r="504" spans="1:146" ht="14.25" x14ac:dyDescent="0.2">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33"/>
      <c r="CI504" s="233"/>
      <c r="CJ504" s="233"/>
      <c r="CK504" s="233"/>
      <c r="CL504" s="233"/>
      <c r="CM504" s="233"/>
      <c r="CN504" s="233"/>
      <c r="CO504" s="233"/>
      <c r="CP504" s="233"/>
      <c r="CQ504" s="233"/>
      <c r="CR504" s="233"/>
      <c r="CS504" s="233"/>
      <c r="CT504" s="233"/>
      <c r="CU504" s="233"/>
      <c r="CV504" s="233"/>
      <c r="CW504" s="233"/>
      <c r="CX504" s="233"/>
      <c r="CY504" s="233"/>
      <c r="CZ504" s="233"/>
      <c r="DA504" s="233"/>
      <c r="DB504" s="233"/>
      <c r="DC504" s="233"/>
      <c r="DD504" s="233"/>
      <c r="DE504" s="233"/>
      <c r="DF504" s="233"/>
      <c r="DG504" s="233"/>
      <c r="DH504" s="233"/>
      <c r="DI504" s="233"/>
      <c r="DJ504" s="233"/>
      <c r="DK504" s="233"/>
      <c r="DL504" s="233"/>
      <c r="DM504" s="233"/>
      <c r="DN504" s="233"/>
      <c r="DO504" s="233"/>
      <c r="DP504" s="233"/>
      <c r="DQ504" s="233"/>
      <c r="DR504" s="233"/>
      <c r="DS504" s="233"/>
      <c r="DT504" s="233"/>
      <c r="DU504" s="233"/>
      <c r="DV504" s="233"/>
      <c r="DW504" s="233"/>
      <c r="DX504" s="233"/>
      <c r="DY504" s="233"/>
      <c r="DZ504" s="233"/>
      <c r="EA504" s="233"/>
      <c r="EB504" s="233"/>
      <c r="EC504" s="233"/>
      <c r="ED504" s="233"/>
      <c r="EE504" s="233"/>
      <c r="EF504" s="233"/>
      <c r="EG504" s="233"/>
      <c r="EH504" s="233"/>
      <c r="EI504" s="233"/>
      <c r="EJ504" s="233"/>
      <c r="EK504" s="233"/>
      <c r="EL504" s="233"/>
      <c r="EM504" s="233"/>
      <c r="EN504" s="233"/>
      <c r="EO504" s="233"/>
      <c r="EP504" s="233"/>
    </row>
    <row r="505" spans="1:146" ht="14.25" x14ac:dyDescent="0.2">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233"/>
      <c r="BE505" s="233"/>
      <c r="BF505" s="233"/>
      <c r="BG505" s="233"/>
      <c r="BH505" s="233"/>
      <c r="BI505" s="233"/>
      <c r="BJ505" s="233"/>
      <c r="BK505" s="233"/>
      <c r="BL505" s="233"/>
      <c r="BM505" s="233"/>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33"/>
      <c r="CI505" s="233"/>
      <c r="CJ505" s="233"/>
      <c r="CK505" s="233"/>
      <c r="CL505" s="233"/>
      <c r="CM505" s="233"/>
      <c r="CN505" s="233"/>
      <c r="CO505" s="233"/>
      <c r="CP505" s="233"/>
      <c r="CQ505" s="233"/>
      <c r="CR505" s="233"/>
      <c r="CS505" s="233"/>
      <c r="CT505" s="233"/>
      <c r="CU505" s="233"/>
      <c r="CV505" s="233"/>
      <c r="CW505" s="233"/>
      <c r="CX505" s="233"/>
      <c r="CY505" s="233"/>
      <c r="CZ505" s="233"/>
      <c r="DA505" s="233"/>
      <c r="DB505" s="233"/>
      <c r="DC505" s="233"/>
      <c r="DD505" s="233"/>
      <c r="DE505" s="233"/>
      <c r="DF505" s="233"/>
      <c r="DG505" s="233"/>
      <c r="DH505" s="233"/>
      <c r="DI505" s="233"/>
      <c r="DJ505" s="233"/>
      <c r="DK505" s="233"/>
      <c r="DL505" s="233"/>
      <c r="DM505" s="233"/>
      <c r="DN505" s="233"/>
      <c r="DO505" s="233"/>
      <c r="DP505" s="233"/>
      <c r="DQ505" s="233"/>
      <c r="DR505" s="233"/>
      <c r="DS505" s="233"/>
      <c r="DT505" s="233"/>
      <c r="DU505" s="233"/>
      <c r="DV505" s="233"/>
      <c r="DW505" s="233"/>
      <c r="DX505" s="233"/>
      <c r="DY505" s="233"/>
      <c r="DZ505" s="233"/>
      <c r="EA505" s="233"/>
      <c r="EB505" s="233"/>
      <c r="EC505" s="233"/>
      <c r="ED505" s="233"/>
      <c r="EE505" s="233"/>
      <c r="EF505" s="233"/>
      <c r="EG505" s="233"/>
      <c r="EH505" s="233"/>
      <c r="EI505" s="233"/>
      <c r="EJ505" s="233"/>
      <c r="EK505" s="233"/>
      <c r="EL505" s="233"/>
      <c r="EM505" s="233"/>
      <c r="EN505" s="233"/>
      <c r="EO505" s="233"/>
      <c r="EP505" s="233"/>
    </row>
    <row r="506" spans="1:146" ht="14.25" x14ac:dyDescent="0.2">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233"/>
      <c r="BE506" s="233"/>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33"/>
      <c r="CN506" s="233"/>
      <c r="CO506" s="233"/>
      <c r="CP506" s="233"/>
      <c r="CQ506" s="233"/>
      <c r="CR506" s="233"/>
      <c r="CS506" s="233"/>
      <c r="CT506" s="233"/>
      <c r="CU506" s="233"/>
      <c r="CV506" s="233"/>
      <c r="CW506" s="233"/>
      <c r="CX506" s="233"/>
      <c r="CY506" s="233"/>
      <c r="CZ506" s="233"/>
      <c r="DA506" s="233"/>
      <c r="DB506" s="233"/>
      <c r="DC506" s="233"/>
      <c r="DD506" s="233"/>
      <c r="DE506" s="233"/>
      <c r="DF506" s="233"/>
      <c r="DG506" s="233"/>
      <c r="DH506" s="233"/>
      <c r="DI506" s="233"/>
      <c r="DJ506" s="233"/>
      <c r="DK506" s="233"/>
      <c r="DL506" s="233"/>
      <c r="DM506" s="233"/>
      <c r="DN506" s="233"/>
      <c r="DO506" s="233"/>
      <c r="DP506" s="233"/>
      <c r="DQ506" s="233"/>
      <c r="DR506" s="233"/>
      <c r="DS506" s="233"/>
      <c r="DT506" s="233"/>
      <c r="DU506" s="233"/>
      <c r="DV506" s="233"/>
      <c r="DW506" s="233"/>
      <c r="DX506" s="233"/>
      <c r="DY506" s="233"/>
      <c r="DZ506" s="233"/>
      <c r="EA506" s="233"/>
      <c r="EB506" s="233"/>
      <c r="EC506" s="233"/>
      <c r="ED506" s="233"/>
      <c r="EE506" s="233"/>
      <c r="EF506" s="233"/>
      <c r="EG506" s="233"/>
      <c r="EH506" s="233"/>
      <c r="EI506" s="233"/>
      <c r="EJ506" s="233"/>
      <c r="EK506" s="233"/>
      <c r="EL506" s="233"/>
      <c r="EM506" s="233"/>
      <c r="EN506" s="233"/>
      <c r="EO506" s="233"/>
      <c r="EP506" s="233"/>
    </row>
    <row r="507" spans="1:146" ht="14.25" x14ac:dyDescent="0.2">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233"/>
      <c r="BE507" s="233"/>
      <c r="BF507" s="233"/>
      <c r="BG507" s="233"/>
      <c r="BH507" s="233"/>
      <c r="BI507" s="233"/>
      <c r="BJ507" s="233"/>
      <c r="BK507" s="233"/>
      <c r="BL507" s="233"/>
      <c r="BM507" s="233"/>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33"/>
      <c r="CI507" s="233"/>
      <c r="CJ507" s="233"/>
      <c r="CK507" s="233"/>
      <c r="CL507" s="233"/>
      <c r="CM507" s="233"/>
      <c r="CN507" s="233"/>
      <c r="CO507" s="233"/>
      <c r="CP507" s="233"/>
      <c r="CQ507" s="233"/>
      <c r="CR507" s="233"/>
      <c r="CS507" s="233"/>
      <c r="CT507" s="233"/>
      <c r="CU507" s="233"/>
      <c r="CV507" s="233"/>
      <c r="CW507" s="233"/>
      <c r="CX507" s="233"/>
      <c r="CY507" s="233"/>
      <c r="CZ507" s="233"/>
      <c r="DA507" s="233"/>
      <c r="DB507" s="233"/>
      <c r="DC507" s="233"/>
      <c r="DD507" s="233"/>
      <c r="DE507" s="233"/>
      <c r="DF507" s="233"/>
      <c r="DG507" s="233"/>
      <c r="DH507" s="233"/>
      <c r="DI507" s="233"/>
      <c r="DJ507" s="233"/>
      <c r="DK507" s="233"/>
      <c r="DL507" s="233"/>
      <c r="DM507" s="233"/>
      <c r="DN507" s="233"/>
      <c r="DO507" s="233"/>
      <c r="DP507" s="233"/>
      <c r="DQ507" s="233"/>
      <c r="DR507" s="233"/>
      <c r="DS507" s="233"/>
      <c r="DT507" s="233"/>
      <c r="DU507" s="233"/>
      <c r="DV507" s="233"/>
      <c r="DW507" s="233"/>
      <c r="DX507" s="233"/>
      <c r="DY507" s="233"/>
      <c r="DZ507" s="233"/>
      <c r="EA507" s="233"/>
      <c r="EB507" s="233"/>
      <c r="EC507" s="233"/>
      <c r="ED507" s="233"/>
      <c r="EE507" s="233"/>
      <c r="EF507" s="233"/>
      <c r="EG507" s="233"/>
      <c r="EH507" s="233"/>
      <c r="EI507" s="233"/>
      <c r="EJ507" s="233"/>
      <c r="EK507" s="233"/>
      <c r="EL507" s="233"/>
      <c r="EM507" s="233"/>
      <c r="EN507" s="233"/>
      <c r="EO507" s="233"/>
      <c r="EP507" s="233"/>
    </row>
    <row r="508" spans="1:146" ht="14.25" x14ac:dyDescent="0.2">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233"/>
      <c r="BE508" s="233"/>
      <c r="BF508" s="233"/>
      <c r="BG508" s="233"/>
      <c r="BH508" s="233"/>
      <c r="BI508" s="233"/>
      <c r="BJ508" s="233"/>
      <c r="BK508" s="233"/>
      <c r="BL508" s="233"/>
      <c r="BM508" s="233"/>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33"/>
      <c r="CI508" s="233"/>
      <c r="CJ508" s="233"/>
      <c r="CK508" s="233"/>
      <c r="CL508" s="233"/>
      <c r="CM508" s="233"/>
      <c r="CN508" s="233"/>
      <c r="CO508" s="233"/>
      <c r="CP508" s="233"/>
      <c r="CQ508" s="233"/>
      <c r="CR508" s="233"/>
      <c r="CS508" s="233"/>
      <c r="CT508" s="233"/>
      <c r="CU508" s="233"/>
      <c r="CV508" s="233"/>
      <c r="CW508" s="233"/>
      <c r="CX508" s="233"/>
      <c r="CY508" s="233"/>
      <c r="CZ508" s="233"/>
      <c r="DA508" s="233"/>
      <c r="DB508" s="233"/>
      <c r="DC508" s="233"/>
      <c r="DD508" s="233"/>
      <c r="DE508" s="233"/>
      <c r="DF508" s="233"/>
      <c r="DG508" s="233"/>
      <c r="DH508" s="233"/>
      <c r="DI508" s="233"/>
      <c r="DJ508" s="233"/>
      <c r="DK508" s="233"/>
      <c r="DL508" s="233"/>
      <c r="DM508" s="233"/>
      <c r="DN508" s="233"/>
      <c r="DO508" s="233"/>
      <c r="DP508" s="233"/>
      <c r="DQ508" s="233"/>
      <c r="DR508" s="233"/>
      <c r="DS508" s="233"/>
      <c r="DT508" s="233"/>
      <c r="DU508" s="233"/>
      <c r="DV508" s="233"/>
      <c r="DW508" s="233"/>
      <c r="DX508" s="233"/>
      <c r="DY508" s="233"/>
      <c r="DZ508" s="233"/>
      <c r="EA508" s="233"/>
      <c r="EB508" s="233"/>
      <c r="EC508" s="233"/>
      <c r="ED508" s="233"/>
      <c r="EE508" s="233"/>
      <c r="EF508" s="233"/>
      <c r="EG508" s="233"/>
      <c r="EH508" s="233"/>
      <c r="EI508" s="233"/>
      <c r="EJ508" s="233"/>
      <c r="EK508" s="233"/>
      <c r="EL508" s="233"/>
      <c r="EM508" s="233"/>
      <c r="EN508" s="233"/>
      <c r="EO508" s="233"/>
      <c r="EP508" s="233"/>
    </row>
    <row r="509" spans="1:146" ht="14.25" x14ac:dyDescent="0.2">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233"/>
      <c r="BE509" s="233"/>
      <c r="BF509" s="233"/>
      <c r="BG509" s="233"/>
      <c r="BH509" s="233"/>
      <c r="BI509" s="233"/>
      <c r="BJ509" s="233"/>
      <c r="BK509" s="233"/>
      <c r="BL509" s="233"/>
      <c r="BM509" s="233"/>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33"/>
      <c r="CI509" s="233"/>
      <c r="CJ509" s="233"/>
      <c r="CK509" s="233"/>
      <c r="CL509" s="233"/>
      <c r="CM509" s="233"/>
      <c r="CN509" s="233"/>
      <c r="CO509" s="233"/>
      <c r="CP509" s="233"/>
      <c r="CQ509" s="233"/>
      <c r="CR509" s="233"/>
      <c r="CS509" s="233"/>
      <c r="CT509" s="233"/>
      <c r="CU509" s="233"/>
      <c r="CV509" s="233"/>
      <c r="CW509" s="233"/>
      <c r="CX509" s="233"/>
      <c r="CY509" s="233"/>
      <c r="CZ509" s="233"/>
      <c r="DA509" s="233"/>
      <c r="DB509" s="233"/>
      <c r="DC509" s="233"/>
      <c r="DD509" s="233"/>
      <c r="DE509" s="233"/>
      <c r="DF509" s="233"/>
      <c r="DG509" s="233"/>
      <c r="DH509" s="233"/>
      <c r="DI509" s="233"/>
      <c r="DJ509" s="233"/>
      <c r="DK509" s="233"/>
      <c r="DL509" s="233"/>
      <c r="DM509" s="233"/>
      <c r="DN509" s="233"/>
      <c r="DO509" s="233"/>
      <c r="DP509" s="233"/>
      <c r="DQ509" s="233"/>
      <c r="DR509" s="233"/>
      <c r="DS509" s="233"/>
      <c r="DT509" s="233"/>
      <c r="DU509" s="233"/>
      <c r="DV509" s="233"/>
      <c r="DW509" s="233"/>
      <c r="DX509" s="233"/>
      <c r="DY509" s="233"/>
      <c r="DZ509" s="233"/>
      <c r="EA509" s="233"/>
      <c r="EB509" s="233"/>
      <c r="EC509" s="233"/>
      <c r="ED509" s="233"/>
      <c r="EE509" s="233"/>
      <c r="EF509" s="233"/>
      <c r="EG509" s="233"/>
      <c r="EH509" s="233"/>
      <c r="EI509" s="233"/>
      <c r="EJ509" s="233"/>
      <c r="EK509" s="233"/>
      <c r="EL509" s="233"/>
      <c r="EM509" s="233"/>
      <c r="EN509" s="233"/>
      <c r="EO509" s="233"/>
      <c r="EP509" s="233"/>
    </row>
    <row r="510" spans="1:146" ht="14.25" x14ac:dyDescent="0.2">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33"/>
      <c r="CN510" s="233"/>
      <c r="CO510" s="233"/>
      <c r="CP510" s="233"/>
      <c r="CQ510" s="233"/>
      <c r="CR510" s="233"/>
      <c r="CS510" s="233"/>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c r="DT510" s="233"/>
      <c r="DU510" s="233"/>
      <c r="DV510" s="233"/>
      <c r="DW510" s="233"/>
      <c r="DX510" s="233"/>
      <c r="DY510" s="233"/>
      <c r="DZ510" s="233"/>
      <c r="EA510" s="233"/>
      <c r="EB510" s="233"/>
      <c r="EC510" s="233"/>
      <c r="ED510" s="233"/>
      <c r="EE510" s="233"/>
      <c r="EF510" s="233"/>
      <c r="EG510" s="233"/>
      <c r="EH510" s="233"/>
      <c r="EI510" s="233"/>
      <c r="EJ510" s="233"/>
      <c r="EK510" s="233"/>
      <c r="EL510" s="233"/>
      <c r="EM510" s="233"/>
      <c r="EN510" s="233"/>
      <c r="EO510" s="233"/>
      <c r="EP510" s="233"/>
    </row>
    <row r="511" spans="1:146" ht="14.25" x14ac:dyDescent="0.2">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33"/>
      <c r="CI511" s="233"/>
      <c r="CJ511" s="233"/>
      <c r="CK511" s="233"/>
      <c r="CL511" s="233"/>
      <c r="CM511" s="233"/>
      <c r="CN511" s="233"/>
      <c r="CO511" s="233"/>
      <c r="CP511" s="233"/>
      <c r="CQ511" s="233"/>
      <c r="CR511" s="233"/>
      <c r="CS511" s="233"/>
      <c r="CT511" s="233"/>
      <c r="CU511" s="233"/>
      <c r="CV511" s="233"/>
      <c r="CW511" s="233"/>
      <c r="CX511" s="233"/>
      <c r="CY511" s="233"/>
      <c r="CZ511" s="233"/>
      <c r="DA511" s="233"/>
      <c r="DB511" s="233"/>
      <c r="DC511" s="233"/>
      <c r="DD511" s="233"/>
      <c r="DE511" s="233"/>
      <c r="DF511" s="233"/>
      <c r="DG511" s="233"/>
      <c r="DH511" s="233"/>
      <c r="DI511" s="233"/>
      <c r="DJ511" s="233"/>
      <c r="DK511" s="233"/>
      <c r="DL511" s="233"/>
      <c r="DM511" s="233"/>
      <c r="DN511" s="233"/>
      <c r="DO511" s="233"/>
      <c r="DP511" s="233"/>
      <c r="DQ511" s="233"/>
      <c r="DR511" s="233"/>
      <c r="DS511" s="233"/>
      <c r="DT511" s="233"/>
      <c r="DU511" s="233"/>
      <c r="DV511" s="233"/>
      <c r="DW511" s="233"/>
      <c r="DX511" s="233"/>
      <c r="DY511" s="233"/>
      <c r="DZ511" s="233"/>
      <c r="EA511" s="233"/>
      <c r="EB511" s="233"/>
      <c r="EC511" s="233"/>
      <c r="ED511" s="233"/>
      <c r="EE511" s="233"/>
      <c r="EF511" s="233"/>
      <c r="EG511" s="233"/>
      <c r="EH511" s="233"/>
      <c r="EI511" s="233"/>
      <c r="EJ511" s="233"/>
      <c r="EK511" s="233"/>
      <c r="EL511" s="233"/>
      <c r="EM511" s="233"/>
      <c r="EN511" s="233"/>
      <c r="EO511" s="233"/>
      <c r="EP511" s="233"/>
    </row>
    <row r="512" spans="1:146" ht="14.25" x14ac:dyDescent="0.2">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33"/>
      <c r="CI512" s="233"/>
      <c r="CJ512" s="233"/>
      <c r="CK512" s="233"/>
      <c r="CL512" s="233"/>
      <c r="CM512" s="233"/>
      <c r="CN512" s="233"/>
      <c r="CO512" s="233"/>
      <c r="CP512" s="233"/>
      <c r="CQ512" s="233"/>
      <c r="CR512" s="233"/>
      <c r="CS512" s="233"/>
      <c r="CT512" s="233"/>
      <c r="CU512" s="233"/>
      <c r="CV512" s="233"/>
      <c r="CW512" s="233"/>
      <c r="CX512" s="233"/>
      <c r="CY512" s="233"/>
      <c r="CZ512" s="233"/>
      <c r="DA512" s="233"/>
      <c r="DB512" s="233"/>
      <c r="DC512" s="233"/>
      <c r="DD512" s="233"/>
      <c r="DE512" s="233"/>
      <c r="DF512" s="233"/>
      <c r="DG512" s="233"/>
      <c r="DH512" s="233"/>
      <c r="DI512" s="233"/>
      <c r="DJ512" s="233"/>
      <c r="DK512" s="233"/>
      <c r="DL512" s="233"/>
      <c r="DM512" s="233"/>
      <c r="DN512" s="233"/>
      <c r="DO512" s="233"/>
      <c r="DP512" s="233"/>
      <c r="DQ512" s="233"/>
      <c r="DR512" s="233"/>
      <c r="DS512" s="233"/>
      <c r="DT512" s="233"/>
      <c r="DU512" s="233"/>
      <c r="DV512" s="233"/>
      <c r="DW512" s="233"/>
      <c r="DX512" s="233"/>
      <c r="DY512" s="233"/>
      <c r="DZ512" s="233"/>
      <c r="EA512" s="233"/>
      <c r="EB512" s="233"/>
      <c r="EC512" s="233"/>
      <c r="ED512" s="233"/>
      <c r="EE512" s="233"/>
      <c r="EF512" s="233"/>
      <c r="EG512" s="233"/>
      <c r="EH512" s="233"/>
      <c r="EI512" s="233"/>
      <c r="EJ512" s="233"/>
      <c r="EK512" s="233"/>
      <c r="EL512" s="233"/>
      <c r="EM512" s="233"/>
      <c r="EN512" s="233"/>
      <c r="EO512" s="233"/>
      <c r="EP512" s="233"/>
    </row>
    <row r="513" spans="1:146" ht="14.25" x14ac:dyDescent="0.2">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33"/>
      <c r="CI513" s="233"/>
      <c r="CJ513" s="233"/>
      <c r="CK513" s="233"/>
      <c r="CL513" s="233"/>
      <c r="CM513" s="233"/>
      <c r="CN513" s="233"/>
      <c r="CO513" s="233"/>
      <c r="CP513" s="233"/>
      <c r="CQ513" s="233"/>
      <c r="CR513" s="233"/>
      <c r="CS513" s="233"/>
      <c r="CT513" s="233"/>
      <c r="CU513" s="233"/>
      <c r="CV513" s="233"/>
      <c r="CW513" s="233"/>
      <c r="CX513" s="233"/>
      <c r="CY513" s="233"/>
      <c r="CZ513" s="233"/>
      <c r="DA513" s="233"/>
      <c r="DB513" s="233"/>
      <c r="DC513" s="233"/>
      <c r="DD513" s="233"/>
      <c r="DE513" s="233"/>
      <c r="DF513" s="233"/>
      <c r="DG513" s="233"/>
      <c r="DH513" s="233"/>
      <c r="DI513" s="233"/>
      <c r="DJ513" s="233"/>
      <c r="DK513" s="233"/>
      <c r="DL513" s="233"/>
      <c r="DM513" s="233"/>
      <c r="DN513" s="233"/>
      <c r="DO513" s="233"/>
      <c r="DP513" s="233"/>
      <c r="DQ513" s="233"/>
      <c r="DR513" s="233"/>
      <c r="DS513" s="233"/>
      <c r="DT513" s="233"/>
      <c r="DU513" s="233"/>
      <c r="DV513" s="233"/>
      <c r="DW513" s="233"/>
      <c r="DX513" s="233"/>
      <c r="DY513" s="233"/>
      <c r="DZ513" s="233"/>
      <c r="EA513" s="233"/>
      <c r="EB513" s="233"/>
      <c r="EC513" s="233"/>
      <c r="ED513" s="233"/>
      <c r="EE513" s="233"/>
      <c r="EF513" s="233"/>
      <c r="EG513" s="233"/>
      <c r="EH513" s="233"/>
      <c r="EI513" s="233"/>
      <c r="EJ513" s="233"/>
      <c r="EK513" s="233"/>
      <c r="EL513" s="233"/>
      <c r="EM513" s="233"/>
      <c r="EN513" s="233"/>
      <c r="EO513" s="233"/>
      <c r="EP513" s="233"/>
    </row>
    <row r="514" spans="1:146" ht="14.25" x14ac:dyDescent="0.2">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33"/>
      <c r="CI514" s="233"/>
      <c r="CJ514" s="233"/>
      <c r="CK514" s="233"/>
      <c r="CL514" s="233"/>
      <c r="CM514" s="233"/>
      <c r="CN514" s="233"/>
      <c r="CO514" s="233"/>
      <c r="CP514" s="233"/>
      <c r="CQ514" s="233"/>
      <c r="CR514" s="233"/>
      <c r="CS514" s="233"/>
      <c r="CT514" s="233"/>
      <c r="CU514" s="233"/>
      <c r="CV514" s="233"/>
      <c r="CW514" s="233"/>
      <c r="CX514" s="233"/>
      <c r="CY514" s="233"/>
      <c r="CZ514" s="233"/>
      <c r="DA514" s="233"/>
      <c r="DB514" s="233"/>
      <c r="DC514" s="233"/>
      <c r="DD514" s="233"/>
      <c r="DE514" s="233"/>
      <c r="DF514" s="233"/>
      <c r="DG514" s="233"/>
      <c r="DH514" s="233"/>
      <c r="DI514" s="233"/>
      <c r="DJ514" s="233"/>
      <c r="DK514" s="233"/>
      <c r="DL514" s="233"/>
      <c r="DM514" s="233"/>
      <c r="DN514" s="233"/>
      <c r="DO514" s="233"/>
      <c r="DP514" s="233"/>
      <c r="DQ514" s="233"/>
      <c r="DR514" s="233"/>
      <c r="DS514" s="233"/>
      <c r="DT514" s="233"/>
      <c r="DU514" s="233"/>
      <c r="DV514" s="233"/>
      <c r="DW514" s="233"/>
      <c r="DX514" s="233"/>
      <c r="DY514" s="233"/>
      <c r="DZ514" s="233"/>
      <c r="EA514" s="233"/>
      <c r="EB514" s="233"/>
      <c r="EC514" s="233"/>
      <c r="ED514" s="233"/>
      <c r="EE514" s="233"/>
      <c r="EF514" s="233"/>
      <c r="EG514" s="233"/>
      <c r="EH514" s="233"/>
      <c r="EI514" s="233"/>
      <c r="EJ514" s="233"/>
      <c r="EK514" s="233"/>
      <c r="EL514" s="233"/>
      <c r="EM514" s="233"/>
      <c r="EN514" s="233"/>
      <c r="EO514" s="233"/>
      <c r="EP514" s="233"/>
    </row>
    <row r="515" spans="1:146" ht="14.25" x14ac:dyDescent="0.2">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33"/>
      <c r="CI515" s="233"/>
      <c r="CJ515" s="233"/>
      <c r="CK515" s="233"/>
      <c r="CL515" s="233"/>
      <c r="CM515" s="233"/>
      <c r="CN515" s="233"/>
      <c r="CO515" s="233"/>
      <c r="CP515" s="233"/>
      <c r="CQ515" s="233"/>
      <c r="CR515" s="233"/>
      <c r="CS515" s="233"/>
      <c r="CT515" s="233"/>
      <c r="CU515" s="233"/>
      <c r="CV515" s="233"/>
      <c r="CW515" s="233"/>
      <c r="CX515" s="233"/>
      <c r="CY515" s="233"/>
      <c r="CZ515" s="233"/>
      <c r="DA515" s="233"/>
      <c r="DB515" s="233"/>
      <c r="DC515" s="233"/>
      <c r="DD515" s="233"/>
      <c r="DE515" s="233"/>
      <c r="DF515" s="233"/>
      <c r="DG515" s="233"/>
      <c r="DH515" s="233"/>
      <c r="DI515" s="233"/>
      <c r="DJ515" s="233"/>
      <c r="DK515" s="233"/>
      <c r="DL515" s="233"/>
      <c r="DM515" s="233"/>
      <c r="DN515" s="233"/>
      <c r="DO515" s="233"/>
      <c r="DP515" s="233"/>
      <c r="DQ515" s="233"/>
      <c r="DR515" s="233"/>
      <c r="DS515" s="233"/>
      <c r="DT515" s="233"/>
      <c r="DU515" s="233"/>
      <c r="DV515" s="233"/>
      <c r="DW515" s="233"/>
      <c r="DX515" s="233"/>
      <c r="DY515" s="233"/>
      <c r="DZ515" s="233"/>
      <c r="EA515" s="233"/>
      <c r="EB515" s="233"/>
      <c r="EC515" s="233"/>
      <c r="ED515" s="233"/>
      <c r="EE515" s="233"/>
      <c r="EF515" s="233"/>
      <c r="EG515" s="233"/>
      <c r="EH515" s="233"/>
      <c r="EI515" s="233"/>
      <c r="EJ515" s="233"/>
      <c r="EK515" s="233"/>
      <c r="EL515" s="233"/>
      <c r="EM515" s="233"/>
      <c r="EN515" s="233"/>
      <c r="EO515" s="233"/>
      <c r="EP515" s="233"/>
    </row>
    <row r="516" spans="1:146" ht="14.25" x14ac:dyDescent="0.2">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233"/>
      <c r="BE516" s="233"/>
      <c r="BF516" s="233"/>
      <c r="BG516" s="233"/>
      <c r="BH516" s="233"/>
      <c r="BI516" s="233"/>
      <c r="BJ516" s="233"/>
      <c r="BK516" s="233"/>
      <c r="BL516" s="233"/>
      <c r="BM516" s="233"/>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33"/>
      <c r="CI516" s="233"/>
      <c r="CJ516" s="233"/>
      <c r="CK516" s="233"/>
      <c r="CL516" s="233"/>
      <c r="CM516" s="233"/>
      <c r="CN516" s="233"/>
      <c r="CO516" s="233"/>
      <c r="CP516" s="233"/>
      <c r="CQ516" s="233"/>
      <c r="CR516" s="233"/>
      <c r="CS516" s="233"/>
      <c r="CT516" s="233"/>
      <c r="CU516" s="233"/>
      <c r="CV516" s="233"/>
      <c r="CW516" s="233"/>
      <c r="CX516" s="233"/>
      <c r="CY516" s="233"/>
      <c r="CZ516" s="233"/>
      <c r="DA516" s="233"/>
      <c r="DB516" s="233"/>
      <c r="DC516" s="233"/>
      <c r="DD516" s="233"/>
      <c r="DE516" s="233"/>
      <c r="DF516" s="233"/>
      <c r="DG516" s="233"/>
      <c r="DH516" s="233"/>
      <c r="DI516" s="233"/>
      <c r="DJ516" s="233"/>
      <c r="DK516" s="233"/>
      <c r="DL516" s="233"/>
      <c r="DM516" s="233"/>
      <c r="DN516" s="233"/>
      <c r="DO516" s="233"/>
      <c r="DP516" s="233"/>
      <c r="DQ516" s="233"/>
      <c r="DR516" s="233"/>
      <c r="DS516" s="233"/>
      <c r="DT516" s="233"/>
      <c r="DU516" s="233"/>
      <c r="DV516" s="233"/>
      <c r="DW516" s="233"/>
      <c r="DX516" s="233"/>
      <c r="DY516" s="233"/>
      <c r="DZ516" s="233"/>
      <c r="EA516" s="233"/>
      <c r="EB516" s="233"/>
      <c r="EC516" s="233"/>
      <c r="ED516" s="233"/>
      <c r="EE516" s="233"/>
      <c r="EF516" s="233"/>
      <c r="EG516" s="233"/>
      <c r="EH516" s="233"/>
      <c r="EI516" s="233"/>
      <c r="EJ516" s="233"/>
      <c r="EK516" s="233"/>
      <c r="EL516" s="233"/>
      <c r="EM516" s="233"/>
      <c r="EN516" s="233"/>
      <c r="EO516" s="233"/>
      <c r="EP516" s="233"/>
    </row>
    <row r="517" spans="1:146" ht="14.25" x14ac:dyDescent="0.2">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233"/>
      <c r="CK517" s="233"/>
      <c r="CL517" s="233"/>
      <c r="CM517" s="233"/>
      <c r="CN517" s="233"/>
      <c r="CO517" s="233"/>
      <c r="CP517" s="233"/>
      <c r="CQ517" s="233"/>
      <c r="CR517" s="233"/>
      <c r="CS517" s="233"/>
      <c r="CT517" s="233"/>
      <c r="CU517" s="233"/>
      <c r="CV517" s="233"/>
      <c r="CW517" s="233"/>
      <c r="CX517" s="233"/>
      <c r="CY517" s="233"/>
      <c r="CZ517" s="233"/>
      <c r="DA517" s="233"/>
      <c r="DB517" s="233"/>
      <c r="DC517" s="233"/>
      <c r="DD517" s="233"/>
      <c r="DE517" s="233"/>
      <c r="DF517" s="233"/>
      <c r="DG517" s="233"/>
      <c r="DH517" s="233"/>
      <c r="DI517" s="233"/>
      <c r="DJ517" s="233"/>
      <c r="DK517" s="233"/>
      <c r="DL517" s="233"/>
      <c r="DM517" s="233"/>
      <c r="DN517" s="233"/>
      <c r="DO517" s="233"/>
      <c r="DP517" s="233"/>
      <c r="DQ517" s="233"/>
      <c r="DR517" s="233"/>
      <c r="DS517" s="233"/>
      <c r="DT517" s="233"/>
      <c r="DU517" s="233"/>
      <c r="DV517" s="233"/>
      <c r="DW517" s="233"/>
      <c r="DX517" s="233"/>
      <c r="DY517" s="233"/>
      <c r="DZ517" s="233"/>
      <c r="EA517" s="233"/>
      <c r="EB517" s="233"/>
      <c r="EC517" s="233"/>
      <c r="ED517" s="233"/>
      <c r="EE517" s="233"/>
      <c r="EF517" s="233"/>
      <c r="EG517" s="233"/>
      <c r="EH517" s="233"/>
      <c r="EI517" s="233"/>
      <c r="EJ517" s="233"/>
      <c r="EK517" s="233"/>
      <c r="EL517" s="233"/>
      <c r="EM517" s="233"/>
      <c r="EN517" s="233"/>
      <c r="EO517" s="233"/>
      <c r="EP517" s="233"/>
    </row>
    <row r="518" spans="1:146" ht="14.25" x14ac:dyDescent="0.2">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233"/>
      <c r="BE518" s="233"/>
      <c r="BF518" s="233"/>
      <c r="BG518" s="233"/>
      <c r="BH518" s="233"/>
      <c r="BI518" s="233"/>
      <c r="BJ518" s="233"/>
      <c r="BK518" s="233"/>
      <c r="BL518" s="233"/>
      <c r="BM518" s="233"/>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33"/>
      <c r="CI518" s="233"/>
      <c r="CJ518" s="233"/>
      <c r="CK518" s="233"/>
      <c r="CL518" s="233"/>
      <c r="CM518" s="233"/>
      <c r="CN518" s="233"/>
      <c r="CO518" s="233"/>
      <c r="CP518" s="233"/>
      <c r="CQ518" s="233"/>
      <c r="CR518" s="233"/>
      <c r="CS518" s="233"/>
      <c r="CT518" s="233"/>
      <c r="CU518" s="233"/>
      <c r="CV518" s="233"/>
      <c r="CW518" s="233"/>
      <c r="CX518" s="233"/>
      <c r="CY518" s="233"/>
      <c r="CZ518" s="233"/>
      <c r="DA518" s="233"/>
      <c r="DB518" s="233"/>
      <c r="DC518" s="233"/>
      <c r="DD518" s="233"/>
      <c r="DE518" s="233"/>
      <c r="DF518" s="233"/>
      <c r="DG518" s="233"/>
      <c r="DH518" s="233"/>
      <c r="DI518" s="233"/>
      <c r="DJ518" s="233"/>
      <c r="DK518" s="233"/>
      <c r="DL518" s="233"/>
      <c r="DM518" s="233"/>
      <c r="DN518" s="233"/>
      <c r="DO518" s="233"/>
      <c r="DP518" s="233"/>
      <c r="DQ518" s="233"/>
      <c r="DR518" s="233"/>
      <c r="DS518" s="233"/>
      <c r="DT518" s="233"/>
      <c r="DU518" s="233"/>
      <c r="DV518" s="233"/>
      <c r="DW518" s="233"/>
      <c r="DX518" s="233"/>
      <c r="DY518" s="233"/>
      <c r="DZ518" s="233"/>
      <c r="EA518" s="233"/>
      <c r="EB518" s="233"/>
      <c r="EC518" s="233"/>
      <c r="ED518" s="233"/>
      <c r="EE518" s="233"/>
      <c r="EF518" s="233"/>
      <c r="EG518" s="233"/>
      <c r="EH518" s="233"/>
      <c r="EI518" s="233"/>
      <c r="EJ518" s="233"/>
      <c r="EK518" s="233"/>
      <c r="EL518" s="233"/>
      <c r="EM518" s="233"/>
      <c r="EN518" s="233"/>
      <c r="EO518" s="233"/>
      <c r="EP518" s="233"/>
    </row>
    <row r="519" spans="1:146" ht="14.25" x14ac:dyDescent="0.2">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233"/>
      <c r="BE519" s="233"/>
      <c r="BF519" s="233"/>
      <c r="BG519" s="233"/>
      <c r="BH519" s="233"/>
      <c r="BI519" s="233"/>
      <c r="BJ519" s="233"/>
      <c r="BK519" s="233"/>
      <c r="BL519" s="233"/>
      <c r="BM519" s="233"/>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33"/>
      <c r="CI519" s="233"/>
      <c r="CJ519" s="233"/>
      <c r="CK519" s="233"/>
      <c r="CL519" s="233"/>
      <c r="CM519" s="233"/>
      <c r="CN519" s="233"/>
      <c r="CO519" s="233"/>
      <c r="CP519" s="233"/>
      <c r="CQ519" s="233"/>
      <c r="CR519" s="233"/>
      <c r="CS519" s="233"/>
      <c r="CT519" s="233"/>
      <c r="CU519" s="233"/>
      <c r="CV519" s="233"/>
      <c r="CW519" s="233"/>
      <c r="CX519" s="233"/>
      <c r="CY519" s="233"/>
      <c r="CZ519" s="233"/>
      <c r="DA519" s="233"/>
      <c r="DB519" s="233"/>
      <c r="DC519" s="233"/>
      <c r="DD519" s="233"/>
      <c r="DE519" s="233"/>
      <c r="DF519" s="233"/>
      <c r="DG519" s="233"/>
      <c r="DH519" s="233"/>
      <c r="DI519" s="233"/>
      <c r="DJ519" s="233"/>
      <c r="DK519" s="233"/>
      <c r="DL519" s="233"/>
      <c r="DM519" s="233"/>
      <c r="DN519" s="233"/>
      <c r="DO519" s="233"/>
      <c r="DP519" s="233"/>
      <c r="DQ519" s="233"/>
      <c r="DR519" s="233"/>
      <c r="DS519" s="233"/>
      <c r="DT519" s="233"/>
      <c r="DU519" s="233"/>
      <c r="DV519" s="233"/>
      <c r="DW519" s="233"/>
      <c r="DX519" s="233"/>
      <c r="DY519" s="233"/>
      <c r="DZ519" s="233"/>
      <c r="EA519" s="233"/>
      <c r="EB519" s="233"/>
      <c r="EC519" s="233"/>
      <c r="ED519" s="233"/>
      <c r="EE519" s="233"/>
      <c r="EF519" s="233"/>
      <c r="EG519" s="233"/>
      <c r="EH519" s="233"/>
      <c r="EI519" s="233"/>
      <c r="EJ519" s="233"/>
      <c r="EK519" s="233"/>
      <c r="EL519" s="233"/>
      <c r="EM519" s="233"/>
      <c r="EN519" s="233"/>
      <c r="EO519" s="233"/>
      <c r="EP519" s="233"/>
    </row>
    <row r="520" spans="1:146" ht="14.25" x14ac:dyDescent="0.2">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33"/>
      <c r="CI520" s="233"/>
      <c r="CJ520" s="233"/>
      <c r="CK520" s="233"/>
      <c r="CL520" s="233"/>
      <c r="CM520" s="233"/>
      <c r="CN520" s="233"/>
      <c r="CO520" s="233"/>
      <c r="CP520" s="233"/>
      <c r="CQ520" s="233"/>
      <c r="CR520" s="233"/>
      <c r="CS520" s="233"/>
      <c r="CT520" s="233"/>
      <c r="CU520" s="233"/>
      <c r="CV520" s="233"/>
      <c r="CW520" s="233"/>
      <c r="CX520" s="233"/>
      <c r="CY520" s="233"/>
      <c r="CZ520" s="233"/>
      <c r="DA520" s="233"/>
      <c r="DB520" s="233"/>
      <c r="DC520" s="233"/>
      <c r="DD520" s="233"/>
      <c r="DE520" s="233"/>
      <c r="DF520" s="233"/>
      <c r="DG520" s="233"/>
      <c r="DH520" s="233"/>
      <c r="DI520" s="233"/>
      <c r="DJ520" s="233"/>
      <c r="DK520" s="233"/>
      <c r="DL520" s="233"/>
      <c r="DM520" s="233"/>
      <c r="DN520" s="233"/>
      <c r="DO520" s="233"/>
      <c r="DP520" s="233"/>
      <c r="DQ520" s="233"/>
      <c r="DR520" s="233"/>
      <c r="DS520" s="233"/>
      <c r="DT520" s="233"/>
      <c r="DU520" s="233"/>
      <c r="DV520" s="233"/>
      <c r="DW520" s="233"/>
      <c r="DX520" s="233"/>
      <c r="DY520" s="233"/>
      <c r="DZ520" s="233"/>
      <c r="EA520" s="233"/>
      <c r="EB520" s="233"/>
      <c r="EC520" s="233"/>
      <c r="ED520" s="233"/>
      <c r="EE520" s="233"/>
      <c r="EF520" s="233"/>
      <c r="EG520" s="233"/>
      <c r="EH520" s="233"/>
      <c r="EI520" s="233"/>
      <c r="EJ520" s="233"/>
      <c r="EK520" s="233"/>
      <c r="EL520" s="233"/>
      <c r="EM520" s="233"/>
      <c r="EN520" s="233"/>
      <c r="EO520" s="233"/>
      <c r="EP520" s="233"/>
    </row>
    <row r="521" spans="1:146" ht="14.25" x14ac:dyDescent="0.2">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33"/>
      <c r="CN521" s="233"/>
      <c r="CO521" s="233"/>
      <c r="CP521" s="233"/>
      <c r="CQ521" s="233"/>
      <c r="CR521" s="233"/>
      <c r="CS521" s="233"/>
      <c r="CT521" s="233"/>
      <c r="CU521" s="233"/>
      <c r="CV521" s="233"/>
      <c r="CW521" s="233"/>
      <c r="CX521" s="233"/>
      <c r="CY521" s="233"/>
      <c r="CZ521" s="233"/>
      <c r="DA521" s="233"/>
      <c r="DB521" s="233"/>
      <c r="DC521" s="233"/>
      <c r="DD521" s="233"/>
      <c r="DE521" s="233"/>
      <c r="DF521" s="233"/>
      <c r="DG521" s="233"/>
      <c r="DH521" s="233"/>
      <c r="DI521" s="233"/>
      <c r="DJ521" s="233"/>
      <c r="DK521" s="233"/>
      <c r="DL521" s="233"/>
      <c r="DM521" s="233"/>
      <c r="DN521" s="233"/>
      <c r="DO521" s="233"/>
      <c r="DP521" s="233"/>
      <c r="DQ521" s="233"/>
      <c r="DR521" s="233"/>
      <c r="DS521" s="233"/>
      <c r="DT521" s="233"/>
      <c r="DU521" s="233"/>
      <c r="DV521" s="233"/>
      <c r="DW521" s="233"/>
      <c r="DX521" s="233"/>
      <c r="DY521" s="233"/>
      <c r="DZ521" s="233"/>
      <c r="EA521" s="233"/>
      <c r="EB521" s="233"/>
      <c r="EC521" s="233"/>
      <c r="ED521" s="233"/>
      <c r="EE521" s="233"/>
      <c r="EF521" s="233"/>
      <c r="EG521" s="233"/>
      <c r="EH521" s="233"/>
      <c r="EI521" s="233"/>
      <c r="EJ521" s="233"/>
      <c r="EK521" s="233"/>
      <c r="EL521" s="233"/>
      <c r="EM521" s="233"/>
      <c r="EN521" s="233"/>
      <c r="EO521" s="233"/>
      <c r="EP521" s="233"/>
    </row>
    <row r="522" spans="1:146" ht="14.25" x14ac:dyDescent="0.2">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33"/>
      <c r="CI522" s="233"/>
      <c r="CJ522" s="233"/>
      <c r="CK522" s="233"/>
      <c r="CL522" s="233"/>
      <c r="CM522" s="233"/>
      <c r="CN522" s="233"/>
      <c r="CO522" s="233"/>
      <c r="CP522" s="233"/>
      <c r="CQ522" s="233"/>
      <c r="CR522" s="233"/>
      <c r="CS522" s="233"/>
      <c r="CT522" s="233"/>
      <c r="CU522" s="233"/>
      <c r="CV522" s="233"/>
      <c r="CW522" s="233"/>
      <c r="CX522" s="233"/>
      <c r="CY522" s="233"/>
      <c r="CZ522" s="233"/>
      <c r="DA522" s="233"/>
      <c r="DB522" s="233"/>
      <c r="DC522" s="233"/>
      <c r="DD522" s="233"/>
      <c r="DE522" s="233"/>
      <c r="DF522" s="233"/>
      <c r="DG522" s="233"/>
      <c r="DH522" s="233"/>
      <c r="DI522" s="233"/>
      <c r="DJ522" s="233"/>
      <c r="DK522" s="233"/>
      <c r="DL522" s="233"/>
      <c r="DM522" s="233"/>
      <c r="DN522" s="233"/>
      <c r="DO522" s="233"/>
      <c r="DP522" s="233"/>
      <c r="DQ522" s="233"/>
      <c r="DR522" s="233"/>
      <c r="DS522" s="233"/>
      <c r="DT522" s="233"/>
      <c r="DU522" s="233"/>
      <c r="DV522" s="233"/>
      <c r="DW522" s="233"/>
      <c r="DX522" s="233"/>
      <c r="DY522" s="233"/>
      <c r="DZ522" s="233"/>
      <c r="EA522" s="233"/>
      <c r="EB522" s="233"/>
      <c r="EC522" s="233"/>
      <c r="ED522" s="233"/>
      <c r="EE522" s="233"/>
      <c r="EF522" s="233"/>
      <c r="EG522" s="233"/>
      <c r="EH522" s="233"/>
      <c r="EI522" s="233"/>
      <c r="EJ522" s="233"/>
      <c r="EK522" s="233"/>
      <c r="EL522" s="233"/>
      <c r="EM522" s="233"/>
      <c r="EN522" s="233"/>
      <c r="EO522" s="233"/>
      <c r="EP522" s="233"/>
    </row>
    <row r="523" spans="1:146" ht="14.25" x14ac:dyDescent="0.2">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row>
    <row r="524" spans="1:146" ht="14.25" x14ac:dyDescent="0.2">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33"/>
      <c r="DU524" s="233"/>
      <c r="DV524" s="233"/>
      <c r="DW524" s="233"/>
      <c r="DX524" s="233"/>
      <c r="DY524" s="233"/>
      <c r="DZ524" s="233"/>
      <c r="EA524" s="233"/>
      <c r="EB524" s="233"/>
      <c r="EC524" s="233"/>
      <c r="ED524" s="233"/>
      <c r="EE524" s="233"/>
      <c r="EF524" s="233"/>
      <c r="EG524" s="233"/>
      <c r="EH524" s="233"/>
      <c r="EI524" s="233"/>
      <c r="EJ524" s="233"/>
      <c r="EK524" s="233"/>
      <c r="EL524" s="233"/>
      <c r="EM524" s="233"/>
      <c r="EN524" s="233"/>
      <c r="EO524" s="233"/>
      <c r="EP524" s="233"/>
    </row>
    <row r="525" spans="1:146" ht="14.25" x14ac:dyDescent="0.2">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33"/>
      <c r="CN525" s="233"/>
      <c r="CO525" s="233"/>
      <c r="CP525" s="233"/>
      <c r="CQ525" s="233"/>
      <c r="CR525" s="233"/>
      <c r="CS525" s="233"/>
      <c r="CT525" s="233"/>
      <c r="CU525" s="233"/>
      <c r="CV525" s="233"/>
      <c r="CW525" s="233"/>
      <c r="CX525" s="233"/>
      <c r="CY525" s="233"/>
      <c r="CZ525" s="233"/>
      <c r="DA525" s="233"/>
      <c r="DB525" s="233"/>
      <c r="DC525" s="233"/>
      <c r="DD525" s="233"/>
      <c r="DE525" s="233"/>
      <c r="DF525" s="233"/>
      <c r="DG525" s="233"/>
      <c r="DH525" s="233"/>
      <c r="DI525" s="233"/>
      <c r="DJ525" s="233"/>
      <c r="DK525" s="233"/>
      <c r="DL525" s="233"/>
      <c r="DM525" s="233"/>
      <c r="DN525" s="233"/>
      <c r="DO525" s="233"/>
      <c r="DP525" s="233"/>
      <c r="DQ525" s="233"/>
      <c r="DR525" s="233"/>
      <c r="DS525" s="233"/>
      <c r="DT525" s="233"/>
      <c r="DU525" s="233"/>
      <c r="DV525" s="233"/>
      <c r="DW525" s="233"/>
      <c r="DX525" s="233"/>
      <c r="DY525" s="233"/>
      <c r="DZ525" s="233"/>
      <c r="EA525" s="233"/>
      <c r="EB525" s="233"/>
      <c r="EC525" s="233"/>
      <c r="ED525" s="233"/>
      <c r="EE525" s="233"/>
      <c r="EF525" s="233"/>
      <c r="EG525" s="233"/>
      <c r="EH525" s="233"/>
      <c r="EI525" s="233"/>
      <c r="EJ525" s="233"/>
      <c r="EK525" s="233"/>
      <c r="EL525" s="233"/>
      <c r="EM525" s="233"/>
      <c r="EN525" s="233"/>
      <c r="EO525" s="233"/>
      <c r="EP525" s="233"/>
    </row>
    <row r="526" spans="1:146" ht="14.25" x14ac:dyDescent="0.2">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233"/>
      <c r="BE526" s="233"/>
      <c r="BF526" s="233"/>
      <c r="BG526" s="233"/>
      <c r="BH526" s="233"/>
      <c r="BI526" s="233"/>
      <c r="BJ526" s="233"/>
      <c r="BK526" s="233"/>
      <c r="BL526" s="233"/>
      <c r="BM526" s="233"/>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33"/>
      <c r="CI526" s="233"/>
      <c r="CJ526" s="233"/>
      <c r="CK526" s="233"/>
      <c r="CL526" s="233"/>
      <c r="CM526" s="233"/>
      <c r="CN526" s="233"/>
      <c r="CO526" s="233"/>
      <c r="CP526" s="233"/>
      <c r="CQ526" s="233"/>
      <c r="CR526" s="233"/>
      <c r="CS526" s="233"/>
      <c r="CT526" s="233"/>
      <c r="CU526" s="233"/>
      <c r="CV526" s="233"/>
      <c r="CW526" s="233"/>
      <c r="CX526" s="233"/>
      <c r="CY526" s="233"/>
      <c r="CZ526" s="233"/>
      <c r="DA526" s="233"/>
      <c r="DB526" s="233"/>
      <c r="DC526" s="233"/>
      <c r="DD526" s="233"/>
      <c r="DE526" s="233"/>
      <c r="DF526" s="233"/>
      <c r="DG526" s="233"/>
      <c r="DH526" s="233"/>
      <c r="DI526" s="233"/>
      <c r="DJ526" s="233"/>
      <c r="DK526" s="233"/>
      <c r="DL526" s="233"/>
      <c r="DM526" s="233"/>
      <c r="DN526" s="233"/>
      <c r="DO526" s="233"/>
      <c r="DP526" s="233"/>
      <c r="DQ526" s="233"/>
      <c r="DR526" s="233"/>
      <c r="DS526" s="233"/>
      <c r="DT526" s="233"/>
      <c r="DU526" s="233"/>
      <c r="DV526" s="233"/>
      <c r="DW526" s="233"/>
      <c r="DX526" s="233"/>
      <c r="DY526" s="233"/>
      <c r="DZ526" s="233"/>
      <c r="EA526" s="233"/>
      <c r="EB526" s="233"/>
      <c r="EC526" s="233"/>
      <c r="ED526" s="233"/>
      <c r="EE526" s="233"/>
      <c r="EF526" s="233"/>
      <c r="EG526" s="233"/>
      <c r="EH526" s="233"/>
      <c r="EI526" s="233"/>
      <c r="EJ526" s="233"/>
      <c r="EK526" s="233"/>
      <c r="EL526" s="233"/>
      <c r="EM526" s="233"/>
      <c r="EN526" s="233"/>
      <c r="EO526" s="233"/>
      <c r="EP526" s="233"/>
    </row>
    <row r="527" spans="1:146" ht="14.25" x14ac:dyDescent="0.2">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233"/>
      <c r="BE527" s="233"/>
      <c r="BF527" s="233"/>
      <c r="BG527" s="233"/>
      <c r="BH527" s="233"/>
      <c r="BI527" s="233"/>
      <c r="BJ527" s="233"/>
      <c r="BK527" s="233"/>
      <c r="BL527" s="233"/>
      <c r="BM527" s="233"/>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33"/>
      <c r="CI527" s="233"/>
      <c r="CJ527" s="233"/>
      <c r="CK527" s="233"/>
      <c r="CL527" s="233"/>
      <c r="CM527" s="233"/>
      <c r="CN527" s="233"/>
      <c r="CO527" s="233"/>
      <c r="CP527" s="233"/>
      <c r="CQ527" s="233"/>
      <c r="CR527" s="233"/>
      <c r="CS527" s="233"/>
      <c r="CT527" s="233"/>
      <c r="CU527" s="233"/>
      <c r="CV527" s="233"/>
      <c r="CW527" s="233"/>
      <c r="CX527" s="233"/>
      <c r="CY527" s="233"/>
      <c r="CZ527" s="233"/>
      <c r="DA527" s="233"/>
      <c r="DB527" s="233"/>
      <c r="DC527" s="233"/>
      <c r="DD527" s="233"/>
      <c r="DE527" s="233"/>
      <c r="DF527" s="233"/>
      <c r="DG527" s="233"/>
      <c r="DH527" s="233"/>
      <c r="DI527" s="233"/>
      <c r="DJ527" s="233"/>
      <c r="DK527" s="233"/>
      <c r="DL527" s="233"/>
      <c r="DM527" s="233"/>
      <c r="DN527" s="233"/>
      <c r="DO527" s="233"/>
      <c r="DP527" s="233"/>
      <c r="DQ527" s="233"/>
      <c r="DR527" s="233"/>
      <c r="DS527" s="233"/>
      <c r="DT527" s="233"/>
      <c r="DU527" s="233"/>
      <c r="DV527" s="233"/>
      <c r="DW527" s="233"/>
      <c r="DX527" s="233"/>
      <c r="DY527" s="233"/>
      <c r="DZ527" s="233"/>
      <c r="EA527" s="233"/>
      <c r="EB527" s="233"/>
      <c r="EC527" s="233"/>
      <c r="ED527" s="233"/>
      <c r="EE527" s="233"/>
      <c r="EF527" s="233"/>
      <c r="EG527" s="233"/>
      <c r="EH527" s="233"/>
      <c r="EI527" s="233"/>
      <c r="EJ527" s="233"/>
      <c r="EK527" s="233"/>
      <c r="EL527" s="233"/>
      <c r="EM527" s="233"/>
      <c r="EN527" s="233"/>
      <c r="EO527" s="233"/>
      <c r="EP527" s="233"/>
    </row>
    <row r="528" spans="1:146" ht="14.25" x14ac:dyDescent="0.2">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33"/>
      <c r="BF528" s="233"/>
      <c r="BG528" s="233"/>
      <c r="BH528" s="233"/>
      <c r="BI528" s="233"/>
      <c r="BJ528" s="233"/>
      <c r="BK528" s="233"/>
      <c r="BL528" s="233"/>
      <c r="BM528" s="233"/>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33"/>
      <c r="CI528" s="233"/>
      <c r="CJ528" s="233"/>
      <c r="CK528" s="233"/>
      <c r="CL528" s="233"/>
      <c r="CM528" s="233"/>
      <c r="CN528" s="233"/>
      <c r="CO528" s="233"/>
      <c r="CP528" s="233"/>
      <c r="CQ528" s="233"/>
      <c r="CR528" s="233"/>
      <c r="CS528" s="233"/>
      <c r="CT528" s="233"/>
      <c r="CU528" s="233"/>
      <c r="CV528" s="233"/>
      <c r="CW528" s="233"/>
      <c r="CX528" s="233"/>
      <c r="CY528" s="233"/>
      <c r="CZ528" s="233"/>
      <c r="DA528" s="233"/>
      <c r="DB528" s="233"/>
      <c r="DC528" s="233"/>
      <c r="DD528" s="233"/>
      <c r="DE528" s="233"/>
      <c r="DF528" s="233"/>
      <c r="DG528" s="233"/>
      <c r="DH528" s="233"/>
      <c r="DI528" s="233"/>
      <c r="DJ528" s="233"/>
      <c r="DK528" s="233"/>
      <c r="DL528" s="233"/>
      <c r="DM528" s="233"/>
      <c r="DN528" s="233"/>
      <c r="DO528" s="233"/>
      <c r="DP528" s="233"/>
      <c r="DQ528" s="233"/>
      <c r="DR528" s="233"/>
      <c r="DS528" s="233"/>
      <c r="DT528" s="233"/>
      <c r="DU528" s="233"/>
      <c r="DV528" s="233"/>
      <c r="DW528" s="233"/>
      <c r="DX528" s="233"/>
      <c r="DY528" s="233"/>
      <c r="DZ528" s="233"/>
      <c r="EA528" s="233"/>
      <c r="EB528" s="233"/>
      <c r="EC528" s="233"/>
      <c r="ED528" s="233"/>
      <c r="EE528" s="233"/>
      <c r="EF528" s="233"/>
      <c r="EG528" s="233"/>
      <c r="EH528" s="233"/>
      <c r="EI528" s="233"/>
      <c r="EJ528" s="233"/>
      <c r="EK528" s="233"/>
      <c r="EL528" s="233"/>
      <c r="EM528" s="233"/>
      <c r="EN528" s="233"/>
      <c r="EO528" s="233"/>
      <c r="EP528" s="233"/>
    </row>
    <row r="529" spans="1:146" ht="14.25" x14ac:dyDescent="0.2">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33"/>
      <c r="CI529" s="233"/>
      <c r="CJ529" s="233"/>
      <c r="CK529" s="233"/>
      <c r="CL529" s="233"/>
      <c r="CM529" s="233"/>
      <c r="CN529" s="233"/>
      <c r="CO529" s="233"/>
      <c r="CP529" s="233"/>
      <c r="CQ529" s="233"/>
      <c r="CR529" s="233"/>
      <c r="CS529" s="233"/>
      <c r="CT529" s="233"/>
      <c r="CU529" s="233"/>
      <c r="CV529" s="233"/>
      <c r="CW529" s="233"/>
      <c r="CX529" s="233"/>
      <c r="CY529" s="233"/>
      <c r="CZ529" s="233"/>
      <c r="DA529" s="233"/>
      <c r="DB529" s="233"/>
      <c r="DC529" s="233"/>
      <c r="DD529" s="233"/>
      <c r="DE529" s="233"/>
      <c r="DF529" s="233"/>
      <c r="DG529" s="233"/>
      <c r="DH529" s="233"/>
      <c r="DI529" s="233"/>
      <c r="DJ529" s="233"/>
      <c r="DK529" s="233"/>
      <c r="DL529" s="233"/>
      <c r="DM529" s="233"/>
      <c r="DN529" s="233"/>
      <c r="DO529" s="233"/>
      <c r="DP529" s="233"/>
      <c r="DQ529" s="233"/>
      <c r="DR529" s="233"/>
      <c r="DS529" s="233"/>
      <c r="DT529" s="233"/>
      <c r="DU529" s="233"/>
      <c r="DV529" s="233"/>
      <c r="DW529" s="233"/>
      <c r="DX529" s="233"/>
      <c r="DY529" s="233"/>
      <c r="DZ529" s="233"/>
      <c r="EA529" s="233"/>
      <c r="EB529" s="233"/>
      <c r="EC529" s="233"/>
      <c r="ED529" s="233"/>
      <c r="EE529" s="233"/>
      <c r="EF529" s="233"/>
      <c r="EG529" s="233"/>
      <c r="EH529" s="233"/>
      <c r="EI529" s="233"/>
      <c r="EJ529" s="233"/>
      <c r="EK529" s="233"/>
      <c r="EL529" s="233"/>
      <c r="EM529" s="233"/>
      <c r="EN529" s="233"/>
      <c r="EO529" s="233"/>
      <c r="EP529" s="233"/>
    </row>
    <row r="530" spans="1:146" ht="14.25" x14ac:dyDescent="0.2">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33"/>
      <c r="BF530" s="233"/>
      <c r="BG530" s="233"/>
      <c r="BH530" s="233"/>
      <c r="BI530" s="233"/>
      <c r="BJ530" s="233"/>
      <c r="BK530" s="233"/>
      <c r="BL530" s="233"/>
      <c r="BM530" s="233"/>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33"/>
      <c r="CI530" s="233"/>
      <c r="CJ530" s="233"/>
      <c r="CK530" s="233"/>
      <c r="CL530" s="233"/>
      <c r="CM530" s="233"/>
      <c r="CN530" s="233"/>
      <c r="CO530" s="233"/>
      <c r="CP530" s="233"/>
      <c r="CQ530" s="233"/>
      <c r="CR530" s="233"/>
      <c r="CS530" s="233"/>
      <c r="CT530" s="233"/>
      <c r="CU530" s="233"/>
      <c r="CV530" s="233"/>
      <c r="CW530" s="233"/>
      <c r="CX530" s="233"/>
      <c r="CY530" s="233"/>
      <c r="CZ530" s="233"/>
      <c r="DA530" s="233"/>
      <c r="DB530" s="233"/>
      <c r="DC530" s="233"/>
      <c r="DD530" s="233"/>
      <c r="DE530" s="233"/>
      <c r="DF530" s="233"/>
      <c r="DG530" s="233"/>
      <c r="DH530" s="233"/>
      <c r="DI530" s="233"/>
      <c r="DJ530" s="233"/>
      <c r="DK530" s="233"/>
      <c r="DL530" s="233"/>
      <c r="DM530" s="233"/>
      <c r="DN530" s="233"/>
      <c r="DO530" s="233"/>
      <c r="DP530" s="233"/>
      <c r="DQ530" s="233"/>
      <c r="DR530" s="233"/>
      <c r="DS530" s="233"/>
      <c r="DT530" s="233"/>
      <c r="DU530" s="233"/>
      <c r="DV530" s="233"/>
      <c r="DW530" s="233"/>
      <c r="DX530" s="233"/>
      <c r="DY530" s="233"/>
      <c r="DZ530" s="233"/>
      <c r="EA530" s="233"/>
      <c r="EB530" s="233"/>
      <c r="EC530" s="233"/>
      <c r="ED530" s="233"/>
      <c r="EE530" s="233"/>
      <c r="EF530" s="233"/>
      <c r="EG530" s="233"/>
      <c r="EH530" s="233"/>
      <c r="EI530" s="233"/>
      <c r="EJ530" s="233"/>
      <c r="EK530" s="233"/>
      <c r="EL530" s="233"/>
      <c r="EM530" s="233"/>
      <c r="EN530" s="233"/>
      <c r="EO530" s="233"/>
      <c r="EP530" s="233"/>
    </row>
    <row r="531" spans="1:146" ht="14.25"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33"/>
      <c r="CI531" s="233"/>
      <c r="CJ531" s="233"/>
      <c r="CK531" s="233"/>
      <c r="CL531" s="233"/>
      <c r="CM531" s="233"/>
      <c r="CN531" s="233"/>
      <c r="CO531" s="233"/>
      <c r="CP531" s="233"/>
      <c r="CQ531" s="233"/>
      <c r="CR531" s="233"/>
      <c r="CS531" s="233"/>
      <c r="CT531" s="233"/>
      <c r="CU531" s="233"/>
      <c r="CV531" s="233"/>
      <c r="CW531" s="233"/>
      <c r="CX531" s="233"/>
      <c r="CY531" s="233"/>
      <c r="CZ531" s="233"/>
      <c r="DA531" s="233"/>
      <c r="DB531" s="233"/>
      <c r="DC531" s="233"/>
      <c r="DD531" s="233"/>
      <c r="DE531" s="233"/>
      <c r="DF531" s="233"/>
      <c r="DG531" s="233"/>
      <c r="DH531" s="233"/>
      <c r="DI531" s="233"/>
      <c r="DJ531" s="233"/>
      <c r="DK531" s="233"/>
      <c r="DL531" s="233"/>
      <c r="DM531" s="233"/>
      <c r="DN531" s="233"/>
      <c r="DO531" s="233"/>
      <c r="DP531" s="233"/>
      <c r="DQ531" s="233"/>
      <c r="DR531" s="233"/>
      <c r="DS531" s="233"/>
      <c r="DT531" s="233"/>
      <c r="DU531" s="233"/>
      <c r="DV531" s="233"/>
      <c r="DW531" s="233"/>
      <c r="DX531" s="233"/>
      <c r="DY531" s="233"/>
      <c r="DZ531" s="233"/>
      <c r="EA531" s="233"/>
      <c r="EB531" s="233"/>
      <c r="EC531" s="233"/>
      <c r="ED531" s="233"/>
      <c r="EE531" s="233"/>
      <c r="EF531" s="233"/>
      <c r="EG531" s="233"/>
      <c r="EH531" s="233"/>
      <c r="EI531" s="233"/>
      <c r="EJ531" s="233"/>
      <c r="EK531" s="233"/>
      <c r="EL531" s="233"/>
      <c r="EM531" s="233"/>
      <c r="EN531" s="233"/>
      <c r="EO531" s="233"/>
      <c r="EP531" s="233"/>
    </row>
    <row r="532" spans="1:146" ht="14.25"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33"/>
      <c r="BF532" s="233"/>
      <c r="BG532" s="233"/>
      <c r="BH532" s="233"/>
      <c r="BI532" s="233"/>
      <c r="BJ532" s="233"/>
      <c r="BK532" s="233"/>
      <c r="BL532" s="233"/>
      <c r="BM532" s="233"/>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33"/>
      <c r="CI532" s="233"/>
      <c r="CJ532" s="233"/>
      <c r="CK532" s="233"/>
      <c r="CL532" s="233"/>
      <c r="CM532" s="233"/>
      <c r="CN532" s="233"/>
      <c r="CO532" s="233"/>
      <c r="CP532" s="233"/>
      <c r="CQ532" s="233"/>
      <c r="CR532" s="233"/>
      <c r="CS532" s="233"/>
      <c r="CT532" s="233"/>
      <c r="CU532" s="233"/>
      <c r="CV532" s="233"/>
      <c r="CW532" s="233"/>
      <c r="CX532" s="233"/>
      <c r="CY532" s="233"/>
      <c r="CZ532" s="233"/>
      <c r="DA532" s="233"/>
      <c r="DB532" s="233"/>
      <c r="DC532" s="233"/>
      <c r="DD532" s="233"/>
      <c r="DE532" s="233"/>
      <c r="DF532" s="233"/>
      <c r="DG532" s="233"/>
      <c r="DH532" s="233"/>
      <c r="DI532" s="233"/>
      <c r="DJ532" s="233"/>
      <c r="DK532" s="233"/>
      <c r="DL532" s="233"/>
      <c r="DM532" s="233"/>
      <c r="DN532" s="233"/>
      <c r="DO532" s="233"/>
      <c r="DP532" s="233"/>
      <c r="DQ532" s="233"/>
      <c r="DR532" s="233"/>
      <c r="DS532" s="233"/>
      <c r="DT532" s="233"/>
      <c r="DU532" s="233"/>
      <c r="DV532" s="233"/>
      <c r="DW532" s="233"/>
      <c r="DX532" s="233"/>
      <c r="DY532" s="233"/>
      <c r="DZ532" s="233"/>
      <c r="EA532" s="233"/>
      <c r="EB532" s="233"/>
      <c r="EC532" s="233"/>
      <c r="ED532" s="233"/>
      <c r="EE532" s="233"/>
      <c r="EF532" s="233"/>
      <c r="EG532" s="233"/>
      <c r="EH532" s="233"/>
      <c r="EI532" s="233"/>
      <c r="EJ532" s="233"/>
      <c r="EK532" s="233"/>
      <c r="EL532" s="233"/>
      <c r="EM532" s="233"/>
      <c r="EN532" s="233"/>
      <c r="EO532" s="233"/>
      <c r="EP532" s="233"/>
    </row>
    <row r="533" spans="1:146" ht="14.25"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33"/>
      <c r="BF533" s="233"/>
      <c r="BG533" s="233"/>
      <c r="BH533" s="233"/>
      <c r="BI533" s="233"/>
      <c r="BJ533" s="233"/>
      <c r="BK533" s="233"/>
      <c r="BL533" s="233"/>
      <c r="BM533" s="233"/>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33"/>
      <c r="CI533" s="233"/>
      <c r="CJ533" s="233"/>
      <c r="CK533" s="233"/>
      <c r="CL533" s="233"/>
      <c r="CM533" s="233"/>
      <c r="CN533" s="233"/>
      <c r="CO533" s="233"/>
      <c r="CP533" s="233"/>
      <c r="CQ533" s="233"/>
      <c r="CR533" s="233"/>
      <c r="CS533" s="233"/>
      <c r="CT533" s="233"/>
      <c r="CU533" s="233"/>
      <c r="CV533" s="233"/>
      <c r="CW533" s="233"/>
      <c r="CX533" s="233"/>
      <c r="CY533" s="233"/>
      <c r="CZ533" s="233"/>
      <c r="DA533" s="233"/>
      <c r="DB533" s="233"/>
      <c r="DC533" s="233"/>
      <c r="DD533" s="233"/>
      <c r="DE533" s="233"/>
      <c r="DF533" s="233"/>
      <c r="DG533" s="233"/>
      <c r="DH533" s="233"/>
      <c r="DI533" s="233"/>
      <c r="DJ533" s="233"/>
      <c r="DK533" s="233"/>
      <c r="DL533" s="233"/>
      <c r="DM533" s="233"/>
      <c r="DN533" s="233"/>
      <c r="DO533" s="233"/>
      <c r="DP533" s="233"/>
      <c r="DQ533" s="233"/>
      <c r="DR533" s="233"/>
      <c r="DS533" s="233"/>
      <c r="DT533" s="233"/>
      <c r="DU533" s="233"/>
      <c r="DV533" s="233"/>
      <c r="DW533" s="233"/>
      <c r="DX533" s="233"/>
      <c r="DY533" s="233"/>
      <c r="DZ533" s="233"/>
      <c r="EA533" s="233"/>
      <c r="EB533" s="233"/>
      <c r="EC533" s="233"/>
      <c r="ED533" s="233"/>
      <c r="EE533" s="233"/>
      <c r="EF533" s="233"/>
      <c r="EG533" s="233"/>
      <c r="EH533" s="233"/>
      <c r="EI533" s="233"/>
      <c r="EJ533" s="233"/>
      <c r="EK533" s="233"/>
      <c r="EL533" s="233"/>
      <c r="EM533" s="233"/>
      <c r="EN533" s="233"/>
      <c r="EO533" s="233"/>
      <c r="EP533" s="233"/>
    </row>
    <row r="534" spans="1:146" ht="14.25"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233"/>
      <c r="BE534" s="233"/>
      <c r="BF534" s="233"/>
      <c r="BG534" s="233"/>
      <c r="BH534" s="233"/>
      <c r="BI534" s="233"/>
      <c r="BJ534" s="233"/>
      <c r="BK534" s="233"/>
      <c r="BL534" s="233"/>
      <c r="BM534" s="233"/>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33"/>
      <c r="CI534" s="233"/>
      <c r="CJ534" s="233"/>
      <c r="CK534" s="233"/>
      <c r="CL534" s="233"/>
      <c r="CM534" s="233"/>
      <c r="CN534" s="233"/>
      <c r="CO534" s="233"/>
      <c r="CP534" s="233"/>
      <c r="CQ534" s="233"/>
      <c r="CR534" s="233"/>
      <c r="CS534" s="233"/>
      <c r="CT534" s="233"/>
      <c r="CU534" s="233"/>
      <c r="CV534" s="233"/>
      <c r="CW534" s="233"/>
      <c r="CX534" s="233"/>
      <c r="CY534" s="233"/>
      <c r="CZ534" s="233"/>
      <c r="DA534" s="233"/>
      <c r="DB534" s="233"/>
      <c r="DC534" s="233"/>
      <c r="DD534" s="233"/>
      <c r="DE534" s="233"/>
      <c r="DF534" s="233"/>
      <c r="DG534" s="233"/>
      <c r="DH534" s="233"/>
      <c r="DI534" s="233"/>
      <c r="DJ534" s="233"/>
      <c r="DK534" s="233"/>
      <c r="DL534" s="233"/>
      <c r="DM534" s="233"/>
      <c r="DN534" s="233"/>
      <c r="DO534" s="233"/>
      <c r="DP534" s="233"/>
      <c r="DQ534" s="233"/>
      <c r="DR534" s="233"/>
      <c r="DS534" s="233"/>
      <c r="DT534" s="233"/>
      <c r="DU534" s="233"/>
      <c r="DV534" s="233"/>
      <c r="DW534" s="233"/>
      <c r="DX534" s="233"/>
      <c r="DY534" s="233"/>
      <c r="DZ534" s="233"/>
      <c r="EA534" s="233"/>
      <c r="EB534" s="233"/>
      <c r="EC534" s="233"/>
      <c r="ED534" s="233"/>
      <c r="EE534" s="233"/>
      <c r="EF534" s="233"/>
      <c r="EG534" s="233"/>
      <c r="EH534" s="233"/>
      <c r="EI534" s="233"/>
      <c r="EJ534" s="233"/>
      <c r="EK534" s="233"/>
      <c r="EL534" s="233"/>
      <c r="EM534" s="233"/>
      <c r="EN534" s="233"/>
      <c r="EO534" s="233"/>
      <c r="EP534" s="233"/>
    </row>
    <row r="535" spans="1:146" ht="14.25"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233"/>
      <c r="BE535" s="233"/>
      <c r="BF535" s="233"/>
      <c r="BG535" s="233"/>
      <c r="BH535" s="233"/>
      <c r="BI535" s="233"/>
      <c r="BJ535" s="233"/>
      <c r="BK535" s="233"/>
      <c r="BL535" s="233"/>
      <c r="BM535" s="233"/>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33"/>
      <c r="CI535" s="233"/>
      <c r="CJ535" s="233"/>
      <c r="CK535" s="233"/>
      <c r="CL535" s="233"/>
      <c r="CM535" s="233"/>
      <c r="CN535" s="233"/>
      <c r="CO535" s="233"/>
      <c r="CP535" s="233"/>
      <c r="CQ535" s="233"/>
      <c r="CR535" s="233"/>
      <c r="CS535" s="233"/>
      <c r="CT535" s="233"/>
      <c r="CU535" s="233"/>
      <c r="CV535" s="233"/>
      <c r="CW535" s="233"/>
      <c r="CX535" s="233"/>
      <c r="CY535" s="233"/>
      <c r="CZ535" s="233"/>
      <c r="DA535" s="233"/>
      <c r="DB535" s="233"/>
      <c r="DC535" s="233"/>
      <c r="DD535" s="233"/>
      <c r="DE535" s="233"/>
      <c r="DF535" s="233"/>
      <c r="DG535" s="233"/>
      <c r="DH535" s="233"/>
      <c r="DI535" s="233"/>
      <c r="DJ535" s="233"/>
      <c r="DK535" s="233"/>
      <c r="DL535" s="233"/>
      <c r="DM535" s="233"/>
      <c r="DN535" s="233"/>
      <c r="DO535" s="233"/>
      <c r="DP535" s="233"/>
      <c r="DQ535" s="233"/>
      <c r="DR535" s="233"/>
      <c r="DS535" s="233"/>
      <c r="DT535" s="233"/>
      <c r="DU535" s="233"/>
      <c r="DV535" s="233"/>
      <c r="DW535" s="233"/>
      <c r="DX535" s="233"/>
      <c r="DY535" s="233"/>
      <c r="DZ535" s="233"/>
      <c r="EA535" s="233"/>
      <c r="EB535" s="233"/>
      <c r="EC535" s="233"/>
      <c r="ED535" s="233"/>
      <c r="EE535" s="233"/>
      <c r="EF535" s="233"/>
      <c r="EG535" s="233"/>
      <c r="EH535" s="233"/>
      <c r="EI535" s="233"/>
      <c r="EJ535" s="233"/>
      <c r="EK535" s="233"/>
      <c r="EL535" s="233"/>
      <c r="EM535" s="233"/>
      <c r="EN535" s="233"/>
      <c r="EO535" s="233"/>
      <c r="EP535" s="233"/>
    </row>
    <row r="536" spans="1:146" ht="14.25"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33"/>
      <c r="CI536" s="233"/>
      <c r="CJ536" s="233"/>
      <c r="CK536" s="233"/>
      <c r="CL536" s="233"/>
      <c r="CM536" s="233"/>
      <c r="CN536" s="233"/>
      <c r="CO536" s="233"/>
      <c r="CP536" s="233"/>
      <c r="CQ536" s="233"/>
      <c r="CR536" s="233"/>
      <c r="CS536" s="233"/>
      <c r="CT536" s="233"/>
      <c r="CU536" s="233"/>
      <c r="CV536" s="233"/>
      <c r="CW536" s="233"/>
      <c r="CX536" s="233"/>
      <c r="CY536" s="233"/>
      <c r="CZ536" s="233"/>
      <c r="DA536" s="233"/>
      <c r="DB536" s="233"/>
      <c r="DC536" s="233"/>
      <c r="DD536" s="233"/>
      <c r="DE536" s="233"/>
      <c r="DF536" s="233"/>
      <c r="DG536" s="233"/>
      <c r="DH536" s="233"/>
      <c r="DI536" s="233"/>
      <c r="DJ536" s="233"/>
      <c r="DK536" s="233"/>
      <c r="DL536" s="233"/>
      <c r="DM536" s="233"/>
      <c r="DN536" s="233"/>
      <c r="DO536" s="233"/>
      <c r="DP536" s="233"/>
      <c r="DQ536" s="233"/>
      <c r="DR536" s="233"/>
      <c r="DS536" s="233"/>
      <c r="DT536" s="233"/>
      <c r="DU536" s="233"/>
      <c r="DV536" s="233"/>
      <c r="DW536" s="233"/>
      <c r="DX536" s="233"/>
      <c r="DY536" s="233"/>
      <c r="DZ536" s="233"/>
      <c r="EA536" s="233"/>
      <c r="EB536" s="233"/>
      <c r="EC536" s="233"/>
      <c r="ED536" s="233"/>
      <c r="EE536" s="233"/>
      <c r="EF536" s="233"/>
      <c r="EG536" s="233"/>
      <c r="EH536" s="233"/>
      <c r="EI536" s="233"/>
      <c r="EJ536" s="233"/>
      <c r="EK536" s="233"/>
      <c r="EL536" s="233"/>
      <c r="EM536" s="233"/>
      <c r="EN536" s="233"/>
      <c r="EO536" s="233"/>
      <c r="EP536" s="233"/>
    </row>
    <row r="537" spans="1:146" ht="14.25" x14ac:dyDescent="0.2">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233"/>
      <c r="BE537" s="233"/>
      <c r="BF537" s="233"/>
      <c r="BG537" s="233"/>
      <c r="BH537" s="233"/>
      <c r="BI537" s="233"/>
      <c r="BJ537" s="233"/>
      <c r="BK537" s="233"/>
      <c r="BL537" s="233"/>
      <c r="BM537" s="233"/>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33"/>
      <c r="CI537" s="233"/>
      <c r="CJ537" s="233"/>
      <c r="CK537" s="233"/>
      <c r="CL537" s="233"/>
      <c r="CM537" s="233"/>
      <c r="CN537" s="233"/>
      <c r="CO537" s="233"/>
      <c r="CP537" s="233"/>
      <c r="CQ537" s="233"/>
      <c r="CR537" s="233"/>
      <c r="CS537" s="233"/>
      <c r="CT537" s="233"/>
      <c r="CU537" s="233"/>
      <c r="CV537" s="233"/>
      <c r="CW537" s="233"/>
      <c r="CX537" s="233"/>
      <c r="CY537" s="233"/>
      <c r="CZ537" s="233"/>
      <c r="DA537" s="233"/>
      <c r="DB537" s="233"/>
      <c r="DC537" s="233"/>
      <c r="DD537" s="233"/>
      <c r="DE537" s="233"/>
      <c r="DF537" s="233"/>
      <c r="DG537" s="233"/>
      <c r="DH537" s="233"/>
      <c r="DI537" s="233"/>
      <c r="DJ537" s="233"/>
      <c r="DK537" s="233"/>
      <c r="DL537" s="233"/>
      <c r="DM537" s="233"/>
      <c r="DN537" s="233"/>
      <c r="DO537" s="233"/>
      <c r="DP537" s="233"/>
      <c r="DQ537" s="233"/>
      <c r="DR537" s="233"/>
      <c r="DS537" s="233"/>
      <c r="DT537" s="233"/>
      <c r="DU537" s="233"/>
      <c r="DV537" s="233"/>
      <c r="DW537" s="233"/>
      <c r="DX537" s="233"/>
      <c r="DY537" s="233"/>
      <c r="DZ537" s="233"/>
      <c r="EA537" s="233"/>
      <c r="EB537" s="233"/>
      <c r="EC537" s="233"/>
      <c r="ED537" s="233"/>
      <c r="EE537" s="233"/>
      <c r="EF537" s="233"/>
      <c r="EG537" s="233"/>
      <c r="EH537" s="233"/>
      <c r="EI537" s="233"/>
      <c r="EJ537" s="233"/>
      <c r="EK537" s="233"/>
      <c r="EL537" s="233"/>
      <c r="EM537" s="233"/>
      <c r="EN537" s="233"/>
      <c r="EO537" s="233"/>
      <c r="EP537" s="233"/>
    </row>
    <row r="538" spans="1:146" ht="14.25" x14ac:dyDescent="0.2">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33"/>
      <c r="CI538" s="233"/>
      <c r="CJ538" s="233"/>
      <c r="CK538" s="233"/>
      <c r="CL538" s="233"/>
      <c r="CM538" s="233"/>
      <c r="CN538" s="233"/>
      <c r="CO538" s="233"/>
      <c r="CP538" s="233"/>
      <c r="CQ538" s="233"/>
      <c r="CR538" s="233"/>
      <c r="CS538" s="233"/>
      <c r="CT538" s="233"/>
      <c r="CU538" s="233"/>
      <c r="CV538" s="233"/>
      <c r="CW538" s="233"/>
      <c r="CX538" s="233"/>
      <c r="CY538" s="233"/>
      <c r="CZ538" s="233"/>
      <c r="DA538" s="233"/>
      <c r="DB538" s="233"/>
      <c r="DC538" s="233"/>
      <c r="DD538" s="233"/>
      <c r="DE538" s="233"/>
      <c r="DF538" s="233"/>
      <c r="DG538" s="233"/>
      <c r="DH538" s="233"/>
      <c r="DI538" s="233"/>
      <c r="DJ538" s="233"/>
      <c r="DK538" s="233"/>
      <c r="DL538" s="233"/>
      <c r="DM538" s="233"/>
      <c r="DN538" s="233"/>
      <c r="DO538" s="233"/>
      <c r="DP538" s="233"/>
      <c r="DQ538" s="233"/>
      <c r="DR538" s="233"/>
      <c r="DS538" s="233"/>
      <c r="DT538" s="233"/>
      <c r="DU538" s="233"/>
      <c r="DV538" s="233"/>
      <c r="DW538" s="233"/>
      <c r="DX538" s="233"/>
      <c r="DY538" s="233"/>
      <c r="DZ538" s="233"/>
      <c r="EA538" s="233"/>
      <c r="EB538" s="233"/>
      <c r="EC538" s="233"/>
      <c r="ED538" s="233"/>
      <c r="EE538" s="233"/>
      <c r="EF538" s="233"/>
      <c r="EG538" s="233"/>
      <c r="EH538" s="233"/>
      <c r="EI538" s="233"/>
      <c r="EJ538" s="233"/>
      <c r="EK538" s="233"/>
      <c r="EL538" s="233"/>
      <c r="EM538" s="233"/>
      <c r="EN538" s="233"/>
      <c r="EO538" s="233"/>
      <c r="EP538" s="233"/>
    </row>
    <row r="539" spans="1:146" ht="14.25" x14ac:dyDescent="0.2">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33"/>
      <c r="CI539" s="233"/>
      <c r="CJ539" s="233"/>
      <c r="CK539" s="233"/>
      <c r="CL539" s="233"/>
      <c r="CM539" s="233"/>
      <c r="CN539" s="233"/>
      <c r="CO539" s="233"/>
      <c r="CP539" s="233"/>
      <c r="CQ539" s="233"/>
      <c r="CR539" s="233"/>
      <c r="CS539" s="233"/>
      <c r="CT539" s="233"/>
      <c r="CU539" s="233"/>
      <c r="CV539" s="233"/>
      <c r="CW539" s="233"/>
      <c r="CX539" s="233"/>
      <c r="CY539" s="233"/>
      <c r="CZ539" s="233"/>
      <c r="DA539" s="233"/>
      <c r="DB539" s="233"/>
      <c r="DC539" s="233"/>
      <c r="DD539" s="233"/>
      <c r="DE539" s="233"/>
      <c r="DF539" s="233"/>
      <c r="DG539" s="233"/>
      <c r="DH539" s="233"/>
      <c r="DI539" s="233"/>
      <c r="DJ539" s="233"/>
      <c r="DK539" s="233"/>
      <c r="DL539" s="233"/>
      <c r="DM539" s="233"/>
      <c r="DN539" s="233"/>
      <c r="DO539" s="233"/>
      <c r="DP539" s="233"/>
      <c r="DQ539" s="233"/>
      <c r="DR539" s="233"/>
      <c r="DS539" s="233"/>
      <c r="DT539" s="233"/>
      <c r="DU539" s="233"/>
      <c r="DV539" s="233"/>
      <c r="DW539" s="233"/>
      <c r="DX539" s="233"/>
      <c r="DY539" s="233"/>
      <c r="DZ539" s="233"/>
      <c r="EA539" s="233"/>
      <c r="EB539" s="233"/>
      <c r="EC539" s="233"/>
      <c r="ED539" s="233"/>
      <c r="EE539" s="233"/>
      <c r="EF539" s="233"/>
      <c r="EG539" s="233"/>
      <c r="EH539" s="233"/>
      <c r="EI539" s="233"/>
      <c r="EJ539" s="233"/>
      <c r="EK539" s="233"/>
      <c r="EL539" s="233"/>
      <c r="EM539" s="233"/>
      <c r="EN539" s="233"/>
      <c r="EO539" s="233"/>
      <c r="EP539" s="233"/>
    </row>
    <row r="540" spans="1:146" ht="14.25" x14ac:dyDescent="0.2">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233"/>
      <c r="BE540" s="233"/>
      <c r="BF540" s="233"/>
      <c r="BG540" s="233"/>
      <c r="BH540" s="233"/>
      <c r="BI540" s="233"/>
      <c r="BJ540" s="233"/>
      <c r="BK540" s="233"/>
      <c r="BL540" s="233"/>
      <c r="BM540" s="233"/>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33"/>
      <c r="CI540" s="233"/>
      <c r="CJ540" s="233"/>
      <c r="CK540" s="233"/>
      <c r="CL540" s="233"/>
      <c r="CM540" s="233"/>
      <c r="CN540" s="233"/>
      <c r="CO540" s="233"/>
      <c r="CP540" s="233"/>
      <c r="CQ540" s="233"/>
      <c r="CR540" s="233"/>
      <c r="CS540" s="233"/>
      <c r="CT540" s="233"/>
      <c r="CU540" s="233"/>
      <c r="CV540" s="233"/>
      <c r="CW540" s="233"/>
      <c r="CX540" s="233"/>
      <c r="CY540" s="233"/>
      <c r="CZ540" s="233"/>
      <c r="DA540" s="233"/>
      <c r="DB540" s="233"/>
      <c r="DC540" s="233"/>
      <c r="DD540" s="233"/>
      <c r="DE540" s="233"/>
      <c r="DF540" s="233"/>
      <c r="DG540" s="233"/>
      <c r="DH540" s="233"/>
      <c r="DI540" s="233"/>
      <c r="DJ540" s="233"/>
      <c r="DK540" s="233"/>
      <c r="DL540" s="233"/>
      <c r="DM540" s="233"/>
      <c r="DN540" s="233"/>
      <c r="DO540" s="233"/>
      <c r="DP540" s="233"/>
      <c r="DQ540" s="233"/>
      <c r="DR540" s="233"/>
      <c r="DS540" s="233"/>
      <c r="DT540" s="233"/>
      <c r="DU540" s="233"/>
      <c r="DV540" s="233"/>
      <c r="DW540" s="233"/>
      <c r="DX540" s="233"/>
      <c r="DY540" s="233"/>
      <c r="DZ540" s="233"/>
      <c r="EA540" s="233"/>
      <c r="EB540" s="233"/>
      <c r="EC540" s="233"/>
      <c r="ED540" s="233"/>
      <c r="EE540" s="233"/>
      <c r="EF540" s="233"/>
      <c r="EG540" s="233"/>
      <c r="EH540" s="233"/>
      <c r="EI540" s="233"/>
      <c r="EJ540" s="233"/>
      <c r="EK540" s="233"/>
      <c r="EL540" s="233"/>
      <c r="EM540" s="233"/>
      <c r="EN540" s="233"/>
      <c r="EO540" s="233"/>
      <c r="EP540" s="233"/>
    </row>
    <row r="541" spans="1:146" ht="14.25" x14ac:dyDescent="0.2">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233"/>
      <c r="BE541" s="233"/>
      <c r="BF541" s="233"/>
      <c r="BG541" s="233"/>
      <c r="BH541" s="233"/>
      <c r="BI541" s="233"/>
      <c r="BJ541" s="233"/>
      <c r="BK541" s="233"/>
      <c r="BL541" s="233"/>
      <c r="BM541" s="233"/>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33"/>
      <c r="CI541" s="233"/>
      <c r="CJ541" s="233"/>
      <c r="CK541" s="233"/>
      <c r="CL541" s="233"/>
      <c r="CM541" s="233"/>
      <c r="CN541" s="233"/>
      <c r="CO541" s="233"/>
      <c r="CP541" s="233"/>
      <c r="CQ541" s="233"/>
      <c r="CR541" s="233"/>
      <c r="CS541" s="233"/>
      <c r="CT541" s="233"/>
      <c r="CU541" s="233"/>
      <c r="CV541" s="233"/>
      <c r="CW541" s="233"/>
      <c r="CX541" s="233"/>
      <c r="CY541" s="233"/>
      <c r="CZ541" s="233"/>
      <c r="DA541" s="233"/>
      <c r="DB541" s="233"/>
      <c r="DC541" s="233"/>
      <c r="DD541" s="233"/>
      <c r="DE541" s="233"/>
      <c r="DF541" s="233"/>
      <c r="DG541" s="233"/>
      <c r="DH541" s="233"/>
      <c r="DI541" s="233"/>
      <c r="DJ541" s="233"/>
      <c r="DK541" s="233"/>
      <c r="DL541" s="233"/>
      <c r="DM541" s="233"/>
      <c r="DN541" s="233"/>
      <c r="DO541" s="233"/>
      <c r="DP541" s="233"/>
      <c r="DQ541" s="233"/>
      <c r="DR541" s="233"/>
      <c r="DS541" s="233"/>
      <c r="DT541" s="233"/>
      <c r="DU541" s="233"/>
      <c r="DV541" s="233"/>
      <c r="DW541" s="233"/>
      <c r="DX541" s="233"/>
      <c r="DY541" s="233"/>
      <c r="DZ541" s="233"/>
      <c r="EA541" s="233"/>
      <c r="EB541" s="233"/>
      <c r="EC541" s="233"/>
      <c r="ED541" s="233"/>
      <c r="EE541" s="233"/>
      <c r="EF541" s="233"/>
      <c r="EG541" s="233"/>
      <c r="EH541" s="233"/>
      <c r="EI541" s="233"/>
      <c r="EJ541" s="233"/>
      <c r="EK541" s="233"/>
      <c r="EL541" s="233"/>
      <c r="EM541" s="233"/>
      <c r="EN541" s="233"/>
      <c r="EO541" s="233"/>
      <c r="EP541" s="233"/>
    </row>
    <row r="542" spans="1:146" ht="14.25" x14ac:dyDescent="0.2">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33"/>
      <c r="CI542" s="233"/>
      <c r="CJ542" s="233"/>
      <c r="CK542" s="233"/>
      <c r="CL542" s="233"/>
      <c r="CM542" s="233"/>
      <c r="CN542" s="233"/>
      <c r="CO542" s="233"/>
      <c r="CP542" s="233"/>
      <c r="CQ542" s="233"/>
      <c r="CR542" s="233"/>
      <c r="CS542" s="233"/>
      <c r="CT542" s="233"/>
      <c r="CU542" s="233"/>
      <c r="CV542" s="233"/>
      <c r="CW542" s="233"/>
      <c r="CX542" s="233"/>
      <c r="CY542" s="233"/>
      <c r="CZ542" s="233"/>
      <c r="DA542" s="233"/>
      <c r="DB542" s="233"/>
      <c r="DC542" s="233"/>
      <c r="DD542" s="233"/>
      <c r="DE542" s="233"/>
      <c r="DF542" s="233"/>
      <c r="DG542" s="233"/>
      <c r="DH542" s="233"/>
      <c r="DI542" s="233"/>
      <c r="DJ542" s="233"/>
      <c r="DK542" s="233"/>
      <c r="DL542" s="233"/>
      <c r="DM542" s="233"/>
      <c r="DN542" s="233"/>
      <c r="DO542" s="233"/>
      <c r="DP542" s="233"/>
      <c r="DQ542" s="233"/>
      <c r="DR542" s="233"/>
      <c r="DS542" s="233"/>
      <c r="DT542" s="233"/>
      <c r="DU542" s="233"/>
      <c r="DV542" s="233"/>
      <c r="DW542" s="233"/>
      <c r="DX542" s="233"/>
      <c r="DY542" s="233"/>
      <c r="DZ542" s="233"/>
      <c r="EA542" s="233"/>
      <c r="EB542" s="233"/>
      <c r="EC542" s="233"/>
      <c r="ED542" s="233"/>
      <c r="EE542" s="233"/>
      <c r="EF542" s="233"/>
      <c r="EG542" s="233"/>
      <c r="EH542" s="233"/>
      <c r="EI542" s="233"/>
      <c r="EJ542" s="233"/>
      <c r="EK542" s="233"/>
      <c r="EL542" s="233"/>
      <c r="EM542" s="233"/>
      <c r="EN542" s="233"/>
      <c r="EO542" s="233"/>
      <c r="EP542" s="233"/>
    </row>
    <row r="543" spans="1:146" ht="14.25" x14ac:dyDescent="0.2">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233"/>
      <c r="BE543" s="233"/>
      <c r="BF543" s="233"/>
      <c r="BG543" s="233"/>
      <c r="BH543" s="233"/>
      <c r="BI543" s="233"/>
      <c r="BJ543" s="233"/>
      <c r="BK543" s="233"/>
      <c r="BL543" s="233"/>
      <c r="BM543" s="233"/>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33"/>
      <c r="CI543" s="233"/>
      <c r="CJ543" s="233"/>
      <c r="CK543" s="233"/>
      <c r="CL543" s="233"/>
      <c r="CM543" s="233"/>
      <c r="CN543" s="233"/>
      <c r="CO543" s="233"/>
      <c r="CP543" s="233"/>
      <c r="CQ543" s="233"/>
      <c r="CR543" s="233"/>
      <c r="CS543" s="233"/>
      <c r="CT543" s="233"/>
      <c r="CU543" s="233"/>
      <c r="CV543" s="233"/>
      <c r="CW543" s="233"/>
      <c r="CX543" s="233"/>
      <c r="CY543" s="233"/>
      <c r="CZ543" s="233"/>
      <c r="DA543" s="233"/>
      <c r="DB543" s="233"/>
      <c r="DC543" s="233"/>
      <c r="DD543" s="233"/>
      <c r="DE543" s="233"/>
      <c r="DF543" s="233"/>
      <c r="DG543" s="233"/>
      <c r="DH543" s="233"/>
      <c r="DI543" s="233"/>
      <c r="DJ543" s="233"/>
      <c r="DK543" s="233"/>
      <c r="DL543" s="233"/>
      <c r="DM543" s="233"/>
      <c r="DN543" s="233"/>
      <c r="DO543" s="233"/>
      <c r="DP543" s="233"/>
      <c r="DQ543" s="233"/>
      <c r="DR543" s="233"/>
      <c r="DS543" s="233"/>
      <c r="DT543" s="233"/>
      <c r="DU543" s="233"/>
      <c r="DV543" s="233"/>
      <c r="DW543" s="233"/>
      <c r="DX543" s="233"/>
      <c r="DY543" s="233"/>
      <c r="DZ543" s="233"/>
      <c r="EA543" s="233"/>
      <c r="EB543" s="233"/>
      <c r="EC543" s="233"/>
      <c r="ED543" s="233"/>
      <c r="EE543" s="233"/>
      <c r="EF543" s="233"/>
      <c r="EG543" s="233"/>
      <c r="EH543" s="233"/>
      <c r="EI543" s="233"/>
      <c r="EJ543" s="233"/>
      <c r="EK543" s="233"/>
      <c r="EL543" s="233"/>
      <c r="EM543" s="233"/>
      <c r="EN543" s="233"/>
      <c r="EO543" s="233"/>
      <c r="EP543" s="233"/>
    </row>
    <row r="544" spans="1:146" ht="14.25" x14ac:dyDescent="0.2">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33"/>
      <c r="CI544" s="233"/>
      <c r="CJ544" s="233"/>
      <c r="CK544" s="233"/>
      <c r="CL544" s="233"/>
      <c r="CM544" s="233"/>
      <c r="CN544" s="233"/>
      <c r="CO544" s="233"/>
      <c r="CP544" s="233"/>
      <c r="CQ544" s="233"/>
      <c r="CR544" s="233"/>
      <c r="CS544" s="233"/>
      <c r="CT544" s="233"/>
      <c r="CU544" s="233"/>
      <c r="CV544" s="233"/>
      <c r="CW544" s="233"/>
      <c r="CX544" s="233"/>
      <c r="CY544" s="233"/>
      <c r="CZ544" s="233"/>
      <c r="DA544" s="233"/>
      <c r="DB544" s="233"/>
      <c r="DC544" s="233"/>
      <c r="DD544" s="233"/>
      <c r="DE544" s="233"/>
      <c r="DF544" s="233"/>
      <c r="DG544" s="233"/>
      <c r="DH544" s="233"/>
      <c r="DI544" s="233"/>
      <c r="DJ544" s="233"/>
      <c r="DK544" s="233"/>
      <c r="DL544" s="233"/>
      <c r="DM544" s="233"/>
      <c r="DN544" s="233"/>
      <c r="DO544" s="233"/>
      <c r="DP544" s="233"/>
      <c r="DQ544" s="233"/>
      <c r="DR544" s="233"/>
      <c r="DS544" s="233"/>
      <c r="DT544" s="233"/>
      <c r="DU544" s="233"/>
      <c r="DV544" s="233"/>
      <c r="DW544" s="233"/>
      <c r="DX544" s="233"/>
      <c r="DY544" s="233"/>
      <c r="DZ544" s="233"/>
      <c r="EA544" s="233"/>
      <c r="EB544" s="233"/>
      <c r="EC544" s="233"/>
      <c r="ED544" s="233"/>
      <c r="EE544" s="233"/>
      <c r="EF544" s="233"/>
      <c r="EG544" s="233"/>
      <c r="EH544" s="233"/>
      <c r="EI544" s="233"/>
      <c r="EJ544" s="233"/>
      <c r="EK544" s="233"/>
      <c r="EL544" s="233"/>
      <c r="EM544" s="233"/>
      <c r="EN544" s="233"/>
      <c r="EO544" s="233"/>
      <c r="EP544" s="233"/>
    </row>
    <row r="545" spans="1:146" ht="14.25" x14ac:dyDescent="0.2">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233"/>
      <c r="BE545" s="233"/>
      <c r="BF545" s="233"/>
      <c r="BG545" s="233"/>
      <c r="BH545" s="233"/>
      <c r="BI545" s="233"/>
      <c r="BJ545" s="233"/>
      <c r="BK545" s="233"/>
      <c r="BL545" s="233"/>
      <c r="BM545" s="233"/>
      <c r="BN545" s="233"/>
      <c r="BO545" s="233"/>
      <c r="BP545" s="233"/>
      <c r="BQ545" s="233"/>
      <c r="BR545" s="233"/>
      <c r="BS545" s="233"/>
      <c r="BT545" s="233"/>
      <c r="BU545" s="233"/>
      <c r="BV545" s="233"/>
      <c r="BW545" s="233"/>
      <c r="BX545" s="233"/>
      <c r="BY545" s="233"/>
      <c r="BZ545" s="233"/>
      <c r="CA545" s="233"/>
      <c r="CB545" s="233"/>
      <c r="CC545" s="233"/>
      <c r="CD545" s="233"/>
      <c r="CE545" s="233"/>
      <c r="CF545" s="233"/>
      <c r="CG545" s="233"/>
      <c r="CH545" s="233"/>
      <c r="CI545" s="233"/>
      <c r="CJ545" s="233"/>
      <c r="CK545" s="233"/>
      <c r="CL545" s="233"/>
      <c r="CM545" s="233"/>
      <c r="CN545" s="233"/>
      <c r="CO545" s="233"/>
      <c r="CP545" s="233"/>
      <c r="CQ545" s="233"/>
      <c r="CR545" s="233"/>
      <c r="CS545" s="233"/>
      <c r="CT545" s="233"/>
      <c r="CU545" s="233"/>
      <c r="CV545" s="233"/>
      <c r="CW545" s="233"/>
      <c r="CX545" s="233"/>
      <c r="CY545" s="233"/>
      <c r="CZ545" s="233"/>
      <c r="DA545" s="233"/>
      <c r="DB545" s="233"/>
      <c r="DC545" s="233"/>
      <c r="DD545" s="233"/>
      <c r="DE545" s="233"/>
      <c r="DF545" s="233"/>
      <c r="DG545" s="233"/>
      <c r="DH545" s="233"/>
      <c r="DI545" s="233"/>
      <c r="DJ545" s="233"/>
      <c r="DK545" s="233"/>
      <c r="DL545" s="233"/>
      <c r="DM545" s="233"/>
      <c r="DN545" s="233"/>
      <c r="DO545" s="233"/>
      <c r="DP545" s="233"/>
      <c r="DQ545" s="233"/>
      <c r="DR545" s="233"/>
      <c r="DS545" s="233"/>
      <c r="DT545" s="233"/>
      <c r="DU545" s="233"/>
      <c r="DV545" s="233"/>
      <c r="DW545" s="233"/>
      <c r="DX545" s="233"/>
      <c r="DY545" s="233"/>
      <c r="DZ545" s="233"/>
      <c r="EA545" s="233"/>
      <c r="EB545" s="233"/>
      <c r="EC545" s="233"/>
      <c r="ED545" s="233"/>
      <c r="EE545" s="233"/>
      <c r="EF545" s="233"/>
      <c r="EG545" s="233"/>
      <c r="EH545" s="233"/>
      <c r="EI545" s="233"/>
      <c r="EJ545" s="233"/>
      <c r="EK545" s="233"/>
      <c r="EL545" s="233"/>
      <c r="EM545" s="233"/>
      <c r="EN545" s="233"/>
      <c r="EO545" s="233"/>
      <c r="EP545" s="233"/>
    </row>
    <row r="546" spans="1:146" ht="14.25" x14ac:dyDescent="0.2">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33"/>
      <c r="CI546" s="233"/>
      <c r="CJ546" s="233"/>
      <c r="CK546" s="233"/>
      <c r="CL546" s="233"/>
      <c r="CM546" s="233"/>
      <c r="CN546" s="233"/>
      <c r="CO546" s="233"/>
      <c r="CP546" s="233"/>
      <c r="CQ546" s="233"/>
      <c r="CR546" s="233"/>
      <c r="CS546" s="233"/>
      <c r="CT546" s="233"/>
      <c r="CU546" s="233"/>
      <c r="CV546" s="233"/>
      <c r="CW546" s="233"/>
      <c r="CX546" s="233"/>
      <c r="CY546" s="233"/>
      <c r="CZ546" s="233"/>
      <c r="DA546" s="233"/>
      <c r="DB546" s="233"/>
      <c r="DC546" s="233"/>
      <c r="DD546" s="233"/>
      <c r="DE546" s="233"/>
      <c r="DF546" s="233"/>
      <c r="DG546" s="233"/>
      <c r="DH546" s="233"/>
      <c r="DI546" s="233"/>
      <c r="DJ546" s="233"/>
      <c r="DK546" s="233"/>
      <c r="DL546" s="233"/>
      <c r="DM546" s="233"/>
      <c r="DN546" s="233"/>
      <c r="DO546" s="233"/>
      <c r="DP546" s="233"/>
      <c r="DQ546" s="233"/>
      <c r="DR546" s="233"/>
      <c r="DS546" s="233"/>
      <c r="DT546" s="233"/>
      <c r="DU546" s="233"/>
      <c r="DV546" s="233"/>
      <c r="DW546" s="233"/>
      <c r="DX546" s="233"/>
      <c r="DY546" s="233"/>
      <c r="DZ546" s="233"/>
      <c r="EA546" s="233"/>
      <c r="EB546" s="233"/>
      <c r="EC546" s="233"/>
      <c r="ED546" s="233"/>
      <c r="EE546" s="233"/>
      <c r="EF546" s="233"/>
      <c r="EG546" s="233"/>
      <c r="EH546" s="233"/>
      <c r="EI546" s="233"/>
      <c r="EJ546" s="233"/>
      <c r="EK546" s="233"/>
      <c r="EL546" s="233"/>
      <c r="EM546" s="233"/>
      <c r="EN546" s="233"/>
      <c r="EO546" s="233"/>
      <c r="EP546" s="233"/>
    </row>
    <row r="547" spans="1:146" ht="14.25" x14ac:dyDescent="0.2">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33"/>
      <c r="CI547" s="233"/>
      <c r="CJ547" s="233"/>
      <c r="CK547" s="233"/>
      <c r="CL547" s="233"/>
      <c r="CM547" s="233"/>
      <c r="CN547" s="233"/>
      <c r="CO547" s="233"/>
      <c r="CP547" s="233"/>
      <c r="CQ547" s="233"/>
      <c r="CR547" s="233"/>
      <c r="CS547" s="233"/>
      <c r="CT547" s="233"/>
      <c r="CU547" s="233"/>
      <c r="CV547" s="233"/>
      <c r="CW547" s="233"/>
      <c r="CX547" s="233"/>
      <c r="CY547" s="233"/>
      <c r="CZ547" s="233"/>
      <c r="DA547" s="233"/>
      <c r="DB547" s="233"/>
      <c r="DC547" s="233"/>
      <c r="DD547" s="233"/>
      <c r="DE547" s="233"/>
      <c r="DF547" s="233"/>
      <c r="DG547" s="233"/>
      <c r="DH547" s="233"/>
      <c r="DI547" s="233"/>
      <c r="DJ547" s="233"/>
      <c r="DK547" s="233"/>
      <c r="DL547" s="233"/>
      <c r="DM547" s="233"/>
      <c r="DN547" s="233"/>
      <c r="DO547" s="233"/>
      <c r="DP547" s="233"/>
      <c r="DQ547" s="233"/>
      <c r="DR547" s="233"/>
      <c r="DS547" s="233"/>
      <c r="DT547" s="233"/>
      <c r="DU547" s="233"/>
      <c r="DV547" s="233"/>
      <c r="DW547" s="233"/>
      <c r="DX547" s="233"/>
      <c r="DY547" s="233"/>
      <c r="DZ547" s="233"/>
      <c r="EA547" s="233"/>
      <c r="EB547" s="233"/>
      <c r="EC547" s="233"/>
      <c r="ED547" s="233"/>
      <c r="EE547" s="233"/>
      <c r="EF547" s="233"/>
      <c r="EG547" s="233"/>
      <c r="EH547" s="233"/>
      <c r="EI547" s="233"/>
      <c r="EJ547" s="233"/>
      <c r="EK547" s="233"/>
      <c r="EL547" s="233"/>
      <c r="EM547" s="233"/>
      <c r="EN547" s="233"/>
      <c r="EO547" s="233"/>
      <c r="EP547" s="233"/>
    </row>
    <row r="548" spans="1:146" ht="14.25" x14ac:dyDescent="0.2">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33"/>
      <c r="CI548" s="233"/>
      <c r="CJ548" s="233"/>
      <c r="CK548" s="233"/>
      <c r="CL548" s="233"/>
      <c r="CM548" s="233"/>
      <c r="CN548" s="233"/>
      <c r="CO548" s="233"/>
      <c r="CP548" s="233"/>
      <c r="CQ548" s="233"/>
      <c r="CR548" s="233"/>
      <c r="CS548" s="233"/>
      <c r="CT548" s="233"/>
      <c r="CU548" s="233"/>
      <c r="CV548" s="233"/>
      <c r="CW548" s="233"/>
      <c r="CX548" s="233"/>
      <c r="CY548" s="233"/>
      <c r="CZ548" s="233"/>
      <c r="DA548" s="233"/>
      <c r="DB548" s="233"/>
      <c r="DC548" s="233"/>
      <c r="DD548" s="233"/>
      <c r="DE548" s="233"/>
      <c r="DF548" s="233"/>
      <c r="DG548" s="233"/>
      <c r="DH548" s="233"/>
      <c r="DI548" s="233"/>
      <c r="DJ548" s="233"/>
      <c r="DK548" s="233"/>
      <c r="DL548" s="233"/>
      <c r="DM548" s="233"/>
      <c r="DN548" s="233"/>
      <c r="DO548" s="233"/>
      <c r="DP548" s="233"/>
      <c r="DQ548" s="233"/>
      <c r="DR548" s="233"/>
      <c r="DS548" s="233"/>
      <c r="DT548" s="233"/>
      <c r="DU548" s="233"/>
      <c r="DV548" s="233"/>
      <c r="DW548" s="233"/>
      <c r="DX548" s="233"/>
      <c r="DY548" s="233"/>
      <c r="DZ548" s="233"/>
      <c r="EA548" s="233"/>
      <c r="EB548" s="233"/>
      <c r="EC548" s="233"/>
      <c r="ED548" s="233"/>
      <c r="EE548" s="233"/>
      <c r="EF548" s="233"/>
      <c r="EG548" s="233"/>
      <c r="EH548" s="233"/>
      <c r="EI548" s="233"/>
      <c r="EJ548" s="233"/>
      <c r="EK548" s="233"/>
      <c r="EL548" s="233"/>
      <c r="EM548" s="233"/>
      <c r="EN548" s="233"/>
      <c r="EO548" s="233"/>
      <c r="EP548" s="233"/>
    </row>
    <row r="549" spans="1:146" ht="14.25" x14ac:dyDescent="0.2">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33"/>
      <c r="CN549" s="233"/>
      <c r="CO549" s="233"/>
      <c r="CP549" s="233"/>
      <c r="CQ549" s="233"/>
      <c r="CR549" s="233"/>
      <c r="CS549" s="233"/>
      <c r="CT549" s="233"/>
      <c r="CU549" s="233"/>
      <c r="CV549" s="233"/>
      <c r="CW549" s="233"/>
      <c r="CX549" s="233"/>
      <c r="CY549" s="233"/>
      <c r="CZ549" s="233"/>
      <c r="DA549" s="233"/>
      <c r="DB549" s="233"/>
      <c r="DC549" s="233"/>
      <c r="DD549" s="233"/>
      <c r="DE549" s="233"/>
      <c r="DF549" s="233"/>
      <c r="DG549" s="233"/>
      <c r="DH549" s="233"/>
      <c r="DI549" s="233"/>
      <c r="DJ549" s="233"/>
      <c r="DK549" s="233"/>
      <c r="DL549" s="233"/>
      <c r="DM549" s="233"/>
      <c r="DN549" s="233"/>
      <c r="DO549" s="233"/>
      <c r="DP549" s="233"/>
      <c r="DQ549" s="233"/>
      <c r="DR549" s="233"/>
      <c r="DS549" s="233"/>
      <c r="DT549" s="233"/>
      <c r="DU549" s="233"/>
      <c r="DV549" s="233"/>
      <c r="DW549" s="233"/>
      <c r="DX549" s="233"/>
      <c r="DY549" s="233"/>
      <c r="DZ549" s="233"/>
      <c r="EA549" s="233"/>
      <c r="EB549" s="233"/>
      <c r="EC549" s="233"/>
      <c r="ED549" s="233"/>
      <c r="EE549" s="233"/>
      <c r="EF549" s="233"/>
      <c r="EG549" s="233"/>
      <c r="EH549" s="233"/>
      <c r="EI549" s="233"/>
      <c r="EJ549" s="233"/>
      <c r="EK549" s="233"/>
      <c r="EL549" s="233"/>
      <c r="EM549" s="233"/>
      <c r="EN549" s="233"/>
      <c r="EO549" s="233"/>
      <c r="EP549" s="233"/>
    </row>
    <row r="550" spans="1:146" ht="14.25" x14ac:dyDescent="0.2">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33"/>
      <c r="CI550" s="233"/>
      <c r="CJ550" s="233"/>
      <c r="CK550" s="233"/>
      <c r="CL550" s="233"/>
      <c r="CM550" s="233"/>
      <c r="CN550" s="233"/>
      <c r="CO550" s="233"/>
      <c r="CP550" s="233"/>
      <c r="CQ550" s="233"/>
      <c r="CR550" s="233"/>
      <c r="CS550" s="233"/>
      <c r="CT550" s="233"/>
      <c r="CU550" s="233"/>
      <c r="CV550" s="233"/>
      <c r="CW550" s="233"/>
      <c r="CX550" s="233"/>
      <c r="CY550" s="233"/>
      <c r="CZ550" s="233"/>
      <c r="DA550" s="233"/>
      <c r="DB550" s="233"/>
      <c r="DC550" s="233"/>
      <c r="DD550" s="233"/>
      <c r="DE550" s="233"/>
      <c r="DF550" s="233"/>
      <c r="DG550" s="233"/>
      <c r="DH550" s="233"/>
      <c r="DI550" s="233"/>
      <c r="DJ550" s="233"/>
      <c r="DK550" s="233"/>
      <c r="DL550" s="233"/>
      <c r="DM550" s="233"/>
      <c r="DN550" s="233"/>
      <c r="DO550" s="233"/>
      <c r="DP550" s="233"/>
      <c r="DQ550" s="233"/>
      <c r="DR550" s="233"/>
      <c r="DS550" s="233"/>
      <c r="DT550" s="233"/>
      <c r="DU550" s="233"/>
      <c r="DV550" s="233"/>
      <c r="DW550" s="233"/>
      <c r="DX550" s="233"/>
      <c r="DY550" s="233"/>
      <c r="DZ550" s="233"/>
      <c r="EA550" s="233"/>
      <c r="EB550" s="233"/>
      <c r="EC550" s="233"/>
      <c r="ED550" s="233"/>
      <c r="EE550" s="233"/>
      <c r="EF550" s="233"/>
      <c r="EG550" s="233"/>
      <c r="EH550" s="233"/>
      <c r="EI550" s="233"/>
      <c r="EJ550" s="233"/>
      <c r="EK550" s="233"/>
      <c r="EL550" s="233"/>
      <c r="EM550" s="233"/>
      <c r="EN550" s="233"/>
      <c r="EO550" s="233"/>
      <c r="EP550" s="233"/>
    </row>
    <row r="551" spans="1:146" ht="14.25" x14ac:dyDescent="0.2">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33"/>
      <c r="CI551" s="233"/>
      <c r="CJ551" s="233"/>
      <c r="CK551" s="233"/>
      <c r="CL551" s="233"/>
      <c r="CM551" s="233"/>
      <c r="CN551" s="233"/>
      <c r="CO551" s="233"/>
      <c r="CP551" s="233"/>
      <c r="CQ551" s="233"/>
      <c r="CR551" s="233"/>
      <c r="CS551" s="233"/>
      <c r="CT551" s="233"/>
      <c r="CU551" s="233"/>
      <c r="CV551" s="233"/>
      <c r="CW551" s="233"/>
      <c r="CX551" s="233"/>
      <c r="CY551" s="233"/>
      <c r="CZ551" s="233"/>
      <c r="DA551" s="233"/>
      <c r="DB551" s="233"/>
      <c r="DC551" s="233"/>
      <c r="DD551" s="233"/>
      <c r="DE551" s="233"/>
      <c r="DF551" s="233"/>
      <c r="DG551" s="233"/>
      <c r="DH551" s="233"/>
      <c r="DI551" s="233"/>
      <c r="DJ551" s="233"/>
      <c r="DK551" s="233"/>
      <c r="DL551" s="233"/>
      <c r="DM551" s="233"/>
      <c r="DN551" s="233"/>
      <c r="DO551" s="233"/>
      <c r="DP551" s="233"/>
      <c r="DQ551" s="233"/>
      <c r="DR551" s="233"/>
      <c r="DS551" s="233"/>
      <c r="DT551" s="233"/>
      <c r="DU551" s="233"/>
      <c r="DV551" s="233"/>
      <c r="DW551" s="233"/>
      <c r="DX551" s="233"/>
      <c r="DY551" s="233"/>
      <c r="DZ551" s="233"/>
      <c r="EA551" s="233"/>
      <c r="EB551" s="233"/>
      <c r="EC551" s="233"/>
      <c r="ED551" s="233"/>
      <c r="EE551" s="233"/>
      <c r="EF551" s="233"/>
      <c r="EG551" s="233"/>
      <c r="EH551" s="233"/>
      <c r="EI551" s="233"/>
      <c r="EJ551" s="233"/>
      <c r="EK551" s="233"/>
      <c r="EL551" s="233"/>
      <c r="EM551" s="233"/>
      <c r="EN551" s="233"/>
      <c r="EO551" s="233"/>
      <c r="EP551" s="233"/>
    </row>
    <row r="552" spans="1:146" ht="14.25" x14ac:dyDescent="0.2">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233"/>
      <c r="BE552" s="233"/>
      <c r="BF552" s="233"/>
      <c r="BG552" s="233"/>
      <c r="BH552" s="233"/>
      <c r="BI552" s="233"/>
      <c r="BJ552" s="233"/>
      <c r="BK552" s="233"/>
      <c r="BL552" s="233"/>
      <c r="BM552" s="233"/>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33"/>
      <c r="CI552" s="233"/>
      <c r="CJ552" s="233"/>
      <c r="CK552" s="233"/>
      <c r="CL552" s="233"/>
      <c r="CM552" s="233"/>
      <c r="CN552" s="233"/>
      <c r="CO552" s="233"/>
      <c r="CP552" s="233"/>
      <c r="CQ552" s="233"/>
      <c r="CR552" s="233"/>
      <c r="CS552" s="233"/>
      <c r="CT552" s="233"/>
      <c r="CU552" s="233"/>
      <c r="CV552" s="233"/>
      <c r="CW552" s="233"/>
      <c r="CX552" s="233"/>
      <c r="CY552" s="233"/>
      <c r="CZ552" s="233"/>
      <c r="DA552" s="233"/>
      <c r="DB552" s="233"/>
      <c r="DC552" s="233"/>
      <c r="DD552" s="233"/>
      <c r="DE552" s="233"/>
      <c r="DF552" s="233"/>
      <c r="DG552" s="233"/>
      <c r="DH552" s="233"/>
      <c r="DI552" s="233"/>
      <c r="DJ552" s="233"/>
      <c r="DK552" s="233"/>
      <c r="DL552" s="233"/>
      <c r="DM552" s="233"/>
      <c r="DN552" s="233"/>
      <c r="DO552" s="233"/>
      <c r="DP552" s="233"/>
      <c r="DQ552" s="233"/>
      <c r="DR552" s="233"/>
      <c r="DS552" s="233"/>
      <c r="DT552" s="233"/>
      <c r="DU552" s="233"/>
      <c r="DV552" s="233"/>
      <c r="DW552" s="233"/>
      <c r="DX552" s="233"/>
      <c r="DY552" s="233"/>
      <c r="DZ552" s="233"/>
      <c r="EA552" s="233"/>
      <c r="EB552" s="233"/>
      <c r="EC552" s="233"/>
      <c r="ED552" s="233"/>
      <c r="EE552" s="233"/>
      <c r="EF552" s="233"/>
      <c r="EG552" s="233"/>
      <c r="EH552" s="233"/>
      <c r="EI552" s="233"/>
      <c r="EJ552" s="233"/>
      <c r="EK552" s="233"/>
      <c r="EL552" s="233"/>
      <c r="EM552" s="233"/>
      <c r="EN552" s="233"/>
      <c r="EO552" s="233"/>
      <c r="EP552" s="233"/>
    </row>
    <row r="553" spans="1:146" ht="14.25" x14ac:dyDescent="0.2">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233"/>
      <c r="BE553" s="233"/>
      <c r="BF553" s="233"/>
      <c r="BG553" s="233"/>
      <c r="BH553" s="233"/>
      <c r="BI553" s="233"/>
      <c r="BJ553" s="233"/>
      <c r="BK553" s="233"/>
      <c r="BL553" s="233"/>
      <c r="BM553" s="233"/>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33"/>
      <c r="CI553" s="233"/>
      <c r="CJ553" s="233"/>
      <c r="CK553" s="233"/>
      <c r="CL553" s="233"/>
      <c r="CM553" s="233"/>
      <c r="CN553" s="233"/>
      <c r="CO553" s="233"/>
      <c r="CP553" s="233"/>
      <c r="CQ553" s="233"/>
      <c r="CR553" s="233"/>
      <c r="CS553" s="233"/>
      <c r="CT553" s="233"/>
      <c r="CU553" s="233"/>
      <c r="CV553" s="233"/>
      <c r="CW553" s="233"/>
      <c r="CX553" s="233"/>
      <c r="CY553" s="233"/>
      <c r="CZ553" s="233"/>
      <c r="DA553" s="233"/>
      <c r="DB553" s="233"/>
      <c r="DC553" s="233"/>
      <c r="DD553" s="233"/>
      <c r="DE553" s="233"/>
      <c r="DF553" s="233"/>
      <c r="DG553" s="233"/>
      <c r="DH553" s="233"/>
      <c r="DI553" s="233"/>
      <c r="DJ553" s="233"/>
      <c r="DK553" s="233"/>
      <c r="DL553" s="233"/>
      <c r="DM553" s="233"/>
      <c r="DN553" s="233"/>
      <c r="DO553" s="233"/>
      <c r="DP553" s="233"/>
      <c r="DQ553" s="233"/>
      <c r="DR553" s="233"/>
      <c r="DS553" s="233"/>
      <c r="DT553" s="233"/>
      <c r="DU553" s="233"/>
      <c r="DV553" s="233"/>
      <c r="DW553" s="233"/>
      <c r="DX553" s="233"/>
      <c r="DY553" s="233"/>
      <c r="DZ553" s="233"/>
      <c r="EA553" s="233"/>
      <c r="EB553" s="233"/>
      <c r="EC553" s="233"/>
      <c r="ED553" s="233"/>
      <c r="EE553" s="233"/>
      <c r="EF553" s="233"/>
      <c r="EG553" s="233"/>
      <c r="EH553" s="233"/>
      <c r="EI553" s="233"/>
      <c r="EJ553" s="233"/>
      <c r="EK553" s="233"/>
      <c r="EL553" s="233"/>
      <c r="EM553" s="233"/>
      <c r="EN553" s="233"/>
      <c r="EO553" s="233"/>
      <c r="EP553" s="233"/>
    </row>
    <row r="554" spans="1:146" ht="14.25" x14ac:dyDescent="0.2">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233"/>
      <c r="BE554" s="233"/>
      <c r="BF554" s="233"/>
      <c r="BG554" s="233"/>
      <c r="BH554" s="233"/>
      <c r="BI554" s="233"/>
      <c r="BJ554" s="233"/>
      <c r="BK554" s="233"/>
      <c r="BL554" s="233"/>
      <c r="BM554" s="233"/>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33"/>
      <c r="CI554" s="233"/>
      <c r="CJ554" s="233"/>
      <c r="CK554" s="233"/>
      <c r="CL554" s="233"/>
      <c r="CM554" s="233"/>
      <c r="CN554" s="233"/>
      <c r="CO554" s="233"/>
      <c r="CP554" s="233"/>
      <c r="CQ554" s="233"/>
      <c r="CR554" s="233"/>
      <c r="CS554" s="233"/>
      <c r="CT554" s="233"/>
      <c r="CU554" s="233"/>
      <c r="CV554" s="233"/>
      <c r="CW554" s="233"/>
      <c r="CX554" s="233"/>
      <c r="CY554" s="233"/>
      <c r="CZ554" s="233"/>
      <c r="DA554" s="233"/>
      <c r="DB554" s="233"/>
      <c r="DC554" s="233"/>
      <c r="DD554" s="233"/>
      <c r="DE554" s="233"/>
      <c r="DF554" s="233"/>
      <c r="DG554" s="233"/>
      <c r="DH554" s="233"/>
      <c r="DI554" s="233"/>
      <c r="DJ554" s="233"/>
      <c r="DK554" s="233"/>
      <c r="DL554" s="233"/>
      <c r="DM554" s="233"/>
      <c r="DN554" s="233"/>
      <c r="DO554" s="233"/>
      <c r="DP554" s="233"/>
      <c r="DQ554" s="233"/>
      <c r="DR554" s="233"/>
      <c r="DS554" s="233"/>
      <c r="DT554" s="233"/>
      <c r="DU554" s="233"/>
      <c r="DV554" s="233"/>
      <c r="DW554" s="233"/>
      <c r="DX554" s="233"/>
      <c r="DY554" s="233"/>
      <c r="DZ554" s="233"/>
      <c r="EA554" s="233"/>
      <c r="EB554" s="233"/>
      <c r="EC554" s="233"/>
      <c r="ED554" s="233"/>
      <c r="EE554" s="233"/>
      <c r="EF554" s="233"/>
      <c r="EG554" s="233"/>
      <c r="EH554" s="233"/>
      <c r="EI554" s="233"/>
      <c r="EJ554" s="233"/>
      <c r="EK554" s="233"/>
      <c r="EL554" s="233"/>
      <c r="EM554" s="233"/>
      <c r="EN554" s="233"/>
      <c r="EO554" s="233"/>
      <c r="EP554" s="233"/>
    </row>
    <row r="555" spans="1:146" ht="14.25" x14ac:dyDescent="0.2">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233"/>
      <c r="BE555" s="233"/>
      <c r="BF555" s="233"/>
      <c r="BG555" s="233"/>
      <c r="BH555" s="233"/>
      <c r="BI555" s="233"/>
      <c r="BJ555" s="233"/>
      <c r="BK555" s="233"/>
      <c r="BL555" s="233"/>
      <c r="BM555" s="233"/>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33"/>
      <c r="CI555" s="233"/>
      <c r="CJ555" s="233"/>
      <c r="CK555" s="233"/>
      <c r="CL555" s="233"/>
      <c r="CM555" s="233"/>
      <c r="CN555" s="233"/>
      <c r="CO555" s="233"/>
      <c r="CP555" s="233"/>
      <c r="CQ555" s="233"/>
      <c r="CR555" s="233"/>
      <c r="CS555" s="233"/>
      <c r="CT555" s="233"/>
      <c r="CU555" s="233"/>
      <c r="CV555" s="233"/>
      <c r="CW555" s="233"/>
      <c r="CX555" s="233"/>
      <c r="CY555" s="233"/>
      <c r="CZ555" s="233"/>
      <c r="DA555" s="233"/>
      <c r="DB555" s="233"/>
      <c r="DC555" s="233"/>
      <c r="DD555" s="233"/>
      <c r="DE555" s="233"/>
      <c r="DF555" s="233"/>
      <c r="DG555" s="233"/>
      <c r="DH555" s="233"/>
      <c r="DI555" s="233"/>
      <c r="DJ555" s="233"/>
      <c r="DK555" s="233"/>
      <c r="DL555" s="233"/>
      <c r="DM555" s="233"/>
      <c r="DN555" s="233"/>
      <c r="DO555" s="233"/>
      <c r="DP555" s="233"/>
      <c r="DQ555" s="233"/>
      <c r="DR555" s="233"/>
      <c r="DS555" s="233"/>
      <c r="DT555" s="233"/>
      <c r="DU555" s="233"/>
      <c r="DV555" s="233"/>
      <c r="DW555" s="233"/>
      <c r="DX555" s="233"/>
      <c r="DY555" s="233"/>
      <c r="DZ555" s="233"/>
      <c r="EA555" s="233"/>
      <c r="EB555" s="233"/>
      <c r="EC555" s="233"/>
      <c r="ED555" s="233"/>
      <c r="EE555" s="233"/>
      <c r="EF555" s="233"/>
      <c r="EG555" s="233"/>
      <c r="EH555" s="233"/>
      <c r="EI555" s="233"/>
      <c r="EJ555" s="233"/>
      <c r="EK555" s="233"/>
      <c r="EL555" s="233"/>
      <c r="EM555" s="233"/>
      <c r="EN555" s="233"/>
      <c r="EO555" s="233"/>
      <c r="EP555" s="233"/>
    </row>
    <row r="556" spans="1:146" ht="14.25" x14ac:dyDescent="0.2">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233"/>
      <c r="BE556" s="233"/>
      <c r="BF556" s="233"/>
      <c r="BG556" s="233"/>
      <c r="BH556" s="233"/>
      <c r="BI556" s="233"/>
      <c r="BJ556" s="233"/>
      <c r="BK556" s="233"/>
      <c r="BL556" s="233"/>
      <c r="BM556" s="233"/>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33"/>
      <c r="CI556" s="233"/>
      <c r="CJ556" s="233"/>
      <c r="CK556" s="233"/>
      <c r="CL556" s="233"/>
      <c r="CM556" s="233"/>
      <c r="CN556" s="233"/>
      <c r="CO556" s="233"/>
      <c r="CP556" s="233"/>
      <c r="CQ556" s="233"/>
      <c r="CR556" s="233"/>
      <c r="CS556" s="233"/>
      <c r="CT556" s="233"/>
      <c r="CU556" s="233"/>
      <c r="CV556" s="233"/>
      <c r="CW556" s="233"/>
      <c r="CX556" s="233"/>
      <c r="CY556" s="233"/>
      <c r="CZ556" s="233"/>
      <c r="DA556" s="233"/>
      <c r="DB556" s="233"/>
      <c r="DC556" s="233"/>
      <c r="DD556" s="233"/>
      <c r="DE556" s="233"/>
      <c r="DF556" s="233"/>
      <c r="DG556" s="233"/>
      <c r="DH556" s="233"/>
      <c r="DI556" s="233"/>
      <c r="DJ556" s="233"/>
      <c r="DK556" s="233"/>
      <c r="DL556" s="233"/>
      <c r="DM556" s="233"/>
      <c r="DN556" s="233"/>
      <c r="DO556" s="233"/>
      <c r="DP556" s="233"/>
      <c r="DQ556" s="233"/>
      <c r="DR556" s="233"/>
      <c r="DS556" s="233"/>
      <c r="DT556" s="233"/>
      <c r="DU556" s="233"/>
      <c r="DV556" s="233"/>
      <c r="DW556" s="233"/>
      <c r="DX556" s="233"/>
      <c r="DY556" s="233"/>
      <c r="DZ556" s="233"/>
      <c r="EA556" s="233"/>
      <c r="EB556" s="233"/>
      <c r="EC556" s="233"/>
      <c r="ED556" s="233"/>
      <c r="EE556" s="233"/>
      <c r="EF556" s="233"/>
      <c r="EG556" s="233"/>
      <c r="EH556" s="233"/>
      <c r="EI556" s="233"/>
      <c r="EJ556" s="233"/>
      <c r="EK556" s="233"/>
      <c r="EL556" s="233"/>
      <c r="EM556" s="233"/>
      <c r="EN556" s="233"/>
      <c r="EO556" s="233"/>
      <c r="EP556" s="233"/>
    </row>
    <row r="557" spans="1:146" ht="14.25" x14ac:dyDescent="0.2">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233"/>
      <c r="BE557" s="233"/>
      <c r="BF557" s="233"/>
      <c r="BG557" s="233"/>
      <c r="BH557" s="233"/>
      <c r="BI557" s="233"/>
      <c r="BJ557" s="233"/>
      <c r="BK557" s="233"/>
      <c r="BL557" s="233"/>
      <c r="BM557" s="233"/>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33"/>
      <c r="CI557" s="233"/>
      <c r="CJ557" s="233"/>
      <c r="CK557" s="233"/>
      <c r="CL557" s="233"/>
      <c r="CM557" s="233"/>
      <c r="CN557" s="233"/>
      <c r="CO557" s="233"/>
      <c r="CP557" s="233"/>
      <c r="CQ557" s="233"/>
      <c r="CR557" s="233"/>
      <c r="CS557" s="233"/>
      <c r="CT557" s="233"/>
      <c r="CU557" s="233"/>
      <c r="CV557" s="233"/>
      <c r="CW557" s="233"/>
      <c r="CX557" s="233"/>
      <c r="CY557" s="233"/>
      <c r="CZ557" s="233"/>
      <c r="DA557" s="233"/>
      <c r="DB557" s="233"/>
      <c r="DC557" s="233"/>
      <c r="DD557" s="233"/>
      <c r="DE557" s="233"/>
      <c r="DF557" s="233"/>
      <c r="DG557" s="233"/>
      <c r="DH557" s="233"/>
      <c r="DI557" s="233"/>
      <c r="DJ557" s="233"/>
      <c r="DK557" s="233"/>
      <c r="DL557" s="233"/>
      <c r="DM557" s="233"/>
      <c r="DN557" s="233"/>
      <c r="DO557" s="233"/>
      <c r="DP557" s="233"/>
      <c r="DQ557" s="233"/>
      <c r="DR557" s="233"/>
      <c r="DS557" s="233"/>
      <c r="DT557" s="233"/>
      <c r="DU557" s="233"/>
      <c r="DV557" s="233"/>
      <c r="DW557" s="233"/>
      <c r="DX557" s="233"/>
      <c r="DY557" s="233"/>
      <c r="DZ557" s="233"/>
      <c r="EA557" s="233"/>
      <c r="EB557" s="233"/>
      <c r="EC557" s="233"/>
      <c r="ED557" s="233"/>
      <c r="EE557" s="233"/>
      <c r="EF557" s="233"/>
      <c r="EG557" s="233"/>
      <c r="EH557" s="233"/>
      <c r="EI557" s="233"/>
      <c r="EJ557" s="233"/>
      <c r="EK557" s="233"/>
      <c r="EL557" s="233"/>
      <c r="EM557" s="233"/>
      <c r="EN557" s="233"/>
      <c r="EO557" s="233"/>
      <c r="EP557" s="233"/>
    </row>
    <row r="558" spans="1:146" ht="14.25" x14ac:dyDescent="0.2">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233"/>
      <c r="BE558" s="233"/>
      <c r="BF558" s="233"/>
      <c r="BG558" s="233"/>
      <c r="BH558" s="233"/>
      <c r="BI558" s="233"/>
      <c r="BJ558" s="233"/>
      <c r="BK558" s="233"/>
      <c r="BL558" s="233"/>
      <c r="BM558" s="233"/>
      <c r="BN558" s="233"/>
      <c r="BO558" s="233"/>
      <c r="BP558" s="233"/>
      <c r="BQ558" s="233"/>
      <c r="BR558" s="233"/>
      <c r="BS558" s="233"/>
      <c r="BT558" s="233"/>
      <c r="BU558" s="233"/>
      <c r="BV558" s="233"/>
      <c r="BW558" s="233"/>
      <c r="BX558" s="233"/>
      <c r="BY558" s="233"/>
      <c r="BZ558" s="233"/>
      <c r="CA558" s="233"/>
      <c r="CB558" s="233"/>
      <c r="CC558" s="233"/>
      <c r="CD558" s="233"/>
      <c r="CE558" s="233"/>
      <c r="CF558" s="233"/>
      <c r="CG558" s="233"/>
      <c r="CH558" s="233"/>
      <c r="CI558" s="233"/>
      <c r="CJ558" s="233"/>
      <c r="CK558" s="233"/>
      <c r="CL558" s="233"/>
      <c r="CM558" s="233"/>
      <c r="CN558" s="233"/>
      <c r="CO558" s="233"/>
      <c r="CP558" s="233"/>
      <c r="CQ558" s="233"/>
      <c r="CR558" s="233"/>
      <c r="CS558" s="233"/>
      <c r="CT558" s="233"/>
      <c r="CU558" s="233"/>
      <c r="CV558" s="233"/>
      <c r="CW558" s="233"/>
      <c r="CX558" s="233"/>
      <c r="CY558" s="233"/>
      <c r="CZ558" s="233"/>
      <c r="DA558" s="233"/>
      <c r="DB558" s="233"/>
      <c r="DC558" s="233"/>
      <c r="DD558" s="233"/>
      <c r="DE558" s="233"/>
      <c r="DF558" s="233"/>
      <c r="DG558" s="233"/>
      <c r="DH558" s="233"/>
      <c r="DI558" s="233"/>
      <c r="DJ558" s="233"/>
      <c r="DK558" s="233"/>
      <c r="DL558" s="233"/>
      <c r="DM558" s="233"/>
      <c r="DN558" s="233"/>
      <c r="DO558" s="233"/>
      <c r="DP558" s="233"/>
      <c r="DQ558" s="233"/>
      <c r="DR558" s="233"/>
      <c r="DS558" s="233"/>
      <c r="DT558" s="233"/>
      <c r="DU558" s="233"/>
      <c r="DV558" s="233"/>
      <c r="DW558" s="233"/>
      <c r="DX558" s="233"/>
      <c r="DY558" s="233"/>
      <c r="DZ558" s="233"/>
      <c r="EA558" s="233"/>
      <c r="EB558" s="233"/>
      <c r="EC558" s="233"/>
      <c r="ED558" s="233"/>
      <c r="EE558" s="233"/>
      <c r="EF558" s="233"/>
      <c r="EG558" s="233"/>
      <c r="EH558" s="233"/>
      <c r="EI558" s="233"/>
      <c r="EJ558" s="233"/>
      <c r="EK558" s="233"/>
      <c r="EL558" s="233"/>
      <c r="EM558" s="233"/>
      <c r="EN558" s="233"/>
      <c r="EO558" s="233"/>
      <c r="EP558" s="233"/>
    </row>
    <row r="559" spans="1:146" ht="14.25" x14ac:dyDescent="0.2">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233"/>
      <c r="BE559" s="233"/>
      <c r="BF559" s="233"/>
      <c r="BG559" s="233"/>
      <c r="BH559" s="233"/>
      <c r="BI559" s="233"/>
      <c r="BJ559" s="233"/>
      <c r="BK559" s="233"/>
      <c r="BL559" s="233"/>
      <c r="BM559" s="233"/>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33"/>
      <c r="CI559" s="233"/>
      <c r="CJ559" s="233"/>
      <c r="CK559" s="233"/>
      <c r="CL559" s="233"/>
      <c r="CM559" s="233"/>
      <c r="CN559" s="233"/>
      <c r="CO559" s="233"/>
      <c r="CP559" s="233"/>
      <c r="CQ559" s="233"/>
      <c r="CR559" s="233"/>
      <c r="CS559" s="233"/>
      <c r="CT559" s="233"/>
      <c r="CU559" s="233"/>
      <c r="CV559" s="233"/>
      <c r="CW559" s="233"/>
      <c r="CX559" s="233"/>
      <c r="CY559" s="233"/>
      <c r="CZ559" s="233"/>
      <c r="DA559" s="233"/>
      <c r="DB559" s="233"/>
      <c r="DC559" s="233"/>
      <c r="DD559" s="233"/>
      <c r="DE559" s="233"/>
      <c r="DF559" s="233"/>
      <c r="DG559" s="233"/>
      <c r="DH559" s="233"/>
      <c r="DI559" s="233"/>
      <c r="DJ559" s="233"/>
      <c r="DK559" s="233"/>
      <c r="DL559" s="233"/>
      <c r="DM559" s="233"/>
      <c r="DN559" s="233"/>
      <c r="DO559" s="233"/>
      <c r="DP559" s="233"/>
      <c r="DQ559" s="233"/>
      <c r="DR559" s="233"/>
      <c r="DS559" s="233"/>
      <c r="DT559" s="233"/>
      <c r="DU559" s="233"/>
      <c r="DV559" s="233"/>
      <c r="DW559" s="233"/>
      <c r="DX559" s="233"/>
      <c r="DY559" s="233"/>
      <c r="DZ559" s="233"/>
      <c r="EA559" s="233"/>
      <c r="EB559" s="233"/>
      <c r="EC559" s="233"/>
      <c r="ED559" s="233"/>
      <c r="EE559" s="233"/>
      <c r="EF559" s="233"/>
      <c r="EG559" s="233"/>
      <c r="EH559" s="233"/>
      <c r="EI559" s="233"/>
      <c r="EJ559" s="233"/>
      <c r="EK559" s="233"/>
      <c r="EL559" s="233"/>
      <c r="EM559" s="233"/>
      <c r="EN559" s="233"/>
      <c r="EO559" s="233"/>
      <c r="EP559" s="233"/>
    </row>
    <row r="560" spans="1:146" ht="14.25" x14ac:dyDescent="0.2">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33"/>
      <c r="CN560" s="233"/>
      <c r="CO560" s="233"/>
      <c r="CP560" s="233"/>
      <c r="CQ560" s="233"/>
      <c r="CR560" s="233"/>
      <c r="CS560" s="233"/>
      <c r="CT560" s="233"/>
      <c r="CU560" s="233"/>
      <c r="CV560" s="233"/>
      <c r="CW560" s="233"/>
      <c r="CX560" s="233"/>
      <c r="CY560" s="233"/>
      <c r="CZ560" s="233"/>
      <c r="DA560" s="233"/>
      <c r="DB560" s="233"/>
      <c r="DC560" s="233"/>
      <c r="DD560" s="233"/>
      <c r="DE560" s="233"/>
      <c r="DF560" s="233"/>
      <c r="DG560" s="233"/>
      <c r="DH560" s="233"/>
      <c r="DI560" s="233"/>
      <c r="DJ560" s="233"/>
      <c r="DK560" s="233"/>
      <c r="DL560" s="233"/>
      <c r="DM560" s="233"/>
      <c r="DN560" s="233"/>
      <c r="DO560" s="233"/>
      <c r="DP560" s="233"/>
      <c r="DQ560" s="233"/>
      <c r="DR560" s="233"/>
      <c r="DS560" s="233"/>
      <c r="DT560" s="233"/>
      <c r="DU560" s="233"/>
      <c r="DV560" s="233"/>
      <c r="DW560" s="233"/>
      <c r="DX560" s="233"/>
      <c r="DY560" s="233"/>
      <c r="DZ560" s="233"/>
      <c r="EA560" s="233"/>
      <c r="EB560" s="233"/>
      <c r="EC560" s="233"/>
      <c r="ED560" s="233"/>
      <c r="EE560" s="233"/>
      <c r="EF560" s="233"/>
      <c r="EG560" s="233"/>
      <c r="EH560" s="233"/>
      <c r="EI560" s="233"/>
      <c r="EJ560" s="233"/>
      <c r="EK560" s="233"/>
      <c r="EL560" s="233"/>
      <c r="EM560" s="233"/>
      <c r="EN560" s="233"/>
      <c r="EO560" s="233"/>
      <c r="EP560" s="233"/>
    </row>
    <row r="561" spans="1:146" ht="14.25" x14ac:dyDescent="0.2">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233"/>
      <c r="BE561" s="233"/>
      <c r="BF561" s="233"/>
      <c r="BG561" s="233"/>
      <c r="BH561" s="233"/>
      <c r="BI561" s="233"/>
      <c r="BJ561" s="233"/>
      <c r="BK561" s="233"/>
      <c r="BL561" s="233"/>
      <c r="BM561" s="233"/>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33"/>
      <c r="CI561" s="233"/>
      <c r="CJ561" s="233"/>
      <c r="CK561" s="233"/>
      <c r="CL561" s="233"/>
      <c r="CM561" s="233"/>
      <c r="CN561" s="233"/>
      <c r="CO561" s="233"/>
      <c r="CP561" s="233"/>
      <c r="CQ561" s="233"/>
      <c r="CR561" s="233"/>
      <c r="CS561" s="233"/>
      <c r="CT561" s="233"/>
      <c r="CU561" s="233"/>
      <c r="CV561" s="233"/>
      <c r="CW561" s="233"/>
      <c r="CX561" s="233"/>
      <c r="CY561" s="233"/>
      <c r="CZ561" s="233"/>
      <c r="DA561" s="233"/>
      <c r="DB561" s="233"/>
      <c r="DC561" s="233"/>
      <c r="DD561" s="233"/>
      <c r="DE561" s="233"/>
      <c r="DF561" s="233"/>
      <c r="DG561" s="233"/>
      <c r="DH561" s="233"/>
      <c r="DI561" s="233"/>
      <c r="DJ561" s="233"/>
      <c r="DK561" s="233"/>
      <c r="DL561" s="233"/>
      <c r="DM561" s="233"/>
      <c r="DN561" s="233"/>
      <c r="DO561" s="233"/>
      <c r="DP561" s="233"/>
      <c r="DQ561" s="233"/>
      <c r="DR561" s="233"/>
      <c r="DS561" s="233"/>
      <c r="DT561" s="233"/>
      <c r="DU561" s="233"/>
      <c r="DV561" s="233"/>
      <c r="DW561" s="233"/>
      <c r="DX561" s="233"/>
      <c r="DY561" s="233"/>
      <c r="DZ561" s="233"/>
      <c r="EA561" s="233"/>
      <c r="EB561" s="233"/>
      <c r="EC561" s="233"/>
      <c r="ED561" s="233"/>
      <c r="EE561" s="233"/>
      <c r="EF561" s="233"/>
      <c r="EG561" s="233"/>
      <c r="EH561" s="233"/>
      <c r="EI561" s="233"/>
      <c r="EJ561" s="233"/>
      <c r="EK561" s="233"/>
      <c r="EL561" s="233"/>
      <c r="EM561" s="233"/>
      <c r="EN561" s="233"/>
      <c r="EO561" s="233"/>
      <c r="EP561" s="233"/>
    </row>
    <row r="562" spans="1:146" ht="14.25" x14ac:dyDescent="0.2">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233"/>
      <c r="BE562" s="233"/>
      <c r="BF562" s="233"/>
      <c r="BG562" s="233"/>
      <c r="BH562" s="233"/>
      <c r="BI562" s="233"/>
      <c r="BJ562" s="233"/>
      <c r="BK562" s="233"/>
      <c r="BL562" s="233"/>
      <c r="BM562" s="233"/>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33"/>
      <c r="CI562" s="233"/>
      <c r="CJ562" s="233"/>
      <c r="CK562" s="233"/>
      <c r="CL562" s="233"/>
      <c r="CM562" s="233"/>
      <c r="CN562" s="233"/>
      <c r="CO562" s="233"/>
      <c r="CP562" s="233"/>
      <c r="CQ562" s="233"/>
      <c r="CR562" s="233"/>
      <c r="CS562" s="233"/>
      <c r="CT562" s="233"/>
      <c r="CU562" s="233"/>
      <c r="CV562" s="233"/>
      <c r="CW562" s="233"/>
      <c r="CX562" s="233"/>
      <c r="CY562" s="233"/>
      <c r="CZ562" s="233"/>
      <c r="DA562" s="233"/>
      <c r="DB562" s="233"/>
      <c r="DC562" s="233"/>
      <c r="DD562" s="233"/>
      <c r="DE562" s="233"/>
      <c r="DF562" s="233"/>
      <c r="DG562" s="233"/>
      <c r="DH562" s="233"/>
      <c r="DI562" s="233"/>
      <c r="DJ562" s="233"/>
      <c r="DK562" s="233"/>
      <c r="DL562" s="233"/>
      <c r="DM562" s="233"/>
      <c r="DN562" s="233"/>
      <c r="DO562" s="233"/>
      <c r="DP562" s="233"/>
      <c r="DQ562" s="233"/>
      <c r="DR562" s="233"/>
      <c r="DS562" s="233"/>
      <c r="DT562" s="233"/>
      <c r="DU562" s="233"/>
      <c r="DV562" s="233"/>
      <c r="DW562" s="233"/>
      <c r="DX562" s="233"/>
      <c r="DY562" s="233"/>
      <c r="DZ562" s="233"/>
      <c r="EA562" s="233"/>
      <c r="EB562" s="233"/>
      <c r="EC562" s="233"/>
      <c r="ED562" s="233"/>
      <c r="EE562" s="233"/>
      <c r="EF562" s="233"/>
      <c r="EG562" s="233"/>
      <c r="EH562" s="233"/>
      <c r="EI562" s="233"/>
      <c r="EJ562" s="233"/>
      <c r="EK562" s="233"/>
      <c r="EL562" s="233"/>
      <c r="EM562" s="233"/>
      <c r="EN562" s="233"/>
      <c r="EO562" s="233"/>
      <c r="EP562" s="233"/>
    </row>
    <row r="563" spans="1:146" ht="14.25" x14ac:dyDescent="0.2">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233"/>
      <c r="BE563" s="233"/>
      <c r="BF563" s="233"/>
      <c r="BG563" s="233"/>
      <c r="BH563" s="233"/>
      <c r="BI563" s="233"/>
      <c r="BJ563" s="233"/>
      <c r="BK563" s="233"/>
      <c r="BL563" s="233"/>
      <c r="BM563" s="233"/>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33"/>
      <c r="CI563" s="233"/>
      <c r="CJ563" s="233"/>
      <c r="CK563" s="233"/>
      <c r="CL563" s="233"/>
      <c r="CM563" s="233"/>
      <c r="CN563" s="233"/>
      <c r="CO563" s="233"/>
      <c r="CP563" s="233"/>
      <c r="CQ563" s="233"/>
      <c r="CR563" s="233"/>
      <c r="CS563" s="233"/>
      <c r="CT563" s="233"/>
      <c r="CU563" s="233"/>
      <c r="CV563" s="233"/>
      <c r="CW563" s="233"/>
      <c r="CX563" s="233"/>
      <c r="CY563" s="233"/>
      <c r="CZ563" s="233"/>
      <c r="DA563" s="233"/>
      <c r="DB563" s="233"/>
      <c r="DC563" s="233"/>
      <c r="DD563" s="233"/>
      <c r="DE563" s="233"/>
      <c r="DF563" s="233"/>
      <c r="DG563" s="233"/>
      <c r="DH563" s="233"/>
      <c r="DI563" s="233"/>
      <c r="DJ563" s="233"/>
      <c r="DK563" s="233"/>
      <c r="DL563" s="233"/>
      <c r="DM563" s="233"/>
      <c r="DN563" s="233"/>
      <c r="DO563" s="233"/>
      <c r="DP563" s="233"/>
      <c r="DQ563" s="233"/>
      <c r="DR563" s="233"/>
      <c r="DS563" s="233"/>
      <c r="DT563" s="233"/>
      <c r="DU563" s="233"/>
      <c r="DV563" s="233"/>
      <c r="DW563" s="233"/>
      <c r="DX563" s="233"/>
      <c r="DY563" s="233"/>
      <c r="DZ563" s="233"/>
      <c r="EA563" s="233"/>
      <c r="EB563" s="233"/>
      <c r="EC563" s="233"/>
      <c r="ED563" s="233"/>
      <c r="EE563" s="233"/>
      <c r="EF563" s="233"/>
      <c r="EG563" s="233"/>
      <c r="EH563" s="233"/>
      <c r="EI563" s="233"/>
      <c r="EJ563" s="233"/>
      <c r="EK563" s="233"/>
      <c r="EL563" s="233"/>
      <c r="EM563" s="233"/>
      <c r="EN563" s="233"/>
      <c r="EO563" s="233"/>
      <c r="EP563" s="233"/>
    </row>
    <row r="564" spans="1:146" ht="14.25" x14ac:dyDescent="0.2">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33"/>
      <c r="BF564" s="233"/>
      <c r="BG564" s="233"/>
      <c r="BH564" s="233"/>
      <c r="BI564" s="233"/>
      <c r="BJ564" s="233"/>
      <c r="BK564" s="233"/>
      <c r="BL564" s="233"/>
      <c r="BM564" s="233"/>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33"/>
      <c r="CI564" s="233"/>
      <c r="CJ564" s="233"/>
      <c r="CK564" s="233"/>
      <c r="CL564" s="233"/>
      <c r="CM564" s="233"/>
      <c r="CN564" s="233"/>
      <c r="CO564" s="233"/>
      <c r="CP564" s="233"/>
      <c r="CQ564" s="233"/>
      <c r="CR564" s="233"/>
      <c r="CS564" s="233"/>
      <c r="CT564" s="233"/>
      <c r="CU564" s="233"/>
      <c r="CV564" s="233"/>
      <c r="CW564" s="233"/>
      <c r="CX564" s="233"/>
      <c r="CY564" s="233"/>
      <c r="CZ564" s="233"/>
      <c r="DA564" s="233"/>
      <c r="DB564" s="233"/>
      <c r="DC564" s="233"/>
      <c r="DD564" s="233"/>
      <c r="DE564" s="233"/>
      <c r="DF564" s="233"/>
      <c r="DG564" s="233"/>
      <c r="DH564" s="233"/>
      <c r="DI564" s="233"/>
      <c r="DJ564" s="233"/>
      <c r="DK564" s="233"/>
      <c r="DL564" s="233"/>
      <c r="DM564" s="233"/>
      <c r="DN564" s="233"/>
      <c r="DO564" s="233"/>
      <c r="DP564" s="233"/>
      <c r="DQ564" s="233"/>
      <c r="DR564" s="233"/>
      <c r="DS564" s="233"/>
      <c r="DT564" s="233"/>
      <c r="DU564" s="233"/>
      <c r="DV564" s="233"/>
      <c r="DW564" s="233"/>
      <c r="DX564" s="233"/>
      <c r="DY564" s="233"/>
      <c r="DZ564" s="233"/>
      <c r="EA564" s="233"/>
      <c r="EB564" s="233"/>
      <c r="EC564" s="233"/>
      <c r="ED564" s="233"/>
      <c r="EE564" s="233"/>
      <c r="EF564" s="233"/>
      <c r="EG564" s="233"/>
      <c r="EH564" s="233"/>
      <c r="EI564" s="233"/>
      <c r="EJ564" s="233"/>
      <c r="EK564" s="233"/>
      <c r="EL564" s="233"/>
      <c r="EM564" s="233"/>
      <c r="EN564" s="233"/>
      <c r="EO564" s="233"/>
      <c r="EP564" s="233"/>
    </row>
    <row r="565" spans="1:146" ht="14.25" x14ac:dyDescent="0.2">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33"/>
      <c r="BF565" s="233"/>
      <c r="BG565" s="233"/>
      <c r="BH565" s="233"/>
      <c r="BI565" s="233"/>
      <c r="BJ565" s="233"/>
      <c r="BK565" s="233"/>
      <c r="BL565" s="233"/>
      <c r="BM565" s="233"/>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33"/>
      <c r="CI565" s="233"/>
      <c r="CJ565" s="233"/>
      <c r="CK565" s="233"/>
      <c r="CL565" s="233"/>
      <c r="CM565" s="233"/>
      <c r="CN565" s="233"/>
      <c r="CO565" s="233"/>
      <c r="CP565" s="233"/>
      <c r="CQ565" s="233"/>
      <c r="CR565" s="233"/>
      <c r="CS565" s="233"/>
      <c r="CT565" s="233"/>
      <c r="CU565" s="233"/>
      <c r="CV565" s="233"/>
      <c r="CW565" s="233"/>
      <c r="CX565" s="233"/>
      <c r="CY565" s="233"/>
      <c r="CZ565" s="233"/>
      <c r="DA565" s="233"/>
      <c r="DB565" s="233"/>
      <c r="DC565" s="233"/>
      <c r="DD565" s="233"/>
      <c r="DE565" s="233"/>
      <c r="DF565" s="233"/>
      <c r="DG565" s="233"/>
      <c r="DH565" s="233"/>
      <c r="DI565" s="233"/>
      <c r="DJ565" s="233"/>
      <c r="DK565" s="233"/>
      <c r="DL565" s="233"/>
      <c r="DM565" s="233"/>
      <c r="DN565" s="233"/>
      <c r="DO565" s="233"/>
      <c r="DP565" s="233"/>
      <c r="DQ565" s="233"/>
      <c r="DR565" s="233"/>
      <c r="DS565" s="233"/>
      <c r="DT565" s="233"/>
      <c r="DU565" s="233"/>
      <c r="DV565" s="233"/>
      <c r="DW565" s="233"/>
      <c r="DX565" s="233"/>
      <c r="DY565" s="233"/>
      <c r="DZ565" s="233"/>
      <c r="EA565" s="233"/>
      <c r="EB565" s="233"/>
      <c r="EC565" s="233"/>
      <c r="ED565" s="233"/>
      <c r="EE565" s="233"/>
      <c r="EF565" s="233"/>
      <c r="EG565" s="233"/>
      <c r="EH565" s="233"/>
      <c r="EI565" s="233"/>
      <c r="EJ565" s="233"/>
      <c r="EK565" s="233"/>
      <c r="EL565" s="233"/>
      <c r="EM565" s="233"/>
      <c r="EN565" s="233"/>
      <c r="EO565" s="233"/>
      <c r="EP565" s="233"/>
    </row>
    <row r="566" spans="1:146" ht="14.25" x14ac:dyDescent="0.2">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33"/>
      <c r="BF566" s="233"/>
      <c r="BG566" s="233"/>
      <c r="BH566" s="233"/>
      <c r="BI566" s="233"/>
      <c r="BJ566" s="233"/>
      <c r="BK566" s="233"/>
      <c r="BL566" s="233"/>
      <c r="BM566" s="233"/>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33"/>
      <c r="CI566" s="233"/>
      <c r="CJ566" s="233"/>
      <c r="CK566" s="233"/>
      <c r="CL566" s="233"/>
      <c r="CM566" s="233"/>
      <c r="CN566" s="233"/>
      <c r="CO566" s="233"/>
      <c r="CP566" s="233"/>
      <c r="CQ566" s="233"/>
      <c r="CR566" s="233"/>
      <c r="CS566" s="233"/>
      <c r="CT566" s="233"/>
      <c r="CU566" s="233"/>
      <c r="CV566" s="233"/>
      <c r="CW566" s="233"/>
      <c r="CX566" s="233"/>
      <c r="CY566" s="233"/>
      <c r="CZ566" s="233"/>
      <c r="DA566" s="233"/>
      <c r="DB566" s="233"/>
      <c r="DC566" s="233"/>
      <c r="DD566" s="233"/>
      <c r="DE566" s="233"/>
      <c r="DF566" s="233"/>
      <c r="DG566" s="233"/>
      <c r="DH566" s="233"/>
      <c r="DI566" s="233"/>
      <c r="DJ566" s="233"/>
      <c r="DK566" s="233"/>
      <c r="DL566" s="233"/>
      <c r="DM566" s="233"/>
      <c r="DN566" s="233"/>
      <c r="DO566" s="233"/>
      <c r="DP566" s="233"/>
      <c r="DQ566" s="233"/>
      <c r="DR566" s="233"/>
      <c r="DS566" s="233"/>
      <c r="DT566" s="233"/>
      <c r="DU566" s="233"/>
      <c r="DV566" s="233"/>
      <c r="DW566" s="233"/>
      <c r="DX566" s="233"/>
      <c r="DY566" s="233"/>
      <c r="DZ566" s="233"/>
      <c r="EA566" s="233"/>
      <c r="EB566" s="233"/>
      <c r="EC566" s="233"/>
      <c r="ED566" s="233"/>
      <c r="EE566" s="233"/>
      <c r="EF566" s="233"/>
      <c r="EG566" s="233"/>
      <c r="EH566" s="233"/>
      <c r="EI566" s="233"/>
      <c r="EJ566" s="233"/>
      <c r="EK566" s="233"/>
      <c r="EL566" s="233"/>
      <c r="EM566" s="233"/>
      <c r="EN566" s="233"/>
      <c r="EO566" s="233"/>
      <c r="EP566" s="233"/>
    </row>
    <row r="567" spans="1:146" ht="14.25" x14ac:dyDescent="0.2">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33"/>
      <c r="BF567" s="233"/>
      <c r="BG567" s="233"/>
      <c r="BH567" s="233"/>
      <c r="BI567" s="233"/>
      <c r="BJ567" s="233"/>
      <c r="BK567" s="233"/>
      <c r="BL567" s="233"/>
      <c r="BM567" s="233"/>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33"/>
      <c r="CI567" s="233"/>
      <c r="CJ567" s="233"/>
      <c r="CK567" s="233"/>
      <c r="CL567" s="233"/>
      <c r="CM567" s="233"/>
      <c r="CN567" s="233"/>
      <c r="CO567" s="233"/>
      <c r="CP567" s="233"/>
      <c r="CQ567" s="233"/>
      <c r="CR567" s="233"/>
      <c r="CS567" s="233"/>
      <c r="CT567" s="233"/>
      <c r="CU567" s="233"/>
      <c r="CV567" s="233"/>
      <c r="CW567" s="233"/>
      <c r="CX567" s="233"/>
      <c r="CY567" s="233"/>
      <c r="CZ567" s="233"/>
      <c r="DA567" s="233"/>
      <c r="DB567" s="233"/>
      <c r="DC567" s="233"/>
      <c r="DD567" s="233"/>
      <c r="DE567" s="233"/>
      <c r="DF567" s="233"/>
      <c r="DG567" s="233"/>
      <c r="DH567" s="233"/>
      <c r="DI567" s="233"/>
      <c r="DJ567" s="233"/>
      <c r="DK567" s="233"/>
      <c r="DL567" s="233"/>
      <c r="DM567" s="233"/>
      <c r="DN567" s="233"/>
      <c r="DO567" s="233"/>
      <c r="DP567" s="233"/>
      <c r="DQ567" s="233"/>
      <c r="DR567" s="233"/>
      <c r="DS567" s="233"/>
      <c r="DT567" s="233"/>
      <c r="DU567" s="233"/>
      <c r="DV567" s="233"/>
      <c r="DW567" s="233"/>
      <c r="DX567" s="233"/>
      <c r="DY567" s="233"/>
      <c r="DZ567" s="233"/>
      <c r="EA567" s="233"/>
      <c r="EB567" s="233"/>
      <c r="EC567" s="233"/>
      <c r="ED567" s="233"/>
      <c r="EE567" s="233"/>
      <c r="EF567" s="233"/>
      <c r="EG567" s="233"/>
      <c r="EH567" s="233"/>
      <c r="EI567" s="233"/>
      <c r="EJ567" s="233"/>
      <c r="EK567" s="233"/>
      <c r="EL567" s="233"/>
      <c r="EM567" s="233"/>
      <c r="EN567" s="233"/>
      <c r="EO567" s="233"/>
      <c r="EP567" s="233"/>
    </row>
    <row r="568" spans="1:146" ht="14.25" x14ac:dyDescent="0.2">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33"/>
      <c r="BF568" s="233"/>
      <c r="BG568" s="233"/>
      <c r="BH568" s="233"/>
      <c r="BI568" s="233"/>
      <c r="BJ568" s="233"/>
      <c r="BK568" s="233"/>
      <c r="BL568" s="233"/>
      <c r="BM568" s="233"/>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33"/>
      <c r="CI568" s="233"/>
      <c r="CJ568" s="233"/>
      <c r="CK568" s="233"/>
      <c r="CL568" s="233"/>
      <c r="CM568" s="233"/>
      <c r="CN568" s="233"/>
      <c r="CO568" s="233"/>
      <c r="CP568" s="233"/>
      <c r="CQ568" s="233"/>
      <c r="CR568" s="233"/>
      <c r="CS568" s="233"/>
      <c r="CT568" s="233"/>
      <c r="CU568" s="233"/>
      <c r="CV568" s="233"/>
      <c r="CW568" s="233"/>
      <c r="CX568" s="233"/>
      <c r="CY568" s="233"/>
      <c r="CZ568" s="233"/>
      <c r="DA568" s="233"/>
      <c r="DB568" s="233"/>
      <c r="DC568" s="233"/>
      <c r="DD568" s="233"/>
      <c r="DE568" s="233"/>
      <c r="DF568" s="233"/>
      <c r="DG568" s="233"/>
      <c r="DH568" s="233"/>
      <c r="DI568" s="233"/>
      <c r="DJ568" s="233"/>
      <c r="DK568" s="233"/>
      <c r="DL568" s="233"/>
      <c r="DM568" s="233"/>
      <c r="DN568" s="233"/>
      <c r="DO568" s="233"/>
      <c r="DP568" s="233"/>
      <c r="DQ568" s="233"/>
      <c r="DR568" s="233"/>
      <c r="DS568" s="233"/>
      <c r="DT568" s="233"/>
      <c r="DU568" s="233"/>
      <c r="DV568" s="233"/>
      <c r="DW568" s="233"/>
      <c r="DX568" s="233"/>
      <c r="DY568" s="233"/>
      <c r="DZ568" s="233"/>
      <c r="EA568" s="233"/>
      <c r="EB568" s="233"/>
      <c r="EC568" s="233"/>
      <c r="ED568" s="233"/>
      <c r="EE568" s="233"/>
      <c r="EF568" s="233"/>
      <c r="EG568" s="233"/>
      <c r="EH568" s="233"/>
      <c r="EI568" s="233"/>
      <c r="EJ568" s="233"/>
      <c r="EK568" s="233"/>
      <c r="EL568" s="233"/>
      <c r="EM568" s="233"/>
      <c r="EN568" s="233"/>
      <c r="EO568" s="233"/>
      <c r="EP568" s="233"/>
    </row>
    <row r="569" spans="1:146" ht="14.25" x14ac:dyDescent="0.2">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33"/>
      <c r="BF569" s="233"/>
      <c r="BG569" s="233"/>
      <c r="BH569" s="233"/>
      <c r="BI569" s="233"/>
      <c r="BJ569" s="233"/>
      <c r="BK569" s="233"/>
      <c r="BL569" s="233"/>
      <c r="BM569" s="233"/>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33"/>
      <c r="CI569" s="233"/>
      <c r="CJ569" s="233"/>
      <c r="CK569" s="233"/>
      <c r="CL569" s="233"/>
      <c r="CM569" s="233"/>
      <c r="CN569" s="233"/>
      <c r="CO569" s="233"/>
      <c r="CP569" s="233"/>
      <c r="CQ569" s="233"/>
      <c r="CR569" s="233"/>
      <c r="CS569" s="233"/>
      <c r="CT569" s="233"/>
      <c r="CU569" s="233"/>
      <c r="CV569" s="233"/>
      <c r="CW569" s="233"/>
      <c r="CX569" s="233"/>
      <c r="CY569" s="233"/>
      <c r="CZ569" s="233"/>
      <c r="DA569" s="233"/>
      <c r="DB569" s="233"/>
      <c r="DC569" s="233"/>
      <c r="DD569" s="233"/>
      <c r="DE569" s="233"/>
      <c r="DF569" s="233"/>
      <c r="DG569" s="233"/>
      <c r="DH569" s="233"/>
      <c r="DI569" s="233"/>
      <c r="DJ569" s="233"/>
      <c r="DK569" s="233"/>
      <c r="DL569" s="233"/>
      <c r="DM569" s="233"/>
      <c r="DN569" s="233"/>
      <c r="DO569" s="233"/>
      <c r="DP569" s="233"/>
      <c r="DQ569" s="233"/>
      <c r="DR569" s="233"/>
      <c r="DS569" s="233"/>
      <c r="DT569" s="233"/>
      <c r="DU569" s="233"/>
      <c r="DV569" s="233"/>
      <c r="DW569" s="233"/>
      <c r="DX569" s="233"/>
      <c r="DY569" s="233"/>
      <c r="DZ569" s="233"/>
      <c r="EA569" s="233"/>
      <c r="EB569" s="233"/>
      <c r="EC569" s="233"/>
      <c r="ED569" s="233"/>
      <c r="EE569" s="233"/>
      <c r="EF569" s="233"/>
      <c r="EG569" s="233"/>
      <c r="EH569" s="233"/>
      <c r="EI569" s="233"/>
      <c r="EJ569" s="233"/>
      <c r="EK569" s="233"/>
      <c r="EL569" s="233"/>
      <c r="EM569" s="233"/>
      <c r="EN569" s="233"/>
      <c r="EO569" s="233"/>
      <c r="EP569" s="233"/>
    </row>
    <row r="570" spans="1:146" ht="14.25" x14ac:dyDescent="0.2">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33"/>
      <c r="CI570" s="233"/>
      <c r="CJ570" s="233"/>
      <c r="CK570" s="233"/>
      <c r="CL570" s="233"/>
      <c r="CM570" s="233"/>
      <c r="CN570" s="233"/>
      <c r="CO570" s="233"/>
      <c r="CP570" s="233"/>
      <c r="CQ570" s="233"/>
      <c r="CR570" s="233"/>
      <c r="CS570" s="233"/>
      <c r="CT570" s="233"/>
      <c r="CU570" s="233"/>
      <c r="CV570" s="233"/>
      <c r="CW570" s="233"/>
      <c r="CX570" s="233"/>
      <c r="CY570" s="233"/>
      <c r="CZ570" s="233"/>
      <c r="DA570" s="233"/>
      <c r="DB570" s="233"/>
      <c r="DC570" s="233"/>
      <c r="DD570" s="233"/>
      <c r="DE570" s="233"/>
      <c r="DF570" s="233"/>
      <c r="DG570" s="233"/>
      <c r="DH570" s="233"/>
      <c r="DI570" s="233"/>
      <c r="DJ570" s="233"/>
      <c r="DK570" s="233"/>
      <c r="DL570" s="233"/>
      <c r="DM570" s="233"/>
      <c r="DN570" s="233"/>
      <c r="DO570" s="233"/>
      <c r="DP570" s="233"/>
      <c r="DQ570" s="233"/>
      <c r="DR570" s="233"/>
      <c r="DS570" s="233"/>
      <c r="DT570" s="233"/>
      <c r="DU570" s="233"/>
      <c r="DV570" s="233"/>
      <c r="DW570" s="233"/>
      <c r="DX570" s="233"/>
      <c r="DY570" s="233"/>
      <c r="DZ570" s="233"/>
      <c r="EA570" s="233"/>
      <c r="EB570" s="233"/>
      <c r="EC570" s="233"/>
      <c r="ED570" s="233"/>
      <c r="EE570" s="233"/>
      <c r="EF570" s="233"/>
      <c r="EG570" s="233"/>
      <c r="EH570" s="233"/>
      <c r="EI570" s="233"/>
      <c r="EJ570" s="233"/>
      <c r="EK570" s="233"/>
      <c r="EL570" s="233"/>
      <c r="EM570" s="233"/>
      <c r="EN570" s="233"/>
      <c r="EO570" s="233"/>
      <c r="EP570" s="233"/>
    </row>
    <row r="571" spans="1:146" ht="14.25" x14ac:dyDescent="0.2">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33"/>
      <c r="CI571" s="233"/>
      <c r="CJ571" s="233"/>
      <c r="CK571" s="233"/>
      <c r="CL571" s="233"/>
      <c r="CM571" s="233"/>
      <c r="CN571" s="233"/>
      <c r="CO571" s="233"/>
      <c r="CP571" s="233"/>
      <c r="CQ571" s="233"/>
      <c r="CR571" s="233"/>
      <c r="CS571" s="233"/>
      <c r="CT571" s="233"/>
      <c r="CU571" s="233"/>
      <c r="CV571" s="233"/>
      <c r="CW571" s="233"/>
      <c r="CX571" s="233"/>
      <c r="CY571" s="233"/>
      <c r="CZ571" s="233"/>
      <c r="DA571" s="233"/>
      <c r="DB571" s="233"/>
      <c r="DC571" s="233"/>
      <c r="DD571" s="233"/>
      <c r="DE571" s="233"/>
      <c r="DF571" s="233"/>
      <c r="DG571" s="233"/>
      <c r="DH571" s="233"/>
      <c r="DI571" s="233"/>
      <c r="DJ571" s="233"/>
      <c r="DK571" s="233"/>
      <c r="DL571" s="233"/>
      <c r="DM571" s="233"/>
      <c r="DN571" s="233"/>
      <c r="DO571" s="233"/>
      <c r="DP571" s="233"/>
      <c r="DQ571" s="233"/>
      <c r="DR571" s="233"/>
      <c r="DS571" s="233"/>
      <c r="DT571" s="233"/>
      <c r="DU571" s="233"/>
      <c r="DV571" s="233"/>
      <c r="DW571" s="233"/>
      <c r="DX571" s="233"/>
      <c r="DY571" s="233"/>
      <c r="DZ571" s="233"/>
      <c r="EA571" s="233"/>
      <c r="EB571" s="233"/>
      <c r="EC571" s="233"/>
      <c r="ED571" s="233"/>
      <c r="EE571" s="233"/>
      <c r="EF571" s="233"/>
      <c r="EG571" s="233"/>
      <c r="EH571" s="233"/>
      <c r="EI571" s="233"/>
      <c r="EJ571" s="233"/>
      <c r="EK571" s="233"/>
      <c r="EL571" s="233"/>
      <c r="EM571" s="233"/>
      <c r="EN571" s="233"/>
      <c r="EO571" s="233"/>
      <c r="EP571" s="233"/>
    </row>
    <row r="572" spans="1:146" ht="14.25" x14ac:dyDescent="0.2">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33"/>
      <c r="CI572" s="233"/>
      <c r="CJ572" s="233"/>
      <c r="CK572" s="233"/>
      <c r="CL572" s="233"/>
      <c r="CM572" s="233"/>
      <c r="CN572" s="233"/>
      <c r="CO572" s="233"/>
      <c r="CP572" s="233"/>
      <c r="CQ572" s="233"/>
      <c r="CR572" s="233"/>
      <c r="CS572" s="233"/>
      <c r="CT572" s="233"/>
      <c r="CU572" s="233"/>
      <c r="CV572" s="233"/>
      <c r="CW572" s="233"/>
      <c r="CX572" s="233"/>
      <c r="CY572" s="233"/>
      <c r="CZ572" s="233"/>
      <c r="DA572" s="233"/>
      <c r="DB572" s="233"/>
      <c r="DC572" s="233"/>
      <c r="DD572" s="233"/>
      <c r="DE572" s="233"/>
      <c r="DF572" s="233"/>
      <c r="DG572" s="233"/>
      <c r="DH572" s="233"/>
      <c r="DI572" s="233"/>
      <c r="DJ572" s="233"/>
      <c r="DK572" s="233"/>
      <c r="DL572" s="233"/>
      <c r="DM572" s="233"/>
      <c r="DN572" s="233"/>
      <c r="DO572" s="233"/>
      <c r="DP572" s="233"/>
      <c r="DQ572" s="233"/>
      <c r="DR572" s="233"/>
      <c r="DS572" s="233"/>
      <c r="DT572" s="233"/>
      <c r="DU572" s="233"/>
      <c r="DV572" s="233"/>
      <c r="DW572" s="233"/>
      <c r="DX572" s="233"/>
      <c r="DY572" s="233"/>
      <c r="DZ572" s="233"/>
      <c r="EA572" s="233"/>
      <c r="EB572" s="233"/>
      <c r="EC572" s="233"/>
      <c r="ED572" s="233"/>
      <c r="EE572" s="233"/>
      <c r="EF572" s="233"/>
      <c r="EG572" s="233"/>
      <c r="EH572" s="233"/>
      <c r="EI572" s="233"/>
      <c r="EJ572" s="233"/>
      <c r="EK572" s="233"/>
      <c r="EL572" s="233"/>
      <c r="EM572" s="233"/>
      <c r="EN572" s="233"/>
      <c r="EO572" s="233"/>
      <c r="EP572" s="233"/>
    </row>
    <row r="573" spans="1:146" ht="14.25" x14ac:dyDescent="0.2">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33"/>
      <c r="CI573" s="233"/>
      <c r="CJ573" s="233"/>
      <c r="CK573" s="233"/>
      <c r="CL573" s="233"/>
      <c r="CM573" s="233"/>
      <c r="CN573" s="233"/>
      <c r="CO573" s="233"/>
      <c r="CP573" s="233"/>
      <c r="CQ573" s="233"/>
      <c r="CR573" s="233"/>
      <c r="CS573" s="233"/>
      <c r="CT573" s="233"/>
      <c r="CU573" s="233"/>
      <c r="CV573" s="233"/>
      <c r="CW573" s="233"/>
      <c r="CX573" s="233"/>
      <c r="CY573" s="233"/>
      <c r="CZ573" s="233"/>
      <c r="DA573" s="233"/>
      <c r="DB573" s="233"/>
      <c r="DC573" s="233"/>
      <c r="DD573" s="233"/>
      <c r="DE573" s="233"/>
      <c r="DF573" s="233"/>
      <c r="DG573" s="233"/>
      <c r="DH573" s="233"/>
      <c r="DI573" s="233"/>
      <c r="DJ573" s="233"/>
      <c r="DK573" s="233"/>
      <c r="DL573" s="233"/>
      <c r="DM573" s="233"/>
      <c r="DN573" s="233"/>
      <c r="DO573" s="233"/>
      <c r="DP573" s="233"/>
      <c r="DQ573" s="233"/>
      <c r="DR573" s="233"/>
      <c r="DS573" s="233"/>
      <c r="DT573" s="233"/>
      <c r="DU573" s="233"/>
      <c r="DV573" s="233"/>
      <c r="DW573" s="233"/>
      <c r="DX573" s="233"/>
      <c r="DY573" s="233"/>
      <c r="DZ573" s="233"/>
      <c r="EA573" s="233"/>
      <c r="EB573" s="233"/>
      <c r="EC573" s="233"/>
      <c r="ED573" s="233"/>
      <c r="EE573" s="233"/>
      <c r="EF573" s="233"/>
      <c r="EG573" s="233"/>
      <c r="EH573" s="233"/>
      <c r="EI573" s="233"/>
      <c r="EJ573" s="233"/>
      <c r="EK573" s="233"/>
      <c r="EL573" s="233"/>
      <c r="EM573" s="233"/>
      <c r="EN573" s="233"/>
      <c r="EO573" s="233"/>
      <c r="EP573" s="233"/>
    </row>
    <row r="574" spans="1:146" ht="14.25" x14ac:dyDescent="0.2">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c r="BJ574" s="233"/>
      <c r="BK574" s="233"/>
      <c r="BL574" s="233"/>
      <c r="BM574" s="233"/>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33"/>
      <c r="CI574" s="233"/>
      <c r="CJ574" s="233"/>
      <c r="CK574" s="233"/>
      <c r="CL574" s="233"/>
      <c r="CM574" s="233"/>
      <c r="CN574" s="233"/>
      <c r="CO574" s="233"/>
      <c r="CP574" s="233"/>
      <c r="CQ574" s="233"/>
      <c r="CR574" s="233"/>
      <c r="CS574" s="233"/>
      <c r="CT574" s="233"/>
      <c r="CU574" s="233"/>
      <c r="CV574" s="233"/>
      <c r="CW574" s="233"/>
      <c r="CX574" s="233"/>
      <c r="CY574" s="233"/>
      <c r="CZ574" s="233"/>
      <c r="DA574" s="233"/>
      <c r="DB574" s="233"/>
      <c r="DC574" s="233"/>
      <c r="DD574" s="233"/>
      <c r="DE574" s="233"/>
      <c r="DF574" s="233"/>
      <c r="DG574" s="233"/>
      <c r="DH574" s="233"/>
      <c r="DI574" s="233"/>
      <c r="DJ574" s="233"/>
      <c r="DK574" s="233"/>
      <c r="DL574" s="233"/>
      <c r="DM574" s="233"/>
      <c r="DN574" s="233"/>
      <c r="DO574" s="233"/>
      <c r="DP574" s="233"/>
      <c r="DQ574" s="233"/>
      <c r="DR574" s="233"/>
      <c r="DS574" s="233"/>
      <c r="DT574" s="233"/>
      <c r="DU574" s="233"/>
      <c r="DV574" s="233"/>
      <c r="DW574" s="233"/>
      <c r="DX574" s="233"/>
      <c r="DY574" s="233"/>
      <c r="DZ574" s="233"/>
      <c r="EA574" s="233"/>
      <c r="EB574" s="233"/>
      <c r="EC574" s="233"/>
      <c r="ED574" s="233"/>
      <c r="EE574" s="233"/>
      <c r="EF574" s="233"/>
      <c r="EG574" s="233"/>
      <c r="EH574" s="233"/>
      <c r="EI574" s="233"/>
      <c r="EJ574" s="233"/>
      <c r="EK574" s="233"/>
      <c r="EL574" s="233"/>
      <c r="EM574" s="233"/>
      <c r="EN574" s="233"/>
      <c r="EO574" s="233"/>
      <c r="EP574" s="233"/>
    </row>
    <row r="575" spans="1:146" ht="14.25" x14ac:dyDescent="0.2">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33"/>
      <c r="CI575" s="233"/>
      <c r="CJ575" s="233"/>
      <c r="CK575" s="233"/>
      <c r="CL575" s="233"/>
      <c r="CM575" s="233"/>
      <c r="CN575" s="233"/>
      <c r="CO575" s="233"/>
      <c r="CP575" s="233"/>
      <c r="CQ575" s="233"/>
      <c r="CR575" s="233"/>
      <c r="CS575" s="233"/>
      <c r="CT575" s="233"/>
      <c r="CU575" s="233"/>
      <c r="CV575" s="233"/>
      <c r="CW575" s="233"/>
      <c r="CX575" s="233"/>
      <c r="CY575" s="233"/>
      <c r="CZ575" s="233"/>
      <c r="DA575" s="233"/>
      <c r="DB575" s="233"/>
      <c r="DC575" s="233"/>
      <c r="DD575" s="233"/>
      <c r="DE575" s="233"/>
      <c r="DF575" s="233"/>
      <c r="DG575" s="233"/>
      <c r="DH575" s="233"/>
      <c r="DI575" s="233"/>
      <c r="DJ575" s="233"/>
      <c r="DK575" s="233"/>
      <c r="DL575" s="233"/>
      <c r="DM575" s="233"/>
      <c r="DN575" s="233"/>
      <c r="DO575" s="233"/>
      <c r="DP575" s="233"/>
      <c r="DQ575" s="233"/>
      <c r="DR575" s="233"/>
      <c r="DS575" s="233"/>
      <c r="DT575" s="233"/>
      <c r="DU575" s="233"/>
      <c r="DV575" s="233"/>
      <c r="DW575" s="233"/>
      <c r="DX575" s="233"/>
      <c r="DY575" s="233"/>
      <c r="DZ575" s="233"/>
      <c r="EA575" s="233"/>
      <c r="EB575" s="233"/>
      <c r="EC575" s="233"/>
      <c r="ED575" s="233"/>
      <c r="EE575" s="233"/>
      <c r="EF575" s="233"/>
      <c r="EG575" s="233"/>
      <c r="EH575" s="233"/>
      <c r="EI575" s="233"/>
      <c r="EJ575" s="233"/>
      <c r="EK575" s="233"/>
      <c r="EL575" s="233"/>
      <c r="EM575" s="233"/>
      <c r="EN575" s="233"/>
      <c r="EO575" s="233"/>
      <c r="EP575" s="233"/>
    </row>
    <row r="576" spans="1:146" ht="14.25" x14ac:dyDescent="0.2">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33"/>
      <c r="CI576" s="233"/>
      <c r="CJ576" s="233"/>
      <c r="CK576" s="233"/>
      <c r="CL576" s="233"/>
      <c r="CM576" s="233"/>
      <c r="CN576" s="233"/>
      <c r="CO576" s="233"/>
      <c r="CP576" s="233"/>
      <c r="CQ576" s="233"/>
      <c r="CR576" s="233"/>
      <c r="CS576" s="233"/>
      <c r="CT576" s="233"/>
      <c r="CU576" s="233"/>
      <c r="CV576" s="233"/>
      <c r="CW576" s="233"/>
      <c r="CX576" s="233"/>
      <c r="CY576" s="233"/>
      <c r="CZ576" s="233"/>
      <c r="DA576" s="233"/>
      <c r="DB576" s="233"/>
      <c r="DC576" s="233"/>
      <c r="DD576" s="233"/>
      <c r="DE576" s="233"/>
      <c r="DF576" s="233"/>
      <c r="DG576" s="233"/>
      <c r="DH576" s="233"/>
      <c r="DI576" s="233"/>
      <c r="DJ576" s="233"/>
      <c r="DK576" s="233"/>
      <c r="DL576" s="233"/>
      <c r="DM576" s="233"/>
      <c r="DN576" s="233"/>
      <c r="DO576" s="233"/>
      <c r="DP576" s="233"/>
      <c r="DQ576" s="233"/>
      <c r="DR576" s="233"/>
      <c r="DS576" s="233"/>
      <c r="DT576" s="233"/>
      <c r="DU576" s="233"/>
      <c r="DV576" s="233"/>
      <c r="DW576" s="233"/>
      <c r="DX576" s="233"/>
      <c r="DY576" s="233"/>
      <c r="DZ576" s="233"/>
      <c r="EA576" s="233"/>
      <c r="EB576" s="233"/>
      <c r="EC576" s="233"/>
      <c r="ED576" s="233"/>
      <c r="EE576" s="233"/>
      <c r="EF576" s="233"/>
      <c r="EG576" s="233"/>
      <c r="EH576" s="233"/>
      <c r="EI576" s="233"/>
      <c r="EJ576" s="233"/>
      <c r="EK576" s="233"/>
      <c r="EL576" s="233"/>
      <c r="EM576" s="233"/>
      <c r="EN576" s="233"/>
      <c r="EO576" s="233"/>
      <c r="EP576" s="233"/>
    </row>
    <row r="577" spans="1:146" ht="14.25" x14ac:dyDescent="0.2">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33"/>
      <c r="CI577" s="233"/>
      <c r="CJ577" s="233"/>
      <c r="CK577" s="233"/>
      <c r="CL577" s="233"/>
      <c r="CM577" s="233"/>
      <c r="CN577" s="233"/>
      <c r="CO577" s="233"/>
      <c r="CP577" s="233"/>
      <c r="CQ577" s="233"/>
      <c r="CR577" s="233"/>
      <c r="CS577" s="233"/>
      <c r="CT577" s="233"/>
      <c r="CU577" s="233"/>
      <c r="CV577" s="233"/>
      <c r="CW577" s="233"/>
      <c r="CX577" s="233"/>
      <c r="CY577" s="233"/>
      <c r="CZ577" s="233"/>
      <c r="DA577" s="233"/>
      <c r="DB577" s="233"/>
      <c r="DC577" s="233"/>
      <c r="DD577" s="233"/>
      <c r="DE577" s="233"/>
      <c r="DF577" s="233"/>
      <c r="DG577" s="233"/>
      <c r="DH577" s="233"/>
      <c r="DI577" s="233"/>
      <c r="DJ577" s="233"/>
      <c r="DK577" s="233"/>
      <c r="DL577" s="233"/>
      <c r="DM577" s="233"/>
      <c r="DN577" s="233"/>
      <c r="DO577" s="233"/>
      <c r="DP577" s="233"/>
      <c r="DQ577" s="233"/>
      <c r="DR577" s="233"/>
      <c r="DS577" s="233"/>
      <c r="DT577" s="233"/>
      <c r="DU577" s="233"/>
      <c r="DV577" s="233"/>
      <c r="DW577" s="233"/>
      <c r="DX577" s="233"/>
      <c r="DY577" s="233"/>
      <c r="DZ577" s="233"/>
      <c r="EA577" s="233"/>
      <c r="EB577" s="233"/>
      <c r="EC577" s="233"/>
      <c r="ED577" s="233"/>
      <c r="EE577" s="233"/>
      <c r="EF577" s="233"/>
      <c r="EG577" s="233"/>
      <c r="EH577" s="233"/>
      <c r="EI577" s="233"/>
      <c r="EJ577" s="233"/>
      <c r="EK577" s="233"/>
      <c r="EL577" s="233"/>
      <c r="EM577" s="233"/>
      <c r="EN577" s="233"/>
      <c r="EO577" s="233"/>
      <c r="EP577" s="233"/>
    </row>
    <row r="578" spans="1:146" ht="14.25" x14ac:dyDescent="0.2">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33"/>
      <c r="CI578" s="233"/>
      <c r="CJ578" s="233"/>
      <c r="CK578" s="233"/>
      <c r="CL578" s="233"/>
      <c r="CM578" s="233"/>
      <c r="CN578" s="233"/>
      <c r="CO578" s="233"/>
      <c r="CP578" s="233"/>
      <c r="CQ578" s="233"/>
      <c r="CR578" s="233"/>
      <c r="CS578" s="233"/>
      <c r="CT578" s="233"/>
      <c r="CU578" s="233"/>
      <c r="CV578" s="233"/>
      <c r="CW578" s="233"/>
      <c r="CX578" s="233"/>
      <c r="CY578" s="233"/>
      <c r="CZ578" s="233"/>
      <c r="DA578" s="233"/>
      <c r="DB578" s="233"/>
      <c r="DC578" s="233"/>
      <c r="DD578" s="233"/>
      <c r="DE578" s="233"/>
      <c r="DF578" s="233"/>
      <c r="DG578" s="233"/>
      <c r="DH578" s="233"/>
      <c r="DI578" s="233"/>
      <c r="DJ578" s="233"/>
      <c r="DK578" s="233"/>
      <c r="DL578" s="233"/>
      <c r="DM578" s="233"/>
      <c r="DN578" s="233"/>
      <c r="DO578" s="233"/>
      <c r="DP578" s="233"/>
      <c r="DQ578" s="233"/>
      <c r="DR578" s="233"/>
      <c r="DS578" s="233"/>
      <c r="DT578" s="233"/>
      <c r="DU578" s="233"/>
      <c r="DV578" s="233"/>
      <c r="DW578" s="233"/>
      <c r="DX578" s="233"/>
      <c r="DY578" s="233"/>
      <c r="DZ578" s="233"/>
      <c r="EA578" s="233"/>
      <c r="EB578" s="233"/>
      <c r="EC578" s="233"/>
      <c r="ED578" s="233"/>
      <c r="EE578" s="233"/>
      <c r="EF578" s="233"/>
      <c r="EG578" s="233"/>
      <c r="EH578" s="233"/>
      <c r="EI578" s="233"/>
      <c r="EJ578" s="233"/>
      <c r="EK578" s="233"/>
      <c r="EL578" s="233"/>
      <c r="EM578" s="233"/>
      <c r="EN578" s="233"/>
      <c r="EO578" s="233"/>
      <c r="EP578" s="233"/>
    </row>
    <row r="579" spans="1:146" ht="14.25" x14ac:dyDescent="0.2">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c r="BJ579" s="233"/>
      <c r="BK579" s="233"/>
      <c r="BL579" s="233"/>
      <c r="BM579" s="233"/>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33"/>
      <c r="CI579" s="233"/>
      <c r="CJ579" s="233"/>
      <c r="CK579" s="233"/>
      <c r="CL579" s="233"/>
      <c r="CM579" s="233"/>
      <c r="CN579" s="233"/>
      <c r="CO579" s="233"/>
      <c r="CP579" s="233"/>
      <c r="CQ579" s="233"/>
      <c r="CR579" s="233"/>
      <c r="CS579" s="233"/>
      <c r="CT579" s="233"/>
      <c r="CU579" s="233"/>
      <c r="CV579" s="233"/>
      <c r="CW579" s="233"/>
      <c r="CX579" s="233"/>
      <c r="CY579" s="233"/>
      <c r="CZ579" s="233"/>
      <c r="DA579" s="233"/>
      <c r="DB579" s="233"/>
      <c r="DC579" s="233"/>
      <c r="DD579" s="233"/>
      <c r="DE579" s="233"/>
      <c r="DF579" s="233"/>
      <c r="DG579" s="233"/>
      <c r="DH579" s="233"/>
      <c r="DI579" s="233"/>
      <c r="DJ579" s="233"/>
      <c r="DK579" s="233"/>
      <c r="DL579" s="233"/>
      <c r="DM579" s="233"/>
      <c r="DN579" s="233"/>
      <c r="DO579" s="233"/>
      <c r="DP579" s="233"/>
      <c r="DQ579" s="233"/>
      <c r="DR579" s="233"/>
      <c r="DS579" s="233"/>
      <c r="DT579" s="233"/>
      <c r="DU579" s="233"/>
      <c r="DV579" s="233"/>
      <c r="DW579" s="233"/>
      <c r="DX579" s="233"/>
      <c r="DY579" s="233"/>
      <c r="DZ579" s="233"/>
      <c r="EA579" s="233"/>
      <c r="EB579" s="233"/>
      <c r="EC579" s="233"/>
      <c r="ED579" s="233"/>
      <c r="EE579" s="233"/>
      <c r="EF579" s="233"/>
      <c r="EG579" s="233"/>
      <c r="EH579" s="233"/>
      <c r="EI579" s="233"/>
      <c r="EJ579" s="233"/>
      <c r="EK579" s="233"/>
      <c r="EL579" s="233"/>
      <c r="EM579" s="233"/>
      <c r="EN579" s="233"/>
      <c r="EO579" s="233"/>
      <c r="EP579" s="233"/>
    </row>
    <row r="580" spans="1:146" ht="14.25" x14ac:dyDescent="0.2">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33"/>
      <c r="CI580" s="233"/>
      <c r="CJ580" s="233"/>
      <c r="CK580" s="233"/>
      <c r="CL580" s="233"/>
      <c r="CM580" s="233"/>
      <c r="CN580" s="233"/>
      <c r="CO580" s="233"/>
      <c r="CP580" s="233"/>
      <c r="CQ580" s="233"/>
      <c r="CR580" s="233"/>
      <c r="CS580" s="233"/>
      <c r="CT580" s="233"/>
      <c r="CU580" s="233"/>
      <c r="CV580" s="233"/>
      <c r="CW580" s="233"/>
      <c r="CX580" s="233"/>
      <c r="CY580" s="233"/>
      <c r="CZ580" s="233"/>
      <c r="DA580" s="233"/>
      <c r="DB580" s="233"/>
      <c r="DC580" s="233"/>
      <c r="DD580" s="233"/>
      <c r="DE580" s="233"/>
      <c r="DF580" s="233"/>
      <c r="DG580" s="233"/>
      <c r="DH580" s="233"/>
      <c r="DI580" s="233"/>
      <c r="DJ580" s="233"/>
      <c r="DK580" s="233"/>
      <c r="DL580" s="233"/>
      <c r="DM580" s="233"/>
      <c r="DN580" s="233"/>
      <c r="DO580" s="233"/>
      <c r="DP580" s="233"/>
      <c r="DQ580" s="233"/>
      <c r="DR580" s="233"/>
      <c r="DS580" s="233"/>
      <c r="DT580" s="233"/>
      <c r="DU580" s="233"/>
      <c r="DV580" s="233"/>
      <c r="DW580" s="233"/>
      <c r="DX580" s="233"/>
      <c r="DY580" s="233"/>
      <c r="DZ580" s="233"/>
      <c r="EA580" s="233"/>
      <c r="EB580" s="233"/>
      <c r="EC580" s="233"/>
      <c r="ED580" s="233"/>
      <c r="EE580" s="233"/>
      <c r="EF580" s="233"/>
      <c r="EG580" s="233"/>
      <c r="EH580" s="233"/>
      <c r="EI580" s="233"/>
      <c r="EJ580" s="233"/>
      <c r="EK580" s="233"/>
      <c r="EL580" s="233"/>
      <c r="EM580" s="233"/>
      <c r="EN580" s="233"/>
      <c r="EO580" s="233"/>
      <c r="EP580" s="233"/>
    </row>
    <row r="581" spans="1:146" ht="14.25" x14ac:dyDescent="0.2">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c r="BJ581" s="233"/>
      <c r="BK581" s="233"/>
      <c r="BL581" s="233"/>
      <c r="BM581" s="233"/>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33"/>
      <c r="CI581" s="233"/>
      <c r="CJ581" s="233"/>
      <c r="CK581" s="233"/>
      <c r="CL581" s="233"/>
      <c r="CM581" s="233"/>
      <c r="CN581" s="233"/>
      <c r="CO581" s="233"/>
      <c r="CP581" s="233"/>
      <c r="CQ581" s="233"/>
      <c r="CR581" s="233"/>
      <c r="CS581" s="233"/>
      <c r="CT581" s="233"/>
      <c r="CU581" s="233"/>
      <c r="CV581" s="233"/>
      <c r="CW581" s="233"/>
      <c r="CX581" s="233"/>
      <c r="CY581" s="233"/>
      <c r="CZ581" s="233"/>
      <c r="DA581" s="233"/>
      <c r="DB581" s="233"/>
      <c r="DC581" s="233"/>
      <c r="DD581" s="233"/>
      <c r="DE581" s="233"/>
      <c r="DF581" s="233"/>
      <c r="DG581" s="233"/>
      <c r="DH581" s="233"/>
      <c r="DI581" s="233"/>
      <c r="DJ581" s="233"/>
      <c r="DK581" s="233"/>
      <c r="DL581" s="233"/>
      <c r="DM581" s="233"/>
      <c r="DN581" s="233"/>
      <c r="DO581" s="233"/>
      <c r="DP581" s="233"/>
      <c r="DQ581" s="233"/>
      <c r="DR581" s="233"/>
      <c r="DS581" s="233"/>
      <c r="DT581" s="233"/>
      <c r="DU581" s="233"/>
      <c r="DV581" s="233"/>
      <c r="DW581" s="233"/>
      <c r="DX581" s="233"/>
      <c r="DY581" s="233"/>
      <c r="DZ581" s="233"/>
      <c r="EA581" s="233"/>
      <c r="EB581" s="233"/>
      <c r="EC581" s="233"/>
      <c r="ED581" s="233"/>
      <c r="EE581" s="233"/>
      <c r="EF581" s="233"/>
      <c r="EG581" s="233"/>
      <c r="EH581" s="233"/>
      <c r="EI581" s="233"/>
      <c r="EJ581" s="233"/>
      <c r="EK581" s="233"/>
      <c r="EL581" s="233"/>
      <c r="EM581" s="233"/>
      <c r="EN581" s="233"/>
      <c r="EO581" s="233"/>
      <c r="EP581" s="233"/>
    </row>
    <row r="582" spans="1:146" ht="14.25" x14ac:dyDescent="0.2">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c r="BJ582" s="233"/>
      <c r="BK582" s="233"/>
      <c r="BL582" s="233"/>
      <c r="BM582" s="233"/>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33"/>
      <c r="CI582" s="233"/>
      <c r="CJ582" s="233"/>
      <c r="CK582" s="233"/>
      <c r="CL582" s="233"/>
      <c r="CM582" s="233"/>
      <c r="CN582" s="233"/>
      <c r="CO582" s="233"/>
      <c r="CP582" s="233"/>
      <c r="CQ582" s="233"/>
      <c r="CR582" s="233"/>
      <c r="CS582" s="233"/>
      <c r="CT582" s="233"/>
      <c r="CU582" s="233"/>
      <c r="CV582" s="233"/>
      <c r="CW582" s="233"/>
      <c r="CX582" s="233"/>
      <c r="CY582" s="233"/>
      <c r="CZ582" s="233"/>
      <c r="DA582" s="233"/>
      <c r="DB582" s="233"/>
      <c r="DC582" s="233"/>
      <c r="DD582" s="233"/>
      <c r="DE582" s="233"/>
      <c r="DF582" s="233"/>
      <c r="DG582" s="233"/>
      <c r="DH582" s="233"/>
      <c r="DI582" s="233"/>
      <c r="DJ582" s="233"/>
      <c r="DK582" s="233"/>
      <c r="DL582" s="233"/>
      <c r="DM582" s="233"/>
      <c r="DN582" s="233"/>
      <c r="DO582" s="233"/>
      <c r="DP582" s="233"/>
      <c r="DQ582" s="233"/>
      <c r="DR582" s="233"/>
      <c r="DS582" s="233"/>
      <c r="DT582" s="233"/>
      <c r="DU582" s="233"/>
      <c r="DV582" s="233"/>
      <c r="DW582" s="233"/>
      <c r="DX582" s="233"/>
      <c r="DY582" s="233"/>
      <c r="DZ582" s="233"/>
      <c r="EA582" s="233"/>
      <c r="EB582" s="233"/>
      <c r="EC582" s="233"/>
      <c r="ED582" s="233"/>
      <c r="EE582" s="233"/>
      <c r="EF582" s="233"/>
      <c r="EG582" s="233"/>
      <c r="EH582" s="233"/>
      <c r="EI582" s="233"/>
      <c r="EJ582" s="233"/>
      <c r="EK582" s="233"/>
      <c r="EL582" s="233"/>
      <c r="EM582" s="233"/>
      <c r="EN582" s="233"/>
      <c r="EO582" s="233"/>
      <c r="EP582" s="233"/>
    </row>
    <row r="583" spans="1:146" ht="14.25" x14ac:dyDescent="0.2">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33"/>
      <c r="CI583" s="233"/>
      <c r="CJ583" s="233"/>
      <c r="CK583" s="233"/>
      <c r="CL583" s="233"/>
      <c r="CM583" s="233"/>
      <c r="CN583" s="233"/>
      <c r="CO583" s="233"/>
      <c r="CP583" s="233"/>
      <c r="CQ583" s="233"/>
      <c r="CR583" s="233"/>
      <c r="CS583" s="233"/>
      <c r="CT583" s="233"/>
      <c r="CU583" s="233"/>
      <c r="CV583" s="233"/>
      <c r="CW583" s="233"/>
      <c r="CX583" s="233"/>
      <c r="CY583" s="233"/>
      <c r="CZ583" s="233"/>
      <c r="DA583" s="233"/>
      <c r="DB583" s="233"/>
      <c r="DC583" s="233"/>
      <c r="DD583" s="233"/>
      <c r="DE583" s="233"/>
      <c r="DF583" s="233"/>
      <c r="DG583" s="233"/>
      <c r="DH583" s="233"/>
      <c r="DI583" s="233"/>
      <c r="DJ583" s="233"/>
      <c r="DK583" s="233"/>
      <c r="DL583" s="233"/>
      <c r="DM583" s="233"/>
      <c r="DN583" s="233"/>
      <c r="DO583" s="233"/>
      <c r="DP583" s="233"/>
      <c r="DQ583" s="233"/>
      <c r="DR583" s="233"/>
      <c r="DS583" s="233"/>
      <c r="DT583" s="233"/>
      <c r="DU583" s="233"/>
      <c r="DV583" s="233"/>
      <c r="DW583" s="233"/>
      <c r="DX583" s="233"/>
      <c r="DY583" s="233"/>
      <c r="DZ583" s="233"/>
      <c r="EA583" s="233"/>
      <c r="EB583" s="233"/>
      <c r="EC583" s="233"/>
      <c r="ED583" s="233"/>
      <c r="EE583" s="233"/>
      <c r="EF583" s="233"/>
      <c r="EG583" s="233"/>
      <c r="EH583" s="233"/>
      <c r="EI583" s="233"/>
      <c r="EJ583" s="233"/>
      <c r="EK583" s="233"/>
      <c r="EL583" s="233"/>
      <c r="EM583" s="233"/>
      <c r="EN583" s="233"/>
      <c r="EO583" s="233"/>
      <c r="EP583" s="233"/>
    </row>
    <row r="584" spans="1:146" ht="14.25" x14ac:dyDescent="0.2">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33"/>
      <c r="CI584" s="233"/>
      <c r="CJ584" s="233"/>
      <c r="CK584" s="233"/>
      <c r="CL584" s="233"/>
      <c r="CM584" s="233"/>
      <c r="CN584" s="233"/>
      <c r="CO584" s="233"/>
      <c r="CP584" s="233"/>
      <c r="CQ584" s="233"/>
      <c r="CR584" s="233"/>
      <c r="CS584" s="233"/>
      <c r="CT584" s="233"/>
      <c r="CU584" s="233"/>
      <c r="CV584" s="233"/>
      <c r="CW584" s="233"/>
      <c r="CX584" s="233"/>
      <c r="CY584" s="233"/>
      <c r="CZ584" s="233"/>
      <c r="DA584" s="233"/>
      <c r="DB584" s="233"/>
      <c r="DC584" s="233"/>
      <c r="DD584" s="233"/>
      <c r="DE584" s="233"/>
      <c r="DF584" s="233"/>
      <c r="DG584" s="233"/>
      <c r="DH584" s="233"/>
      <c r="DI584" s="233"/>
      <c r="DJ584" s="233"/>
      <c r="DK584" s="233"/>
      <c r="DL584" s="233"/>
      <c r="DM584" s="233"/>
      <c r="DN584" s="233"/>
      <c r="DO584" s="233"/>
      <c r="DP584" s="233"/>
      <c r="DQ584" s="233"/>
      <c r="DR584" s="233"/>
      <c r="DS584" s="233"/>
      <c r="DT584" s="233"/>
      <c r="DU584" s="233"/>
      <c r="DV584" s="233"/>
      <c r="DW584" s="233"/>
      <c r="DX584" s="233"/>
      <c r="DY584" s="233"/>
      <c r="DZ584" s="233"/>
      <c r="EA584" s="233"/>
      <c r="EB584" s="233"/>
      <c r="EC584" s="233"/>
      <c r="ED584" s="233"/>
      <c r="EE584" s="233"/>
      <c r="EF584" s="233"/>
      <c r="EG584" s="233"/>
      <c r="EH584" s="233"/>
      <c r="EI584" s="233"/>
      <c r="EJ584" s="233"/>
      <c r="EK584" s="233"/>
      <c r="EL584" s="233"/>
      <c r="EM584" s="233"/>
      <c r="EN584" s="233"/>
      <c r="EO584" s="233"/>
      <c r="EP584" s="233"/>
    </row>
    <row r="585" spans="1:146" ht="14.25" x14ac:dyDescent="0.2">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33"/>
      <c r="CI585" s="233"/>
      <c r="CJ585" s="233"/>
      <c r="CK585" s="233"/>
      <c r="CL585" s="233"/>
      <c r="CM585" s="233"/>
      <c r="CN585" s="233"/>
      <c r="CO585" s="233"/>
      <c r="CP585" s="233"/>
      <c r="CQ585" s="233"/>
      <c r="CR585" s="233"/>
      <c r="CS585" s="233"/>
      <c r="CT585" s="233"/>
      <c r="CU585" s="233"/>
      <c r="CV585" s="233"/>
      <c r="CW585" s="233"/>
      <c r="CX585" s="233"/>
      <c r="CY585" s="233"/>
      <c r="CZ585" s="233"/>
      <c r="DA585" s="233"/>
      <c r="DB585" s="233"/>
      <c r="DC585" s="233"/>
      <c r="DD585" s="233"/>
      <c r="DE585" s="233"/>
      <c r="DF585" s="233"/>
      <c r="DG585" s="233"/>
      <c r="DH585" s="233"/>
      <c r="DI585" s="233"/>
      <c r="DJ585" s="233"/>
      <c r="DK585" s="233"/>
      <c r="DL585" s="233"/>
      <c r="DM585" s="233"/>
      <c r="DN585" s="233"/>
      <c r="DO585" s="233"/>
      <c r="DP585" s="233"/>
      <c r="DQ585" s="233"/>
      <c r="DR585" s="233"/>
      <c r="DS585" s="233"/>
      <c r="DT585" s="233"/>
      <c r="DU585" s="233"/>
      <c r="DV585" s="233"/>
      <c r="DW585" s="233"/>
      <c r="DX585" s="233"/>
      <c r="DY585" s="233"/>
      <c r="DZ585" s="233"/>
      <c r="EA585" s="233"/>
      <c r="EB585" s="233"/>
      <c r="EC585" s="233"/>
      <c r="ED585" s="233"/>
      <c r="EE585" s="233"/>
      <c r="EF585" s="233"/>
      <c r="EG585" s="233"/>
      <c r="EH585" s="233"/>
      <c r="EI585" s="233"/>
      <c r="EJ585" s="233"/>
      <c r="EK585" s="233"/>
      <c r="EL585" s="233"/>
      <c r="EM585" s="233"/>
      <c r="EN585" s="233"/>
      <c r="EO585" s="233"/>
      <c r="EP585" s="233"/>
    </row>
    <row r="586" spans="1:146" ht="14.25" x14ac:dyDescent="0.2">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33"/>
      <c r="CI586" s="233"/>
      <c r="CJ586" s="233"/>
      <c r="CK586" s="233"/>
      <c r="CL586" s="233"/>
      <c r="CM586" s="233"/>
      <c r="CN586" s="233"/>
      <c r="CO586" s="233"/>
      <c r="CP586" s="233"/>
      <c r="CQ586" s="233"/>
      <c r="CR586" s="233"/>
      <c r="CS586" s="233"/>
      <c r="CT586" s="233"/>
      <c r="CU586" s="233"/>
      <c r="CV586" s="233"/>
      <c r="CW586" s="233"/>
      <c r="CX586" s="233"/>
      <c r="CY586" s="233"/>
      <c r="CZ586" s="233"/>
      <c r="DA586" s="233"/>
      <c r="DB586" s="233"/>
      <c r="DC586" s="233"/>
      <c r="DD586" s="233"/>
      <c r="DE586" s="233"/>
      <c r="DF586" s="233"/>
      <c r="DG586" s="233"/>
      <c r="DH586" s="233"/>
      <c r="DI586" s="233"/>
      <c r="DJ586" s="233"/>
      <c r="DK586" s="233"/>
      <c r="DL586" s="233"/>
      <c r="DM586" s="233"/>
      <c r="DN586" s="233"/>
      <c r="DO586" s="233"/>
      <c r="DP586" s="233"/>
      <c r="DQ586" s="233"/>
      <c r="DR586" s="233"/>
      <c r="DS586" s="233"/>
      <c r="DT586" s="233"/>
      <c r="DU586" s="233"/>
      <c r="DV586" s="233"/>
      <c r="DW586" s="233"/>
      <c r="DX586" s="233"/>
      <c r="DY586" s="233"/>
      <c r="DZ586" s="233"/>
      <c r="EA586" s="233"/>
      <c r="EB586" s="233"/>
      <c r="EC586" s="233"/>
      <c r="ED586" s="233"/>
      <c r="EE586" s="233"/>
      <c r="EF586" s="233"/>
      <c r="EG586" s="233"/>
      <c r="EH586" s="233"/>
      <c r="EI586" s="233"/>
      <c r="EJ586" s="233"/>
      <c r="EK586" s="233"/>
      <c r="EL586" s="233"/>
      <c r="EM586" s="233"/>
      <c r="EN586" s="233"/>
      <c r="EO586" s="233"/>
      <c r="EP586" s="233"/>
    </row>
    <row r="587" spans="1:146" ht="14.25" x14ac:dyDescent="0.2">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c r="BH587" s="233"/>
      <c r="BI587" s="233"/>
      <c r="BJ587" s="233"/>
      <c r="BK587" s="233"/>
      <c r="BL587" s="233"/>
      <c r="BM587" s="233"/>
      <c r="BN587" s="233"/>
      <c r="BO587" s="233"/>
      <c r="BP587" s="233"/>
      <c r="BQ587" s="233"/>
      <c r="BR587" s="233"/>
      <c r="BS587" s="233"/>
      <c r="BT587" s="233"/>
      <c r="BU587" s="233"/>
      <c r="BV587" s="233"/>
      <c r="BW587" s="233"/>
      <c r="BX587" s="233"/>
      <c r="BY587" s="233"/>
      <c r="BZ587" s="233"/>
      <c r="CA587" s="233"/>
      <c r="CB587" s="233"/>
      <c r="CC587" s="233"/>
      <c r="CD587" s="233"/>
      <c r="CE587" s="233"/>
      <c r="CF587" s="233"/>
      <c r="CG587" s="233"/>
      <c r="CH587" s="233"/>
      <c r="CI587" s="233"/>
      <c r="CJ587" s="233"/>
      <c r="CK587" s="233"/>
      <c r="CL587" s="233"/>
      <c r="CM587" s="233"/>
      <c r="CN587" s="233"/>
      <c r="CO587" s="233"/>
      <c r="CP587" s="233"/>
      <c r="CQ587" s="233"/>
      <c r="CR587" s="233"/>
      <c r="CS587" s="233"/>
      <c r="CT587" s="233"/>
      <c r="CU587" s="233"/>
      <c r="CV587" s="233"/>
      <c r="CW587" s="233"/>
      <c r="CX587" s="233"/>
      <c r="CY587" s="233"/>
      <c r="CZ587" s="233"/>
      <c r="DA587" s="233"/>
      <c r="DB587" s="233"/>
      <c r="DC587" s="233"/>
      <c r="DD587" s="233"/>
      <c r="DE587" s="233"/>
      <c r="DF587" s="233"/>
      <c r="DG587" s="233"/>
      <c r="DH587" s="233"/>
      <c r="DI587" s="233"/>
      <c r="DJ587" s="233"/>
      <c r="DK587" s="233"/>
      <c r="DL587" s="233"/>
      <c r="DM587" s="233"/>
      <c r="DN587" s="233"/>
      <c r="DO587" s="233"/>
      <c r="DP587" s="233"/>
      <c r="DQ587" s="233"/>
      <c r="DR587" s="233"/>
      <c r="DS587" s="233"/>
      <c r="DT587" s="233"/>
      <c r="DU587" s="233"/>
      <c r="DV587" s="233"/>
      <c r="DW587" s="233"/>
      <c r="DX587" s="233"/>
      <c r="DY587" s="233"/>
      <c r="DZ587" s="233"/>
      <c r="EA587" s="233"/>
      <c r="EB587" s="233"/>
      <c r="EC587" s="233"/>
      <c r="ED587" s="233"/>
      <c r="EE587" s="233"/>
      <c r="EF587" s="233"/>
      <c r="EG587" s="233"/>
      <c r="EH587" s="233"/>
      <c r="EI587" s="233"/>
      <c r="EJ587" s="233"/>
      <c r="EK587" s="233"/>
      <c r="EL587" s="233"/>
      <c r="EM587" s="233"/>
      <c r="EN587" s="233"/>
      <c r="EO587" s="233"/>
      <c r="EP587" s="233"/>
    </row>
    <row r="588" spans="1:146" ht="14.25" x14ac:dyDescent="0.2">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c r="BJ588" s="233"/>
      <c r="BK588" s="233"/>
      <c r="BL588" s="233"/>
      <c r="BM588" s="233"/>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33"/>
      <c r="CI588" s="233"/>
      <c r="CJ588" s="233"/>
      <c r="CK588" s="233"/>
      <c r="CL588" s="233"/>
      <c r="CM588" s="233"/>
      <c r="CN588" s="233"/>
      <c r="CO588" s="233"/>
      <c r="CP588" s="233"/>
      <c r="CQ588" s="233"/>
      <c r="CR588" s="233"/>
      <c r="CS588" s="233"/>
      <c r="CT588" s="233"/>
      <c r="CU588" s="233"/>
      <c r="CV588" s="233"/>
      <c r="CW588" s="233"/>
      <c r="CX588" s="233"/>
      <c r="CY588" s="233"/>
      <c r="CZ588" s="233"/>
      <c r="DA588" s="233"/>
      <c r="DB588" s="233"/>
      <c r="DC588" s="233"/>
      <c r="DD588" s="233"/>
      <c r="DE588" s="233"/>
      <c r="DF588" s="233"/>
      <c r="DG588" s="233"/>
      <c r="DH588" s="233"/>
      <c r="DI588" s="233"/>
      <c r="DJ588" s="233"/>
      <c r="DK588" s="233"/>
      <c r="DL588" s="233"/>
      <c r="DM588" s="233"/>
      <c r="DN588" s="233"/>
      <c r="DO588" s="233"/>
      <c r="DP588" s="233"/>
      <c r="DQ588" s="233"/>
      <c r="DR588" s="233"/>
      <c r="DS588" s="233"/>
      <c r="DT588" s="233"/>
      <c r="DU588" s="233"/>
      <c r="DV588" s="233"/>
      <c r="DW588" s="233"/>
      <c r="DX588" s="233"/>
      <c r="DY588" s="233"/>
      <c r="DZ588" s="233"/>
      <c r="EA588" s="233"/>
      <c r="EB588" s="233"/>
      <c r="EC588" s="233"/>
      <c r="ED588" s="233"/>
      <c r="EE588" s="233"/>
      <c r="EF588" s="233"/>
      <c r="EG588" s="233"/>
      <c r="EH588" s="233"/>
      <c r="EI588" s="233"/>
      <c r="EJ588" s="233"/>
      <c r="EK588" s="233"/>
      <c r="EL588" s="233"/>
      <c r="EM588" s="233"/>
      <c r="EN588" s="233"/>
      <c r="EO588" s="233"/>
      <c r="EP588" s="233"/>
    </row>
    <row r="589" spans="1:146" ht="14.25" x14ac:dyDescent="0.2">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33"/>
      <c r="CI589" s="233"/>
      <c r="CJ589" s="233"/>
      <c r="CK589" s="233"/>
      <c r="CL589" s="233"/>
      <c r="CM589" s="233"/>
      <c r="CN589" s="233"/>
      <c r="CO589" s="233"/>
      <c r="CP589" s="233"/>
      <c r="CQ589" s="233"/>
      <c r="CR589" s="233"/>
      <c r="CS589" s="233"/>
      <c r="CT589" s="233"/>
      <c r="CU589" s="233"/>
      <c r="CV589" s="233"/>
      <c r="CW589" s="233"/>
      <c r="CX589" s="233"/>
      <c r="CY589" s="233"/>
      <c r="CZ589" s="233"/>
      <c r="DA589" s="233"/>
      <c r="DB589" s="233"/>
      <c r="DC589" s="233"/>
      <c r="DD589" s="233"/>
      <c r="DE589" s="233"/>
      <c r="DF589" s="233"/>
      <c r="DG589" s="233"/>
      <c r="DH589" s="233"/>
      <c r="DI589" s="233"/>
      <c r="DJ589" s="233"/>
      <c r="DK589" s="233"/>
      <c r="DL589" s="233"/>
      <c r="DM589" s="233"/>
      <c r="DN589" s="233"/>
      <c r="DO589" s="233"/>
      <c r="DP589" s="233"/>
      <c r="DQ589" s="233"/>
      <c r="DR589" s="233"/>
      <c r="DS589" s="233"/>
      <c r="DT589" s="233"/>
      <c r="DU589" s="233"/>
      <c r="DV589" s="233"/>
      <c r="DW589" s="233"/>
      <c r="DX589" s="233"/>
      <c r="DY589" s="233"/>
      <c r="DZ589" s="233"/>
      <c r="EA589" s="233"/>
      <c r="EB589" s="233"/>
      <c r="EC589" s="233"/>
      <c r="ED589" s="233"/>
      <c r="EE589" s="233"/>
      <c r="EF589" s="233"/>
      <c r="EG589" s="233"/>
      <c r="EH589" s="233"/>
      <c r="EI589" s="233"/>
      <c r="EJ589" s="233"/>
      <c r="EK589" s="233"/>
      <c r="EL589" s="233"/>
      <c r="EM589" s="233"/>
      <c r="EN589" s="233"/>
      <c r="EO589" s="233"/>
      <c r="EP589" s="233"/>
    </row>
    <row r="590" spans="1:146" ht="14.25" x14ac:dyDescent="0.2">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233"/>
      <c r="BE590" s="233"/>
      <c r="BF590" s="233"/>
      <c r="BG590" s="233"/>
      <c r="BH590" s="233"/>
      <c r="BI590" s="233"/>
      <c r="BJ590" s="233"/>
      <c r="BK590" s="233"/>
      <c r="BL590" s="233"/>
      <c r="BM590" s="233"/>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33"/>
      <c r="CI590" s="233"/>
      <c r="CJ590" s="233"/>
      <c r="CK590" s="233"/>
      <c r="CL590" s="233"/>
      <c r="CM590" s="233"/>
      <c r="CN590" s="233"/>
      <c r="CO590" s="233"/>
      <c r="CP590" s="233"/>
      <c r="CQ590" s="233"/>
      <c r="CR590" s="233"/>
      <c r="CS590" s="233"/>
      <c r="CT590" s="233"/>
      <c r="CU590" s="233"/>
      <c r="CV590" s="233"/>
      <c r="CW590" s="233"/>
      <c r="CX590" s="233"/>
      <c r="CY590" s="233"/>
      <c r="CZ590" s="233"/>
      <c r="DA590" s="233"/>
      <c r="DB590" s="233"/>
      <c r="DC590" s="233"/>
      <c r="DD590" s="233"/>
      <c r="DE590" s="233"/>
      <c r="DF590" s="233"/>
      <c r="DG590" s="233"/>
      <c r="DH590" s="233"/>
      <c r="DI590" s="233"/>
      <c r="DJ590" s="233"/>
      <c r="DK590" s="233"/>
      <c r="DL590" s="233"/>
      <c r="DM590" s="233"/>
      <c r="DN590" s="233"/>
      <c r="DO590" s="233"/>
      <c r="DP590" s="233"/>
      <c r="DQ590" s="233"/>
      <c r="DR590" s="233"/>
      <c r="DS590" s="233"/>
      <c r="DT590" s="233"/>
      <c r="DU590" s="233"/>
      <c r="DV590" s="233"/>
      <c r="DW590" s="233"/>
      <c r="DX590" s="233"/>
      <c r="DY590" s="233"/>
      <c r="DZ590" s="233"/>
      <c r="EA590" s="233"/>
      <c r="EB590" s="233"/>
      <c r="EC590" s="233"/>
      <c r="ED590" s="233"/>
      <c r="EE590" s="233"/>
      <c r="EF590" s="233"/>
      <c r="EG590" s="233"/>
      <c r="EH590" s="233"/>
      <c r="EI590" s="233"/>
      <c r="EJ590" s="233"/>
      <c r="EK590" s="233"/>
      <c r="EL590" s="233"/>
      <c r="EM590" s="233"/>
      <c r="EN590" s="233"/>
      <c r="EO590" s="233"/>
      <c r="EP590" s="233"/>
    </row>
    <row r="591" spans="1:146" ht="14.25" x14ac:dyDescent="0.2">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233"/>
      <c r="BE591" s="233"/>
      <c r="BF591" s="233"/>
      <c r="BG591" s="233"/>
      <c r="BH591" s="233"/>
      <c r="BI591" s="233"/>
      <c r="BJ591" s="233"/>
      <c r="BK591" s="233"/>
      <c r="BL591" s="233"/>
      <c r="BM591" s="233"/>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33"/>
      <c r="CI591" s="233"/>
      <c r="CJ591" s="233"/>
      <c r="CK591" s="233"/>
      <c r="CL591" s="233"/>
      <c r="CM591" s="233"/>
      <c r="CN591" s="233"/>
      <c r="CO591" s="233"/>
      <c r="CP591" s="233"/>
      <c r="CQ591" s="233"/>
      <c r="CR591" s="233"/>
      <c r="CS591" s="233"/>
      <c r="CT591" s="233"/>
      <c r="CU591" s="233"/>
      <c r="CV591" s="233"/>
      <c r="CW591" s="233"/>
      <c r="CX591" s="233"/>
      <c r="CY591" s="233"/>
      <c r="CZ591" s="233"/>
      <c r="DA591" s="233"/>
      <c r="DB591" s="233"/>
      <c r="DC591" s="233"/>
      <c r="DD591" s="233"/>
      <c r="DE591" s="233"/>
      <c r="DF591" s="233"/>
      <c r="DG591" s="233"/>
      <c r="DH591" s="233"/>
      <c r="DI591" s="233"/>
      <c r="DJ591" s="233"/>
      <c r="DK591" s="233"/>
      <c r="DL591" s="233"/>
      <c r="DM591" s="233"/>
      <c r="DN591" s="233"/>
      <c r="DO591" s="233"/>
      <c r="DP591" s="233"/>
      <c r="DQ591" s="233"/>
      <c r="DR591" s="233"/>
      <c r="DS591" s="233"/>
      <c r="DT591" s="233"/>
      <c r="DU591" s="233"/>
      <c r="DV591" s="233"/>
      <c r="DW591" s="233"/>
      <c r="DX591" s="233"/>
      <c r="DY591" s="233"/>
      <c r="DZ591" s="233"/>
      <c r="EA591" s="233"/>
      <c r="EB591" s="233"/>
      <c r="EC591" s="233"/>
      <c r="ED591" s="233"/>
      <c r="EE591" s="233"/>
      <c r="EF591" s="233"/>
      <c r="EG591" s="233"/>
      <c r="EH591" s="233"/>
      <c r="EI591" s="233"/>
      <c r="EJ591" s="233"/>
      <c r="EK591" s="233"/>
      <c r="EL591" s="233"/>
      <c r="EM591" s="233"/>
      <c r="EN591" s="233"/>
      <c r="EO591" s="233"/>
      <c r="EP591" s="233"/>
    </row>
    <row r="592" spans="1:146" ht="14.25" x14ac:dyDescent="0.2">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233"/>
      <c r="CD592" s="233"/>
      <c r="CE592" s="233"/>
      <c r="CF592" s="233"/>
      <c r="CG592" s="233"/>
      <c r="CH592" s="233"/>
      <c r="CI592" s="233"/>
      <c r="CJ592" s="233"/>
      <c r="CK592" s="233"/>
      <c r="CL592" s="233"/>
      <c r="CM592" s="233"/>
      <c r="CN592" s="233"/>
      <c r="CO592" s="233"/>
      <c r="CP592" s="233"/>
      <c r="CQ592" s="233"/>
      <c r="CR592" s="233"/>
      <c r="CS592" s="233"/>
      <c r="CT592" s="233"/>
      <c r="CU592" s="233"/>
      <c r="CV592" s="233"/>
      <c r="CW592" s="233"/>
      <c r="CX592" s="233"/>
      <c r="CY592" s="233"/>
      <c r="CZ592" s="233"/>
      <c r="DA592" s="233"/>
      <c r="DB592" s="233"/>
      <c r="DC592" s="233"/>
      <c r="DD592" s="233"/>
      <c r="DE592" s="233"/>
      <c r="DF592" s="233"/>
      <c r="DG592" s="233"/>
      <c r="DH592" s="233"/>
      <c r="DI592" s="233"/>
      <c r="DJ592" s="233"/>
      <c r="DK592" s="233"/>
      <c r="DL592" s="233"/>
      <c r="DM592" s="233"/>
      <c r="DN592" s="233"/>
      <c r="DO592" s="233"/>
      <c r="DP592" s="233"/>
      <c r="DQ592" s="233"/>
      <c r="DR592" s="233"/>
      <c r="DS592" s="233"/>
      <c r="DT592" s="233"/>
      <c r="DU592" s="233"/>
      <c r="DV592" s="233"/>
      <c r="DW592" s="233"/>
      <c r="DX592" s="233"/>
      <c r="DY592" s="233"/>
      <c r="DZ592" s="233"/>
      <c r="EA592" s="233"/>
      <c r="EB592" s="233"/>
      <c r="EC592" s="233"/>
      <c r="ED592" s="233"/>
      <c r="EE592" s="233"/>
      <c r="EF592" s="233"/>
      <c r="EG592" s="233"/>
      <c r="EH592" s="233"/>
      <c r="EI592" s="233"/>
      <c r="EJ592" s="233"/>
      <c r="EK592" s="233"/>
      <c r="EL592" s="233"/>
      <c r="EM592" s="233"/>
      <c r="EN592" s="233"/>
      <c r="EO592" s="233"/>
      <c r="EP592" s="233"/>
    </row>
    <row r="593" spans="1:146" ht="14.25" x14ac:dyDescent="0.2">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33"/>
      <c r="CI593" s="233"/>
      <c r="CJ593" s="233"/>
      <c r="CK593" s="233"/>
      <c r="CL593" s="233"/>
      <c r="CM593" s="233"/>
      <c r="CN593" s="233"/>
      <c r="CO593" s="233"/>
      <c r="CP593" s="233"/>
      <c r="CQ593" s="233"/>
      <c r="CR593" s="233"/>
      <c r="CS593" s="233"/>
      <c r="CT593" s="233"/>
      <c r="CU593" s="233"/>
      <c r="CV593" s="233"/>
      <c r="CW593" s="233"/>
      <c r="CX593" s="233"/>
      <c r="CY593" s="233"/>
      <c r="CZ593" s="233"/>
      <c r="DA593" s="233"/>
      <c r="DB593" s="233"/>
      <c r="DC593" s="233"/>
      <c r="DD593" s="233"/>
      <c r="DE593" s="233"/>
      <c r="DF593" s="233"/>
      <c r="DG593" s="233"/>
      <c r="DH593" s="233"/>
      <c r="DI593" s="233"/>
      <c r="DJ593" s="233"/>
      <c r="DK593" s="233"/>
      <c r="DL593" s="233"/>
      <c r="DM593" s="233"/>
      <c r="DN593" s="233"/>
      <c r="DO593" s="233"/>
      <c r="DP593" s="233"/>
      <c r="DQ593" s="233"/>
      <c r="DR593" s="233"/>
      <c r="DS593" s="233"/>
      <c r="DT593" s="233"/>
      <c r="DU593" s="233"/>
      <c r="DV593" s="233"/>
      <c r="DW593" s="233"/>
      <c r="DX593" s="233"/>
      <c r="DY593" s="233"/>
      <c r="DZ593" s="233"/>
      <c r="EA593" s="233"/>
      <c r="EB593" s="233"/>
      <c r="EC593" s="233"/>
      <c r="ED593" s="233"/>
      <c r="EE593" s="233"/>
      <c r="EF593" s="233"/>
      <c r="EG593" s="233"/>
      <c r="EH593" s="233"/>
      <c r="EI593" s="233"/>
      <c r="EJ593" s="233"/>
      <c r="EK593" s="233"/>
      <c r="EL593" s="233"/>
      <c r="EM593" s="233"/>
      <c r="EN593" s="233"/>
      <c r="EO593" s="233"/>
      <c r="EP593" s="233"/>
    </row>
    <row r="594" spans="1:146" ht="14.25" x14ac:dyDescent="0.2">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33"/>
      <c r="CI594" s="233"/>
      <c r="CJ594" s="233"/>
      <c r="CK594" s="233"/>
      <c r="CL594" s="233"/>
      <c r="CM594" s="233"/>
      <c r="CN594" s="233"/>
      <c r="CO594" s="233"/>
      <c r="CP594" s="233"/>
      <c r="CQ594" s="233"/>
      <c r="CR594" s="233"/>
      <c r="CS594" s="233"/>
      <c r="CT594" s="233"/>
      <c r="CU594" s="233"/>
      <c r="CV594" s="233"/>
      <c r="CW594" s="233"/>
      <c r="CX594" s="233"/>
      <c r="CY594" s="233"/>
      <c r="CZ594" s="233"/>
      <c r="DA594" s="233"/>
      <c r="DB594" s="233"/>
      <c r="DC594" s="233"/>
      <c r="DD594" s="233"/>
      <c r="DE594" s="233"/>
      <c r="DF594" s="233"/>
      <c r="DG594" s="233"/>
      <c r="DH594" s="233"/>
      <c r="DI594" s="233"/>
      <c r="DJ594" s="233"/>
      <c r="DK594" s="233"/>
      <c r="DL594" s="233"/>
      <c r="DM594" s="233"/>
      <c r="DN594" s="233"/>
      <c r="DO594" s="233"/>
      <c r="DP594" s="233"/>
      <c r="DQ594" s="233"/>
      <c r="DR594" s="233"/>
      <c r="DS594" s="233"/>
      <c r="DT594" s="233"/>
      <c r="DU594" s="233"/>
      <c r="DV594" s="233"/>
      <c r="DW594" s="233"/>
      <c r="DX594" s="233"/>
      <c r="DY594" s="233"/>
      <c r="DZ594" s="233"/>
      <c r="EA594" s="233"/>
      <c r="EB594" s="233"/>
      <c r="EC594" s="233"/>
      <c r="ED594" s="233"/>
      <c r="EE594" s="233"/>
      <c r="EF594" s="233"/>
      <c r="EG594" s="233"/>
      <c r="EH594" s="233"/>
      <c r="EI594" s="233"/>
      <c r="EJ594" s="233"/>
      <c r="EK594" s="233"/>
      <c r="EL594" s="233"/>
      <c r="EM594" s="233"/>
      <c r="EN594" s="233"/>
      <c r="EO594" s="233"/>
      <c r="EP594" s="233"/>
    </row>
    <row r="595" spans="1:146" ht="14.25" x14ac:dyDescent="0.2">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233"/>
      <c r="BE595" s="233"/>
      <c r="BF595" s="233"/>
      <c r="BG595" s="233"/>
      <c r="BH595" s="233"/>
      <c r="BI595" s="233"/>
      <c r="BJ595" s="233"/>
      <c r="BK595" s="233"/>
      <c r="BL595" s="233"/>
      <c r="BM595" s="233"/>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33"/>
      <c r="CI595" s="233"/>
      <c r="CJ595" s="233"/>
      <c r="CK595" s="233"/>
      <c r="CL595" s="233"/>
      <c r="CM595" s="233"/>
      <c r="CN595" s="233"/>
      <c r="CO595" s="233"/>
      <c r="CP595" s="233"/>
      <c r="CQ595" s="233"/>
      <c r="CR595" s="233"/>
      <c r="CS595" s="233"/>
      <c r="CT595" s="233"/>
      <c r="CU595" s="233"/>
      <c r="CV595" s="233"/>
      <c r="CW595" s="233"/>
      <c r="CX595" s="233"/>
      <c r="CY595" s="233"/>
      <c r="CZ595" s="233"/>
      <c r="DA595" s="233"/>
      <c r="DB595" s="233"/>
      <c r="DC595" s="233"/>
      <c r="DD595" s="233"/>
      <c r="DE595" s="233"/>
      <c r="DF595" s="233"/>
      <c r="DG595" s="233"/>
      <c r="DH595" s="233"/>
      <c r="DI595" s="233"/>
      <c r="DJ595" s="233"/>
      <c r="DK595" s="233"/>
      <c r="DL595" s="233"/>
      <c r="DM595" s="233"/>
      <c r="DN595" s="233"/>
      <c r="DO595" s="233"/>
      <c r="DP595" s="233"/>
      <c r="DQ595" s="233"/>
      <c r="DR595" s="233"/>
      <c r="DS595" s="233"/>
      <c r="DT595" s="233"/>
      <c r="DU595" s="233"/>
      <c r="DV595" s="233"/>
      <c r="DW595" s="233"/>
      <c r="DX595" s="233"/>
      <c r="DY595" s="233"/>
      <c r="DZ595" s="233"/>
      <c r="EA595" s="233"/>
      <c r="EB595" s="233"/>
      <c r="EC595" s="233"/>
      <c r="ED595" s="233"/>
      <c r="EE595" s="233"/>
      <c r="EF595" s="233"/>
      <c r="EG595" s="233"/>
      <c r="EH595" s="233"/>
      <c r="EI595" s="233"/>
      <c r="EJ595" s="233"/>
      <c r="EK595" s="233"/>
      <c r="EL595" s="233"/>
      <c r="EM595" s="233"/>
      <c r="EN595" s="233"/>
      <c r="EO595" s="233"/>
      <c r="EP595" s="233"/>
    </row>
    <row r="596" spans="1:146" ht="14.25" x14ac:dyDescent="0.2">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33"/>
      <c r="CI596" s="233"/>
      <c r="CJ596" s="233"/>
      <c r="CK596" s="233"/>
      <c r="CL596" s="233"/>
      <c r="CM596" s="233"/>
      <c r="CN596" s="233"/>
      <c r="CO596" s="233"/>
      <c r="CP596" s="233"/>
      <c r="CQ596" s="233"/>
      <c r="CR596" s="233"/>
      <c r="CS596" s="233"/>
      <c r="CT596" s="233"/>
      <c r="CU596" s="233"/>
      <c r="CV596" s="233"/>
      <c r="CW596" s="233"/>
      <c r="CX596" s="233"/>
      <c r="CY596" s="233"/>
      <c r="CZ596" s="233"/>
      <c r="DA596" s="233"/>
      <c r="DB596" s="233"/>
      <c r="DC596" s="233"/>
      <c r="DD596" s="233"/>
      <c r="DE596" s="233"/>
      <c r="DF596" s="233"/>
      <c r="DG596" s="233"/>
      <c r="DH596" s="233"/>
      <c r="DI596" s="233"/>
      <c r="DJ596" s="233"/>
      <c r="DK596" s="233"/>
      <c r="DL596" s="233"/>
      <c r="DM596" s="233"/>
      <c r="DN596" s="233"/>
      <c r="DO596" s="233"/>
      <c r="DP596" s="233"/>
      <c r="DQ596" s="233"/>
      <c r="DR596" s="233"/>
      <c r="DS596" s="233"/>
      <c r="DT596" s="233"/>
      <c r="DU596" s="233"/>
      <c r="DV596" s="233"/>
      <c r="DW596" s="233"/>
      <c r="DX596" s="233"/>
      <c r="DY596" s="233"/>
      <c r="DZ596" s="233"/>
      <c r="EA596" s="233"/>
      <c r="EB596" s="233"/>
      <c r="EC596" s="233"/>
      <c r="ED596" s="233"/>
      <c r="EE596" s="233"/>
      <c r="EF596" s="233"/>
      <c r="EG596" s="233"/>
      <c r="EH596" s="233"/>
      <c r="EI596" s="233"/>
      <c r="EJ596" s="233"/>
      <c r="EK596" s="233"/>
      <c r="EL596" s="233"/>
      <c r="EM596" s="233"/>
      <c r="EN596" s="233"/>
      <c r="EO596" s="233"/>
      <c r="EP596" s="233"/>
    </row>
    <row r="597" spans="1:146" ht="14.25" x14ac:dyDescent="0.2">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33"/>
      <c r="CI597" s="233"/>
      <c r="CJ597" s="233"/>
      <c r="CK597" s="233"/>
      <c r="CL597" s="233"/>
      <c r="CM597" s="233"/>
      <c r="CN597" s="233"/>
      <c r="CO597" s="233"/>
      <c r="CP597" s="233"/>
      <c r="CQ597" s="233"/>
      <c r="CR597" s="233"/>
      <c r="CS597" s="233"/>
      <c r="CT597" s="233"/>
      <c r="CU597" s="233"/>
      <c r="CV597" s="233"/>
      <c r="CW597" s="233"/>
      <c r="CX597" s="233"/>
      <c r="CY597" s="233"/>
      <c r="CZ597" s="233"/>
      <c r="DA597" s="233"/>
      <c r="DB597" s="233"/>
      <c r="DC597" s="233"/>
      <c r="DD597" s="233"/>
      <c r="DE597" s="233"/>
      <c r="DF597" s="233"/>
      <c r="DG597" s="233"/>
      <c r="DH597" s="233"/>
      <c r="DI597" s="233"/>
      <c r="DJ597" s="233"/>
      <c r="DK597" s="233"/>
      <c r="DL597" s="233"/>
      <c r="DM597" s="233"/>
      <c r="DN597" s="233"/>
      <c r="DO597" s="233"/>
      <c r="DP597" s="233"/>
      <c r="DQ597" s="233"/>
      <c r="DR597" s="233"/>
      <c r="DS597" s="233"/>
      <c r="DT597" s="233"/>
      <c r="DU597" s="233"/>
      <c r="DV597" s="233"/>
      <c r="DW597" s="233"/>
      <c r="DX597" s="233"/>
      <c r="DY597" s="233"/>
      <c r="DZ597" s="233"/>
      <c r="EA597" s="233"/>
      <c r="EB597" s="233"/>
      <c r="EC597" s="233"/>
      <c r="ED597" s="233"/>
      <c r="EE597" s="233"/>
      <c r="EF597" s="233"/>
      <c r="EG597" s="233"/>
      <c r="EH597" s="233"/>
      <c r="EI597" s="233"/>
      <c r="EJ597" s="233"/>
      <c r="EK597" s="233"/>
      <c r="EL597" s="233"/>
      <c r="EM597" s="233"/>
      <c r="EN597" s="233"/>
      <c r="EO597" s="233"/>
      <c r="EP597" s="233"/>
    </row>
    <row r="598" spans="1:146" ht="14.25" x14ac:dyDescent="0.2">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33"/>
      <c r="CI598" s="233"/>
      <c r="CJ598" s="233"/>
      <c r="CK598" s="233"/>
      <c r="CL598" s="233"/>
      <c r="CM598" s="233"/>
      <c r="CN598" s="233"/>
      <c r="CO598" s="233"/>
      <c r="CP598" s="233"/>
      <c r="CQ598" s="233"/>
      <c r="CR598" s="233"/>
      <c r="CS598" s="233"/>
      <c r="CT598" s="233"/>
      <c r="CU598" s="233"/>
      <c r="CV598" s="233"/>
      <c r="CW598" s="233"/>
      <c r="CX598" s="233"/>
      <c r="CY598" s="233"/>
      <c r="CZ598" s="233"/>
      <c r="DA598" s="233"/>
      <c r="DB598" s="233"/>
      <c r="DC598" s="233"/>
      <c r="DD598" s="233"/>
      <c r="DE598" s="233"/>
      <c r="DF598" s="233"/>
      <c r="DG598" s="233"/>
      <c r="DH598" s="233"/>
      <c r="DI598" s="233"/>
      <c r="DJ598" s="233"/>
      <c r="DK598" s="233"/>
      <c r="DL598" s="233"/>
      <c r="DM598" s="233"/>
      <c r="DN598" s="233"/>
      <c r="DO598" s="233"/>
      <c r="DP598" s="233"/>
      <c r="DQ598" s="233"/>
      <c r="DR598" s="233"/>
      <c r="DS598" s="233"/>
      <c r="DT598" s="233"/>
      <c r="DU598" s="233"/>
      <c r="DV598" s="233"/>
      <c r="DW598" s="233"/>
      <c r="DX598" s="233"/>
      <c r="DY598" s="233"/>
      <c r="DZ598" s="233"/>
      <c r="EA598" s="233"/>
      <c r="EB598" s="233"/>
      <c r="EC598" s="233"/>
      <c r="ED598" s="233"/>
      <c r="EE598" s="233"/>
      <c r="EF598" s="233"/>
      <c r="EG598" s="233"/>
      <c r="EH598" s="233"/>
      <c r="EI598" s="233"/>
      <c r="EJ598" s="233"/>
      <c r="EK598" s="233"/>
      <c r="EL598" s="233"/>
      <c r="EM598" s="233"/>
      <c r="EN598" s="233"/>
      <c r="EO598" s="233"/>
      <c r="EP598" s="233"/>
    </row>
    <row r="599" spans="1:146" ht="14.25" x14ac:dyDescent="0.2">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33"/>
      <c r="CI599" s="233"/>
      <c r="CJ599" s="233"/>
      <c r="CK599" s="233"/>
      <c r="CL599" s="233"/>
      <c r="CM599" s="233"/>
      <c r="CN599" s="233"/>
      <c r="CO599" s="233"/>
      <c r="CP599" s="233"/>
      <c r="CQ599" s="233"/>
      <c r="CR599" s="233"/>
      <c r="CS599" s="233"/>
      <c r="CT599" s="233"/>
      <c r="CU599" s="233"/>
      <c r="CV599" s="233"/>
      <c r="CW599" s="233"/>
      <c r="CX599" s="233"/>
      <c r="CY599" s="233"/>
      <c r="CZ599" s="233"/>
      <c r="DA599" s="233"/>
      <c r="DB599" s="233"/>
      <c r="DC599" s="233"/>
      <c r="DD599" s="233"/>
      <c r="DE599" s="233"/>
      <c r="DF599" s="233"/>
      <c r="DG599" s="233"/>
      <c r="DH599" s="233"/>
      <c r="DI599" s="233"/>
      <c r="DJ599" s="233"/>
      <c r="DK599" s="233"/>
      <c r="DL599" s="233"/>
      <c r="DM599" s="233"/>
      <c r="DN599" s="233"/>
      <c r="DO599" s="233"/>
      <c r="DP599" s="233"/>
      <c r="DQ599" s="233"/>
      <c r="DR599" s="233"/>
      <c r="DS599" s="233"/>
      <c r="DT599" s="233"/>
      <c r="DU599" s="233"/>
      <c r="DV599" s="233"/>
      <c r="DW599" s="233"/>
      <c r="DX599" s="233"/>
      <c r="DY599" s="233"/>
      <c r="DZ599" s="233"/>
      <c r="EA599" s="233"/>
      <c r="EB599" s="233"/>
      <c r="EC599" s="233"/>
      <c r="ED599" s="233"/>
      <c r="EE599" s="233"/>
      <c r="EF599" s="233"/>
      <c r="EG599" s="233"/>
      <c r="EH599" s="233"/>
      <c r="EI599" s="233"/>
      <c r="EJ599" s="233"/>
      <c r="EK599" s="233"/>
      <c r="EL599" s="233"/>
      <c r="EM599" s="233"/>
      <c r="EN599" s="233"/>
      <c r="EO599" s="233"/>
      <c r="EP599" s="233"/>
    </row>
    <row r="600" spans="1:146" ht="14.25" x14ac:dyDescent="0.2">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33"/>
      <c r="BF600" s="233"/>
      <c r="BG600" s="233"/>
      <c r="BH600" s="233"/>
      <c r="BI600" s="233"/>
      <c r="BJ600" s="233"/>
      <c r="BK600" s="233"/>
      <c r="BL600" s="233"/>
      <c r="BM600" s="233"/>
      <c r="BN600" s="233"/>
      <c r="BO600" s="233"/>
      <c r="BP600" s="233"/>
      <c r="BQ600" s="233"/>
      <c r="BR600" s="233"/>
      <c r="BS600" s="233"/>
      <c r="BT600" s="233"/>
      <c r="BU600" s="233"/>
      <c r="BV600" s="233"/>
      <c r="BW600" s="233"/>
      <c r="BX600" s="233"/>
      <c r="BY600" s="233"/>
      <c r="BZ600" s="233"/>
      <c r="CA600" s="233"/>
      <c r="CB600" s="233"/>
      <c r="CC600" s="233"/>
      <c r="CD600" s="233"/>
      <c r="CE600" s="233"/>
      <c r="CF600" s="233"/>
      <c r="CG600" s="233"/>
      <c r="CH600" s="233"/>
      <c r="CI600" s="233"/>
      <c r="CJ600" s="233"/>
      <c r="CK600" s="233"/>
      <c r="CL600" s="233"/>
      <c r="CM600" s="233"/>
      <c r="CN600" s="233"/>
      <c r="CO600" s="233"/>
      <c r="CP600" s="233"/>
      <c r="CQ600" s="233"/>
      <c r="CR600" s="233"/>
      <c r="CS600" s="233"/>
      <c r="CT600" s="233"/>
      <c r="CU600" s="233"/>
      <c r="CV600" s="233"/>
      <c r="CW600" s="233"/>
      <c r="CX600" s="233"/>
      <c r="CY600" s="233"/>
      <c r="CZ600" s="233"/>
      <c r="DA600" s="233"/>
      <c r="DB600" s="233"/>
      <c r="DC600" s="233"/>
      <c r="DD600" s="233"/>
      <c r="DE600" s="233"/>
      <c r="DF600" s="233"/>
      <c r="DG600" s="233"/>
      <c r="DH600" s="233"/>
      <c r="DI600" s="233"/>
      <c r="DJ600" s="233"/>
      <c r="DK600" s="233"/>
      <c r="DL600" s="233"/>
      <c r="DM600" s="233"/>
      <c r="DN600" s="233"/>
      <c r="DO600" s="233"/>
      <c r="DP600" s="233"/>
      <c r="DQ600" s="233"/>
      <c r="DR600" s="233"/>
      <c r="DS600" s="233"/>
      <c r="DT600" s="233"/>
      <c r="DU600" s="233"/>
      <c r="DV600" s="233"/>
      <c r="DW600" s="233"/>
      <c r="DX600" s="233"/>
      <c r="DY600" s="233"/>
      <c r="DZ600" s="233"/>
      <c r="EA600" s="233"/>
      <c r="EB600" s="233"/>
      <c r="EC600" s="233"/>
      <c r="ED600" s="233"/>
      <c r="EE600" s="233"/>
      <c r="EF600" s="233"/>
      <c r="EG600" s="233"/>
      <c r="EH600" s="233"/>
      <c r="EI600" s="233"/>
      <c r="EJ600" s="233"/>
      <c r="EK600" s="233"/>
      <c r="EL600" s="233"/>
      <c r="EM600" s="233"/>
      <c r="EN600" s="233"/>
      <c r="EO600" s="233"/>
      <c r="EP600" s="233"/>
    </row>
    <row r="601" spans="1:146" ht="14.25" x14ac:dyDescent="0.2">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33"/>
      <c r="BF601" s="233"/>
      <c r="BG601" s="233"/>
      <c r="BH601" s="233"/>
      <c r="BI601" s="233"/>
      <c r="BJ601" s="233"/>
      <c r="BK601" s="233"/>
      <c r="BL601" s="233"/>
      <c r="BM601" s="233"/>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33"/>
      <c r="CI601" s="233"/>
      <c r="CJ601" s="233"/>
      <c r="CK601" s="233"/>
      <c r="CL601" s="233"/>
      <c r="CM601" s="233"/>
      <c r="CN601" s="233"/>
      <c r="CO601" s="233"/>
      <c r="CP601" s="233"/>
      <c r="CQ601" s="233"/>
      <c r="CR601" s="233"/>
      <c r="CS601" s="233"/>
      <c r="CT601" s="233"/>
      <c r="CU601" s="233"/>
      <c r="CV601" s="233"/>
      <c r="CW601" s="233"/>
      <c r="CX601" s="233"/>
      <c r="CY601" s="233"/>
      <c r="CZ601" s="233"/>
      <c r="DA601" s="233"/>
      <c r="DB601" s="233"/>
      <c r="DC601" s="233"/>
      <c r="DD601" s="233"/>
      <c r="DE601" s="233"/>
      <c r="DF601" s="233"/>
      <c r="DG601" s="233"/>
      <c r="DH601" s="233"/>
      <c r="DI601" s="233"/>
      <c r="DJ601" s="233"/>
      <c r="DK601" s="233"/>
      <c r="DL601" s="233"/>
      <c r="DM601" s="233"/>
      <c r="DN601" s="233"/>
      <c r="DO601" s="233"/>
      <c r="DP601" s="233"/>
      <c r="DQ601" s="233"/>
      <c r="DR601" s="233"/>
      <c r="DS601" s="233"/>
      <c r="DT601" s="233"/>
      <c r="DU601" s="233"/>
      <c r="DV601" s="233"/>
      <c r="DW601" s="233"/>
      <c r="DX601" s="233"/>
      <c r="DY601" s="233"/>
      <c r="DZ601" s="233"/>
      <c r="EA601" s="233"/>
      <c r="EB601" s="233"/>
      <c r="EC601" s="233"/>
      <c r="ED601" s="233"/>
      <c r="EE601" s="233"/>
      <c r="EF601" s="233"/>
      <c r="EG601" s="233"/>
      <c r="EH601" s="233"/>
      <c r="EI601" s="233"/>
      <c r="EJ601" s="233"/>
      <c r="EK601" s="233"/>
      <c r="EL601" s="233"/>
      <c r="EM601" s="233"/>
      <c r="EN601" s="233"/>
      <c r="EO601" s="233"/>
      <c r="EP601" s="233"/>
    </row>
    <row r="602" spans="1:146" ht="14.25" x14ac:dyDescent="0.2">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33"/>
      <c r="BF602" s="233"/>
      <c r="BG602" s="233"/>
      <c r="BH602" s="233"/>
      <c r="BI602" s="233"/>
      <c r="BJ602" s="233"/>
      <c r="BK602" s="233"/>
      <c r="BL602" s="233"/>
      <c r="BM602" s="233"/>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33"/>
      <c r="CI602" s="233"/>
      <c r="CJ602" s="233"/>
      <c r="CK602" s="233"/>
      <c r="CL602" s="233"/>
      <c r="CM602" s="233"/>
      <c r="CN602" s="233"/>
      <c r="CO602" s="233"/>
      <c r="CP602" s="233"/>
      <c r="CQ602" s="233"/>
      <c r="CR602" s="233"/>
      <c r="CS602" s="233"/>
      <c r="CT602" s="233"/>
      <c r="CU602" s="233"/>
      <c r="CV602" s="233"/>
      <c r="CW602" s="233"/>
      <c r="CX602" s="233"/>
      <c r="CY602" s="233"/>
      <c r="CZ602" s="233"/>
      <c r="DA602" s="233"/>
      <c r="DB602" s="233"/>
      <c r="DC602" s="233"/>
      <c r="DD602" s="233"/>
      <c r="DE602" s="233"/>
      <c r="DF602" s="233"/>
      <c r="DG602" s="233"/>
      <c r="DH602" s="233"/>
      <c r="DI602" s="233"/>
      <c r="DJ602" s="233"/>
      <c r="DK602" s="233"/>
      <c r="DL602" s="233"/>
      <c r="DM602" s="233"/>
      <c r="DN602" s="233"/>
      <c r="DO602" s="233"/>
      <c r="DP602" s="233"/>
      <c r="DQ602" s="233"/>
      <c r="DR602" s="233"/>
      <c r="DS602" s="233"/>
      <c r="DT602" s="233"/>
      <c r="DU602" s="233"/>
      <c r="DV602" s="233"/>
      <c r="DW602" s="233"/>
      <c r="DX602" s="233"/>
      <c r="DY602" s="233"/>
      <c r="DZ602" s="233"/>
      <c r="EA602" s="233"/>
      <c r="EB602" s="233"/>
      <c r="EC602" s="233"/>
      <c r="ED602" s="233"/>
      <c r="EE602" s="233"/>
      <c r="EF602" s="233"/>
      <c r="EG602" s="233"/>
      <c r="EH602" s="233"/>
      <c r="EI602" s="233"/>
      <c r="EJ602" s="233"/>
      <c r="EK602" s="233"/>
      <c r="EL602" s="233"/>
      <c r="EM602" s="233"/>
      <c r="EN602" s="233"/>
      <c r="EO602" s="233"/>
      <c r="EP602" s="233"/>
    </row>
    <row r="603" spans="1:146" ht="14.25" x14ac:dyDescent="0.2">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33"/>
      <c r="BF603" s="233"/>
      <c r="BG603" s="233"/>
      <c r="BH603" s="233"/>
      <c r="BI603" s="233"/>
      <c r="BJ603" s="233"/>
      <c r="BK603" s="233"/>
      <c r="BL603" s="233"/>
      <c r="BM603" s="233"/>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33"/>
      <c r="CI603" s="233"/>
      <c r="CJ603" s="233"/>
      <c r="CK603" s="233"/>
      <c r="CL603" s="233"/>
      <c r="CM603" s="233"/>
      <c r="CN603" s="233"/>
      <c r="CO603" s="233"/>
      <c r="CP603" s="233"/>
      <c r="CQ603" s="233"/>
      <c r="CR603" s="233"/>
      <c r="CS603" s="233"/>
      <c r="CT603" s="233"/>
      <c r="CU603" s="233"/>
      <c r="CV603" s="233"/>
      <c r="CW603" s="233"/>
      <c r="CX603" s="233"/>
      <c r="CY603" s="233"/>
      <c r="CZ603" s="233"/>
      <c r="DA603" s="233"/>
      <c r="DB603" s="233"/>
      <c r="DC603" s="233"/>
      <c r="DD603" s="233"/>
      <c r="DE603" s="233"/>
      <c r="DF603" s="233"/>
      <c r="DG603" s="233"/>
      <c r="DH603" s="233"/>
      <c r="DI603" s="233"/>
      <c r="DJ603" s="233"/>
      <c r="DK603" s="233"/>
      <c r="DL603" s="233"/>
      <c r="DM603" s="233"/>
      <c r="DN603" s="233"/>
      <c r="DO603" s="233"/>
      <c r="DP603" s="233"/>
      <c r="DQ603" s="233"/>
      <c r="DR603" s="233"/>
      <c r="DS603" s="233"/>
      <c r="DT603" s="233"/>
      <c r="DU603" s="233"/>
      <c r="DV603" s="233"/>
      <c r="DW603" s="233"/>
      <c r="DX603" s="233"/>
      <c r="DY603" s="233"/>
      <c r="DZ603" s="233"/>
      <c r="EA603" s="233"/>
      <c r="EB603" s="233"/>
      <c r="EC603" s="233"/>
      <c r="ED603" s="233"/>
      <c r="EE603" s="233"/>
      <c r="EF603" s="233"/>
      <c r="EG603" s="233"/>
      <c r="EH603" s="233"/>
      <c r="EI603" s="233"/>
      <c r="EJ603" s="233"/>
      <c r="EK603" s="233"/>
      <c r="EL603" s="233"/>
      <c r="EM603" s="233"/>
      <c r="EN603" s="233"/>
      <c r="EO603" s="233"/>
      <c r="EP603" s="233"/>
    </row>
    <row r="604" spans="1:146" ht="14.25" x14ac:dyDescent="0.2">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33"/>
      <c r="BF604" s="233"/>
      <c r="BG604" s="233"/>
      <c r="BH604" s="233"/>
      <c r="BI604" s="233"/>
      <c r="BJ604" s="233"/>
      <c r="BK604" s="233"/>
      <c r="BL604" s="233"/>
      <c r="BM604" s="233"/>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33"/>
      <c r="CI604" s="233"/>
      <c r="CJ604" s="233"/>
      <c r="CK604" s="233"/>
      <c r="CL604" s="233"/>
      <c r="CM604" s="233"/>
      <c r="CN604" s="233"/>
      <c r="CO604" s="233"/>
      <c r="CP604" s="233"/>
      <c r="CQ604" s="233"/>
      <c r="CR604" s="233"/>
      <c r="CS604" s="233"/>
      <c r="CT604" s="233"/>
      <c r="CU604" s="233"/>
      <c r="CV604" s="233"/>
      <c r="CW604" s="233"/>
      <c r="CX604" s="233"/>
      <c r="CY604" s="233"/>
      <c r="CZ604" s="233"/>
      <c r="DA604" s="233"/>
      <c r="DB604" s="233"/>
      <c r="DC604" s="233"/>
      <c r="DD604" s="233"/>
      <c r="DE604" s="233"/>
      <c r="DF604" s="233"/>
      <c r="DG604" s="233"/>
      <c r="DH604" s="233"/>
      <c r="DI604" s="233"/>
      <c r="DJ604" s="233"/>
      <c r="DK604" s="233"/>
      <c r="DL604" s="233"/>
      <c r="DM604" s="233"/>
      <c r="DN604" s="233"/>
      <c r="DO604" s="233"/>
      <c r="DP604" s="233"/>
      <c r="DQ604" s="233"/>
      <c r="DR604" s="233"/>
      <c r="DS604" s="233"/>
      <c r="DT604" s="233"/>
      <c r="DU604" s="233"/>
      <c r="DV604" s="233"/>
      <c r="DW604" s="233"/>
      <c r="DX604" s="233"/>
      <c r="DY604" s="233"/>
      <c r="DZ604" s="233"/>
      <c r="EA604" s="233"/>
      <c r="EB604" s="233"/>
      <c r="EC604" s="233"/>
      <c r="ED604" s="233"/>
      <c r="EE604" s="233"/>
      <c r="EF604" s="233"/>
      <c r="EG604" s="233"/>
      <c r="EH604" s="233"/>
      <c r="EI604" s="233"/>
      <c r="EJ604" s="233"/>
      <c r="EK604" s="233"/>
      <c r="EL604" s="233"/>
      <c r="EM604" s="233"/>
      <c r="EN604" s="233"/>
      <c r="EO604" s="233"/>
      <c r="EP604" s="233"/>
    </row>
    <row r="605" spans="1:146" ht="14.25" x14ac:dyDescent="0.2">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33"/>
      <c r="CI605" s="233"/>
      <c r="CJ605" s="233"/>
      <c r="CK605" s="233"/>
      <c r="CL605" s="233"/>
      <c r="CM605" s="233"/>
      <c r="CN605" s="233"/>
      <c r="CO605" s="233"/>
      <c r="CP605" s="233"/>
      <c r="CQ605" s="233"/>
      <c r="CR605" s="233"/>
      <c r="CS605" s="233"/>
      <c r="CT605" s="233"/>
      <c r="CU605" s="233"/>
      <c r="CV605" s="233"/>
      <c r="CW605" s="233"/>
      <c r="CX605" s="233"/>
      <c r="CY605" s="233"/>
      <c r="CZ605" s="233"/>
      <c r="DA605" s="233"/>
      <c r="DB605" s="233"/>
      <c r="DC605" s="233"/>
      <c r="DD605" s="233"/>
      <c r="DE605" s="233"/>
      <c r="DF605" s="233"/>
      <c r="DG605" s="233"/>
      <c r="DH605" s="233"/>
      <c r="DI605" s="233"/>
      <c r="DJ605" s="233"/>
      <c r="DK605" s="233"/>
      <c r="DL605" s="233"/>
      <c r="DM605" s="233"/>
      <c r="DN605" s="233"/>
      <c r="DO605" s="233"/>
      <c r="DP605" s="233"/>
      <c r="DQ605" s="233"/>
      <c r="DR605" s="233"/>
      <c r="DS605" s="233"/>
      <c r="DT605" s="233"/>
      <c r="DU605" s="233"/>
      <c r="DV605" s="233"/>
      <c r="DW605" s="233"/>
      <c r="DX605" s="233"/>
      <c r="DY605" s="233"/>
      <c r="DZ605" s="233"/>
      <c r="EA605" s="233"/>
      <c r="EB605" s="233"/>
      <c r="EC605" s="233"/>
      <c r="ED605" s="233"/>
      <c r="EE605" s="233"/>
      <c r="EF605" s="233"/>
      <c r="EG605" s="233"/>
      <c r="EH605" s="233"/>
      <c r="EI605" s="233"/>
      <c r="EJ605" s="233"/>
      <c r="EK605" s="233"/>
      <c r="EL605" s="233"/>
      <c r="EM605" s="233"/>
      <c r="EN605" s="233"/>
      <c r="EO605" s="233"/>
      <c r="EP605" s="233"/>
    </row>
    <row r="606" spans="1:146" ht="14.25" x14ac:dyDescent="0.2">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233"/>
      <c r="BE606" s="233"/>
      <c r="BF606" s="233"/>
      <c r="BG606" s="233"/>
      <c r="BH606" s="233"/>
      <c r="BI606" s="233"/>
      <c r="BJ606" s="233"/>
      <c r="BK606" s="233"/>
      <c r="BL606" s="233"/>
      <c r="BM606" s="233"/>
      <c r="BN606" s="233"/>
      <c r="BO606" s="233"/>
      <c r="BP606" s="233"/>
      <c r="BQ606" s="233"/>
      <c r="BR606" s="233"/>
      <c r="BS606" s="233"/>
      <c r="BT606" s="233"/>
      <c r="BU606" s="233"/>
      <c r="BV606" s="233"/>
      <c r="BW606" s="233"/>
      <c r="BX606" s="233"/>
      <c r="BY606" s="233"/>
      <c r="BZ606" s="233"/>
      <c r="CA606" s="233"/>
      <c r="CB606" s="233"/>
      <c r="CC606" s="233"/>
      <c r="CD606" s="233"/>
      <c r="CE606" s="233"/>
      <c r="CF606" s="233"/>
      <c r="CG606" s="233"/>
      <c r="CH606" s="233"/>
      <c r="CI606" s="233"/>
      <c r="CJ606" s="233"/>
      <c r="CK606" s="233"/>
      <c r="CL606" s="233"/>
      <c r="CM606" s="233"/>
      <c r="CN606" s="233"/>
      <c r="CO606" s="233"/>
      <c r="CP606" s="233"/>
      <c r="CQ606" s="233"/>
      <c r="CR606" s="233"/>
      <c r="CS606" s="233"/>
      <c r="CT606" s="233"/>
      <c r="CU606" s="233"/>
      <c r="CV606" s="233"/>
      <c r="CW606" s="233"/>
      <c r="CX606" s="233"/>
      <c r="CY606" s="233"/>
      <c r="CZ606" s="233"/>
      <c r="DA606" s="233"/>
      <c r="DB606" s="233"/>
      <c r="DC606" s="233"/>
      <c r="DD606" s="233"/>
      <c r="DE606" s="233"/>
      <c r="DF606" s="233"/>
      <c r="DG606" s="233"/>
      <c r="DH606" s="233"/>
      <c r="DI606" s="233"/>
      <c r="DJ606" s="233"/>
      <c r="DK606" s="233"/>
      <c r="DL606" s="233"/>
      <c r="DM606" s="233"/>
      <c r="DN606" s="233"/>
      <c r="DO606" s="233"/>
      <c r="DP606" s="233"/>
      <c r="DQ606" s="233"/>
      <c r="DR606" s="233"/>
      <c r="DS606" s="233"/>
      <c r="DT606" s="233"/>
      <c r="DU606" s="233"/>
      <c r="DV606" s="233"/>
      <c r="DW606" s="233"/>
      <c r="DX606" s="233"/>
      <c r="DY606" s="233"/>
      <c r="DZ606" s="233"/>
      <c r="EA606" s="233"/>
      <c r="EB606" s="233"/>
      <c r="EC606" s="233"/>
      <c r="ED606" s="233"/>
      <c r="EE606" s="233"/>
      <c r="EF606" s="233"/>
      <c r="EG606" s="233"/>
      <c r="EH606" s="233"/>
      <c r="EI606" s="233"/>
      <c r="EJ606" s="233"/>
      <c r="EK606" s="233"/>
      <c r="EL606" s="233"/>
      <c r="EM606" s="233"/>
      <c r="EN606" s="233"/>
      <c r="EO606" s="233"/>
      <c r="EP606" s="233"/>
    </row>
    <row r="607" spans="1:146" ht="14.25" x14ac:dyDescent="0.2">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233"/>
      <c r="BE607" s="233"/>
      <c r="BF607" s="233"/>
      <c r="BG607" s="233"/>
      <c r="BH607" s="233"/>
      <c r="BI607" s="233"/>
      <c r="BJ607" s="233"/>
      <c r="BK607" s="233"/>
      <c r="BL607" s="233"/>
      <c r="BM607" s="233"/>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33"/>
      <c r="CI607" s="233"/>
      <c r="CJ607" s="233"/>
      <c r="CK607" s="233"/>
      <c r="CL607" s="233"/>
      <c r="CM607" s="233"/>
      <c r="CN607" s="233"/>
      <c r="CO607" s="233"/>
      <c r="CP607" s="233"/>
      <c r="CQ607" s="233"/>
      <c r="CR607" s="233"/>
      <c r="CS607" s="233"/>
      <c r="CT607" s="233"/>
      <c r="CU607" s="233"/>
      <c r="CV607" s="233"/>
      <c r="CW607" s="233"/>
      <c r="CX607" s="233"/>
      <c r="CY607" s="233"/>
      <c r="CZ607" s="233"/>
      <c r="DA607" s="233"/>
      <c r="DB607" s="233"/>
      <c r="DC607" s="233"/>
      <c r="DD607" s="233"/>
      <c r="DE607" s="233"/>
      <c r="DF607" s="233"/>
      <c r="DG607" s="233"/>
      <c r="DH607" s="233"/>
      <c r="DI607" s="233"/>
      <c r="DJ607" s="233"/>
      <c r="DK607" s="233"/>
      <c r="DL607" s="233"/>
      <c r="DM607" s="233"/>
      <c r="DN607" s="233"/>
      <c r="DO607" s="233"/>
      <c r="DP607" s="233"/>
      <c r="DQ607" s="233"/>
      <c r="DR607" s="233"/>
      <c r="DS607" s="233"/>
      <c r="DT607" s="233"/>
      <c r="DU607" s="233"/>
      <c r="DV607" s="233"/>
      <c r="DW607" s="233"/>
      <c r="DX607" s="233"/>
      <c r="DY607" s="233"/>
      <c r="DZ607" s="233"/>
      <c r="EA607" s="233"/>
      <c r="EB607" s="233"/>
      <c r="EC607" s="233"/>
      <c r="ED607" s="233"/>
      <c r="EE607" s="233"/>
      <c r="EF607" s="233"/>
      <c r="EG607" s="233"/>
      <c r="EH607" s="233"/>
      <c r="EI607" s="233"/>
      <c r="EJ607" s="233"/>
      <c r="EK607" s="233"/>
      <c r="EL607" s="233"/>
      <c r="EM607" s="233"/>
      <c r="EN607" s="233"/>
      <c r="EO607" s="233"/>
      <c r="EP607" s="233"/>
    </row>
    <row r="608" spans="1:146" ht="14.25" x14ac:dyDescent="0.2">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33"/>
      <c r="CI608" s="233"/>
      <c r="CJ608" s="233"/>
      <c r="CK608" s="233"/>
      <c r="CL608" s="233"/>
      <c r="CM608" s="233"/>
      <c r="CN608" s="233"/>
      <c r="CO608" s="233"/>
      <c r="CP608" s="233"/>
      <c r="CQ608" s="233"/>
      <c r="CR608" s="233"/>
      <c r="CS608" s="233"/>
      <c r="CT608" s="233"/>
      <c r="CU608" s="233"/>
      <c r="CV608" s="233"/>
      <c r="CW608" s="233"/>
      <c r="CX608" s="233"/>
      <c r="CY608" s="233"/>
      <c r="CZ608" s="233"/>
      <c r="DA608" s="233"/>
      <c r="DB608" s="233"/>
      <c r="DC608" s="233"/>
      <c r="DD608" s="233"/>
      <c r="DE608" s="233"/>
      <c r="DF608" s="233"/>
      <c r="DG608" s="233"/>
      <c r="DH608" s="233"/>
      <c r="DI608" s="233"/>
      <c r="DJ608" s="233"/>
      <c r="DK608" s="233"/>
      <c r="DL608" s="233"/>
      <c r="DM608" s="233"/>
      <c r="DN608" s="233"/>
      <c r="DO608" s="233"/>
      <c r="DP608" s="233"/>
      <c r="DQ608" s="233"/>
      <c r="DR608" s="233"/>
      <c r="DS608" s="233"/>
      <c r="DT608" s="233"/>
      <c r="DU608" s="233"/>
      <c r="DV608" s="233"/>
      <c r="DW608" s="233"/>
      <c r="DX608" s="233"/>
      <c r="DY608" s="233"/>
      <c r="DZ608" s="233"/>
      <c r="EA608" s="233"/>
      <c r="EB608" s="233"/>
      <c r="EC608" s="233"/>
      <c r="ED608" s="233"/>
      <c r="EE608" s="233"/>
      <c r="EF608" s="233"/>
      <c r="EG608" s="233"/>
      <c r="EH608" s="233"/>
      <c r="EI608" s="233"/>
      <c r="EJ608" s="233"/>
      <c r="EK608" s="233"/>
      <c r="EL608" s="233"/>
      <c r="EM608" s="233"/>
      <c r="EN608" s="233"/>
      <c r="EO608" s="233"/>
      <c r="EP608" s="233"/>
    </row>
    <row r="609" spans="1:146" ht="14.25" x14ac:dyDescent="0.2">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233"/>
      <c r="BE609" s="233"/>
      <c r="BF609" s="233"/>
      <c r="BG609" s="233"/>
      <c r="BH609" s="233"/>
      <c r="BI609" s="233"/>
      <c r="BJ609" s="233"/>
      <c r="BK609" s="233"/>
      <c r="BL609" s="233"/>
      <c r="BM609" s="233"/>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33"/>
      <c r="CI609" s="233"/>
      <c r="CJ609" s="233"/>
      <c r="CK609" s="233"/>
      <c r="CL609" s="233"/>
      <c r="CM609" s="233"/>
      <c r="CN609" s="233"/>
      <c r="CO609" s="233"/>
      <c r="CP609" s="233"/>
      <c r="CQ609" s="233"/>
      <c r="CR609" s="233"/>
      <c r="CS609" s="233"/>
      <c r="CT609" s="233"/>
      <c r="CU609" s="233"/>
      <c r="CV609" s="233"/>
      <c r="CW609" s="233"/>
      <c r="CX609" s="233"/>
      <c r="CY609" s="233"/>
      <c r="CZ609" s="233"/>
      <c r="DA609" s="233"/>
      <c r="DB609" s="233"/>
      <c r="DC609" s="233"/>
      <c r="DD609" s="233"/>
      <c r="DE609" s="233"/>
      <c r="DF609" s="233"/>
      <c r="DG609" s="233"/>
      <c r="DH609" s="233"/>
      <c r="DI609" s="233"/>
      <c r="DJ609" s="233"/>
      <c r="DK609" s="233"/>
      <c r="DL609" s="233"/>
      <c r="DM609" s="233"/>
      <c r="DN609" s="233"/>
      <c r="DO609" s="233"/>
      <c r="DP609" s="233"/>
      <c r="DQ609" s="233"/>
      <c r="DR609" s="233"/>
      <c r="DS609" s="233"/>
      <c r="DT609" s="233"/>
      <c r="DU609" s="233"/>
      <c r="DV609" s="233"/>
      <c r="DW609" s="233"/>
      <c r="DX609" s="233"/>
      <c r="DY609" s="233"/>
      <c r="DZ609" s="233"/>
      <c r="EA609" s="233"/>
      <c r="EB609" s="233"/>
      <c r="EC609" s="233"/>
      <c r="ED609" s="233"/>
      <c r="EE609" s="233"/>
      <c r="EF609" s="233"/>
      <c r="EG609" s="233"/>
      <c r="EH609" s="233"/>
      <c r="EI609" s="233"/>
      <c r="EJ609" s="233"/>
      <c r="EK609" s="233"/>
      <c r="EL609" s="233"/>
      <c r="EM609" s="233"/>
      <c r="EN609" s="233"/>
      <c r="EO609" s="233"/>
      <c r="EP609" s="233"/>
    </row>
    <row r="610" spans="1:146" ht="14.25" x14ac:dyDescent="0.2">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33"/>
      <c r="CN610" s="233"/>
      <c r="CO610" s="233"/>
      <c r="CP610" s="233"/>
      <c r="CQ610" s="233"/>
      <c r="CR610" s="233"/>
      <c r="CS610" s="233"/>
      <c r="CT610" s="233"/>
      <c r="CU610" s="233"/>
      <c r="CV610" s="233"/>
      <c r="CW610" s="233"/>
      <c r="CX610" s="233"/>
      <c r="CY610" s="233"/>
      <c r="CZ610" s="233"/>
      <c r="DA610" s="233"/>
      <c r="DB610" s="233"/>
      <c r="DC610" s="233"/>
      <c r="DD610" s="233"/>
      <c r="DE610" s="233"/>
      <c r="DF610" s="233"/>
      <c r="DG610" s="233"/>
      <c r="DH610" s="233"/>
      <c r="DI610" s="233"/>
      <c r="DJ610" s="233"/>
      <c r="DK610" s="233"/>
      <c r="DL610" s="233"/>
      <c r="DM610" s="233"/>
      <c r="DN610" s="233"/>
      <c r="DO610" s="233"/>
      <c r="DP610" s="233"/>
      <c r="DQ610" s="233"/>
      <c r="DR610" s="233"/>
      <c r="DS610" s="233"/>
      <c r="DT610" s="233"/>
      <c r="DU610" s="233"/>
      <c r="DV610" s="233"/>
      <c r="DW610" s="233"/>
      <c r="DX610" s="233"/>
      <c r="DY610" s="233"/>
      <c r="DZ610" s="233"/>
      <c r="EA610" s="233"/>
      <c r="EB610" s="233"/>
      <c r="EC610" s="233"/>
      <c r="ED610" s="233"/>
      <c r="EE610" s="233"/>
      <c r="EF610" s="233"/>
      <c r="EG610" s="233"/>
      <c r="EH610" s="233"/>
      <c r="EI610" s="233"/>
      <c r="EJ610" s="233"/>
      <c r="EK610" s="233"/>
      <c r="EL610" s="233"/>
      <c r="EM610" s="233"/>
      <c r="EN610" s="233"/>
      <c r="EO610" s="233"/>
      <c r="EP610" s="233"/>
    </row>
    <row r="611" spans="1:146" ht="14.25" x14ac:dyDescent="0.2">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33"/>
      <c r="CI611" s="233"/>
      <c r="CJ611" s="233"/>
      <c r="CK611" s="233"/>
      <c r="CL611" s="233"/>
      <c r="CM611" s="233"/>
      <c r="CN611" s="233"/>
      <c r="CO611" s="233"/>
      <c r="CP611" s="233"/>
      <c r="CQ611" s="233"/>
      <c r="CR611" s="233"/>
      <c r="CS611" s="233"/>
      <c r="CT611" s="233"/>
      <c r="CU611" s="233"/>
      <c r="CV611" s="233"/>
      <c r="CW611" s="233"/>
      <c r="CX611" s="233"/>
      <c r="CY611" s="233"/>
      <c r="CZ611" s="233"/>
      <c r="DA611" s="233"/>
      <c r="DB611" s="233"/>
      <c r="DC611" s="233"/>
      <c r="DD611" s="233"/>
      <c r="DE611" s="233"/>
      <c r="DF611" s="233"/>
      <c r="DG611" s="233"/>
      <c r="DH611" s="233"/>
      <c r="DI611" s="233"/>
      <c r="DJ611" s="233"/>
      <c r="DK611" s="233"/>
      <c r="DL611" s="233"/>
      <c r="DM611" s="233"/>
      <c r="DN611" s="233"/>
      <c r="DO611" s="233"/>
      <c r="DP611" s="233"/>
      <c r="DQ611" s="233"/>
      <c r="DR611" s="233"/>
      <c r="DS611" s="233"/>
      <c r="DT611" s="233"/>
      <c r="DU611" s="233"/>
      <c r="DV611" s="233"/>
      <c r="DW611" s="233"/>
      <c r="DX611" s="233"/>
      <c r="DY611" s="233"/>
      <c r="DZ611" s="233"/>
      <c r="EA611" s="233"/>
      <c r="EB611" s="233"/>
      <c r="EC611" s="233"/>
      <c r="ED611" s="233"/>
      <c r="EE611" s="233"/>
      <c r="EF611" s="233"/>
      <c r="EG611" s="233"/>
      <c r="EH611" s="233"/>
      <c r="EI611" s="233"/>
      <c r="EJ611" s="233"/>
      <c r="EK611" s="233"/>
      <c r="EL611" s="233"/>
      <c r="EM611" s="233"/>
      <c r="EN611" s="233"/>
      <c r="EO611" s="233"/>
      <c r="EP611" s="233"/>
    </row>
    <row r="612" spans="1:146" ht="14.25" x14ac:dyDescent="0.2">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233"/>
      <c r="BE612" s="233"/>
      <c r="BF612" s="233"/>
      <c r="BG612" s="233"/>
      <c r="BH612" s="233"/>
      <c r="BI612" s="233"/>
      <c r="BJ612" s="233"/>
      <c r="BK612" s="233"/>
      <c r="BL612" s="233"/>
      <c r="BM612" s="233"/>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33"/>
      <c r="CI612" s="233"/>
      <c r="CJ612" s="233"/>
      <c r="CK612" s="233"/>
      <c r="CL612" s="233"/>
      <c r="CM612" s="233"/>
      <c r="CN612" s="233"/>
      <c r="CO612" s="233"/>
      <c r="CP612" s="233"/>
      <c r="CQ612" s="233"/>
      <c r="CR612" s="233"/>
      <c r="CS612" s="233"/>
      <c r="CT612" s="233"/>
      <c r="CU612" s="233"/>
      <c r="CV612" s="233"/>
      <c r="CW612" s="233"/>
      <c r="CX612" s="233"/>
      <c r="CY612" s="233"/>
      <c r="CZ612" s="233"/>
      <c r="DA612" s="233"/>
      <c r="DB612" s="233"/>
      <c r="DC612" s="233"/>
      <c r="DD612" s="233"/>
      <c r="DE612" s="233"/>
      <c r="DF612" s="233"/>
      <c r="DG612" s="233"/>
      <c r="DH612" s="233"/>
      <c r="DI612" s="233"/>
      <c r="DJ612" s="233"/>
      <c r="DK612" s="233"/>
      <c r="DL612" s="233"/>
      <c r="DM612" s="233"/>
      <c r="DN612" s="233"/>
      <c r="DO612" s="233"/>
      <c r="DP612" s="233"/>
      <c r="DQ612" s="233"/>
      <c r="DR612" s="233"/>
      <c r="DS612" s="233"/>
      <c r="DT612" s="233"/>
      <c r="DU612" s="233"/>
      <c r="DV612" s="233"/>
      <c r="DW612" s="233"/>
      <c r="DX612" s="233"/>
      <c r="DY612" s="233"/>
      <c r="DZ612" s="233"/>
      <c r="EA612" s="233"/>
      <c r="EB612" s="233"/>
      <c r="EC612" s="233"/>
      <c r="ED612" s="233"/>
      <c r="EE612" s="233"/>
      <c r="EF612" s="233"/>
      <c r="EG612" s="233"/>
      <c r="EH612" s="233"/>
      <c r="EI612" s="233"/>
      <c r="EJ612" s="233"/>
      <c r="EK612" s="233"/>
      <c r="EL612" s="233"/>
      <c r="EM612" s="233"/>
      <c r="EN612" s="233"/>
      <c r="EO612" s="233"/>
      <c r="EP612" s="233"/>
    </row>
    <row r="613" spans="1:146" ht="14.25" x14ac:dyDescent="0.2">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233"/>
      <c r="BE613" s="233"/>
      <c r="BF613" s="233"/>
      <c r="BG613" s="233"/>
      <c r="BH613" s="233"/>
      <c r="BI613" s="233"/>
      <c r="BJ613" s="233"/>
      <c r="BK613" s="233"/>
      <c r="BL613" s="233"/>
      <c r="BM613" s="233"/>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33"/>
      <c r="CI613" s="233"/>
      <c r="CJ613" s="233"/>
      <c r="CK613" s="233"/>
      <c r="CL613" s="233"/>
      <c r="CM613" s="233"/>
      <c r="CN613" s="233"/>
      <c r="CO613" s="233"/>
      <c r="CP613" s="233"/>
      <c r="CQ613" s="233"/>
      <c r="CR613" s="233"/>
      <c r="CS613" s="233"/>
      <c r="CT613" s="233"/>
      <c r="CU613" s="233"/>
      <c r="CV613" s="233"/>
      <c r="CW613" s="233"/>
      <c r="CX613" s="233"/>
      <c r="CY613" s="233"/>
      <c r="CZ613" s="233"/>
      <c r="DA613" s="233"/>
      <c r="DB613" s="233"/>
      <c r="DC613" s="233"/>
      <c r="DD613" s="233"/>
      <c r="DE613" s="233"/>
      <c r="DF613" s="233"/>
      <c r="DG613" s="233"/>
      <c r="DH613" s="233"/>
      <c r="DI613" s="233"/>
      <c r="DJ613" s="233"/>
      <c r="DK613" s="233"/>
      <c r="DL613" s="233"/>
      <c r="DM613" s="233"/>
      <c r="DN613" s="233"/>
      <c r="DO613" s="233"/>
      <c r="DP613" s="233"/>
      <c r="DQ613" s="233"/>
      <c r="DR613" s="233"/>
      <c r="DS613" s="233"/>
      <c r="DT613" s="233"/>
      <c r="DU613" s="233"/>
      <c r="DV613" s="233"/>
      <c r="DW613" s="233"/>
      <c r="DX613" s="233"/>
      <c r="DY613" s="233"/>
      <c r="DZ613" s="233"/>
      <c r="EA613" s="233"/>
      <c r="EB613" s="233"/>
      <c r="EC613" s="233"/>
      <c r="ED613" s="233"/>
      <c r="EE613" s="233"/>
      <c r="EF613" s="233"/>
      <c r="EG613" s="233"/>
      <c r="EH613" s="233"/>
      <c r="EI613" s="233"/>
      <c r="EJ613" s="233"/>
      <c r="EK613" s="233"/>
      <c r="EL613" s="233"/>
      <c r="EM613" s="233"/>
      <c r="EN613" s="233"/>
      <c r="EO613" s="233"/>
      <c r="EP613" s="233"/>
    </row>
    <row r="614" spans="1:146" ht="14.25" x14ac:dyDescent="0.2">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233"/>
      <c r="BE614" s="233"/>
      <c r="BF614" s="233"/>
      <c r="BG614" s="233"/>
      <c r="BH614" s="233"/>
      <c r="BI614" s="233"/>
      <c r="BJ614" s="233"/>
      <c r="BK614" s="233"/>
      <c r="BL614" s="233"/>
      <c r="BM614" s="233"/>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33"/>
      <c r="CI614" s="233"/>
      <c r="CJ614" s="233"/>
      <c r="CK614" s="233"/>
      <c r="CL614" s="233"/>
      <c r="CM614" s="233"/>
      <c r="CN614" s="233"/>
      <c r="CO614" s="233"/>
      <c r="CP614" s="233"/>
      <c r="CQ614" s="233"/>
      <c r="CR614" s="233"/>
      <c r="CS614" s="233"/>
      <c r="CT614" s="233"/>
      <c r="CU614" s="233"/>
      <c r="CV614" s="233"/>
      <c r="CW614" s="233"/>
      <c r="CX614" s="233"/>
      <c r="CY614" s="233"/>
      <c r="CZ614" s="233"/>
      <c r="DA614" s="233"/>
      <c r="DB614" s="233"/>
      <c r="DC614" s="233"/>
      <c r="DD614" s="233"/>
      <c r="DE614" s="233"/>
      <c r="DF614" s="233"/>
      <c r="DG614" s="233"/>
      <c r="DH614" s="233"/>
      <c r="DI614" s="233"/>
      <c r="DJ614" s="233"/>
      <c r="DK614" s="233"/>
      <c r="DL614" s="233"/>
      <c r="DM614" s="233"/>
      <c r="DN614" s="233"/>
      <c r="DO614" s="233"/>
      <c r="DP614" s="233"/>
      <c r="DQ614" s="233"/>
      <c r="DR614" s="233"/>
      <c r="DS614" s="233"/>
      <c r="DT614" s="233"/>
      <c r="DU614" s="233"/>
      <c r="DV614" s="233"/>
      <c r="DW614" s="233"/>
      <c r="DX614" s="233"/>
      <c r="DY614" s="233"/>
      <c r="DZ614" s="233"/>
      <c r="EA614" s="233"/>
      <c r="EB614" s="233"/>
      <c r="EC614" s="233"/>
      <c r="ED614" s="233"/>
      <c r="EE614" s="233"/>
      <c r="EF614" s="233"/>
      <c r="EG614" s="233"/>
      <c r="EH614" s="233"/>
      <c r="EI614" s="233"/>
      <c r="EJ614" s="233"/>
      <c r="EK614" s="233"/>
      <c r="EL614" s="233"/>
      <c r="EM614" s="233"/>
      <c r="EN614" s="233"/>
      <c r="EO614" s="233"/>
      <c r="EP614" s="233"/>
    </row>
    <row r="615" spans="1:146" ht="14.25" x14ac:dyDescent="0.2">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33"/>
      <c r="CI615" s="233"/>
      <c r="CJ615" s="233"/>
      <c r="CK615" s="233"/>
      <c r="CL615" s="233"/>
      <c r="CM615" s="233"/>
      <c r="CN615" s="233"/>
      <c r="CO615" s="233"/>
      <c r="CP615" s="233"/>
      <c r="CQ615" s="233"/>
      <c r="CR615" s="233"/>
      <c r="CS615" s="233"/>
      <c r="CT615" s="233"/>
      <c r="CU615" s="233"/>
      <c r="CV615" s="233"/>
      <c r="CW615" s="233"/>
      <c r="CX615" s="233"/>
      <c r="CY615" s="233"/>
      <c r="CZ615" s="233"/>
      <c r="DA615" s="233"/>
      <c r="DB615" s="233"/>
      <c r="DC615" s="233"/>
      <c r="DD615" s="233"/>
      <c r="DE615" s="233"/>
      <c r="DF615" s="233"/>
      <c r="DG615" s="233"/>
      <c r="DH615" s="233"/>
      <c r="DI615" s="233"/>
      <c r="DJ615" s="233"/>
      <c r="DK615" s="233"/>
      <c r="DL615" s="233"/>
      <c r="DM615" s="233"/>
      <c r="DN615" s="233"/>
      <c r="DO615" s="233"/>
      <c r="DP615" s="233"/>
      <c r="DQ615" s="233"/>
      <c r="DR615" s="233"/>
      <c r="DS615" s="233"/>
      <c r="DT615" s="233"/>
      <c r="DU615" s="233"/>
      <c r="DV615" s="233"/>
      <c r="DW615" s="233"/>
      <c r="DX615" s="233"/>
      <c r="DY615" s="233"/>
      <c r="DZ615" s="233"/>
      <c r="EA615" s="233"/>
      <c r="EB615" s="233"/>
      <c r="EC615" s="233"/>
      <c r="ED615" s="233"/>
      <c r="EE615" s="233"/>
      <c r="EF615" s="233"/>
      <c r="EG615" s="233"/>
      <c r="EH615" s="233"/>
      <c r="EI615" s="233"/>
      <c r="EJ615" s="233"/>
      <c r="EK615" s="233"/>
      <c r="EL615" s="233"/>
      <c r="EM615" s="233"/>
      <c r="EN615" s="233"/>
      <c r="EO615" s="233"/>
      <c r="EP615" s="233"/>
    </row>
    <row r="616" spans="1:146" ht="14.25" x14ac:dyDescent="0.2">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233"/>
      <c r="BE616" s="233"/>
      <c r="BF616" s="233"/>
      <c r="BG616" s="233"/>
      <c r="BH616" s="233"/>
      <c r="BI616" s="233"/>
      <c r="BJ616" s="233"/>
      <c r="BK616" s="233"/>
      <c r="BL616" s="233"/>
      <c r="BM616" s="233"/>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33"/>
      <c r="CI616" s="233"/>
      <c r="CJ616" s="233"/>
      <c r="CK616" s="233"/>
      <c r="CL616" s="233"/>
      <c r="CM616" s="233"/>
      <c r="CN616" s="233"/>
      <c r="CO616" s="233"/>
      <c r="CP616" s="233"/>
      <c r="CQ616" s="233"/>
      <c r="CR616" s="233"/>
      <c r="CS616" s="233"/>
      <c r="CT616" s="233"/>
      <c r="CU616" s="233"/>
      <c r="CV616" s="233"/>
      <c r="CW616" s="233"/>
      <c r="CX616" s="233"/>
      <c r="CY616" s="233"/>
      <c r="CZ616" s="233"/>
      <c r="DA616" s="233"/>
      <c r="DB616" s="233"/>
      <c r="DC616" s="233"/>
      <c r="DD616" s="233"/>
      <c r="DE616" s="233"/>
      <c r="DF616" s="233"/>
      <c r="DG616" s="233"/>
      <c r="DH616" s="233"/>
      <c r="DI616" s="233"/>
      <c r="DJ616" s="233"/>
      <c r="DK616" s="233"/>
      <c r="DL616" s="233"/>
      <c r="DM616" s="233"/>
      <c r="DN616" s="233"/>
      <c r="DO616" s="233"/>
      <c r="DP616" s="233"/>
      <c r="DQ616" s="233"/>
      <c r="DR616" s="233"/>
      <c r="DS616" s="233"/>
      <c r="DT616" s="233"/>
      <c r="DU616" s="233"/>
      <c r="DV616" s="233"/>
      <c r="DW616" s="233"/>
      <c r="DX616" s="233"/>
      <c r="DY616" s="233"/>
      <c r="DZ616" s="233"/>
      <c r="EA616" s="233"/>
      <c r="EB616" s="233"/>
      <c r="EC616" s="233"/>
      <c r="ED616" s="233"/>
      <c r="EE616" s="233"/>
      <c r="EF616" s="233"/>
      <c r="EG616" s="233"/>
      <c r="EH616" s="233"/>
      <c r="EI616" s="233"/>
      <c r="EJ616" s="233"/>
      <c r="EK616" s="233"/>
      <c r="EL616" s="233"/>
      <c r="EM616" s="233"/>
      <c r="EN616" s="233"/>
      <c r="EO616" s="233"/>
      <c r="EP616" s="233"/>
    </row>
    <row r="617" spans="1:146" ht="14.25" x14ac:dyDescent="0.2">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233"/>
      <c r="BE617" s="233"/>
      <c r="BF617" s="233"/>
      <c r="BG617" s="233"/>
      <c r="BH617" s="233"/>
      <c r="BI617" s="233"/>
      <c r="BJ617" s="233"/>
      <c r="BK617" s="233"/>
      <c r="BL617" s="233"/>
      <c r="BM617" s="233"/>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33"/>
      <c r="CI617" s="233"/>
      <c r="CJ617" s="233"/>
      <c r="CK617" s="233"/>
      <c r="CL617" s="233"/>
      <c r="CM617" s="233"/>
      <c r="CN617" s="233"/>
      <c r="CO617" s="233"/>
      <c r="CP617" s="233"/>
      <c r="CQ617" s="233"/>
      <c r="CR617" s="233"/>
      <c r="CS617" s="233"/>
      <c r="CT617" s="233"/>
      <c r="CU617" s="233"/>
      <c r="CV617" s="233"/>
      <c r="CW617" s="233"/>
      <c r="CX617" s="233"/>
      <c r="CY617" s="233"/>
      <c r="CZ617" s="233"/>
      <c r="DA617" s="233"/>
      <c r="DB617" s="233"/>
      <c r="DC617" s="233"/>
      <c r="DD617" s="233"/>
      <c r="DE617" s="233"/>
      <c r="DF617" s="233"/>
      <c r="DG617" s="233"/>
      <c r="DH617" s="233"/>
      <c r="DI617" s="233"/>
      <c r="DJ617" s="233"/>
      <c r="DK617" s="233"/>
      <c r="DL617" s="233"/>
      <c r="DM617" s="233"/>
      <c r="DN617" s="233"/>
      <c r="DO617" s="233"/>
      <c r="DP617" s="233"/>
      <c r="DQ617" s="233"/>
      <c r="DR617" s="233"/>
      <c r="DS617" s="233"/>
      <c r="DT617" s="233"/>
      <c r="DU617" s="233"/>
      <c r="DV617" s="233"/>
      <c r="DW617" s="233"/>
      <c r="DX617" s="233"/>
      <c r="DY617" s="233"/>
      <c r="DZ617" s="233"/>
      <c r="EA617" s="233"/>
      <c r="EB617" s="233"/>
      <c r="EC617" s="233"/>
      <c r="ED617" s="233"/>
      <c r="EE617" s="233"/>
      <c r="EF617" s="233"/>
      <c r="EG617" s="233"/>
      <c r="EH617" s="233"/>
      <c r="EI617" s="233"/>
      <c r="EJ617" s="233"/>
      <c r="EK617" s="233"/>
      <c r="EL617" s="233"/>
      <c r="EM617" s="233"/>
      <c r="EN617" s="233"/>
      <c r="EO617" s="233"/>
      <c r="EP617" s="233"/>
    </row>
    <row r="618" spans="1:146" ht="14.25" x14ac:dyDescent="0.2">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233"/>
      <c r="BE618" s="233"/>
      <c r="BF618" s="233"/>
      <c r="BG618" s="233"/>
      <c r="BH618" s="233"/>
      <c r="BI618" s="233"/>
      <c r="BJ618" s="233"/>
      <c r="BK618" s="233"/>
      <c r="BL618" s="233"/>
      <c r="BM618" s="233"/>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33"/>
      <c r="CI618" s="233"/>
      <c r="CJ618" s="233"/>
      <c r="CK618" s="233"/>
      <c r="CL618" s="233"/>
      <c r="CM618" s="233"/>
      <c r="CN618" s="233"/>
      <c r="CO618" s="233"/>
      <c r="CP618" s="233"/>
      <c r="CQ618" s="233"/>
      <c r="CR618" s="233"/>
      <c r="CS618" s="233"/>
      <c r="CT618" s="233"/>
      <c r="CU618" s="233"/>
      <c r="CV618" s="233"/>
      <c r="CW618" s="233"/>
      <c r="CX618" s="233"/>
      <c r="CY618" s="233"/>
      <c r="CZ618" s="233"/>
      <c r="DA618" s="233"/>
      <c r="DB618" s="233"/>
      <c r="DC618" s="233"/>
      <c r="DD618" s="233"/>
      <c r="DE618" s="233"/>
      <c r="DF618" s="233"/>
      <c r="DG618" s="233"/>
      <c r="DH618" s="233"/>
      <c r="DI618" s="233"/>
      <c r="DJ618" s="233"/>
      <c r="DK618" s="233"/>
      <c r="DL618" s="233"/>
      <c r="DM618" s="233"/>
      <c r="DN618" s="233"/>
      <c r="DO618" s="233"/>
      <c r="DP618" s="233"/>
      <c r="DQ618" s="233"/>
      <c r="DR618" s="233"/>
      <c r="DS618" s="233"/>
      <c r="DT618" s="233"/>
      <c r="DU618" s="233"/>
      <c r="DV618" s="233"/>
      <c r="DW618" s="233"/>
      <c r="DX618" s="233"/>
      <c r="DY618" s="233"/>
      <c r="DZ618" s="233"/>
      <c r="EA618" s="233"/>
      <c r="EB618" s="233"/>
      <c r="EC618" s="233"/>
      <c r="ED618" s="233"/>
      <c r="EE618" s="233"/>
      <c r="EF618" s="233"/>
      <c r="EG618" s="233"/>
      <c r="EH618" s="233"/>
      <c r="EI618" s="233"/>
      <c r="EJ618" s="233"/>
      <c r="EK618" s="233"/>
      <c r="EL618" s="233"/>
      <c r="EM618" s="233"/>
      <c r="EN618" s="233"/>
      <c r="EO618" s="233"/>
      <c r="EP618" s="233"/>
    </row>
    <row r="619" spans="1:146" ht="14.25" x14ac:dyDescent="0.2">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233"/>
      <c r="BE619" s="233"/>
      <c r="BF619" s="233"/>
      <c r="BG619" s="233"/>
      <c r="BH619" s="233"/>
      <c r="BI619" s="233"/>
      <c r="BJ619" s="233"/>
      <c r="BK619" s="233"/>
      <c r="BL619" s="233"/>
      <c r="BM619" s="233"/>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33"/>
      <c r="CI619" s="233"/>
      <c r="CJ619" s="233"/>
      <c r="CK619" s="233"/>
      <c r="CL619" s="233"/>
      <c r="CM619" s="233"/>
      <c r="CN619" s="233"/>
      <c r="CO619" s="233"/>
      <c r="CP619" s="233"/>
      <c r="CQ619" s="233"/>
      <c r="CR619" s="233"/>
      <c r="CS619" s="233"/>
      <c r="CT619" s="233"/>
      <c r="CU619" s="233"/>
      <c r="CV619" s="233"/>
      <c r="CW619" s="233"/>
      <c r="CX619" s="233"/>
      <c r="CY619" s="233"/>
      <c r="CZ619" s="233"/>
      <c r="DA619" s="233"/>
      <c r="DB619" s="233"/>
      <c r="DC619" s="233"/>
      <c r="DD619" s="233"/>
      <c r="DE619" s="233"/>
      <c r="DF619" s="233"/>
      <c r="DG619" s="233"/>
      <c r="DH619" s="233"/>
      <c r="DI619" s="233"/>
      <c r="DJ619" s="233"/>
      <c r="DK619" s="233"/>
      <c r="DL619" s="233"/>
      <c r="DM619" s="233"/>
      <c r="DN619" s="233"/>
      <c r="DO619" s="233"/>
      <c r="DP619" s="233"/>
      <c r="DQ619" s="233"/>
      <c r="DR619" s="233"/>
      <c r="DS619" s="233"/>
      <c r="DT619" s="233"/>
      <c r="DU619" s="233"/>
      <c r="DV619" s="233"/>
      <c r="DW619" s="233"/>
      <c r="DX619" s="233"/>
      <c r="DY619" s="233"/>
      <c r="DZ619" s="233"/>
      <c r="EA619" s="233"/>
      <c r="EB619" s="233"/>
      <c r="EC619" s="233"/>
      <c r="ED619" s="233"/>
      <c r="EE619" s="233"/>
      <c r="EF619" s="233"/>
      <c r="EG619" s="233"/>
      <c r="EH619" s="233"/>
      <c r="EI619" s="233"/>
      <c r="EJ619" s="233"/>
      <c r="EK619" s="233"/>
      <c r="EL619" s="233"/>
      <c r="EM619" s="233"/>
      <c r="EN619" s="233"/>
      <c r="EO619" s="233"/>
      <c r="EP619" s="233"/>
    </row>
    <row r="620" spans="1:146" ht="14.25" x14ac:dyDescent="0.2">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233"/>
      <c r="BE620" s="233"/>
      <c r="BF620" s="233"/>
      <c r="BG620" s="233"/>
      <c r="BH620" s="233"/>
      <c r="BI620" s="233"/>
      <c r="BJ620" s="233"/>
      <c r="BK620" s="233"/>
      <c r="BL620" s="233"/>
      <c r="BM620" s="233"/>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33"/>
      <c r="CI620" s="233"/>
      <c r="CJ620" s="233"/>
      <c r="CK620" s="233"/>
      <c r="CL620" s="233"/>
      <c r="CM620" s="233"/>
      <c r="CN620" s="233"/>
      <c r="CO620" s="233"/>
      <c r="CP620" s="233"/>
      <c r="CQ620" s="233"/>
      <c r="CR620" s="233"/>
      <c r="CS620" s="233"/>
      <c r="CT620" s="233"/>
      <c r="CU620" s="233"/>
      <c r="CV620" s="233"/>
      <c r="CW620" s="233"/>
      <c r="CX620" s="233"/>
      <c r="CY620" s="233"/>
      <c r="CZ620" s="233"/>
      <c r="DA620" s="233"/>
      <c r="DB620" s="233"/>
      <c r="DC620" s="233"/>
      <c r="DD620" s="233"/>
      <c r="DE620" s="233"/>
      <c r="DF620" s="233"/>
      <c r="DG620" s="233"/>
      <c r="DH620" s="233"/>
      <c r="DI620" s="233"/>
      <c r="DJ620" s="233"/>
      <c r="DK620" s="233"/>
      <c r="DL620" s="233"/>
      <c r="DM620" s="233"/>
      <c r="DN620" s="233"/>
      <c r="DO620" s="233"/>
      <c r="DP620" s="233"/>
      <c r="DQ620" s="233"/>
      <c r="DR620" s="233"/>
      <c r="DS620" s="233"/>
      <c r="DT620" s="233"/>
      <c r="DU620" s="233"/>
      <c r="DV620" s="233"/>
      <c r="DW620" s="233"/>
      <c r="DX620" s="233"/>
      <c r="DY620" s="233"/>
      <c r="DZ620" s="233"/>
      <c r="EA620" s="233"/>
      <c r="EB620" s="233"/>
      <c r="EC620" s="233"/>
      <c r="ED620" s="233"/>
      <c r="EE620" s="233"/>
      <c r="EF620" s="233"/>
      <c r="EG620" s="233"/>
      <c r="EH620" s="233"/>
      <c r="EI620" s="233"/>
      <c r="EJ620" s="233"/>
      <c r="EK620" s="233"/>
      <c r="EL620" s="233"/>
      <c r="EM620" s="233"/>
      <c r="EN620" s="233"/>
      <c r="EO620" s="233"/>
      <c r="EP620" s="233"/>
    </row>
    <row r="621" spans="1:146" ht="14.25" x14ac:dyDescent="0.2">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233"/>
      <c r="BE621" s="233"/>
      <c r="BF621" s="233"/>
      <c r="BG621" s="233"/>
      <c r="BH621" s="233"/>
      <c r="BI621" s="233"/>
      <c r="BJ621" s="233"/>
      <c r="BK621" s="233"/>
      <c r="BL621" s="233"/>
      <c r="BM621" s="233"/>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33"/>
      <c r="CI621" s="233"/>
      <c r="CJ621" s="233"/>
      <c r="CK621" s="233"/>
      <c r="CL621" s="233"/>
      <c r="CM621" s="233"/>
      <c r="CN621" s="233"/>
      <c r="CO621" s="233"/>
      <c r="CP621" s="233"/>
      <c r="CQ621" s="233"/>
      <c r="CR621" s="233"/>
      <c r="CS621" s="233"/>
      <c r="CT621" s="233"/>
      <c r="CU621" s="233"/>
      <c r="CV621" s="233"/>
      <c r="CW621" s="233"/>
      <c r="CX621" s="233"/>
      <c r="CY621" s="233"/>
      <c r="CZ621" s="233"/>
      <c r="DA621" s="233"/>
      <c r="DB621" s="233"/>
      <c r="DC621" s="233"/>
      <c r="DD621" s="233"/>
      <c r="DE621" s="233"/>
      <c r="DF621" s="233"/>
      <c r="DG621" s="233"/>
      <c r="DH621" s="233"/>
      <c r="DI621" s="233"/>
      <c r="DJ621" s="233"/>
      <c r="DK621" s="233"/>
      <c r="DL621" s="233"/>
      <c r="DM621" s="233"/>
      <c r="DN621" s="233"/>
      <c r="DO621" s="233"/>
      <c r="DP621" s="233"/>
      <c r="DQ621" s="233"/>
      <c r="DR621" s="233"/>
      <c r="DS621" s="233"/>
      <c r="DT621" s="233"/>
      <c r="DU621" s="233"/>
      <c r="DV621" s="233"/>
      <c r="DW621" s="233"/>
      <c r="DX621" s="233"/>
      <c r="DY621" s="233"/>
      <c r="DZ621" s="233"/>
      <c r="EA621" s="233"/>
      <c r="EB621" s="233"/>
      <c r="EC621" s="233"/>
      <c r="ED621" s="233"/>
      <c r="EE621" s="233"/>
      <c r="EF621" s="233"/>
      <c r="EG621" s="233"/>
      <c r="EH621" s="233"/>
      <c r="EI621" s="233"/>
      <c r="EJ621" s="233"/>
      <c r="EK621" s="233"/>
      <c r="EL621" s="233"/>
      <c r="EM621" s="233"/>
      <c r="EN621" s="233"/>
      <c r="EO621" s="233"/>
      <c r="EP621" s="233"/>
    </row>
    <row r="622" spans="1:146" ht="14.25" x14ac:dyDescent="0.2">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233"/>
      <c r="BE622" s="233"/>
      <c r="BF622" s="233"/>
      <c r="BG622" s="233"/>
      <c r="BH622" s="233"/>
      <c r="BI622" s="233"/>
      <c r="BJ622" s="233"/>
      <c r="BK622" s="233"/>
      <c r="BL622" s="233"/>
      <c r="BM622" s="233"/>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33"/>
      <c r="CI622" s="233"/>
      <c r="CJ622" s="233"/>
      <c r="CK622" s="233"/>
      <c r="CL622" s="233"/>
      <c r="CM622" s="233"/>
      <c r="CN622" s="233"/>
      <c r="CO622" s="233"/>
      <c r="CP622" s="233"/>
      <c r="CQ622" s="233"/>
      <c r="CR622" s="233"/>
      <c r="CS622" s="233"/>
      <c r="CT622" s="233"/>
      <c r="CU622" s="233"/>
      <c r="CV622" s="233"/>
      <c r="CW622" s="233"/>
      <c r="CX622" s="233"/>
      <c r="CY622" s="233"/>
      <c r="CZ622" s="233"/>
      <c r="DA622" s="233"/>
      <c r="DB622" s="233"/>
      <c r="DC622" s="233"/>
      <c r="DD622" s="233"/>
      <c r="DE622" s="233"/>
      <c r="DF622" s="233"/>
      <c r="DG622" s="233"/>
      <c r="DH622" s="233"/>
      <c r="DI622" s="233"/>
      <c r="DJ622" s="233"/>
      <c r="DK622" s="233"/>
      <c r="DL622" s="233"/>
      <c r="DM622" s="233"/>
      <c r="DN622" s="233"/>
      <c r="DO622" s="233"/>
      <c r="DP622" s="233"/>
      <c r="DQ622" s="233"/>
      <c r="DR622" s="233"/>
      <c r="DS622" s="233"/>
      <c r="DT622" s="233"/>
      <c r="DU622" s="233"/>
      <c r="DV622" s="233"/>
      <c r="DW622" s="233"/>
      <c r="DX622" s="233"/>
      <c r="DY622" s="233"/>
      <c r="DZ622" s="233"/>
      <c r="EA622" s="233"/>
      <c r="EB622" s="233"/>
      <c r="EC622" s="233"/>
      <c r="ED622" s="233"/>
      <c r="EE622" s="233"/>
      <c r="EF622" s="233"/>
      <c r="EG622" s="233"/>
      <c r="EH622" s="233"/>
      <c r="EI622" s="233"/>
      <c r="EJ622" s="233"/>
      <c r="EK622" s="233"/>
      <c r="EL622" s="233"/>
      <c r="EM622" s="233"/>
      <c r="EN622" s="233"/>
      <c r="EO622" s="233"/>
      <c r="EP622" s="233"/>
    </row>
    <row r="623" spans="1:146" ht="14.25" x14ac:dyDescent="0.2">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233"/>
      <c r="BE623" s="233"/>
      <c r="BF623" s="233"/>
      <c r="BG623" s="233"/>
      <c r="BH623" s="233"/>
      <c r="BI623" s="233"/>
      <c r="BJ623" s="233"/>
      <c r="BK623" s="233"/>
      <c r="BL623" s="233"/>
      <c r="BM623" s="233"/>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33"/>
      <c r="CI623" s="233"/>
      <c r="CJ623" s="233"/>
      <c r="CK623" s="233"/>
      <c r="CL623" s="233"/>
      <c r="CM623" s="233"/>
      <c r="CN623" s="233"/>
      <c r="CO623" s="233"/>
      <c r="CP623" s="233"/>
      <c r="CQ623" s="233"/>
      <c r="CR623" s="233"/>
      <c r="CS623" s="233"/>
      <c r="CT623" s="233"/>
      <c r="CU623" s="233"/>
      <c r="CV623" s="233"/>
      <c r="CW623" s="233"/>
      <c r="CX623" s="233"/>
      <c r="CY623" s="233"/>
      <c r="CZ623" s="233"/>
      <c r="DA623" s="233"/>
      <c r="DB623" s="233"/>
      <c r="DC623" s="233"/>
      <c r="DD623" s="233"/>
      <c r="DE623" s="233"/>
      <c r="DF623" s="233"/>
      <c r="DG623" s="233"/>
      <c r="DH623" s="233"/>
      <c r="DI623" s="233"/>
      <c r="DJ623" s="233"/>
      <c r="DK623" s="233"/>
      <c r="DL623" s="233"/>
      <c r="DM623" s="233"/>
      <c r="DN623" s="233"/>
      <c r="DO623" s="233"/>
      <c r="DP623" s="233"/>
      <c r="DQ623" s="233"/>
      <c r="DR623" s="233"/>
      <c r="DS623" s="233"/>
      <c r="DT623" s="233"/>
      <c r="DU623" s="233"/>
      <c r="DV623" s="233"/>
      <c r="DW623" s="233"/>
      <c r="DX623" s="233"/>
      <c r="DY623" s="233"/>
      <c r="DZ623" s="233"/>
      <c r="EA623" s="233"/>
      <c r="EB623" s="233"/>
      <c r="EC623" s="233"/>
      <c r="ED623" s="233"/>
      <c r="EE623" s="233"/>
      <c r="EF623" s="233"/>
      <c r="EG623" s="233"/>
      <c r="EH623" s="233"/>
      <c r="EI623" s="233"/>
      <c r="EJ623" s="233"/>
      <c r="EK623" s="233"/>
      <c r="EL623" s="233"/>
      <c r="EM623" s="233"/>
      <c r="EN623" s="233"/>
      <c r="EO623" s="233"/>
      <c r="EP623" s="233"/>
    </row>
    <row r="624" spans="1:146" ht="14.25" x14ac:dyDescent="0.2">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233"/>
      <c r="BE624" s="233"/>
      <c r="BF624" s="233"/>
      <c r="BG624" s="233"/>
      <c r="BH624" s="233"/>
      <c r="BI624" s="233"/>
      <c r="BJ624" s="233"/>
      <c r="BK624" s="233"/>
      <c r="BL624" s="233"/>
      <c r="BM624" s="233"/>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33"/>
      <c r="CI624" s="233"/>
      <c r="CJ624" s="233"/>
      <c r="CK624" s="233"/>
      <c r="CL624" s="233"/>
      <c r="CM624" s="233"/>
      <c r="CN624" s="233"/>
      <c r="CO624" s="233"/>
      <c r="CP624" s="233"/>
      <c r="CQ624" s="233"/>
      <c r="CR624" s="233"/>
      <c r="CS624" s="233"/>
      <c r="CT624" s="233"/>
      <c r="CU624" s="233"/>
      <c r="CV624" s="233"/>
      <c r="CW624" s="233"/>
      <c r="CX624" s="233"/>
      <c r="CY624" s="233"/>
      <c r="CZ624" s="233"/>
      <c r="DA624" s="233"/>
      <c r="DB624" s="233"/>
      <c r="DC624" s="233"/>
      <c r="DD624" s="233"/>
      <c r="DE624" s="233"/>
      <c r="DF624" s="233"/>
      <c r="DG624" s="233"/>
      <c r="DH624" s="233"/>
      <c r="DI624" s="233"/>
      <c r="DJ624" s="233"/>
      <c r="DK624" s="233"/>
      <c r="DL624" s="233"/>
      <c r="DM624" s="233"/>
      <c r="DN624" s="233"/>
      <c r="DO624" s="233"/>
      <c r="DP624" s="233"/>
      <c r="DQ624" s="233"/>
      <c r="DR624" s="233"/>
      <c r="DS624" s="233"/>
      <c r="DT624" s="233"/>
      <c r="DU624" s="233"/>
      <c r="DV624" s="233"/>
      <c r="DW624" s="233"/>
      <c r="DX624" s="233"/>
      <c r="DY624" s="233"/>
      <c r="DZ624" s="233"/>
      <c r="EA624" s="233"/>
      <c r="EB624" s="233"/>
      <c r="EC624" s="233"/>
      <c r="ED624" s="233"/>
      <c r="EE624" s="233"/>
      <c r="EF624" s="233"/>
      <c r="EG624" s="233"/>
      <c r="EH624" s="233"/>
      <c r="EI624" s="233"/>
      <c r="EJ624" s="233"/>
      <c r="EK624" s="233"/>
      <c r="EL624" s="233"/>
      <c r="EM624" s="233"/>
      <c r="EN624" s="233"/>
      <c r="EO624" s="233"/>
      <c r="EP624" s="233"/>
    </row>
    <row r="625" spans="1:146" ht="14.25" x14ac:dyDescent="0.2">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233"/>
      <c r="BE625" s="233"/>
      <c r="BF625" s="233"/>
      <c r="BG625" s="233"/>
      <c r="BH625" s="233"/>
      <c r="BI625" s="233"/>
      <c r="BJ625" s="233"/>
      <c r="BK625" s="233"/>
      <c r="BL625" s="233"/>
      <c r="BM625" s="233"/>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33"/>
      <c r="CI625" s="233"/>
      <c r="CJ625" s="233"/>
      <c r="CK625" s="233"/>
      <c r="CL625" s="233"/>
      <c r="CM625" s="233"/>
      <c r="CN625" s="233"/>
      <c r="CO625" s="233"/>
      <c r="CP625" s="233"/>
      <c r="CQ625" s="233"/>
      <c r="CR625" s="233"/>
      <c r="CS625" s="233"/>
      <c r="CT625" s="233"/>
      <c r="CU625" s="233"/>
      <c r="CV625" s="233"/>
      <c r="CW625" s="233"/>
      <c r="CX625" s="233"/>
      <c r="CY625" s="233"/>
      <c r="CZ625" s="233"/>
      <c r="DA625" s="233"/>
      <c r="DB625" s="233"/>
      <c r="DC625" s="233"/>
      <c r="DD625" s="233"/>
      <c r="DE625" s="233"/>
      <c r="DF625" s="233"/>
      <c r="DG625" s="233"/>
      <c r="DH625" s="233"/>
      <c r="DI625" s="233"/>
      <c r="DJ625" s="233"/>
      <c r="DK625" s="233"/>
      <c r="DL625" s="233"/>
      <c r="DM625" s="233"/>
      <c r="DN625" s="233"/>
      <c r="DO625" s="233"/>
      <c r="DP625" s="233"/>
      <c r="DQ625" s="233"/>
      <c r="DR625" s="233"/>
      <c r="DS625" s="233"/>
      <c r="DT625" s="233"/>
      <c r="DU625" s="233"/>
      <c r="DV625" s="233"/>
      <c r="DW625" s="233"/>
      <c r="DX625" s="233"/>
      <c r="DY625" s="233"/>
      <c r="DZ625" s="233"/>
      <c r="EA625" s="233"/>
      <c r="EB625" s="233"/>
      <c r="EC625" s="233"/>
      <c r="ED625" s="233"/>
      <c r="EE625" s="233"/>
      <c r="EF625" s="233"/>
      <c r="EG625" s="233"/>
      <c r="EH625" s="233"/>
      <c r="EI625" s="233"/>
      <c r="EJ625" s="233"/>
      <c r="EK625" s="233"/>
      <c r="EL625" s="233"/>
      <c r="EM625" s="233"/>
      <c r="EN625" s="233"/>
      <c r="EO625" s="233"/>
      <c r="EP625" s="233"/>
    </row>
    <row r="626" spans="1:146" ht="14.25" x14ac:dyDescent="0.2">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233"/>
      <c r="BE626" s="233"/>
      <c r="BF626" s="233"/>
      <c r="BG626" s="233"/>
      <c r="BH626" s="233"/>
      <c r="BI626" s="233"/>
      <c r="BJ626" s="233"/>
      <c r="BK626" s="233"/>
      <c r="BL626" s="233"/>
      <c r="BM626" s="233"/>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33"/>
      <c r="CI626" s="233"/>
      <c r="CJ626" s="233"/>
      <c r="CK626" s="233"/>
      <c r="CL626" s="233"/>
      <c r="CM626" s="233"/>
      <c r="CN626" s="233"/>
      <c r="CO626" s="233"/>
      <c r="CP626" s="233"/>
      <c r="CQ626" s="233"/>
      <c r="CR626" s="233"/>
      <c r="CS626" s="233"/>
      <c r="CT626" s="233"/>
      <c r="CU626" s="233"/>
      <c r="CV626" s="233"/>
      <c r="CW626" s="233"/>
      <c r="CX626" s="233"/>
      <c r="CY626" s="233"/>
      <c r="CZ626" s="233"/>
      <c r="DA626" s="233"/>
      <c r="DB626" s="233"/>
      <c r="DC626" s="233"/>
      <c r="DD626" s="233"/>
      <c r="DE626" s="233"/>
      <c r="DF626" s="233"/>
      <c r="DG626" s="233"/>
      <c r="DH626" s="233"/>
      <c r="DI626" s="233"/>
      <c r="DJ626" s="233"/>
      <c r="DK626" s="233"/>
      <c r="DL626" s="233"/>
      <c r="DM626" s="233"/>
      <c r="DN626" s="233"/>
      <c r="DO626" s="233"/>
      <c r="DP626" s="233"/>
      <c r="DQ626" s="233"/>
      <c r="DR626" s="233"/>
      <c r="DS626" s="233"/>
      <c r="DT626" s="233"/>
      <c r="DU626" s="233"/>
      <c r="DV626" s="233"/>
      <c r="DW626" s="233"/>
      <c r="DX626" s="233"/>
      <c r="DY626" s="233"/>
      <c r="DZ626" s="233"/>
      <c r="EA626" s="233"/>
      <c r="EB626" s="233"/>
      <c r="EC626" s="233"/>
      <c r="ED626" s="233"/>
      <c r="EE626" s="233"/>
      <c r="EF626" s="233"/>
      <c r="EG626" s="233"/>
      <c r="EH626" s="233"/>
      <c r="EI626" s="233"/>
      <c r="EJ626" s="233"/>
      <c r="EK626" s="233"/>
      <c r="EL626" s="233"/>
      <c r="EM626" s="233"/>
      <c r="EN626" s="233"/>
      <c r="EO626" s="233"/>
      <c r="EP626" s="233"/>
    </row>
    <row r="627" spans="1:146" ht="14.25" x14ac:dyDescent="0.2">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233"/>
      <c r="BE627" s="233"/>
      <c r="BF627" s="233"/>
      <c r="BG627" s="233"/>
      <c r="BH627" s="233"/>
      <c r="BI627" s="233"/>
      <c r="BJ627" s="233"/>
      <c r="BK627" s="233"/>
      <c r="BL627" s="233"/>
      <c r="BM627" s="233"/>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33"/>
      <c r="CI627" s="233"/>
      <c r="CJ627" s="233"/>
      <c r="CK627" s="233"/>
      <c r="CL627" s="233"/>
      <c r="CM627" s="233"/>
      <c r="CN627" s="233"/>
      <c r="CO627" s="233"/>
      <c r="CP627" s="233"/>
      <c r="CQ627" s="233"/>
      <c r="CR627" s="233"/>
      <c r="CS627" s="233"/>
      <c r="CT627" s="233"/>
      <c r="CU627" s="233"/>
      <c r="CV627" s="233"/>
      <c r="CW627" s="233"/>
      <c r="CX627" s="233"/>
      <c r="CY627" s="233"/>
      <c r="CZ627" s="233"/>
      <c r="DA627" s="233"/>
      <c r="DB627" s="233"/>
      <c r="DC627" s="233"/>
      <c r="DD627" s="233"/>
      <c r="DE627" s="233"/>
      <c r="DF627" s="233"/>
      <c r="DG627" s="233"/>
      <c r="DH627" s="233"/>
      <c r="DI627" s="233"/>
      <c r="DJ627" s="233"/>
      <c r="DK627" s="233"/>
      <c r="DL627" s="233"/>
      <c r="DM627" s="233"/>
      <c r="DN627" s="233"/>
      <c r="DO627" s="233"/>
      <c r="DP627" s="233"/>
      <c r="DQ627" s="233"/>
      <c r="DR627" s="233"/>
      <c r="DS627" s="233"/>
      <c r="DT627" s="233"/>
      <c r="DU627" s="233"/>
      <c r="DV627" s="233"/>
      <c r="DW627" s="233"/>
      <c r="DX627" s="233"/>
      <c r="DY627" s="233"/>
      <c r="DZ627" s="233"/>
      <c r="EA627" s="233"/>
      <c r="EB627" s="233"/>
      <c r="EC627" s="233"/>
      <c r="ED627" s="233"/>
      <c r="EE627" s="233"/>
      <c r="EF627" s="233"/>
      <c r="EG627" s="233"/>
      <c r="EH627" s="233"/>
      <c r="EI627" s="233"/>
      <c r="EJ627" s="233"/>
      <c r="EK627" s="233"/>
      <c r="EL627" s="233"/>
      <c r="EM627" s="233"/>
      <c r="EN627" s="233"/>
      <c r="EO627" s="233"/>
      <c r="EP627" s="233"/>
    </row>
    <row r="628" spans="1:146" ht="14.25" x14ac:dyDescent="0.2">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233"/>
      <c r="BE628" s="233"/>
      <c r="BF628" s="233"/>
      <c r="BG628" s="233"/>
      <c r="BH628" s="233"/>
      <c r="BI628" s="233"/>
      <c r="BJ628" s="233"/>
      <c r="BK628" s="233"/>
      <c r="BL628" s="233"/>
      <c r="BM628" s="233"/>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33"/>
      <c r="CI628" s="233"/>
      <c r="CJ628" s="233"/>
      <c r="CK628" s="233"/>
      <c r="CL628" s="233"/>
      <c r="CM628" s="233"/>
      <c r="CN628" s="233"/>
      <c r="CO628" s="233"/>
      <c r="CP628" s="233"/>
      <c r="CQ628" s="233"/>
      <c r="CR628" s="233"/>
      <c r="CS628" s="233"/>
      <c r="CT628" s="233"/>
      <c r="CU628" s="233"/>
      <c r="CV628" s="233"/>
      <c r="CW628" s="233"/>
      <c r="CX628" s="233"/>
      <c r="CY628" s="233"/>
      <c r="CZ628" s="233"/>
      <c r="DA628" s="233"/>
      <c r="DB628" s="233"/>
      <c r="DC628" s="233"/>
      <c r="DD628" s="233"/>
      <c r="DE628" s="233"/>
      <c r="DF628" s="233"/>
      <c r="DG628" s="233"/>
      <c r="DH628" s="233"/>
      <c r="DI628" s="233"/>
      <c r="DJ628" s="233"/>
      <c r="DK628" s="233"/>
      <c r="DL628" s="233"/>
      <c r="DM628" s="233"/>
      <c r="DN628" s="233"/>
      <c r="DO628" s="233"/>
      <c r="DP628" s="233"/>
      <c r="DQ628" s="233"/>
      <c r="DR628" s="233"/>
      <c r="DS628" s="233"/>
      <c r="DT628" s="233"/>
      <c r="DU628" s="233"/>
      <c r="DV628" s="233"/>
      <c r="DW628" s="233"/>
      <c r="DX628" s="233"/>
      <c r="DY628" s="233"/>
      <c r="DZ628" s="233"/>
      <c r="EA628" s="233"/>
      <c r="EB628" s="233"/>
      <c r="EC628" s="233"/>
      <c r="ED628" s="233"/>
      <c r="EE628" s="233"/>
      <c r="EF628" s="233"/>
      <c r="EG628" s="233"/>
      <c r="EH628" s="233"/>
      <c r="EI628" s="233"/>
      <c r="EJ628" s="233"/>
      <c r="EK628" s="233"/>
      <c r="EL628" s="233"/>
      <c r="EM628" s="233"/>
      <c r="EN628" s="233"/>
      <c r="EO628" s="233"/>
      <c r="EP628" s="233"/>
    </row>
    <row r="629" spans="1:146" ht="14.25" x14ac:dyDescent="0.2">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233"/>
      <c r="BE629" s="233"/>
      <c r="BF629" s="233"/>
      <c r="BG629" s="233"/>
      <c r="BH629" s="233"/>
      <c r="BI629" s="233"/>
      <c r="BJ629" s="233"/>
      <c r="BK629" s="233"/>
      <c r="BL629" s="233"/>
      <c r="BM629" s="233"/>
      <c r="BN629" s="233"/>
      <c r="BO629" s="233"/>
      <c r="BP629" s="233"/>
      <c r="BQ629" s="233"/>
      <c r="BR629" s="233"/>
      <c r="BS629" s="233"/>
      <c r="BT629" s="233"/>
      <c r="BU629" s="233"/>
      <c r="BV629" s="233"/>
      <c r="BW629" s="233"/>
      <c r="BX629" s="233"/>
      <c r="BY629" s="233"/>
      <c r="BZ629" s="233"/>
      <c r="CA629" s="233"/>
      <c r="CB629" s="233"/>
      <c r="CC629" s="233"/>
      <c r="CD629" s="233"/>
      <c r="CE629" s="233"/>
      <c r="CF629" s="233"/>
      <c r="CG629" s="233"/>
      <c r="CH629" s="233"/>
      <c r="CI629" s="233"/>
      <c r="CJ629" s="233"/>
      <c r="CK629" s="233"/>
      <c r="CL629" s="233"/>
      <c r="CM629" s="233"/>
      <c r="CN629" s="233"/>
      <c r="CO629" s="233"/>
      <c r="CP629" s="233"/>
      <c r="CQ629" s="233"/>
      <c r="CR629" s="233"/>
      <c r="CS629" s="233"/>
      <c r="CT629" s="233"/>
      <c r="CU629" s="233"/>
      <c r="CV629" s="233"/>
      <c r="CW629" s="233"/>
      <c r="CX629" s="233"/>
      <c r="CY629" s="233"/>
      <c r="CZ629" s="233"/>
      <c r="DA629" s="233"/>
      <c r="DB629" s="233"/>
      <c r="DC629" s="233"/>
      <c r="DD629" s="233"/>
      <c r="DE629" s="233"/>
      <c r="DF629" s="233"/>
      <c r="DG629" s="233"/>
      <c r="DH629" s="233"/>
      <c r="DI629" s="233"/>
      <c r="DJ629" s="233"/>
      <c r="DK629" s="233"/>
      <c r="DL629" s="233"/>
      <c r="DM629" s="233"/>
      <c r="DN629" s="233"/>
      <c r="DO629" s="233"/>
      <c r="DP629" s="233"/>
      <c r="DQ629" s="233"/>
      <c r="DR629" s="233"/>
      <c r="DS629" s="233"/>
      <c r="DT629" s="233"/>
      <c r="DU629" s="233"/>
      <c r="DV629" s="233"/>
      <c r="DW629" s="233"/>
      <c r="DX629" s="233"/>
      <c r="DY629" s="233"/>
      <c r="DZ629" s="233"/>
      <c r="EA629" s="233"/>
      <c r="EB629" s="233"/>
      <c r="EC629" s="233"/>
      <c r="ED629" s="233"/>
      <c r="EE629" s="233"/>
      <c r="EF629" s="233"/>
      <c r="EG629" s="233"/>
      <c r="EH629" s="233"/>
      <c r="EI629" s="233"/>
      <c r="EJ629" s="233"/>
      <c r="EK629" s="233"/>
      <c r="EL629" s="233"/>
      <c r="EM629" s="233"/>
      <c r="EN629" s="233"/>
      <c r="EO629" s="233"/>
      <c r="EP629" s="233"/>
    </row>
    <row r="630" spans="1:146" ht="14.25" x14ac:dyDescent="0.2">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233"/>
      <c r="BE630" s="233"/>
      <c r="BF630" s="233"/>
      <c r="BG630" s="233"/>
      <c r="BH630" s="233"/>
      <c r="BI630" s="233"/>
      <c r="BJ630" s="233"/>
      <c r="BK630" s="233"/>
      <c r="BL630" s="233"/>
      <c r="BM630" s="233"/>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33"/>
      <c r="CI630" s="233"/>
      <c r="CJ630" s="233"/>
      <c r="CK630" s="233"/>
      <c r="CL630" s="233"/>
      <c r="CM630" s="233"/>
      <c r="CN630" s="233"/>
      <c r="CO630" s="233"/>
      <c r="CP630" s="233"/>
      <c r="CQ630" s="233"/>
      <c r="CR630" s="233"/>
      <c r="CS630" s="233"/>
      <c r="CT630" s="233"/>
      <c r="CU630" s="233"/>
      <c r="CV630" s="233"/>
      <c r="CW630" s="233"/>
      <c r="CX630" s="233"/>
      <c r="CY630" s="233"/>
      <c r="CZ630" s="233"/>
      <c r="DA630" s="233"/>
      <c r="DB630" s="233"/>
      <c r="DC630" s="233"/>
      <c r="DD630" s="233"/>
      <c r="DE630" s="233"/>
      <c r="DF630" s="233"/>
      <c r="DG630" s="233"/>
      <c r="DH630" s="233"/>
      <c r="DI630" s="233"/>
      <c r="DJ630" s="233"/>
      <c r="DK630" s="233"/>
      <c r="DL630" s="233"/>
      <c r="DM630" s="233"/>
      <c r="DN630" s="233"/>
      <c r="DO630" s="233"/>
      <c r="DP630" s="233"/>
      <c r="DQ630" s="233"/>
      <c r="DR630" s="233"/>
      <c r="DS630" s="233"/>
      <c r="DT630" s="233"/>
      <c r="DU630" s="233"/>
      <c r="DV630" s="233"/>
      <c r="DW630" s="233"/>
      <c r="DX630" s="233"/>
      <c r="DY630" s="233"/>
      <c r="DZ630" s="233"/>
      <c r="EA630" s="233"/>
      <c r="EB630" s="233"/>
      <c r="EC630" s="233"/>
      <c r="ED630" s="233"/>
      <c r="EE630" s="233"/>
      <c r="EF630" s="233"/>
      <c r="EG630" s="233"/>
      <c r="EH630" s="233"/>
      <c r="EI630" s="233"/>
      <c r="EJ630" s="233"/>
      <c r="EK630" s="233"/>
      <c r="EL630" s="233"/>
      <c r="EM630" s="233"/>
      <c r="EN630" s="233"/>
      <c r="EO630" s="233"/>
      <c r="EP630" s="233"/>
    </row>
    <row r="631" spans="1:146" ht="14.25" x14ac:dyDescent="0.2">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c r="AW631" s="233"/>
      <c r="AX631" s="233"/>
      <c r="AY631" s="233"/>
      <c r="AZ631" s="233"/>
      <c r="BA631" s="233"/>
      <c r="BB631" s="233"/>
      <c r="BC631" s="233"/>
      <c r="BD631" s="233"/>
      <c r="BE631" s="233"/>
      <c r="BF631" s="233"/>
      <c r="BG631" s="233"/>
      <c r="BH631" s="233"/>
      <c r="BI631" s="233"/>
      <c r="BJ631" s="233"/>
      <c r="BK631" s="233"/>
      <c r="BL631" s="233"/>
      <c r="BM631" s="233"/>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33"/>
      <c r="CI631" s="233"/>
      <c r="CJ631" s="233"/>
      <c r="CK631" s="233"/>
      <c r="CL631" s="233"/>
      <c r="CM631" s="233"/>
      <c r="CN631" s="233"/>
      <c r="CO631" s="233"/>
      <c r="CP631" s="233"/>
      <c r="CQ631" s="233"/>
      <c r="CR631" s="233"/>
      <c r="CS631" s="233"/>
      <c r="CT631" s="233"/>
      <c r="CU631" s="233"/>
      <c r="CV631" s="233"/>
      <c r="CW631" s="233"/>
      <c r="CX631" s="233"/>
      <c r="CY631" s="233"/>
      <c r="CZ631" s="233"/>
      <c r="DA631" s="233"/>
      <c r="DB631" s="233"/>
      <c r="DC631" s="233"/>
      <c r="DD631" s="233"/>
      <c r="DE631" s="233"/>
      <c r="DF631" s="233"/>
      <c r="DG631" s="233"/>
      <c r="DH631" s="233"/>
      <c r="DI631" s="233"/>
      <c r="DJ631" s="233"/>
      <c r="DK631" s="233"/>
      <c r="DL631" s="233"/>
      <c r="DM631" s="233"/>
      <c r="DN631" s="233"/>
      <c r="DO631" s="233"/>
      <c r="DP631" s="233"/>
      <c r="DQ631" s="233"/>
      <c r="DR631" s="233"/>
      <c r="DS631" s="233"/>
      <c r="DT631" s="233"/>
      <c r="DU631" s="233"/>
      <c r="DV631" s="233"/>
      <c r="DW631" s="233"/>
      <c r="DX631" s="233"/>
      <c r="DY631" s="233"/>
      <c r="DZ631" s="233"/>
      <c r="EA631" s="233"/>
      <c r="EB631" s="233"/>
      <c r="EC631" s="233"/>
      <c r="ED631" s="233"/>
      <c r="EE631" s="233"/>
      <c r="EF631" s="233"/>
      <c r="EG631" s="233"/>
      <c r="EH631" s="233"/>
      <c r="EI631" s="233"/>
      <c r="EJ631" s="233"/>
      <c r="EK631" s="233"/>
      <c r="EL631" s="233"/>
      <c r="EM631" s="233"/>
      <c r="EN631" s="233"/>
      <c r="EO631" s="233"/>
      <c r="EP631" s="233"/>
    </row>
    <row r="632" spans="1:146" ht="14.25" x14ac:dyDescent="0.2">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c r="AW632" s="233"/>
      <c r="AX632" s="233"/>
      <c r="AY632" s="233"/>
      <c r="AZ632" s="233"/>
      <c r="BA632" s="233"/>
      <c r="BB632" s="233"/>
      <c r="BC632" s="233"/>
      <c r="BD632" s="233"/>
      <c r="BE632" s="233"/>
      <c r="BF632" s="233"/>
      <c r="BG632" s="233"/>
      <c r="BH632" s="233"/>
      <c r="BI632" s="233"/>
      <c r="BJ632" s="233"/>
      <c r="BK632" s="233"/>
      <c r="BL632" s="233"/>
      <c r="BM632" s="233"/>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33"/>
      <c r="CI632" s="233"/>
      <c r="CJ632" s="233"/>
      <c r="CK632" s="233"/>
      <c r="CL632" s="233"/>
      <c r="CM632" s="233"/>
      <c r="CN632" s="233"/>
      <c r="CO632" s="233"/>
      <c r="CP632" s="233"/>
      <c r="CQ632" s="233"/>
      <c r="CR632" s="233"/>
      <c r="CS632" s="233"/>
      <c r="CT632" s="233"/>
      <c r="CU632" s="233"/>
      <c r="CV632" s="233"/>
      <c r="CW632" s="233"/>
      <c r="CX632" s="233"/>
      <c r="CY632" s="233"/>
      <c r="CZ632" s="233"/>
      <c r="DA632" s="233"/>
      <c r="DB632" s="233"/>
      <c r="DC632" s="233"/>
      <c r="DD632" s="233"/>
      <c r="DE632" s="233"/>
      <c r="DF632" s="233"/>
      <c r="DG632" s="233"/>
      <c r="DH632" s="233"/>
      <c r="DI632" s="233"/>
      <c r="DJ632" s="233"/>
      <c r="DK632" s="233"/>
      <c r="DL632" s="233"/>
      <c r="DM632" s="233"/>
      <c r="DN632" s="233"/>
      <c r="DO632" s="233"/>
      <c r="DP632" s="233"/>
      <c r="DQ632" s="233"/>
      <c r="DR632" s="233"/>
      <c r="DS632" s="233"/>
      <c r="DT632" s="233"/>
      <c r="DU632" s="233"/>
      <c r="DV632" s="233"/>
      <c r="DW632" s="233"/>
      <c r="DX632" s="233"/>
      <c r="DY632" s="233"/>
      <c r="DZ632" s="233"/>
      <c r="EA632" s="233"/>
      <c r="EB632" s="233"/>
      <c r="EC632" s="233"/>
      <c r="ED632" s="233"/>
      <c r="EE632" s="233"/>
      <c r="EF632" s="233"/>
      <c r="EG632" s="233"/>
      <c r="EH632" s="233"/>
      <c r="EI632" s="233"/>
      <c r="EJ632" s="233"/>
      <c r="EK632" s="233"/>
      <c r="EL632" s="233"/>
      <c r="EM632" s="233"/>
      <c r="EN632" s="233"/>
      <c r="EO632" s="233"/>
      <c r="EP632" s="233"/>
    </row>
    <row r="633" spans="1:146" ht="14.25" x14ac:dyDescent="0.2">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c r="BH633" s="233"/>
      <c r="BI633" s="233"/>
      <c r="BJ633" s="233"/>
      <c r="BK633" s="233"/>
      <c r="BL633" s="233"/>
      <c r="BM633" s="233"/>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33"/>
      <c r="CI633" s="233"/>
      <c r="CJ633" s="233"/>
      <c r="CK633" s="233"/>
      <c r="CL633" s="233"/>
      <c r="CM633" s="233"/>
      <c r="CN633" s="233"/>
      <c r="CO633" s="233"/>
      <c r="CP633" s="233"/>
      <c r="CQ633" s="233"/>
      <c r="CR633" s="233"/>
      <c r="CS633" s="233"/>
      <c r="CT633" s="233"/>
      <c r="CU633" s="233"/>
      <c r="CV633" s="233"/>
      <c r="CW633" s="233"/>
      <c r="CX633" s="233"/>
      <c r="CY633" s="233"/>
      <c r="CZ633" s="233"/>
      <c r="DA633" s="233"/>
      <c r="DB633" s="233"/>
      <c r="DC633" s="233"/>
      <c r="DD633" s="233"/>
      <c r="DE633" s="233"/>
      <c r="DF633" s="233"/>
      <c r="DG633" s="233"/>
      <c r="DH633" s="233"/>
      <c r="DI633" s="233"/>
      <c r="DJ633" s="233"/>
      <c r="DK633" s="233"/>
      <c r="DL633" s="233"/>
      <c r="DM633" s="233"/>
      <c r="DN633" s="233"/>
      <c r="DO633" s="233"/>
      <c r="DP633" s="233"/>
      <c r="DQ633" s="233"/>
      <c r="DR633" s="233"/>
      <c r="DS633" s="233"/>
      <c r="DT633" s="233"/>
      <c r="DU633" s="233"/>
      <c r="DV633" s="233"/>
      <c r="DW633" s="233"/>
      <c r="DX633" s="233"/>
      <c r="DY633" s="233"/>
      <c r="DZ633" s="233"/>
      <c r="EA633" s="233"/>
      <c r="EB633" s="233"/>
      <c r="EC633" s="233"/>
      <c r="ED633" s="233"/>
      <c r="EE633" s="233"/>
      <c r="EF633" s="233"/>
      <c r="EG633" s="233"/>
      <c r="EH633" s="233"/>
      <c r="EI633" s="233"/>
      <c r="EJ633" s="233"/>
      <c r="EK633" s="233"/>
      <c r="EL633" s="233"/>
      <c r="EM633" s="233"/>
      <c r="EN633" s="233"/>
      <c r="EO633" s="233"/>
      <c r="EP633" s="233"/>
    </row>
    <row r="634" spans="1:146" ht="14.25" x14ac:dyDescent="0.2">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c r="AV634" s="233"/>
      <c r="AW634" s="233"/>
      <c r="AX634" s="233"/>
      <c r="AY634" s="233"/>
      <c r="AZ634" s="233"/>
      <c r="BA634" s="233"/>
      <c r="BB634" s="233"/>
      <c r="BC634" s="233"/>
      <c r="BD634" s="233"/>
      <c r="BE634" s="233"/>
      <c r="BF634" s="233"/>
      <c r="BG634" s="233"/>
      <c r="BH634" s="233"/>
      <c r="BI634" s="233"/>
      <c r="BJ634" s="233"/>
      <c r="BK634" s="233"/>
      <c r="BL634" s="233"/>
      <c r="BM634" s="233"/>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33"/>
      <c r="CI634" s="233"/>
      <c r="CJ634" s="233"/>
      <c r="CK634" s="233"/>
      <c r="CL634" s="233"/>
      <c r="CM634" s="233"/>
      <c r="CN634" s="233"/>
      <c r="CO634" s="233"/>
      <c r="CP634" s="233"/>
      <c r="CQ634" s="233"/>
      <c r="CR634" s="233"/>
      <c r="CS634" s="233"/>
      <c r="CT634" s="233"/>
      <c r="CU634" s="233"/>
      <c r="CV634" s="233"/>
      <c r="CW634" s="233"/>
      <c r="CX634" s="233"/>
      <c r="CY634" s="233"/>
      <c r="CZ634" s="233"/>
      <c r="DA634" s="233"/>
      <c r="DB634" s="233"/>
      <c r="DC634" s="233"/>
      <c r="DD634" s="233"/>
      <c r="DE634" s="233"/>
      <c r="DF634" s="233"/>
      <c r="DG634" s="233"/>
      <c r="DH634" s="233"/>
      <c r="DI634" s="233"/>
      <c r="DJ634" s="233"/>
      <c r="DK634" s="233"/>
      <c r="DL634" s="233"/>
      <c r="DM634" s="233"/>
      <c r="DN634" s="233"/>
      <c r="DO634" s="233"/>
      <c r="DP634" s="233"/>
      <c r="DQ634" s="233"/>
      <c r="DR634" s="233"/>
      <c r="DS634" s="233"/>
      <c r="DT634" s="233"/>
      <c r="DU634" s="233"/>
      <c r="DV634" s="233"/>
      <c r="DW634" s="233"/>
      <c r="DX634" s="233"/>
      <c r="DY634" s="233"/>
      <c r="DZ634" s="233"/>
      <c r="EA634" s="233"/>
      <c r="EB634" s="233"/>
      <c r="EC634" s="233"/>
      <c r="ED634" s="233"/>
      <c r="EE634" s="233"/>
      <c r="EF634" s="233"/>
      <c r="EG634" s="233"/>
      <c r="EH634" s="233"/>
      <c r="EI634" s="233"/>
      <c r="EJ634" s="233"/>
      <c r="EK634" s="233"/>
      <c r="EL634" s="233"/>
      <c r="EM634" s="233"/>
      <c r="EN634" s="233"/>
      <c r="EO634" s="233"/>
      <c r="EP634" s="233"/>
    </row>
    <row r="635" spans="1:146" ht="14.25" x14ac:dyDescent="0.2">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c r="AW635" s="233"/>
      <c r="AX635" s="233"/>
      <c r="AY635" s="233"/>
      <c r="AZ635" s="233"/>
      <c r="BA635" s="233"/>
      <c r="BB635" s="233"/>
      <c r="BC635" s="233"/>
      <c r="BD635" s="233"/>
      <c r="BE635" s="233"/>
      <c r="BF635" s="233"/>
      <c r="BG635" s="233"/>
      <c r="BH635" s="233"/>
      <c r="BI635" s="233"/>
      <c r="BJ635" s="233"/>
      <c r="BK635" s="233"/>
      <c r="BL635" s="233"/>
      <c r="BM635" s="233"/>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33"/>
      <c r="CI635" s="233"/>
      <c r="CJ635" s="233"/>
      <c r="CK635" s="233"/>
      <c r="CL635" s="233"/>
      <c r="CM635" s="233"/>
      <c r="CN635" s="233"/>
      <c r="CO635" s="233"/>
      <c r="CP635" s="233"/>
      <c r="CQ635" s="233"/>
      <c r="CR635" s="233"/>
      <c r="CS635" s="233"/>
      <c r="CT635" s="233"/>
      <c r="CU635" s="233"/>
      <c r="CV635" s="233"/>
      <c r="CW635" s="233"/>
      <c r="CX635" s="233"/>
      <c r="CY635" s="233"/>
      <c r="CZ635" s="233"/>
      <c r="DA635" s="233"/>
      <c r="DB635" s="233"/>
      <c r="DC635" s="233"/>
      <c r="DD635" s="233"/>
      <c r="DE635" s="233"/>
      <c r="DF635" s="233"/>
      <c r="DG635" s="233"/>
      <c r="DH635" s="233"/>
      <c r="DI635" s="233"/>
      <c r="DJ635" s="233"/>
      <c r="DK635" s="233"/>
      <c r="DL635" s="233"/>
      <c r="DM635" s="233"/>
      <c r="DN635" s="233"/>
      <c r="DO635" s="233"/>
      <c r="DP635" s="233"/>
      <c r="DQ635" s="233"/>
      <c r="DR635" s="233"/>
      <c r="DS635" s="233"/>
      <c r="DT635" s="233"/>
      <c r="DU635" s="233"/>
      <c r="DV635" s="233"/>
      <c r="DW635" s="233"/>
      <c r="DX635" s="233"/>
      <c r="DY635" s="233"/>
      <c r="DZ635" s="233"/>
      <c r="EA635" s="233"/>
      <c r="EB635" s="233"/>
      <c r="EC635" s="233"/>
      <c r="ED635" s="233"/>
      <c r="EE635" s="233"/>
      <c r="EF635" s="233"/>
      <c r="EG635" s="233"/>
      <c r="EH635" s="233"/>
      <c r="EI635" s="233"/>
      <c r="EJ635" s="233"/>
      <c r="EK635" s="233"/>
      <c r="EL635" s="233"/>
      <c r="EM635" s="233"/>
      <c r="EN635" s="233"/>
      <c r="EO635" s="233"/>
      <c r="EP635" s="233"/>
    </row>
    <row r="636" spans="1:146" ht="14.25" x14ac:dyDescent="0.2">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33"/>
      <c r="BF636" s="233"/>
      <c r="BG636" s="233"/>
      <c r="BH636" s="233"/>
      <c r="BI636" s="233"/>
      <c r="BJ636" s="233"/>
      <c r="BK636" s="233"/>
      <c r="BL636" s="233"/>
      <c r="BM636" s="233"/>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33"/>
      <c r="CI636" s="233"/>
      <c r="CJ636" s="233"/>
      <c r="CK636" s="233"/>
      <c r="CL636" s="233"/>
      <c r="CM636" s="233"/>
      <c r="CN636" s="233"/>
      <c r="CO636" s="233"/>
      <c r="CP636" s="233"/>
      <c r="CQ636" s="233"/>
      <c r="CR636" s="233"/>
      <c r="CS636" s="233"/>
      <c r="CT636" s="233"/>
      <c r="CU636" s="233"/>
      <c r="CV636" s="233"/>
      <c r="CW636" s="233"/>
      <c r="CX636" s="233"/>
      <c r="CY636" s="233"/>
      <c r="CZ636" s="233"/>
      <c r="DA636" s="233"/>
      <c r="DB636" s="233"/>
      <c r="DC636" s="233"/>
      <c r="DD636" s="233"/>
      <c r="DE636" s="233"/>
      <c r="DF636" s="233"/>
      <c r="DG636" s="233"/>
      <c r="DH636" s="233"/>
      <c r="DI636" s="233"/>
      <c r="DJ636" s="233"/>
      <c r="DK636" s="233"/>
      <c r="DL636" s="233"/>
      <c r="DM636" s="233"/>
      <c r="DN636" s="233"/>
      <c r="DO636" s="233"/>
      <c r="DP636" s="233"/>
      <c r="DQ636" s="233"/>
      <c r="DR636" s="233"/>
      <c r="DS636" s="233"/>
      <c r="DT636" s="233"/>
      <c r="DU636" s="233"/>
      <c r="DV636" s="233"/>
      <c r="DW636" s="233"/>
      <c r="DX636" s="233"/>
      <c r="DY636" s="233"/>
      <c r="DZ636" s="233"/>
      <c r="EA636" s="233"/>
      <c r="EB636" s="233"/>
      <c r="EC636" s="233"/>
      <c r="ED636" s="233"/>
      <c r="EE636" s="233"/>
      <c r="EF636" s="233"/>
      <c r="EG636" s="233"/>
      <c r="EH636" s="233"/>
      <c r="EI636" s="233"/>
      <c r="EJ636" s="233"/>
      <c r="EK636" s="233"/>
      <c r="EL636" s="233"/>
      <c r="EM636" s="233"/>
      <c r="EN636" s="233"/>
      <c r="EO636" s="233"/>
      <c r="EP636" s="233"/>
    </row>
    <row r="637" spans="1:146" ht="14.25" x14ac:dyDescent="0.2">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33"/>
      <c r="BF637" s="233"/>
      <c r="BG637" s="233"/>
      <c r="BH637" s="233"/>
      <c r="BI637" s="233"/>
      <c r="BJ637" s="233"/>
      <c r="BK637" s="233"/>
      <c r="BL637" s="233"/>
      <c r="BM637" s="233"/>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33"/>
      <c r="CI637" s="233"/>
      <c r="CJ637" s="233"/>
      <c r="CK637" s="233"/>
      <c r="CL637" s="233"/>
      <c r="CM637" s="233"/>
      <c r="CN637" s="233"/>
      <c r="CO637" s="233"/>
      <c r="CP637" s="233"/>
      <c r="CQ637" s="233"/>
      <c r="CR637" s="233"/>
      <c r="CS637" s="233"/>
      <c r="CT637" s="233"/>
      <c r="CU637" s="233"/>
      <c r="CV637" s="233"/>
      <c r="CW637" s="233"/>
      <c r="CX637" s="233"/>
      <c r="CY637" s="233"/>
      <c r="CZ637" s="233"/>
      <c r="DA637" s="233"/>
      <c r="DB637" s="233"/>
      <c r="DC637" s="233"/>
      <c r="DD637" s="233"/>
      <c r="DE637" s="233"/>
      <c r="DF637" s="233"/>
      <c r="DG637" s="233"/>
      <c r="DH637" s="233"/>
      <c r="DI637" s="233"/>
      <c r="DJ637" s="233"/>
      <c r="DK637" s="233"/>
      <c r="DL637" s="233"/>
      <c r="DM637" s="233"/>
      <c r="DN637" s="233"/>
      <c r="DO637" s="233"/>
      <c r="DP637" s="233"/>
      <c r="DQ637" s="233"/>
      <c r="DR637" s="233"/>
      <c r="DS637" s="233"/>
      <c r="DT637" s="233"/>
      <c r="DU637" s="233"/>
      <c r="DV637" s="233"/>
      <c r="DW637" s="233"/>
      <c r="DX637" s="233"/>
      <c r="DY637" s="233"/>
      <c r="DZ637" s="233"/>
      <c r="EA637" s="233"/>
      <c r="EB637" s="233"/>
      <c r="EC637" s="233"/>
      <c r="ED637" s="233"/>
      <c r="EE637" s="233"/>
      <c r="EF637" s="233"/>
      <c r="EG637" s="233"/>
      <c r="EH637" s="233"/>
      <c r="EI637" s="233"/>
      <c r="EJ637" s="233"/>
      <c r="EK637" s="233"/>
      <c r="EL637" s="233"/>
      <c r="EM637" s="233"/>
      <c r="EN637" s="233"/>
      <c r="EO637" s="233"/>
      <c r="EP637" s="233"/>
    </row>
    <row r="638" spans="1:146" ht="14.25" x14ac:dyDescent="0.2">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33"/>
      <c r="BF638" s="233"/>
      <c r="BG638" s="233"/>
      <c r="BH638" s="233"/>
      <c r="BI638" s="233"/>
      <c r="BJ638" s="233"/>
      <c r="BK638" s="233"/>
      <c r="BL638" s="233"/>
      <c r="BM638" s="233"/>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33"/>
      <c r="CI638" s="233"/>
      <c r="CJ638" s="233"/>
      <c r="CK638" s="233"/>
      <c r="CL638" s="233"/>
      <c r="CM638" s="233"/>
      <c r="CN638" s="233"/>
      <c r="CO638" s="233"/>
      <c r="CP638" s="233"/>
      <c r="CQ638" s="233"/>
      <c r="CR638" s="233"/>
      <c r="CS638" s="233"/>
      <c r="CT638" s="233"/>
      <c r="CU638" s="233"/>
      <c r="CV638" s="233"/>
      <c r="CW638" s="233"/>
      <c r="CX638" s="233"/>
      <c r="CY638" s="233"/>
      <c r="CZ638" s="233"/>
      <c r="DA638" s="233"/>
      <c r="DB638" s="233"/>
      <c r="DC638" s="233"/>
      <c r="DD638" s="233"/>
      <c r="DE638" s="233"/>
      <c r="DF638" s="233"/>
      <c r="DG638" s="233"/>
      <c r="DH638" s="233"/>
      <c r="DI638" s="233"/>
      <c r="DJ638" s="233"/>
      <c r="DK638" s="233"/>
      <c r="DL638" s="233"/>
      <c r="DM638" s="233"/>
      <c r="DN638" s="233"/>
      <c r="DO638" s="233"/>
      <c r="DP638" s="233"/>
      <c r="DQ638" s="233"/>
      <c r="DR638" s="233"/>
      <c r="DS638" s="233"/>
      <c r="DT638" s="233"/>
      <c r="DU638" s="233"/>
      <c r="DV638" s="233"/>
      <c r="DW638" s="233"/>
      <c r="DX638" s="233"/>
      <c r="DY638" s="233"/>
      <c r="DZ638" s="233"/>
      <c r="EA638" s="233"/>
      <c r="EB638" s="233"/>
      <c r="EC638" s="233"/>
      <c r="ED638" s="233"/>
      <c r="EE638" s="233"/>
      <c r="EF638" s="233"/>
      <c r="EG638" s="233"/>
      <c r="EH638" s="233"/>
      <c r="EI638" s="233"/>
      <c r="EJ638" s="233"/>
      <c r="EK638" s="233"/>
      <c r="EL638" s="233"/>
      <c r="EM638" s="233"/>
      <c r="EN638" s="233"/>
      <c r="EO638" s="233"/>
      <c r="EP638" s="233"/>
    </row>
    <row r="639" spans="1:146" ht="14.25" x14ac:dyDescent="0.2">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33"/>
      <c r="BF639" s="233"/>
      <c r="BG639" s="233"/>
      <c r="BH639" s="233"/>
      <c r="BI639" s="233"/>
      <c r="BJ639" s="233"/>
      <c r="BK639" s="233"/>
      <c r="BL639" s="233"/>
      <c r="BM639" s="233"/>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33"/>
      <c r="CI639" s="233"/>
      <c r="CJ639" s="233"/>
      <c r="CK639" s="233"/>
      <c r="CL639" s="233"/>
      <c r="CM639" s="233"/>
      <c r="CN639" s="233"/>
      <c r="CO639" s="233"/>
      <c r="CP639" s="233"/>
      <c r="CQ639" s="233"/>
      <c r="CR639" s="233"/>
      <c r="CS639" s="233"/>
      <c r="CT639" s="233"/>
      <c r="CU639" s="233"/>
      <c r="CV639" s="233"/>
      <c r="CW639" s="233"/>
      <c r="CX639" s="233"/>
      <c r="CY639" s="233"/>
      <c r="CZ639" s="233"/>
      <c r="DA639" s="233"/>
      <c r="DB639" s="233"/>
      <c r="DC639" s="233"/>
      <c r="DD639" s="233"/>
      <c r="DE639" s="233"/>
      <c r="DF639" s="233"/>
      <c r="DG639" s="233"/>
      <c r="DH639" s="233"/>
      <c r="DI639" s="233"/>
      <c r="DJ639" s="233"/>
      <c r="DK639" s="233"/>
      <c r="DL639" s="233"/>
      <c r="DM639" s="233"/>
      <c r="DN639" s="233"/>
      <c r="DO639" s="233"/>
      <c r="DP639" s="233"/>
      <c r="DQ639" s="233"/>
      <c r="DR639" s="233"/>
      <c r="DS639" s="233"/>
      <c r="DT639" s="233"/>
      <c r="DU639" s="233"/>
      <c r="DV639" s="233"/>
      <c r="DW639" s="233"/>
      <c r="DX639" s="233"/>
      <c r="DY639" s="233"/>
      <c r="DZ639" s="233"/>
      <c r="EA639" s="233"/>
      <c r="EB639" s="233"/>
      <c r="EC639" s="233"/>
      <c r="ED639" s="233"/>
      <c r="EE639" s="233"/>
      <c r="EF639" s="233"/>
      <c r="EG639" s="233"/>
      <c r="EH639" s="233"/>
      <c r="EI639" s="233"/>
      <c r="EJ639" s="233"/>
      <c r="EK639" s="233"/>
      <c r="EL639" s="233"/>
      <c r="EM639" s="233"/>
      <c r="EN639" s="233"/>
      <c r="EO639" s="233"/>
      <c r="EP639" s="233"/>
    </row>
    <row r="640" spans="1:146" ht="14.25" x14ac:dyDescent="0.2">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33"/>
      <c r="BF640" s="233"/>
      <c r="BG640" s="233"/>
      <c r="BH640" s="233"/>
      <c r="BI640" s="233"/>
      <c r="BJ640" s="233"/>
      <c r="BK640" s="233"/>
      <c r="BL640" s="233"/>
      <c r="BM640" s="233"/>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33"/>
      <c r="CI640" s="233"/>
      <c r="CJ640" s="233"/>
      <c r="CK640" s="233"/>
      <c r="CL640" s="233"/>
      <c r="CM640" s="233"/>
      <c r="CN640" s="233"/>
      <c r="CO640" s="233"/>
      <c r="CP640" s="233"/>
      <c r="CQ640" s="233"/>
      <c r="CR640" s="233"/>
      <c r="CS640" s="233"/>
      <c r="CT640" s="233"/>
      <c r="CU640" s="233"/>
      <c r="CV640" s="233"/>
      <c r="CW640" s="233"/>
      <c r="CX640" s="233"/>
      <c r="CY640" s="233"/>
      <c r="CZ640" s="233"/>
      <c r="DA640" s="233"/>
      <c r="DB640" s="233"/>
      <c r="DC640" s="233"/>
      <c r="DD640" s="233"/>
      <c r="DE640" s="233"/>
      <c r="DF640" s="233"/>
      <c r="DG640" s="233"/>
      <c r="DH640" s="233"/>
      <c r="DI640" s="233"/>
      <c r="DJ640" s="233"/>
      <c r="DK640" s="233"/>
      <c r="DL640" s="233"/>
      <c r="DM640" s="233"/>
      <c r="DN640" s="233"/>
      <c r="DO640" s="233"/>
      <c r="DP640" s="233"/>
      <c r="DQ640" s="233"/>
      <c r="DR640" s="233"/>
      <c r="DS640" s="233"/>
      <c r="DT640" s="233"/>
      <c r="DU640" s="233"/>
      <c r="DV640" s="233"/>
      <c r="DW640" s="233"/>
      <c r="DX640" s="233"/>
      <c r="DY640" s="233"/>
      <c r="DZ640" s="233"/>
      <c r="EA640" s="233"/>
      <c r="EB640" s="233"/>
      <c r="EC640" s="233"/>
      <c r="ED640" s="233"/>
      <c r="EE640" s="233"/>
      <c r="EF640" s="233"/>
      <c r="EG640" s="233"/>
      <c r="EH640" s="233"/>
      <c r="EI640" s="233"/>
      <c r="EJ640" s="233"/>
      <c r="EK640" s="233"/>
      <c r="EL640" s="233"/>
      <c r="EM640" s="233"/>
      <c r="EN640" s="233"/>
      <c r="EO640" s="233"/>
      <c r="EP640" s="233"/>
    </row>
    <row r="641" spans="1:146" ht="14.25" x14ac:dyDescent="0.2">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33"/>
      <c r="BF641" s="233"/>
      <c r="BG641" s="233"/>
      <c r="BH641" s="233"/>
      <c r="BI641" s="233"/>
      <c r="BJ641" s="233"/>
      <c r="BK641" s="233"/>
      <c r="BL641" s="233"/>
      <c r="BM641" s="233"/>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33"/>
      <c r="CI641" s="233"/>
      <c r="CJ641" s="233"/>
      <c r="CK641" s="233"/>
      <c r="CL641" s="233"/>
      <c r="CM641" s="233"/>
      <c r="CN641" s="233"/>
      <c r="CO641" s="233"/>
      <c r="CP641" s="233"/>
      <c r="CQ641" s="233"/>
      <c r="CR641" s="233"/>
      <c r="CS641" s="233"/>
      <c r="CT641" s="233"/>
      <c r="CU641" s="233"/>
      <c r="CV641" s="233"/>
      <c r="CW641" s="233"/>
      <c r="CX641" s="233"/>
      <c r="CY641" s="233"/>
      <c r="CZ641" s="233"/>
      <c r="DA641" s="233"/>
      <c r="DB641" s="233"/>
      <c r="DC641" s="233"/>
      <c r="DD641" s="233"/>
      <c r="DE641" s="233"/>
      <c r="DF641" s="233"/>
      <c r="DG641" s="233"/>
      <c r="DH641" s="233"/>
      <c r="DI641" s="233"/>
      <c r="DJ641" s="233"/>
      <c r="DK641" s="233"/>
      <c r="DL641" s="233"/>
      <c r="DM641" s="233"/>
      <c r="DN641" s="233"/>
      <c r="DO641" s="233"/>
      <c r="DP641" s="233"/>
      <c r="DQ641" s="233"/>
      <c r="DR641" s="233"/>
      <c r="DS641" s="233"/>
      <c r="DT641" s="233"/>
      <c r="DU641" s="233"/>
      <c r="DV641" s="233"/>
      <c r="DW641" s="233"/>
      <c r="DX641" s="233"/>
      <c r="DY641" s="233"/>
      <c r="DZ641" s="233"/>
      <c r="EA641" s="233"/>
      <c r="EB641" s="233"/>
      <c r="EC641" s="233"/>
      <c r="ED641" s="233"/>
      <c r="EE641" s="233"/>
      <c r="EF641" s="233"/>
      <c r="EG641" s="233"/>
      <c r="EH641" s="233"/>
      <c r="EI641" s="233"/>
      <c r="EJ641" s="233"/>
      <c r="EK641" s="233"/>
      <c r="EL641" s="233"/>
      <c r="EM641" s="233"/>
      <c r="EN641" s="233"/>
      <c r="EO641" s="233"/>
      <c r="EP641" s="233"/>
    </row>
    <row r="642" spans="1:146" ht="14.25" x14ac:dyDescent="0.2">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c r="AW642" s="233"/>
      <c r="AX642" s="233"/>
      <c r="AY642" s="233"/>
      <c r="AZ642" s="233"/>
      <c r="BA642" s="233"/>
      <c r="BB642" s="233"/>
      <c r="BC642" s="233"/>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33"/>
      <c r="CI642" s="233"/>
      <c r="CJ642" s="233"/>
      <c r="CK642" s="233"/>
      <c r="CL642" s="233"/>
      <c r="CM642" s="233"/>
      <c r="CN642" s="233"/>
      <c r="CO642" s="233"/>
      <c r="CP642" s="233"/>
      <c r="CQ642" s="233"/>
      <c r="CR642" s="233"/>
      <c r="CS642" s="233"/>
      <c r="CT642" s="233"/>
      <c r="CU642" s="233"/>
      <c r="CV642" s="233"/>
      <c r="CW642" s="233"/>
      <c r="CX642" s="233"/>
      <c r="CY642" s="233"/>
      <c r="CZ642" s="233"/>
      <c r="DA642" s="233"/>
      <c r="DB642" s="233"/>
      <c r="DC642" s="233"/>
      <c r="DD642" s="233"/>
      <c r="DE642" s="233"/>
      <c r="DF642" s="233"/>
      <c r="DG642" s="233"/>
      <c r="DH642" s="233"/>
      <c r="DI642" s="233"/>
      <c r="DJ642" s="233"/>
      <c r="DK642" s="233"/>
      <c r="DL642" s="233"/>
      <c r="DM642" s="233"/>
      <c r="DN642" s="233"/>
      <c r="DO642" s="233"/>
      <c r="DP642" s="233"/>
      <c r="DQ642" s="233"/>
      <c r="DR642" s="233"/>
      <c r="DS642" s="233"/>
      <c r="DT642" s="233"/>
      <c r="DU642" s="233"/>
      <c r="DV642" s="233"/>
      <c r="DW642" s="233"/>
      <c r="DX642" s="233"/>
      <c r="DY642" s="233"/>
      <c r="DZ642" s="233"/>
      <c r="EA642" s="233"/>
      <c r="EB642" s="233"/>
      <c r="EC642" s="233"/>
      <c r="ED642" s="233"/>
      <c r="EE642" s="233"/>
      <c r="EF642" s="233"/>
      <c r="EG642" s="233"/>
      <c r="EH642" s="233"/>
      <c r="EI642" s="233"/>
      <c r="EJ642" s="233"/>
      <c r="EK642" s="233"/>
      <c r="EL642" s="233"/>
      <c r="EM642" s="233"/>
      <c r="EN642" s="233"/>
      <c r="EO642" s="233"/>
      <c r="EP642" s="233"/>
    </row>
    <row r="643" spans="1:146" ht="14.25" x14ac:dyDescent="0.2">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c r="AW643" s="233"/>
      <c r="AX643" s="233"/>
      <c r="AY643" s="233"/>
      <c r="AZ643" s="233"/>
      <c r="BA643" s="233"/>
      <c r="BB643" s="233"/>
      <c r="BC643" s="233"/>
      <c r="BD643" s="233"/>
      <c r="BE643" s="233"/>
      <c r="BF643" s="233"/>
      <c r="BG643" s="233"/>
      <c r="BH643" s="233"/>
      <c r="BI643" s="233"/>
      <c r="BJ643" s="233"/>
      <c r="BK643" s="233"/>
      <c r="BL643" s="233"/>
      <c r="BM643" s="233"/>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33"/>
      <c r="CI643" s="233"/>
      <c r="CJ643" s="233"/>
      <c r="CK643" s="233"/>
      <c r="CL643" s="233"/>
      <c r="CM643" s="233"/>
      <c r="CN643" s="233"/>
      <c r="CO643" s="233"/>
      <c r="CP643" s="233"/>
      <c r="CQ643" s="233"/>
      <c r="CR643" s="233"/>
      <c r="CS643" s="233"/>
      <c r="CT643" s="233"/>
      <c r="CU643" s="233"/>
      <c r="CV643" s="233"/>
      <c r="CW643" s="233"/>
      <c r="CX643" s="233"/>
      <c r="CY643" s="233"/>
      <c r="CZ643" s="233"/>
      <c r="DA643" s="233"/>
      <c r="DB643" s="233"/>
      <c r="DC643" s="233"/>
      <c r="DD643" s="233"/>
      <c r="DE643" s="233"/>
      <c r="DF643" s="233"/>
      <c r="DG643" s="233"/>
      <c r="DH643" s="233"/>
      <c r="DI643" s="233"/>
      <c r="DJ643" s="233"/>
      <c r="DK643" s="233"/>
      <c r="DL643" s="233"/>
      <c r="DM643" s="233"/>
      <c r="DN643" s="233"/>
      <c r="DO643" s="233"/>
      <c r="DP643" s="233"/>
      <c r="DQ643" s="233"/>
      <c r="DR643" s="233"/>
      <c r="DS643" s="233"/>
      <c r="DT643" s="233"/>
      <c r="DU643" s="233"/>
      <c r="DV643" s="233"/>
      <c r="DW643" s="233"/>
      <c r="DX643" s="233"/>
      <c r="DY643" s="233"/>
      <c r="DZ643" s="233"/>
      <c r="EA643" s="233"/>
      <c r="EB643" s="233"/>
      <c r="EC643" s="233"/>
      <c r="ED643" s="233"/>
      <c r="EE643" s="233"/>
      <c r="EF643" s="233"/>
      <c r="EG643" s="233"/>
      <c r="EH643" s="233"/>
      <c r="EI643" s="233"/>
      <c r="EJ643" s="233"/>
      <c r="EK643" s="233"/>
      <c r="EL643" s="233"/>
      <c r="EM643" s="233"/>
      <c r="EN643" s="233"/>
      <c r="EO643" s="233"/>
      <c r="EP643" s="233"/>
    </row>
    <row r="644" spans="1:146" ht="14.25" x14ac:dyDescent="0.2">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33"/>
      <c r="CI644" s="233"/>
      <c r="CJ644" s="233"/>
      <c r="CK644" s="233"/>
      <c r="CL644" s="233"/>
      <c r="CM644" s="233"/>
      <c r="CN644" s="233"/>
      <c r="CO644" s="233"/>
      <c r="CP644" s="233"/>
      <c r="CQ644" s="233"/>
      <c r="CR644" s="233"/>
      <c r="CS644" s="233"/>
      <c r="CT644" s="233"/>
      <c r="CU644" s="233"/>
      <c r="CV644" s="233"/>
      <c r="CW644" s="233"/>
      <c r="CX644" s="233"/>
      <c r="CY644" s="233"/>
      <c r="CZ644" s="233"/>
      <c r="DA644" s="233"/>
      <c r="DB644" s="233"/>
      <c r="DC644" s="233"/>
      <c r="DD644" s="233"/>
      <c r="DE644" s="233"/>
      <c r="DF644" s="233"/>
      <c r="DG644" s="233"/>
      <c r="DH644" s="233"/>
      <c r="DI644" s="233"/>
      <c r="DJ644" s="233"/>
      <c r="DK644" s="233"/>
      <c r="DL644" s="233"/>
      <c r="DM644" s="233"/>
      <c r="DN644" s="233"/>
      <c r="DO644" s="233"/>
      <c r="DP644" s="233"/>
      <c r="DQ644" s="233"/>
      <c r="DR644" s="233"/>
      <c r="DS644" s="233"/>
      <c r="DT644" s="233"/>
      <c r="DU644" s="233"/>
      <c r="DV644" s="233"/>
      <c r="DW644" s="233"/>
      <c r="DX644" s="233"/>
      <c r="DY644" s="233"/>
      <c r="DZ644" s="233"/>
      <c r="EA644" s="233"/>
      <c r="EB644" s="233"/>
      <c r="EC644" s="233"/>
      <c r="ED644" s="233"/>
      <c r="EE644" s="233"/>
      <c r="EF644" s="233"/>
      <c r="EG644" s="233"/>
      <c r="EH644" s="233"/>
      <c r="EI644" s="233"/>
      <c r="EJ644" s="233"/>
      <c r="EK644" s="233"/>
      <c r="EL644" s="233"/>
      <c r="EM644" s="233"/>
      <c r="EN644" s="233"/>
      <c r="EO644" s="233"/>
      <c r="EP644" s="233"/>
    </row>
    <row r="645" spans="1:146" ht="14.25" x14ac:dyDescent="0.2">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33"/>
      <c r="CI645" s="233"/>
      <c r="CJ645" s="233"/>
      <c r="CK645" s="233"/>
      <c r="CL645" s="233"/>
      <c r="CM645" s="233"/>
      <c r="CN645" s="233"/>
      <c r="CO645" s="233"/>
      <c r="CP645" s="233"/>
      <c r="CQ645" s="233"/>
      <c r="CR645" s="233"/>
      <c r="CS645" s="233"/>
      <c r="CT645" s="233"/>
      <c r="CU645" s="233"/>
      <c r="CV645" s="233"/>
      <c r="CW645" s="233"/>
      <c r="CX645" s="233"/>
      <c r="CY645" s="233"/>
      <c r="CZ645" s="233"/>
      <c r="DA645" s="233"/>
      <c r="DB645" s="233"/>
      <c r="DC645" s="233"/>
      <c r="DD645" s="233"/>
      <c r="DE645" s="233"/>
      <c r="DF645" s="233"/>
      <c r="DG645" s="233"/>
      <c r="DH645" s="233"/>
      <c r="DI645" s="233"/>
      <c r="DJ645" s="233"/>
      <c r="DK645" s="233"/>
      <c r="DL645" s="233"/>
      <c r="DM645" s="233"/>
      <c r="DN645" s="233"/>
      <c r="DO645" s="233"/>
      <c r="DP645" s="233"/>
      <c r="DQ645" s="233"/>
      <c r="DR645" s="233"/>
      <c r="DS645" s="233"/>
      <c r="DT645" s="233"/>
      <c r="DU645" s="233"/>
      <c r="DV645" s="233"/>
      <c r="DW645" s="233"/>
      <c r="DX645" s="233"/>
      <c r="DY645" s="233"/>
      <c r="DZ645" s="233"/>
      <c r="EA645" s="233"/>
      <c r="EB645" s="233"/>
      <c r="EC645" s="233"/>
      <c r="ED645" s="233"/>
      <c r="EE645" s="233"/>
      <c r="EF645" s="233"/>
      <c r="EG645" s="233"/>
      <c r="EH645" s="233"/>
      <c r="EI645" s="233"/>
      <c r="EJ645" s="233"/>
      <c r="EK645" s="233"/>
      <c r="EL645" s="233"/>
      <c r="EM645" s="233"/>
      <c r="EN645" s="233"/>
      <c r="EO645" s="233"/>
      <c r="EP645" s="233"/>
    </row>
    <row r="646" spans="1:146" ht="14.25" x14ac:dyDescent="0.2">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c r="AW646" s="233"/>
      <c r="AX646" s="233"/>
      <c r="AY646" s="233"/>
      <c r="AZ646" s="233"/>
      <c r="BA646" s="233"/>
      <c r="BB646" s="233"/>
      <c r="BC646" s="233"/>
      <c r="BD646" s="233"/>
      <c r="BE646" s="233"/>
      <c r="BF646" s="233"/>
      <c r="BG646" s="233"/>
      <c r="BH646" s="233"/>
      <c r="BI646" s="233"/>
      <c r="BJ646" s="233"/>
      <c r="BK646" s="233"/>
      <c r="BL646" s="233"/>
      <c r="BM646" s="233"/>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33"/>
      <c r="CI646" s="233"/>
      <c r="CJ646" s="233"/>
      <c r="CK646" s="233"/>
      <c r="CL646" s="233"/>
      <c r="CM646" s="233"/>
      <c r="CN646" s="233"/>
      <c r="CO646" s="233"/>
      <c r="CP646" s="233"/>
      <c r="CQ646" s="233"/>
      <c r="CR646" s="233"/>
      <c r="CS646" s="233"/>
      <c r="CT646" s="233"/>
      <c r="CU646" s="233"/>
      <c r="CV646" s="233"/>
      <c r="CW646" s="233"/>
      <c r="CX646" s="233"/>
      <c r="CY646" s="233"/>
      <c r="CZ646" s="233"/>
      <c r="DA646" s="233"/>
      <c r="DB646" s="233"/>
      <c r="DC646" s="233"/>
      <c r="DD646" s="233"/>
      <c r="DE646" s="233"/>
      <c r="DF646" s="233"/>
      <c r="DG646" s="233"/>
      <c r="DH646" s="233"/>
      <c r="DI646" s="233"/>
      <c r="DJ646" s="233"/>
      <c r="DK646" s="233"/>
      <c r="DL646" s="233"/>
      <c r="DM646" s="233"/>
      <c r="DN646" s="233"/>
      <c r="DO646" s="233"/>
      <c r="DP646" s="233"/>
      <c r="DQ646" s="233"/>
      <c r="DR646" s="233"/>
      <c r="DS646" s="233"/>
      <c r="DT646" s="233"/>
      <c r="DU646" s="233"/>
      <c r="DV646" s="233"/>
      <c r="DW646" s="233"/>
      <c r="DX646" s="233"/>
      <c r="DY646" s="233"/>
      <c r="DZ646" s="233"/>
      <c r="EA646" s="233"/>
      <c r="EB646" s="233"/>
      <c r="EC646" s="233"/>
      <c r="ED646" s="233"/>
      <c r="EE646" s="233"/>
      <c r="EF646" s="233"/>
      <c r="EG646" s="233"/>
      <c r="EH646" s="233"/>
      <c r="EI646" s="233"/>
      <c r="EJ646" s="233"/>
      <c r="EK646" s="233"/>
      <c r="EL646" s="233"/>
      <c r="EM646" s="233"/>
      <c r="EN646" s="233"/>
      <c r="EO646" s="233"/>
      <c r="EP646" s="233"/>
    </row>
    <row r="647" spans="1:146" ht="14.25" x14ac:dyDescent="0.2">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33"/>
      <c r="CI647" s="233"/>
      <c r="CJ647" s="233"/>
      <c r="CK647" s="233"/>
      <c r="CL647" s="233"/>
      <c r="CM647" s="233"/>
      <c r="CN647" s="233"/>
      <c r="CO647" s="233"/>
      <c r="CP647" s="233"/>
      <c r="CQ647" s="233"/>
      <c r="CR647" s="233"/>
      <c r="CS647" s="233"/>
      <c r="CT647" s="233"/>
      <c r="CU647" s="233"/>
      <c r="CV647" s="233"/>
      <c r="CW647" s="233"/>
      <c r="CX647" s="233"/>
      <c r="CY647" s="233"/>
      <c r="CZ647" s="233"/>
      <c r="DA647" s="233"/>
      <c r="DB647" s="233"/>
      <c r="DC647" s="233"/>
      <c r="DD647" s="233"/>
      <c r="DE647" s="233"/>
      <c r="DF647" s="233"/>
      <c r="DG647" s="233"/>
      <c r="DH647" s="233"/>
      <c r="DI647" s="233"/>
      <c r="DJ647" s="233"/>
      <c r="DK647" s="233"/>
      <c r="DL647" s="233"/>
      <c r="DM647" s="233"/>
      <c r="DN647" s="233"/>
      <c r="DO647" s="233"/>
      <c r="DP647" s="233"/>
      <c r="DQ647" s="233"/>
      <c r="DR647" s="233"/>
      <c r="DS647" s="233"/>
      <c r="DT647" s="233"/>
      <c r="DU647" s="233"/>
      <c r="DV647" s="233"/>
      <c r="DW647" s="233"/>
      <c r="DX647" s="233"/>
      <c r="DY647" s="233"/>
      <c r="DZ647" s="233"/>
      <c r="EA647" s="233"/>
      <c r="EB647" s="233"/>
      <c r="EC647" s="233"/>
      <c r="ED647" s="233"/>
      <c r="EE647" s="233"/>
      <c r="EF647" s="233"/>
      <c r="EG647" s="233"/>
      <c r="EH647" s="233"/>
      <c r="EI647" s="233"/>
      <c r="EJ647" s="233"/>
      <c r="EK647" s="233"/>
      <c r="EL647" s="233"/>
      <c r="EM647" s="233"/>
      <c r="EN647" s="233"/>
      <c r="EO647" s="233"/>
      <c r="EP647" s="233"/>
    </row>
    <row r="648" spans="1:146" ht="14.25" x14ac:dyDescent="0.2">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c r="AW648" s="233"/>
      <c r="AX648" s="233"/>
      <c r="AY648" s="233"/>
      <c r="AZ648" s="233"/>
      <c r="BA648" s="233"/>
      <c r="BB648" s="233"/>
      <c r="BC648" s="233"/>
      <c r="BD648" s="233"/>
      <c r="BE648" s="233"/>
      <c r="BF648" s="233"/>
      <c r="BG648" s="233"/>
      <c r="BH648" s="233"/>
      <c r="BI648" s="233"/>
      <c r="BJ648" s="233"/>
      <c r="BK648" s="233"/>
      <c r="BL648" s="233"/>
      <c r="BM648" s="233"/>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33"/>
      <c r="CI648" s="233"/>
      <c r="CJ648" s="233"/>
      <c r="CK648" s="233"/>
      <c r="CL648" s="233"/>
      <c r="CM648" s="233"/>
      <c r="CN648" s="233"/>
      <c r="CO648" s="233"/>
      <c r="CP648" s="233"/>
      <c r="CQ648" s="233"/>
      <c r="CR648" s="233"/>
      <c r="CS648" s="233"/>
      <c r="CT648" s="233"/>
      <c r="CU648" s="233"/>
      <c r="CV648" s="233"/>
      <c r="CW648" s="233"/>
      <c r="CX648" s="233"/>
      <c r="CY648" s="233"/>
      <c r="CZ648" s="233"/>
      <c r="DA648" s="233"/>
      <c r="DB648" s="233"/>
      <c r="DC648" s="233"/>
      <c r="DD648" s="233"/>
      <c r="DE648" s="233"/>
      <c r="DF648" s="233"/>
      <c r="DG648" s="233"/>
      <c r="DH648" s="233"/>
      <c r="DI648" s="233"/>
      <c r="DJ648" s="233"/>
      <c r="DK648" s="233"/>
      <c r="DL648" s="233"/>
      <c r="DM648" s="233"/>
      <c r="DN648" s="233"/>
      <c r="DO648" s="233"/>
      <c r="DP648" s="233"/>
      <c r="DQ648" s="233"/>
      <c r="DR648" s="233"/>
      <c r="DS648" s="233"/>
      <c r="DT648" s="233"/>
      <c r="DU648" s="233"/>
      <c r="DV648" s="233"/>
      <c r="DW648" s="233"/>
      <c r="DX648" s="233"/>
      <c r="DY648" s="233"/>
      <c r="DZ648" s="233"/>
      <c r="EA648" s="233"/>
      <c r="EB648" s="233"/>
      <c r="EC648" s="233"/>
      <c r="ED648" s="233"/>
      <c r="EE648" s="233"/>
      <c r="EF648" s="233"/>
      <c r="EG648" s="233"/>
      <c r="EH648" s="233"/>
      <c r="EI648" s="233"/>
      <c r="EJ648" s="233"/>
      <c r="EK648" s="233"/>
      <c r="EL648" s="233"/>
      <c r="EM648" s="233"/>
      <c r="EN648" s="233"/>
      <c r="EO648" s="233"/>
      <c r="EP648" s="233"/>
    </row>
    <row r="649" spans="1:146" ht="14.25" x14ac:dyDescent="0.2">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c r="AZ649" s="233"/>
      <c r="BA649" s="233"/>
      <c r="BB649" s="233"/>
      <c r="BC649" s="233"/>
      <c r="BD649" s="233"/>
      <c r="BE649" s="233"/>
      <c r="BF649" s="233"/>
      <c r="BG649" s="233"/>
      <c r="BH649" s="233"/>
      <c r="BI649" s="233"/>
      <c r="BJ649" s="233"/>
      <c r="BK649" s="233"/>
      <c r="BL649" s="233"/>
      <c r="BM649" s="233"/>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33"/>
      <c r="CI649" s="233"/>
      <c r="CJ649" s="233"/>
      <c r="CK649" s="233"/>
      <c r="CL649" s="233"/>
      <c r="CM649" s="233"/>
      <c r="CN649" s="233"/>
      <c r="CO649" s="233"/>
      <c r="CP649" s="233"/>
      <c r="CQ649" s="233"/>
      <c r="CR649" s="233"/>
      <c r="CS649" s="233"/>
      <c r="CT649" s="233"/>
      <c r="CU649" s="233"/>
      <c r="CV649" s="233"/>
      <c r="CW649" s="233"/>
      <c r="CX649" s="233"/>
      <c r="CY649" s="233"/>
      <c r="CZ649" s="233"/>
      <c r="DA649" s="233"/>
      <c r="DB649" s="233"/>
      <c r="DC649" s="233"/>
      <c r="DD649" s="233"/>
      <c r="DE649" s="233"/>
      <c r="DF649" s="233"/>
      <c r="DG649" s="233"/>
      <c r="DH649" s="233"/>
      <c r="DI649" s="233"/>
      <c r="DJ649" s="233"/>
      <c r="DK649" s="233"/>
      <c r="DL649" s="233"/>
      <c r="DM649" s="233"/>
      <c r="DN649" s="233"/>
      <c r="DO649" s="233"/>
      <c r="DP649" s="233"/>
      <c r="DQ649" s="233"/>
      <c r="DR649" s="233"/>
      <c r="DS649" s="233"/>
      <c r="DT649" s="233"/>
      <c r="DU649" s="233"/>
      <c r="DV649" s="233"/>
      <c r="DW649" s="233"/>
      <c r="DX649" s="233"/>
      <c r="DY649" s="233"/>
      <c r="DZ649" s="233"/>
      <c r="EA649" s="233"/>
      <c r="EB649" s="233"/>
      <c r="EC649" s="233"/>
      <c r="ED649" s="233"/>
      <c r="EE649" s="233"/>
      <c r="EF649" s="233"/>
      <c r="EG649" s="233"/>
      <c r="EH649" s="233"/>
      <c r="EI649" s="233"/>
      <c r="EJ649" s="233"/>
      <c r="EK649" s="233"/>
      <c r="EL649" s="233"/>
      <c r="EM649" s="233"/>
      <c r="EN649" s="233"/>
      <c r="EO649" s="233"/>
      <c r="EP649" s="233"/>
    </row>
    <row r="650" spans="1:146" ht="14.25" x14ac:dyDescent="0.2">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c r="AW650" s="233"/>
      <c r="AX650" s="233"/>
      <c r="AY650" s="233"/>
      <c r="AZ650" s="233"/>
      <c r="BA650" s="233"/>
      <c r="BB650" s="233"/>
      <c r="BC650" s="233"/>
      <c r="BD650" s="233"/>
      <c r="BE650" s="233"/>
      <c r="BF650" s="233"/>
      <c r="BG650" s="233"/>
      <c r="BH650" s="233"/>
      <c r="BI650" s="233"/>
      <c r="BJ650" s="233"/>
      <c r="BK650" s="233"/>
      <c r="BL650" s="233"/>
      <c r="BM650" s="233"/>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33"/>
      <c r="CI650" s="233"/>
      <c r="CJ650" s="233"/>
      <c r="CK650" s="233"/>
      <c r="CL650" s="233"/>
      <c r="CM650" s="233"/>
      <c r="CN650" s="233"/>
      <c r="CO650" s="233"/>
      <c r="CP650" s="233"/>
      <c r="CQ650" s="233"/>
      <c r="CR650" s="233"/>
      <c r="CS650" s="233"/>
      <c r="CT650" s="233"/>
      <c r="CU650" s="233"/>
      <c r="CV650" s="233"/>
      <c r="CW650" s="233"/>
      <c r="CX650" s="233"/>
      <c r="CY650" s="233"/>
      <c r="CZ650" s="233"/>
      <c r="DA650" s="233"/>
      <c r="DB650" s="233"/>
      <c r="DC650" s="233"/>
      <c r="DD650" s="233"/>
      <c r="DE650" s="233"/>
      <c r="DF650" s="233"/>
      <c r="DG650" s="233"/>
      <c r="DH650" s="233"/>
      <c r="DI650" s="233"/>
      <c r="DJ650" s="233"/>
      <c r="DK650" s="233"/>
      <c r="DL650" s="233"/>
      <c r="DM650" s="233"/>
      <c r="DN650" s="233"/>
      <c r="DO650" s="233"/>
      <c r="DP650" s="233"/>
      <c r="DQ650" s="233"/>
      <c r="DR650" s="233"/>
      <c r="DS650" s="233"/>
      <c r="DT650" s="233"/>
      <c r="DU650" s="233"/>
      <c r="DV650" s="233"/>
      <c r="DW650" s="233"/>
      <c r="DX650" s="233"/>
      <c r="DY650" s="233"/>
      <c r="DZ650" s="233"/>
      <c r="EA650" s="233"/>
      <c r="EB650" s="233"/>
      <c r="EC650" s="233"/>
      <c r="ED650" s="233"/>
      <c r="EE650" s="233"/>
      <c r="EF650" s="233"/>
      <c r="EG650" s="233"/>
      <c r="EH650" s="233"/>
      <c r="EI650" s="233"/>
      <c r="EJ650" s="233"/>
      <c r="EK650" s="233"/>
      <c r="EL650" s="233"/>
      <c r="EM650" s="233"/>
      <c r="EN650" s="233"/>
      <c r="EO650" s="233"/>
      <c r="EP650" s="233"/>
    </row>
    <row r="651" spans="1:146" ht="14.25" x14ac:dyDescent="0.2">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c r="AW651" s="233"/>
      <c r="AX651" s="233"/>
      <c r="AY651" s="233"/>
      <c r="AZ651" s="233"/>
      <c r="BA651" s="233"/>
      <c r="BB651" s="233"/>
      <c r="BC651" s="233"/>
      <c r="BD651" s="233"/>
      <c r="BE651" s="233"/>
      <c r="BF651" s="233"/>
      <c r="BG651" s="233"/>
      <c r="BH651" s="233"/>
      <c r="BI651" s="233"/>
      <c r="BJ651" s="233"/>
      <c r="BK651" s="233"/>
      <c r="BL651" s="233"/>
      <c r="BM651" s="233"/>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33"/>
      <c r="CI651" s="233"/>
      <c r="CJ651" s="233"/>
      <c r="CK651" s="233"/>
      <c r="CL651" s="233"/>
      <c r="CM651" s="233"/>
      <c r="CN651" s="233"/>
      <c r="CO651" s="233"/>
      <c r="CP651" s="233"/>
      <c r="CQ651" s="233"/>
      <c r="CR651" s="233"/>
      <c r="CS651" s="233"/>
      <c r="CT651" s="233"/>
      <c r="CU651" s="233"/>
      <c r="CV651" s="233"/>
      <c r="CW651" s="233"/>
      <c r="CX651" s="233"/>
      <c r="CY651" s="233"/>
      <c r="CZ651" s="233"/>
      <c r="DA651" s="233"/>
      <c r="DB651" s="233"/>
      <c r="DC651" s="233"/>
      <c r="DD651" s="233"/>
      <c r="DE651" s="233"/>
      <c r="DF651" s="233"/>
      <c r="DG651" s="233"/>
      <c r="DH651" s="233"/>
      <c r="DI651" s="233"/>
      <c r="DJ651" s="233"/>
      <c r="DK651" s="233"/>
      <c r="DL651" s="233"/>
      <c r="DM651" s="233"/>
      <c r="DN651" s="233"/>
      <c r="DO651" s="233"/>
      <c r="DP651" s="233"/>
      <c r="DQ651" s="233"/>
      <c r="DR651" s="233"/>
      <c r="DS651" s="233"/>
      <c r="DT651" s="233"/>
      <c r="DU651" s="233"/>
      <c r="DV651" s="233"/>
      <c r="DW651" s="233"/>
      <c r="DX651" s="233"/>
      <c r="DY651" s="233"/>
      <c r="DZ651" s="233"/>
      <c r="EA651" s="233"/>
      <c r="EB651" s="233"/>
      <c r="EC651" s="233"/>
      <c r="ED651" s="233"/>
      <c r="EE651" s="233"/>
      <c r="EF651" s="233"/>
      <c r="EG651" s="233"/>
      <c r="EH651" s="233"/>
      <c r="EI651" s="233"/>
      <c r="EJ651" s="233"/>
      <c r="EK651" s="233"/>
      <c r="EL651" s="233"/>
      <c r="EM651" s="233"/>
      <c r="EN651" s="233"/>
      <c r="EO651" s="233"/>
      <c r="EP651" s="233"/>
    </row>
    <row r="652" spans="1:146" ht="14.25" x14ac:dyDescent="0.2">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c r="AW652" s="233"/>
      <c r="AX652" s="233"/>
      <c r="AY652" s="233"/>
      <c r="AZ652" s="233"/>
      <c r="BA652" s="233"/>
      <c r="BB652" s="233"/>
      <c r="BC652" s="233"/>
      <c r="BD652" s="233"/>
      <c r="BE652" s="233"/>
      <c r="BF652" s="233"/>
      <c r="BG652" s="233"/>
      <c r="BH652" s="233"/>
      <c r="BI652" s="233"/>
      <c r="BJ652" s="233"/>
      <c r="BK652" s="233"/>
      <c r="BL652" s="233"/>
      <c r="BM652" s="233"/>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33"/>
      <c r="CI652" s="233"/>
      <c r="CJ652" s="233"/>
      <c r="CK652" s="233"/>
      <c r="CL652" s="233"/>
      <c r="CM652" s="233"/>
      <c r="CN652" s="233"/>
      <c r="CO652" s="233"/>
      <c r="CP652" s="233"/>
      <c r="CQ652" s="233"/>
      <c r="CR652" s="233"/>
      <c r="CS652" s="233"/>
      <c r="CT652" s="233"/>
      <c r="CU652" s="233"/>
      <c r="CV652" s="233"/>
      <c r="CW652" s="233"/>
      <c r="CX652" s="233"/>
      <c r="CY652" s="233"/>
      <c r="CZ652" s="233"/>
      <c r="DA652" s="233"/>
      <c r="DB652" s="233"/>
      <c r="DC652" s="233"/>
      <c r="DD652" s="233"/>
      <c r="DE652" s="233"/>
      <c r="DF652" s="233"/>
      <c r="DG652" s="233"/>
      <c r="DH652" s="233"/>
      <c r="DI652" s="233"/>
      <c r="DJ652" s="233"/>
      <c r="DK652" s="233"/>
      <c r="DL652" s="233"/>
      <c r="DM652" s="233"/>
      <c r="DN652" s="233"/>
      <c r="DO652" s="233"/>
      <c r="DP652" s="233"/>
      <c r="DQ652" s="233"/>
      <c r="DR652" s="233"/>
      <c r="DS652" s="233"/>
      <c r="DT652" s="233"/>
      <c r="DU652" s="233"/>
      <c r="DV652" s="233"/>
      <c r="DW652" s="233"/>
      <c r="DX652" s="233"/>
      <c r="DY652" s="233"/>
      <c r="DZ652" s="233"/>
      <c r="EA652" s="233"/>
      <c r="EB652" s="233"/>
      <c r="EC652" s="233"/>
      <c r="ED652" s="233"/>
      <c r="EE652" s="233"/>
      <c r="EF652" s="233"/>
      <c r="EG652" s="233"/>
      <c r="EH652" s="233"/>
      <c r="EI652" s="233"/>
      <c r="EJ652" s="233"/>
      <c r="EK652" s="233"/>
      <c r="EL652" s="233"/>
      <c r="EM652" s="233"/>
      <c r="EN652" s="233"/>
      <c r="EO652" s="233"/>
      <c r="EP652" s="233"/>
    </row>
    <row r="653" spans="1:146" ht="14.25" x14ac:dyDescent="0.2">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c r="AW653" s="233"/>
      <c r="AX653" s="233"/>
      <c r="AY653" s="233"/>
      <c r="AZ653" s="233"/>
      <c r="BA653" s="233"/>
      <c r="BB653" s="233"/>
      <c r="BC653" s="233"/>
      <c r="BD653" s="233"/>
      <c r="BE653" s="233"/>
      <c r="BF653" s="233"/>
      <c r="BG653" s="233"/>
      <c r="BH653" s="233"/>
      <c r="BI653" s="233"/>
      <c r="BJ653" s="233"/>
      <c r="BK653" s="233"/>
      <c r="BL653" s="233"/>
      <c r="BM653" s="233"/>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33"/>
      <c r="CI653" s="233"/>
      <c r="CJ653" s="233"/>
      <c r="CK653" s="233"/>
      <c r="CL653" s="233"/>
      <c r="CM653" s="233"/>
      <c r="CN653" s="233"/>
      <c r="CO653" s="233"/>
      <c r="CP653" s="233"/>
      <c r="CQ653" s="233"/>
      <c r="CR653" s="233"/>
      <c r="CS653" s="233"/>
      <c r="CT653" s="233"/>
      <c r="CU653" s="233"/>
      <c r="CV653" s="233"/>
      <c r="CW653" s="233"/>
      <c r="CX653" s="233"/>
      <c r="CY653" s="233"/>
      <c r="CZ653" s="233"/>
      <c r="DA653" s="233"/>
      <c r="DB653" s="233"/>
      <c r="DC653" s="233"/>
      <c r="DD653" s="233"/>
      <c r="DE653" s="233"/>
      <c r="DF653" s="233"/>
      <c r="DG653" s="233"/>
      <c r="DH653" s="233"/>
      <c r="DI653" s="233"/>
      <c r="DJ653" s="233"/>
      <c r="DK653" s="233"/>
      <c r="DL653" s="233"/>
      <c r="DM653" s="233"/>
      <c r="DN653" s="233"/>
      <c r="DO653" s="233"/>
      <c r="DP653" s="233"/>
      <c r="DQ653" s="233"/>
      <c r="DR653" s="233"/>
      <c r="DS653" s="233"/>
      <c r="DT653" s="233"/>
      <c r="DU653" s="233"/>
      <c r="DV653" s="233"/>
      <c r="DW653" s="233"/>
      <c r="DX653" s="233"/>
      <c r="DY653" s="233"/>
      <c r="DZ653" s="233"/>
      <c r="EA653" s="233"/>
      <c r="EB653" s="233"/>
      <c r="EC653" s="233"/>
      <c r="ED653" s="233"/>
      <c r="EE653" s="233"/>
      <c r="EF653" s="233"/>
      <c r="EG653" s="233"/>
      <c r="EH653" s="233"/>
      <c r="EI653" s="233"/>
      <c r="EJ653" s="233"/>
      <c r="EK653" s="233"/>
      <c r="EL653" s="233"/>
      <c r="EM653" s="233"/>
      <c r="EN653" s="233"/>
      <c r="EO653" s="233"/>
      <c r="EP653" s="233"/>
    </row>
    <row r="654" spans="1:146" ht="14.25" x14ac:dyDescent="0.2">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c r="AW654" s="233"/>
      <c r="AX654" s="233"/>
      <c r="AY654" s="233"/>
      <c r="AZ654" s="233"/>
      <c r="BA654" s="233"/>
      <c r="BB654" s="233"/>
      <c r="BC654" s="233"/>
      <c r="BD654" s="233"/>
      <c r="BE654" s="233"/>
      <c r="BF654" s="233"/>
      <c r="BG654" s="233"/>
      <c r="BH654" s="233"/>
      <c r="BI654" s="233"/>
      <c r="BJ654" s="233"/>
      <c r="BK654" s="233"/>
      <c r="BL654" s="233"/>
      <c r="BM654" s="233"/>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33"/>
      <c r="CI654" s="233"/>
      <c r="CJ654" s="233"/>
      <c r="CK654" s="233"/>
      <c r="CL654" s="233"/>
      <c r="CM654" s="233"/>
      <c r="CN654" s="233"/>
      <c r="CO654" s="233"/>
      <c r="CP654" s="233"/>
      <c r="CQ654" s="233"/>
      <c r="CR654" s="233"/>
      <c r="CS654" s="233"/>
      <c r="CT654" s="233"/>
      <c r="CU654" s="233"/>
      <c r="CV654" s="233"/>
      <c r="CW654" s="233"/>
      <c r="CX654" s="233"/>
      <c r="CY654" s="233"/>
      <c r="CZ654" s="233"/>
      <c r="DA654" s="233"/>
      <c r="DB654" s="233"/>
      <c r="DC654" s="233"/>
      <c r="DD654" s="233"/>
      <c r="DE654" s="233"/>
      <c r="DF654" s="233"/>
      <c r="DG654" s="233"/>
      <c r="DH654" s="233"/>
      <c r="DI654" s="233"/>
      <c r="DJ654" s="233"/>
      <c r="DK654" s="233"/>
      <c r="DL654" s="233"/>
      <c r="DM654" s="233"/>
      <c r="DN654" s="233"/>
      <c r="DO654" s="233"/>
      <c r="DP654" s="233"/>
      <c r="DQ654" s="233"/>
      <c r="DR654" s="233"/>
      <c r="DS654" s="233"/>
      <c r="DT654" s="233"/>
      <c r="DU654" s="233"/>
      <c r="DV654" s="233"/>
      <c r="DW654" s="233"/>
      <c r="DX654" s="233"/>
      <c r="DY654" s="233"/>
      <c r="DZ654" s="233"/>
      <c r="EA654" s="233"/>
      <c r="EB654" s="233"/>
      <c r="EC654" s="233"/>
      <c r="ED654" s="233"/>
      <c r="EE654" s="233"/>
      <c r="EF654" s="233"/>
      <c r="EG654" s="233"/>
      <c r="EH654" s="233"/>
      <c r="EI654" s="233"/>
      <c r="EJ654" s="233"/>
      <c r="EK654" s="233"/>
      <c r="EL654" s="233"/>
      <c r="EM654" s="233"/>
      <c r="EN654" s="233"/>
      <c r="EO654" s="233"/>
      <c r="EP654" s="233"/>
    </row>
    <row r="655" spans="1:146" ht="14.25" x14ac:dyDescent="0.2">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c r="AW655" s="233"/>
      <c r="AX655" s="233"/>
      <c r="AY655" s="233"/>
      <c r="AZ655" s="233"/>
      <c r="BA655" s="233"/>
      <c r="BB655" s="233"/>
      <c r="BC655" s="233"/>
      <c r="BD655" s="233"/>
      <c r="BE655" s="233"/>
      <c r="BF655" s="233"/>
      <c r="BG655" s="233"/>
      <c r="BH655" s="233"/>
      <c r="BI655" s="233"/>
      <c r="BJ655" s="233"/>
      <c r="BK655" s="233"/>
      <c r="BL655" s="233"/>
      <c r="BM655" s="233"/>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33"/>
      <c r="CI655" s="233"/>
      <c r="CJ655" s="233"/>
      <c r="CK655" s="233"/>
      <c r="CL655" s="233"/>
      <c r="CM655" s="233"/>
      <c r="CN655" s="233"/>
      <c r="CO655" s="233"/>
      <c r="CP655" s="233"/>
      <c r="CQ655" s="233"/>
      <c r="CR655" s="233"/>
      <c r="CS655" s="233"/>
      <c r="CT655" s="233"/>
      <c r="CU655" s="233"/>
      <c r="CV655" s="233"/>
      <c r="CW655" s="233"/>
      <c r="CX655" s="233"/>
      <c r="CY655" s="233"/>
      <c r="CZ655" s="233"/>
      <c r="DA655" s="233"/>
      <c r="DB655" s="233"/>
      <c r="DC655" s="233"/>
      <c r="DD655" s="233"/>
      <c r="DE655" s="233"/>
      <c r="DF655" s="233"/>
      <c r="DG655" s="233"/>
      <c r="DH655" s="233"/>
      <c r="DI655" s="233"/>
      <c r="DJ655" s="233"/>
      <c r="DK655" s="233"/>
      <c r="DL655" s="233"/>
      <c r="DM655" s="233"/>
      <c r="DN655" s="233"/>
      <c r="DO655" s="233"/>
      <c r="DP655" s="233"/>
      <c r="DQ655" s="233"/>
      <c r="DR655" s="233"/>
      <c r="DS655" s="233"/>
      <c r="DT655" s="233"/>
      <c r="DU655" s="233"/>
      <c r="DV655" s="233"/>
      <c r="DW655" s="233"/>
      <c r="DX655" s="233"/>
      <c r="DY655" s="233"/>
      <c r="DZ655" s="233"/>
      <c r="EA655" s="233"/>
      <c r="EB655" s="233"/>
      <c r="EC655" s="233"/>
      <c r="ED655" s="233"/>
      <c r="EE655" s="233"/>
      <c r="EF655" s="233"/>
      <c r="EG655" s="233"/>
      <c r="EH655" s="233"/>
      <c r="EI655" s="233"/>
      <c r="EJ655" s="233"/>
      <c r="EK655" s="233"/>
      <c r="EL655" s="233"/>
      <c r="EM655" s="233"/>
      <c r="EN655" s="233"/>
      <c r="EO655" s="233"/>
      <c r="EP655" s="233"/>
    </row>
    <row r="656" spans="1:146" ht="14.25" x14ac:dyDescent="0.2">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c r="AW656" s="233"/>
      <c r="AX656" s="233"/>
      <c r="AY656" s="233"/>
      <c r="AZ656" s="233"/>
      <c r="BA656" s="233"/>
      <c r="BB656" s="233"/>
      <c r="BC656" s="233"/>
      <c r="BD656" s="233"/>
      <c r="BE656" s="233"/>
      <c r="BF656" s="233"/>
      <c r="BG656" s="233"/>
      <c r="BH656" s="233"/>
      <c r="BI656" s="233"/>
      <c r="BJ656" s="233"/>
      <c r="BK656" s="233"/>
      <c r="BL656" s="233"/>
      <c r="BM656" s="233"/>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33"/>
      <c r="CI656" s="233"/>
      <c r="CJ656" s="233"/>
      <c r="CK656" s="233"/>
      <c r="CL656" s="233"/>
      <c r="CM656" s="233"/>
      <c r="CN656" s="233"/>
      <c r="CO656" s="233"/>
      <c r="CP656" s="233"/>
      <c r="CQ656" s="233"/>
      <c r="CR656" s="233"/>
      <c r="CS656" s="233"/>
      <c r="CT656" s="233"/>
      <c r="CU656" s="233"/>
      <c r="CV656" s="233"/>
      <c r="CW656" s="233"/>
      <c r="CX656" s="233"/>
      <c r="CY656" s="233"/>
      <c r="CZ656" s="233"/>
      <c r="DA656" s="233"/>
      <c r="DB656" s="233"/>
      <c r="DC656" s="233"/>
      <c r="DD656" s="233"/>
      <c r="DE656" s="233"/>
      <c r="DF656" s="233"/>
      <c r="DG656" s="233"/>
      <c r="DH656" s="233"/>
      <c r="DI656" s="233"/>
      <c r="DJ656" s="233"/>
      <c r="DK656" s="233"/>
      <c r="DL656" s="233"/>
      <c r="DM656" s="233"/>
      <c r="DN656" s="233"/>
      <c r="DO656" s="233"/>
      <c r="DP656" s="233"/>
      <c r="DQ656" s="233"/>
      <c r="DR656" s="233"/>
      <c r="DS656" s="233"/>
      <c r="DT656" s="233"/>
      <c r="DU656" s="233"/>
      <c r="DV656" s="233"/>
      <c r="DW656" s="233"/>
      <c r="DX656" s="233"/>
      <c r="DY656" s="233"/>
      <c r="DZ656" s="233"/>
      <c r="EA656" s="233"/>
      <c r="EB656" s="233"/>
      <c r="EC656" s="233"/>
      <c r="ED656" s="233"/>
      <c r="EE656" s="233"/>
      <c r="EF656" s="233"/>
      <c r="EG656" s="233"/>
      <c r="EH656" s="233"/>
      <c r="EI656" s="233"/>
      <c r="EJ656" s="233"/>
      <c r="EK656" s="233"/>
      <c r="EL656" s="233"/>
      <c r="EM656" s="233"/>
      <c r="EN656" s="233"/>
      <c r="EO656" s="233"/>
      <c r="EP656" s="233"/>
    </row>
    <row r="657" spans="1:146" ht="14.25" x14ac:dyDescent="0.2">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c r="AW657" s="233"/>
      <c r="AX657" s="233"/>
      <c r="AY657" s="233"/>
      <c r="AZ657" s="233"/>
      <c r="BA657" s="233"/>
      <c r="BB657" s="233"/>
      <c r="BC657" s="233"/>
      <c r="BD657" s="233"/>
      <c r="BE657" s="233"/>
      <c r="BF657" s="233"/>
      <c r="BG657" s="233"/>
      <c r="BH657" s="233"/>
      <c r="BI657" s="233"/>
      <c r="BJ657" s="233"/>
      <c r="BK657" s="233"/>
      <c r="BL657" s="233"/>
      <c r="BM657" s="233"/>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33"/>
      <c r="CI657" s="233"/>
      <c r="CJ657" s="233"/>
      <c r="CK657" s="233"/>
      <c r="CL657" s="233"/>
      <c r="CM657" s="233"/>
      <c r="CN657" s="233"/>
      <c r="CO657" s="233"/>
      <c r="CP657" s="233"/>
      <c r="CQ657" s="233"/>
      <c r="CR657" s="233"/>
      <c r="CS657" s="233"/>
      <c r="CT657" s="233"/>
      <c r="CU657" s="233"/>
      <c r="CV657" s="233"/>
      <c r="CW657" s="233"/>
      <c r="CX657" s="233"/>
      <c r="CY657" s="233"/>
      <c r="CZ657" s="233"/>
      <c r="DA657" s="233"/>
      <c r="DB657" s="233"/>
      <c r="DC657" s="233"/>
      <c r="DD657" s="233"/>
      <c r="DE657" s="233"/>
      <c r="DF657" s="233"/>
      <c r="DG657" s="233"/>
      <c r="DH657" s="233"/>
      <c r="DI657" s="233"/>
      <c r="DJ657" s="233"/>
      <c r="DK657" s="233"/>
      <c r="DL657" s="233"/>
      <c r="DM657" s="233"/>
      <c r="DN657" s="233"/>
      <c r="DO657" s="233"/>
      <c r="DP657" s="233"/>
      <c r="DQ657" s="233"/>
      <c r="DR657" s="233"/>
      <c r="DS657" s="233"/>
      <c r="DT657" s="233"/>
      <c r="DU657" s="233"/>
      <c r="DV657" s="233"/>
      <c r="DW657" s="233"/>
      <c r="DX657" s="233"/>
      <c r="DY657" s="233"/>
      <c r="DZ657" s="233"/>
      <c r="EA657" s="233"/>
      <c r="EB657" s="233"/>
      <c r="EC657" s="233"/>
      <c r="ED657" s="233"/>
      <c r="EE657" s="233"/>
      <c r="EF657" s="233"/>
      <c r="EG657" s="233"/>
      <c r="EH657" s="233"/>
      <c r="EI657" s="233"/>
      <c r="EJ657" s="233"/>
      <c r="EK657" s="233"/>
      <c r="EL657" s="233"/>
      <c r="EM657" s="233"/>
      <c r="EN657" s="233"/>
      <c r="EO657" s="233"/>
      <c r="EP657" s="233"/>
    </row>
    <row r="658" spans="1:146" ht="14.25" x14ac:dyDescent="0.2">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c r="AZ658" s="233"/>
      <c r="BA658" s="233"/>
      <c r="BB658" s="233"/>
      <c r="BC658" s="233"/>
      <c r="BD658" s="233"/>
      <c r="BE658" s="233"/>
      <c r="BF658" s="233"/>
      <c r="BG658" s="233"/>
      <c r="BH658" s="233"/>
      <c r="BI658" s="233"/>
      <c r="BJ658" s="233"/>
      <c r="BK658" s="233"/>
      <c r="BL658" s="233"/>
      <c r="BM658" s="233"/>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33"/>
      <c r="CI658" s="233"/>
      <c r="CJ658" s="233"/>
      <c r="CK658" s="233"/>
      <c r="CL658" s="233"/>
      <c r="CM658" s="233"/>
      <c r="CN658" s="233"/>
      <c r="CO658" s="233"/>
      <c r="CP658" s="233"/>
      <c r="CQ658" s="233"/>
      <c r="CR658" s="233"/>
      <c r="CS658" s="233"/>
      <c r="CT658" s="233"/>
      <c r="CU658" s="233"/>
      <c r="CV658" s="233"/>
      <c r="CW658" s="233"/>
      <c r="CX658" s="233"/>
      <c r="CY658" s="233"/>
      <c r="CZ658" s="233"/>
      <c r="DA658" s="233"/>
      <c r="DB658" s="233"/>
      <c r="DC658" s="233"/>
      <c r="DD658" s="233"/>
      <c r="DE658" s="233"/>
      <c r="DF658" s="233"/>
      <c r="DG658" s="233"/>
      <c r="DH658" s="233"/>
      <c r="DI658" s="233"/>
      <c r="DJ658" s="233"/>
      <c r="DK658" s="233"/>
      <c r="DL658" s="233"/>
      <c r="DM658" s="233"/>
      <c r="DN658" s="233"/>
      <c r="DO658" s="233"/>
      <c r="DP658" s="233"/>
      <c r="DQ658" s="233"/>
      <c r="DR658" s="233"/>
      <c r="DS658" s="233"/>
      <c r="DT658" s="233"/>
      <c r="DU658" s="233"/>
      <c r="DV658" s="233"/>
      <c r="DW658" s="233"/>
      <c r="DX658" s="233"/>
      <c r="DY658" s="233"/>
      <c r="DZ658" s="233"/>
      <c r="EA658" s="233"/>
      <c r="EB658" s="233"/>
      <c r="EC658" s="233"/>
      <c r="ED658" s="233"/>
      <c r="EE658" s="233"/>
      <c r="EF658" s="233"/>
      <c r="EG658" s="233"/>
      <c r="EH658" s="233"/>
      <c r="EI658" s="233"/>
      <c r="EJ658" s="233"/>
      <c r="EK658" s="233"/>
      <c r="EL658" s="233"/>
      <c r="EM658" s="233"/>
      <c r="EN658" s="233"/>
      <c r="EO658" s="233"/>
      <c r="EP658" s="233"/>
    </row>
    <row r="659" spans="1:146" ht="14.25" x14ac:dyDescent="0.2">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c r="AW659" s="233"/>
      <c r="AX659" s="233"/>
      <c r="AY659" s="233"/>
      <c r="AZ659" s="233"/>
      <c r="BA659" s="233"/>
      <c r="BB659" s="233"/>
      <c r="BC659" s="233"/>
      <c r="BD659" s="233"/>
      <c r="BE659" s="233"/>
      <c r="BF659" s="233"/>
      <c r="BG659" s="233"/>
      <c r="BH659" s="233"/>
      <c r="BI659" s="233"/>
      <c r="BJ659" s="233"/>
      <c r="BK659" s="233"/>
      <c r="BL659" s="233"/>
      <c r="BM659" s="233"/>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33"/>
      <c r="CI659" s="233"/>
      <c r="CJ659" s="233"/>
      <c r="CK659" s="233"/>
      <c r="CL659" s="233"/>
      <c r="CM659" s="233"/>
      <c r="CN659" s="233"/>
      <c r="CO659" s="233"/>
      <c r="CP659" s="233"/>
      <c r="CQ659" s="233"/>
      <c r="CR659" s="233"/>
      <c r="CS659" s="233"/>
      <c r="CT659" s="233"/>
      <c r="CU659" s="233"/>
      <c r="CV659" s="233"/>
      <c r="CW659" s="233"/>
      <c r="CX659" s="233"/>
      <c r="CY659" s="233"/>
      <c r="CZ659" s="233"/>
      <c r="DA659" s="233"/>
      <c r="DB659" s="233"/>
      <c r="DC659" s="233"/>
      <c r="DD659" s="233"/>
      <c r="DE659" s="233"/>
      <c r="DF659" s="233"/>
      <c r="DG659" s="233"/>
      <c r="DH659" s="233"/>
      <c r="DI659" s="233"/>
      <c r="DJ659" s="233"/>
      <c r="DK659" s="233"/>
      <c r="DL659" s="233"/>
      <c r="DM659" s="233"/>
      <c r="DN659" s="233"/>
      <c r="DO659" s="233"/>
      <c r="DP659" s="233"/>
      <c r="DQ659" s="233"/>
      <c r="DR659" s="233"/>
      <c r="DS659" s="233"/>
      <c r="DT659" s="233"/>
      <c r="DU659" s="233"/>
      <c r="DV659" s="233"/>
      <c r="DW659" s="233"/>
      <c r="DX659" s="233"/>
      <c r="DY659" s="233"/>
      <c r="DZ659" s="233"/>
      <c r="EA659" s="233"/>
      <c r="EB659" s="233"/>
      <c r="EC659" s="233"/>
      <c r="ED659" s="233"/>
      <c r="EE659" s="233"/>
      <c r="EF659" s="233"/>
      <c r="EG659" s="233"/>
      <c r="EH659" s="233"/>
      <c r="EI659" s="233"/>
      <c r="EJ659" s="233"/>
      <c r="EK659" s="233"/>
      <c r="EL659" s="233"/>
      <c r="EM659" s="233"/>
      <c r="EN659" s="233"/>
      <c r="EO659" s="233"/>
      <c r="EP659" s="233"/>
    </row>
    <row r="660" spans="1:146" ht="14.25" x14ac:dyDescent="0.2">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33"/>
      <c r="CN660" s="233"/>
      <c r="CO660" s="233"/>
      <c r="CP660" s="233"/>
      <c r="CQ660" s="233"/>
      <c r="CR660" s="233"/>
      <c r="CS660" s="233"/>
      <c r="CT660" s="233"/>
      <c r="CU660" s="233"/>
      <c r="CV660" s="233"/>
      <c r="CW660" s="233"/>
      <c r="CX660" s="233"/>
      <c r="CY660" s="233"/>
      <c r="CZ660" s="233"/>
      <c r="DA660" s="233"/>
      <c r="DB660" s="233"/>
      <c r="DC660" s="233"/>
      <c r="DD660" s="233"/>
      <c r="DE660" s="233"/>
      <c r="DF660" s="233"/>
      <c r="DG660" s="233"/>
      <c r="DH660" s="233"/>
      <c r="DI660" s="233"/>
      <c r="DJ660" s="233"/>
      <c r="DK660" s="233"/>
      <c r="DL660" s="233"/>
      <c r="DM660" s="233"/>
      <c r="DN660" s="233"/>
      <c r="DO660" s="233"/>
      <c r="DP660" s="233"/>
      <c r="DQ660" s="233"/>
      <c r="DR660" s="233"/>
      <c r="DS660" s="233"/>
      <c r="DT660" s="233"/>
      <c r="DU660" s="233"/>
      <c r="DV660" s="233"/>
      <c r="DW660" s="233"/>
      <c r="DX660" s="233"/>
      <c r="DY660" s="233"/>
      <c r="DZ660" s="233"/>
      <c r="EA660" s="233"/>
      <c r="EB660" s="233"/>
      <c r="EC660" s="233"/>
      <c r="ED660" s="233"/>
      <c r="EE660" s="233"/>
      <c r="EF660" s="233"/>
      <c r="EG660" s="233"/>
      <c r="EH660" s="233"/>
      <c r="EI660" s="233"/>
      <c r="EJ660" s="233"/>
      <c r="EK660" s="233"/>
      <c r="EL660" s="233"/>
      <c r="EM660" s="233"/>
      <c r="EN660" s="233"/>
      <c r="EO660" s="233"/>
      <c r="EP660" s="233"/>
    </row>
    <row r="661" spans="1:146" ht="14.25" x14ac:dyDescent="0.2">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c r="AW661" s="233"/>
      <c r="AX661" s="233"/>
      <c r="AY661" s="233"/>
      <c r="AZ661" s="233"/>
      <c r="BA661" s="233"/>
      <c r="BB661" s="233"/>
      <c r="BC661" s="233"/>
      <c r="BD661" s="233"/>
      <c r="BE661" s="233"/>
      <c r="BF661" s="233"/>
      <c r="BG661" s="233"/>
      <c r="BH661" s="233"/>
      <c r="BI661" s="233"/>
      <c r="BJ661" s="233"/>
      <c r="BK661" s="233"/>
      <c r="BL661" s="233"/>
      <c r="BM661" s="233"/>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33"/>
      <c r="CI661" s="233"/>
      <c r="CJ661" s="233"/>
      <c r="CK661" s="233"/>
      <c r="CL661" s="233"/>
      <c r="CM661" s="233"/>
      <c r="CN661" s="233"/>
      <c r="CO661" s="233"/>
      <c r="CP661" s="233"/>
      <c r="CQ661" s="233"/>
      <c r="CR661" s="233"/>
      <c r="CS661" s="233"/>
      <c r="CT661" s="233"/>
      <c r="CU661" s="233"/>
      <c r="CV661" s="233"/>
      <c r="CW661" s="233"/>
      <c r="CX661" s="233"/>
      <c r="CY661" s="233"/>
      <c r="CZ661" s="233"/>
      <c r="DA661" s="233"/>
      <c r="DB661" s="233"/>
      <c r="DC661" s="233"/>
      <c r="DD661" s="233"/>
      <c r="DE661" s="233"/>
      <c r="DF661" s="233"/>
      <c r="DG661" s="233"/>
      <c r="DH661" s="233"/>
      <c r="DI661" s="233"/>
      <c r="DJ661" s="233"/>
      <c r="DK661" s="233"/>
      <c r="DL661" s="233"/>
      <c r="DM661" s="233"/>
      <c r="DN661" s="233"/>
      <c r="DO661" s="233"/>
      <c r="DP661" s="233"/>
      <c r="DQ661" s="233"/>
      <c r="DR661" s="233"/>
      <c r="DS661" s="233"/>
      <c r="DT661" s="233"/>
      <c r="DU661" s="233"/>
      <c r="DV661" s="233"/>
      <c r="DW661" s="233"/>
      <c r="DX661" s="233"/>
      <c r="DY661" s="233"/>
      <c r="DZ661" s="233"/>
      <c r="EA661" s="233"/>
      <c r="EB661" s="233"/>
      <c r="EC661" s="233"/>
      <c r="ED661" s="233"/>
      <c r="EE661" s="233"/>
      <c r="EF661" s="233"/>
      <c r="EG661" s="233"/>
      <c r="EH661" s="233"/>
      <c r="EI661" s="233"/>
      <c r="EJ661" s="233"/>
      <c r="EK661" s="233"/>
      <c r="EL661" s="233"/>
      <c r="EM661" s="233"/>
      <c r="EN661" s="233"/>
      <c r="EO661" s="233"/>
      <c r="EP661" s="233"/>
    </row>
    <row r="662" spans="1:146" ht="14.25" x14ac:dyDescent="0.2">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c r="AW662" s="233"/>
      <c r="AX662" s="233"/>
      <c r="AY662" s="233"/>
      <c r="AZ662" s="233"/>
      <c r="BA662" s="233"/>
      <c r="BB662" s="233"/>
      <c r="BC662" s="233"/>
      <c r="BD662" s="233"/>
      <c r="BE662" s="233"/>
      <c r="BF662" s="233"/>
      <c r="BG662" s="233"/>
      <c r="BH662" s="233"/>
      <c r="BI662" s="233"/>
      <c r="BJ662" s="233"/>
      <c r="BK662" s="233"/>
      <c r="BL662" s="233"/>
      <c r="BM662" s="233"/>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33"/>
      <c r="CI662" s="233"/>
      <c r="CJ662" s="233"/>
      <c r="CK662" s="233"/>
      <c r="CL662" s="233"/>
      <c r="CM662" s="233"/>
      <c r="CN662" s="233"/>
      <c r="CO662" s="233"/>
      <c r="CP662" s="233"/>
      <c r="CQ662" s="233"/>
      <c r="CR662" s="233"/>
      <c r="CS662" s="233"/>
      <c r="CT662" s="233"/>
      <c r="CU662" s="233"/>
      <c r="CV662" s="233"/>
      <c r="CW662" s="233"/>
      <c r="CX662" s="233"/>
      <c r="CY662" s="233"/>
      <c r="CZ662" s="233"/>
      <c r="DA662" s="233"/>
      <c r="DB662" s="233"/>
      <c r="DC662" s="233"/>
      <c r="DD662" s="233"/>
      <c r="DE662" s="233"/>
      <c r="DF662" s="233"/>
      <c r="DG662" s="233"/>
      <c r="DH662" s="233"/>
      <c r="DI662" s="233"/>
      <c r="DJ662" s="233"/>
      <c r="DK662" s="233"/>
      <c r="DL662" s="233"/>
      <c r="DM662" s="233"/>
      <c r="DN662" s="233"/>
      <c r="DO662" s="233"/>
      <c r="DP662" s="233"/>
      <c r="DQ662" s="233"/>
      <c r="DR662" s="233"/>
      <c r="DS662" s="233"/>
      <c r="DT662" s="233"/>
      <c r="DU662" s="233"/>
      <c r="DV662" s="233"/>
      <c r="DW662" s="233"/>
      <c r="DX662" s="233"/>
      <c r="DY662" s="233"/>
      <c r="DZ662" s="233"/>
      <c r="EA662" s="233"/>
      <c r="EB662" s="233"/>
      <c r="EC662" s="233"/>
      <c r="ED662" s="233"/>
      <c r="EE662" s="233"/>
      <c r="EF662" s="233"/>
      <c r="EG662" s="233"/>
      <c r="EH662" s="233"/>
      <c r="EI662" s="233"/>
      <c r="EJ662" s="233"/>
      <c r="EK662" s="233"/>
      <c r="EL662" s="233"/>
      <c r="EM662" s="233"/>
      <c r="EN662" s="233"/>
      <c r="EO662" s="233"/>
      <c r="EP662" s="233"/>
    </row>
    <row r="663" spans="1:146" ht="14.25" x14ac:dyDescent="0.2">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c r="AW663" s="233"/>
      <c r="AX663" s="233"/>
      <c r="AY663" s="233"/>
      <c r="AZ663" s="233"/>
      <c r="BA663" s="233"/>
      <c r="BB663" s="233"/>
      <c r="BC663" s="233"/>
      <c r="BD663" s="233"/>
      <c r="BE663" s="233"/>
      <c r="BF663" s="233"/>
      <c r="BG663" s="233"/>
      <c r="BH663" s="233"/>
      <c r="BI663" s="233"/>
      <c r="BJ663" s="233"/>
      <c r="BK663" s="233"/>
      <c r="BL663" s="233"/>
      <c r="BM663" s="233"/>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33"/>
      <c r="CI663" s="233"/>
      <c r="CJ663" s="233"/>
      <c r="CK663" s="233"/>
      <c r="CL663" s="233"/>
      <c r="CM663" s="233"/>
      <c r="CN663" s="233"/>
      <c r="CO663" s="233"/>
      <c r="CP663" s="233"/>
      <c r="CQ663" s="233"/>
      <c r="CR663" s="233"/>
      <c r="CS663" s="233"/>
      <c r="CT663" s="233"/>
      <c r="CU663" s="233"/>
      <c r="CV663" s="233"/>
      <c r="CW663" s="233"/>
      <c r="CX663" s="233"/>
      <c r="CY663" s="233"/>
      <c r="CZ663" s="233"/>
      <c r="DA663" s="233"/>
      <c r="DB663" s="233"/>
      <c r="DC663" s="233"/>
      <c r="DD663" s="233"/>
      <c r="DE663" s="233"/>
      <c r="DF663" s="233"/>
      <c r="DG663" s="233"/>
      <c r="DH663" s="233"/>
      <c r="DI663" s="233"/>
      <c r="DJ663" s="233"/>
      <c r="DK663" s="233"/>
      <c r="DL663" s="233"/>
      <c r="DM663" s="233"/>
      <c r="DN663" s="233"/>
      <c r="DO663" s="233"/>
      <c r="DP663" s="233"/>
      <c r="DQ663" s="233"/>
      <c r="DR663" s="233"/>
      <c r="DS663" s="233"/>
      <c r="DT663" s="233"/>
      <c r="DU663" s="233"/>
      <c r="DV663" s="233"/>
      <c r="DW663" s="233"/>
      <c r="DX663" s="233"/>
      <c r="DY663" s="233"/>
      <c r="DZ663" s="233"/>
      <c r="EA663" s="233"/>
      <c r="EB663" s="233"/>
      <c r="EC663" s="233"/>
      <c r="ED663" s="233"/>
      <c r="EE663" s="233"/>
      <c r="EF663" s="233"/>
      <c r="EG663" s="233"/>
      <c r="EH663" s="233"/>
      <c r="EI663" s="233"/>
      <c r="EJ663" s="233"/>
      <c r="EK663" s="233"/>
      <c r="EL663" s="233"/>
      <c r="EM663" s="233"/>
      <c r="EN663" s="233"/>
      <c r="EO663" s="233"/>
      <c r="EP663" s="233"/>
    </row>
    <row r="664" spans="1:146" ht="14.25" x14ac:dyDescent="0.2">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c r="AW664" s="233"/>
      <c r="AX664" s="233"/>
      <c r="AY664" s="233"/>
      <c r="AZ664" s="233"/>
      <c r="BA664" s="233"/>
      <c r="BB664" s="233"/>
      <c r="BC664" s="233"/>
      <c r="BD664" s="233"/>
      <c r="BE664" s="233"/>
      <c r="BF664" s="233"/>
      <c r="BG664" s="233"/>
      <c r="BH664" s="233"/>
      <c r="BI664" s="233"/>
      <c r="BJ664" s="233"/>
      <c r="BK664" s="233"/>
      <c r="BL664" s="233"/>
      <c r="BM664" s="233"/>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33"/>
      <c r="CI664" s="233"/>
      <c r="CJ664" s="233"/>
      <c r="CK664" s="233"/>
      <c r="CL664" s="233"/>
      <c r="CM664" s="233"/>
      <c r="CN664" s="233"/>
      <c r="CO664" s="233"/>
      <c r="CP664" s="233"/>
      <c r="CQ664" s="233"/>
      <c r="CR664" s="233"/>
      <c r="CS664" s="233"/>
      <c r="CT664" s="233"/>
      <c r="CU664" s="233"/>
      <c r="CV664" s="233"/>
      <c r="CW664" s="233"/>
      <c r="CX664" s="233"/>
      <c r="CY664" s="233"/>
      <c r="CZ664" s="233"/>
      <c r="DA664" s="233"/>
      <c r="DB664" s="233"/>
      <c r="DC664" s="233"/>
      <c r="DD664" s="233"/>
      <c r="DE664" s="233"/>
      <c r="DF664" s="233"/>
      <c r="DG664" s="233"/>
      <c r="DH664" s="233"/>
      <c r="DI664" s="233"/>
      <c r="DJ664" s="233"/>
      <c r="DK664" s="233"/>
      <c r="DL664" s="233"/>
      <c r="DM664" s="233"/>
      <c r="DN664" s="233"/>
      <c r="DO664" s="233"/>
      <c r="DP664" s="233"/>
      <c r="DQ664" s="233"/>
      <c r="DR664" s="233"/>
      <c r="DS664" s="233"/>
      <c r="DT664" s="233"/>
      <c r="DU664" s="233"/>
      <c r="DV664" s="233"/>
      <c r="DW664" s="233"/>
      <c r="DX664" s="233"/>
      <c r="DY664" s="233"/>
      <c r="DZ664" s="233"/>
      <c r="EA664" s="233"/>
      <c r="EB664" s="233"/>
      <c r="EC664" s="233"/>
      <c r="ED664" s="233"/>
      <c r="EE664" s="233"/>
      <c r="EF664" s="233"/>
      <c r="EG664" s="233"/>
      <c r="EH664" s="233"/>
      <c r="EI664" s="233"/>
      <c r="EJ664" s="233"/>
      <c r="EK664" s="233"/>
      <c r="EL664" s="233"/>
      <c r="EM664" s="233"/>
      <c r="EN664" s="233"/>
      <c r="EO664" s="233"/>
      <c r="EP664" s="233"/>
    </row>
    <row r="665" spans="1:146" ht="14.25" x14ac:dyDescent="0.2">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c r="AV665" s="233"/>
      <c r="AW665" s="233"/>
      <c r="AX665" s="233"/>
      <c r="AY665" s="233"/>
      <c r="AZ665" s="233"/>
      <c r="BA665" s="233"/>
      <c r="BB665" s="233"/>
      <c r="BC665" s="233"/>
      <c r="BD665" s="233"/>
      <c r="BE665" s="233"/>
      <c r="BF665" s="233"/>
      <c r="BG665" s="233"/>
      <c r="BH665" s="233"/>
      <c r="BI665" s="233"/>
      <c r="BJ665" s="233"/>
      <c r="BK665" s="233"/>
      <c r="BL665" s="233"/>
      <c r="BM665" s="233"/>
      <c r="BN665" s="233"/>
      <c r="BO665" s="233"/>
      <c r="BP665" s="233"/>
      <c r="BQ665" s="233"/>
      <c r="BR665" s="233"/>
      <c r="BS665" s="233"/>
      <c r="BT665" s="233"/>
      <c r="BU665" s="233"/>
      <c r="BV665" s="233"/>
      <c r="BW665" s="233"/>
      <c r="BX665" s="233"/>
      <c r="BY665" s="233"/>
      <c r="BZ665" s="233"/>
      <c r="CA665" s="233"/>
      <c r="CB665" s="233"/>
      <c r="CC665" s="233"/>
      <c r="CD665" s="233"/>
      <c r="CE665" s="233"/>
      <c r="CF665" s="233"/>
      <c r="CG665" s="233"/>
      <c r="CH665" s="233"/>
      <c r="CI665" s="233"/>
      <c r="CJ665" s="233"/>
      <c r="CK665" s="233"/>
      <c r="CL665" s="233"/>
      <c r="CM665" s="233"/>
      <c r="CN665" s="233"/>
      <c r="CO665" s="233"/>
      <c r="CP665" s="233"/>
      <c r="CQ665" s="233"/>
      <c r="CR665" s="233"/>
      <c r="CS665" s="233"/>
      <c r="CT665" s="233"/>
      <c r="CU665" s="233"/>
      <c r="CV665" s="233"/>
      <c r="CW665" s="233"/>
      <c r="CX665" s="233"/>
      <c r="CY665" s="233"/>
      <c r="CZ665" s="233"/>
      <c r="DA665" s="233"/>
      <c r="DB665" s="233"/>
      <c r="DC665" s="233"/>
      <c r="DD665" s="233"/>
      <c r="DE665" s="233"/>
      <c r="DF665" s="233"/>
      <c r="DG665" s="233"/>
      <c r="DH665" s="233"/>
      <c r="DI665" s="233"/>
      <c r="DJ665" s="233"/>
      <c r="DK665" s="233"/>
      <c r="DL665" s="233"/>
      <c r="DM665" s="233"/>
      <c r="DN665" s="233"/>
      <c r="DO665" s="233"/>
      <c r="DP665" s="233"/>
      <c r="DQ665" s="233"/>
      <c r="DR665" s="233"/>
      <c r="DS665" s="233"/>
      <c r="DT665" s="233"/>
      <c r="DU665" s="233"/>
      <c r="DV665" s="233"/>
      <c r="DW665" s="233"/>
      <c r="DX665" s="233"/>
      <c r="DY665" s="233"/>
      <c r="DZ665" s="233"/>
      <c r="EA665" s="233"/>
      <c r="EB665" s="233"/>
      <c r="EC665" s="233"/>
      <c r="ED665" s="233"/>
      <c r="EE665" s="233"/>
      <c r="EF665" s="233"/>
      <c r="EG665" s="233"/>
      <c r="EH665" s="233"/>
      <c r="EI665" s="233"/>
      <c r="EJ665" s="233"/>
      <c r="EK665" s="233"/>
      <c r="EL665" s="233"/>
      <c r="EM665" s="233"/>
      <c r="EN665" s="233"/>
      <c r="EO665" s="233"/>
      <c r="EP665" s="233"/>
    </row>
    <row r="666" spans="1:146" ht="14.25" x14ac:dyDescent="0.2">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c r="AW666" s="233"/>
      <c r="AX666" s="233"/>
      <c r="AY666" s="233"/>
      <c r="AZ666" s="233"/>
      <c r="BA666" s="233"/>
      <c r="BB666" s="233"/>
      <c r="BC666" s="233"/>
      <c r="BD666" s="233"/>
      <c r="BE666" s="233"/>
      <c r="BF666" s="233"/>
      <c r="BG666" s="233"/>
      <c r="BH666" s="233"/>
      <c r="BI666" s="233"/>
      <c r="BJ666" s="233"/>
      <c r="BK666" s="233"/>
      <c r="BL666" s="233"/>
      <c r="BM666" s="233"/>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33"/>
      <c r="CI666" s="233"/>
      <c r="CJ666" s="233"/>
      <c r="CK666" s="233"/>
      <c r="CL666" s="233"/>
      <c r="CM666" s="233"/>
      <c r="CN666" s="233"/>
      <c r="CO666" s="233"/>
      <c r="CP666" s="233"/>
      <c r="CQ666" s="233"/>
      <c r="CR666" s="233"/>
      <c r="CS666" s="233"/>
      <c r="CT666" s="233"/>
      <c r="CU666" s="233"/>
      <c r="CV666" s="233"/>
      <c r="CW666" s="233"/>
      <c r="CX666" s="233"/>
      <c r="CY666" s="233"/>
      <c r="CZ666" s="233"/>
      <c r="DA666" s="233"/>
      <c r="DB666" s="233"/>
      <c r="DC666" s="233"/>
      <c r="DD666" s="233"/>
      <c r="DE666" s="233"/>
      <c r="DF666" s="233"/>
      <c r="DG666" s="233"/>
      <c r="DH666" s="233"/>
      <c r="DI666" s="233"/>
      <c r="DJ666" s="233"/>
      <c r="DK666" s="233"/>
      <c r="DL666" s="233"/>
      <c r="DM666" s="233"/>
      <c r="DN666" s="233"/>
      <c r="DO666" s="233"/>
      <c r="DP666" s="233"/>
      <c r="DQ666" s="233"/>
      <c r="DR666" s="233"/>
      <c r="DS666" s="233"/>
      <c r="DT666" s="233"/>
      <c r="DU666" s="233"/>
      <c r="DV666" s="233"/>
      <c r="DW666" s="233"/>
      <c r="DX666" s="233"/>
      <c r="DY666" s="233"/>
      <c r="DZ666" s="233"/>
      <c r="EA666" s="233"/>
      <c r="EB666" s="233"/>
      <c r="EC666" s="233"/>
      <c r="ED666" s="233"/>
      <c r="EE666" s="233"/>
      <c r="EF666" s="233"/>
      <c r="EG666" s="233"/>
      <c r="EH666" s="233"/>
      <c r="EI666" s="233"/>
      <c r="EJ666" s="233"/>
      <c r="EK666" s="233"/>
      <c r="EL666" s="233"/>
      <c r="EM666" s="233"/>
      <c r="EN666" s="233"/>
      <c r="EO666" s="233"/>
      <c r="EP666" s="233"/>
    </row>
    <row r="667" spans="1:146" ht="14.25" x14ac:dyDescent="0.2">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233"/>
      <c r="BE667" s="233"/>
      <c r="BF667" s="233"/>
      <c r="BG667" s="233"/>
      <c r="BH667" s="233"/>
      <c r="BI667" s="233"/>
      <c r="BJ667" s="233"/>
      <c r="BK667" s="233"/>
      <c r="BL667" s="233"/>
      <c r="BM667" s="233"/>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33"/>
      <c r="CI667" s="233"/>
      <c r="CJ667" s="233"/>
      <c r="CK667" s="233"/>
      <c r="CL667" s="233"/>
      <c r="CM667" s="233"/>
      <c r="CN667" s="233"/>
      <c r="CO667" s="233"/>
      <c r="CP667" s="233"/>
      <c r="CQ667" s="233"/>
      <c r="CR667" s="233"/>
      <c r="CS667" s="233"/>
      <c r="CT667" s="233"/>
      <c r="CU667" s="233"/>
      <c r="CV667" s="233"/>
      <c r="CW667" s="233"/>
      <c r="CX667" s="233"/>
      <c r="CY667" s="233"/>
      <c r="CZ667" s="233"/>
      <c r="DA667" s="233"/>
      <c r="DB667" s="233"/>
      <c r="DC667" s="233"/>
      <c r="DD667" s="233"/>
      <c r="DE667" s="233"/>
      <c r="DF667" s="233"/>
      <c r="DG667" s="233"/>
      <c r="DH667" s="233"/>
      <c r="DI667" s="233"/>
      <c r="DJ667" s="233"/>
      <c r="DK667" s="233"/>
      <c r="DL667" s="233"/>
      <c r="DM667" s="233"/>
      <c r="DN667" s="233"/>
      <c r="DO667" s="233"/>
      <c r="DP667" s="233"/>
      <c r="DQ667" s="233"/>
      <c r="DR667" s="233"/>
      <c r="DS667" s="233"/>
      <c r="DT667" s="233"/>
      <c r="DU667" s="233"/>
      <c r="DV667" s="233"/>
      <c r="DW667" s="233"/>
      <c r="DX667" s="233"/>
      <c r="DY667" s="233"/>
      <c r="DZ667" s="233"/>
      <c r="EA667" s="233"/>
      <c r="EB667" s="233"/>
      <c r="EC667" s="233"/>
      <c r="ED667" s="233"/>
      <c r="EE667" s="233"/>
      <c r="EF667" s="233"/>
      <c r="EG667" s="233"/>
      <c r="EH667" s="233"/>
      <c r="EI667" s="233"/>
      <c r="EJ667" s="233"/>
      <c r="EK667" s="233"/>
      <c r="EL667" s="233"/>
      <c r="EM667" s="233"/>
      <c r="EN667" s="233"/>
      <c r="EO667" s="233"/>
      <c r="EP667" s="233"/>
    </row>
    <row r="668" spans="1:146" ht="14.25" x14ac:dyDescent="0.2">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c r="AW668" s="233"/>
      <c r="AX668" s="233"/>
      <c r="AY668" s="233"/>
      <c r="AZ668" s="233"/>
      <c r="BA668" s="233"/>
      <c r="BB668" s="233"/>
      <c r="BC668" s="233"/>
      <c r="BD668" s="233"/>
      <c r="BE668" s="233"/>
      <c r="BF668" s="233"/>
      <c r="BG668" s="233"/>
      <c r="BH668" s="233"/>
      <c r="BI668" s="233"/>
      <c r="BJ668" s="233"/>
      <c r="BK668" s="233"/>
      <c r="BL668" s="233"/>
      <c r="BM668" s="233"/>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33"/>
      <c r="CI668" s="233"/>
      <c r="CJ668" s="233"/>
      <c r="CK668" s="233"/>
      <c r="CL668" s="233"/>
      <c r="CM668" s="233"/>
      <c r="CN668" s="233"/>
      <c r="CO668" s="233"/>
      <c r="CP668" s="233"/>
      <c r="CQ668" s="233"/>
      <c r="CR668" s="233"/>
      <c r="CS668" s="233"/>
      <c r="CT668" s="233"/>
      <c r="CU668" s="233"/>
      <c r="CV668" s="233"/>
      <c r="CW668" s="233"/>
      <c r="CX668" s="233"/>
      <c r="CY668" s="233"/>
      <c r="CZ668" s="233"/>
      <c r="DA668" s="233"/>
      <c r="DB668" s="233"/>
      <c r="DC668" s="233"/>
      <c r="DD668" s="233"/>
      <c r="DE668" s="233"/>
      <c r="DF668" s="233"/>
      <c r="DG668" s="233"/>
      <c r="DH668" s="233"/>
      <c r="DI668" s="233"/>
      <c r="DJ668" s="233"/>
      <c r="DK668" s="233"/>
      <c r="DL668" s="233"/>
      <c r="DM668" s="233"/>
      <c r="DN668" s="233"/>
      <c r="DO668" s="233"/>
      <c r="DP668" s="233"/>
      <c r="DQ668" s="233"/>
      <c r="DR668" s="233"/>
      <c r="DS668" s="233"/>
      <c r="DT668" s="233"/>
      <c r="DU668" s="233"/>
      <c r="DV668" s="233"/>
      <c r="DW668" s="233"/>
      <c r="DX668" s="233"/>
      <c r="DY668" s="233"/>
      <c r="DZ668" s="233"/>
      <c r="EA668" s="233"/>
      <c r="EB668" s="233"/>
      <c r="EC668" s="233"/>
      <c r="ED668" s="233"/>
      <c r="EE668" s="233"/>
      <c r="EF668" s="233"/>
      <c r="EG668" s="233"/>
      <c r="EH668" s="233"/>
      <c r="EI668" s="233"/>
      <c r="EJ668" s="233"/>
      <c r="EK668" s="233"/>
      <c r="EL668" s="233"/>
      <c r="EM668" s="233"/>
      <c r="EN668" s="233"/>
      <c r="EO668" s="233"/>
      <c r="EP668" s="233"/>
    </row>
    <row r="669" spans="1:146" ht="14.25" x14ac:dyDescent="0.2">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c r="AW669" s="233"/>
      <c r="AX669" s="233"/>
      <c r="AY669" s="233"/>
      <c r="AZ669" s="233"/>
      <c r="BA669" s="233"/>
      <c r="BB669" s="233"/>
      <c r="BC669" s="233"/>
      <c r="BD669" s="233"/>
      <c r="BE669" s="233"/>
      <c r="BF669" s="233"/>
      <c r="BG669" s="233"/>
      <c r="BH669" s="233"/>
      <c r="BI669" s="233"/>
      <c r="BJ669" s="233"/>
      <c r="BK669" s="233"/>
      <c r="BL669" s="233"/>
      <c r="BM669" s="233"/>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33"/>
      <c r="CI669" s="233"/>
      <c r="CJ669" s="233"/>
      <c r="CK669" s="233"/>
      <c r="CL669" s="233"/>
      <c r="CM669" s="233"/>
      <c r="CN669" s="233"/>
      <c r="CO669" s="233"/>
      <c r="CP669" s="233"/>
      <c r="CQ669" s="233"/>
      <c r="CR669" s="233"/>
      <c r="CS669" s="233"/>
      <c r="CT669" s="233"/>
      <c r="CU669" s="233"/>
      <c r="CV669" s="233"/>
      <c r="CW669" s="233"/>
      <c r="CX669" s="233"/>
      <c r="CY669" s="233"/>
      <c r="CZ669" s="233"/>
      <c r="DA669" s="233"/>
      <c r="DB669" s="233"/>
      <c r="DC669" s="233"/>
      <c r="DD669" s="233"/>
      <c r="DE669" s="233"/>
      <c r="DF669" s="233"/>
      <c r="DG669" s="233"/>
      <c r="DH669" s="233"/>
      <c r="DI669" s="233"/>
      <c r="DJ669" s="233"/>
      <c r="DK669" s="233"/>
      <c r="DL669" s="233"/>
      <c r="DM669" s="233"/>
      <c r="DN669" s="233"/>
      <c r="DO669" s="233"/>
      <c r="DP669" s="233"/>
      <c r="DQ669" s="233"/>
      <c r="DR669" s="233"/>
      <c r="DS669" s="233"/>
      <c r="DT669" s="233"/>
      <c r="DU669" s="233"/>
      <c r="DV669" s="233"/>
      <c r="DW669" s="233"/>
      <c r="DX669" s="233"/>
      <c r="DY669" s="233"/>
      <c r="DZ669" s="233"/>
      <c r="EA669" s="233"/>
      <c r="EB669" s="233"/>
      <c r="EC669" s="233"/>
      <c r="ED669" s="233"/>
      <c r="EE669" s="233"/>
      <c r="EF669" s="233"/>
      <c r="EG669" s="233"/>
      <c r="EH669" s="233"/>
      <c r="EI669" s="233"/>
      <c r="EJ669" s="233"/>
      <c r="EK669" s="233"/>
      <c r="EL669" s="233"/>
      <c r="EM669" s="233"/>
      <c r="EN669" s="233"/>
      <c r="EO669" s="233"/>
      <c r="EP669" s="233"/>
    </row>
    <row r="670" spans="1:146" ht="14.25" x14ac:dyDescent="0.2">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c r="AW670" s="233"/>
      <c r="AX670" s="233"/>
      <c r="AY670" s="233"/>
      <c r="AZ670" s="233"/>
      <c r="BA670" s="233"/>
      <c r="BB670" s="233"/>
      <c r="BC670" s="233"/>
      <c r="BD670" s="233"/>
      <c r="BE670" s="233"/>
      <c r="BF670" s="233"/>
      <c r="BG670" s="233"/>
      <c r="BH670" s="233"/>
      <c r="BI670" s="233"/>
      <c r="BJ670" s="233"/>
      <c r="BK670" s="233"/>
      <c r="BL670" s="233"/>
      <c r="BM670" s="233"/>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33"/>
      <c r="CI670" s="233"/>
      <c r="CJ670" s="233"/>
      <c r="CK670" s="233"/>
      <c r="CL670" s="233"/>
      <c r="CM670" s="233"/>
      <c r="CN670" s="233"/>
      <c r="CO670" s="233"/>
      <c r="CP670" s="233"/>
      <c r="CQ670" s="233"/>
      <c r="CR670" s="233"/>
      <c r="CS670" s="233"/>
      <c r="CT670" s="233"/>
      <c r="CU670" s="233"/>
      <c r="CV670" s="233"/>
      <c r="CW670" s="233"/>
      <c r="CX670" s="233"/>
      <c r="CY670" s="233"/>
      <c r="CZ670" s="233"/>
      <c r="DA670" s="233"/>
      <c r="DB670" s="233"/>
      <c r="DC670" s="233"/>
      <c r="DD670" s="233"/>
      <c r="DE670" s="233"/>
      <c r="DF670" s="233"/>
      <c r="DG670" s="233"/>
      <c r="DH670" s="233"/>
      <c r="DI670" s="233"/>
      <c r="DJ670" s="233"/>
      <c r="DK670" s="233"/>
      <c r="DL670" s="233"/>
      <c r="DM670" s="233"/>
      <c r="DN670" s="233"/>
      <c r="DO670" s="233"/>
      <c r="DP670" s="233"/>
      <c r="DQ670" s="233"/>
      <c r="DR670" s="233"/>
      <c r="DS670" s="233"/>
      <c r="DT670" s="233"/>
      <c r="DU670" s="233"/>
      <c r="DV670" s="233"/>
      <c r="DW670" s="233"/>
      <c r="DX670" s="233"/>
      <c r="DY670" s="233"/>
      <c r="DZ670" s="233"/>
      <c r="EA670" s="233"/>
      <c r="EB670" s="233"/>
      <c r="EC670" s="233"/>
      <c r="ED670" s="233"/>
      <c r="EE670" s="233"/>
      <c r="EF670" s="233"/>
      <c r="EG670" s="233"/>
      <c r="EH670" s="233"/>
      <c r="EI670" s="233"/>
      <c r="EJ670" s="233"/>
      <c r="EK670" s="233"/>
      <c r="EL670" s="233"/>
      <c r="EM670" s="233"/>
      <c r="EN670" s="233"/>
      <c r="EO670" s="233"/>
      <c r="EP670" s="233"/>
    </row>
    <row r="671" spans="1:146" ht="14.25" x14ac:dyDescent="0.2">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c r="AW671" s="233"/>
      <c r="AX671" s="233"/>
      <c r="AY671" s="233"/>
      <c r="AZ671" s="233"/>
      <c r="BA671" s="233"/>
      <c r="BB671" s="233"/>
      <c r="BC671" s="233"/>
      <c r="BD671" s="233"/>
      <c r="BE671" s="233"/>
      <c r="BF671" s="233"/>
      <c r="BG671" s="233"/>
      <c r="BH671" s="233"/>
      <c r="BI671" s="233"/>
      <c r="BJ671" s="233"/>
      <c r="BK671" s="233"/>
      <c r="BL671" s="233"/>
      <c r="BM671" s="233"/>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33"/>
      <c r="CI671" s="233"/>
      <c r="CJ671" s="233"/>
      <c r="CK671" s="233"/>
      <c r="CL671" s="233"/>
      <c r="CM671" s="233"/>
      <c r="CN671" s="233"/>
      <c r="CO671" s="233"/>
      <c r="CP671" s="233"/>
      <c r="CQ671" s="233"/>
      <c r="CR671" s="233"/>
      <c r="CS671" s="233"/>
      <c r="CT671" s="233"/>
      <c r="CU671" s="233"/>
      <c r="CV671" s="233"/>
      <c r="CW671" s="233"/>
      <c r="CX671" s="233"/>
      <c r="CY671" s="233"/>
      <c r="CZ671" s="233"/>
      <c r="DA671" s="233"/>
      <c r="DB671" s="233"/>
      <c r="DC671" s="233"/>
      <c r="DD671" s="233"/>
      <c r="DE671" s="233"/>
      <c r="DF671" s="233"/>
      <c r="DG671" s="233"/>
      <c r="DH671" s="233"/>
      <c r="DI671" s="233"/>
      <c r="DJ671" s="233"/>
      <c r="DK671" s="233"/>
      <c r="DL671" s="233"/>
      <c r="DM671" s="233"/>
      <c r="DN671" s="233"/>
      <c r="DO671" s="233"/>
      <c r="DP671" s="233"/>
      <c r="DQ671" s="233"/>
      <c r="DR671" s="233"/>
      <c r="DS671" s="233"/>
      <c r="DT671" s="233"/>
      <c r="DU671" s="233"/>
      <c r="DV671" s="233"/>
      <c r="DW671" s="233"/>
      <c r="DX671" s="233"/>
      <c r="DY671" s="233"/>
      <c r="DZ671" s="233"/>
      <c r="EA671" s="233"/>
      <c r="EB671" s="233"/>
      <c r="EC671" s="233"/>
      <c r="ED671" s="233"/>
      <c r="EE671" s="233"/>
      <c r="EF671" s="233"/>
      <c r="EG671" s="233"/>
      <c r="EH671" s="233"/>
      <c r="EI671" s="233"/>
      <c r="EJ671" s="233"/>
      <c r="EK671" s="233"/>
      <c r="EL671" s="233"/>
      <c r="EM671" s="233"/>
      <c r="EN671" s="233"/>
      <c r="EO671" s="233"/>
      <c r="EP671" s="233"/>
    </row>
    <row r="672" spans="1:146" ht="14.25" x14ac:dyDescent="0.2">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33"/>
      <c r="BF672" s="233"/>
      <c r="BG672" s="233"/>
      <c r="BH672" s="233"/>
      <c r="BI672" s="233"/>
      <c r="BJ672" s="233"/>
      <c r="BK672" s="233"/>
      <c r="BL672" s="233"/>
      <c r="BM672" s="233"/>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33"/>
      <c r="CI672" s="233"/>
      <c r="CJ672" s="233"/>
      <c r="CK672" s="233"/>
      <c r="CL672" s="233"/>
      <c r="CM672" s="233"/>
      <c r="CN672" s="233"/>
      <c r="CO672" s="233"/>
      <c r="CP672" s="233"/>
      <c r="CQ672" s="233"/>
      <c r="CR672" s="233"/>
      <c r="CS672" s="233"/>
      <c r="CT672" s="233"/>
      <c r="CU672" s="233"/>
      <c r="CV672" s="233"/>
      <c r="CW672" s="233"/>
      <c r="CX672" s="233"/>
      <c r="CY672" s="233"/>
      <c r="CZ672" s="233"/>
      <c r="DA672" s="233"/>
      <c r="DB672" s="233"/>
      <c r="DC672" s="233"/>
      <c r="DD672" s="233"/>
      <c r="DE672" s="233"/>
      <c r="DF672" s="233"/>
      <c r="DG672" s="233"/>
      <c r="DH672" s="233"/>
      <c r="DI672" s="233"/>
      <c r="DJ672" s="233"/>
      <c r="DK672" s="233"/>
      <c r="DL672" s="233"/>
      <c r="DM672" s="233"/>
      <c r="DN672" s="233"/>
      <c r="DO672" s="233"/>
      <c r="DP672" s="233"/>
      <c r="DQ672" s="233"/>
      <c r="DR672" s="233"/>
      <c r="DS672" s="233"/>
      <c r="DT672" s="233"/>
      <c r="DU672" s="233"/>
      <c r="DV672" s="233"/>
      <c r="DW672" s="233"/>
      <c r="DX672" s="233"/>
      <c r="DY672" s="233"/>
      <c r="DZ672" s="233"/>
      <c r="EA672" s="233"/>
      <c r="EB672" s="233"/>
      <c r="EC672" s="233"/>
      <c r="ED672" s="233"/>
      <c r="EE672" s="233"/>
      <c r="EF672" s="233"/>
      <c r="EG672" s="233"/>
      <c r="EH672" s="233"/>
      <c r="EI672" s="233"/>
      <c r="EJ672" s="233"/>
      <c r="EK672" s="233"/>
      <c r="EL672" s="233"/>
      <c r="EM672" s="233"/>
      <c r="EN672" s="233"/>
      <c r="EO672" s="233"/>
      <c r="EP672" s="233"/>
    </row>
    <row r="673" spans="1:146" ht="14.25" x14ac:dyDescent="0.2">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33"/>
      <c r="BF673" s="233"/>
      <c r="BG673" s="233"/>
      <c r="BH673" s="233"/>
      <c r="BI673" s="233"/>
      <c r="BJ673" s="233"/>
      <c r="BK673" s="233"/>
      <c r="BL673" s="233"/>
      <c r="BM673" s="233"/>
      <c r="BN673" s="233"/>
      <c r="BO673" s="233"/>
      <c r="BP673" s="233"/>
      <c r="BQ673" s="233"/>
      <c r="BR673" s="233"/>
      <c r="BS673" s="233"/>
      <c r="BT673" s="233"/>
      <c r="BU673" s="233"/>
      <c r="BV673" s="233"/>
      <c r="BW673" s="233"/>
      <c r="BX673" s="233"/>
      <c r="BY673" s="233"/>
      <c r="BZ673" s="233"/>
      <c r="CA673" s="233"/>
      <c r="CB673" s="233"/>
      <c r="CC673" s="233"/>
      <c r="CD673" s="233"/>
      <c r="CE673" s="233"/>
      <c r="CF673" s="233"/>
      <c r="CG673" s="233"/>
      <c r="CH673" s="233"/>
      <c r="CI673" s="233"/>
      <c r="CJ673" s="233"/>
      <c r="CK673" s="233"/>
      <c r="CL673" s="233"/>
      <c r="CM673" s="233"/>
      <c r="CN673" s="233"/>
      <c r="CO673" s="233"/>
      <c r="CP673" s="233"/>
      <c r="CQ673" s="233"/>
      <c r="CR673" s="233"/>
      <c r="CS673" s="233"/>
      <c r="CT673" s="233"/>
      <c r="CU673" s="233"/>
      <c r="CV673" s="233"/>
      <c r="CW673" s="233"/>
      <c r="CX673" s="233"/>
      <c r="CY673" s="233"/>
      <c r="CZ673" s="233"/>
      <c r="DA673" s="233"/>
      <c r="DB673" s="233"/>
      <c r="DC673" s="233"/>
      <c r="DD673" s="233"/>
      <c r="DE673" s="233"/>
      <c r="DF673" s="233"/>
      <c r="DG673" s="233"/>
      <c r="DH673" s="233"/>
      <c r="DI673" s="233"/>
      <c r="DJ673" s="233"/>
      <c r="DK673" s="233"/>
      <c r="DL673" s="233"/>
      <c r="DM673" s="233"/>
      <c r="DN673" s="233"/>
      <c r="DO673" s="233"/>
      <c r="DP673" s="233"/>
      <c r="DQ673" s="233"/>
      <c r="DR673" s="233"/>
      <c r="DS673" s="233"/>
      <c r="DT673" s="233"/>
      <c r="DU673" s="233"/>
      <c r="DV673" s="233"/>
      <c r="DW673" s="233"/>
      <c r="DX673" s="233"/>
      <c r="DY673" s="233"/>
      <c r="DZ673" s="233"/>
      <c r="EA673" s="233"/>
      <c r="EB673" s="233"/>
      <c r="EC673" s="233"/>
      <c r="ED673" s="233"/>
      <c r="EE673" s="233"/>
      <c r="EF673" s="233"/>
      <c r="EG673" s="233"/>
      <c r="EH673" s="233"/>
      <c r="EI673" s="233"/>
      <c r="EJ673" s="233"/>
      <c r="EK673" s="233"/>
      <c r="EL673" s="233"/>
      <c r="EM673" s="233"/>
      <c r="EN673" s="233"/>
      <c r="EO673" s="233"/>
      <c r="EP673" s="233"/>
    </row>
    <row r="674" spans="1:146" ht="14.25" x14ac:dyDescent="0.2">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33"/>
      <c r="BF674" s="233"/>
      <c r="BG674" s="233"/>
      <c r="BH674" s="233"/>
      <c r="BI674" s="233"/>
      <c r="BJ674" s="233"/>
      <c r="BK674" s="233"/>
      <c r="BL674" s="233"/>
      <c r="BM674" s="233"/>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33"/>
      <c r="CI674" s="233"/>
      <c r="CJ674" s="233"/>
      <c r="CK674" s="233"/>
      <c r="CL674" s="233"/>
      <c r="CM674" s="233"/>
      <c r="CN674" s="233"/>
      <c r="CO674" s="233"/>
      <c r="CP674" s="233"/>
      <c r="CQ674" s="233"/>
      <c r="CR674" s="233"/>
      <c r="CS674" s="233"/>
      <c r="CT674" s="233"/>
      <c r="CU674" s="233"/>
      <c r="CV674" s="233"/>
      <c r="CW674" s="233"/>
      <c r="CX674" s="233"/>
      <c r="CY674" s="233"/>
      <c r="CZ674" s="233"/>
      <c r="DA674" s="233"/>
      <c r="DB674" s="233"/>
      <c r="DC674" s="233"/>
      <c r="DD674" s="233"/>
      <c r="DE674" s="233"/>
      <c r="DF674" s="233"/>
      <c r="DG674" s="233"/>
      <c r="DH674" s="233"/>
      <c r="DI674" s="233"/>
      <c r="DJ674" s="233"/>
      <c r="DK674" s="233"/>
      <c r="DL674" s="233"/>
      <c r="DM674" s="233"/>
      <c r="DN674" s="233"/>
      <c r="DO674" s="233"/>
      <c r="DP674" s="233"/>
      <c r="DQ674" s="233"/>
      <c r="DR674" s="233"/>
      <c r="DS674" s="233"/>
      <c r="DT674" s="233"/>
      <c r="DU674" s="233"/>
      <c r="DV674" s="233"/>
      <c r="DW674" s="233"/>
      <c r="DX674" s="233"/>
      <c r="DY674" s="233"/>
      <c r="DZ674" s="233"/>
      <c r="EA674" s="233"/>
      <c r="EB674" s="233"/>
      <c r="EC674" s="233"/>
      <c r="ED674" s="233"/>
      <c r="EE674" s="233"/>
      <c r="EF674" s="233"/>
      <c r="EG674" s="233"/>
      <c r="EH674" s="233"/>
      <c r="EI674" s="233"/>
      <c r="EJ674" s="233"/>
      <c r="EK674" s="233"/>
      <c r="EL674" s="233"/>
      <c r="EM674" s="233"/>
      <c r="EN674" s="233"/>
      <c r="EO674" s="233"/>
      <c r="EP674" s="233"/>
    </row>
    <row r="675" spans="1:146" ht="14.25" x14ac:dyDescent="0.2">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33"/>
      <c r="BF675" s="233"/>
      <c r="BG675" s="233"/>
      <c r="BH675" s="233"/>
      <c r="BI675" s="233"/>
      <c r="BJ675" s="233"/>
      <c r="BK675" s="233"/>
      <c r="BL675" s="233"/>
      <c r="BM675" s="233"/>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33"/>
      <c r="CI675" s="233"/>
      <c r="CJ675" s="233"/>
      <c r="CK675" s="233"/>
      <c r="CL675" s="233"/>
      <c r="CM675" s="233"/>
      <c r="CN675" s="233"/>
      <c r="CO675" s="233"/>
      <c r="CP675" s="233"/>
      <c r="CQ675" s="233"/>
      <c r="CR675" s="233"/>
      <c r="CS675" s="233"/>
      <c r="CT675" s="233"/>
      <c r="CU675" s="233"/>
      <c r="CV675" s="233"/>
      <c r="CW675" s="233"/>
      <c r="CX675" s="233"/>
      <c r="CY675" s="233"/>
      <c r="CZ675" s="233"/>
      <c r="DA675" s="233"/>
      <c r="DB675" s="233"/>
      <c r="DC675" s="233"/>
      <c r="DD675" s="233"/>
      <c r="DE675" s="233"/>
      <c r="DF675" s="233"/>
      <c r="DG675" s="233"/>
      <c r="DH675" s="233"/>
      <c r="DI675" s="233"/>
      <c r="DJ675" s="233"/>
      <c r="DK675" s="233"/>
      <c r="DL675" s="233"/>
      <c r="DM675" s="233"/>
      <c r="DN675" s="233"/>
      <c r="DO675" s="233"/>
      <c r="DP675" s="233"/>
      <c r="DQ675" s="233"/>
      <c r="DR675" s="233"/>
      <c r="DS675" s="233"/>
      <c r="DT675" s="233"/>
      <c r="DU675" s="233"/>
      <c r="DV675" s="233"/>
      <c r="DW675" s="233"/>
      <c r="DX675" s="233"/>
      <c r="DY675" s="233"/>
      <c r="DZ675" s="233"/>
      <c r="EA675" s="233"/>
      <c r="EB675" s="233"/>
      <c r="EC675" s="233"/>
      <c r="ED675" s="233"/>
      <c r="EE675" s="233"/>
      <c r="EF675" s="233"/>
      <c r="EG675" s="233"/>
      <c r="EH675" s="233"/>
      <c r="EI675" s="233"/>
      <c r="EJ675" s="233"/>
      <c r="EK675" s="233"/>
      <c r="EL675" s="233"/>
      <c r="EM675" s="233"/>
      <c r="EN675" s="233"/>
      <c r="EO675" s="233"/>
      <c r="EP675" s="233"/>
    </row>
    <row r="676" spans="1:146" ht="14.25" x14ac:dyDescent="0.2">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33"/>
      <c r="BF676" s="233"/>
      <c r="BG676" s="233"/>
      <c r="BH676" s="233"/>
      <c r="BI676" s="233"/>
      <c r="BJ676" s="233"/>
      <c r="BK676" s="233"/>
      <c r="BL676" s="233"/>
      <c r="BM676" s="233"/>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33"/>
      <c r="CI676" s="233"/>
      <c r="CJ676" s="233"/>
      <c r="CK676" s="233"/>
      <c r="CL676" s="233"/>
      <c r="CM676" s="233"/>
      <c r="CN676" s="233"/>
      <c r="CO676" s="233"/>
      <c r="CP676" s="233"/>
      <c r="CQ676" s="233"/>
      <c r="CR676" s="233"/>
      <c r="CS676" s="233"/>
      <c r="CT676" s="233"/>
      <c r="CU676" s="233"/>
      <c r="CV676" s="233"/>
      <c r="CW676" s="233"/>
      <c r="CX676" s="233"/>
      <c r="CY676" s="233"/>
      <c r="CZ676" s="233"/>
      <c r="DA676" s="233"/>
      <c r="DB676" s="233"/>
      <c r="DC676" s="233"/>
      <c r="DD676" s="233"/>
      <c r="DE676" s="233"/>
      <c r="DF676" s="233"/>
      <c r="DG676" s="233"/>
      <c r="DH676" s="233"/>
      <c r="DI676" s="233"/>
      <c r="DJ676" s="233"/>
      <c r="DK676" s="233"/>
      <c r="DL676" s="233"/>
      <c r="DM676" s="233"/>
      <c r="DN676" s="233"/>
      <c r="DO676" s="233"/>
      <c r="DP676" s="233"/>
      <c r="DQ676" s="233"/>
      <c r="DR676" s="233"/>
      <c r="DS676" s="233"/>
      <c r="DT676" s="233"/>
      <c r="DU676" s="233"/>
      <c r="DV676" s="233"/>
      <c r="DW676" s="233"/>
      <c r="DX676" s="233"/>
      <c r="DY676" s="233"/>
      <c r="DZ676" s="233"/>
      <c r="EA676" s="233"/>
      <c r="EB676" s="233"/>
      <c r="EC676" s="233"/>
      <c r="ED676" s="233"/>
      <c r="EE676" s="233"/>
      <c r="EF676" s="233"/>
      <c r="EG676" s="233"/>
      <c r="EH676" s="233"/>
      <c r="EI676" s="233"/>
      <c r="EJ676" s="233"/>
      <c r="EK676" s="233"/>
      <c r="EL676" s="233"/>
      <c r="EM676" s="233"/>
      <c r="EN676" s="233"/>
      <c r="EO676" s="233"/>
      <c r="EP676" s="233"/>
    </row>
    <row r="677" spans="1:146" ht="14.25" x14ac:dyDescent="0.2">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33"/>
      <c r="BF677" s="233"/>
      <c r="BG677" s="233"/>
      <c r="BH677" s="233"/>
      <c r="BI677" s="233"/>
      <c r="BJ677" s="233"/>
      <c r="BK677" s="233"/>
      <c r="BL677" s="233"/>
      <c r="BM677" s="233"/>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33"/>
      <c r="CI677" s="233"/>
      <c r="CJ677" s="233"/>
      <c r="CK677" s="233"/>
      <c r="CL677" s="233"/>
      <c r="CM677" s="233"/>
      <c r="CN677" s="233"/>
      <c r="CO677" s="233"/>
      <c r="CP677" s="233"/>
      <c r="CQ677" s="233"/>
      <c r="CR677" s="233"/>
      <c r="CS677" s="233"/>
      <c r="CT677" s="233"/>
      <c r="CU677" s="233"/>
      <c r="CV677" s="233"/>
      <c r="CW677" s="233"/>
      <c r="CX677" s="233"/>
      <c r="CY677" s="233"/>
      <c r="CZ677" s="233"/>
      <c r="DA677" s="233"/>
      <c r="DB677" s="233"/>
      <c r="DC677" s="233"/>
      <c r="DD677" s="233"/>
      <c r="DE677" s="233"/>
      <c r="DF677" s="233"/>
      <c r="DG677" s="233"/>
      <c r="DH677" s="233"/>
      <c r="DI677" s="233"/>
      <c r="DJ677" s="233"/>
      <c r="DK677" s="233"/>
      <c r="DL677" s="233"/>
      <c r="DM677" s="233"/>
      <c r="DN677" s="233"/>
      <c r="DO677" s="233"/>
      <c r="DP677" s="233"/>
      <c r="DQ677" s="233"/>
      <c r="DR677" s="233"/>
      <c r="DS677" s="233"/>
      <c r="DT677" s="233"/>
      <c r="DU677" s="233"/>
      <c r="DV677" s="233"/>
      <c r="DW677" s="233"/>
      <c r="DX677" s="233"/>
      <c r="DY677" s="233"/>
      <c r="DZ677" s="233"/>
      <c r="EA677" s="233"/>
      <c r="EB677" s="233"/>
      <c r="EC677" s="233"/>
      <c r="ED677" s="233"/>
      <c r="EE677" s="233"/>
      <c r="EF677" s="233"/>
      <c r="EG677" s="233"/>
      <c r="EH677" s="233"/>
      <c r="EI677" s="233"/>
      <c r="EJ677" s="233"/>
      <c r="EK677" s="233"/>
      <c r="EL677" s="233"/>
      <c r="EM677" s="233"/>
      <c r="EN677" s="233"/>
      <c r="EO677" s="233"/>
      <c r="EP677" s="233"/>
    </row>
    <row r="678" spans="1:146" ht="14.25" x14ac:dyDescent="0.2">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c r="AW678" s="233"/>
      <c r="AX678" s="233"/>
      <c r="AY678" s="233"/>
      <c r="AZ678" s="233"/>
      <c r="BA678" s="233"/>
      <c r="BB678" s="233"/>
      <c r="BC678" s="233"/>
      <c r="BD678" s="233"/>
      <c r="BE678" s="233"/>
      <c r="BF678" s="233"/>
      <c r="BG678" s="233"/>
      <c r="BH678" s="233"/>
      <c r="BI678" s="233"/>
      <c r="BJ678" s="233"/>
      <c r="BK678" s="233"/>
      <c r="BL678" s="233"/>
      <c r="BM678" s="233"/>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33"/>
      <c r="CI678" s="233"/>
      <c r="CJ678" s="233"/>
      <c r="CK678" s="233"/>
      <c r="CL678" s="233"/>
      <c r="CM678" s="233"/>
      <c r="CN678" s="233"/>
      <c r="CO678" s="233"/>
      <c r="CP678" s="233"/>
      <c r="CQ678" s="233"/>
      <c r="CR678" s="233"/>
      <c r="CS678" s="233"/>
      <c r="CT678" s="233"/>
      <c r="CU678" s="233"/>
      <c r="CV678" s="233"/>
      <c r="CW678" s="233"/>
      <c r="CX678" s="233"/>
      <c r="CY678" s="233"/>
      <c r="CZ678" s="233"/>
      <c r="DA678" s="233"/>
      <c r="DB678" s="233"/>
      <c r="DC678" s="233"/>
      <c r="DD678" s="233"/>
      <c r="DE678" s="233"/>
      <c r="DF678" s="233"/>
      <c r="DG678" s="233"/>
      <c r="DH678" s="233"/>
      <c r="DI678" s="233"/>
      <c r="DJ678" s="233"/>
      <c r="DK678" s="233"/>
      <c r="DL678" s="233"/>
      <c r="DM678" s="233"/>
      <c r="DN678" s="233"/>
      <c r="DO678" s="233"/>
      <c r="DP678" s="233"/>
      <c r="DQ678" s="233"/>
      <c r="DR678" s="233"/>
      <c r="DS678" s="233"/>
      <c r="DT678" s="233"/>
      <c r="DU678" s="233"/>
      <c r="DV678" s="233"/>
      <c r="DW678" s="233"/>
      <c r="DX678" s="233"/>
      <c r="DY678" s="233"/>
      <c r="DZ678" s="233"/>
      <c r="EA678" s="233"/>
      <c r="EB678" s="233"/>
      <c r="EC678" s="233"/>
      <c r="ED678" s="233"/>
      <c r="EE678" s="233"/>
      <c r="EF678" s="233"/>
      <c r="EG678" s="233"/>
      <c r="EH678" s="233"/>
      <c r="EI678" s="233"/>
      <c r="EJ678" s="233"/>
      <c r="EK678" s="233"/>
      <c r="EL678" s="233"/>
      <c r="EM678" s="233"/>
      <c r="EN678" s="233"/>
      <c r="EO678" s="233"/>
      <c r="EP678" s="233"/>
    </row>
    <row r="679" spans="1:146" ht="14.25" x14ac:dyDescent="0.2">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c r="AV679" s="233"/>
      <c r="AW679" s="233"/>
      <c r="AX679" s="233"/>
      <c r="AY679" s="233"/>
      <c r="AZ679" s="233"/>
      <c r="BA679" s="233"/>
      <c r="BB679" s="233"/>
      <c r="BC679" s="233"/>
      <c r="BD679" s="233"/>
      <c r="BE679" s="233"/>
      <c r="BF679" s="233"/>
      <c r="BG679" s="233"/>
      <c r="BH679" s="233"/>
      <c r="BI679" s="233"/>
      <c r="BJ679" s="233"/>
      <c r="BK679" s="233"/>
      <c r="BL679" s="233"/>
      <c r="BM679" s="233"/>
      <c r="BN679" s="233"/>
      <c r="BO679" s="233"/>
      <c r="BP679" s="233"/>
      <c r="BQ679" s="233"/>
      <c r="BR679" s="233"/>
      <c r="BS679" s="233"/>
      <c r="BT679" s="233"/>
      <c r="BU679" s="233"/>
      <c r="BV679" s="233"/>
      <c r="BW679" s="233"/>
      <c r="BX679" s="233"/>
      <c r="BY679" s="233"/>
      <c r="BZ679" s="233"/>
      <c r="CA679" s="233"/>
      <c r="CB679" s="233"/>
      <c r="CC679" s="233"/>
      <c r="CD679" s="233"/>
      <c r="CE679" s="233"/>
      <c r="CF679" s="233"/>
      <c r="CG679" s="233"/>
      <c r="CH679" s="233"/>
      <c r="CI679" s="233"/>
      <c r="CJ679" s="233"/>
      <c r="CK679" s="233"/>
      <c r="CL679" s="233"/>
      <c r="CM679" s="233"/>
      <c r="CN679" s="233"/>
      <c r="CO679" s="233"/>
      <c r="CP679" s="233"/>
      <c r="CQ679" s="233"/>
      <c r="CR679" s="233"/>
      <c r="CS679" s="233"/>
      <c r="CT679" s="233"/>
      <c r="CU679" s="233"/>
      <c r="CV679" s="233"/>
      <c r="CW679" s="233"/>
      <c r="CX679" s="233"/>
      <c r="CY679" s="233"/>
      <c r="CZ679" s="233"/>
      <c r="DA679" s="233"/>
      <c r="DB679" s="233"/>
      <c r="DC679" s="233"/>
      <c r="DD679" s="233"/>
      <c r="DE679" s="233"/>
      <c r="DF679" s="233"/>
      <c r="DG679" s="233"/>
      <c r="DH679" s="233"/>
      <c r="DI679" s="233"/>
      <c r="DJ679" s="233"/>
      <c r="DK679" s="233"/>
      <c r="DL679" s="233"/>
      <c r="DM679" s="233"/>
      <c r="DN679" s="233"/>
      <c r="DO679" s="233"/>
      <c r="DP679" s="233"/>
      <c r="DQ679" s="233"/>
      <c r="DR679" s="233"/>
      <c r="DS679" s="233"/>
      <c r="DT679" s="233"/>
      <c r="DU679" s="233"/>
      <c r="DV679" s="233"/>
      <c r="DW679" s="233"/>
      <c r="DX679" s="233"/>
      <c r="DY679" s="233"/>
      <c r="DZ679" s="233"/>
      <c r="EA679" s="233"/>
      <c r="EB679" s="233"/>
      <c r="EC679" s="233"/>
      <c r="ED679" s="233"/>
      <c r="EE679" s="233"/>
      <c r="EF679" s="233"/>
      <c r="EG679" s="233"/>
      <c r="EH679" s="233"/>
      <c r="EI679" s="233"/>
      <c r="EJ679" s="233"/>
      <c r="EK679" s="233"/>
      <c r="EL679" s="233"/>
      <c r="EM679" s="233"/>
      <c r="EN679" s="233"/>
      <c r="EO679" s="233"/>
      <c r="EP679" s="233"/>
    </row>
    <row r="680" spans="1:146" ht="14.25" x14ac:dyDescent="0.2">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33"/>
      <c r="CI680" s="233"/>
      <c r="CJ680" s="233"/>
      <c r="CK680" s="233"/>
      <c r="CL680" s="233"/>
      <c r="CM680" s="233"/>
      <c r="CN680" s="233"/>
      <c r="CO680" s="233"/>
      <c r="CP680" s="233"/>
      <c r="CQ680" s="233"/>
      <c r="CR680" s="233"/>
      <c r="CS680" s="233"/>
      <c r="CT680" s="233"/>
      <c r="CU680" s="233"/>
      <c r="CV680" s="233"/>
      <c r="CW680" s="233"/>
      <c r="CX680" s="233"/>
      <c r="CY680" s="233"/>
      <c r="CZ680" s="233"/>
      <c r="DA680" s="233"/>
      <c r="DB680" s="233"/>
      <c r="DC680" s="233"/>
      <c r="DD680" s="233"/>
      <c r="DE680" s="233"/>
      <c r="DF680" s="233"/>
      <c r="DG680" s="233"/>
      <c r="DH680" s="233"/>
      <c r="DI680" s="233"/>
      <c r="DJ680" s="233"/>
      <c r="DK680" s="233"/>
      <c r="DL680" s="233"/>
      <c r="DM680" s="233"/>
      <c r="DN680" s="233"/>
      <c r="DO680" s="233"/>
      <c r="DP680" s="233"/>
      <c r="DQ680" s="233"/>
      <c r="DR680" s="233"/>
      <c r="DS680" s="233"/>
      <c r="DT680" s="233"/>
      <c r="DU680" s="233"/>
      <c r="DV680" s="233"/>
      <c r="DW680" s="233"/>
      <c r="DX680" s="233"/>
      <c r="DY680" s="233"/>
      <c r="DZ680" s="233"/>
      <c r="EA680" s="233"/>
      <c r="EB680" s="233"/>
      <c r="EC680" s="233"/>
      <c r="ED680" s="233"/>
      <c r="EE680" s="233"/>
      <c r="EF680" s="233"/>
      <c r="EG680" s="233"/>
      <c r="EH680" s="233"/>
      <c r="EI680" s="233"/>
      <c r="EJ680" s="233"/>
      <c r="EK680" s="233"/>
      <c r="EL680" s="233"/>
      <c r="EM680" s="233"/>
      <c r="EN680" s="233"/>
      <c r="EO680" s="233"/>
      <c r="EP680" s="233"/>
    </row>
    <row r="681" spans="1:146" ht="14.25" x14ac:dyDescent="0.2">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c r="AW681" s="233"/>
      <c r="AX681" s="233"/>
      <c r="AY681" s="233"/>
      <c r="AZ681" s="233"/>
      <c r="BA681" s="233"/>
      <c r="BB681" s="233"/>
      <c r="BC681" s="233"/>
      <c r="BD681" s="233"/>
      <c r="BE681" s="233"/>
      <c r="BF681" s="233"/>
      <c r="BG681" s="233"/>
      <c r="BH681" s="233"/>
      <c r="BI681" s="233"/>
      <c r="BJ681" s="233"/>
      <c r="BK681" s="233"/>
      <c r="BL681" s="233"/>
      <c r="BM681" s="233"/>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33"/>
      <c r="CI681" s="233"/>
      <c r="CJ681" s="233"/>
      <c r="CK681" s="233"/>
      <c r="CL681" s="233"/>
      <c r="CM681" s="233"/>
      <c r="CN681" s="233"/>
      <c r="CO681" s="233"/>
      <c r="CP681" s="233"/>
      <c r="CQ681" s="233"/>
      <c r="CR681" s="233"/>
      <c r="CS681" s="233"/>
      <c r="CT681" s="233"/>
      <c r="CU681" s="233"/>
      <c r="CV681" s="233"/>
      <c r="CW681" s="233"/>
      <c r="CX681" s="233"/>
      <c r="CY681" s="233"/>
      <c r="CZ681" s="233"/>
      <c r="DA681" s="233"/>
      <c r="DB681" s="233"/>
      <c r="DC681" s="233"/>
      <c r="DD681" s="233"/>
      <c r="DE681" s="233"/>
      <c r="DF681" s="233"/>
      <c r="DG681" s="233"/>
      <c r="DH681" s="233"/>
      <c r="DI681" s="233"/>
      <c r="DJ681" s="233"/>
      <c r="DK681" s="233"/>
      <c r="DL681" s="233"/>
      <c r="DM681" s="233"/>
      <c r="DN681" s="233"/>
      <c r="DO681" s="233"/>
      <c r="DP681" s="233"/>
      <c r="DQ681" s="233"/>
      <c r="DR681" s="233"/>
      <c r="DS681" s="233"/>
      <c r="DT681" s="233"/>
      <c r="DU681" s="233"/>
      <c r="DV681" s="233"/>
      <c r="DW681" s="233"/>
      <c r="DX681" s="233"/>
      <c r="DY681" s="233"/>
      <c r="DZ681" s="233"/>
      <c r="EA681" s="233"/>
      <c r="EB681" s="233"/>
      <c r="EC681" s="233"/>
      <c r="ED681" s="233"/>
      <c r="EE681" s="233"/>
      <c r="EF681" s="233"/>
      <c r="EG681" s="233"/>
      <c r="EH681" s="233"/>
      <c r="EI681" s="233"/>
      <c r="EJ681" s="233"/>
      <c r="EK681" s="233"/>
      <c r="EL681" s="233"/>
      <c r="EM681" s="233"/>
      <c r="EN681" s="233"/>
      <c r="EO681" s="233"/>
      <c r="EP681" s="233"/>
    </row>
    <row r="682" spans="1:146" ht="14.25" x14ac:dyDescent="0.2">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c r="AW682" s="233"/>
      <c r="AX682" s="233"/>
      <c r="AY682" s="233"/>
      <c r="AZ682" s="233"/>
      <c r="BA682" s="233"/>
      <c r="BB682" s="233"/>
      <c r="BC682" s="233"/>
      <c r="BD682" s="233"/>
      <c r="BE682" s="233"/>
      <c r="BF682" s="233"/>
      <c r="BG682" s="233"/>
      <c r="BH682" s="233"/>
      <c r="BI682" s="233"/>
      <c r="BJ682" s="233"/>
      <c r="BK682" s="233"/>
      <c r="BL682" s="233"/>
      <c r="BM682" s="233"/>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33"/>
      <c r="CI682" s="233"/>
      <c r="CJ682" s="233"/>
      <c r="CK682" s="233"/>
      <c r="CL682" s="233"/>
      <c r="CM682" s="233"/>
      <c r="CN682" s="233"/>
      <c r="CO682" s="233"/>
      <c r="CP682" s="233"/>
      <c r="CQ682" s="233"/>
      <c r="CR682" s="233"/>
      <c r="CS682" s="233"/>
      <c r="CT682" s="233"/>
      <c r="CU682" s="233"/>
      <c r="CV682" s="233"/>
      <c r="CW682" s="233"/>
      <c r="CX682" s="233"/>
      <c r="CY682" s="233"/>
      <c r="CZ682" s="233"/>
      <c r="DA682" s="233"/>
      <c r="DB682" s="233"/>
      <c r="DC682" s="233"/>
      <c r="DD682" s="233"/>
      <c r="DE682" s="233"/>
      <c r="DF682" s="233"/>
      <c r="DG682" s="233"/>
      <c r="DH682" s="233"/>
      <c r="DI682" s="233"/>
      <c r="DJ682" s="233"/>
      <c r="DK682" s="233"/>
      <c r="DL682" s="233"/>
      <c r="DM682" s="233"/>
      <c r="DN682" s="233"/>
      <c r="DO682" s="233"/>
      <c r="DP682" s="233"/>
      <c r="DQ682" s="233"/>
      <c r="DR682" s="233"/>
      <c r="DS682" s="233"/>
      <c r="DT682" s="233"/>
      <c r="DU682" s="233"/>
      <c r="DV682" s="233"/>
      <c r="DW682" s="233"/>
      <c r="DX682" s="233"/>
      <c r="DY682" s="233"/>
      <c r="DZ682" s="233"/>
      <c r="EA682" s="233"/>
      <c r="EB682" s="233"/>
      <c r="EC682" s="233"/>
      <c r="ED682" s="233"/>
      <c r="EE682" s="233"/>
      <c r="EF682" s="233"/>
      <c r="EG682" s="233"/>
      <c r="EH682" s="233"/>
      <c r="EI682" s="233"/>
      <c r="EJ682" s="233"/>
      <c r="EK682" s="233"/>
      <c r="EL682" s="233"/>
      <c r="EM682" s="233"/>
      <c r="EN682" s="233"/>
      <c r="EO682" s="233"/>
      <c r="EP682" s="233"/>
    </row>
    <row r="683" spans="1:146" ht="14.25" x14ac:dyDescent="0.2">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33"/>
      <c r="CI683" s="233"/>
      <c r="CJ683" s="233"/>
      <c r="CK683" s="233"/>
      <c r="CL683" s="233"/>
      <c r="CM683" s="233"/>
      <c r="CN683" s="233"/>
      <c r="CO683" s="233"/>
      <c r="CP683" s="233"/>
      <c r="CQ683" s="233"/>
      <c r="CR683" s="233"/>
      <c r="CS683" s="233"/>
      <c r="CT683" s="233"/>
      <c r="CU683" s="233"/>
      <c r="CV683" s="233"/>
      <c r="CW683" s="233"/>
      <c r="CX683" s="233"/>
      <c r="CY683" s="233"/>
      <c r="CZ683" s="233"/>
      <c r="DA683" s="233"/>
      <c r="DB683" s="233"/>
      <c r="DC683" s="233"/>
      <c r="DD683" s="233"/>
      <c r="DE683" s="233"/>
      <c r="DF683" s="233"/>
      <c r="DG683" s="233"/>
      <c r="DH683" s="233"/>
      <c r="DI683" s="233"/>
      <c r="DJ683" s="233"/>
      <c r="DK683" s="233"/>
      <c r="DL683" s="233"/>
      <c r="DM683" s="233"/>
      <c r="DN683" s="233"/>
      <c r="DO683" s="233"/>
      <c r="DP683" s="233"/>
      <c r="DQ683" s="233"/>
      <c r="DR683" s="233"/>
      <c r="DS683" s="233"/>
      <c r="DT683" s="233"/>
      <c r="DU683" s="233"/>
      <c r="DV683" s="233"/>
      <c r="DW683" s="233"/>
      <c r="DX683" s="233"/>
      <c r="DY683" s="233"/>
      <c r="DZ683" s="233"/>
      <c r="EA683" s="233"/>
      <c r="EB683" s="233"/>
      <c r="EC683" s="233"/>
      <c r="ED683" s="233"/>
      <c r="EE683" s="233"/>
      <c r="EF683" s="233"/>
      <c r="EG683" s="233"/>
      <c r="EH683" s="233"/>
      <c r="EI683" s="233"/>
      <c r="EJ683" s="233"/>
      <c r="EK683" s="233"/>
      <c r="EL683" s="233"/>
      <c r="EM683" s="233"/>
      <c r="EN683" s="233"/>
      <c r="EO683" s="233"/>
      <c r="EP683" s="233"/>
    </row>
    <row r="684" spans="1:146" ht="14.25" x14ac:dyDescent="0.2">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c r="AW684" s="233"/>
      <c r="AX684" s="233"/>
      <c r="AY684" s="233"/>
      <c r="AZ684" s="233"/>
      <c r="BA684" s="233"/>
      <c r="BB684" s="233"/>
      <c r="BC684" s="233"/>
      <c r="BD684" s="233"/>
      <c r="BE684" s="233"/>
      <c r="BF684" s="233"/>
      <c r="BG684" s="233"/>
      <c r="BH684" s="233"/>
      <c r="BI684" s="233"/>
      <c r="BJ684" s="233"/>
      <c r="BK684" s="233"/>
      <c r="BL684" s="233"/>
      <c r="BM684" s="233"/>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33"/>
      <c r="CI684" s="233"/>
      <c r="CJ684" s="233"/>
      <c r="CK684" s="233"/>
      <c r="CL684" s="233"/>
      <c r="CM684" s="233"/>
      <c r="CN684" s="233"/>
      <c r="CO684" s="233"/>
      <c r="CP684" s="233"/>
      <c r="CQ684" s="233"/>
      <c r="CR684" s="233"/>
      <c r="CS684" s="233"/>
      <c r="CT684" s="233"/>
      <c r="CU684" s="233"/>
      <c r="CV684" s="233"/>
      <c r="CW684" s="233"/>
      <c r="CX684" s="233"/>
      <c r="CY684" s="233"/>
      <c r="CZ684" s="233"/>
      <c r="DA684" s="233"/>
      <c r="DB684" s="233"/>
      <c r="DC684" s="233"/>
      <c r="DD684" s="233"/>
      <c r="DE684" s="233"/>
      <c r="DF684" s="233"/>
      <c r="DG684" s="233"/>
      <c r="DH684" s="233"/>
      <c r="DI684" s="233"/>
      <c r="DJ684" s="233"/>
      <c r="DK684" s="233"/>
      <c r="DL684" s="233"/>
      <c r="DM684" s="233"/>
      <c r="DN684" s="233"/>
      <c r="DO684" s="233"/>
      <c r="DP684" s="233"/>
      <c r="DQ684" s="233"/>
      <c r="DR684" s="233"/>
      <c r="DS684" s="233"/>
      <c r="DT684" s="233"/>
      <c r="DU684" s="233"/>
      <c r="DV684" s="233"/>
      <c r="DW684" s="233"/>
      <c r="DX684" s="233"/>
      <c r="DY684" s="233"/>
      <c r="DZ684" s="233"/>
      <c r="EA684" s="233"/>
      <c r="EB684" s="233"/>
      <c r="EC684" s="233"/>
      <c r="ED684" s="233"/>
      <c r="EE684" s="233"/>
      <c r="EF684" s="233"/>
      <c r="EG684" s="233"/>
      <c r="EH684" s="233"/>
      <c r="EI684" s="233"/>
      <c r="EJ684" s="233"/>
      <c r="EK684" s="233"/>
      <c r="EL684" s="233"/>
      <c r="EM684" s="233"/>
      <c r="EN684" s="233"/>
      <c r="EO684" s="233"/>
      <c r="EP684" s="233"/>
    </row>
    <row r="685" spans="1:146" ht="14.25" x14ac:dyDescent="0.2">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c r="AW685" s="233"/>
      <c r="AX685" s="233"/>
      <c r="AY685" s="233"/>
      <c r="AZ685" s="233"/>
      <c r="BA685" s="233"/>
      <c r="BB685" s="233"/>
      <c r="BC685" s="233"/>
      <c r="BD685" s="233"/>
      <c r="BE685" s="233"/>
      <c r="BF685" s="233"/>
      <c r="BG685" s="233"/>
      <c r="BH685" s="233"/>
      <c r="BI685" s="233"/>
      <c r="BJ685" s="233"/>
      <c r="BK685" s="233"/>
      <c r="BL685" s="233"/>
      <c r="BM685" s="233"/>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33"/>
      <c r="CI685" s="233"/>
      <c r="CJ685" s="233"/>
      <c r="CK685" s="233"/>
      <c r="CL685" s="233"/>
      <c r="CM685" s="233"/>
      <c r="CN685" s="233"/>
      <c r="CO685" s="233"/>
      <c r="CP685" s="233"/>
      <c r="CQ685" s="233"/>
      <c r="CR685" s="233"/>
      <c r="CS685" s="233"/>
      <c r="CT685" s="233"/>
      <c r="CU685" s="233"/>
      <c r="CV685" s="233"/>
      <c r="CW685" s="233"/>
      <c r="CX685" s="233"/>
      <c r="CY685" s="233"/>
      <c r="CZ685" s="233"/>
      <c r="DA685" s="233"/>
      <c r="DB685" s="233"/>
      <c r="DC685" s="233"/>
      <c r="DD685" s="233"/>
      <c r="DE685" s="233"/>
      <c r="DF685" s="233"/>
      <c r="DG685" s="233"/>
      <c r="DH685" s="233"/>
      <c r="DI685" s="233"/>
      <c r="DJ685" s="233"/>
      <c r="DK685" s="233"/>
      <c r="DL685" s="233"/>
      <c r="DM685" s="233"/>
      <c r="DN685" s="233"/>
      <c r="DO685" s="233"/>
      <c r="DP685" s="233"/>
      <c r="DQ685" s="233"/>
      <c r="DR685" s="233"/>
      <c r="DS685" s="233"/>
      <c r="DT685" s="233"/>
      <c r="DU685" s="233"/>
      <c r="DV685" s="233"/>
      <c r="DW685" s="233"/>
      <c r="DX685" s="233"/>
      <c r="DY685" s="233"/>
      <c r="DZ685" s="233"/>
      <c r="EA685" s="233"/>
      <c r="EB685" s="233"/>
      <c r="EC685" s="233"/>
      <c r="ED685" s="233"/>
      <c r="EE685" s="233"/>
      <c r="EF685" s="233"/>
      <c r="EG685" s="233"/>
      <c r="EH685" s="233"/>
      <c r="EI685" s="233"/>
      <c r="EJ685" s="233"/>
      <c r="EK685" s="233"/>
      <c r="EL685" s="233"/>
      <c r="EM685" s="233"/>
      <c r="EN685" s="233"/>
      <c r="EO685" s="233"/>
      <c r="EP685" s="233"/>
    </row>
    <row r="686" spans="1:146" ht="14.25" x14ac:dyDescent="0.2">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c r="AW686" s="233"/>
      <c r="AX686" s="233"/>
      <c r="AY686" s="233"/>
      <c r="AZ686" s="233"/>
      <c r="BA686" s="233"/>
      <c r="BB686" s="233"/>
      <c r="BC686" s="233"/>
      <c r="BD686" s="233"/>
      <c r="BE686" s="233"/>
      <c r="BF686" s="233"/>
      <c r="BG686" s="233"/>
      <c r="BH686" s="233"/>
      <c r="BI686" s="233"/>
      <c r="BJ686" s="233"/>
      <c r="BK686" s="233"/>
      <c r="BL686" s="233"/>
      <c r="BM686" s="233"/>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33"/>
      <c r="CI686" s="233"/>
      <c r="CJ686" s="233"/>
      <c r="CK686" s="233"/>
      <c r="CL686" s="233"/>
      <c r="CM686" s="233"/>
      <c r="CN686" s="233"/>
      <c r="CO686" s="233"/>
      <c r="CP686" s="233"/>
      <c r="CQ686" s="233"/>
      <c r="CR686" s="233"/>
      <c r="CS686" s="233"/>
      <c r="CT686" s="233"/>
      <c r="CU686" s="233"/>
      <c r="CV686" s="233"/>
      <c r="CW686" s="233"/>
      <c r="CX686" s="233"/>
      <c r="CY686" s="233"/>
      <c r="CZ686" s="233"/>
      <c r="DA686" s="233"/>
      <c r="DB686" s="233"/>
      <c r="DC686" s="233"/>
      <c r="DD686" s="233"/>
      <c r="DE686" s="233"/>
      <c r="DF686" s="233"/>
      <c r="DG686" s="233"/>
      <c r="DH686" s="233"/>
      <c r="DI686" s="233"/>
      <c r="DJ686" s="233"/>
      <c r="DK686" s="233"/>
      <c r="DL686" s="233"/>
      <c r="DM686" s="233"/>
      <c r="DN686" s="233"/>
      <c r="DO686" s="233"/>
      <c r="DP686" s="233"/>
      <c r="DQ686" s="233"/>
      <c r="DR686" s="233"/>
      <c r="DS686" s="233"/>
      <c r="DT686" s="233"/>
      <c r="DU686" s="233"/>
      <c r="DV686" s="233"/>
      <c r="DW686" s="233"/>
      <c r="DX686" s="233"/>
      <c r="DY686" s="233"/>
      <c r="DZ686" s="233"/>
      <c r="EA686" s="233"/>
      <c r="EB686" s="233"/>
      <c r="EC686" s="233"/>
      <c r="ED686" s="233"/>
      <c r="EE686" s="233"/>
      <c r="EF686" s="233"/>
      <c r="EG686" s="233"/>
      <c r="EH686" s="233"/>
      <c r="EI686" s="233"/>
      <c r="EJ686" s="233"/>
      <c r="EK686" s="233"/>
      <c r="EL686" s="233"/>
      <c r="EM686" s="233"/>
      <c r="EN686" s="233"/>
      <c r="EO686" s="233"/>
      <c r="EP686" s="233"/>
    </row>
    <row r="687" spans="1:146" ht="14.25" x14ac:dyDescent="0.2">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c r="AW687" s="233"/>
      <c r="AX687" s="233"/>
      <c r="AY687" s="233"/>
      <c r="AZ687" s="233"/>
      <c r="BA687" s="233"/>
      <c r="BB687" s="233"/>
      <c r="BC687" s="233"/>
      <c r="BD687" s="233"/>
      <c r="BE687" s="233"/>
      <c r="BF687" s="233"/>
      <c r="BG687" s="233"/>
      <c r="BH687" s="233"/>
      <c r="BI687" s="233"/>
      <c r="BJ687" s="233"/>
      <c r="BK687" s="233"/>
      <c r="BL687" s="233"/>
      <c r="BM687" s="233"/>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33"/>
      <c r="CI687" s="233"/>
      <c r="CJ687" s="233"/>
      <c r="CK687" s="233"/>
      <c r="CL687" s="233"/>
      <c r="CM687" s="233"/>
      <c r="CN687" s="233"/>
      <c r="CO687" s="233"/>
      <c r="CP687" s="233"/>
      <c r="CQ687" s="233"/>
      <c r="CR687" s="233"/>
      <c r="CS687" s="233"/>
      <c r="CT687" s="233"/>
      <c r="CU687" s="233"/>
      <c r="CV687" s="233"/>
      <c r="CW687" s="233"/>
      <c r="CX687" s="233"/>
      <c r="CY687" s="233"/>
      <c r="CZ687" s="233"/>
      <c r="DA687" s="233"/>
      <c r="DB687" s="233"/>
      <c r="DC687" s="233"/>
      <c r="DD687" s="233"/>
      <c r="DE687" s="233"/>
      <c r="DF687" s="233"/>
      <c r="DG687" s="233"/>
      <c r="DH687" s="233"/>
      <c r="DI687" s="233"/>
      <c r="DJ687" s="233"/>
      <c r="DK687" s="233"/>
      <c r="DL687" s="233"/>
      <c r="DM687" s="233"/>
      <c r="DN687" s="233"/>
      <c r="DO687" s="233"/>
      <c r="DP687" s="233"/>
      <c r="DQ687" s="233"/>
      <c r="DR687" s="233"/>
      <c r="DS687" s="233"/>
      <c r="DT687" s="233"/>
      <c r="DU687" s="233"/>
      <c r="DV687" s="233"/>
      <c r="DW687" s="233"/>
      <c r="DX687" s="233"/>
      <c r="DY687" s="233"/>
      <c r="DZ687" s="233"/>
      <c r="EA687" s="233"/>
      <c r="EB687" s="233"/>
      <c r="EC687" s="233"/>
      <c r="ED687" s="233"/>
      <c r="EE687" s="233"/>
      <c r="EF687" s="233"/>
      <c r="EG687" s="233"/>
      <c r="EH687" s="233"/>
      <c r="EI687" s="233"/>
      <c r="EJ687" s="233"/>
      <c r="EK687" s="233"/>
      <c r="EL687" s="233"/>
      <c r="EM687" s="233"/>
      <c r="EN687" s="233"/>
      <c r="EO687" s="233"/>
      <c r="EP687" s="233"/>
    </row>
    <row r="688" spans="1:146" ht="14.25" x14ac:dyDescent="0.2">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c r="AW688" s="233"/>
      <c r="AX688" s="233"/>
      <c r="AY688" s="233"/>
      <c r="AZ688" s="233"/>
      <c r="BA688" s="233"/>
      <c r="BB688" s="233"/>
      <c r="BC688" s="233"/>
      <c r="BD688" s="233"/>
      <c r="BE688" s="233"/>
      <c r="BF688" s="233"/>
      <c r="BG688" s="233"/>
      <c r="BH688" s="233"/>
      <c r="BI688" s="233"/>
      <c r="BJ688" s="233"/>
      <c r="BK688" s="233"/>
      <c r="BL688" s="233"/>
      <c r="BM688" s="233"/>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33"/>
      <c r="CI688" s="233"/>
      <c r="CJ688" s="233"/>
      <c r="CK688" s="233"/>
      <c r="CL688" s="233"/>
      <c r="CM688" s="233"/>
      <c r="CN688" s="233"/>
      <c r="CO688" s="233"/>
      <c r="CP688" s="233"/>
      <c r="CQ688" s="233"/>
      <c r="CR688" s="233"/>
      <c r="CS688" s="233"/>
      <c r="CT688" s="233"/>
      <c r="CU688" s="233"/>
      <c r="CV688" s="233"/>
      <c r="CW688" s="233"/>
      <c r="CX688" s="233"/>
      <c r="CY688" s="233"/>
      <c r="CZ688" s="233"/>
      <c r="DA688" s="233"/>
      <c r="DB688" s="233"/>
      <c r="DC688" s="233"/>
      <c r="DD688" s="233"/>
      <c r="DE688" s="233"/>
      <c r="DF688" s="233"/>
      <c r="DG688" s="233"/>
      <c r="DH688" s="233"/>
      <c r="DI688" s="233"/>
      <c r="DJ688" s="233"/>
      <c r="DK688" s="233"/>
      <c r="DL688" s="233"/>
      <c r="DM688" s="233"/>
      <c r="DN688" s="233"/>
      <c r="DO688" s="233"/>
      <c r="DP688" s="233"/>
      <c r="DQ688" s="233"/>
      <c r="DR688" s="233"/>
      <c r="DS688" s="233"/>
      <c r="DT688" s="233"/>
      <c r="DU688" s="233"/>
      <c r="DV688" s="233"/>
      <c r="DW688" s="233"/>
      <c r="DX688" s="233"/>
      <c r="DY688" s="233"/>
      <c r="DZ688" s="233"/>
      <c r="EA688" s="233"/>
      <c r="EB688" s="233"/>
      <c r="EC688" s="233"/>
      <c r="ED688" s="233"/>
      <c r="EE688" s="233"/>
      <c r="EF688" s="233"/>
      <c r="EG688" s="233"/>
      <c r="EH688" s="233"/>
      <c r="EI688" s="233"/>
      <c r="EJ688" s="233"/>
      <c r="EK688" s="233"/>
      <c r="EL688" s="233"/>
      <c r="EM688" s="233"/>
      <c r="EN688" s="233"/>
      <c r="EO688" s="233"/>
      <c r="EP688" s="233"/>
    </row>
    <row r="689" spans="1:146" ht="14.25" x14ac:dyDescent="0.2">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c r="AW689" s="233"/>
      <c r="AX689" s="233"/>
      <c r="AY689" s="233"/>
      <c r="AZ689" s="233"/>
      <c r="BA689" s="233"/>
      <c r="BB689" s="233"/>
      <c r="BC689" s="233"/>
      <c r="BD689" s="233"/>
      <c r="BE689" s="233"/>
      <c r="BF689" s="233"/>
      <c r="BG689" s="233"/>
      <c r="BH689" s="233"/>
      <c r="BI689" s="233"/>
      <c r="BJ689" s="233"/>
      <c r="BK689" s="233"/>
      <c r="BL689" s="233"/>
      <c r="BM689" s="233"/>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33"/>
      <c r="CI689" s="233"/>
      <c r="CJ689" s="233"/>
      <c r="CK689" s="233"/>
      <c r="CL689" s="233"/>
      <c r="CM689" s="233"/>
      <c r="CN689" s="233"/>
      <c r="CO689" s="233"/>
      <c r="CP689" s="233"/>
      <c r="CQ689" s="233"/>
      <c r="CR689" s="233"/>
      <c r="CS689" s="233"/>
      <c r="CT689" s="233"/>
      <c r="CU689" s="233"/>
      <c r="CV689" s="233"/>
      <c r="CW689" s="233"/>
      <c r="CX689" s="233"/>
      <c r="CY689" s="233"/>
      <c r="CZ689" s="233"/>
      <c r="DA689" s="233"/>
      <c r="DB689" s="233"/>
      <c r="DC689" s="233"/>
      <c r="DD689" s="233"/>
      <c r="DE689" s="233"/>
      <c r="DF689" s="233"/>
      <c r="DG689" s="233"/>
      <c r="DH689" s="233"/>
      <c r="DI689" s="233"/>
      <c r="DJ689" s="233"/>
      <c r="DK689" s="233"/>
      <c r="DL689" s="233"/>
      <c r="DM689" s="233"/>
      <c r="DN689" s="233"/>
      <c r="DO689" s="233"/>
      <c r="DP689" s="233"/>
      <c r="DQ689" s="233"/>
      <c r="DR689" s="233"/>
      <c r="DS689" s="233"/>
      <c r="DT689" s="233"/>
      <c r="DU689" s="233"/>
      <c r="DV689" s="233"/>
      <c r="DW689" s="233"/>
      <c r="DX689" s="233"/>
      <c r="DY689" s="233"/>
      <c r="DZ689" s="233"/>
      <c r="EA689" s="233"/>
      <c r="EB689" s="233"/>
      <c r="EC689" s="233"/>
      <c r="ED689" s="233"/>
      <c r="EE689" s="233"/>
      <c r="EF689" s="233"/>
      <c r="EG689" s="233"/>
      <c r="EH689" s="233"/>
      <c r="EI689" s="233"/>
      <c r="EJ689" s="233"/>
      <c r="EK689" s="233"/>
      <c r="EL689" s="233"/>
      <c r="EM689" s="233"/>
      <c r="EN689" s="233"/>
      <c r="EO689" s="233"/>
      <c r="EP689" s="233"/>
    </row>
    <row r="690" spans="1:146" ht="14.25" x14ac:dyDescent="0.2">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c r="AW690" s="233"/>
      <c r="AX690" s="233"/>
      <c r="AY690" s="233"/>
      <c r="AZ690" s="233"/>
      <c r="BA690" s="233"/>
      <c r="BB690" s="233"/>
      <c r="BC690" s="233"/>
      <c r="BD690" s="233"/>
      <c r="BE690" s="233"/>
      <c r="BF690" s="233"/>
      <c r="BG690" s="233"/>
      <c r="BH690" s="233"/>
      <c r="BI690" s="233"/>
      <c r="BJ690" s="233"/>
      <c r="BK690" s="233"/>
      <c r="BL690" s="233"/>
      <c r="BM690" s="233"/>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33"/>
      <c r="CI690" s="233"/>
      <c r="CJ690" s="233"/>
      <c r="CK690" s="233"/>
      <c r="CL690" s="233"/>
      <c r="CM690" s="233"/>
      <c r="CN690" s="233"/>
      <c r="CO690" s="233"/>
      <c r="CP690" s="233"/>
      <c r="CQ690" s="233"/>
      <c r="CR690" s="233"/>
      <c r="CS690" s="233"/>
      <c r="CT690" s="233"/>
      <c r="CU690" s="233"/>
      <c r="CV690" s="233"/>
      <c r="CW690" s="233"/>
      <c r="CX690" s="233"/>
      <c r="CY690" s="233"/>
      <c r="CZ690" s="233"/>
      <c r="DA690" s="233"/>
      <c r="DB690" s="233"/>
      <c r="DC690" s="233"/>
      <c r="DD690" s="233"/>
      <c r="DE690" s="233"/>
      <c r="DF690" s="233"/>
      <c r="DG690" s="233"/>
      <c r="DH690" s="233"/>
      <c r="DI690" s="233"/>
      <c r="DJ690" s="233"/>
      <c r="DK690" s="233"/>
      <c r="DL690" s="233"/>
      <c r="DM690" s="233"/>
      <c r="DN690" s="233"/>
      <c r="DO690" s="233"/>
      <c r="DP690" s="233"/>
      <c r="DQ690" s="233"/>
      <c r="DR690" s="233"/>
      <c r="DS690" s="233"/>
      <c r="DT690" s="233"/>
      <c r="DU690" s="233"/>
      <c r="DV690" s="233"/>
      <c r="DW690" s="233"/>
      <c r="DX690" s="233"/>
      <c r="DY690" s="233"/>
      <c r="DZ690" s="233"/>
      <c r="EA690" s="233"/>
      <c r="EB690" s="233"/>
      <c r="EC690" s="233"/>
      <c r="ED690" s="233"/>
      <c r="EE690" s="233"/>
      <c r="EF690" s="233"/>
      <c r="EG690" s="233"/>
      <c r="EH690" s="233"/>
      <c r="EI690" s="233"/>
      <c r="EJ690" s="233"/>
      <c r="EK690" s="233"/>
      <c r="EL690" s="233"/>
      <c r="EM690" s="233"/>
      <c r="EN690" s="233"/>
      <c r="EO690" s="233"/>
      <c r="EP690" s="233"/>
    </row>
    <row r="691" spans="1:146" ht="14.25" x14ac:dyDescent="0.2">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c r="AW691" s="233"/>
      <c r="AX691" s="233"/>
      <c r="AY691" s="233"/>
      <c r="AZ691" s="233"/>
      <c r="BA691" s="233"/>
      <c r="BB691" s="233"/>
      <c r="BC691" s="233"/>
      <c r="BD691" s="233"/>
      <c r="BE691" s="233"/>
      <c r="BF691" s="233"/>
      <c r="BG691" s="233"/>
      <c r="BH691" s="233"/>
      <c r="BI691" s="233"/>
      <c r="BJ691" s="233"/>
      <c r="BK691" s="233"/>
      <c r="BL691" s="233"/>
      <c r="BM691" s="233"/>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33"/>
      <c r="CI691" s="233"/>
      <c r="CJ691" s="233"/>
      <c r="CK691" s="233"/>
      <c r="CL691" s="233"/>
      <c r="CM691" s="233"/>
      <c r="CN691" s="233"/>
      <c r="CO691" s="233"/>
      <c r="CP691" s="233"/>
      <c r="CQ691" s="233"/>
      <c r="CR691" s="233"/>
      <c r="CS691" s="233"/>
      <c r="CT691" s="233"/>
      <c r="CU691" s="233"/>
      <c r="CV691" s="233"/>
      <c r="CW691" s="233"/>
      <c r="CX691" s="233"/>
      <c r="CY691" s="233"/>
      <c r="CZ691" s="233"/>
      <c r="DA691" s="233"/>
      <c r="DB691" s="233"/>
      <c r="DC691" s="233"/>
      <c r="DD691" s="233"/>
      <c r="DE691" s="233"/>
      <c r="DF691" s="233"/>
      <c r="DG691" s="233"/>
      <c r="DH691" s="233"/>
      <c r="DI691" s="233"/>
      <c r="DJ691" s="233"/>
      <c r="DK691" s="233"/>
      <c r="DL691" s="233"/>
      <c r="DM691" s="233"/>
      <c r="DN691" s="233"/>
      <c r="DO691" s="233"/>
      <c r="DP691" s="233"/>
      <c r="DQ691" s="233"/>
      <c r="DR691" s="233"/>
      <c r="DS691" s="233"/>
      <c r="DT691" s="233"/>
      <c r="DU691" s="233"/>
      <c r="DV691" s="233"/>
      <c r="DW691" s="233"/>
      <c r="DX691" s="233"/>
      <c r="DY691" s="233"/>
      <c r="DZ691" s="233"/>
      <c r="EA691" s="233"/>
      <c r="EB691" s="233"/>
      <c r="EC691" s="233"/>
      <c r="ED691" s="233"/>
      <c r="EE691" s="233"/>
      <c r="EF691" s="233"/>
      <c r="EG691" s="233"/>
      <c r="EH691" s="233"/>
      <c r="EI691" s="233"/>
      <c r="EJ691" s="233"/>
      <c r="EK691" s="233"/>
      <c r="EL691" s="233"/>
      <c r="EM691" s="233"/>
      <c r="EN691" s="233"/>
      <c r="EO691" s="233"/>
      <c r="EP691" s="233"/>
    </row>
    <row r="692" spans="1:146" ht="14.25" x14ac:dyDescent="0.2">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c r="AW692" s="233"/>
      <c r="AX692" s="233"/>
      <c r="AY692" s="233"/>
      <c r="AZ692" s="233"/>
      <c r="BA692" s="233"/>
      <c r="BB692" s="233"/>
      <c r="BC692" s="233"/>
      <c r="BD692" s="233"/>
      <c r="BE692" s="233"/>
      <c r="BF692" s="233"/>
      <c r="BG692" s="233"/>
      <c r="BH692" s="233"/>
      <c r="BI692" s="233"/>
      <c r="BJ692" s="233"/>
      <c r="BK692" s="233"/>
      <c r="BL692" s="233"/>
      <c r="BM692" s="233"/>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33"/>
      <c r="CI692" s="233"/>
      <c r="CJ692" s="233"/>
      <c r="CK692" s="233"/>
      <c r="CL692" s="233"/>
      <c r="CM692" s="233"/>
      <c r="CN692" s="233"/>
      <c r="CO692" s="233"/>
      <c r="CP692" s="233"/>
      <c r="CQ692" s="233"/>
      <c r="CR692" s="233"/>
      <c r="CS692" s="233"/>
      <c r="CT692" s="233"/>
      <c r="CU692" s="233"/>
      <c r="CV692" s="233"/>
      <c r="CW692" s="233"/>
      <c r="CX692" s="233"/>
      <c r="CY692" s="233"/>
      <c r="CZ692" s="233"/>
      <c r="DA692" s="233"/>
      <c r="DB692" s="233"/>
      <c r="DC692" s="233"/>
      <c r="DD692" s="233"/>
      <c r="DE692" s="233"/>
      <c r="DF692" s="233"/>
      <c r="DG692" s="233"/>
      <c r="DH692" s="233"/>
      <c r="DI692" s="233"/>
      <c r="DJ692" s="233"/>
      <c r="DK692" s="233"/>
      <c r="DL692" s="233"/>
      <c r="DM692" s="233"/>
      <c r="DN692" s="233"/>
      <c r="DO692" s="233"/>
      <c r="DP692" s="233"/>
      <c r="DQ692" s="233"/>
      <c r="DR692" s="233"/>
      <c r="DS692" s="233"/>
      <c r="DT692" s="233"/>
      <c r="DU692" s="233"/>
      <c r="DV692" s="233"/>
      <c r="DW692" s="233"/>
      <c r="DX692" s="233"/>
      <c r="DY692" s="233"/>
      <c r="DZ692" s="233"/>
      <c r="EA692" s="233"/>
      <c r="EB692" s="233"/>
      <c r="EC692" s="233"/>
      <c r="ED692" s="233"/>
      <c r="EE692" s="233"/>
      <c r="EF692" s="233"/>
      <c r="EG692" s="233"/>
      <c r="EH692" s="233"/>
      <c r="EI692" s="233"/>
      <c r="EJ692" s="233"/>
      <c r="EK692" s="233"/>
      <c r="EL692" s="233"/>
      <c r="EM692" s="233"/>
      <c r="EN692" s="233"/>
      <c r="EO692" s="233"/>
      <c r="EP692" s="233"/>
    </row>
    <row r="693" spans="1:146" ht="14.25" x14ac:dyDescent="0.2">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c r="AW693" s="233"/>
      <c r="AX693" s="233"/>
      <c r="AY693" s="233"/>
      <c r="AZ693" s="233"/>
      <c r="BA693" s="233"/>
      <c r="BB693" s="233"/>
      <c r="BC693" s="233"/>
      <c r="BD693" s="233"/>
      <c r="BE693" s="233"/>
      <c r="BF693" s="233"/>
      <c r="BG693" s="233"/>
      <c r="BH693" s="233"/>
      <c r="BI693" s="233"/>
      <c r="BJ693" s="233"/>
      <c r="BK693" s="233"/>
      <c r="BL693" s="233"/>
      <c r="BM693" s="233"/>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33"/>
      <c r="CI693" s="233"/>
      <c r="CJ693" s="233"/>
      <c r="CK693" s="233"/>
      <c r="CL693" s="233"/>
      <c r="CM693" s="233"/>
      <c r="CN693" s="233"/>
      <c r="CO693" s="233"/>
      <c r="CP693" s="233"/>
      <c r="CQ693" s="233"/>
      <c r="CR693" s="233"/>
      <c r="CS693" s="233"/>
      <c r="CT693" s="233"/>
      <c r="CU693" s="233"/>
      <c r="CV693" s="233"/>
      <c r="CW693" s="233"/>
      <c r="CX693" s="233"/>
      <c r="CY693" s="233"/>
      <c r="CZ693" s="233"/>
      <c r="DA693" s="233"/>
      <c r="DB693" s="233"/>
      <c r="DC693" s="233"/>
      <c r="DD693" s="233"/>
      <c r="DE693" s="233"/>
      <c r="DF693" s="233"/>
      <c r="DG693" s="233"/>
      <c r="DH693" s="233"/>
      <c r="DI693" s="233"/>
      <c r="DJ693" s="233"/>
      <c r="DK693" s="233"/>
      <c r="DL693" s="233"/>
      <c r="DM693" s="233"/>
      <c r="DN693" s="233"/>
      <c r="DO693" s="233"/>
      <c r="DP693" s="233"/>
      <c r="DQ693" s="233"/>
      <c r="DR693" s="233"/>
      <c r="DS693" s="233"/>
      <c r="DT693" s="233"/>
      <c r="DU693" s="233"/>
      <c r="DV693" s="233"/>
      <c r="DW693" s="233"/>
      <c r="DX693" s="233"/>
      <c r="DY693" s="233"/>
      <c r="DZ693" s="233"/>
      <c r="EA693" s="233"/>
      <c r="EB693" s="233"/>
      <c r="EC693" s="233"/>
      <c r="ED693" s="233"/>
      <c r="EE693" s="233"/>
      <c r="EF693" s="233"/>
      <c r="EG693" s="233"/>
      <c r="EH693" s="233"/>
      <c r="EI693" s="233"/>
      <c r="EJ693" s="233"/>
      <c r="EK693" s="233"/>
      <c r="EL693" s="233"/>
      <c r="EM693" s="233"/>
      <c r="EN693" s="233"/>
      <c r="EO693" s="233"/>
      <c r="EP693" s="233"/>
    </row>
    <row r="694" spans="1:146" ht="14.25" x14ac:dyDescent="0.2">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c r="AW694" s="233"/>
      <c r="AX694" s="233"/>
      <c r="AY694" s="233"/>
      <c r="AZ694" s="233"/>
      <c r="BA694" s="233"/>
      <c r="BB694" s="233"/>
      <c r="BC694" s="233"/>
      <c r="BD694" s="233"/>
      <c r="BE694" s="233"/>
      <c r="BF694" s="233"/>
      <c r="BG694" s="233"/>
      <c r="BH694" s="233"/>
      <c r="BI694" s="233"/>
      <c r="BJ694" s="233"/>
      <c r="BK694" s="233"/>
      <c r="BL694" s="233"/>
      <c r="BM694" s="233"/>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33"/>
      <c r="CI694" s="233"/>
      <c r="CJ694" s="233"/>
      <c r="CK694" s="233"/>
      <c r="CL694" s="233"/>
      <c r="CM694" s="233"/>
      <c r="CN694" s="233"/>
      <c r="CO694" s="233"/>
      <c r="CP694" s="233"/>
      <c r="CQ694" s="233"/>
      <c r="CR694" s="233"/>
      <c r="CS694" s="233"/>
      <c r="CT694" s="233"/>
      <c r="CU694" s="233"/>
      <c r="CV694" s="233"/>
      <c r="CW694" s="233"/>
      <c r="CX694" s="233"/>
      <c r="CY694" s="233"/>
      <c r="CZ694" s="233"/>
      <c r="DA694" s="233"/>
      <c r="DB694" s="233"/>
      <c r="DC694" s="233"/>
      <c r="DD694" s="233"/>
      <c r="DE694" s="233"/>
      <c r="DF694" s="233"/>
      <c r="DG694" s="233"/>
      <c r="DH694" s="233"/>
      <c r="DI694" s="233"/>
      <c r="DJ694" s="233"/>
      <c r="DK694" s="233"/>
      <c r="DL694" s="233"/>
      <c r="DM694" s="233"/>
      <c r="DN694" s="233"/>
      <c r="DO694" s="233"/>
      <c r="DP694" s="233"/>
      <c r="DQ694" s="233"/>
      <c r="DR694" s="233"/>
      <c r="DS694" s="233"/>
      <c r="DT694" s="233"/>
      <c r="DU694" s="233"/>
      <c r="DV694" s="233"/>
      <c r="DW694" s="233"/>
      <c r="DX694" s="233"/>
      <c r="DY694" s="233"/>
      <c r="DZ694" s="233"/>
      <c r="EA694" s="233"/>
      <c r="EB694" s="233"/>
      <c r="EC694" s="233"/>
      <c r="ED694" s="233"/>
      <c r="EE694" s="233"/>
      <c r="EF694" s="233"/>
      <c r="EG694" s="233"/>
      <c r="EH694" s="233"/>
      <c r="EI694" s="233"/>
      <c r="EJ694" s="233"/>
      <c r="EK694" s="233"/>
      <c r="EL694" s="233"/>
      <c r="EM694" s="233"/>
      <c r="EN694" s="233"/>
      <c r="EO694" s="233"/>
      <c r="EP694" s="233"/>
    </row>
    <row r="695" spans="1:146" ht="14.25" x14ac:dyDescent="0.2">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c r="AW695" s="233"/>
      <c r="AX695" s="233"/>
      <c r="AY695" s="233"/>
      <c r="AZ695" s="233"/>
      <c r="BA695" s="233"/>
      <c r="BB695" s="233"/>
      <c r="BC695" s="233"/>
      <c r="BD695" s="233"/>
      <c r="BE695" s="233"/>
      <c r="BF695" s="233"/>
      <c r="BG695" s="233"/>
      <c r="BH695" s="233"/>
      <c r="BI695" s="233"/>
      <c r="BJ695" s="233"/>
      <c r="BK695" s="233"/>
      <c r="BL695" s="233"/>
      <c r="BM695" s="233"/>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33"/>
      <c r="CI695" s="233"/>
      <c r="CJ695" s="233"/>
      <c r="CK695" s="233"/>
      <c r="CL695" s="233"/>
      <c r="CM695" s="233"/>
      <c r="CN695" s="233"/>
      <c r="CO695" s="233"/>
      <c r="CP695" s="233"/>
      <c r="CQ695" s="233"/>
      <c r="CR695" s="233"/>
      <c r="CS695" s="233"/>
      <c r="CT695" s="233"/>
      <c r="CU695" s="233"/>
      <c r="CV695" s="233"/>
      <c r="CW695" s="233"/>
      <c r="CX695" s="233"/>
      <c r="CY695" s="233"/>
      <c r="CZ695" s="233"/>
      <c r="DA695" s="233"/>
      <c r="DB695" s="233"/>
      <c r="DC695" s="233"/>
      <c r="DD695" s="233"/>
      <c r="DE695" s="233"/>
      <c r="DF695" s="233"/>
      <c r="DG695" s="233"/>
      <c r="DH695" s="233"/>
      <c r="DI695" s="233"/>
      <c r="DJ695" s="233"/>
      <c r="DK695" s="233"/>
      <c r="DL695" s="233"/>
      <c r="DM695" s="233"/>
      <c r="DN695" s="233"/>
      <c r="DO695" s="233"/>
      <c r="DP695" s="233"/>
      <c r="DQ695" s="233"/>
      <c r="DR695" s="233"/>
      <c r="DS695" s="233"/>
      <c r="DT695" s="233"/>
      <c r="DU695" s="233"/>
      <c r="DV695" s="233"/>
      <c r="DW695" s="233"/>
      <c r="DX695" s="233"/>
      <c r="DY695" s="233"/>
      <c r="DZ695" s="233"/>
      <c r="EA695" s="233"/>
      <c r="EB695" s="233"/>
      <c r="EC695" s="233"/>
      <c r="ED695" s="233"/>
      <c r="EE695" s="233"/>
      <c r="EF695" s="233"/>
      <c r="EG695" s="233"/>
      <c r="EH695" s="233"/>
      <c r="EI695" s="233"/>
      <c r="EJ695" s="233"/>
      <c r="EK695" s="233"/>
      <c r="EL695" s="233"/>
      <c r="EM695" s="233"/>
      <c r="EN695" s="233"/>
      <c r="EO695" s="233"/>
      <c r="EP695" s="233"/>
    </row>
    <row r="696" spans="1:146" ht="14.25" x14ac:dyDescent="0.2">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c r="AW696" s="233"/>
      <c r="AX696" s="233"/>
      <c r="AY696" s="233"/>
      <c r="AZ696" s="233"/>
      <c r="BA696" s="233"/>
      <c r="BB696" s="233"/>
      <c r="BC696" s="233"/>
      <c r="BD696" s="233"/>
      <c r="BE696" s="233"/>
      <c r="BF696" s="233"/>
      <c r="BG696" s="233"/>
      <c r="BH696" s="233"/>
      <c r="BI696" s="233"/>
      <c r="BJ696" s="233"/>
      <c r="BK696" s="233"/>
      <c r="BL696" s="233"/>
      <c r="BM696" s="233"/>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33"/>
      <c r="CI696" s="233"/>
      <c r="CJ696" s="233"/>
      <c r="CK696" s="233"/>
      <c r="CL696" s="233"/>
      <c r="CM696" s="233"/>
      <c r="CN696" s="233"/>
      <c r="CO696" s="233"/>
      <c r="CP696" s="233"/>
      <c r="CQ696" s="233"/>
      <c r="CR696" s="233"/>
      <c r="CS696" s="233"/>
      <c r="CT696" s="233"/>
      <c r="CU696" s="233"/>
      <c r="CV696" s="233"/>
      <c r="CW696" s="233"/>
      <c r="CX696" s="233"/>
      <c r="CY696" s="233"/>
      <c r="CZ696" s="233"/>
      <c r="DA696" s="233"/>
      <c r="DB696" s="233"/>
      <c r="DC696" s="233"/>
      <c r="DD696" s="233"/>
      <c r="DE696" s="233"/>
      <c r="DF696" s="233"/>
      <c r="DG696" s="233"/>
      <c r="DH696" s="233"/>
      <c r="DI696" s="233"/>
      <c r="DJ696" s="233"/>
      <c r="DK696" s="233"/>
      <c r="DL696" s="233"/>
      <c r="DM696" s="233"/>
      <c r="DN696" s="233"/>
      <c r="DO696" s="233"/>
      <c r="DP696" s="233"/>
      <c r="DQ696" s="233"/>
      <c r="DR696" s="233"/>
      <c r="DS696" s="233"/>
      <c r="DT696" s="233"/>
      <c r="DU696" s="233"/>
      <c r="DV696" s="233"/>
      <c r="DW696" s="233"/>
      <c r="DX696" s="233"/>
      <c r="DY696" s="233"/>
      <c r="DZ696" s="233"/>
      <c r="EA696" s="233"/>
      <c r="EB696" s="233"/>
      <c r="EC696" s="233"/>
      <c r="ED696" s="233"/>
      <c r="EE696" s="233"/>
      <c r="EF696" s="233"/>
      <c r="EG696" s="233"/>
      <c r="EH696" s="233"/>
      <c r="EI696" s="233"/>
      <c r="EJ696" s="233"/>
      <c r="EK696" s="233"/>
      <c r="EL696" s="233"/>
      <c r="EM696" s="233"/>
      <c r="EN696" s="233"/>
      <c r="EO696" s="233"/>
      <c r="EP696" s="233"/>
    </row>
    <row r="697" spans="1:146" ht="14.25" x14ac:dyDescent="0.2">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c r="AW697" s="233"/>
      <c r="AX697" s="233"/>
      <c r="AY697" s="233"/>
      <c r="AZ697" s="233"/>
      <c r="BA697" s="233"/>
      <c r="BB697" s="233"/>
      <c r="BC697" s="233"/>
      <c r="BD697" s="233"/>
      <c r="BE697" s="233"/>
      <c r="BF697" s="233"/>
      <c r="BG697" s="233"/>
      <c r="BH697" s="233"/>
      <c r="BI697" s="233"/>
      <c r="BJ697" s="233"/>
      <c r="BK697" s="233"/>
      <c r="BL697" s="233"/>
      <c r="BM697" s="233"/>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33"/>
      <c r="CI697" s="233"/>
      <c r="CJ697" s="233"/>
      <c r="CK697" s="233"/>
      <c r="CL697" s="233"/>
      <c r="CM697" s="233"/>
      <c r="CN697" s="233"/>
      <c r="CO697" s="233"/>
      <c r="CP697" s="233"/>
      <c r="CQ697" s="233"/>
      <c r="CR697" s="233"/>
      <c r="CS697" s="233"/>
      <c r="CT697" s="233"/>
      <c r="CU697" s="233"/>
      <c r="CV697" s="233"/>
      <c r="CW697" s="233"/>
      <c r="CX697" s="233"/>
      <c r="CY697" s="233"/>
      <c r="CZ697" s="233"/>
      <c r="DA697" s="233"/>
      <c r="DB697" s="233"/>
      <c r="DC697" s="233"/>
      <c r="DD697" s="233"/>
      <c r="DE697" s="233"/>
      <c r="DF697" s="233"/>
      <c r="DG697" s="233"/>
      <c r="DH697" s="233"/>
      <c r="DI697" s="233"/>
      <c r="DJ697" s="233"/>
      <c r="DK697" s="233"/>
      <c r="DL697" s="233"/>
      <c r="DM697" s="233"/>
      <c r="DN697" s="233"/>
      <c r="DO697" s="233"/>
      <c r="DP697" s="233"/>
      <c r="DQ697" s="233"/>
      <c r="DR697" s="233"/>
      <c r="DS697" s="233"/>
      <c r="DT697" s="233"/>
      <c r="DU697" s="233"/>
      <c r="DV697" s="233"/>
      <c r="DW697" s="233"/>
      <c r="DX697" s="233"/>
      <c r="DY697" s="233"/>
      <c r="DZ697" s="233"/>
      <c r="EA697" s="233"/>
      <c r="EB697" s="233"/>
      <c r="EC697" s="233"/>
      <c r="ED697" s="233"/>
      <c r="EE697" s="233"/>
      <c r="EF697" s="233"/>
      <c r="EG697" s="233"/>
      <c r="EH697" s="233"/>
      <c r="EI697" s="233"/>
      <c r="EJ697" s="233"/>
      <c r="EK697" s="233"/>
      <c r="EL697" s="233"/>
      <c r="EM697" s="233"/>
      <c r="EN697" s="233"/>
      <c r="EO697" s="233"/>
      <c r="EP697" s="233"/>
    </row>
    <row r="698" spans="1:146" ht="14.25" x14ac:dyDescent="0.2">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c r="AW698" s="233"/>
      <c r="AX698" s="233"/>
      <c r="AY698" s="233"/>
      <c r="AZ698" s="233"/>
      <c r="BA698" s="233"/>
      <c r="BB698" s="233"/>
      <c r="BC698" s="233"/>
      <c r="BD698" s="233"/>
      <c r="BE698" s="233"/>
      <c r="BF698" s="233"/>
      <c r="BG698" s="233"/>
      <c r="BH698" s="233"/>
      <c r="BI698" s="233"/>
      <c r="BJ698" s="233"/>
      <c r="BK698" s="233"/>
      <c r="BL698" s="233"/>
      <c r="BM698" s="233"/>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33"/>
      <c r="CI698" s="233"/>
      <c r="CJ698" s="233"/>
      <c r="CK698" s="233"/>
      <c r="CL698" s="233"/>
      <c r="CM698" s="233"/>
      <c r="CN698" s="233"/>
      <c r="CO698" s="233"/>
      <c r="CP698" s="233"/>
      <c r="CQ698" s="233"/>
      <c r="CR698" s="233"/>
      <c r="CS698" s="233"/>
      <c r="CT698" s="233"/>
      <c r="CU698" s="233"/>
      <c r="CV698" s="233"/>
      <c r="CW698" s="233"/>
      <c r="CX698" s="233"/>
      <c r="CY698" s="233"/>
      <c r="CZ698" s="233"/>
      <c r="DA698" s="233"/>
      <c r="DB698" s="233"/>
      <c r="DC698" s="233"/>
      <c r="DD698" s="233"/>
      <c r="DE698" s="233"/>
      <c r="DF698" s="233"/>
      <c r="DG698" s="233"/>
      <c r="DH698" s="233"/>
      <c r="DI698" s="233"/>
      <c r="DJ698" s="233"/>
      <c r="DK698" s="233"/>
      <c r="DL698" s="233"/>
      <c r="DM698" s="233"/>
      <c r="DN698" s="233"/>
      <c r="DO698" s="233"/>
      <c r="DP698" s="233"/>
      <c r="DQ698" s="233"/>
      <c r="DR698" s="233"/>
      <c r="DS698" s="233"/>
      <c r="DT698" s="233"/>
      <c r="DU698" s="233"/>
      <c r="DV698" s="233"/>
      <c r="DW698" s="233"/>
      <c r="DX698" s="233"/>
      <c r="DY698" s="233"/>
      <c r="DZ698" s="233"/>
      <c r="EA698" s="233"/>
      <c r="EB698" s="233"/>
      <c r="EC698" s="233"/>
      <c r="ED698" s="233"/>
      <c r="EE698" s="233"/>
      <c r="EF698" s="233"/>
      <c r="EG698" s="233"/>
      <c r="EH698" s="233"/>
      <c r="EI698" s="233"/>
      <c r="EJ698" s="233"/>
      <c r="EK698" s="233"/>
      <c r="EL698" s="233"/>
      <c r="EM698" s="233"/>
      <c r="EN698" s="233"/>
      <c r="EO698" s="233"/>
      <c r="EP698" s="233"/>
    </row>
    <row r="699" spans="1:146" ht="14.25" x14ac:dyDescent="0.2">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c r="BH699" s="233"/>
      <c r="BI699" s="233"/>
      <c r="BJ699" s="233"/>
      <c r="BK699" s="233"/>
      <c r="BL699" s="233"/>
      <c r="BM699" s="233"/>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33"/>
      <c r="CI699" s="233"/>
      <c r="CJ699" s="233"/>
      <c r="CK699" s="233"/>
      <c r="CL699" s="233"/>
      <c r="CM699" s="233"/>
      <c r="CN699" s="233"/>
      <c r="CO699" s="233"/>
      <c r="CP699" s="233"/>
      <c r="CQ699" s="233"/>
      <c r="CR699" s="233"/>
      <c r="CS699" s="233"/>
      <c r="CT699" s="233"/>
      <c r="CU699" s="233"/>
      <c r="CV699" s="233"/>
      <c r="CW699" s="233"/>
      <c r="CX699" s="233"/>
      <c r="CY699" s="233"/>
      <c r="CZ699" s="233"/>
      <c r="DA699" s="233"/>
      <c r="DB699" s="233"/>
      <c r="DC699" s="233"/>
      <c r="DD699" s="233"/>
      <c r="DE699" s="233"/>
      <c r="DF699" s="233"/>
      <c r="DG699" s="233"/>
      <c r="DH699" s="233"/>
      <c r="DI699" s="233"/>
      <c r="DJ699" s="233"/>
      <c r="DK699" s="233"/>
      <c r="DL699" s="233"/>
      <c r="DM699" s="233"/>
      <c r="DN699" s="233"/>
      <c r="DO699" s="233"/>
      <c r="DP699" s="233"/>
      <c r="DQ699" s="233"/>
      <c r="DR699" s="233"/>
      <c r="DS699" s="233"/>
      <c r="DT699" s="233"/>
      <c r="DU699" s="233"/>
      <c r="DV699" s="233"/>
      <c r="DW699" s="233"/>
      <c r="DX699" s="233"/>
      <c r="DY699" s="233"/>
      <c r="DZ699" s="233"/>
      <c r="EA699" s="233"/>
      <c r="EB699" s="233"/>
      <c r="EC699" s="233"/>
      <c r="ED699" s="233"/>
      <c r="EE699" s="233"/>
      <c r="EF699" s="233"/>
      <c r="EG699" s="233"/>
      <c r="EH699" s="233"/>
      <c r="EI699" s="233"/>
      <c r="EJ699" s="233"/>
      <c r="EK699" s="233"/>
      <c r="EL699" s="233"/>
      <c r="EM699" s="233"/>
      <c r="EN699" s="233"/>
      <c r="EO699" s="233"/>
      <c r="EP699" s="233"/>
    </row>
    <row r="700" spans="1:146" ht="14.25" x14ac:dyDescent="0.2">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c r="AW700" s="233"/>
      <c r="AX700" s="233"/>
      <c r="AY700" s="233"/>
      <c r="AZ700" s="233"/>
      <c r="BA700" s="233"/>
      <c r="BB700" s="233"/>
      <c r="BC700" s="233"/>
      <c r="BD700" s="233"/>
      <c r="BE700" s="233"/>
      <c r="BF700" s="233"/>
      <c r="BG700" s="233"/>
      <c r="BH700" s="233"/>
      <c r="BI700" s="233"/>
      <c r="BJ700" s="233"/>
      <c r="BK700" s="233"/>
      <c r="BL700" s="233"/>
      <c r="BM700" s="233"/>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33"/>
      <c r="CI700" s="233"/>
      <c r="CJ700" s="233"/>
      <c r="CK700" s="233"/>
      <c r="CL700" s="233"/>
      <c r="CM700" s="233"/>
      <c r="CN700" s="233"/>
      <c r="CO700" s="233"/>
      <c r="CP700" s="233"/>
      <c r="CQ700" s="233"/>
      <c r="CR700" s="233"/>
      <c r="CS700" s="233"/>
      <c r="CT700" s="233"/>
      <c r="CU700" s="233"/>
      <c r="CV700" s="233"/>
      <c r="CW700" s="233"/>
      <c r="CX700" s="233"/>
      <c r="CY700" s="233"/>
      <c r="CZ700" s="233"/>
      <c r="DA700" s="233"/>
      <c r="DB700" s="233"/>
      <c r="DC700" s="233"/>
      <c r="DD700" s="233"/>
      <c r="DE700" s="233"/>
      <c r="DF700" s="233"/>
      <c r="DG700" s="233"/>
      <c r="DH700" s="233"/>
      <c r="DI700" s="233"/>
      <c r="DJ700" s="233"/>
      <c r="DK700" s="233"/>
      <c r="DL700" s="233"/>
      <c r="DM700" s="233"/>
      <c r="DN700" s="233"/>
      <c r="DO700" s="233"/>
      <c r="DP700" s="233"/>
      <c r="DQ700" s="233"/>
      <c r="DR700" s="233"/>
      <c r="DS700" s="233"/>
      <c r="DT700" s="233"/>
      <c r="DU700" s="233"/>
      <c r="DV700" s="233"/>
      <c r="DW700" s="233"/>
      <c r="DX700" s="233"/>
      <c r="DY700" s="233"/>
      <c r="DZ700" s="233"/>
      <c r="EA700" s="233"/>
      <c r="EB700" s="233"/>
      <c r="EC700" s="233"/>
      <c r="ED700" s="233"/>
      <c r="EE700" s="233"/>
      <c r="EF700" s="233"/>
      <c r="EG700" s="233"/>
      <c r="EH700" s="233"/>
      <c r="EI700" s="233"/>
      <c r="EJ700" s="233"/>
      <c r="EK700" s="233"/>
      <c r="EL700" s="233"/>
      <c r="EM700" s="233"/>
      <c r="EN700" s="233"/>
      <c r="EO700" s="233"/>
      <c r="EP700" s="233"/>
    </row>
    <row r="701" spans="1:146" ht="14.25" x14ac:dyDescent="0.2">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c r="AW701" s="233"/>
      <c r="AX701" s="233"/>
      <c r="AY701" s="233"/>
      <c r="AZ701" s="233"/>
      <c r="BA701" s="233"/>
      <c r="BB701" s="233"/>
      <c r="BC701" s="233"/>
      <c r="BD701" s="233"/>
      <c r="BE701" s="233"/>
      <c r="BF701" s="233"/>
      <c r="BG701" s="233"/>
      <c r="BH701" s="233"/>
      <c r="BI701" s="233"/>
      <c r="BJ701" s="233"/>
      <c r="BK701" s="233"/>
      <c r="BL701" s="233"/>
      <c r="BM701" s="233"/>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33"/>
      <c r="CI701" s="233"/>
      <c r="CJ701" s="233"/>
      <c r="CK701" s="233"/>
      <c r="CL701" s="233"/>
      <c r="CM701" s="233"/>
      <c r="CN701" s="233"/>
      <c r="CO701" s="233"/>
      <c r="CP701" s="233"/>
      <c r="CQ701" s="233"/>
      <c r="CR701" s="233"/>
      <c r="CS701" s="233"/>
      <c r="CT701" s="233"/>
      <c r="CU701" s="233"/>
      <c r="CV701" s="233"/>
      <c r="CW701" s="233"/>
      <c r="CX701" s="233"/>
      <c r="CY701" s="233"/>
      <c r="CZ701" s="233"/>
      <c r="DA701" s="233"/>
      <c r="DB701" s="233"/>
      <c r="DC701" s="233"/>
      <c r="DD701" s="233"/>
      <c r="DE701" s="233"/>
      <c r="DF701" s="233"/>
      <c r="DG701" s="233"/>
      <c r="DH701" s="233"/>
      <c r="DI701" s="233"/>
      <c r="DJ701" s="233"/>
      <c r="DK701" s="233"/>
      <c r="DL701" s="233"/>
      <c r="DM701" s="233"/>
      <c r="DN701" s="233"/>
      <c r="DO701" s="233"/>
      <c r="DP701" s="233"/>
      <c r="DQ701" s="233"/>
      <c r="DR701" s="233"/>
      <c r="DS701" s="233"/>
      <c r="DT701" s="233"/>
      <c r="DU701" s="233"/>
      <c r="DV701" s="233"/>
      <c r="DW701" s="233"/>
      <c r="DX701" s="233"/>
      <c r="DY701" s="233"/>
      <c r="DZ701" s="233"/>
      <c r="EA701" s="233"/>
      <c r="EB701" s="233"/>
      <c r="EC701" s="233"/>
      <c r="ED701" s="233"/>
      <c r="EE701" s="233"/>
      <c r="EF701" s="233"/>
      <c r="EG701" s="233"/>
      <c r="EH701" s="233"/>
      <c r="EI701" s="233"/>
      <c r="EJ701" s="233"/>
      <c r="EK701" s="233"/>
      <c r="EL701" s="233"/>
      <c r="EM701" s="233"/>
      <c r="EN701" s="233"/>
      <c r="EO701" s="233"/>
      <c r="EP701" s="233"/>
    </row>
    <row r="702" spans="1:146" ht="14.25" x14ac:dyDescent="0.2">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c r="AV702" s="233"/>
      <c r="AW702" s="233"/>
      <c r="AX702" s="233"/>
      <c r="AY702" s="233"/>
      <c r="AZ702" s="233"/>
      <c r="BA702" s="233"/>
      <c r="BB702" s="233"/>
      <c r="BC702" s="233"/>
      <c r="BD702" s="233"/>
      <c r="BE702" s="233"/>
      <c r="BF702" s="233"/>
      <c r="BG702" s="233"/>
      <c r="BH702" s="233"/>
      <c r="BI702" s="233"/>
      <c r="BJ702" s="233"/>
      <c r="BK702" s="233"/>
      <c r="BL702" s="233"/>
      <c r="BM702" s="233"/>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33"/>
      <c r="CI702" s="233"/>
      <c r="CJ702" s="233"/>
      <c r="CK702" s="233"/>
      <c r="CL702" s="233"/>
      <c r="CM702" s="233"/>
      <c r="CN702" s="233"/>
      <c r="CO702" s="233"/>
      <c r="CP702" s="233"/>
      <c r="CQ702" s="233"/>
      <c r="CR702" s="233"/>
      <c r="CS702" s="233"/>
      <c r="CT702" s="233"/>
      <c r="CU702" s="233"/>
      <c r="CV702" s="233"/>
      <c r="CW702" s="233"/>
      <c r="CX702" s="233"/>
      <c r="CY702" s="233"/>
      <c r="CZ702" s="233"/>
      <c r="DA702" s="233"/>
      <c r="DB702" s="233"/>
      <c r="DC702" s="233"/>
      <c r="DD702" s="233"/>
      <c r="DE702" s="233"/>
      <c r="DF702" s="233"/>
      <c r="DG702" s="233"/>
      <c r="DH702" s="233"/>
      <c r="DI702" s="233"/>
      <c r="DJ702" s="233"/>
      <c r="DK702" s="233"/>
      <c r="DL702" s="233"/>
      <c r="DM702" s="233"/>
      <c r="DN702" s="233"/>
      <c r="DO702" s="233"/>
      <c r="DP702" s="233"/>
      <c r="DQ702" s="233"/>
      <c r="DR702" s="233"/>
      <c r="DS702" s="233"/>
      <c r="DT702" s="233"/>
      <c r="DU702" s="233"/>
      <c r="DV702" s="233"/>
      <c r="DW702" s="233"/>
      <c r="DX702" s="233"/>
      <c r="DY702" s="233"/>
      <c r="DZ702" s="233"/>
      <c r="EA702" s="233"/>
      <c r="EB702" s="233"/>
      <c r="EC702" s="233"/>
      <c r="ED702" s="233"/>
      <c r="EE702" s="233"/>
      <c r="EF702" s="233"/>
      <c r="EG702" s="233"/>
      <c r="EH702" s="233"/>
      <c r="EI702" s="233"/>
      <c r="EJ702" s="233"/>
      <c r="EK702" s="233"/>
      <c r="EL702" s="233"/>
      <c r="EM702" s="233"/>
      <c r="EN702" s="233"/>
      <c r="EO702" s="233"/>
      <c r="EP702" s="233"/>
    </row>
    <row r="703" spans="1:146" ht="14.25" x14ac:dyDescent="0.2">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c r="AW703" s="233"/>
      <c r="AX703" s="233"/>
      <c r="AY703" s="233"/>
      <c r="AZ703" s="233"/>
      <c r="BA703" s="233"/>
      <c r="BB703" s="233"/>
      <c r="BC703" s="233"/>
      <c r="BD703" s="233"/>
      <c r="BE703" s="233"/>
      <c r="BF703" s="233"/>
      <c r="BG703" s="233"/>
      <c r="BH703" s="233"/>
      <c r="BI703" s="233"/>
      <c r="BJ703" s="233"/>
      <c r="BK703" s="233"/>
      <c r="BL703" s="233"/>
      <c r="BM703" s="233"/>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33"/>
      <c r="CI703" s="233"/>
      <c r="CJ703" s="233"/>
      <c r="CK703" s="233"/>
      <c r="CL703" s="233"/>
      <c r="CM703" s="233"/>
      <c r="CN703" s="233"/>
      <c r="CO703" s="233"/>
      <c r="CP703" s="233"/>
      <c r="CQ703" s="233"/>
      <c r="CR703" s="233"/>
      <c r="CS703" s="233"/>
      <c r="CT703" s="233"/>
      <c r="CU703" s="233"/>
      <c r="CV703" s="233"/>
      <c r="CW703" s="233"/>
      <c r="CX703" s="233"/>
      <c r="CY703" s="233"/>
      <c r="CZ703" s="233"/>
      <c r="DA703" s="233"/>
      <c r="DB703" s="233"/>
      <c r="DC703" s="233"/>
      <c r="DD703" s="233"/>
      <c r="DE703" s="233"/>
      <c r="DF703" s="233"/>
      <c r="DG703" s="233"/>
      <c r="DH703" s="233"/>
      <c r="DI703" s="233"/>
      <c r="DJ703" s="233"/>
      <c r="DK703" s="233"/>
      <c r="DL703" s="233"/>
      <c r="DM703" s="233"/>
      <c r="DN703" s="233"/>
      <c r="DO703" s="233"/>
      <c r="DP703" s="233"/>
      <c r="DQ703" s="233"/>
      <c r="DR703" s="233"/>
      <c r="DS703" s="233"/>
      <c r="DT703" s="233"/>
      <c r="DU703" s="233"/>
      <c r="DV703" s="233"/>
      <c r="DW703" s="233"/>
      <c r="DX703" s="233"/>
      <c r="DY703" s="233"/>
      <c r="DZ703" s="233"/>
      <c r="EA703" s="233"/>
      <c r="EB703" s="233"/>
      <c r="EC703" s="233"/>
      <c r="ED703" s="233"/>
      <c r="EE703" s="233"/>
      <c r="EF703" s="233"/>
      <c r="EG703" s="233"/>
      <c r="EH703" s="233"/>
      <c r="EI703" s="233"/>
      <c r="EJ703" s="233"/>
      <c r="EK703" s="233"/>
      <c r="EL703" s="233"/>
      <c r="EM703" s="233"/>
      <c r="EN703" s="233"/>
      <c r="EO703" s="233"/>
      <c r="EP703" s="233"/>
    </row>
    <row r="704" spans="1:146" ht="14.25" x14ac:dyDescent="0.2">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c r="AW704" s="233"/>
      <c r="AX704" s="233"/>
      <c r="AY704" s="233"/>
      <c r="AZ704" s="233"/>
      <c r="BA704" s="233"/>
      <c r="BB704" s="233"/>
      <c r="BC704" s="233"/>
      <c r="BD704" s="233"/>
      <c r="BE704" s="233"/>
      <c r="BF704" s="233"/>
      <c r="BG704" s="233"/>
      <c r="BH704" s="233"/>
      <c r="BI704" s="233"/>
      <c r="BJ704" s="233"/>
      <c r="BK704" s="233"/>
      <c r="BL704" s="233"/>
      <c r="BM704" s="233"/>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33"/>
      <c r="CI704" s="233"/>
      <c r="CJ704" s="233"/>
      <c r="CK704" s="233"/>
      <c r="CL704" s="233"/>
      <c r="CM704" s="233"/>
      <c r="CN704" s="233"/>
      <c r="CO704" s="233"/>
      <c r="CP704" s="233"/>
      <c r="CQ704" s="233"/>
      <c r="CR704" s="233"/>
      <c r="CS704" s="233"/>
      <c r="CT704" s="233"/>
      <c r="CU704" s="233"/>
      <c r="CV704" s="233"/>
      <c r="CW704" s="233"/>
      <c r="CX704" s="233"/>
      <c r="CY704" s="233"/>
      <c r="CZ704" s="233"/>
      <c r="DA704" s="233"/>
      <c r="DB704" s="233"/>
      <c r="DC704" s="233"/>
      <c r="DD704" s="233"/>
      <c r="DE704" s="233"/>
      <c r="DF704" s="233"/>
      <c r="DG704" s="233"/>
      <c r="DH704" s="233"/>
      <c r="DI704" s="233"/>
      <c r="DJ704" s="233"/>
      <c r="DK704" s="233"/>
      <c r="DL704" s="233"/>
      <c r="DM704" s="233"/>
      <c r="DN704" s="233"/>
      <c r="DO704" s="233"/>
      <c r="DP704" s="233"/>
      <c r="DQ704" s="233"/>
      <c r="DR704" s="233"/>
      <c r="DS704" s="233"/>
      <c r="DT704" s="233"/>
      <c r="DU704" s="233"/>
      <c r="DV704" s="233"/>
      <c r="DW704" s="233"/>
      <c r="DX704" s="233"/>
      <c r="DY704" s="233"/>
      <c r="DZ704" s="233"/>
      <c r="EA704" s="233"/>
      <c r="EB704" s="233"/>
      <c r="EC704" s="233"/>
      <c r="ED704" s="233"/>
      <c r="EE704" s="233"/>
      <c r="EF704" s="233"/>
      <c r="EG704" s="233"/>
      <c r="EH704" s="233"/>
      <c r="EI704" s="233"/>
      <c r="EJ704" s="233"/>
      <c r="EK704" s="233"/>
      <c r="EL704" s="233"/>
      <c r="EM704" s="233"/>
      <c r="EN704" s="233"/>
      <c r="EO704" s="233"/>
      <c r="EP704" s="233"/>
    </row>
    <row r="705" spans="1:146" ht="14.25" x14ac:dyDescent="0.2">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c r="AW705" s="233"/>
      <c r="AX705" s="233"/>
      <c r="AY705" s="233"/>
      <c r="AZ705" s="233"/>
      <c r="BA705" s="233"/>
      <c r="BB705" s="233"/>
      <c r="BC705" s="233"/>
      <c r="BD705" s="233"/>
      <c r="BE705" s="233"/>
      <c r="BF705" s="233"/>
      <c r="BG705" s="233"/>
      <c r="BH705" s="233"/>
      <c r="BI705" s="233"/>
      <c r="BJ705" s="233"/>
      <c r="BK705" s="233"/>
      <c r="BL705" s="233"/>
      <c r="BM705" s="233"/>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33"/>
      <c r="CI705" s="233"/>
      <c r="CJ705" s="233"/>
      <c r="CK705" s="233"/>
      <c r="CL705" s="233"/>
      <c r="CM705" s="233"/>
      <c r="CN705" s="233"/>
      <c r="CO705" s="233"/>
      <c r="CP705" s="233"/>
      <c r="CQ705" s="233"/>
      <c r="CR705" s="233"/>
      <c r="CS705" s="233"/>
      <c r="CT705" s="233"/>
      <c r="CU705" s="233"/>
      <c r="CV705" s="233"/>
      <c r="CW705" s="233"/>
      <c r="CX705" s="233"/>
      <c r="CY705" s="233"/>
      <c r="CZ705" s="233"/>
      <c r="DA705" s="233"/>
      <c r="DB705" s="233"/>
      <c r="DC705" s="233"/>
      <c r="DD705" s="233"/>
      <c r="DE705" s="233"/>
      <c r="DF705" s="233"/>
      <c r="DG705" s="233"/>
      <c r="DH705" s="233"/>
      <c r="DI705" s="233"/>
      <c r="DJ705" s="233"/>
      <c r="DK705" s="233"/>
      <c r="DL705" s="233"/>
      <c r="DM705" s="233"/>
      <c r="DN705" s="233"/>
      <c r="DO705" s="233"/>
      <c r="DP705" s="233"/>
      <c r="DQ705" s="233"/>
      <c r="DR705" s="233"/>
      <c r="DS705" s="233"/>
      <c r="DT705" s="233"/>
      <c r="DU705" s="233"/>
      <c r="DV705" s="233"/>
      <c r="DW705" s="233"/>
      <c r="DX705" s="233"/>
      <c r="DY705" s="233"/>
      <c r="DZ705" s="233"/>
      <c r="EA705" s="233"/>
      <c r="EB705" s="233"/>
      <c r="EC705" s="233"/>
      <c r="ED705" s="233"/>
      <c r="EE705" s="233"/>
      <c r="EF705" s="233"/>
      <c r="EG705" s="233"/>
      <c r="EH705" s="233"/>
      <c r="EI705" s="233"/>
      <c r="EJ705" s="233"/>
      <c r="EK705" s="233"/>
      <c r="EL705" s="233"/>
      <c r="EM705" s="233"/>
      <c r="EN705" s="233"/>
      <c r="EO705" s="233"/>
      <c r="EP705" s="233"/>
    </row>
    <row r="706" spans="1:146" ht="14.25" x14ac:dyDescent="0.2">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c r="AZ706" s="233"/>
      <c r="BA706" s="233"/>
      <c r="BB706" s="233"/>
      <c r="BC706" s="233"/>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33"/>
      <c r="CI706" s="233"/>
      <c r="CJ706" s="233"/>
      <c r="CK706" s="233"/>
      <c r="CL706" s="233"/>
      <c r="CM706" s="233"/>
      <c r="CN706" s="233"/>
      <c r="CO706" s="233"/>
      <c r="CP706" s="233"/>
      <c r="CQ706" s="233"/>
      <c r="CR706" s="233"/>
      <c r="CS706" s="233"/>
      <c r="CT706" s="233"/>
      <c r="CU706" s="233"/>
      <c r="CV706" s="233"/>
      <c r="CW706" s="233"/>
      <c r="CX706" s="233"/>
      <c r="CY706" s="233"/>
      <c r="CZ706" s="233"/>
      <c r="DA706" s="233"/>
      <c r="DB706" s="233"/>
      <c r="DC706" s="233"/>
      <c r="DD706" s="233"/>
      <c r="DE706" s="233"/>
      <c r="DF706" s="233"/>
      <c r="DG706" s="233"/>
      <c r="DH706" s="233"/>
      <c r="DI706" s="233"/>
      <c r="DJ706" s="233"/>
      <c r="DK706" s="233"/>
      <c r="DL706" s="233"/>
      <c r="DM706" s="233"/>
      <c r="DN706" s="233"/>
      <c r="DO706" s="233"/>
      <c r="DP706" s="233"/>
      <c r="DQ706" s="233"/>
      <c r="DR706" s="233"/>
      <c r="DS706" s="233"/>
      <c r="DT706" s="233"/>
      <c r="DU706" s="233"/>
      <c r="DV706" s="233"/>
      <c r="DW706" s="233"/>
      <c r="DX706" s="233"/>
      <c r="DY706" s="233"/>
      <c r="DZ706" s="233"/>
      <c r="EA706" s="233"/>
      <c r="EB706" s="233"/>
      <c r="EC706" s="233"/>
      <c r="ED706" s="233"/>
      <c r="EE706" s="233"/>
      <c r="EF706" s="233"/>
      <c r="EG706" s="233"/>
      <c r="EH706" s="233"/>
      <c r="EI706" s="233"/>
      <c r="EJ706" s="233"/>
      <c r="EK706" s="233"/>
      <c r="EL706" s="233"/>
      <c r="EM706" s="233"/>
      <c r="EN706" s="233"/>
      <c r="EO706" s="233"/>
      <c r="EP706" s="233"/>
    </row>
    <row r="707" spans="1:146" ht="14.25" x14ac:dyDescent="0.2">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c r="AV707" s="233"/>
      <c r="AW707" s="233"/>
      <c r="AX707" s="233"/>
      <c r="AY707" s="233"/>
      <c r="AZ707" s="233"/>
      <c r="BA707" s="233"/>
      <c r="BB707" s="233"/>
      <c r="BC707" s="233"/>
      <c r="BD707" s="233"/>
      <c r="BE707" s="233"/>
      <c r="BF707" s="233"/>
      <c r="BG707" s="233"/>
      <c r="BH707" s="233"/>
      <c r="BI707" s="233"/>
      <c r="BJ707" s="233"/>
      <c r="BK707" s="233"/>
      <c r="BL707" s="233"/>
      <c r="BM707" s="233"/>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33"/>
      <c r="CI707" s="233"/>
      <c r="CJ707" s="233"/>
      <c r="CK707" s="233"/>
      <c r="CL707" s="233"/>
      <c r="CM707" s="233"/>
      <c r="CN707" s="233"/>
      <c r="CO707" s="233"/>
      <c r="CP707" s="233"/>
      <c r="CQ707" s="233"/>
      <c r="CR707" s="233"/>
      <c r="CS707" s="233"/>
      <c r="CT707" s="233"/>
      <c r="CU707" s="233"/>
      <c r="CV707" s="233"/>
      <c r="CW707" s="233"/>
      <c r="CX707" s="233"/>
      <c r="CY707" s="233"/>
      <c r="CZ707" s="233"/>
      <c r="DA707" s="233"/>
      <c r="DB707" s="233"/>
      <c r="DC707" s="233"/>
      <c r="DD707" s="233"/>
      <c r="DE707" s="233"/>
      <c r="DF707" s="233"/>
      <c r="DG707" s="233"/>
      <c r="DH707" s="233"/>
      <c r="DI707" s="233"/>
      <c r="DJ707" s="233"/>
      <c r="DK707" s="233"/>
      <c r="DL707" s="233"/>
      <c r="DM707" s="233"/>
      <c r="DN707" s="233"/>
      <c r="DO707" s="233"/>
      <c r="DP707" s="233"/>
      <c r="DQ707" s="233"/>
      <c r="DR707" s="233"/>
      <c r="DS707" s="233"/>
      <c r="DT707" s="233"/>
      <c r="DU707" s="233"/>
      <c r="DV707" s="233"/>
      <c r="DW707" s="233"/>
      <c r="DX707" s="233"/>
      <c r="DY707" s="233"/>
      <c r="DZ707" s="233"/>
      <c r="EA707" s="233"/>
      <c r="EB707" s="233"/>
      <c r="EC707" s="233"/>
      <c r="ED707" s="233"/>
      <c r="EE707" s="233"/>
      <c r="EF707" s="233"/>
      <c r="EG707" s="233"/>
      <c r="EH707" s="233"/>
      <c r="EI707" s="233"/>
      <c r="EJ707" s="233"/>
      <c r="EK707" s="233"/>
      <c r="EL707" s="233"/>
      <c r="EM707" s="233"/>
      <c r="EN707" s="233"/>
      <c r="EO707" s="233"/>
      <c r="EP707" s="233"/>
    </row>
    <row r="708" spans="1:146" ht="14.25" x14ac:dyDescent="0.2">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33"/>
      <c r="BF708" s="233"/>
      <c r="BG708" s="233"/>
      <c r="BH708" s="233"/>
      <c r="BI708" s="233"/>
      <c r="BJ708" s="233"/>
      <c r="BK708" s="233"/>
      <c r="BL708" s="233"/>
      <c r="BM708" s="233"/>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33"/>
      <c r="CI708" s="233"/>
      <c r="CJ708" s="233"/>
      <c r="CK708" s="233"/>
      <c r="CL708" s="233"/>
      <c r="CM708" s="233"/>
      <c r="CN708" s="233"/>
      <c r="CO708" s="233"/>
      <c r="CP708" s="233"/>
      <c r="CQ708" s="233"/>
      <c r="CR708" s="233"/>
      <c r="CS708" s="233"/>
      <c r="CT708" s="233"/>
      <c r="CU708" s="233"/>
      <c r="CV708" s="233"/>
      <c r="CW708" s="233"/>
      <c r="CX708" s="233"/>
      <c r="CY708" s="233"/>
      <c r="CZ708" s="233"/>
      <c r="DA708" s="233"/>
      <c r="DB708" s="233"/>
      <c r="DC708" s="233"/>
      <c r="DD708" s="233"/>
      <c r="DE708" s="233"/>
      <c r="DF708" s="233"/>
      <c r="DG708" s="233"/>
      <c r="DH708" s="233"/>
      <c r="DI708" s="233"/>
      <c r="DJ708" s="233"/>
      <c r="DK708" s="233"/>
      <c r="DL708" s="233"/>
      <c r="DM708" s="233"/>
      <c r="DN708" s="233"/>
      <c r="DO708" s="233"/>
      <c r="DP708" s="233"/>
      <c r="DQ708" s="233"/>
      <c r="DR708" s="233"/>
      <c r="DS708" s="233"/>
      <c r="DT708" s="233"/>
      <c r="DU708" s="233"/>
      <c r="DV708" s="233"/>
      <c r="DW708" s="233"/>
      <c r="DX708" s="233"/>
      <c r="DY708" s="233"/>
      <c r="DZ708" s="233"/>
      <c r="EA708" s="233"/>
      <c r="EB708" s="233"/>
      <c r="EC708" s="233"/>
      <c r="ED708" s="233"/>
      <c r="EE708" s="233"/>
      <c r="EF708" s="233"/>
      <c r="EG708" s="233"/>
      <c r="EH708" s="233"/>
      <c r="EI708" s="233"/>
      <c r="EJ708" s="233"/>
      <c r="EK708" s="233"/>
      <c r="EL708" s="233"/>
      <c r="EM708" s="233"/>
      <c r="EN708" s="233"/>
      <c r="EO708" s="233"/>
      <c r="EP708" s="233"/>
    </row>
    <row r="709" spans="1:146" ht="14.25" x14ac:dyDescent="0.2">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33"/>
      <c r="CI709" s="233"/>
      <c r="CJ709" s="233"/>
      <c r="CK709" s="233"/>
      <c r="CL709" s="233"/>
      <c r="CM709" s="233"/>
      <c r="CN709" s="233"/>
      <c r="CO709" s="233"/>
      <c r="CP709" s="233"/>
      <c r="CQ709" s="233"/>
      <c r="CR709" s="233"/>
      <c r="CS709" s="233"/>
      <c r="CT709" s="233"/>
      <c r="CU709" s="233"/>
      <c r="CV709" s="233"/>
      <c r="CW709" s="233"/>
      <c r="CX709" s="233"/>
      <c r="CY709" s="233"/>
      <c r="CZ709" s="233"/>
      <c r="DA709" s="233"/>
      <c r="DB709" s="233"/>
      <c r="DC709" s="233"/>
      <c r="DD709" s="233"/>
      <c r="DE709" s="233"/>
      <c r="DF709" s="233"/>
      <c r="DG709" s="233"/>
      <c r="DH709" s="233"/>
      <c r="DI709" s="233"/>
      <c r="DJ709" s="233"/>
      <c r="DK709" s="233"/>
      <c r="DL709" s="233"/>
      <c r="DM709" s="233"/>
      <c r="DN709" s="233"/>
      <c r="DO709" s="233"/>
      <c r="DP709" s="233"/>
      <c r="DQ709" s="233"/>
      <c r="DR709" s="233"/>
      <c r="DS709" s="233"/>
      <c r="DT709" s="233"/>
      <c r="DU709" s="233"/>
      <c r="DV709" s="233"/>
      <c r="DW709" s="233"/>
      <c r="DX709" s="233"/>
      <c r="DY709" s="233"/>
      <c r="DZ709" s="233"/>
      <c r="EA709" s="233"/>
      <c r="EB709" s="233"/>
      <c r="EC709" s="233"/>
      <c r="ED709" s="233"/>
      <c r="EE709" s="233"/>
      <c r="EF709" s="233"/>
      <c r="EG709" s="233"/>
      <c r="EH709" s="233"/>
      <c r="EI709" s="233"/>
      <c r="EJ709" s="233"/>
      <c r="EK709" s="233"/>
      <c r="EL709" s="233"/>
      <c r="EM709" s="233"/>
      <c r="EN709" s="233"/>
      <c r="EO709" s="233"/>
      <c r="EP709" s="233"/>
    </row>
    <row r="710" spans="1:146" ht="14.25" x14ac:dyDescent="0.2">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c r="DT710" s="233"/>
      <c r="DU710" s="233"/>
      <c r="DV710" s="233"/>
      <c r="DW710" s="233"/>
      <c r="DX710" s="233"/>
      <c r="DY710" s="233"/>
      <c r="DZ710" s="233"/>
      <c r="EA710" s="233"/>
      <c r="EB710" s="233"/>
      <c r="EC710" s="233"/>
      <c r="ED710" s="233"/>
      <c r="EE710" s="233"/>
      <c r="EF710" s="233"/>
      <c r="EG710" s="233"/>
      <c r="EH710" s="233"/>
      <c r="EI710" s="233"/>
      <c r="EJ710" s="233"/>
      <c r="EK710" s="233"/>
      <c r="EL710" s="233"/>
      <c r="EM710" s="233"/>
      <c r="EN710" s="233"/>
      <c r="EO710" s="233"/>
      <c r="EP710" s="233"/>
    </row>
    <row r="711" spans="1:146" ht="14.25" x14ac:dyDescent="0.2">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33"/>
      <c r="BF711" s="233"/>
      <c r="BG711" s="233"/>
      <c r="BH711" s="233"/>
      <c r="BI711" s="233"/>
      <c r="BJ711" s="233"/>
      <c r="BK711" s="233"/>
      <c r="BL711" s="233"/>
      <c r="BM711" s="233"/>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33"/>
      <c r="CI711" s="233"/>
      <c r="CJ711" s="233"/>
      <c r="CK711" s="233"/>
      <c r="CL711" s="233"/>
      <c r="CM711" s="233"/>
      <c r="CN711" s="233"/>
      <c r="CO711" s="233"/>
      <c r="CP711" s="233"/>
      <c r="CQ711" s="233"/>
      <c r="CR711" s="233"/>
      <c r="CS711" s="233"/>
      <c r="CT711" s="233"/>
      <c r="CU711" s="233"/>
      <c r="CV711" s="233"/>
      <c r="CW711" s="233"/>
      <c r="CX711" s="233"/>
      <c r="CY711" s="233"/>
      <c r="CZ711" s="233"/>
      <c r="DA711" s="233"/>
      <c r="DB711" s="233"/>
      <c r="DC711" s="233"/>
      <c r="DD711" s="233"/>
      <c r="DE711" s="233"/>
      <c r="DF711" s="233"/>
      <c r="DG711" s="233"/>
      <c r="DH711" s="233"/>
      <c r="DI711" s="233"/>
      <c r="DJ711" s="233"/>
      <c r="DK711" s="233"/>
      <c r="DL711" s="233"/>
      <c r="DM711" s="233"/>
      <c r="DN711" s="233"/>
      <c r="DO711" s="233"/>
      <c r="DP711" s="233"/>
      <c r="DQ711" s="233"/>
      <c r="DR711" s="233"/>
      <c r="DS711" s="233"/>
      <c r="DT711" s="233"/>
      <c r="DU711" s="233"/>
      <c r="DV711" s="233"/>
      <c r="DW711" s="233"/>
      <c r="DX711" s="233"/>
      <c r="DY711" s="233"/>
      <c r="DZ711" s="233"/>
      <c r="EA711" s="233"/>
      <c r="EB711" s="233"/>
      <c r="EC711" s="233"/>
      <c r="ED711" s="233"/>
      <c r="EE711" s="233"/>
      <c r="EF711" s="233"/>
      <c r="EG711" s="233"/>
      <c r="EH711" s="233"/>
      <c r="EI711" s="233"/>
      <c r="EJ711" s="233"/>
      <c r="EK711" s="233"/>
      <c r="EL711" s="233"/>
      <c r="EM711" s="233"/>
      <c r="EN711" s="233"/>
      <c r="EO711" s="233"/>
      <c r="EP711" s="233"/>
    </row>
    <row r="712" spans="1:146" ht="14.25" x14ac:dyDescent="0.2">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33"/>
      <c r="BF712" s="233"/>
      <c r="BG712" s="233"/>
      <c r="BH712" s="233"/>
      <c r="BI712" s="233"/>
      <c r="BJ712" s="233"/>
      <c r="BK712" s="233"/>
      <c r="BL712" s="233"/>
      <c r="BM712" s="233"/>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33"/>
      <c r="CI712" s="233"/>
      <c r="CJ712" s="233"/>
      <c r="CK712" s="233"/>
      <c r="CL712" s="233"/>
      <c r="CM712" s="233"/>
      <c r="CN712" s="233"/>
      <c r="CO712" s="233"/>
      <c r="CP712" s="233"/>
      <c r="CQ712" s="233"/>
      <c r="CR712" s="233"/>
      <c r="CS712" s="233"/>
      <c r="CT712" s="233"/>
      <c r="CU712" s="233"/>
      <c r="CV712" s="233"/>
      <c r="CW712" s="233"/>
      <c r="CX712" s="233"/>
      <c r="CY712" s="233"/>
      <c r="CZ712" s="233"/>
      <c r="DA712" s="233"/>
      <c r="DB712" s="233"/>
      <c r="DC712" s="233"/>
      <c r="DD712" s="233"/>
      <c r="DE712" s="233"/>
      <c r="DF712" s="233"/>
      <c r="DG712" s="233"/>
      <c r="DH712" s="233"/>
      <c r="DI712" s="233"/>
      <c r="DJ712" s="233"/>
      <c r="DK712" s="233"/>
      <c r="DL712" s="233"/>
      <c r="DM712" s="233"/>
      <c r="DN712" s="233"/>
      <c r="DO712" s="233"/>
      <c r="DP712" s="233"/>
      <c r="DQ712" s="233"/>
      <c r="DR712" s="233"/>
      <c r="DS712" s="233"/>
      <c r="DT712" s="233"/>
      <c r="DU712" s="233"/>
      <c r="DV712" s="233"/>
      <c r="DW712" s="233"/>
      <c r="DX712" s="233"/>
      <c r="DY712" s="233"/>
      <c r="DZ712" s="233"/>
      <c r="EA712" s="233"/>
      <c r="EB712" s="233"/>
      <c r="EC712" s="233"/>
      <c r="ED712" s="233"/>
      <c r="EE712" s="233"/>
      <c r="EF712" s="233"/>
      <c r="EG712" s="233"/>
      <c r="EH712" s="233"/>
      <c r="EI712" s="233"/>
      <c r="EJ712" s="233"/>
      <c r="EK712" s="233"/>
      <c r="EL712" s="233"/>
      <c r="EM712" s="233"/>
      <c r="EN712" s="233"/>
      <c r="EO712" s="233"/>
      <c r="EP712" s="233"/>
    </row>
    <row r="713" spans="1:146" ht="14.25" x14ac:dyDescent="0.2">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33"/>
      <c r="BF713" s="233"/>
      <c r="BG713" s="233"/>
      <c r="BH713" s="233"/>
      <c r="BI713" s="233"/>
      <c r="BJ713" s="233"/>
      <c r="BK713" s="233"/>
      <c r="BL713" s="233"/>
      <c r="BM713" s="233"/>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33"/>
      <c r="CI713" s="233"/>
      <c r="CJ713" s="233"/>
      <c r="CK713" s="233"/>
      <c r="CL713" s="233"/>
      <c r="CM713" s="233"/>
      <c r="CN713" s="233"/>
      <c r="CO713" s="233"/>
      <c r="CP713" s="233"/>
      <c r="CQ713" s="233"/>
      <c r="CR713" s="233"/>
      <c r="CS713" s="233"/>
      <c r="CT713" s="233"/>
      <c r="CU713" s="233"/>
      <c r="CV713" s="233"/>
      <c r="CW713" s="233"/>
      <c r="CX713" s="233"/>
      <c r="CY713" s="233"/>
      <c r="CZ713" s="233"/>
      <c r="DA713" s="233"/>
      <c r="DB713" s="233"/>
      <c r="DC713" s="233"/>
      <c r="DD713" s="233"/>
      <c r="DE713" s="233"/>
      <c r="DF713" s="233"/>
      <c r="DG713" s="233"/>
      <c r="DH713" s="233"/>
      <c r="DI713" s="233"/>
      <c r="DJ713" s="233"/>
      <c r="DK713" s="233"/>
      <c r="DL713" s="233"/>
      <c r="DM713" s="233"/>
      <c r="DN713" s="233"/>
      <c r="DO713" s="233"/>
      <c r="DP713" s="233"/>
      <c r="DQ713" s="233"/>
      <c r="DR713" s="233"/>
      <c r="DS713" s="233"/>
      <c r="DT713" s="233"/>
      <c r="DU713" s="233"/>
      <c r="DV713" s="233"/>
      <c r="DW713" s="233"/>
      <c r="DX713" s="233"/>
      <c r="DY713" s="233"/>
      <c r="DZ713" s="233"/>
      <c r="EA713" s="233"/>
      <c r="EB713" s="233"/>
      <c r="EC713" s="233"/>
      <c r="ED713" s="233"/>
      <c r="EE713" s="233"/>
      <c r="EF713" s="233"/>
      <c r="EG713" s="233"/>
      <c r="EH713" s="233"/>
      <c r="EI713" s="233"/>
      <c r="EJ713" s="233"/>
      <c r="EK713" s="233"/>
      <c r="EL713" s="233"/>
      <c r="EM713" s="233"/>
      <c r="EN713" s="233"/>
      <c r="EO713" s="233"/>
      <c r="EP713" s="233"/>
    </row>
    <row r="714" spans="1:146" ht="14.25" x14ac:dyDescent="0.2">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c r="AW714" s="233"/>
      <c r="AX714" s="233"/>
      <c r="AY714" s="233"/>
      <c r="AZ714" s="233"/>
      <c r="BA714" s="233"/>
      <c r="BB714" s="233"/>
      <c r="BC714" s="233"/>
      <c r="BD714" s="233"/>
      <c r="BE714" s="233"/>
      <c r="BF714" s="233"/>
      <c r="BG714" s="233"/>
      <c r="BH714" s="233"/>
      <c r="BI714" s="233"/>
      <c r="BJ714" s="233"/>
      <c r="BK714" s="233"/>
      <c r="BL714" s="233"/>
      <c r="BM714" s="233"/>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33"/>
      <c r="CI714" s="233"/>
      <c r="CJ714" s="233"/>
      <c r="CK714" s="233"/>
      <c r="CL714" s="233"/>
      <c r="CM714" s="233"/>
      <c r="CN714" s="233"/>
      <c r="CO714" s="233"/>
      <c r="CP714" s="233"/>
      <c r="CQ714" s="233"/>
      <c r="CR714" s="233"/>
      <c r="CS714" s="233"/>
      <c r="CT714" s="233"/>
      <c r="CU714" s="233"/>
      <c r="CV714" s="233"/>
      <c r="CW714" s="233"/>
      <c r="CX714" s="233"/>
      <c r="CY714" s="233"/>
      <c r="CZ714" s="233"/>
      <c r="DA714" s="233"/>
      <c r="DB714" s="233"/>
      <c r="DC714" s="233"/>
      <c r="DD714" s="233"/>
      <c r="DE714" s="233"/>
      <c r="DF714" s="233"/>
      <c r="DG714" s="233"/>
      <c r="DH714" s="233"/>
      <c r="DI714" s="233"/>
      <c r="DJ714" s="233"/>
      <c r="DK714" s="233"/>
      <c r="DL714" s="233"/>
      <c r="DM714" s="233"/>
      <c r="DN714" s="233"/>
      <c r="DO714" s="233"/>
      <c r="DP714" s="233"/>
      <c r="DQ714" s="233"/>
      <c r="DR714" s="233"/>
      <c r="DS714" s="233"/>
      <c r="DT714" s="233"/>
      <c r="DU714" s="233"/>
      <c r="DV714" s="233"/>
      <c r="DW714" s="233"/>
      <c r="DX714" s="233"/>
      <c r="DY714" s="233"/>
      <c r="DZ714" s="233"/>
      <c r="EA714" s="233"/>
      <c r="EB714" s="233"/>
      <c r="EC714" s="233"/>
      <c r="ED714" s="233"/>
      <c r="EE714" s="233"/>
      <c r="EF714" s="233"/>
      <c r="EG714" s="233"/>
      <c r="EH714" s="233"/>
      <c r="EI714" s="233"/>
      <c r="EJ714" s="233"/>
      <c r="EK714" s="233"/>
      <c r="EL714" s="233"/>
      <c r="EM714" s="233"/>
      <c r="EN714" s="233"/>
      <c r="EO714" s="233"/>
      <c r="EP714" s="233"/>
    </row>
    <row r="715" spans="1:146" ht="14.25" x14ac:dyDescent="0.2">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c r="AV715" s="233"/>
      <c r="AW715" s="233"/>
      <c r="AX715" s="233"/>
      <c r="AY715" s="233"/>
      <c r="AZ715" s="233"/>
      <c r="BA715" s="233"/>
      <c r="BB715" s="233"/>
      <c r="BC715" s="233"/>
      <c r="BD715" s="233"/>
      <c r="BE715" s="233"/>
      <c r="BF715" s="233"/>
      <c r="BG715" s="233"/>
      <c r="BH715" s="233"/>
      <c r="BI715" s="233"/>
      <c r="BJ715" s="233"/>
      <c r="BK715" s="233"/>
      <c r="BL715" s="233"/>
      <c r="BM715" s="233"/>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33"/>
      <c r="CI715" s="233"/>
      <c r="CJ715" s="233"/>
      <c r="CK715" s="233"/>
      <c r="CL715" s="233"/>
      <c r="CM715" s="233"/>
      <c r="CN715" s="233"/>
      <c r="CO715" s="233"/>
      <c r="CP715" s="233"/>
      <c r="CQ715" s="233"/>
      <c r="CR715" s="233"/>
      <c r="CS715" s="233"/>
      <c r="CT715" s="233"/>
      <c r="CU715" s="233"/>
      <c r="CV715" s="233"/>
      <c r="CW715" s="233"/>
      <c r="CX715" s="233"/>
      <c r="CY715" s="233"/>
      <c r="CZ715" s="233"/>
      <c r="DA715" s="233"/>
      <c r="DB715" s="233"/>
      <c r="DC715" s="233"/>
      <c r="DD715" s="233"/>
      <c r="DE715" s="233"/>
      <c r="DF715" s="233"/>
      <c r="DG715" s="233"/>
      <c r="DH715" s="233"/>
      <c r="DI715" s="233"/>
      <c r="DJ715" s="233"/>
      <c r="DK715" s="233"/>
      <c r="DL715" s="233"/>
      <c r="DM715" s="233"/>
      <c r="DN715" s="233"/>
      <c r="DO715" s="233"/>
      <c r="DP715" s="233"/>
      <c r="DQ715" s="233"/>
      <c r="DR715" s="233"/>
      <c r="DS715" s="233"/>
      <c r="DT715" s="233"/>
      <c r="DU715" s="233"/>
      <c r="DV715" s="233"/>
      <c r="DW715" s="233"/>
      <c r="DX715" s="233"/>
      <c r="DY715" s="233"/>
      <c r="DZ715" s="233"/>
      <c r="EA715" s="233"/>
      <c r="EB715" s="233"/>
      <c r="EC715" s="233"/>
      <c r="ED715" s="233"/>
      <c r="EE715" s="233"/>
      <c r="EF715" s="233"/>
      <c r="EG715" s="233"/>
      <c r="EH715" s="233"/>
      <c r="EI715" s="233"/>
      <c r="EJ715" s="233"/>
      <c r="EK715" s="233"/>
      <c r="EL715" s="233"/>
      <c r="EM715" s="233"/>
      <c r="EN715" s="233"/>
      <c r="EO715" s="233"/>
      <c r="EP715" s="233"/>
    </row>
    <row r="716" spans="1:146" ht="14.25" x14ac:dyDescent="0.2">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33"/>
      <c r="CI716" s="233"/>
      <c r="CJ716" s="233"/>
      <c r="CK716" s="233"/>
      <c r="CL716" s="233"/>
      <c r="CM716" s="233"/>
      <c r="CN716" s="233"/>
      <c r="CO716" s="233"/>
      <c r="CP716" s="233"/>
      <c r="CQ716" s="233"/>
      <c r="CR716" s="233"/>
      <c r="CS716" s="233"/>
      <c r="CT716" s="233"/>
      <c r="CU716" s="233"/>
      <c r="CV716" s="233"/>
      <c r="CW716" s="233"/>
      <c r="CX716" s="233"/>
      <c r="CY716" s="233"/>
      <c r="CZ716" s="233"/>
      <c r="DA716" s="233"/>
      <c r="DB716" s="233"/>
      <c r="DC716" s="233"/>
      <c r="DD716" s="233"/>
      <c r="DE716" s="233"/>
      <c r="DF716" s="233"/>
      <c r="DG716" s="233"/>
      <c r="DH716" s="233"/>
      <c r="DI716" s="233"/>
      <c r="DJ716" s="233"/>
      <c r="DK716" s="233"/>
      <c r="DL716" s="233"/>
      <c r="DM716" s="233"/>
      <c r="DN716" s="233"/>
      <c r="DO716" s="233"/>
      <c r="DP716" s="233"/>
      <c r="DQ716" s="233"/>
      <c r="DR716" s="233"/>
      <c r="DS716" s="233"/>
      <c r="DT716" s="233"/>
      <c r="DU716" s="233"/>
      <c r="DV716" s="233"/>
      <c r="DW716" s="233"/>
      <c r="DX716" s="233"/>
      <c r="DY716" s="233"/>
      <c r="DZ716" s="233"/>
      <c r="EA716" s="233"/>
      <c r="EB716" s="233"/>
      <c r="EC716" s="233"/>
      <c r="ED716" s="233"/>
      <c r="EE716" s="233"/>
      <c r="EF716" s="233"/>
      <c r="EG716" s="233"/>
      <c r="EH716" s="233"/>
      <c r="EI716" s="233"/>
      <c r="EJ716" s="233"/>
      <c r="EK716" s="233"/>
      <c r="EL716" s="233"/>
      <c r="EM716" s="233"/>
      <c r="EN716" s="233"/>
      <c r="EO716" s="233"/>
      <c r="EP716" s="233"/>
    </row>
    <row r="717" spans="1:146" ht="14.25" x14ac:dyDescent="0.2">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c r="AW717" s="233"/>
      <c r="AX717" s="233"/>
      <c r="AY717" s="233"/>
      <c r="AZ717" s="233"/>
      <c r="BA717" s="233"/>
      <c r="BB717" s="233"/>
      <c r="BC717" s="233"/>
      <c r="BD717" s="233"/>
      <c r="BE717" s="233"/>
      <c r="BF717" s="233"/>
      <c r="BG717" s="233"/>
      <c r="BH717" s="233"/>
      <c r="BI717" s="233"/>
      <c r="BJ717" s="233"/>
      <c r="BK717" s="233"/>
      <c r="BL717" s="233"/>
      <c r="BM717" s="233"/>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33"/>
      <c r="CI717" s="233"/>
      <c r="CJ717" s="233"/>
      <c r="CK717" s="233"/>
      <c r="CL717" s="233"/>
      <c r="CM717" s="233"/>
      <c r="CN717" s="233"/>
      <c r="CO717" s="233"/>
      <c r="CP717" s="233"/>
      <c r="CQ717" s="233"/>
      <c r="CR717" s="233"/>
      <c r="CS717" s="233"/>
      <c r="CT717" s="233"/>
      <c r="CU717" s="233"/>
      <c r="CV717" s="233"/>
      <c r="CW717" s="233"/>
      <c r="CX717" s="233"/>
      <c r="CY717" s="233"/>
      <c r="CZ717" s="233"/>
      <c r="DA717" s="233"/>
      <c r="DB717" s="233"/>
      <c r="DC717" s="233"/>
      <c r="DD717" s="233"/>
      <c r="DE717" s="233"/>
      <c r="DF717" s="233"/>
      <c r="DG717" s="233"/>
      <c r="DH717" s="233"/>
      <c r="DI717" s="233"/>
      <c r="DJ717" s="233"/>
      <c r="DK717" s="233"/>
      <c r="DL717" s="233"/>
      <c r="DM717" s="233"/>
      <c r="DN717" s="233"/>
      <c r="DO717" s="233"/>
      <c r="DP717" s="233"/>
      <c r="DQ717" s="233"/>
      <c r="DR717" s="233"/>
      <c r="DS717" s="233"/>
      <c r="DT717" s="233"/>
      <c r="DU717" s="233"/>
      <c r="DV717" s="233"/>
      <c r="DW717" s="233"/>
      <c r="DX717" s="233"/>
      <c r="DY717" s="233"/>
      <c r="DZ717" s="233"/>
      <c r="EA717" s="233"/>
      <c r="EB717" s="233"/>
      <c r="EC717" s="233"/>
      <c r="ED717" s="233"/>
      <c r="EE717" s="233"/>
      <c r="EF717" s="233"/>
      <c r="EG717" s="233"/>
      <c r="EH717" s="233"/>
      <c r="EI717" s="233"/>
      <c r="EJ717" s="233"/>
      <c r="EK717" s="233"/>
      <c r="EL717" s="233"/>
      <c r="EM717" s="233"/>
      <c r="EN717" s="233"/>
      <c r="EO717" s="233"/>
      <c r="EP717" s="233"/>
    </row>
    <row r="718" spans="1:146" ht="14.25" x14ac:dyDescent="0.2">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c r="AW718" s="233"/>
      <c r="AX718" s="233"/>
      <c r="AY718" s="233"/>
      <c r="AZ718" s="233"/>
      <c r="BA718" s="233"/>
      <c r="BB718" s="233"/>
      <c r="BC718" s="233"/>
      <c r="BD718" s="233"/>
      <c r="BE718" s="233"/>
      <c r="BF718" s="233"/>
      <c r="BG718" s="233"/>
      <c r="BH718" s="233"/>
      <c r="BI718" s="233"/>
      <c r="BJ718" s="233"/>
      <c r="BK718" s="233"/>
      <c r="BL718" s="233"/>
      <c r="BM718" s="233"/>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33"/>
      <c r="CI718" s="233"/>
      <c r="CJ718" s="233"/>
      <c r="CK718" s="233"/>
      <c r="CL718" s="233"/>
      <c r="CM718" s="233"/>
      <c r="CN718" s="233"/>
      <c r="CO718" s="233"/>
      <c r="CP718" s="233"/>
      <c r="CQ718" s="233"/>
      <c r="CR718" s="233"/>
      <c r="CS718" s="233"/>
      <c r="CT718" s="233"/>
      <c r="CU718" s="233"/>
      <c r="CV718" s="233"/>
      <c r="CW718" s="233"/>
      <c r="CX718" s="233"/>
      <c r="CY718" s="233"/>
      <c r="CZ718" s="233"/>
      <c r="DA718" s="233"/>
      <c r="DB718" s="233"/>
      <c r="DC718" s="233"/>
      <c r="DD718" s="233"/>
      <c r="DE718" s="233"/>
      <c r="DF718" s="233"/>
      <c r="DG718" s="233"/>
      <c r="DH718" s="233"/>
      <c r="DI718" s="233"/>
      <c r="DJ718" s="233"/>
      <c r="DK718" s="233"/>
      <c r="DL718" s="233"/>
      <c r="DM718" s="233"/>
      <c r="DN718" s="233"/>
      <c r="DO718" s="233"/>
      <c r="DP718" s="233"/>
      <c r="DQ718" s="233"/>
      <c r="DR718" s="233"/>
      <c r="DS718" s="233"/>
      <c r="DT718" s="233"/>
      <c r="DU718" s="233"/>
      <c r="DV718" s="233"/>
      <c r="DW718" s="233"/>
      <c r="DX718" s="233"/>
      <c r="DY718" s="233"/>
      <c r="DZ718" s="233"/>
      <c r="EA718" s="233"/>
      <c r="EB718" s="233"/>
      <c r="EC718" s="233"/>
      <c r="ED718" s="233"/>
      <c r="EE718" s="233"/>
      <c r="EF718" s="233"/>
      <c r="EG718" s="233"/>
      <c r="EH718" s="233"/>
      <c r="EI718" s="233"/>
      <c r="EJ718" s="233"/>
      <c r="EK718" s="233"/>
      <c r="EL718" s="233"/>
      <c r="EM718" s="233"/>
      <c r="EN718" s="233"/>
      <c r="EO718" s="233"/>
      <c r="EP718" s="233"/>
    </row>
    <row r="719" spans="1:146" ht="14.25" x14ac:dyDescent="0.2">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33"/>
      <c r="CI719" s="233"/>
      <c r="CJ719" s="233"/>
      <c r="CK719" s="233"/>
      <c r="CL719" s="233"/>
      <c r="CM719" s="233"/>
      <c r="CN719" s="233"/>
      <c r="CO719" s="233"/>
      <c r="CP719" s="233"/>
      <c r="CQ719" s="233"/>
      <c r="CR719" s="233"/>
      <c r="CS719" s="233"/>
      <c r="CT719" s="233"/>
      <c r="CU719" s="233"/>
      <c r="CV719" s="233"/>
      <c r="CW719" s="233"/>
      <c r="CX719" s="233"/>
      <c r="CY719" s="233"/>
      <c r="CZ719" s="233"/>
      <c r="DA719" s="233"/>
      <c r="DB719" s="233"/>
      <c r="DC719" s="233"/>
      <c r="DD719" s="233"/>
      <c r="DE719" s="233"/>
      <c r="DF719" s="233"/>
      <c r="DG719" s="233"/>
      <c r="DH719" s="233"/>
      <c r="DI719" s="233"/>
      <c r="DJ719" s="233"/>
      <c r="DK719" s="233"/>
      <c r="DL719" s="233"/>
      <c r="DM719" s="233"/>
      <c r="DN719" s="233"/>
      <c r="DO719" s="233"/>
      <c r="DP719" s="233"/>
      <c r="DQ719" s="233"/>
      <c r="DR719" s="233"/>
      <c r="DS719" s="233"/>
      <c r="DT719" s="233"/>
      <c r="DU719" s="233"/>
      <c r="DV719" s="233"/>
      <c r="DW719" s="233"/>
      <c r="DX719" s="233"/>
      <c r="DY719" s="233"/>
      <c r="DZ719" s="233"/>
      <c r="EA719" s="233"/>
      <c r="EB719" s="233"/>
      <c r="EC719" s="233"/>
      <c r="ED719" s="233"/>
      <c r="EE719" s="233"/>
      <c r="EF719" s="233"/>
      <c r="EG719" s="233"/>
      <c r="EH719" s="233"/>
      <c r="EI719" s="233"/>
      <c r="EJ719" s="233"/>
      <c r="EK719" s="233"/>
      <c r="EL719" s="233"/>
      <c r="EM719" s="233"/>
      <c r="EN719" s="233"/>
      <c r="EO719" s="233"/>
      <c r="EP719" s="233"/>
    </row>
    <row r="720" spans="1:146" ht="14.25" x14ac:dyDescent="0.2">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c r="AW720" s="233"/>
      <c r="AX720" s="233"/>
      <c r="AY720" s="233"/>
      <c r="AZ720" s="233"/>
      <c r="BA720" s="233"/>
      <c r="BB720" s="233"/>
      <c r="BC720" s="233"/>
      <c r="BD720" s="233"/>
      <c r="BE720" s="233"/>
      <c r="BF720" s="233"/>
      <c r="BG720" s="233"/>
      <c r="BH720" s="233"/>
      <c r="BI720" s="233"/>
      <c r="BJ720" s="233"/>
      <c r="BK720" s="233"/>
      <c r="BL720" s="233"/>
      <c r="BM720" s="233"/>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33"/>
      <c r="CI720" s="233"/>
      <c r="CJ720" s="233"/>
      <c r="CK720" s="233"/>
      <c r="CL720" s="233"/>
      <c r="CM720" s="233"/>
      <c r="CN720" s="233"/>
      <c r="CO720" s="233"/>
      <c r="CP720" s="233"/>
      <c r="CQ720" s="233"/>
      <c r="CR720" s="233"/>
      <c r="CS720" s="233"/>
      <c r="CT720" s="233"/>
      <c r="CU720" s="233"/>
      <c r="CV720" s="233"/>
      <c r="CW720" s="233"/>
      <c r="CX720" s="233"/>
      <c r="CY720" s="233"/>
      <c r="CZ720" s="233"/>
      <c r="DA720" s="233"/>
      <c r="DB720" s="233"/>
      <c r="DC720" s="233"/>
      <c r="DD720" s="233"/>
      <c r="DE720" s="233"/>
      <c r="DF720" s="233"/>
      <c r="DG720" s="233"/>
      <c r="DH720" s="233"/>
      <c r="DI720" s="233"/>
      <c r="DJ720" s="233"/>
      <c r="DK720" s="233"/>
      <c r="DL720" s="233"/>
      <c r="DM720" s="233"/>
      <c r="DN720" s="233"/>
      <c r="DO720" s="233"/>
      <c r="DP720" s="233"/>
      <c r="DQ720" s="233"/>
      <c r="DR720" s="233"/>
      <c r="DS720" s="233"/>
      <c r="DT720" s="233"/>
      <c r="DU720" s="233"/>
      <c r="DV720" s="233"/>
      <c r="DW720" s="233"/>
      <c r="DX720" s="233"/>
      <c r="DY720" s="233"/>
      <c r="DZ720" s="233"/>
      <c r="EA720" s="233"/>
      <c r="EB720" s="233"/>
      <c r="EC720" s="233"/>
      <c r="ED720" s="233"/>
      <c r="EE720" s="233"/>
      <c r="EF720" s="233"/>
      <c r="EG720" s="233"/>
      <c r="EH720" s="233"/>
      <c r="EI720" s="233"/>
      <c r="EJ720" s="233"/>
      <c r="EK720" s="233"/>
      <c r="EL720" s="233"/>
      <c r="EM720" s="233"/>
      <c r="EN720" s="233"/>
      <c r="EO720" s="233"/>
      <c r="EP720" s="233"/>
    </row>
    <row r="721" spans="1:146" ht="14.25" x14ac:dyDescent="0.2">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c r="AV721" s="233"/>
      <c r="AW721" s="233"/>
      <c r="AX721" s="233"/>
      <c r="AY721" s="233"/>
      <c r="AZ721" s="233"/>
      <c r="BA721" s="233"/>
      <c r="BB721" s="233"/>
      <c r="BC721" s="233"/>
      <c r="BD721" s="233"/>
      <c r="BE721" s="233"/>
      <c r="BF721" s="233"/>
      <c r="BG721" s="233"/>
      <c r="BH721" s="233"/>
      <c r="BI721" s="233"/>
      <c r="BJ721" s="233"/>
      <c r="BK721" s="233"/>
      <c r="BL721" s="233"/>
      <c r="BM721" s="233"/>
      <c r="BN721" s="233"/>
      <c r="BO721" s="233"/>
      <c r="BP721" s="233"/>
      <c r="BQ721" s="233"/>
      <c r="BR721" s="233"/>
      <c r="BS721" s="233"/>
      <c r="BT721" s="233"/>
      <c r="BU721" s="233"/>
      <c r="BV721" s="233"/>
      <c r="BW721" s="233"/>
      <c r="BX721" s="233"/>
      <c r="BY721" s="233"/>
      <c r="BZ721" s="233"/>
      <c r="CA721" s="233"/>
      <c r="CB721" s="233"/>
      <c r="CC721" s="233"/>
      <c r="CD721" s="233"/>
      <c r="CE721" s="233"/>
      <c r="CF721" s="233"/>
      <c r="CG721" s="233"/>
      <c r="CH721" s="233"/>
      <c r="CI721" s="233"/>
      <c r="CJ721" s="233"/>
      <c r="CK721" s="233"/>
      <c r="CL721" s="233"/>
      <c r="CM721" s="233"/>
      <c r="CN721" s="233"/>
      <c r="CO721" s="233"/>
      <c r="CP721" s="233"/>
      <c r="CQ721" s="233"/>
      <c r="CR721" s="233"/>
      <c r="CS721" s="233"/>
      <c r="CT721" s="233"/>
      <c r="CU721" s="233"/>
      <c r="CV721" s="233"/>
      <c r="CW721" s="233"/>
      <c r="CX721" s="233"/>
      <c r="CY721" s="233"/>
      <c r="CZ721" s="233"/>
      <c r="DA721" s="233"/>
      <c r="DB721" s="233"/>
      <c r="DC721" s="233"/>
      <c r="DD721" s="233"/>
      <c r="DE721" s="233"/>
      <c r="DF721" s="233"/>
      <c r="DG721" s="233"/>
      <c r="DH721" s="233"/>
      <c r="DI721" s="233"/>
      <c r="DJ721" s="233"/>
      <c r="DK721" s="233"/>
      <c r="DL721" s="233"/>
      <c r="DM721" s="233"/>
      <c r="DN721" s="233"/>
      <c r="DO721" s="233"/>
      <c r="DP721" s="233"/>
      <c r="DQ721" s="233"/>
      <c r="DR721" s="233"/>
      <c r="DS721" s="233"/>
      <c r="DT721" s="233"/>
      <c r="DU721" s="233"/>
      <c r="DV721" s="233"/>
      <c r="DW721" s="233"/>
      <c r="DX721" s="233"/>
      <c r="DY721" s="233"/>
      <c r="DZ721" s="233"/>
      <c r="EA721" s="233"/>
      <c r="EB721" s="233"/>
      <c r="EC721" s="233"/>
      <c r="ED721" s="233"/>
      <c r="EE721" s="233"/>
      <c r="EF721" s="233"/>
      <c r="EG721" s="233"/>
      <c r="EH721" s="233"/>
      <c r="EI721" s="233"/>
      <c r="EJ721" s="233"/>
      <c r="EK721" s="233"/>
      <c r="EL721" s="233"/>
      <c r="EM721" s="233"/>
      <c r="EN721" s="233"/>
      <c r="EO721" s="233"/>
      <c r="EP721" s="233"/>
    </row>
    <row r="722" spans="1:146" ht="14.25" x14ac:dyDescent="0.2">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c r="AW722" s="233"/>
      <c r="AX722" s="233"/>
      <c r="AY722" s="233"/>
      <c r="AZ722" s="233"/>
      <c r="BA722" s="233"/>
      <c r="BB722" s="233"/>
      <c r="BC722" s="233"/>
      <c r="BD722" s="233"/>
      <c r="BE722" s="233"/>
      <c r="BF722" s="233"/>
      <c r="BG722" s="233"/>
      <c r="BH722" s="233"/>
      <c r="BI722" s="233"/>
      <c r="BJ722" s="233"/>
      <c r="BK722" s="233"/>
      <c r="BL722" s="233"/>
      <c r="BM722" s="233"/>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33"/>
      <c r="CI722" s="233"/>
      <c r="CJ722" s="233"/>
      <c r="CK722" s="233"/>
      <c r="CL722" s="233"/>
      <c r="CM722" s="233"/>
      <c r="CN722" s="233"/>
      <c r="CO722" s="233"/>
      <c r="CP722" s="233"/>
      <c r="CQ722" s="233"/>
      <c r="CR722" s="233"/>
      <c r="CS722" s="233"/>
      <c r="CT722" s="233"/>
      <c r="CU722" s="233"/>
      <c r="CV722" s="233"/>
      <c r="CW722" s="233"/>
      <c r="CX722" s="233"/>
      <c r="CY722" s="233"/>
      <c r="CZ722" s="233"/>
      <c r="DA722" s="233"/>
      <c r="DB722" s="233"/>
      <c r="DC722" s="233"/>
      <c r="DD722" s="233"/>
      <c r="DE722" s="233"/>
      <c r="DF722" s="233"/>
      <c r="DG722" s="233"/>
      <c r="DH722" s="233"/>
      <c r="DI722" s="233"/>
      <c r="DJ722" s="233"/>
      <c r="DK722" s="233"/>
      <c r="DL722" s="233"/>
      <c r="DM722" s="233"/>
      <c r="DN722" s="233"/>
      <c r="DO722" s="233"/>
      <c r="DP722" s="233"/>
      <c r="DQ722" s="233"/>
      <c r="DR722" s="233"/>
      <c r="DS722" s="233"/>
      <c r="DT722" s="233"/>
      <c r="DU722" s="233"/>
      <c r="DV722" s="233"/>
      <c r="DW722" s="233"/>
      <c r="DX722" s="233"/>
      <c r="DY722" s="233"/>
      <c r="DZ722" s="233"/>
      <c r="EA722" s="233"/>
      <c r="EB722" s="233"/>
      <c r="EC722" s="233"/>
      <c r="ED722" s="233"/>
      <c r="EE722" s="233"/>
      <c r="EF722" s="233"/>
      <c r="EG722" s="233"/>
      <c r="EH722" s="233"/>
      <c r="EI722" s="233"/>
      <c r="EJ722" s="233"/>
      <c r="EK722" s="233"/>
      <c r="EL722" s="233"/>
      <c r="EM722" s="233"/>
      <c r="EN722" s="233"/>
      <c r="EO722" s="233"/>
      <c r="EP722" s="233"/>
    </row>
    <row r="723" spans="1:146" ht="14.25" x14ac:dyDescent="0.2">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c r="AW723" s="233"/>
      <c r="AX723" s="233"/>
      <c r="AY723" s="233"/>
      <c r="AZ723" s="233"/>
      <c r="BA723" s="233"/>
      <c r="BB723" s="233"/>
      <c r="BC723" s="233"/>
      <c r="BD723" s="233"/>
      <c r="BE723" s="233"/>
      <c r="BF723" s="233"/>
      <c r="BG723" s="233"/>
      <c r="BH723" s="233"/>
      <c r="BI723" s="233"/>
      <c r="BJ723" s="233"/>
      <c r="BK723" s="233"/>
      <c r="BL723" s="233"/>
      <c r="BM723" s="233"/>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33"/>
      <c r="CI723" s="233"/>
      <c r="CJ723" s="233"/>
      <c r="CK723" s="233"/>
      <c r="CL723" s="233"/>
      <c r="CM723" s="233"/>
      <c r="CN723" s="233"/>
      <c r="CO723" s="233"/>
      <c r="CP723" s="233"/>
      <c r="CQ723" s="233"/>
      <c r="CR723" s="233"/>
      <c r="CS723" s="233"/>
      <c r="CT723" s="233"/>
      <c r="CU723" s="233"/>
      <c r="CV723" s="233"/>
      <c r="CW723" s="233"/>
      <c r="CX723" s="233"/>
      <c r="CY723" s="233"/>
      <c r="CZ723" s="233"/>
      <c r="DA723" s="233"/>
      <c r="DB723" s="233"/>
      <c r="DC723" s="233"/>
      <c r="DD723" s="233"/>
      <c r="DE723" s="233"/>
      <c r="DF723" s="233"/>
      <c r="DG723" s="233"/>
      <c r="DH723" s="233"/>
      <c r="DI723" s="233"/>
      <c r="DJ723" s="233"/>
      <c r="DK723" s="233"/>
      <c r="DL723" s="233"/>
      <c r="DM723" s="233"/>
      <c r="DN723" s="233"/>
      <c r="DO723" s="233"/>
      <c r="DP723" s="233"/>
      <c r="DQ723" s="233"/>
      <c r="DR723" s="233"/>
      <c r="DS723" s="233"/>
      <c r="DT723" s="233"/>
      <c r="DU723" s="233"/>
      <c r="DV723" s="233"/>
      <c r="DW723" s="233"/>
      <c r="DX723" s="233"/>
      <c r="DY723" s="233"/>
      <c r="DZ723" s="233"/>
      <c r="EA723" s="233"/>
      <c r="EB723" s="233"/>
      <c r="EC723" s="233"/>
      <c r="ED723" s="233"/>
      <c r="EE723" s="233"/>
      <c r="EF723" s="233"/>
      <c r="EG723" s="233"/>
      <c r="EH723" s="233"/>
      <c r="EI723" s="233"/>
      <c r="EJ723" s="233"/>
      <c r="EK723" s="233"/>
      <c r="EL723" s="233"/>
      <c r="EM723" s="233"/>
      <c r="EN723" s="233"/>
      <c r="EO723" s="233"/>
      <c r="EP723" s="233"/>
    </row>
    <row r="724" spans="1:146" ht="14.25" x14ac:dyDescent="0.2">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c r="AW724" s="233"/>
      <c r="AX724" s="233"/>
      <c r="AY724" s="233"/>
      <c r="AZ724" s="233"/>
      <c r="BA724" s="233"/>
      <c r="BB724" s="233"/>
      <c r="BC724" s="233"/>
      <c r="BD724" s="233"/>
      <c r="BE724" s="233"/>
      <c r="BF724" s="233"/>
      <c r="BG724" s="233"/>
      <c r="BH724" s="233"/>
      <c r="BI724" s="233"/>
      <c r="BJ724" s="233"/>
      <c r="BK724" s="233"/>
      <c r="BL724" s="233"/>
      <c r="BM724" s="233"/>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33"/>
      <c r="CI724" s="233"/>
      <c r="CJ724" s="233"/>
      <c r="CK724" s="233"/>
      <c r="CL724" s="233"/>
      <c r="CM724" s="233"/>
      <c r="CN724" s="233"/>
      <c r="CO724" s="233"/>
      <c r="CP724" s="233"/>
      <c r="CQ724" s="233"/>
      <c r="CR724" s="233"/>
      <c r="CS724" s="233"/>
      <c r="CT724" s="233"/>
      <c r="CU724" s="233"/>
      <c r="CV724" s="233"/>
      <c r="CW724" s="233"/>
      <c r="CX724" s="233"/>
      <c r="CY724" s="233"/>
      <c r="CZ724" s="233"/>
      <c r="DA724" s="233"/>
      <c r="DB724" s="233"/>
      <c r="DC724" s="233"/>
      <c r="DD724" s="233"/>
      <c r="DE724" s="233"/>
      <c r="DF724" s="233"/>
      <c r="DG724" s="233"/>
      <c r="DH724" s="233"/>
      <c r="DI724" s="233"/>
      <c r="DJ724" s="233"/>
      <c r="DK724" s="233"/>
      <c r="DL724" s="233"/>
      <c r="DM724" s="233"/>
      <c r="DN724" s="233"/>
      <c r="DO724" s="233"/>
      <c r="DP724" s="233"/>
      <c r="DQ724" s="233"/>
      <c r="DR724" s="233"/>
      <c r="DS724" s="233"/>
      <c r="DT724" s="233"/>
      <c r="DU724" s="233"/>
      <c r="DV724" s="233"/>
      <c r="DW724" s="233"/>
      <c r="DX724" s="233"/>
      <c r="DY724" s="233"/>
      <c r="DZ724" s="233"/>
      <c r="EA724" s="233"/>
      <c r="EB724" s="233"/>
      <c r="EC724" s="233"/>
      <c r="ED724" s="233"/>
      <c r="EE724" s="233"/>
      <c r="EF724" s="233"/>
      <c r="EG724" s="233"/>
      <c r="EH724" s="233"/>
      <c r="EI724" s="233"/>
      <c r="EJ724" s="233"/>
      <c r="EK724" s="233"/>
      <c r="EL724" s="233"/>
      <c r="EM724" s="233"/>
      <c r="EN724" s="233"/>
      <c r="EO724" s="233"/>
      <c r="EP724" s="233"/>
    </row>
    <row r="725" spans="1:146" ht="14.25" x14ac:dyDescent="0.2">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c r="AW725" s="233"/>
      <c r="AX725" s="233"/>
      <c r="AY725" s="233"/>
      <c r="AZ725" s="233"/>
      <c r="BA725" s="233"/>
      <c r="BB725" s="233"/>
      <c r="BC725" s="233"/>
      <c r="BD725" s="233"/>
      <c r="BE725" s="233"/>
      <c r="BF725" s="233"/>
      <c r="BG725" s="233"/>
      <c r="BH725" s="233"/>
      <c r="BI725" s="233"/>
      <c r="BJ725" s="233"/>
      <c r="BK725" s="233"/>
      <c r="BL725" s="233"/>
      <c r="BM725" s="233"/>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33"/>
      <c r="CI725" s="233"/>
      <c r="CJ725" s="233"/>
      <c r="CK725" s="233"/>
      <c r="CL725" s="233"/>
      <c r="CM725" s="233"/>
      <c r="CN725" s="233"/>
      <c r="CO725" s="233"/>
      <c r="CP725" s="233"/>
      <c r="CQ725" s="233"/>
      <c r="CR725" s="233"/>
      <c r="CS725" s="233"/>
      <c r="CT725" s="233"/>
      <c r="CU725" s="233"/>
      <c r="CV725" s="233"/>
      <c r="CW725" s="233"/>
      <c r="CX725" s="233"/>
      <c r="CY725" s="233"/>
      <c r="CZ725" s="233"/>
      <c r="DA725" s="233"/>
      <c r="DB725" s="233"/>
      <c r="DC725" s="233"/>
      <c r="DD725" s="233"/>
      <c r="DE725" s="233"/>
      <c r="DF725" s="233"/>
      <c r="DG725" s="233"/>
      <c r="DH725" s="233"/>
      <c r="DI725" s="233"/>
      <c r="DJ725" s="233"/>
      <c r="DK725" s="233"/>
      <c r="DL725" s="233"/>
      <c r="DM725" s="233"/>
      <c r="DN725" s="233"/>
      <c r="DO725" s="233"/>
      <c r="DP725" s="233"/>
      <c r="DQ725" s="233"/>
      <c r="DR725" s="233"/>
      <c r="DS725" s="233"/>
      <c r="DT725" s="233"/>
      <c r="DU725" s="233"/>
      <c r="DV725" s="233"/>
      <c r="DW725" s="233"/>
      <c r="DX725" s="233"/>
      <c r="DY725" s="233"/>
      <c r="DZ725" s="233"/>
      <c r="EA725" s="233"/>
      <c r="EB725" s="233"/>
      <c r="EC725" s="233"/>
      <c r="ED725" s="233"/>
      <c r="EE725" s="233"/>
      <c r="EF725" s="233"/>
      <c r="EG725" s="233"/>
      <c r="EH725" s="233"/>
      <c r="EI725" s="233"/>
      <c r="EJ725" s="233"/>
      <c r="EK725" s="233"/>
      <c r="EL725" s="233"/>
      <c r="EM725" s="233"/>
      <c r="EN725" s="233"/>
      <c r="EO725" s="233"/>
      <c r="EP725" s="233"/>
    </row>
    <row r="726" spans="1:146" ht="14.25" x14ac:dyDescent="0.2">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c r="AW726" s="233"/>
      <c r="AX726" s="233"/>
      <c r="AY726" s="233"/>
      <c r="AZ726" s="233"/>
      <c r="BA726" s="233"/>
      <c r="BB726" s="233"/>
      <c r="BC726" s="233"/>
      <c r="BD726" s="233"/>
      <c r="BE726" s="233"/>
      <c r="BF726" s="233"/>
      <c r="BG726" s="233"/>
      <c r="BH726" s="233"/>
      <c r="BI726" s="233"/>
      <c r="BJ726" s="233"/>
      <c r="BK726" s="233"/>
      <c r="BL726" s="233"/>
      <c r="BM726" s="233"/>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33"/>
      <c r="CI726" s="233"/>
      <c r="CJ726" s="233"/>
      <c r="CK726" s="233"/>
      <c r="CL726" s="233"/>
      <c r="CM726" s="233"/>
      <c r="CN726" s="233"/>
      <c r="CO726" s="233"/>
      <c r="CP726" s="233"/>
      <c r="CQ726" s="233"/>
      <c r="CR726" s="233"/>
      <c r="CS726" s="233"/>
      <c r="CT726" s="233"/>
      <c r="CU726" s="233"/>
      <c r="CV726" s="233"/>
      <c r="CW726" s="233"/>
      <c r="CX726" s="233"/>
      <c r="CY726" s="233"/>
      <c r="CZ726" s="233"/>
      <c r="DA726" s="233"/>
      <c r="DB726" s="233"/>
      <c r="DC726" s="233"/>
      <c r="DD726" s="233"/>
      <c r="DE726" s="233"/>
      <c r="DF726" s="233"/>
      <c r="DG726" s="233"/>
      <c r="DH726" s="233"/>
      <c r="DI726" s="233"/>
      <c r="DJ726" s="233"/>
      <c r="DK726" s="233"/>
      <c r="DL726" s="233"/>
      <c r="DM726" s="233"/>
      <c r="DN726" s="233"/>
      <c r="DO726" s="233"/>
      <c r="DP726" s="233"/>
      <c r="DQ726" s="233"/>
      <c r="DR726" s="233"/>
      <c r="DS726" s="233"/>
      <c r="DT726" s="233"/>
      <c r="DU726" s="233"/>
      <c r="DV726" s="233"/>
      <c r="DW726" s="233"/>
      <c r="DX726" s="233"/>
      <c r="DY726" s="233"/>
      <c r="DZ726" s="233"/>
      <c r="EA726" s="233"/>
      <c r="EB726" s="233"/>
      <c r="EC726" s="233"/>
      <c r="ED726" s="233"/>
      <c r="EE726" s="233"/>
      <c r="EF726" s="233"/>
      <c r="EG726" s="233"/>
      <c r="EH726" s="233"/>
      <c r="EI726" s="233"/>
      <c r="EJ726" s="233"/>
      <c r="EK726" s="233"/>
      <c r="EL726" s="233"/>
      <c r="EM726" s="233"/>
      <c r="EN726" s="233"/>
      <c r="EO726" s="233"/>
      <c r="EP726" s="233"/>
    </row>
    <row r="727" spans="1:146" ht="14.25" x14ac:dyDescent="0.2">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c r="AW727" s="233"/>
      <c r="AX727" s="233"/>
      <c r="AY727" s="233"/>
      <c r="AZ727" s="233"/>
      <c r="BA727" s="233"/>
      <c r="BB727" s="233"/>
      <c r="BC727" s="233"/>
      <c r="BD727" s="233"/>
      <c r="BE727" s="233"/>
      <c r="BF727" s="233"/>
      <c r="BG727" s="233"/>
      <c r="BH727" s="233"/>
      <c r="BI727" s="233"/>
      <c r="BJ727" s="233"/>
      <c r="BK727" s="233"/>
      <c r="BL727" s="233"/>
      <c r="BM727" s="233"/>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33"/>
      <c r="CI727" s="233"/>
      <c r="CJ727" s="233"/>
      <c r="CK727" s="233"/>
      <c r="CL727" s="233"/>
      <c r="CM727" s="233"/>
      <c r="CN727" s="233"/>
      <c r="CO727" s="233"/>
      <c r="CP727" s="233"/>
      <c r="CQ727" s="233"/>
      <c r="CR727" s="233"/>
      <c r="CS727" s="233"/>
      <c r="CT727" s="233"/>
      <c r="CU727" s="233"/>
      <c r="CV727" s="233"/>
      <c r="CW727" s="233"/>
      <c r="CX727" s="233"/>
      <c r="CY727" s="233"/>
      <c r="CZ727" s="233"/>
      <c r="DA727" s="233"/>
      <c r="DB727" s="233"/>
      <c r="DC727" s="233"/>
      <c r="DD727" s="233"/>
      <c r="DE727" s="233"/>
      <c r="DF727" s="233"/>
      <c r="DG727" s="233"/>
      <c r="DH727" s="233"/>
      <c r="DI727" s="233"/>
      <c r="DJ727" s="233"/>
      <c r="DK727" s="233"/>
      <c r="DL727" s="233"/>
      <c r="DM727" s="233"/>
      <c r="DN727" s="233"/>
      <c r="DO727" s="233"/>
      <c r="DP727" s="233"/>
      <c r="DQ727" s="233"/>
      <c r="DR727" s="233"/>
      <c r="DS727" s="233"/>
      <c r="DT727" s="233"/>
      <c r="DU727" s="233"/>
      <c r="DV727" s="233"/>
      <c r="DW727" s="233"/>
      <c r="DX727" s="233"/>
      <c r="DY727" s="233"/>
      <c r="DZ727" s="233"/>
      <c r="EA727" s="233"/>
      <c r="EB727" s="233"/>
      <c r="EC727" s="233"/>
      <c r="ED727" s="233"/>
      <c r="EE727" s="233"/>
      <c r="EF727" s="233"/>
      <c r="EG727" s="233"/>
      <c r="EH727" s="233"/>
      <c r="EI727" s="233"/>
      <c r="EJ727" s="233"/>
      <c r="EK727" s="233"/>
      <c r="EL727" s="233"/>
      <c r="EM727" s="233"/>
      <c r="EN727" s="233"/>
      <c r="EO727" s="233"/>
      <c r="EP727" s="233"/>
    </row>
    <row r="728" spans="1:146" ht="14.25" x14ac:dyDescent="0.2">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c r="AV728" s="233"/>
      <c r="AW728" s="233"/>
      <c r="AX728" s="233"/>
      <c r="AY728" s="233"/>
      <c r="AZ728" s="233"/>
      <c r="BA728" s="233"/>
      <c r="BB728" s="233"/>
      <c r="BC728" s="233"/>
      <c r="BD728" s="233"/>
      <c r="BE728" s="233"/>
      <c r="BF728" s="233"/>
      <c r="BG728" s="233"/>
      <c r="BH728" s="233"/>
      <c r="BI728" s="233"/>
      <c r="BJ728" s="233"/>
      <c r="BK728" s="233"/>
      <c r="BL728" s="233"/>
      <c r="BM728" s="233"/>
      <c r="BN728" s="233"/>
      <c r="BO728" s="233"/>
      <c r="BP728" s="233"/>
      <c r="BQ728" s="233"/>
      <c r="BR728" s="233"/>
      <c r="BS728" s="233"/>
      <c r="BT728" s="233"/>
      <c r="BU728" s="233"/>
      <c r="BV728" s="233"/>
      <c r="BW728" s="233"/>
      <c r="BX728" s="233"/>
      <c r="BY728" s="233"/>
      <c r="BZ728" s="233"/>
      <c r="CA728" s="233"/>
      <c r="CB728" s="233"/>
      <c r="CC728" s="233"/>
      <c r="CD728" s="233"/>
      <c r="CE728" s="233"/>
      <c r="CF728" s="233"/>
      <c r="CG728" s="233"/>
      <c r="CH728" s="233"/>
      <c r="CI728" s="233"/>
      <c r="CJ728" s="233"/>
      <c r="CK728" s="233"/>
      <c r="CL728" s="233"/>
      <c r="CM728" s="233"/>
      <c r="CN728" s="233"/>
      <c r="CO728" s="233"/>
      <c r="CP728" s="233"/>
      <c r="CQ728" s="233"/>
      <c r="CR728" s="233"/>
      <c r="CS728" s="233"/>
      <c r="CT728" s="233"/>
      <c r="CU728" s="233"/>
      <c r="CV728" s="233"/>
      <c r="CW728" s="233"/>
      <c r="CX728" s="233"/>
      <c r="CY728" s="233"/>
      <c r="CZ728" s="233"/>
      <c r="DA728" s="233"/>
      <c r="DB728" s="233"/>
      <c r="DC728" s="233"/>
      <c r="DD728" s="233"/>
      <c r="DE728" s="233"/>
      <c r="DF728" s="233"/>
      <c r="DG728" s="233"/>
      <c r="DH728" s="233"/>
      <c r="DI728" s="233"/>
      <c r="DJ728" s="233"/>
      <c r="DK728" s="233"/>
      <c r="DL728" s="233"/>
      <c r="DM728" s="233"/>
      <c r="DN728" s="233"/>
      <c r="DO728" s="233"/>
      <c r="DP728" s="233"/>
      <c r="DQ728" s="233"/>
      <c r="DR728" s="233"/>
      <c r="DS728" s="233"/>
      <c r="DT728" s="233"/>
      <c r="DU728" s="233"/>
      <c r="DV728" s="233"/>
      <c r="DW728" s="233"/>
      <c r="DX728" s="233"/>
      <c r="DY728" s="233"/>
      <c r="DZ728" s="233"/>
      <c r="EA728" s="233"/>
      <c r="EB728" s="233"/>
      <c r="EC728" s="233"/>
      <c r="ED728" s="233"/>
      <c r="EE728" s="233"/>
      <c r="EF728" s="233"/>
      <c r="EG728" s="233"/>
      <c r="EH728" s="233"/>
      <c r="EI728" s="233"/>
      <c r="EJ728" s="233"/>
      <c r="EK728" s="233"/>
      <c r="EL728" s="233"/>
      <c r="EM728" s="233"/>
      <c r="EN728" s="233"/>
      <c r="EO728" s="233"/>
      <c r="EP728" s="233"/>
    </row>
    <row r="729" spans="1:146" ht="14.25" x14ac:dyDescent="0.2">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c r="AV729" s="233"/>
      <c r="AW729" s="233"/>
      <c r="AX729" s="233"/>
      <c r="AY729" s="233"/>
      <c r="AZ729" s="233"/>
      <c r="BA729" s="233"/>
      <c r="BB729" s="233"/>
      <c r="BC729" s="233"/>
      <c r="BD729" s="233"/>
      <c r="BE729" s="233"/>
      <c r="BF729" s="233"/>
      <c r="BG729" s="233"/>
      <c r="BH729" s="233"/>
      <c r="BI729" s="233"/>
      <c r="BJ729" s="233"/>
      <c r="BK729" s="233"/>
      <c r="BL729" s="233"/>
      <c r="BM729" s="233"/>
      <c r="BN729" s="233"/>
      <c r="BO729" s="233"/>
      <c r="BP729" s="233"/>
      <c r="BQ729" s="233"/>
      <c r="BR729" s="233"/>
      <c r="BS729" s="233"/>
      <c r="BT729" s="233"/>
      <c r="BU729" s="233"/>
      <c r="BV729" s="233"/>
      <c r="BW729" s="233"/>
      <c r="BX729" s="233"/>
      <c r="BY729" s="233"/>
      <c r="BZ729" s="233"/>
      <c r="CA729" s="233"/>
      <c r="CB729" s="233"/>
      <c r="CC729" s="233"/>
      <c r="CD729" s="233"/>
      <c r="CE729" s="233"/>
      <c r="CF729" s="233"/>
      <c r="CG729" s="233"/>
      <c r="CH729" s="233"/>
      <c r="CI729" s="233"/>
      <c r="CJ729" s="233"/>
      <c r="CK729" s="233"/>
      <c r="CL729" s="233"/>
      <c r="CM729" s="233"/>
      <c r="CN729" s="233"/>
      <c r="CO729" s="233"/>
      <c r="CP729" s="233"/>
      <c r="CQ729" s="233"/>
      <c r="CR729" s="233"/>
      <c r="CS729" s="233"/>
      <c r="CT729" s="233"/>
      <c r="CU729" s="233"/>
      <c r="CV729" s="233"/>
      <c r="CW729" s="233"/>
      <c r="CX729" s="233"/>
      <c r="CY729" s="233"/>
      <c r="CZ729" s="233"/>
      <c r="DA729" s="233"/>
      <c r="DB729" s="233"/>
      <c r="DC729" s="233"/>
      <c r="DD729" s="233"/>
      <c r="DE729" s="233"/>
      <c r="DF729" s="233"/>
      <c r="DG729" s="233"/>
      <c r="DH729" s="233"/>
      <c r="DI729" s="233"/>
      <c r="DJ729" s="233"/>
      <c r="DK729" s="233"/>
      <c r="DL729" s="233"/>
      <c r="DM729" s="233"/>
      <c r="DN729" s="233"/>
      <c r="DO729" s="233"/>
      <c r="DP729" s="233"/>
      <c r="DQ729" s="233"/>
      <c r="DR729" s="233"/>
      <c r="DS729" s="233"/>
      <c r="DT729" s="233"/>
      <c r="DU729" s="233"/>
      <c r="DV729" s="233"/>
      <c r="DW729" s="233"/>
      <c r="DX729" s="233"/>
      <c r="DY729" s="233"/>
      <c r="DZ729" s="233"/>
      <c r="EA729" s="233"/>
      <c r="EB729" s="233"/>
      <c r="EC729" s="233"/>
      <c r="ED729" s="233"/>
      <c r="EE729" s="233"/>
      <c r="EF729" s="233"/>
      <c r="EG729" s="233"/>
      <c r="EH729" s="233"/>
      <c r="EI729" s="233"/>
      <c r="EJ729" s="233"/>
      <c r="EK729" s="233"/>
      <c r="EL729" s="233"/>
      <c r="EM729" s="233"/>
      <c r="EN729" s="233"/>
      <c r="EO729" s="233"/>
      <c r="EP729" s="233"/>
    </row>
    <row r="730" spans="1:146" ht="14.25" x14ac:dyDescent="0.2">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c r="AW730" s="233"/>
      <c r="AX730" s="233"/>
      <c r="AY730" s="233"/>
      <c r="AZ730" s="233"/>
      <c r="BA730" s="233"/>
      <c r="BB730" s="233"/>
      <c r="BC730" s="233"/>
      <c r="BD730" s="233"/>
      <c r="BE730" s="233"/>
      <c r="BF730" s="233"/>
      <c r="BG730" s="233"/>
      <c r="BH730" s="233"/>
      <c r="BI730" s="233"/>
      <c r="BJ730" s="233"/>
      <c r="BK730" s="233"/>
      <c r="BL730" s="233"/>
      <c r="BM730" s="233"/>
      <c r="BN730" s="233"/>
      <c r="BO730" s="233"/>
      <c r="BP730" s="233"/>
      <c r="BQ730" s="233"/>
      <c r="BR730" s="233"/>
      <c r="BS730" s="233"/>
      <c r="BT730" s="233"/>
      <c r="BU730" s="233"/>
      <c r="BV730" s="233"/>
      <c r="BW730" s="233"/>
      <c r="BX730" s="233"/>
      <c r="BY730" s="233"/>
      <c r="BZ730" s="233"/>
      <c r="CA730" s="233"/>
      <c r="CB730" s="233"/>
      <c r="CC730" s="233"/>
      <c r="CD730" s="233"/>
      <c r="CE730" s="233"/>
      <c r="CF730" s="233"/>
      <c r="CG730" s="233"/>
      <c r="CH730" s="233"/>
      <c r="CI730" s="233"/>
      <c r="CJ730" s="233"/>
      <c r="CK730" s="233"/>
      <c r="CL730" s="233"/>
      <c r="CM730" s="233"/>
      <c r="CN730" s="233"/>
      <c r="CO730" s="233"/>
      <c r="CP730" s="233"/>
      <c r="CQ730" s="233"/>
      <c r="CR730" s="233"/>
      <c r="CS730" s="233"/>
      <c r="CT730" s="233"/>
      <c r="CU730" s="233"/>
      <c r="CV730" s="233"/>
      <c r="CW730" s="233"/>
      <c r="CX730" s="233"/>
      <c r="CY730" s="233"/>
      <c r="CZ730" s="233"/>
      <c r="DA730" s="233"/>
      <c r="DB730" s="233"/>
      <c r="DC730" s="233"/>
      <c r="DD730" s="233"/>
      <c r="DE730" s="233"/>
      <c r="DF730" s="233"/>
      <c r="DG730" s="233"/>
      <c r="DH730" s="233"/>
      <c r="DI730" s="233"/>
      <c r="DJ730" s="233"/>
      <c r="DK730" s="233"/>
      <c r="DL730" s="233"/>
      <c r="DM730" s="233"/>
      <c r="DN730" s="233"/>
      <c r="DO730" s="233"/>
      <c r="DP730" s="233"/>
      <c r="DQ730" s="233"/>
      <c r="DR730" s="233"/>
      <c r="DS730" s="233"/>
      <c r="DT730" s="233"/>
      <c r="DU730" s="233"/>
      <c r="DV730" s="233"/>
      <c r="DW730" s="233"/>
      <c r="DX730" s="233"/>
      <c r="DY730" s="233"/>
      <c r="DZ730" s="233"/>
      <c r="EA730" s="233"/>
      <c r="EB730" s="233"/>
      <c r="EC730" s="233"/>
      <c r="ED730" s="233"/>
      <c r="EE730" s="233"/>
      <c r="EF730" s="233"/>
      <c r="EG730" s="233"/>
      <c r="EH730" s="233"/>
      <c r="EI730" s="233"/>
      <c r="EJ730" s="233"/>
      <c r="EK730" s="233"/>
      <c r="EL730" s="233"/>
      <c r="EM730" s="233"/>
      <c r="EN730" s="233"/>
      <c r="EO730" s="233"/>
      <c r="EP730" s="233"/>
    </row>
    <row r="731" spans="1:146" ht="14.25" x14ac:dyDescent="0.2">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c r="AV731" s="233"/>
      <c r="AW731" s="233"/>
      <c r="AX731" s="233"/>
      <c r="AY731" s="233"/>
      <c r="AZ731" s="233"/>
      <c r="BA731" s="233"/>
      <c r="BB731" s="233"/>
      <c r="BC731" s="233"/>
      <c r="BD731" s="233"/>
      <c r="BE731" s="233"/>
      <c r="BF731" s="233"/>
      <c r="BG731" s="233"/>
      <c r="BH731" s="233"/>
      <c r="BI731" s="233"/>
      <c r="BJ731" s="233"/>
      <c r="BK731" s="233"/>
      <c r="BL731" s="233"/>
      <c r="BM731" s="233"/>
      <c r="BN731" s="233"/>
      <c r="BO731" s="233"/>
      <c r="BP731" s="233"/>
      <c r="BQ731" s="233"/>
      <c r="BR731" s="233"/>
      <c r="BS731" s="233"/>
      <c r="BT731" s="233"/>
      <c r="BU731" s="233"/>
      <c r="BV731" s="233"/>
      <c r="BW731" s="233"/>
      <c r="BX731" s="233"/>
      <c r="BY731" s="233"/>
      <c r="BZ731" s="233"/>
      <c r="CA731" s="233"/>
      <c r="CB731" s="233"/>
      <c r="CC731" s="233"/>
      <c r="CD731" s="233"/>
      <c r="CE731" s="233"/>
      <c r="CF731" s="233"/>
      <c r="CG731" s="233"/>
      <c r="CH731" s="233"/>
      <c r="CI731" s="233"/>
      <c r="CJ731" s="233"/>
      <c r="CK731" s="233"/>
      <c r="CL731" s="233"/>
      <c r="CM731" s="233"/>
      <c r="CN731" s="233"/>
      <c r="CO731" s="233"/>
      <c r="CP731" s="233"/>
      <c r="CQ731" s="233"/>
      <c r="CR731" s="233"/>
      <c r="CS731" s="233"/>
      <c r="CT731" s="233"/>
      <c r="CU731" s="233"/>
      <c r="CV731" s="233"/>
      <c r="CW731" s="233"/>
      <c r="CX731" s="233"/>
      <c r="CY731" s="233"/>
      <c r="CZ731" s="233"/>
      <c r="DA731" s="233"/>
      <c r="DB731" s="233"/>
      <c r="DC731" s="233"/>
      <c r="DD731" s="233"/>
      <c r="DE731" s="233"/>
      <c r="DF731" s="233"/>
      <c r="DG731" s="233"/>
      <c r="DH731" s="233"/>
      <c r="DI731" s="233"/>
      <c r="DJ731" s="233"/>
      <c r="DK731" s="233"/>
      <c r="DL731" s="233"/>
      <c r="DM731" s="233"/>
      <c r="DN731" s="233"/>
      <c r="DO731" s="233"/>
      <c r="DP731" s="233"/>
      <c r="DQ731" s="233"/>
      <c r="DR731" s="233"/>
      <c r="DS731" s="233"/>
      <c r="DT731" s="233"/>
      <c r="DU731" s="233"/>
      <c r="DV731" s="233"/>
      <c r="DW731" s="233"/>
      <c r="DX731" s="233"/>
      <c r="DY731" s="233"/>
      <c r="DZ731" s="233"/>
      <c r="EA731" s="233"/>
      <c r="EB731" s="233"/>
      <c r="EC731" s="233"/>
      <c r="ED731" s="233"/>
      <c r="EE731" s="233"/>
      <c r="EF731" s="233"/>
      <c r="EG731" s="233"/>
      <c r="EH731" s="233"/>
      <c r="EI731" s="233"/>
      <c r="EJ731" s="233"/>
      <c r="EK731" s="233"/>
      <c r="EL731" s="233"/>
      <c r="EM731" s="233"/>
      <c r="EN731" s="233"/>
      <c r="EO731" s="233"/>
      <c r="EP731" s="233"/>
    </row>
    <row r="732" spans="1:146" ht="14.25" x14ac:dyDescent="0.2">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c r="AV732" s="233"/>
      <c r="AW732" s="233"/>
      <c r="AX732" s="233"/>
      <c r="AY732" s="233"/>
      <c r="AZ732" s="233"/>
      <c r="BA732" s="233"/>
      <c r="BB732" s="233"/>
      <c r="BC732" s="233"/>
      <c r="BD732" s="233"/>
      <c r="BE732" s="233"/>
      <c r="BF732" s="233"/>
      <c r="BG732" s="233"/>
      <c r="BH732" s="233"/>
      <c r="BI732" s="233"/>
      <c r="BJ732" s="233"/>
      <c r="BK732" s="233"/>
      <c r="BL732" s="233"/>
      <c r="BM732" s="233"/>
      <c r="BN732" s="233"/>
      <c r="BO732" s="233"/>
      <c r="BP732" s="233"/>
      <c r="BQ732" s="233"/>
      <c r="BR732" s="233"/>
      <c r="BS732" s="233"/>
      <c r="BT732" s="233"/>
      <c r="BU732" s="233"/>
      <c r="BV732" s="233"/>
      <c r="BW732" s="233"/>
      <c r="BX732" s="233"/>
      <c r="BY732" s="233"/>
      <c r="BZ732" s="233"/>
      <c r="CA732" s="233"/>
      <c r="CB732" s="233"/>
      <c r="CC732" s="233"/>
      <c r="CD732" s="233"/>
      <c r="CE732" s="233"/>
      <c r="CF732" s="233"/>
      <c r="CG732" s="233"/>
      <c r="CH732" s="233"/>
      <c r="CI732" s="233"/>
      <c r="CJ732" s="233"/>
      <c r="CK732" s="233"/>
      <c r="CL732" s="233"/>
      <c r="CM732" s="233"/>
      <c r="CN732" s="233"/>
      <c r="CO732" s="233"/>
      <c r="CP732" s="233"/>
      <c r="CQ732" s="233"/>
      <c r="CR732" s="233"/>
      <c r="CS732" s="233"/>
      <c r="CT732" s="233"/>
      <c r="CU732" s="233"/>
      <c r="CV732" s="233"/>
      <c r="CW732" s="233"/>
      <c r="CX732" s="233"/>
      <c r="CY732" s="233"/>
      <c r="CZ732" s="233"/>
      <c r="DA732" s="233"/>
      <c r="DB732" s="233"/>
      <c r="DC732" s="233"/>
      <c r="DD732" s="233"/>
      <c r="DE732" s="233"/>
      <c r="DF732" s="233"/>
      <c r="DG732" s="233"/>
      <c r="DH732" s="233"/>
      <c r="DI732" s="233"/>
      <c r="DJ732" s="233"/>
      <c r="DK732" s="233"/>
      <c r="DL732" s="233"/>
      <c r="DM732" s="233"/>
      <c r="DN732" s="233"/>
      <c r="DO732" s="233"/>
      <c r="DP732" s="233"/>
      <c r="DQ732" s="233"/>
      <c r="DR732" s="233"/>
      <c r="DS732" s="233"/>
      <c r="DT732" s="233"/>
      <c r="DU732" s="233"/>
      <c r="DV732" s="233"/>
      <c r="DW732" s="233"/>
      <c r="DX732" s="233"/>
      <c r="DY732" s="233"/>
      <c r="DZ732" s="233"/>
      <c r="EA732" s="233"/>
      <c r="EB732" s="233"/>
      <c r="EC732" s="233"/>
      <c r="ED732" s="233"/>
      <c r="EE732" s="233"/>
      <c r="EF732" s="233"/>
      <c r="EG732" s="233"/>
      <c r="EH732" s="233"/>
      <c r="EI732" s="233"/>
      <c r="EJ732" s="233"/>
      <c r="EK732" s="233"/>
      <c r="EL732" s="233"/>
      <c r="EM732" s="233"/>
      <c r="EN732" s="233"/>
      <c r="EO732" s="233"/>
      <c r="EP732" s="233"/>
    </row>
    <row r="733" spans="1:146" ht="14.25" x14ac:dyDescent="0.2">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c r="AV733" s="233"/>
      <c r="AW733" s="233"/>
      <c r="AX733" s="233"/>
      <c r="AY733" s="233"/>
      <c r="AZ733" s="233"/>
      <c r="BA733" s="233"/>
      <c r="BB733" s="233"/>
      <c r="BC733" s="233"/>
      <c r="BD733" s="233"/>
      <c r="BE733" s="233"/>
      <c r="BF733" s="233"/>
      <c r="BG733" s="233"/>
      <c r="BH733" s="233"/>
      <c r="BI733" s="233"/>
      <c r="BJ733" s="233"/>
      <c r="BK733" s="233"/>
      <c r="BL733" s="233"/>
      <c r="BM733" s="233"/>
      <c r="BN733" s="233"/>
      <c r="BO733" s="233"/>
      <c r="BP733" s="233"/>
      <c r="BQ733" s="233"/>
      <c r="BR733" s="233"/>
      <c r="BS733" s="233"/>
      <c r="BT733" s="233"/>
      <c r="BU733" s="233"/>
      <c r="BV733" s="233"/>
      <c r="BW733" s="233"/>
      <c r="BX733" s="233"/>
      <c r="BY733" s="233"/>
      <c r="BZ733" s="233"/>
      <c r="CA733" s="233"/>
      <c r="CB733" s="233"/>
      <c r="CC733" s="233"/>
      <c r="CD733" s="233"/>
      <c r="CE733" s="233"/>
      <c r="CF733" s="233"/>
      <c r="CG733" s="233"/>
      <c r="CH733" s="233"/>
      <c r="CI733" s="233"/>
      <c r="CJ733" s="233"/>
      <c r="CK733" s="233"/>
      <c r="CL733" s="233"/>
      <c r="CM733" s="233"/>
      <c r="CN733" s="233"/>
      <c r="CO733" s="233"/>
      <c r="CP733" s="233"/>
      <c r="CQ733" s="233"/>
      <c r="CR733" s="233"/>
      <c r="CS733" s="233"/>
      <c r="CT733" s="233"/>
      <c r="CU733" s="233"/>
      <c r="CV733" s="233"/>
      <c r="CW733" s="233"/>
      <c r="CX733" s="233"/>
      <c r="CY733" s="233"/>
      <c r="CZ733" s="233"/>
      <c r="DA733" s="233"/>
      <c r="DB733" s="233"/>
      <c r="DC733" s="233"/>
      <c r="DD733" s="233"/>
      <c r="DE733" s="233"/>
      <c r="DF733" s="233"/>
      <c r="DG733" s="233"/>
      <c r="DH733" s="233"/>
      <c r="DI733" s="233"/>
      <c r="DJ733" s="233"/>
      <c r="DK733" s="233"/>
      <c r="DL733" s="233"/>
      <c r="DM733" s="233"/>
      <c r="DN733" s="233"/>
      <c r="DO733" s="233"/>
      <c r="DP733" s="233"/>
      <c r="DQ733" s="233"/>
      <c r="DR733" s="233"/>
      <c r="DS733" s="233"/>
      <c r="DT733" s="233"/>
      <c r="DU733" s="233"/>
      <c r="DV733" s="233"/>
      <c r="DW733" s="233"/>
      <c r="DX733" s="233"/>
      <c r="DY733" s="233"/>
      <c r="DZ733" s="233"/>
      <c r="EA733" s="233"/>
      <c r="EB733" s="233"/>
      <c r="EC733" s="233"/>
      <c r="ED733" s="233"/>
      <c r="EE733" s="233"/>
      <c r="EF733" s="233"/>
      <c r="EG733" s="233"/>
      <c r="EH733" s="233"/>
      <c r="EI733" s="233"/>
      <c r="EJ733" s="233"/>
      <c r="EK733" s="233"/>
      <c r="EL733" s="233"/>
      <c r="EM733" s="233"/>
      <c r="EN733" s="233"/>
      <c r="EO733" s="233"/>
      <c r="EP733" s="233"/>
    </row>
    <row r="734" spans="1:146" ht="14.25" x14ac:dyDescent="0.2">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c r="AV734" s="233"/>
      <c r="AW734" s="233"/>
      <c r="AX734" s="233"/>
      <c r="AY734" s="233"/>
      <c r="AZ734" s="233"/>
      <c r="BA734" s="233"/>
      <c r="BB734" s="233"/>
      <c r="BC734" s="233"/>
      <c r="BD734" s="233"/>
      <c r="BE734" s="233"/>
      <c r="BF734" s="233"/>
      <c r="BG734" s="233"/>
      <c r="BH734" s="233"/>
      <c r="BI734" s="233"/>
      <c r="BJ734" s="233"/>
      <c r="BK734" s="233"/>
      <c r="BL734" s="233"/>
      <c r="BM734" s="233"/>
      <c r="BN734" s="233"/>
      <c r="BO734" s="233"/>
      <c r="BP734" s="233"/>
      <c r="BQ734" s="233"/>
      <c r="BR734" s="233"/>
      <c r="BS734" s="233"/>
      <c r="BT734" s="233"/>
      <c r="BU734" s="233"/>
      <c r="BV734" s="233"/>
      <c r="BW734" s="233"/>
      <c r="BX734" s="233"/>
      <c r="BY734" s="233"/>
      <c r="BZ734" s="233"/>
      <c r="CA734" s="233"/>
      <c r="CB734" s="233"/>
      <c r="CC734" s="233"/>
      <c r="CD734" s="233"/>
      <c r="CE734" s="233"/>
      <c r="CF734" s="233"/>
      <c r="CG734" s="233"/>
      <c r="CH734" s="233"/>
      <c r="CI734" s="233"/>
      <c r="CJ734" s="233"/>
      <c r="CK734" s="233"/>
      <c r="CL734" s="233"/>
      <c r="CM734" s="233"/>
      <c r="CN734" s="233"/>
      <c r="CO734" s="233"/>
      <c r="CP734" s="233"/>
      <c r="CQ734" s="233"/>
      <c r="CR734" s="233"/>
      <c r="CS734" s="233"/>
      <c r="CT734" s="233"/>
      <c r="CU734" s="233"/>
      <c r="CV734" s="233"/>
      <c r="CW734" s="233"/>
      <c r="CX734" s="233"/>
      <c r="CY734" s="233"/>
      <c r="CZ734" s="233"/>
      <c r="DA734" s="233"/>
      <c r="DB734" s="233"/>
      <c r="DC734" s="233"/>
      <c r="DD734" s="233"/>
      <c r="DE734" s="233"/>
      <c r="DF734" s="233"/>
      <c r="DG734" s="233"/>
      <c r="DH734" s="233"/>
      <c r="DI734" s="233"/>
      <c r="DJ734" s="233"/>
      <c r="DK734" s="233"/>
      <c r="DL734" s="233"/>
      <c r="DM734" s="233"/>
      <c r="DN734" s="233"/>
      <c r="DO734" s="233"/>
      <c r="DP734" s="233"/>
      <c r="DQ734" s="233"/>
      <c r="DR734" s="233"/>
      <c r="DS734" s="233"/>
      <c r="DT734" s="233"/>
      <c r="DU734" s="233"/>
      <c r="DV734" s="233"/>
      <c r="DW734" s="233"/>
      <c r="DX734" s="233"/>
      <c r="DY734" s="233"/>
      <c r="DZ734" s="233"/>
      <c r="EA734" s="233"/>
      <c r="EB734" s="233"/>
      <c r="EC734" s="233"/>
      <c r="ED734" s="233"/>
      <c r="EE734" s="233"/>
      <c r="EF734" s="233"/>
      <c r="EG734" s="233"/>
      <c r="EH734" s="233"/>
      <c r="EI734" s="233"/>
      <c r="EJ734" s="233"/>
      <c r="EK734" s="233"/>
      <c r="EL734" s="233"/>
      <c r="EM734" s="233"/>
      <c r="EN734" s="233"/>
      <c r="EO734" s="233"/>
      <c r="EP734" s="233"/>
    </row>
    <row r="735" spans="1:146" ht="14.25" x14ac:dyDescent="0.2">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c r="AV735" s="233"/>
      <c r="AW735" s="233"/>
      <c r="AX735" s="233"/>
      <c r="AY735" s="233"/>
      <c r="AZ735" s="233"/>
      <c r="BA735" s="233"/>
      <c r="BB735" s="233"/>
      <c r="BC735" s="233"/>
      <c r="BD735" s="233"/>
      <c r="BE735" s="233"/>
      <c r="BF735" s="233"/>
      <c r="BG735" s="233"/>
      <c r="BH735" s="233"/>
      <c r="BI735" s="233"/>
      <c r="BJ735" s="233"/>
      <c r="BK735" s="233"/>
      <c r="BL735" s="233"/>
      <c r="BM735" s="233"/>
      <c r="BN735" s="233"/>
      <c r="BO735" s="233"/>
      <c r="BP735" s="233"/>
      <c r="BQ735" s="233"/>
      <c r="BR735" s="233"/>
      <c r="BS735" s="233"/>
      <c r="BT735" s="233"/>
      <c r="BU735" s="233"/>
      <c r="BV735" s="233"/>
      <c r="BW735" s="233"/>
      <c r="BX735" s="233"/>
      <c r="BY735" s="233"/>
      <c r="BZ735" s="233"/>
      <c r="CA735" s="233"/>
      <c r="CB735" s="233"/>
      <c r="CC735" s="233"/>
      <c r="CD735" s="233"/>
      <c r="CE735" s="233"/>
      <c r="CF735" s="233"/>
      <c r="CG735" s="233"/>
      <c r="CH735" s="233"/>
      <c r="CI735" s="233"/>
      <c r="CJ735" s="233"/>
      <c r="CK735" s="233"/>
      <c r="CL735" s="233"/>
      <c r="CM735" s="233"/>
      <c r="CN735" s="233"/>
      <c r="CO735" s="233"/>
      <c r="CP735" s="233"/>
      <c r="CQ735" s="233"/>
      <c r="CR735" s="233"/>
      <c r="CS735" s="233"/>
      <c r="CT735" s="233"/>
      <c r="CU735" s="233"/>
      <c r="CV735" s="233"/>
      <c r="CW735" s="233"/>
      <c r="CX735" s="233"/>
      <c r="CY735" s="233"/>
      <c r="CZ735" s="233"/>
      <c r="DA735" s="233"/>
      <c r="DB735" s="233"/>
      <c r="DC735" s="233"/>
      <c r="DD735" s="233"/>
      <c r="DE735" s="233"/>
      <c r="DF735" s="233"/>
      <c r="DG735" s="233"/>
      <c r="DH735" s="233"/>
      <c r="DI735" s="233"/>
      <c r="DJ735" s="233"/>
      <c r="DK735" s="233"/>
      <c r="DL735" s="233"/>
      <c r="DM735" s="233"/>
      <c r="DN735" s="233"/>
      <c r="DO735" s="233"/>
      <c r="DP735" s="233"/>
      <c r="DQ735" s="233"/>
      <c r="DR735" s="233"/>
      <c r="DS735" s="233"/>
      <c r="DT735" s="233"/>
      <c r="DU735" s="233"/>
      <c r="DV735" s="233"/>
      <c r="DW735" s="233"/>
      <c r="DX735" s="233"/>
      <c r="DY735" s="233"/>
      <c r="DZ735" s="233"/>
      <c r="EA735" s="233"/>
      <c r="EB735" s="233"/>
      <c r="EC735" s="233"/>
      <c r="ED735" s="233"/>
      <c r="EE735" s="233"/>
      <c r="EF735" s="233"/>
      <c r="EG735" s="233"/>
      <c r="EH735" s="233"/>
      <c r="EI735" s="233"/>
      <c r="EJ735" s="233"/>
      <c r="EK735" s="233"/>
      <c r="EL735" s="233"/>
      <c r="EM735" s="233"/>
      <c r="EN735" s="233"/>
      <c r="EO735" s="233"/>
      <c r="EP735" s="233"/>
    </row>
    <row r="736" spans="1:146" ht="14.25" x14ac:dyDescent="0.2">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c r="AV736" s="233"/>
      <c r="AW736" s="233"/>
      <c r="AX736" s="233"/>
      <c r="AY736" s="233"/>
      <c r="AZ736" s="233"/>
      <c r="BA736" s="233"/>
      <c r="BB736" s="233"/>
      <c r="BC736" s="233"/>
      <c r="BD736" s="233"/>
      <c r="BE736" s="233"/>
      <c r="BF736" s="233"/>
      <c r="BG736" s="233"/>
      <c r="BH736" s="233"/>
      <c r="BI736" s="233"/>
      <c r="BJ736" s="233"/>
      <c r="BK736" s="233"/>
      <c r="BL736" s="233"/>
      <c r="BM736" s="233"/>
      <c r="BN736" s="233"/>
      <c r="BO736" s="233"/>
      <c r="BP736" s="233"/>
      <c r="BQ736" s="233"/>
      <c r="BR736" s="233"/>
      <c r="BS736" s="233"/>
      <c r="BT736" s="233"/>
      <c r="BU736" s="233"/>
      <c r="BV736" s="233"/>
      <c r="BW736" s="233"/>
      <c r="BX736" s="233"/>
      <c r="BY736" s="233"/>
      <c r="BZ736" s="233"/>
      <c r="CA736" s="233"/>
      <c r="CB736" s="233"/>
      <c r="CC736" s="233"/>
      <c r="CD736" s="233"/>
      <c r="CE736" s="233"/>
      <c r="CF736" s="233"/>
      <c r="CG736" s="233"/>
      <c r="CH736" s="233"/>
      <c r="CI736" s="233"/>
      <c r="CJ736" s="233"/>
      <c r="CK736" s="233"/>
      <c r="CL736" s="233"/>
      <c r="CM736" s="233"/>
      <c r="CN736" s="233"/>
      <c r="CO736" s="233"/>
      <c r="CP736" s="233"/>
      <c r="CQ736" s="233"/>
      <c r="CR736" s="233"/>
      <c r="CS736" s="233"/>
      <c r="CT736" s="233"/>
      <c r="CU736" s="233"/>
      <c r="CV736" s="233"/>
      <c r="CW736" s="233"/>
      <c r="CX736" s="233"/>
      <c r="CY736" s="233"/>
      <c r="CZ736" s="233"/>
      <c r="DA736" s="233"/>
      <c r="DB736" s="233"/>
      <c r="DC736" s="233"/>
      <c r="DD736" s="233"/>
      <c r="DE736" s="233"/>
      <c r="DF736" s="233"/>
      <c r="DG736" s="233"/>
      <c r="DH736" s="233"/>
      <c r="DI736" s="233"/>
      <c r="DJ736" s="233"/>
      <c r="DK736" s="233"/>
      <c r="DL736" s="233"/>
      <c r="DM736" s="233"/>
      <c r="DN736" s="233"/>
      <c r="DO736" s="233"/>
      <c r="DP736" s="233"/>
      <c r="DQ736" s="233"/>
      <c r="DR736" s="233"/>
      <c r="DS736" s="233"/>
      <c r="DT736" s="233"/>
      <c r="DU736" s="233"/>
      <c r="DV736" s="233"/>
      <c r="DW736" s="233"/>
      <c r="DX736" s="233"/>
      <c r="DY736" s="233"/>
      <c r="DZ736" s="233"/>
      <c r="EA736" s="233"/>
      <c r="EB736" s="233"/>
      <c r="EC736" s="233"/>
      <c r="ED736" s="233"/>
      <c r="EE736" s="233"/>
      <c r="EF736" s="233"/>
      <c r="EG736" s="233"/>
      <c r="EH736" s="233"/>
      <c r="EI736" s="233"/>
      <c r="EJ736" s="233"/>
      <c r="EK736" s="233"/>
      <c r="EL736" s="233"/>
      <c r="EM736" s="233"/>
      <c r="EN736" s="233"/>
      <c r="EO736" s="233"/>
      <c r="EP736" s="233"/>
    </row>
    <row r="737" spans="1:146" ht="14.25" x14ac:dyDescent="0.2">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c r="AV737" s="233"/>
      <c r="AW737" s="233"/>
      <c r="AX737" s="233"/>
      <c r="AY737" s="233"/>
      <c r="AZ737" s="233"/>
      <c r="BA737" s="233"/>
      <c r="BB737" s="233"/>
      <c r="BC737" s="233"/>
      <c r="BD737" s="233"/>
      <c r="BE737" s="233"/>
      <c r="BF737" s="233"/>
      <c r="BG737" s="233"/>
      <c r="BH737" s="233"/>
      <c r="BI737" s="233"/>
      <c r="BJ737" s="233"/>
      <c r="BK737" s="233"/>
      <c r="BL737" s="233"/>
      <c r="BM737" s="233"/>
      <c r="BN737" s="233"/>
      <c r="BO737" s="233"/>
      <c r="BP737" s="233"/>
      <c r="BQ737" s="233"/>
      <c r="BR737" s="233"/>
      <c r="BS737" s="233"/>
      <c r="BT737" s="233"/>
      <c r="BU737" s="233"/>
      <c r="BV737" s="233"/>
      <c r="BW737" s="233"/>
      <c r="BX737" s="233"/>
      <c r="BY737" s="233"/>
      <c r="BZ737" s="233"/>
      <c r="CA737" s="233"/>
      <c r="CB737" s="233"/>
      <c r="CC737" s="233"/>
      <c r="CD737" s="233"/>
      <c r="CE737" s="233"/>
      <c r="CF737" s="233"/>
      <c r="CG737" s="233"/>
      <c r="CH737" s="233"/>
      <c r="CI737" s="233"/>
      <c r="CJ737" s="233"/>
      <c r="CK737" s="233"/>
      <c r="CL737" s="233"/>
      <c r="CM737" s="233"/>
      <c r="CN737" s="233"/>
      <c r="CO737" s="233"/>
      <c r="CP737" s="233"/>
      <c r="CQ737" s="233"/>
      <c r="CR737" s="233"/>
      <c r="CS737" s="233"/>
      <c r="CT737" s="233"/>
      <c r="CU737" s="233"/>
      <c r="CV737" s="233"/>
      <c r="CW737" s="233"/>
      <c r="CX737" s="233"/>
      <c r="CY737" s="233"/>
      <c r="CZ737" s="233"/>
      <c r="DA737" s="233"/>
      <c r="DB737" s="233"/>
      <c r="DC737" s="233"/>
      <c r="DD737" s="233"/>
      <c r="DE737" s="233"/>
      <c r="DF737" s="233"/>
      <c r="DG737" s="233"/>
      <c r="DH737" s="233"/>
      <c r="DI737" s="233"/>
      <c r="DJ737" s="233"/>
      <c r="DK737" s="233"/>
      <c r="DL737" s="233"/>
      <c r="DM737" s="233"/>
      <c r="DN737" s="233"/>
      <c r="DO737" s="233"/>
      <c r="DP737" s="233"/>
      <c r="DQ737" s="233"/>
      <c r="DR737" s="233"/>
      <c r="DS737" s="233"/>
      <c r="DT737" s="233"/>
      <c r="DU737" s="233"/>
      <c r="DV737" s="233"/>
      <c r="DW737" s="233"/>
      <c r="DX737" s="233"/>
      <c r="DY737" s="233"/>
      <c r="DZ737" s="233"/>
      <c r="EA737" s="233"/>
      <c r="EB737" s="233"/>
      <c r="EC737" s="233"/>
      <c r="ED737" s="233"/>
      <c r="EE737" s="233"/>
      <c r="EF737" s="233"/>
      <c r="EG737" s="233"/>
      <c r="EH737" s="233"/>
      <c r="EI737" s="233"/>
      <c r="EJ737" s="233"/>
      <c r="EK737" s="233"/>
      <c r="EL737" s="233"/>
      <c r="EM737" s="233"/>
      <c r="EN737" s="233"/>
      <c r="EO737" s="233"/>
      <c r="EP737" s="233"/>
    </row>
    <row r="738" spans="1:146" ht="14.25" x14ac:dyDescent="0.2">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233"/>
      <c r="CD738" s="233"/>
      <c r="CE738" s="233"/>
      <c r="CF738" s="233"/>
      <c r="CG738" s="233"/>
      <c r="CH738" s="233"/>
      <c r="CI738" s="233"/>
      <c r="CJ738" s="233"/>
      <c r="CK738" s="233"/>
      <c r="CL738" s="233"/>
      <c r="CM738" s="233"/>
      <c r="CN738" s="233"/>
      <c r="CO738" s="233"/>
      <c r="CP738" s="233"/>
      <c r="CQ738" s="233"/>
      <c r="CR738" s="233"/>
      <c r="CS738" s="233"/>
      <c r="CT738" s="233"/>
      <c r="CU738" s="233"/>
      <c r="CV738" s="233"/>
      <c r="CW738" s="233"/>
      <c r="CX738" s="233"/>
      <c r="CY738" s="233"/>
      <c r="CZ738" s="233"/>
      <c r="DA738" s="233"/>
      <c r="DB738" s="233"/>
      <c r="DC738" s="233"/>
      <c r="DD738" s="233"/>
      <c r="DE738" s="233"/>
      <c r="DF738" s="233"/>
      <c r="DG738" s="233"/>
      <c r="DH738" s="233"/>
      <c r="DI738" s="233"/>
      <c r="DJ738" s="233"/>
      <c r="DK738" s="233"/>
      <c r="DL738" s="233"/>
      <c r="DM738" s="233"/>
      <c r="DN738" s="233"/>
      <c r="DO738" s="233"/>
      <c r="DP738" s="233"/>
      <c r="DQ738" s="233"/>
      <c r="DR738" s="233"/>
      <c r="DS738" s="233"/>
      <c r="DT738" s="233"/>
      <c r="DU738" s="233"/>
      <c r="DV738" s="233"/>
      <c r="DW738" s="233"/>
      <c r="DX738" s="233"/>
      <c r="DY738" s="233"/>
      <c r="DZ738" s="233"/>
      <c r="EA738" s="233"/>
      <c r="EB738" s="233"/>
      <c r="EC738" s="233"/>
      <c r="ED738" s="233"/>
      <c r="EE738" s="233"/>
      <c r="EF738" s="233"/>
      <c r="EG738" s="233"/>
      <c r="EH738" s="233"/>
      <c r="EI738" s="233"/>
      <c r="EJ738" s="233"/>
      <c r="EK738" s="233"/>
      <c r="EL738" s="233"/>
      <c r="EM738" s="233"/>
      <c r="EN738" s="233"/>
      <c r="EO738" s="233"/>
      <c r="EP738" s="233"/>
    </row>
    <row r="739" spans="1:146" ht="14.25" x14ac:dyDescent="0.2">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c r="AV739" s="233"/>
      <c r="AW739" s="233"/>
      <c r="AX739" s="233"/>
      <c r="AY739" s="233"/>
      <c r="AZ739" s="233"/>
      <c r="BA739" s="233"/>
      <c r="BB739" s="233"/>
      <c r="BC739" s="233"/>
      <c r="BD739" s="233"/>
      <c r="BE739" s="233"/>
      <c r="BF739" s="233"/>
      <c r="BG739" s="233"/>
      <c r="BH739" s="233"/>
      <c r="BI739" s="233"/>
      <c r="BJ739" s="233"/>
      <c r="BK739" s="233"/>
      <c r="BL739" s="233"/>
      <c r="BM739" s="233"/>
      <c r="BN739" s="233"/>
      <c r="BO739" s="233"/>
      <c r="BP739" s="233"/>
      <c r="BQ739" s="233"/>
      <c r="BR739" s="233"/>
      <c r="BS739" s="233"/>
      <c r="BT739" s="233"/>
      <c r="BU739" s="233"/>
      <c r="BV739" s="233"/>
      <c r="BW739" s="233"/>
      <c r="BX739" s="233"/>
      <c r="BY739" s="233"/>
      <c r="BZ739" s="233"/>
      <c r="CA739" s="233"/>
      <c r="CB739" s="233"/>
      <c r="CC739" s="233"/>
      <c r="CD739" s="233"/>
      <c r="CE739" s="233"/>
      <c r="CF739" s="233"/>
      <c r="CG739" s="233"/>
      <c r="CH739" s="233"/>
      <c r="CI739" s="233"/>
      <c r="CJ739" s="233"/>
      <c r="CK739" s="233"/>
      <c r="CL739" s="233"/>
      <c r="CM739" s="233"/>
      <c r="CN739" s="233"/>
      <c r="CO739" s="233"/>
      <c r="CP739" s="233"/>
      <c r="CQ739" s="233"/>
      <c r="CR739" s="233"/>
      <c r="CS739" s="233"/>
      <c r="CT739" s="233"/>
      <c r="CU739" s="233"/>
      <c r="CV739" s="233"/>
      <c r="CW739" s="233"/>
      <c r="CX739" s="233"/>
      <c r="CY739" s="233"/>
      <c r="CZ739" s="233"/>
      <c r="DA739" s="233"/>
      <c r="DB739" s="233"/>
      <c r="DC739" s="233"/>
      <c r="DD739" s="233"/>
      <c r="DE739" s="233"/>
      <c r="DF739" s="233"/>
      <c r="DG739" s="233"/>
      <c r="DH739" s="233"/>
      <c r="DI739" s="233"/>
      <c r="DJ739" s="233"/>
      <c r="DK739" s="233"/>
      <c r="DL739" s="233"/>
      <c r="DM739" s="233"/>
      <c r="DN739" s="233"/>
      <c r="DO739" s="233"/>
      <c r="DP739" s="233"/>
      <c r="DQ739" s="233"/>
      <c r="DR739" s="233"/>
      <c r="DS739" s="233"/>
      <c r="DT739" s="233"/>
      <c r="DU739" s="233"/>
      <c r="DV739" s="233"/>
      <c r="DW739" s="233"/>
      <c r="DX739" s="233"/>
      <c r="DY739" s="233"/>
      <c r="DZ739" s="233"/>
      <c r="EA739" s="233"/>
      <c r="EB739" s="233"/>
      <c r="EC739" s="233"/>
      <c r="ED739" s="233"/>
      <c r="EE739" s="233"/>
      <c r="EF739" s="233"/>
      <c r="EG739" s="233"/>
      <c r="EH739" s="233"/>
      <c r="EI739" s="233"/>
      <c r="EJ739" s="233"/>
      <c r="EK739" s="233"/>
      <c r="EL739" s="233"/>
      <c r="EM739" s="233"/>
      <c r="EN739" s="233"/>
      <c r="EO739" s="233"/>
      <c r="EP739" s="233"/>
    </row>
    <row r="740" spans="1:146" ht="14.25" x14ac:dyDescent="0.2">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c r="AW740" s="233"/>
      <c r="AX740" s="233"/>
      <c r="AY740" s="233"/>
      <c r="AZ740" s="233"/>
      <c r="BA740" s="233"/>
      <c r="BB740" s="233"/>
      <c r="BC740" s="233"/>
      <c r="BD740" s="233"/>
      <c r="BE740" s="233"/>
      <c r="BF740" s="233"/>
      <c r="BG740" s="233"/>
      <c r="BH740" s="233"/>
      <c r="BI740" s="233"/>
      <c r="BJ740" s="233"/>
      <c r="BK740" s="233"/>
      <c r="BL740" s="233"/>
      <c r="BM740" s="233"/>
      <c r="BN740" s="233"/>
      <c r="BO740" s="233"/>
      <c r="BP740" s="233"/>
      <c r="BQ740" s="233"/>
      <c r="BR740" s="233"/>
      <c r="BS740" s="233"/>
      <c r="BT740" s="233"/>
      <c r="BU740" s="233"/>
      <c r="BV740" s="233"/>
      <c r="BW740" s="233"/>
      <c r="BX740" s="233"/>
      <c r="BY740" s="233"/>
      <c r="BZ740" s="233"/>
      <c r="CA740" s="233"/>
      <c r="CB740" s="233"/>
      <c r="CC740" s="233"/>
      <c r="CD740" s="233"/>
      <c r="CE740" s="233"/>
      <c r="CF740" s="233"/>
      <c r="CG740" s="233"/>
      <c r="CH740" s="233"/>
      <c r="CI740" s="233"/>
      <c r="CJ740" s="233"/>
      <c r="CK740" s="233"/>
      <c r="CL740" s="233"/>
      <c r="CM740" s="233"/>
      <c r="CN740" s="233"/>
      <c r="CO740" s="233"/>
      <c r="CP740" s="233"/>
      <c r="CQ740" s="233"/>
      <c r="CR740" s="233"/>
      <c r="CS740" s="233"/>
      <c r="CT740" s="233"/>
      <c r="CU740" s="233"/>
      <c r="CV740" s="233"/>
      <c r="CW740" s="233"/>
      <c r="CX740" s="233"/>
      <c r="CY740" s="233"/>
      <c r="CZ740" s="233"/>
      <c r="DA740" s="233"/>
      <c r="DB740" s="233"/>
      <c r="DC740" s="233"/>
      <c r="DD740" s="233"/>
      <c r="DE740" s="233"/>
      <c r="DF740" s="233"/>
      <c r="DG740" s="233"/>
      <c r="DH740" s="233"/>
      <c r="DI740" s="233"/>
      <c r="DJ740" s="233"/>
      <c r="DK740" s="233"/>
      <c r="DL740" s="233"/>
      <c r="DM740" s="233"/>
      <c r="DN740" s="233"/>
      <c r="DO740" s="233"/>
      <c r="DP740" s="233"/>
      <c r="DQ740" s="233"/>
      <c r="DR740" s="233"/>
      <c r="DS740" s="233"/>
      <c r="DT740" s="233"/>
      <c r="DU740" s="233"/>
      <c r="DV740" s="233"/>
      <c r="DW740" s="233"/>
      <c r="DX740" s="233"/>
      <c r="DY740" s="233"/>
      <c r="DZ740" s="233"/>
      <c r="EA740" s="233"/>
      <c r="EB740" s="233"/>
      <c r="EC740" s="233"/>
      <c r="ED740" s="233"/>
      <c r="EE740" s="233"/>
      <c r="EF740" s="233"/>
      <c r="EG740" s="233"/>
      <c r="EH740" s="233"/>
      <c r="EI740" s="233"/>
      <c r="EJ740" s="233"/>
      <c r="EK740" s="233"/>
      <c r="EL740" s="233"/>
      <c r="EM740" s="233"/>
      <c r="EN740" s="233"/>
      <c r="EO740" s="233"/>
      <c r="EP740" s="233"/>
    </row>
    <row r="741" spans="1:146" ht="14.25" x14ac:dyDescent="0.2">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233"/>
      <c r="CD741" s="233"/>
      <c r="CE741" s="233"/>
      <c r="CF741" s="233"/>
      <c r="CG741" s="233"/>
      <c r="CH741" s="233"/>
      <c r="CI741" s="233"/>
      <c r="CJ741" s="233"/>
      <c r="CK741" s="233"/>
      <c r="CL741" s="233"/>
      <c r="CM741" s="233"/>
      <c r="CN741" s="233"/>
      <c r="CO741" s="233"/>
      <c r="CP741" s="233"/>
      <c r="CQ741" s="233"/>
      <c r="CR741" s="233"/>
      <c r="CS741" s="233"/>
      <c r="CT741" s="233"/>
      <c r="CU741" s="233"/>
      <c r="CV741" s="233"/>
      <c r="CW741" s="233"/>
      <c r="CX741" s="233"/>
      <c r="CY741" s="233"/>
      <c r="CZ741" s="233"/>
      <c r="DA741" s="233"/>
      <c r="DB741" s="233"/>
      <c r="DC741" s="233"/>
      <c r="DD741" s="233"/>
      <c r="DE741" s="233"/>
      <c r="DF741" s="233"/>
      <c r="DG741" s="233"/>
      <c r="DH741" s="233"/>
      <c r="DI741" s="233"/>
      <c r="DJ741" s="233"/>
      <c r="DK741" s="233"/>
      <c r="DL741" s="233"/>
      <c r="DM741" s="233"/>
      <c r="DN741" s="233"/>
      <c r="DO741" s="233"/>
      <c r="DP741" s="233"/>
      <c r="DQ741" s="233"/>
      <c r="DR741" s="233"/>
      <c r="DS741" s="233"/>
      <c r="DT741" s="233"/>
      <c r="DU741" s="233"/>
      <c r="DV741" s="233"/>
      <c r="DW741" s="233"/>
      <c r="DX741" s="233"/>
      <c r="DY741" s="233"/>
      <c r="DZ741" s="233"/>
      <c r="EA741" s="233"/>
      <c r="EB741" s="233"/>
      <c r="EC741" s="233"/>
      <c r="ED741" s="233"/>
      <c r="EE741" s="233"/>
      <c r="EF741" s="233"/>
      <c r="EG741" s="233"/>
      <c r="EH741" s="233"/>
      <c r="EI741" s="233"/>
      <c r="EJ741" s="233"/>
      <c r="EK741" s="233"/>
      <c r="EL741" s="233"/>
      <c r="EM741" s="233"/>
      <c r="EN741" s="233"/>
      <c r="EO741" s="233"/>
      <c r="EP741" s="233"/>
    </row>
    <row r="742" spans="1:146" ht="14.25" x14ac:dyDescent="0.2">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c r="AV742" s="233"/>
      <c r="AW742" s="233"/>
      <c r="AX742" s="233"/>
      <c r="AY742" s="233"/>
      <c r="AZ742" s="233"/>
      <c r="BA742" s="233"/>
      <c r="BB742" s="233"/>
      <c r="BC742" s="233"/>
      <c r="BD742" s="233"/>
      <c r="BE742" s="233"/>
      <c r="BF742" s="233"/>
      <c r="BG742" s="233"/>
      <c r="BH742" s="233"/>
      <c r="BI742" s="233"/>
      <c r="BJ742" s="233"/>
      <c r="BK742" s="233"/>
      <c r="BL742" s="233"/>
      <c r="BM742" s="233"/>
      <c r="BN742" s="233"/>
      <c r="BO742" s="233"/>
      <c r="BP742" s="233"/>
      <c r="BQ742" s="233"/>
      <c r="BR742" s="233"/>
      <c r="BS742" s="233"/>
      <c r="BT742" s="233"/>
      <c r="BU742" s="233"/>
      <c r="BV742" s="233"/>
      <c r="BW742" s="233"/>
      <c r="BX742" s="233"/>
      <c r="BY742" s="233"/>
      <c r="BZ742" s="233"/>
      <c r="CA742" s="233"/>
      <c r="CB742" s="233"/>
      <c r="CC742" s="233"/>
      <c r="CD742" s="233"/>
      <c r="CE742" s="233"/>
      <c r="CF742" s="233"/>
      <c r="CG742" s="233"/>
      <c r="CH742" s="233"/>
      <c r="CI742" s="233"/>
      <c r="CJ742" s="233"/>
      <c r="CK742" s="233"/>
      <c r="CL742" s="233"/>
      <c r="CM742" s="233"/>
      <c r="CN742" s="233"/>
      <c r="CO742" s="233"/>
      <c r="CP742" s="233"/>
      <c r="CQ742" s="233"/>
      <c r="CR742" s="233"/>
      <c r="CS742" s="233"/>
      <c r="CT742" s="233"/>
      <c r="CU742" s="233"/>
      <c r="CV742" s="233"/>
      <c r="CW742" s="233"/>
      <c r="CX742" s="233"/>
      <c r="CY742" s="233"/>
      <c r="CZ742" s="233"/>
      <c r="DA742" s="233"/>
      <c r="DB742" s="233"/>
      <c r="DC742" s="233"/>
      <c r="DD742" s="233"/>
      <c r="DE742" s="233"/>
      <c r="DF742" s="233"/>
      <c r="DG742" s="233"/>
      <c r="DH742" s="233"/>
      <c r="DI742" s="233"/>
      <c r="DJ742" s="233"/>
      <c r="DK742" s="233"/>
      <c r="DL742" s="233"/>
      <c r="DM742" s="233"/>
      <c r="DN742" s="233"/>
      <c r="DO742" s="233"/>
      <c r="DP742" s="233"/>
      <c r="DQ742" s="233"/>
      <c r="DR742" s="233"/>
      <c r="DS742" s="233"/>
      <c r="DT742" s="233"/>
      <c r="DU742" s="233"/>
      <c r="DV742" s="233"/>
      <c r="DW742" s="233"/>
      <c r="DX742" s="233"/>
      <c r="DY742" s="233"/>
      <c r="DZ742" s="233"/>
      <c r="EA742" s="233"/>
      <c r="EB742" s="233"/>
      <c r="EC742" s="233"/>
      <c r="ED742" s="233"/>
      <c r="EE742" s="233"/>
      <c r="EF742" s="233"/>
      <c r="EG742" s="233"/>
      <c r="EH742" s="233"/>
      <c r="EI742" s="233"/>
      <c r="EJ742" s="233"/>
      <c r="EK742" s="233"/>
      <c r="EL742" s="233"/>
      <c r="EM742" s="233"/>
      <c r="EN742" s="233"/>
      <c r="EO742" s="233"/>
      <c r="EP742" s="233"/>
    </row>
    <row r="743" spans="1:146" ht="14.25" x14ac:dyDescent="0.2">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c r="AV743" s="233"/>
      <c r="AW743" s="233"/>
      <c r="AX743" s="233"/>
      <c r="AY743" s="233"/>
      <c r="AZ743" s="233"/>
      <c r="BA743" s="233"/>
      <c r="BB743" s="233"/>
      <c r="BC743" s="233"/>
      <c r="BD743" s="233"/>
      <c r="BE743" s="233"/>
      <c r="BF743" s="233"/>
      <c r="BG743" s="233"/>
      <c r="BH743" s="233"/>
      <c r="BI743" s="233"/>
      <c r="BJ743" s="233"/>
      <c r="BK743" s="233"/>
      <c r="BL743" s="233"/>
      <c r="BM743" s="233"/>
      <c r="BN743" s="233"/>
      <c r="BO743" s="233"/>
      <c r="BP743" s="233"/>
      <c r="BQ743" s="233"/>
      <c r="BR743" s="233"/>
      <c r="BS743" s="233"/>
      <c r="BT743" s="233"/>
      <c r="BU743" s="233"/>
      <c r="BV743" s="233"/>
      <c r="BW743" s="233"/>
      <c r="BX743" s="233"/>
      <c r="BY743" s="233"/>
      <c r="BZ743" s="233"/>
      <c r="CA743" s="233"/>
      <c r="CB743" s="233"/>
      <c r="CC743" s="233"/>
      <c r="CD743" s="233"/>
      <c r="CE743" s="233"/>
      <c r="CF743" s="233"/>
      <c r="CG743" s="233"/>
      <c r="CH743" s="233"/>
      <c r="CI743" s="233"/>
      <c r="CJ743" s="233"/>
      <c r="CK743" s="233"/>
      <c r="CL743" s="233"/>
      <c r="CM743" s="233"/>
      <c r="CN743" s="233"/>
      <c r="CO743" s="233"/>
      <c r="CP743" s="233"/>
      <c r="CQ743" s="233"/>
      <c r="CR743" s="233"/>
      <c r="CS743" s="233"/>
      <c r="CT743" s="233"/>
      <c r="CU743" s="233"/>
      <c r="CV743" s="233"/>
      <c r="CW743" s="233"/>
      <c r="CX743" s="233"/>
      <c r="CY743" s="233"/>
      <c r="CZ743" s="233"/>
      <c r="DA743" s="233"/>
      <c r="DB743" s="233"/>
      <c r="DC743" s="233"/>
      <c r="DD743" s="233"/>
      <c r="DE743" s="233"/>
      <c r="DF743" s="233"/>
      <c r="DG743" s="233"/>
      <c r="DH743" s="233"/>
      <c r="DI743" s="233"/>
      <c r="DJ743" s="233"/>
      <c r="DK743" s="233"/>
      <c r="DL743" s="233"/>
      <c r="DM743" s="233"/>
      <c r="DN743" s="233"/>
      <c r="DO743" s="233"/>
      <c r="DP743" s="233"/>
      <c r="DQ743" s="233"/>
      <c r="DR743" s="233"/>
      <c r="DS743" s="233"/>
      <c r="DT743" s="233"/>
      <c r="DU743" s="233"/>
      <c r="DV743" s="233"/>
      <c r="DW743" s="233"/>
      <c r="DX743" s="233"/>
      <c r="DY743" s="233"/>
      <c r="DZ743" s="233"/>
      <c r="EA743" s="233"/>
      <c r="EB743" s="233"/>
      <c r="EC743" s="233"/>
      <c r="ED743" s="233"/>
      <c r="EE743" s="233"/>
      <c r="EF743" s="233"/>
      <c r="EG743" s="233"/>
      <c r="EH743" s="233"/>
      <c r="EI743" s="233"/>
      <c r="EJ743" s="233"/>
      <c r="EK743" s="233"/>
      <c r="EL743" s="233"/>
      <c r="EM743" s="233"/>
      <c r="EN743" s="233"/>
      <c r="EO743" s="233"/>
      <c r="EP743" s="233"/>
    </row>
    <row r="744" spans="1:146" ht="14.25" x14ac:dyDescent="0.2">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33"/>
      <c r="BF744" s="233"/>
      <c r="BG744" s="233"/>
      <c r="BH744" s="233"/>
      <c r="BI744" s="233"/>
      <c r="BJ744" s="233"/>
      <c r="BK744" s="233"/>
      <c r="BL744" s="233"/>
      <c r="BM744" s="233"/>
      <c r="BN744" s="233"/>
      <c r="BO744" s="233"/>
      <c r="BP744" s="233"/>
      <c r="BQ744" s="233"/>
      <c r="BR744" s="233"/>
      <c r="BS744" s="233"/>
      <c r="BT744" s="233"/>
      <c r="BU744" s="233"/>
      <c r="BV744" s="233"/>
      <c r="BW744" s="233"/>
      <c r="BX744" s="233"/>
      <c r="BY744" s="233"/>
      <c r="BZ744" s="233"/>
      <c r="CA744" s="233"/>
      <c r="CB744" s="233"/>
      <c r="CC744" s="233"/>
      <c r="CD744" s="233"/>
      <c r="CE744" s="233"/>
      <c r="CF744" s="233"/>
      <c r="CG744" s="233"/>
      <c r="CH744" s="233"/>
      <c r="CI744" s="233"/>
      <c r="CJ744" s="233"/>
      <c r="CK744" s="233"/>
      <c r="CL744" s="233"/>
      <c r="CM744" s="233"/>
      <c r="CN744" s="233"/>
      <c r="CO744" s="233"/>
      <c r="CP744" s="233"/>
      <c r="CQ744" s="233"/>
      <c r="CR744" s="233"/>
      <c r="CS744" s="233"/>
      <c r="CT744" s="233"/>
      <c r="CU744" s="233"/>
      <c r="CV744" s="233"/>
      <c r="CW744" s="233"/>
      <c r="CX744" s="233"/>
      <c r="CY744" s="233"/>
      <c r="CZ744" s="233"/>
      <c r="DA744" s="233"/>
      <c r="DB744" s="233"/>
      <c r="DC744" s="233"/>
      <c r="DD744" s="233"/>
      <c r="DE744" s="233"/>
      <c r="DF744" s="233"/>
      <c r="DG744" s="233"/>
      <c r="DH744" s="233"/>
      <c r="DI744" s="233"/>
      <c r="DJ744" s="233"/>
      <c r="DK744" s="233"/>
      <c r="DL744" s="233"/>
      <c r="DM744" s="233"/>
      <c r="DN744" s="233"/>
      <c r="DO744" s="233"/>
      <c r="DP744" s="233"/>
      <c r="DQ744" s="233"/>
      <c r="DR744" s="233"/>
      <c r="DS744" s="233"/>
      <c r="DT744" s="233"/>
      <c r="DU744" s="233"/>
      <c r="DV744" s="233"/>
      <c r="DW744" s="233"/>
      <c r="DX744" s="233"/>
      <c r="DY744" s="233"/>
      <c r="DZ744" s="233"/>
      <c r="EA744" s="233"/>
      <c r="EB744" s="233"/>
      <c r="EC744" s="233"/>
      <c r="ED744" s="233"/>
      <c r="EE744" s="233"/>
      <c r="EF744" s="233"/>
      <c r="EG744" s="233"/>
      <c r="EH744" s="233"/>
      <c r="EI744" s="233"/>
      <c r="EJ744" s="233"/>
      <c r="EK744" s="233"/>
      <c r="EL744" s="233"/>
      <c r="EM744" s="233"/>
      <c r="EN744" s="233"/>
      <c r="EO744" s="233"/>
      <c r="EP744" s="233"/>
    </row>
    <row r="745" spans="1:146" ht="14.25" x14ac:dyDescent="0.2">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33"/>
      <c r="BF745" s="233"/>
      <c r="BG745" s="233"/>
      <c r="BH745" s="233"/>
      <c r="BI745" s="233"/>
      <c r="BJ745" s="233"/>
      <c r="BK745" s="233"/>
      <c r="BL745" s="233"/>
      <c r="BM745" s="233"/>
      <c r="BN745" s="233"/>
      <c r="BO745" s="233"/>
      <c r="BP745" s="233"/>
      <c r="BQ745" s="233"/>
      <c r="BR745" s="233"/>
      <c r="BS745" s="233"/>
      <c r="BT745" s="233"/>
      <c r="BU745" s="233"/>
      <c r="BV745" s="233"/>
      <c r="BW745" s="233"/>
      <c r="BX745" s="233"/>
      <c r="BY745" s="233"/>
      <c r="BZ745" s="233"/>
      <c r="CA745" s="233"/>
      <c r="CB745" s="233"/>
      <c r="CC745" s="233"/>
      <c r="CD745" s="233"/>
      <c r="CE745" s="233"/>
      <c r="CF745" s="233"/>
      <c r="CG745" s="233"/>
      <c r="CH745" s="233"/>
      <c r="CI745" s="233"/>
      <c r="CJ745" s="233"/>
      <c r="CK745" s="233"/>
      <c r="CL745" s="233"/>
      <c r="CM745" s="233"/>
      <c r="CN745" s="233"/>
      <c r="CO745" s="233"/>
      <c r="CP745" s="233"/>
      <c r="CQ745" s="233"/>
      <c r="CR745" s="233"/>
      <c r="CS745" s="233"/>
      <c r="CT745" s="233"/>
      <c r="CU745" s="233"/>
      <c r="CV745" s="233"/>
      <c r="CW745" s="233"/>
      <c r="CX745" s="233"/>
      <c r="CY745" s="233"/>
      <c r="CZ745" s="233"/>
      <c r="DA745" s="233"/>
      <c r="DB745" s="233"/>
      <c r="DC745" s="233"/>
      <c r="DD745" s="233"/>
      <c r="DE745" s="233"/>
      <c r="DF745" s="233"/>
      <c r="DG745" s="233"/>
      <c r="DH745" s="233"/>
      <c r="DI745" s="233"/>
      <c r="DJ745" s="233"/>
      <c r="DK745" s="233"/>
      <c r="DL745" s="233"/>
      <c r="DM745" s="233"/>
      <c r="DN745" s="233"/>
      <c r="DO745" s="233"/>
      <c r="DP745" s="233"/>
      <c r="DQ745" s="233"/>
      <c r="DR745" s="233"/>
      <c r="DS745" s="233"/>
      <c r="DT745" s="233"/>
      <c r="DU745" s="233"/>
      <c r="DV745" s="233"/>
      <c r="DW745" s="233"/>
      <c r="DX745" s="233"/>
      <c r="DY745" s="233"/>
      <c r="DZ745" s="233"/>
      <c r="EA745" s="233"/>
      <c r="EB745" s="233"/>
      <c r="EC745" s="233"/>
      <c r="ED745" s="233"/>
      <c r="EE745" s="233"/>
      <c r="EF745" s="233"/>
      <c r="EG745" s="233"/>
      <c r="EH745" s="233"/>
      <c r="EI745" s="233"/>
      <c r="EJ745" s="233"/>
      <c r="EK745" s="233"/>
      <c r="EL745" s="233"/>
      <c r="EM745" s="233"/>
      <c r="EN745" s="233"/>
      <c r="EO745" s="233"/>
      <c r="EP745" s="233"/>
    </row>
    <row r="746" spans="1:146" ht="14.25" x14ac:dyDescent="0.2">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33"/>
      <c r="BF746" s="233"/>
      <c r="BG746" s="233"/>
      <c r="BH746" s="233"/>
      <c r="BI746" s="233"/>
      <c r="BJ746" s="233"/>
      <c r="BK746" s="233"/>
      <c r="BL746" s="233"/>
      <c r="BM746" s="233"/>
      <c r="BN746" s="233"/>
      <c r="BO746" s="233"/>
      <c r="BP746" s="233"/>
      <c r="BQ746" s="233"/>
      <c r="BR746" s="233"/>
      <c r="BS746" s="233"/>
      <c r="BT746" s="233"/>
      <c r="BU746" s="233"/>
      <c r="BV746" s="233"/>
      <c r="BW746" s="233"/>
      <c r="BX746" s="233"/>
      <c r="BY746" s="233"/>
      <c r="BZ746" s="233"/>
      <c r="CA746" s="233"/>
      <c r="CB746" s="233"/>
      <c r="CC746" s="233"/>
      <c r="CD746" s="233"/>
      <c r="CE746" s="233"/>
      <c r="CF746" s="233"/>
      <c r="CG746" s="233"/>
      <c r="CH746" s="233"/>
      <c r="CI746" s="233"/>
      <c r="CJ746" s="233"/>
      <c r="CK746" s="233"/>
      <c r="CL746" s="233"/>
      <c r="CM746" s="233"/>
      <c r="CN746" s="233"/>
      <c r="CO746" s="233"/>
      <c r="CP746" s="233"/>
      <c r="CQ746" s="233"/>
      <c r="CR746" s="233"/>
      <c r="CS746" s="233"/>
      <c r="CT746" s="233"/>
      <c r="CU746" s="233"/>
      <c r="CV746" s="233"/>
      <c r="CW746" s="233"/>
      <c r="CX746" s="233"/>
      <c r="CY746" s="233"/>
      <c r="CZ746" s="233"/>
      <c r="DA746" s="233"/>
      <c r="DB746" s="233"/>
      <c r="DC746" s="233"/>
      <c r="DD746" s="233"/>
      <c r="DE746" s="233"/>
      <c r="DF746" s="233"/>
      <c r="DG746" s="233"/>
      <c r="DH746" s="233"/>
      <c r="DI746" s="233"/>
      <c r="DJ746" s="233"/>
      <c r="DK746" s="233"/>
      <c r="DL746" s="233"/>
      <c r="DM746" s="233"/>
      <c r="DN746" s="233"/>
      <c r="DO746" s="233"/>
      <c r="DP746" s="233"/>
      <c r="DQ746" s="233"/>
      <c r="DR746" s="233"/>
      <c r="DS746" s="233"/>
      <c r="DT746" s="233"/>
      <c r="DU746" s="233"/>
      <c r="DV746" s="233"/>
      <c r="DW746" s="233"/>
      <c r="DX746" s="233"/>
      <c r="DY746" s="233"/>
      <c r="DZ746" s="233"/>
      <c r="EA746" s="233"/>
      <c r="EB746" s="233"/>
      <c r="EC746" s="233"/>
      <c r="ED746" s="233"/>
      <c r="EE746" s="233"/>
      <c r="EF746" s="233"/>
      <c r="EG746" s="233"/>
      <c r="EH746" s="233"/>
      <c r="EI746" s="233"/>
      <c r="EJ746" s="233"/>
      <c r="EK746" s="233"/>
      <c r="EL746" s="233"/>
      <c r="EM746" s="233"/>
      <c r="EN746" s="233"/>
      <c r="EO746" s="233"/>
      <c r="EP746" s="233"/>
    </row>
    <row r="747" spans="1:146" ht="14.25" x14ac:dyDescent="0.2">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233"/>
      <c r="CD747" s="233"/>
      <c r="CE747" s="233"/>
      <c r="CF747" s="233"/>
      <c r="CG747" s="233"/>
      <c r="CH747" s="233"/>
      <c r="CI747" s="233"/>
      <c r="CJ747" s="233"/>
      <c r="CK747" s="233"/>
      <c r="CL747" s="233"/>
      <c r="CM747" s="233"/>
      <c r="CN747" s="233"/>
      <c r="CO747" s="233"/>
      <c r="CP747" s="233"/>
      <c r="CQ747" s="233"/>
      <c r="CR747" s="233"/>
      <c r="CS747" s="233"/>
      <c r="CT747" s="233"/>
      <c r="CU747" s="233"/>
      <c r="CV747" s="233"/>
      <c r="CW747" s="233"/>
      <c r="CX747" s="233"/>
      <c r="CY747" s="233"/>
      <c r="CZ747" s="233"/>
      <c r="DA747" s="233"/>
      <c r="DB747" s="233"/>
      <c r="DC747" s="233"/>
      <c r="DD747" s="233"/>
      <c r="DE747" s="233"/>
      <c r="DF747" s="233"/>
      <c r="DG747" s="233"/>
      <c r="DH747" s="233"/>
      <c r="DI747" s="233"/>
      <c r="DJ747" s="233"/>
      <c r="DK747" s="233"/>
      <c r="DL747" s="233"/>
      <c r="DM747" s="233"/>
      <c r="DN747" s="233"/>
      <c r="DO747" s="233"/>
      <c r="DP747" s="233"/>
      <c r="DQ747" s="233"/>
      <c r="DR747" s="233"/>
      <c r="DS747" s="233"/>
      <c r="DT747" s="233"/>
      <c r="DU747" s="233"/>
      <c r="DV747" s="233"/>
      <c r="DW747" s="233"/>
      <c r="DX747" s="233"/>
      <c r="DY747" s="233"/>
      <c r="DZ747" s="233"/>
      <c r="EA747" s="233"/>
      <c r="EB747" s="233"/>
      <c r="EC747" s="233"/>
      <c r="ED747" s="233"/>
      <c r="EE747" s="233"/>
      <c r="EF747" s="233"/>
      <c r="EG747" s="233"/>
      <c r="EH747" s="233"/>
      <c r="EI747" s="233"/>
      <c r="EJ747" s="233"/>
      <c r="EK747" s="233"/>
      <c r="EL747" s="233"/>
      <c r="EM747" s="233"/>
      <c r="EN747" s="233"/>
      <c r="EO747" s="233"/>
      <c r="EP747" s="233"/>
    </row>
    <row r="748" spans="1:146" ht="14.25" x14ac:dyDescent="0.2">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33"/>
      <c r="BF748" s="233"/>
      <c r="BG748" s="233"/>
      <c r="BH748" s="233"/>
      <c r="BI748" s="233"/>
      <c r="BJ748" s="233"/>
      <c r="BK748" s="233"/>
      <c r="BL748" s="233"/>
      <c r="BM748" s="233"/>
      <c r="BN748" s="233"/>
      <c r="BO748" s="233"/>
      <c r="BP748" s="233"/>
      <c r="BQ748" s="233"/>
      <c r="BR748" s="233"/>
      <c r="BS748" s="233"/>
      <c r="BT748" s="233"/>
      <c r="BU748" s="233"/>
      <c r="BV748" s="233"/>
      <c r="BW748" s="233"/>
      <c r="BX748" s="233"/>
      <c r="BY748" s="233"/>
      <c r="BZ748" s="233"/>
      <c r="CA748" s="233"/>
      <c r="CB748" s="233"/>
      <c r="CC748" s="233"/>
      <c r="CD748" s="233"/>
      <c r="CE748" s="233"/>
      <c r="CF748" s="233"/>
      <c r="CG748" s="233"/>
      <c r="CH748" s="233"/>
      <c r="CI748" s="233"/>
      <c r="CJ748" s="233"/>
      <c r="CK748" s="233"/>
      <c r="CL748" s="233"/>
      <c r="CM748" s="233"/>
      <c r="CN748" s="233"/>
      <c r="CO748" s="233"/>
      <c r="CP748" s="233"/>
      <c r="CQ748" s="233"/>
      <c r="CR748" s="233"/>
      <c r="CS748" s="233"/>
      <c r="CT748" s="233"/>
      <c r="CU748" s="233"/>
      <c r="CV748" s="233"/>
      <c r="CW748" s="233"/>
      <c r="CX748" s="233"/>
      <c r="CY748" s="233"/>
      <c r="CZ748" s="233"/>
      <c r="DA748" s="233"/>
      <c r="DB748" s="233"/>
      <c r="DC748" s="233"/>
      <c r="DD748" s="233"/>
      <c r="DE748" s="233"/>
      <c r="DF748" s="233"/>
      <c r="DG748" s="233"/>
      <c r="DH748" s="233"/>
      <c r="DI748" s="233"/>
      <c r="DJ748" s="233"/>
      <c r="DK748" s="233"/>
      <c r="DL748" s="233"/>
      <c r="DM748" s="233"/>
      <c r="DN748" s="233"/>
      <c r="DO748" s="233"/>
      <c r="DP748" s="233"/>
      <c r="DQ748" s="233"/>
      <c r="DR748" s="233"/>
      <c r="DS748" s="233"/>
      <c r="DT748" s="233"/>
      <c r="DU748" s="233"/>
      <c r="DV748" s="233"/>
      <c r="DW748" s="233"/>
      <c r="DX748" s="233"/>
      <c r="DY748" s="233"/>
      <c r="DZ748" s="233"/>
      <c r="EA748" s="233"/>
      <c r="EB748" s="233"/>
      <c r="EC748" s="233"/>
      <c r="ED748" s="233"/>
      <c r="EE748" s="233"/>
      <c r="EF748" s="233"/>
      <c r="EG748" s="233"/>
      <c r="EH748" s="233"/>
      <c r="EI748" s="233"/>
      <c r="EJ748" s="233"/>
      <c r="EK748" s="233"/>
      <c r="EL748" s="233"/>
      <c r="EM748" s="233"/>
      <c r="EN748" s="233"/>
      <c r="EO748" s="233"/>
      <c r="EP748" s="233"/>
    </row>
    <row r="749" spans="1:146" ht="14.25" x14ac:dyDescent="0.2">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33"/>
      <c r="BF749" s="233"/>
      <c r="BG749" s="233"/>
      <c r="BH749" s="233"/>
      <c r="BI749" s="233"/>
      <c r="BJ749" s="233"/>
      <c r="BK749" s="233"/>
      <c r="BL749" s="233"/>
      <c r="BM749" s="233"/>
      <c r="BN749" s="233"/>
      <c r="BO749" s="233"/>
      <c r="BP749" s="233"/>
      <c r="BQ749" s="233"/>
      <c r="BR749" s="233"/>
      <c r="BS749" s="233"/>
      <c r="BT749" s="233"/>
      <c r="BU749" s="233"/>
      <c r="BV749" s="233"/>
      <c r="BW749" s="233"/>
      <c r="BX749" s="233"/>
      <c r="BY749" s="233"/>
      <c r="BZ749" s="233"/>
      <c r="CA749" s="233"/>
      <c r="CB749" s="233"/>
      <c r="CC749" s="233"/>
      <c r="CD749" s="233"/>
      <c r="CE749" s="233"/>
      <c r="CF749" s="233"/>
      <c r="CG749" s="233"/>
      <c r="CH749" s="233"/>
      <c r="CI749" s="233"/>
      <c r="CJ749" s="233"/>
      <c r="CK749" s="233"/>
      <c r="CL749" s="233"/>
      <c r="CM749" s="233"/>
      <c r="CN749" s="233"/>
      <c r="CO749" s="233"/>
      <c r="CP749" s="233"/>
      <c r="CQ749" s="233"/>
      <c r="CR749" s="233"/>
      <c r="CS749" s="233"/>
      <c r="CT749" s="233"/>
      <c r="CU749" s="233"/>
      <c r="CV749" s="233"/>
      <c r="CW749" s="233"/>
      <c r="CX749" s="233"/>
      <c r="CY749" s="233"/>
      <c r="CZ749" s="233"/>
      <c r="DA749" s="233"/>
      <c r="DB749" s="233"/>
      <c r="DC749" s="233"/>
      <c r="DD749" s="233"/>
      <c r="DE749" s="233"/>
      <c r="DF749" s="233"/>
      <c r="DG749" s="233"/>
      <c r="DH749" s="233"/>
      <c r="DI749" s="233"/>
      <c r="DJ749" s="233"/>
      <c r="DK749" s="233"/>
      <c r="DL749" s="233"/>
      <c r="DM749" s="233"/>
      <c r="DN749" s="233"/>
      <c r="DO749" s="233"/>
      <c r="DP749" s="233"/>
      <c r="DQ749" s="233"/>
      <c r="DR749" s="233"/>
      <c r="DS749" s="233"/>
      <c r="DT749" s="233"/>
      <c r="DU749" s="233"/>
      <c r="DV749" s="233"/>
      <c r="DW749" s="233"/>
      <c r="DX749" s="233"/>
      <c r="DY749" s="233"/>
      <c r="DZ749" s="233"/>
      <c r="EA749" s="233"/>
      <c r="EB749" s="233"/>
      <c r="EC749" s="233"/>
      <c r="ED749" s="233"/>
      <c r="EE749" s="233"/>
      <c r="EF749" s="233"/>
      <c r="EG749" s="233"/>
      <c r="EH749" s="233"/>
      <c r="EI749" s="233"/>
      <c r="EJ749" s="233"/>
      <c r="EK749" s="233"/>
      <c r="EL749" s="233"/>
      <c r="EM749" s="233"/>
      <c r="EN749" s="233"/>
      <c r="EO749" s="233"/>
      <c r="EP749" s="233"/>
    </row>
    <row r="750" spans="1:146" ht="14.25" x14ac:dyDescent="0.2">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233"/>
      <c r="CD750" s="233"/>
      <c r="CE750" s="233"/>
      <c r="CF750" s="233"/>
      <c r="CG750" s="233"/>
      <c r="CH750" s="233"/>
      <c r="CI750" s="233"/>
      <c r="CJ750" s="233"/>
      <c r="CK750" s="233"/>
      <c r="CL750" s="233"/>
      <c r="CM750" s="233"/>
      <c r="CN750" s="233"/>
      <c r="CO750" s="233"/>
      <c r="CP750" s="233"/>
      <c r="CQ750" s="233"/>
      <c r="CR750" s="233"/>
      <c r="CS750" s="233"/>
      <c r="CT750" s="233"/>
      <c r="CU750" s="233"/>
      <c r="CV750" s="233"/>
      <c r="CW750" s="233"/>
      <c r="CX750" s="233"/>
      <c r="CY750" s="233"/>
      <c r="CZ750" s="233"/>
      <c r="DA750" s="233"/>
      <c r="DB750" s="233"/>
      <c r="DC750" s="233"/>
      <c r="DD750" s="233"/>
      <c r="DE750" s="233"/>
      <c r="DF750" s="233"/>
      <c r="DG750" s="233"/>
      <c r="DH750" s="233"/>
      <c r="DI750" s="233"/>
      <c r="DJ750" s="233"/>
      <c r="DK750" s="233"/>
      <c r="DL750" s="233"/>
      <c r="DM750" s="233"/>
      <c r="DN750" s="233"/>
      <c r="DO750" s="233"/>
      <c r="DP750" s="233"/>
      <c r="DQ750" s="233"/>
      <c r="DR750" s="233"/>
      <c r="DS750" s="233"/>
      <c r="DT750" s="233"/>
      <c r="DU750" s="233"/>
      <c r="DV750" s="233"/>
      <c r="DW750" s="233"/>
      <c r="DX750" s="233"/>
      <c r="DY750" s="233"/>
      <c r="DZ750" s="233"/>
      <c r="EA750" s="233"/>
      <c r="EB750" s="233"/>
      <c r="EC750" s="233"/>
      <c r="ED750" s="233"/>
      <c r="EE750" s="233"/>
      <c r="EF750" s="233"/>
      <c r="EG750" s="233"/>
      <c r="EH750" s="233"/>
      <c r="EI750" s="233"/>
      <c r="EJ750" s="233"/>
      <c r="EK750" s="233"/>
      <c r="EL750" s="233"/>
      <c r="EM750" s="233"/>
      <c r="EN750" s="233"/>
      <c r="EO750" s="233"/>
      <c r="EP750" s="233"/>
    </row>
    <row r="751" spans="1:146" ht="14.25" x14ac:dyDescent="0.2">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c r="AW751" s="233"/>
      <c r="AX751" s="233"/>
      <c r="AY751" s="233"/>
      <c r="AZ751" s="233"/>
      <c r="BA751" s="233"/>
      <c r="BB751" s="233"/>
      <c r="BC751" s="233"/>
      <c r="BD751" s="233"/>
      <c r="BE751" s="233"/>
      <c r="BF751" s="233"/>
      <c r="BG751" s="233"/>
      <c r="BH751" s="233"/>
      <c r="BI751" s="233"/>
      <c r="BJ751" s="233"/>
      <c r="BK751" s="233"/>
      <c r="BL751" s="233"/>
      <c r="BM751" s="233"/>
      <c r="BN751" s="233"/>
      <c r="BO751" s="233"/>
      <c r="BP751" s="233"/>
      <c r="BQ751" s="233"/>
      <c r="BR751" s="233"/>
      <c r="BS751" s="233"/>
      <c r="BT751" s="233"/>
      <c r="BU751" s="233"/>
      <c r="BV751" s="233"/>
      <c r="BW751" s="233"/>
      <c r="BX751" s="233"/>
      <c r="BY751" s="233"/>
      <c r="BZ751" s="233"/>
      <c r="CA751" s="233"/>
      <c r="CB751" s="233"/>
      <c r="CC751" s="233"/>
      <c r="CD751" s="233"/>
      <c r="CE751" s="233"/>
      <c r="CF751" s="233"/>
      <c r="CG751" s="233"/>
      <c r="CH751" s="233"/>
      <c r="CI751" s="233"/>
      <c r="CJ751" s="233"/>
      <c r="CK751" s="233"/>
      <c r="CL751" s="233"/>
      <c r="CM751" s="233"/>
      <c r="CN751" s="233"/>
      <c r="CO751" s="233"/>
      <c r="CP751" s="233"/>
      <c r="CQ751" s="233"/>
      <c r="CR751" s="233"/>
      <c r="CS751" s="233"/>
      <c r="CT751" s="233"/>
      <c r="CU751" s="233"/>
      <c r="CV751" s="233"/>
      <c r="CW751" s="233"/>
      <c r="CX751" s="233"/>
      <c r="CY751" s="233"/>
      <c r="CZ751" s="233"/>
      <c r="DA751" s="233"/>
      <c r="DB751" s="233"/>
      <c r="DC751" s="233"/>
      <c r="DD751" s="233"/>
      <c r="DE751" s="233"/>
      <c r="DF751" s="233"/>
      <c r="DG751" s="233"/>
      <c r="DH751" s="233"/>
      <c r="DI751" s="233"/>
      <c r="DJ751" s="233"/>
      <c r="DK751" s="233"/>
      <c r="DL751" s="233"/>
      <c r="DM751" s="233"/>
      <c r="DN751" s="233"/>
      <c r="DO751" s="233"/>
      <c r="DP751" s="233"/>
      <c r="DQ751" s="233"/>
      <c r="DR751" s="233"/>
      <c r="DS751" s="233"/>
      <c r="DT751" s="233"/>
      <c r="DU751" s="233"/>
      <c r="DV751" s="233"/>
      <c r="DW751" s="233"/>
      <c r="DX751" s="233"/>
      <c r="DY751" s="233"/>
      <c r="DZ751" s="233"/>
      <c r="EA751" s="233"/>
      <c r="EB751" s="233"/>
      <c r="EC751" s="233"/>
      <c r="ED751" s="233"/>
      <c r="EE751" s="233"/>
      <c r="EF751" s="233"/>
      <c r="EG751" s="233"/>
      <c r="EH751" s="233"/>
      <c r="EI751" s="233"/>
      <c r="EJ751" s="233"/>
      <c r="EK751" s="233"/>
      <c r="EL751" s="233"/>
      <c r="EM751" s="233"/>
      <c r="EN751" s="233"/>
      <c r="EO751" s="233"/>
      <c r="EP751" s="233"/>
    </row>
    <row r="752" spans="1:146" ht="14.25" x14ac:dyDescent="0.2">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C752" s="233"/>
      <c r="CD752" s="233"/>
      <c r="CE752" s="233"/>
      <c r="CF752" s="233"/>
      <c r="CG752" s="233"/>
      <c r="CH752" s="233"/>
      <c r="CI752" s="233"/>
      <c r="CJ752" s="233"/>
      <c r="CK752" s="233"/>
      <c r="CL752" s="233"/>
      <c r="CM752" s="233"/>
      <c r="CN752" s="233"/>
      <c r="CO752" s="233"/>
      <c r="CP752" s="233"/>
      <c r="CQ752" s="233"/>
      <c r="CR752" s="233"/>
      <c r="CS752" s="233"/>
      <c r="CT752" s="233"/>
      <c r="CU752" s="233"/>
      <c r="CV752" s="233"/>
      <c r="CW752" s="233"/>
      <c r="CX752" s="233"/>
      <c r="CY752" s="233"/>
      <c r="CZ752" s="233"/>
      <c r="DA752" s="233"/>
      <c r="DB752" s="233"/>
      <c r="DC752" s="233"/>
      <c r="DD752" s="233"/>
      <c r="DE752" s="233"/>
      <c r="DF752" s="233"/>
      <c r="DG752" s="233"/>
      <c r="DH752" s="233"/>
      <c r="DI752" s="233"/>
      <c r="DJ752" s="233"/>
      <c r="DK752" s="233"/>
      <c r="DL752" s="233"/>
      <c r="DM752" s="233"/>
      <c r="DN752" s="233"/>
      <c r="DO752" s="233"/>
      <c r="DP752" s="233"/>
      <c r="DQ752" s="233"/>
      <c r="DR752" s="233"/>
      <c r="DS752" s="233"/>
      <c r="DT752" s="233"/>
      <c r="DU752" s="233"/>
      <c r="DV752" s="233"/>
      <c r="DW752" s="233"/>
      <c r="DX752" s="233"/>
      <c r="DY752" s="233"/>
      <c r="DZ752" s="233"/>
      <c r="EA752" s="233"/>
      <c r="EB752" s="233"/>
      <c r="EC752" s="233"/>
      <c r="ED752" s="233"/>
      <c r="EE752" s="233"/>
      <c r="EF752" s="233"/>
      <c r="EG752" s="233"/>
      <c r="EH752" s="233"/>
      <c r="EI752" s="233"/>
      <c r="EJ752" s="233"/>
      <c r="EK752" s="233"/>
      <c r="EL752" s="233"/>
      <c r="EM752" s="233"/>
      <c r="EN752" s="233"/>
      <c r="EO752" s="233"/>
      <c r="EP752" s="233"/>
    </row>
    <row r="753" spans="1:146" ht="14.25" x14ac:dyDescent="0.2">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233"/>
      <c r="CD753" s="233"/>
      <c r="CE753" s="233"/>
      <c r="CF753" s="233"/>
      <c r="CG753" s="233"/>
      <c r="CH753" s="233"/>
      <c r="CI753" s="233"/>
      <c r="CJ753" s="233"/>
      <c r="CK753" s="233"/>
      <c r="CL753" s="233"/>
      <c r="CM753" s="233"/>
      <c r="CN753" s="233"/>
      <c r="CO753" s="233"/>
      <c r="CP753" s="233"/>
      <c r="CQ753" s="233"/>
      <c r="CR753" s="233"/>
      <c r="CS753" s="233"/>
      <c r="CT753" s="233"/>
      <c r="CU753" s="233"/>
      <c r="CV753" s="233"/>
      <c r="CW753" s="233"/>
      <c r="CX753" s="233"/>
      <c r="CY753" s="233"/>
      <c r="CZ753" s="233"/>
      <c r="DA753" s="233"/>
      <c r="DB753" s="233"/>
      <c r="DC753" s="233"/>
      <c r="DD753" s="233"/>
      <c r="DE753" s="233"/>
      <c r="DF753" s="233"/>
      <c r="DG753" s="233"/>
      <c r="DH753" s="233"/>
      <c r="DI753" s="233"/>
      <c r="DJ753" s="233"/>
      <c r="DK753" s="233"/>
      <c r="DL753" s="233"/>
      <c r="DM753" s="233"/>
      <c r="DN753" s="233"/>
      <c r="DO753" s="233"/>
      <c r="DP753" s="233"/>
      <c r="DQ753" s="233"/>
      <c r="DR753" s="233"/>
      <c r="DS753" s="233"/>
      <c r="DT753" s="233"/>
      <c r="DU753" s="233"/>
      <c r="DV753" s="233"/>
      <c r="DW753" s="233"/>
      <c r="DX753" s="233"/>
      <c r="DY753" s="233"/>
      <c r="DZ753" s="233"/>
      <c r="EA753" s="233"/>
      <c r="EB753" s="233"/>
      <c r="EC753" s="233"/>
      <c r="ED753" s="233"/>
      <c r="EE753" s="233"/>
      <c r="EF753" s="233"/>
      <c r="EG753" s="233"/>
      <c r="EH753" s="233"/>
      <c r="EI753" s="233"/>
      <c r="EJ753" s="233"/>
      <c r="EK753" s="233"/>
      <c r="EL753" s="233"/>
      <c r="EM753" s="233"/>
      <c r="EN753" s="233"/>
      <c r="EO753" s="233"/>
      <c r="EP753" s="233"/>
    </row>
    <row r="754" spans="1:146" ht="14.25" x14ac:dyDescent="0.2">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233"/>
      <c r="CD754" s="233"/>
      <c r="CE754" s="233"/>
      <c r="CF754" s="233"/>
      <c r="CG754" s="233"/>
      <c r="CH754" s="233"/>
      <c r="CI754" s="233"/>
      <c r="CJ754" s="233"/>
      <c r="CK754" s="233"/>
      <c r="CL754" s="233"/>
      <c r="CM754" s="233"/>
      <c r="CN754" s="233"/>
      <c r="CO754" s="233"/>
      <c r="CP754" s="233"/>
      <c r="CQ754" s="233"/>
      <c r="CR754" s="233"/>
      <c r="CS754" s="233"/>
      <c r="CT754" s="233"/>
      <c r="CU754" s="233"/>
      <c r="CV754" s="233"/>
      <c r="CW754" s="233"/>
      <c r="CX754" s="233"/>
      <c r="CY754" s="233"/>
      <c r="CZ754" s="233"/>
      <c r="DA754" s="233"/>
      <c r="DB754" s="233"/>
      <c r="DC754" s="233"/>
      <c r="DD754" s="233"/>
      <c r="DE754" s="233"/>
      <c r="DF754" s="233"/>
      <c r="DG754" s="233"/>
      <c r="DH754" s="233"/>
      <c r="DI754" s="233"/>
      <c r="DJ754" s="233"/>
      <c r="DK754" s="233"/>
      <c r="DL754" s="233"/>
      <c r="DM754" s="233"/>
      <c r="DN754" s="233"/>
      <c r="DO754" s="233"/>
      <c r="DP754" s="233"/>
      <c r="DQ754" s="233"/>
      <c r="DR754" s="233"/>
      <c r="DS754" s="233"/>
      <c r="DT754" s="233"/>
      <c r="DU754" s="233"/>
      <c r="DV754" s="233"/>
      <c r="DW754" s="233"/>
      <c r="DX754" s="233"/>
      <c r="DY754" s="233"/>
      <c r="DZ754" s="233"/>
      <c r="EA754" s="233"/>
      <c r="EB754" s="233"/>
      <c r="EC754" s="233"/>
      <c r="ED754" s="233"/>
      <c r="EE754" s="233"/>
      <c r="EF754" s="233"/>
      <c r="EG754" s="233"/>
      <c r="EH754" s="233"/>
      <c r="EI754" s="233"/>
      <c r="EJ754" s="233"/>
      <c r="EK754" s="233"/>
      <c r="EL754" s="233"/>
      <c r="EM754" s="233"/>
      <c r="EN754" s="233"/>
      <c r="EO754" s="233"/>
      <c r="EP754" s="233"/>
    </row>
    <row r="755" spans="1:146" ht="14.25" x14ac:dyDescent="0.2">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233"/>
      <c r="CD755" s="233"/>
      <c r="CE755" s="233"/>
      <c r="CF755" s="233"/>
      <c r="CG755" s="233"/>
      <c r="CH755" s="233"/>
      <c r="CI755" s="233"/>
      <c r="CJ755" s="233"/>
      <c r="CK755" s="233"/>
      <c r="CL755" s="233"/>
      <c r="CM755" s="233"/>
      <c r="CN755" s="233"/>
      <c r="CO755" s="233"/>
      <c r="CP755" s="233"/>
      <c r="CQ755" s="233"/>
      <c r="CR755" s="233"/>
      <c r="CS755" s="233"/>
      <c r="CT755" s="233"/>
      <c r="CU755" s="233"/>
      <c r="CV755" s="233"/>
      <c r="CW755" s="233"/>
      <c r="CX755" s="233"/>
      <c r="CY755" s="233"/>
      <c r="CZ755" s="233"/>
      <c r="DA755" s="233"/>
      <c r="DB755" s="233"/>
      <c r="DC755" s="233"/>
      <c r="DD755" s="233"/>
      <c r="DE755" s="233"/>
      <c r="DF755" s="233"/>
      <c r="DG755" s="233"/>
      <c r="DH755" s="233"/>
      <c r="DI755" s="233"/>
      <c r="DJ755" s="233"/>
      <c r="DK755" s="233"/>
      <c r="DL755" s="233"/>
      <c r="DM755" s="233"/>
      <c r="DN755" s="233"/>
      <c r="DO755" s="233"/>
      <c r="DP755" s="233"/>
      <c r="DQ755" s="233"/>
      <c r="DR755" s="233"/>
      <c r="DS755" s="233"/>
      <c r="DT755" s="233"/>
      <c r="DU755" s="233"/>
      <c r="DV755" s="233"/>
      <c r="DW755" s="233"/>
      <c r="DX755" s="233"/>
      <c r="DY755" s="233"/>
      <c r="DZ755" s="233"/>
      <c r="EA755" s="233"/>
      <c r="EB755" s="233"/>
      <c r="EC755" s="233"/>
      <c r="ED755" s="233"/>
      <c r="EE755" s="233"/>
      <c r="EF755" s="233"/>
      <c r="EG755" s="233"/>
      <c r="EH755" s="233"/>
      <c r="EI755" s="233"/>
      <c r="EJ755" s="233"/>
      <c r="EK755" s="233"/>
      <c r="EL755" s="233"/>
      <c r="EM755" s="233"/>
      <c r="EN755" s="233"/>
      <c r="EO755" s="233"/>
      <c r="EP755" s="233"/>
    </row>
    <row r="756" spans="1:146" ht="14.25" x14ac:dyDescent="0.2">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c r="AV756" s="233"/>
      <c r="AW756" s="233"/>
      <c r="AX756" s="233"/>
      <c r="AY756" s="233"/>
      <c r="AZ756" s="233"/>
      <c r="BA756" s="233"/>
      <c r="BB756" s="233"/>
      <c r="BC756" s="233"/>
      <c r="BD756" s="233"/>
      <c r="BE756" s="233"/>
      <c r="BF756" s="233"/>
      <c r="BG756" s="233"/>
      <c r="BH756" s="233"/>
      <c r="BI756" s="233"/>
      <c r="BJ756" s="233"/>
      <c r="BK756" s="233"/>
      <c r="BL756" s="233"/>
      <c r="BM756" s="233"/>
      <c r="BN756" s="233"/>
      <c r="BO756" s="233"/>
      <c r="BP756" s="233"/>
      <c r="BQ756" s="233"/>
      <c r="BR756" s="233"/>
      <c r="BS756" s="233"/>
      <c r="BT756" s="233"/>
      <c r="BU756" s="233"/>
      <c r="BV756" s="233"/>
      <c r="BW756" s="233"/>
      <c r="BX756" s="233"/>
      <c r="BY756" s="233"/>
      <c r="BZ756" s="233"/>
      <c r="CA756" s="233"/>
      <c r="CB756" s="233"/>
      <c r="CC756" s="233"/>
      <c r="CD756" s="233"/>
      <c r="CE756" s="233"/>
      <c r="CF756" s="233"/>
      <c r="CG756" s="233"/>
      <c r="CH756" s="233"/>
      <c r="CI756" s="233"/>
      <c r="CJ756" s="233"/>
      <c r="CK756" s="233"/>
      <c r="CL756" s="233"/>
      <c r="CM756" s="233"/>
      <c r="CN756" s="233"/>
      <c r="CO756" s="233"/>
      <c r="CP756" s="233"/>
      <c r="CQ756" s="233"/>
      <c r="CR756" s="233"/>
      <c r="CS756" s="233"/>
      <c r="CT756" s="233"/>
      <c r="CU756" s="233"/>
      <c r="CV756" s="233"/>
      <c r="CW756" s="233"/>
      <c r="CX756" s="233"/>
      <c r="CY756" s="233"/>
      <c r="CZ756" s="233"/>
      <c r="DA756" s="233"/>
      <c r="DB756" s="233"/>
      <c r="DC756" s="233"/>
      <c r="DD756" s="233"/>
      <c r="DE756" s="233"/>
      <c r="DF756" s="233"/>
      <c r="DG756" s="233"/>
      <c r="DH756" s="233"/>
      <c r="DI756" s="233"/>
      <c r="DJ756" s="233"/>
      <c r="DK756" s="233"/>
      <c r="DL756" s="233"/>
      <c r="DM756" s="233"/>
      <c r="DN756" s="233"/>
      <c r="DO756" s="233"/>
      <c r="DP756" s="233"/>
      <c r="DQ756" s="233"/>
      <c r="DR756" s="233"/>
      <c r="DS756" s="233"/>
      <c r="DT756" s="233"/>
      <c r="DU756" s="233"/>
      <c r="DV756" s="233"/>
      <c r="DW756" s="233"/>
      <c r="DX756" s="233"/>
      <c r="DY756" s="233"/>
      <c r="DZ756" s="233"/>
      <c r="EA756" s="233"/>
      <c r="EB756" s="233"/>
      <c r="EC756" s="233"/>
      <c r="ED756" s="233"/>
      <c r="EE756" s="233"/>
      <c r="EF756" s="233"/>
      <c r="EG756" s="233"/>
      <c r="EH756" s="233"/>
      <c r="EI756" s="233"/>
      <c r="EJ756" s="233"/>
      <c r="EK756" s="233"/>
      <c r="EL756" s="233"/>
      <c r="EM756" s="233"/>
      <c r="EN756" s="233"/>
      <c r="EO756" s="233"/>
      <c r="EP756" s="233"/>
    </row>
    <row r="757" spans="1:146" ht="14.25" x14ac:dyDescent="0.2">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c r="AZ757" s="233"/>
      <c r="BA757" s="233"/>
      <c r="BB757" s="233"/>
      <c r="BC757" s="233"/>
      <c r="BD757" s="233"/>
      <c r="BE757" s="233"/>
      <c r="BF757" s="233"/>
      <c r="BG757" s="233"/>
      <c r="BH757" s="233"/>
      <c r="BI757" s="233"/>
      <c r="BJ757" s="233"/>
      <c r="BK757" s="233"/>
      <c r="BL757" s="233"/>
      <c r="BM757" s="233"/>
      <c r="BN757" s="233"/>
      <c r="BO757" s="233"/>
      <c r="BP757" s="233"/>
      <c r="BQ757" s="233"/>
      <c r="BR757" s="233"/>
      <c r="BS757" s="233"/>
      <c r="BT757" s="233"/>
      <c r="BU757" s="233"/>
      <c r="BV757" s="233"/>
      <c r="BW757" s="233"/>
      <c r="BX757" s="233"/>
      <c r="BY757" s="233"/>
      <c r="BZ757" s="233"/>
      <c r="CA757" s="233"/>
      <c r="CB757" s="233"/>
      <c r="CC757" s="233"/>
      <c r="CD757" s="233"/>
      <c r="CE757" s="233"/>
      <c r="CF757" s="233"/>
      <c r="CG757" s="233"/>
      <c r="CH757" s="233"/>
      <c r="CI757" s="233"/>
      <c r="CJ757" s="233"/>
      <c r="CK757" s="233"/>
      <c r="CL757" s="233"/>
      <c r="CM757" s="233"/>
      <c r="CN757" s="233"/>
      <c r="CO757" s="233"/>
      <c r="CP757" s="233"/>
      <c r="CQ757" s="233"/>
      <c r="CR757" s="233"/>
      <c r="CS757" s="233"/>
      <c r="CT757" s="233"/>
      <c r="CU757" s="233"/>
      <c r="CV757" s="233"/>
      <c r="CW757" s="233"/>
      <c r="CX757" s="233"/>
      <c r="CY757" s="233"/>
      <c r="CZ757" s="233"/>
      <c r="DA757" s="233"/>
      <c r="DB757" s="233"/>
      <c r="DC757" s="233"/>
      <c r="DD757" s="233"/>
      <c r="DE757" s="233"/>
      <c r="DF757" s="233"/>
      <c r="DG757" s="233"/>
      <c r="DH757" s="233"/>
      <c r="DI757" s="233"/>
      <c r="DJ757" s="233"/>
      <c r="DK757" s="233"/>
      <c r="DL757" s="233"/>
      <c r="DM757" s="233"/>
      <c r="DN757" s="233"/>
      <c r="DO757" s="233"/>
      <c r="DP757" s="233"/>
      <c r="DQ757" s="233"/>
      <c r="DR757" s="233"/>
      <c r="DS757" s="233"/>
      <c r="DT757" s="233"/>
      <c r="DU757" s="233"/>
      <c r="DV757" s="233"/>
      <c r="DW757" s="233"/>
      <c r="DX757" s="233"/>
      <c r="DY757" s="233"/>
      <c r="DZ757" s="233"/>
      <c r="EA757" s="233"/>
      <c r="EB757" s="233"/>
      <c r="EC757" s="233"/>
      <c r="ED757" s="233"/>
      <c r="EE757" s="233"/>
      <c r="EF757" s="233"/>
      <c r="EG757" s="233"/>
      <c r="EH757" s="233"/>
      <c r="EI757" s="233"/>
      <c r="EJ757" s="233"/>
      <c r="EK757" s="233"/>
      <c r="EL757" s="233"/>
      <c r="EM757" s="233"/>
      <c r="EN757" s="233"/>
      <c r="EO757" s="233"/>
      <c r="EP757" s="233"/>
    </row>
    <row r="758" spans="1:146" ht="14.25" x14ac:dyDescent="0.2">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3"/>
      <c r="CD758" s="233"/>
      <c r="CE758" s="233"/>
      <c r="CF758" s="233"/>
      <c r="CG758" s="233"/>
      <c r="CH758" s="233"/>
      <c r="CI758" s="233"/>
      <c r="CJ758" s="233"/>
      <c r="CK758" s="233"/>
      <c r="CL758" s="233"/>
      <c r="CM758" s="233"/>
      <c r="CN758" s="233"/>
      <c r="CO758" s="233"/>
      <c r="CP758" s="233"/>
      <c r="CQ758" s="233"/>
      <c r="CR758" s="233"/>
      <c r="CS758" s="233"/>
      <c r="CT758" s="233"/>
      <c r="CU758" s="233"/>
      <c r="CV758" s="233"/>
      <c r="CW758" s="233"/>
      <c r="CX758" s="233"/>
      <c r="CY758" s="233"/>
      <c r="CZ758" s="233"/>
      <c r="DA758" s="233"/>
      <c r="DB758" s="233"/>
      <c r="DC758" s="233"/>
      <c r="DD758" s="233"/>
      <c r="DE758" s="233"/>
      <c r="DF758" s="233"/>
      <c r="DG758" s="233"/>
      <c r="DH758" s="233"/>
      <c r="DI758" s="233"/>
      <c r="DJ758" s="233"/>
      <c r="DK758" s="233"/>
      <c r="DL758" s="233"/>
      <c r="DM758" s="233"/>
      <c r="DN758" s="233"/>
      <c r="DO758" s="233"/>
      <c r="DP758" s="233"/>
      <c r="DQ758" s="233"/>
      <c r="DR758" s="233"/>
      <c r="DS758" s="233"/>
      <c r="DT758" s="233"/>
      <c r="DU758" s="233"/>
      <c r="DV758" s="233"/>
      <c r="DW758" s="233"/>
      <c r="DX758" s="233"/>
      <c r="DY758" s="233"/>
      <c r="DZ758" s="233"/>
      <c r="EA758" s="233"/>
      <c r="EB758" s="233"/>
      <c r="EC758" s="233"/>
      <c r="ED758" s="233"/>
      <c r="EE758" s="233"/>
      <c r="EF758" s="233"/>
      <c r="EG758" s="233"/>
      <c r="EH758" s="233"/>
      <c r="EI758" s="233"/>
      <c r="EJ758" s="233"/>
      <c r="EK758" s="233"/>
      <c r="EL758" s="233"/>
      <c r="EM758" s="233"/>
      <c r="EN758" s="233"/>
      <c r="EO758" s="233"/>
      <c r="EP758" s="233"/>
    </row>
    <row r="759" spans="1:146" ht="14.25" x14ac:dyDescent="0.2">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233"/>
      <c r="CD759" s="233"/>
      <c r="CE759" s="233"/>
      <c r="CF759" s="233"/>
      <c r="CG759" s="233"/>
      <c r="CH759" s="233"/>
      <c r="CI759" s="233"/>
      <c r="CJ759" s="233"/>
      <c r="CK759" s="233"/>
      <c r="CL759" s="233"/>
      <c r="CM759" s="233"/>
      <c r="CN759" s="233"/>
      <c r="CO759" s="233"/>
      <c r="CP759" s="233"/>
      <c r="CQ759" s="233"/>
      <c r="CR759" s="233"/>
      <c r="CS759" s="233"/>
      <c r="CT759" s="233"/>
      <c r="CU759" s="233"/>
      <c r="CV759" s="233"/>
      <c r="CW759" s="233"/>
      <c r="CX759" s="233"/>
      <c r="CY759" s="233"/>
      <c r="CZ759" s="233"/>
      <c r="DA759" s="233"/>
      <c r="DB759" s="233"/>
      <c r="DC759" s="233"/>
      <c r="DD759" s="233"/>
      <c r="DE759" s="233"/>
      <c r="DF759" s="233"/>
      <c r="DG759" s="233"/>
      <c r="DH759" s="233"/>
      <c r="DI759" s="233"/>
      <c r="DJ759" s="233"/>
      <c r="DK759" s="233"/>
      <c r="DL759" s="233"/>
      <c r="DM759" s="233"/>
      <c r="DN759" s="233"/>
      <c r="DO759" s="233"/>
      <c r="DP759" s="233"/>
      <c r="DQ759" s="233"/>
      <c r="DR759" s="233"/>
      <c r="DS759" s="233"/>
      <c r="DT759" s="233"/>
      <c r="DU759" s="233"/>
      <c r="DV759" s="233"/>
      <c r="DW759" s="233"/>
      <c r="DX759" s="233"/>
      <c r="DY759" s="233"/>
      <c r="DZ759" s="233"/>
      <c r="EA759" s="233"/>
      <c r="EB759" s="233"/>
      <c r="EC759" s="233"/>
      <c r="ED759" s="233"/>
      <c r="EE759" s="233"/>
      <c r="EF759" s="233"/>
      <c r="EG759" s="233"/>
      <c r="EH759" s="233"/>
      <c r="EI759" s="233"/>
      <c r="EJ759" s="233"/>
      <c r="EK759" s="233"/>
      <c r="EL759" s="233"/>
      <c r="EM759" s="233"/>
      <c r="EN759" s="233"/>
      <c r="EO759" s="233"/>
      <c r="EP759" s="233"/>
    </row>
    <row r="760" spans="1:146" ht="14.25" x14ac:dyDescent="0.2">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33"/>
      <c r="CN760" s="233"/>
      <c r="CO760" s="233"/>
      <c r="CP760" s="233"/>
      <c r="CQ760" s="233"/>
      <c r="CR760" s="233"/>
      <c r="CS760" s="233"/>
      <c r="CT760" s="233"/>
      <c r="CU760" s="233"/>
      <c r="CV760" s="233"/>
      <c r="CW760" s="233"/>
      <c r="CX760" s="233"/>
      <c r="CY760" s="233"/>
      <c r="CZ760" s="233"/>
      <c r="DA760" s="233"/>
      <c r="DB760" s="233"/>
      <c r="DC760" s="233"/>
      <c r="DD760" s="233"/>
      <c r="DE760" s="233"/>
      <c r="DF760" s="233"/>
      <c r="DG760" s="233"/>
      <c r="DH760" s="233"/>
      <c r="DI760" s="233"/>
      <c r="DJ760" s="233"/>
      <c r="DK760" s="233"/>
      <c r="DL760" s="233"/>
      <c r="DM760" s="233"/>
      <c r="DN760" s="233"/>
      <c r="DO760" s="233"/>
      <c r="DP760" s="233"/>
      <c r="DQ760" s="233"/>
      <c r="DR760" s="233"/>
      <c r="DS760" s="233"/>
      <c r="DT760" s="233"/>
      <c r="DU760" s="233"/>
      <c r="DV760" s="233"/>
      <c r="DW760" s="233"/>
      <c r="DX760" s="233"/>
      <c r="DY760" s="233"/>
      <c r="DZ760" s="233"/>
      <c r="EA760" s="233"/>
      <c r="EB760" s="233"/>
      <c r="EC760" s="233"/>
      <c r="ED760" s="233"/>
      <c r="EE760" s="233"/>
      <c r="EF760" s="233"/>
      <c r="EG760" s="233"/>
      <c r="EH760" s="233"/>
      <c r="EI760" s="233"/>
      <c r="EJ760" s="233"/>
      <c r="EK760" s="233"/>
      <c r="EL760" s="233"/>
      <c r="EM760" s="233"/>
      <c r="EN760" s="233"/>
      <c r="EO760" s="233"/>
      <c r="EP760" s="233"/>
    </row>
    <row r="761" spans="1:146" ht="14.25" x14ac:dyDescent="0.2">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c r="AW761" s="233"/>
      <c r="AX761" s="233"/>
      <c r="AY761" s="233"/>
      <c r="AZ761" s="233"/>
      <c r="BA761" s="233"/>
      <c r="BB761" s="233"/>
      <c r="BC761" s="233"/>
      <c r="BD761" s="233"/>
      <c r="BE761" s="233"/>
      <c r="BF761" s="233"/>
      <c r="BG761" s="233"/>
      <c r="BH761" s="233"/>
      <c r="BI761" s="233"/>
      <c r="BJ761" s="233"/>
      <c r="BK761" s="233"/>
      <c r="BL761" s="233"/>
      <c r="BM761" s="233"/>
      <c r="BN761" s="233"/>
      <c r="BO761" s="233"/>
      <c r="BP761" s="233"/>
      <c r="BQ761" s="233"/>
      <c r="BR761" s="233"/>
      <c r="BS761" s="233"/>
      <c r="BT761" s="233"/>
      <c r="BU761" s="233"/>
      <c r="BV761" s="233"/>
      <c r="BW761" s="233"/>
      <c r="BX761" s="233"/>
      <c r="BY761" s="233"/>
      <c r="BZ761" s="233"/>
      <c r="CA761" s="233"/>
      <c r="CB761" s="233"/>
      <c r="CC761" s="233"/>
      <c r="CD761" s="233"/>
      <c r="CE761" s="233"/>
      <c r="CF761" s="233"/>
      <c r="CG761" s="233"/>
      <c r="CH761" s="233"/>
      <c r="CI761" s="233"/>
      <c r="CJ761" s="233"/>
      <c r="CK761" s="233"/>
      <c r="CL761" s="233"/>
      <c r="CM761" s="233"/>
      <c r="CN761" s="233"/>
      <c r="CO761" s="233"/>
      <c r="CP761" s="233"/>
      <c r="CQ761" s="233"/>
      <c r="CR761" s="233"/>
      <c r="CS761" s="233"/>
      <c r="CT761" s="233"/>
      <c r="CU761" s="233"/>
      <c r="CV761" s="233"/>
      <c r="CW761" s="233"/>
      <c r="CX761" s="233"/>
      <c r="CY761" s="233"/>
      <c r="CZ761" s="233"/>
      <c r="DA761" s="233"/>
      <c r="DB761" s="233"/>
      <c r="DC761" s="233"/>
      <c r="DD761" s="233"/>
      <c r="DE761" s="233"/>
      <c r="DF761" s="233"/>
      <c r="DG761" s="233"/>
      <c r="DH761" s="233"/>
      <c r="DI761" s="233"/>
      <c r="DJ761" s="233"/>
      <c r="DK761" s="233"/>
      <c r="DL761" s="233"/>
      <c r="DM761" s="233"/>
      <c r="DN761" s="233"/>
      <c r="DO761" s="233"/>
      <c r="DP761" s="233"/>
      <c r="DQ761" s="233"/>
      <c r="DR761" s="233"/>
      <c r="DS761" s="233"/>
      <c r="DT761" s="233"/>
      <c r="DU761" s="233"/>
      <c r="DV761" s="233"/>
      <c r="DW761" s="233"/>
      <c r="DX761" s="233"/>
      <c r="DY761" s="233"/>
      <c r="DZ761" s="233"/>
      <c r="EA761" s="233"/>
      <c r="EB761" s="233"/>
      <c r="EC761" s="233"/>
      <c r="ED761" s="233"/>
      <c r="EE761" s="233"/>
      <c r="EF761" s="233"/>
      <c r="EG761" s="233"/>
      <c r="EH761" s="233"/>
      <c r="EI761" s="233"/>
      <c r="EJ761" s="233"/>
      <c r="EK761" s="233"/>
      <c r="EL761" s="233"/>
      <c r="EM761" s="233"/>
      <c r="EN761" s="233"/>
      <c r="EO761" s="233"/>
      <c r="EP761" s="233"/>
    </row>
    <row r="762" spans="1:146" ht="14.25" x14ac:dyDescent="0.2">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c r="AV762" s="233"/>
      <c r="AW762" s="233"/>
      <c r="AX762" s="233"/>
      <c r="AY762" s="233"/>
      <c r="AZ762" s="233"/>
      <c r="BA762" s="233"/>
      <c r="BB762" s="233"/>
      <c r="BC762" s="233"/>
      <c r="BD762" s="233"/>
      <c r="BE762" s="233"/>
      <c r="BF762" s="233"/>
      <c r="BG762" s="233"/>
      <c r="BH762" s="233"/>
      <c r="BI762" s="233"/>
      <c r="BJ762" s="233"/>
      <c r="BK762" s="233"/>
      <c r="BL762" s="233"/>
      <c r="BM762" s="233"/>
      <c r="BN762" s="233"/>
      <c r="BO762" s="233"/>
      <c r="BP762" s="233"/>
      <c r="BQ762" s="233"/>
      <c r="BR762" s="233"/>
      <c r="BS762" s="233"/>
      <c r="BT762" s="233"/>
      <c r="BU762" s="233"/>
      <c r="BV762" s="233"/>
      <c r="BW762" s="233"/>
      <c r="BX762" s="233"/>
      <c r="BY762" s="233"/>
      <c r="BZ762" s="233"/>
      <c r="CA762" s="233"/>
      <c r="CB762" s="233"/>
      <c r="CC762" s="233"/>
      <c r="CD762" s="233"/>
      <c r="CE762" s="233"/>
      <c r="CF762" s="233"/>
      <c r="CG762" s="233"/>
      <c r="CH762" s="233"/>
      <c r="CI762" s="233"/>
      <c r="CJ762" s="233"/>
      <c r="CK762" s="233"/>
      <c r="CL762" s="233"/>
      <c r="CM762" s="233"/>
      <c r="CN762" s="233"/>
      <c r="CO762" s="233"/>
      <c r="CP762" s="233"/>
      <c r="CQ762" s="233"/>
      <c r="CR762" s="233"/>
      <c r="CS762" s="233"/>
      <c r="CT762" s="233"/>
      <c r="CU762" s="233"/>
      <c r="CV762" s="233"/>
      <c r="CW762" s="233"/>
      <c r="CX762" s="233"/>
      <c r="CY762" s="233"/>
      <c r="CZ762" s="233"/>
      <c r="DA762" s="233"/>
      <c r="DB762" s="233"/>
      <c r="DC762" s="233"/>
      <c r="DD762" s="233"/>
      <c r="DE762" s="233"/>
      <c r="DF762" s="233"/>
      <c r="DG762" s="233"/>
      <c r="DH762" s="233"/>
      <c r="DI762" s="233"/>
      <c r="DJ762" s="233"/>
      <c r="DK762" s="233"/>
      <c r="DL762" s="233"/>
      <c r="DM762" s="233"/>
      <c r="DN762" s="233"/>
      <c r="DO762" s="233"/>
      <c r="DP762" s="233"/>
      <c r="DQ762" s="233"/>
      <c r="DR762" s="233"/>
      <c r="DS762" s="233"/>
      <c r="DT762" s="233"/>
      <c r="DU762" s="233"/>
      <c r="DV762" s="233"/>
      <c r="DW762" s="233"/>
      <c r="DX762" s="233"/>
      <c r="DY762" s="233"/>
      <c r="DZ762" s="233"/>
      <c r="EA762" s="233"/>
      <c r="EB762" s="233"/>
      <c r="EC762" s="233"/>
      <c r="ED762" s="233"/>
      <c r="EE762" s="233"/>
      <c r="EF762" s="233"/>
      <c r="EG762" s="233"/>
      <c r="EH762" s="233"/>
      <c r="EI762" s="233"/>
      <c r="EJ762" s="233"/>
      <c r="EK762" s="233"/>
      <c r="EL762" s="233"/>
      <c r="EM762" s="233"/>
      <c r="EN762" s="233"/>
      <c r="EO762" s="233"/>
      <c r="EP762" s="233"/>
    </row>
    <row r="763" spans="1:146" ht="14.25" x14ac:dyDescent="0.2">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c r="AS763" s="233"/>
      <c r="AT763" s="233"/>
      <c r="AU763" s="233"/>
      <c r="AV763" s="233"/>
      <c r="AW763" s="233"/>
      <c r="AX763" s="233"/>
      <c r="AY763" s="233"/>
      <c r="AZ763" s="233"/>
      <c r="BA763" s="233"/>
      <c r="BB763" s="233"/>
      <c r="BC763" s="233"/>
      <c r="BD763" s="233"/>
      <c r="BE763" s="233"/>
      <c r="BF763" s="233"/>
      <c r="BG763" s="233"/>
      <c r="BH763" s="233"/>
      <c r="BI763" s="233"/>
      <c r="BJ763" s="233"/>
      <c r="BK763" s="233"/>
      <c r="BL763" s="233"/>
      <c r="BM763" s="233"/>
      <c r="BN763" s="233"/>
      <c r="BO763" s="233"/>
      <c r="BP763" s="233"/>
      <c r="BQ763" s="233"/>
      <c r="BR763" s="233"/>
      <c r="BS763" s="233"/>
      <c r="BT763" s="233"/>
      <c r="BU763" s="233"/>
      <c r="BV763" s="233"/>
      <c r="BW763" s="233"/>
      <c r="BX763" s="233"/>
      <c r="BY763" s="233"/>
      <c r="BZ763" s="233"/>
      <c r="CA763" s="233"/>
      <c r="CB763" s="233"/>
      <c r="CC763" s="233"/>
      <c r="CD763" s="233"/>
      <c r="CE763" s="233"/>
      <c r="CF763" s="233"/>
      <c r="CG763" s="233"/>
      <c r="CH763" s="233"/>
      <c r="CI763" s="233"/>
      <c r="CJ763" s="233"/>
      <c r="CK763" s="233"/>
      <c r="CL763" s="233"/>
      <c r="CM763" s="233"/>
      <c r="CN763" s="233"/>
      <c r="CO763" s="233"/>
      <c r="CP763" s="233"/>
      <c r="CQ763" s="233"/>
      <c r="CR763" s="233"/>
      <c r="CS763" s="233"/>
      <c r="CT763" s="233"/>
      <c r="CU763" s="233"/>
      <c r="CV763" s="233"/>
      <c r="CW763" s="233"/>
      <c r="CX763" s="233"/>
      <c r="CY763" s="233"/>
      <c r="CZ763" s="233"/>
      <c r="DA763" s="233"/>
      <c r="DB763" s="233"/>
      <c r="DC763" s="233"/>
      <c r="DD763" s="233"/>
      <c r="DE763" s="233"/>
      <c r="DF763" s="233"/>
      <c r="DG763" s="233"/>
      <c r="DH763" s="233"/>
      <c r="DI763" s="233"/>
      <c r="DJ763" s="233"/>
      <c r="DK763" s="233"/>
      <c r="DL763" s="233"/>
      <c r="DM763" s="233"/>
      <c r="DN763" s="233"/>
      <c r="DO763" s="233"/>
      <c r="DP763" s="233"/>
      <c r="DQ763" s="233"/>
      <c r="DR763" s="233"/>
      <c r="DS763" s="233"/>
      <c r="DT763" s="233"/>
      <c r="DU763" s="233"/>
      <c r="DV763" s="233"/>
      <c r="DW763" s="233"/>
      <c r="DX763" s="233"/>
      <c r="DY763" s="233"/>
      <c r="DZ763" s="233"/>
      <c r="EA763" s="233"/>
      <c r="EB763" s="233"/>
      <c r="EC763" s="233"/>
      <c r="ED763" s="233"/>
      <c r="EE763" s="233"/>
      <c r="EF763" s="233"/>
      <c r="EG763" s="233"/>
      <c r="EH763" s="233"/>
      <c r="EI763" s="233"/>
      <c r="EJ763" s="233"/>
      <c r="EK763" s="233"/>
      <c r="EL763" s="233"/>
      <c r="EM763" s="233"/>
      <c r="EN763" s="233"/>
      <c r="EO763" s="233"/>
      <c r="EP763" s="233"/>
    </row>
    <row r="764" spans="1:146" ht="14.25" x14ac:dyDescent="0.2">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c r="AV764" s="233"/>
      <c r="AW764" s="233"/>
      <c r="AX764" s="233"/>
      <c r="AY764" s="233"/>
      <c r="AZ764" s="233"/>
      <c r="BA764" s="233"/>
      <c r="BB764" s="233"/>
      <c r="BC764" s="233"/>
      <c r="BD764" s="233"/>
      <c r="BE764" s="233"/>
      <c r="BF764" s="233"/>
      <c r="BG764" s="233"/>
      <c r="BH764" s="233"/>
      <c r="BI764" s="233"/>
      <c r="BJ764" s="233"/>
      <c r="BK764" s="233"/>
      <c r="BL764" s="233"/>
      <c r="BM764" s="233"/>
      <c r="BN764" s="233"/>
      <c r="BO764" s="233"/>
      <c r="BP764" s="233"/>
      <c r="BQ764" s="233"/>
      <c r="BR764" s="233"/>
      <c r="BS764" s="233"/>
      <c r="BT764" s="233"/>
      <c r="BU764" s="233"/>
      <c r="BV764" s="233"/>
      <c r="BW764" s="233"/>
      <c r="BX764" s="233"/>
      <c r="BY764" s="233"/>
      <c r="BZ764" s="233"/>
      <c r="CA764" s="233"/>
      <c r="CB764" s="233"/>
      <c r="CC764" s="233"/>
      <c r="CD764" s="233"/>
      <c r="CE764" s="233"/>
      <c r="CF764" s="233"/>
      <c r="CG764" s="233"/>
      <c r="CH764" s="233"/>
      <c r="CI764" s="233"/>
      <c r="CJ764" s="233"/>
      <c r="CK764" s="233"/>
      <c r="CL764" s="233"/>
      <c r="CM764" s="233"/>
      <c r="CN764" s="233"/>
      <c r="CO764" s="233"/>
      <c r="CP764" s="233"/>
      <c r="CQ764" s="233"/>
      <c r="CR764" s="233"/>
      <c r="CS764" s="233"/>
      <c r="CT764" s="233"/>
      <c r="CU764" s="233"/>
      <c r="CV764" s="233"/>
      <c r="CW764" s="233"/>
      <c r="CX764" s="233"/>
      <c r="CY764" s="233"/>
      <c r="CZ764" s="233"/>
      <c r="DA764" s="233"/>
      <c r="DB764" s="233"/>
      <c r="DC764" s="233"/>
      <c r="DD764" s="233"/>
      <c r="DE764" s="233"/>
      <c r="DF764" s="233"/>
      <c r="DG764" s="233"/>
      <c r="DH764" s="233"/>
      <c r="DI764" s="233"/>
      <c r="DJ764" s="233"/>
      <c r="DK764" s="233"/>
      <c r="DL764" s="233"/>
      <c r="DM764" s="233"/>
      <c r="DN764" s="233"/>
      <c r="DO764" s="233"/>
      <c r="DP764" s="233"/>
      <c r="DQ764" s="233"/>
      <c r="DR764" s="233"/>
      <c r="DS764" s="233"/>
      <c r="DT764" s="233"/>
      <c r="DU764" s="233"/>
      <c r="DV764" s="233"/>
      <c r="DW764" s="233"/>
      <c r="DX764" s="233"/>
      <c r="DY764" s="233"/>
      <c r="DZ764" s="233"/>
      <c r="EA764" s="233"/>
      <c r="EB764" s="233"/>
      <c r="EC764" s="233"/>
      <c r="ED764" s="233"/>
      <c r="EE764" s="233"/>
      <c r="EF764" s="233"/>
      <c r="EG764" s="233"/>
      <c r="EH764" s="233"/>
      <c r="EI764" s="233"/>
      <c r="EJ764" s="233"/>
      <c r="EK764" s="233"/>
      <c r="EL764" s="233"/>
      <c r="EM764" s="233"/>
      <c r="EN764" s="233"/>
      <c r="EO764" s="233"/>
      <c r="EP764" s="233"/>
    </row>
    <row r="765" spans="1:146" ht="14.25" x14ac:dyDescent="0.2">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c r="AV765" s="233"/>
      <c r="AW765" s="233"/>
      <c r="AX765" s="233"/>
      <c r="AY765" s="233"/>
      <c r="AZ765" s="233"/>
      <c r="BA765" s="233"/>
      <c r="BB765" s="233"/>
      <c r="BC765" s="233"/>
      <c r="BD765" s="233"/>
      <c r="BE765" s="233"/>
      <c r="BF765" s="233"/>
      <c r="BG765" s="233"/>
      <c r="BH765" s="233"/>
      <c r="BI765" s="233"/>
      <c r="BJ765" s="233"/>
      <c r="BK765" s="233"/>
      <c r="BL765" s="233"/>
      <c r="BM765" s="233"/>
      <c r="BN765" s="233"/>
      <c r="BO765" s="233"/>
      <c r="BP765" s="233"/>
      <c r="BQ765" s="233"/>
      <c r="BR765" s="233"/>
      <c r="BS765" s="233"/>
      <c r="BT765" s="233"/>
      <c r="BU765" s="233"/>
      <c r="BV765" s="233"/>
      <c r="BW765" s="233"/>
      <c r="BX765" s="233"/>
      <c r="BY765" s="233"/>
      <c r="BZ765" s="233"/>
      <c r="CA765" s="233"/>
      <c r="CB765" s="233"/>
      <c r="CC765" s="233"/>
      <c r="CD765" s="233"/>
      <c r="CE765" s="233"/>
      <c r="CF765" s="233"/>
      <c r="CG765" s="233"/>
      <c r="CH765" s="233"/>
      <c r="CI765" s="233"/>
      <c r="CJ765" s="233"/>
      <c r="CK765" s="233"/>
      <c r="CL765" s="233"/>
      <c r="CM765" s="233"/>
      <c r="CN765" s="233"/>
      <c r="CO765" s="233"/>
      <c r="CP765" s="233"/>
      <c r="CQ765" s="233"/>
      <c r="CR765" s="233"/>
      <c r="CS765" s="233"/>
      <c r="CT765" s="233"/>
      <c r="CU765" s="233"/>
      <c r="CV765" s="233"/>
      <c r="CW765" s="233"/>
      <c r="CX765" s="233"/>
      <c r="CY765" s="233"/>
      <c r="CZ765" s="233"/>
      <c r="DA765" s="233"/>
      <c r="DB765" s="233"/>
      <c r="DC765" s="233"/>
      <c r="DD765" s="233"/>
      <c r="DE765" s="233"/>
      <c r="DF765" s="233"/>
      <c r="DG765" s="233"/>
      <c r="DH765" s="233"/>
      <c r="DI765" s="233"/>
      <c r="DJ765" s="233"/>
      <c r="DK765" s="233"/>
      <c r="DL765" s="233"/>
      <c r="DM765" s="233"/>
      <c r="DN765" s="233"/>
      <c r="DO765" s="233"/>
      <c r="DP765" s="233"/>
      <c r="DQ765" s="233"/>
      <c r="DR765" s="233"/>
      <c r="DS765" s="233"/>
      <c r="DT765" s="233"/>
      <c r="DU765" s="233"/>
      <c r="DV765" s="233"/>
      <c r="DW765" s="233"/>
      <c r="DX765" s="233"/>
      <c r="DY765" s="233"/>
      <c r="DZ765" s="233"/>
      <c r="EA765" s="233"/>
      <c r="EB765" s="233"/>
      <c r="EC765" s="233"/>
      <c r="ED765" s="233"/>
      <c r="EE765" s="233"/>
      <c r="EF765" s="233"/>
      <c r="EG765" s="233"/>
      <c r="EH765" s="233"/>
      <c r="EI765" s="233"/>
      <c r="EJ765" s="233"/>
      <c r="EK765" s="233"/>
      <c r="EL765" s="233"/>
      <c r="EM765" s="233"/>
      <c r="EN765" s="233"/>
      <c r="EO765" s="233"/>
      <c r="EP765" s="233"/>
    </row>
    <row r="766" spans="1:146" ht="14.25" x14ac:dyDescent="0.2">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c r="AV766" s="233"/>
      <c r="AW766" s="233"/>
      <c r="AX766" s="233"/>
      <c r="AY766" s="233"/>
      <c r="AZ766" s="233"/>
      <c r="BA766" s="233"/>
      <c r="BB766" s="233"/>
      <c r="BC766" s="233"/>
      <c r="BD766" s="233"/>
      <c r="BE766" s="233"/>
      <c r="BF766" s="233"/>
      <c r="BG766" s="233"/>
      <c r="BH766" s="233"/>
      <c r="BI766" s="233"/>
      <c r="BJ766" s="233"/>
      <c r="BK766" s="233"/>
      <c r="BL766" s="233"/>
      <c r="BM766" s="233"/>
      <c r="BN766" s="233"/>
      <c r="BO766" s="233"/>
      <c r="BP766" s="233"/>
      <c r="BQ766" s="233"/>
      <c r="BR766" s="233"/>
      <c r="BS766" s="233"/>
      <c r="BT766" s="233"/>
      <c r="BU766" s="233"/>
      <c r="BV766" s="233"/>
      <c r="BW766" s="233"/>
      <c r="BX766" s="233"/>
      <c r="BY766" s="233"/>
      <c r="BZ766" s="233"/>
      <c r="CA766" s="233"/>
      <c r="CB766" s="233"/>
      <c r="CC766" s="233"/>
      <c r="CD766" s="233"/>
      <c r="CE766" s="233"/>
      <c r="CF766" s="233"/>
      <c r="CG766" s="233"/>
      <c r="CH766" s="233"/>
      <c r="CI766" s="233"/>
      <c r="CJ766" s="233"/>
      <c r="CK766" s="233"/>
      <c r="CL766" s="233"/>
      <c r="CM766" s="233"/>
      <c r="CN766" s="233"/>
      <c r="CO766" s="233"/>
      <c r="CP766" s="233"/>
      <c r="CQ766" s="233"/>
      <c r="CR766" s="233"/>
      <c r="CS766" s="233"/>
      <c r="CT766" s="233"/>
      <c r="CU766" s="233"/>
      <c r="CV766" s="233"/>
      <c r="CW766" s="233"/>
      <c r="CX766" s="233"/>
      <c r="CY766" s="233"/>
      <c r="CZ766" s="233"/>
      <c r="DA766" s="233"/>
      <c r="DB766" s="233"/>
      <c r="DC766" s="233"/>
      <c r="DD766" s="233"/>
      <c r="DE766" s="233"/>
      <c r="DF766" s="233"/>
      <c r="DG766" s="233"/>
      <c r="DH766" s="233"/>
      <c r="DI766" s="233"/>
      <c r="DJ766" s="233"/>
      <c r="DK766" s="233"/>
      <c r="DL766" s="233"/>
      <c r="DM766" s="233"/>
      <c r="DN766" s="233"/>
      <c r="DO766" s="233"/>
      <c r="DP766" s="233"/>
      <c r="DQ766" s="233"/>
      <c r="DR766" s="233"/>
      <c r="DS766" s="233"/>
      <c r="DT766" s="233"/>
      <c r="DU766" s="233"/>
      <c r="DV766" s="233"/>
      <c r="DW766" s="233"/>
      <c r="DX766" s="233"/>
      <c r="DY766" s="233"/>
      <c r="DZ766" s="233"/>
      <c r="EA766" s="233"/>
      <c r="EB766" s="233"/>
      <c r="EC766" s="233"/>
      <c r="ED766" s="233"/>
      <c r="EE766" s="233"/>
      <c r="EF766" s="233"/>
      <c r="EG766" s="233"/>
      <c r="EH766" s="233"/>
      <c r="EI766" s="233"/>
      <c r="EJ766" s="233"/>
      <c r="EK766" s="233"/>
      <c r="EL766" s="233"/>
      <c r="EM766" s="233"/>
      <c r="EN766" s="233"/>
      <c r="EO766" s="233"/>
      <c r="EP766" s="233"/>
    </row>
    <row r="767" spans="1:146" ht="14.25" x14ac:dyDescent="0.2">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c r="AV767" s="233"/>
      <c r="AW767" s="233"/>
      <c r="AX767" s="233"/>
      <c r="AY767" s="233"/>
      <c r="AZ767" s="233"/>
      <c r="BA767" s="233"/>
      <c r="BB767" s="233"/>
      <c r="BC767" s="233"/>
      <c r="BD767" s="233"/>
      <c r="BE767" s="233"/>
      <c r="BF767" s="233"/>
      <c r="BG767" s="233"/>
      <c r="BH767" s="233"/>
      <c r="BI767" s="233"/>
      <c r="BJ767" s="233"/>
      <c r="BK767" s="233"/>
      <c r="BL767" s="233"/>
      <c r="BM767" s="233"/>
      <c r="BN767" s="233"/>
      <c r="BO767" s="233"/>
      <c r="BP767" s="233"/>
      <c r="BQ767" s="233"/>
      <c r="BR767" s="233"/>
      <c r="BS767" s="233"/>
      <c r="BT767" s="233"/>
      <c r="BU767" s="233"/>
      <c r="BV767" s="233"/>
      <c r="BW767" s="233"/>
      <c r="BX767" s="233"/>
      <c r="BY767" s="233"/>
      <c r="BZ767" s="233"/>
      <c r="CA767" s="233"/>
      <c r="CB767" s="233"/>
      <c r="CC767" s="233"/>
      <c r="CD767" s="233"/>
      <c r="CE767" s="233"/>
      <c r="CF767" s="233"/>
      <c r="CG767" s="233"/>
      <c r="CH767" s="233"/>
      <c r="CI767" s="233"/>
      <c r="CJ767" s="233"/>
      <c r="CK767" s="233"/>
      <c r="CL767" s="233"/>
      <c r="CM767" s="233"/>
      <c r="CN767" s="233"/>
      <c r="CO767" s="233"/>
      <c r="CP767" s="233"/>
      <c r="CQ767" s="233"/>
      <c r="CR767" s="233"/>
      <c r="CS767" s="233"/>
      <c r="CT767" s="233"/>
      <c r="CU767" s="233"/>
      <c r="CV767" s="233"/>
      <c r="CW767" s="233"/>
      <c r="CX767" s="233"/>
      <c r="CY767" s="233"/>
      <c r="CZ767" s="233"/>
      <c r="DA767" s="233"/>
      <c r="DB767" s="233"/>
      <c r="DC767" s="233"/>
      <c r="DD767" s="233"/>
      <c r="DE767" s="233"/>
      <c r="DF767" s="233"/>
      <c r="DG767" s="233"/>
      <c r="DH767" s="233"/>
      <c r="DI767" s="233"/>
      <c r="DJ767" s="233"/>
      <c r="DK767" s="233"/>
      <c r="DL767" s="233"/>
      <c r="DM767" s="233"/>
      <c r="DN767" s="233"/>
      <c r="DO767" s="233"/>
      <c r="DP767" s="233"/>
      <c r="DQ767" s="233"/>
      <c r="DR767" s="233"/>
      <c r="DS767" s="233"/>
      <c r="DT767" s="233"/>
      <c r="DU767" s="233"/>
      <c r="DV767" s="233"/>
      <c r="DW767" s="233"/>
      <c r="DX767" s="233"/>
      <c r="DY767" s="233"/>
      <c r="DZ767" s="233"/>
      <c r="EA767" s="233"/>
      <c r="EB767" s="233"/>
      <c r="EC767" s="233"/>
      <c r="ED767" s="233"/>
      <c r="EE767" s="233"/>
      <c r="EF767" s="233"/>
      <c r="EG767" s="233"/>
      <c r="EH767" s="233"/>
      <c r="EI767" s="233"/>
      <c r="EJ767" s="233"/>
      <c r="EK767" s="233"/>
      <c r="EL767" s="233"/>
      <c r="EM767" s="233"/>
      <c r="EN767" s="233"/>
      <c r="EO767" s="233"/>
      <c r="EP767" s="233"/>
    </row>
    <row r="768" spans="1:146" ht="14.25" x14ac:dyDescent="0.2">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c r="AV768" s="233"/>
      <c r="AW768" s="233"/>
      <c r="AX768" s="233"/>
      <c r="AY768" s="233"/>
      <c r="AZ768" s="233"/>
      <c r="BA768" s="233"/>
      <c r="BB768" s="233"/>
      <c r="BC768" s="233"/>
      <c r="BD768" s="233"/>
      <c r="BE768" s="233"/>
      <c r="BF768" s="233"/>
      <c r="BG768" s="233"/>
      <c r="BH768" s="233"/>
      <c r="BI768" s="233"/>
      <c r="BJ768" s="233"/>
      <c r="BK768" s="233"/>
      <c r="BL768" s="233"/>
      <c r="BM768" s="233"/>
      <c r="BN768" s="233"/>
      <c r="BO768" s="233"/>
      <c r="BP768" s="233"/>
      <c r="BQ768" s="233"/>
      <c r="BR768" s="233"/>
      <c r="BS768" s="233"/>
      <c r="BT768" s="233"/>
      <c r="BU768" s="233"/>
      <c r="BV768" s="233"/>
      <c r="BW768" s="233"/>
      <c r="BX768" s="233"/>
      <c r="BY768" s="233"/>
      <c r="BZ768" s="233"/>
      <c r="CA768" s="233"/>
      <c r="CB768" s="233"/>
      <c r="CC768" s="233"/>
      <c r="CD768" s="233"/>
      <c r="CE768" s="233"/>
      <c r="CF768" s="233"/>
      <c r="CG768" s="233"/>
      <c r="CH768" s="233"/>
      <c r="CI768" s="233"/>
      <c r="CJ768" s="233"/>
      <c r="CK768" s="233"/>
      <c r="CL768" s="233"/>
      <c r="CM768" s="233"/>
      <c r="CN768" s="233"/>
      <c r="CO768" s="233"/>
      <c r="CP768" s="233"/>
      <c r="CQ768" s="233"/>
      <c r="CR768" s="233"/>
      <c r="CS768" s="233"/>
      <c r="CT768" s="233"/>
      <c r="CU768" s="233"/>
      <c r="CV768" s="233"/>
      <c r="CW768" s="233"/>
      <c r="CX768" s="233"/>
      <c r="CY768" s="233"/>
      <c r="CZ768" s="233"/>
      <c r="DA768" s="233"/>
      <c r="DB768" s="233"/>
      <c r="DC768" s="233"/>
      <c r="DD768" s="233"/>
      <c r="DE768" s="233"/>
      <c r="DF768" s="233"/>
      <c r="DG768" s="233"/>
      <c r="DH768" s="233"/>
      <c r="DI768" s="233"/>
      <c r="DJ768" s="233"/>
      <c r="DK768" s="233"/>
      <c r="DL768" s="233"/>
      <c r="DM768" s="233"/>
      <c r="DN768" s="233"/>
      <c r="DO768" s="233"/>
      <c r="DP768" s="233"/>
      <c r="DQ768" s="233"/>
      <c r="DR768" s="233"/>
      <c r="DS768" s="233"/>
      <c r="DT768" s="233"/>
      <c r="DU768" s="233"/>
      <c r="DV768" s="233"/>
      <c r="DW768" s="233"/>
      <c r="DX768" s="233"/>
      <c r="DY768" s="233"/>
      <c r="DZ768" s="233"/>
      <c r="EA768" s="233"/>
      <c r="EB768" s="233"/>
      <c r="EC768" s="233"/>
      <c r="ED768" s="233"/>
      <c r="EE768" s="233"/>
      <c r="EF768" s="233"/>
      <c r="EG768" s="233"/>
      <c r="EH768" s="233"/>
      <c r="EI768" s="233"/>
      <c r="EJ768" s="233"/>
      <c r="EK768" s="233"/>
      <c r="EL768" s="233"/>
      <c r="EM768" s="233"/>
      <c r="EN768" s="233"/>
      <c r="EO768" s="233"/>
      <c r="EP768" s="233"/>
    </row>
    <row r="769" spans="1:146" ht="14.25" x14ac:dyDescent="0.2">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c r="AV769" s="233"/>
      <c r="AW769" s="233"/>
      <c r="AX769" s="233"/>
      <c r="AY769" s="233"/>
      <c r="AZ769" s="233"/>
      <c r="BA769" s="233"/>
      <c r="BB769" s="233"/>
      <c r="BC769" s="233"/>
      <c r="BD769" s="233"/>
      <c r="BE769" s="233"/>
      <c r="BF769" s="233"/>
      <c r="BG769" s="233"/>
      <c r="BH769" s="233"/>
      <c r="BI769" s="233"/>
      <c r="BJ769" s="233"/>
      <c r="BK769" s="233"/>
      <c r="BL769" s="233"/>
      <c r="BM769" s="233"/>
      <c r="BN769" s="233"/>
      <c r="BO769" s="233"/>
      <c r="BP769" s="233"/>
      <c r="BQ769" s="233"/>
      <c r="BR769" s="233"/>
      <c r="BS769" s="233"/>
      <c r="BT769" s="233"/>
      <c r="BU769" s="233"/>
      <c r="BV769" s="233"/>
      <c r="BW769" s="233"/>
      <c r="BX769" s="233"/>
      <c r="BY769" s="233"/>
      <c r="BZ769" s="233"/>
      <c r="CA769" s="233"/>
      <c r="CB769" s="233"/>
      <c r="CC769" s="233"/>
      <c r="CD769" s="233"/>
      <c r="CE769" s="233"/>
      <c r="CF769" s="233"/>
      <c r="CG769" s="233"/>
      <c r="CH769" s="233"/>
      <c r="CI769" s="233"/>
      <c r="CJ769" s="233"/>
      <c r="CK769" s="233"/>
      <c r="CL769" s="233"/>
      <c r="CM769" s="233"/>
      <c r="CN769" s="233"/>
      <c r="CO769" s="233"/>
      <c r="CP769" s="233"/>
      <c r="CQ769" s="233"/>
      <c r="CR769" s="233"/>
      <c r="CS769" s="233"/>
      <c r="CT769" s="233"/>
      <c r="CU769" s="233"/>
      <c r="CV769" s="233"/>
      <c r="CW769" s="233"/>
      <c r="CX769" s="233"/>
      <c r="CY769" s="233"/>
      <c r="CZ769" s="233"/>
      <c r="DA769" s="233"/>
      <c r="DB769" s="233"/>
      <c r="DC769" s="233"/>
      <c r="DD769" s="233"/>
      <c r="DE769" s="233"/>
      <c r="DF769" s="233"/>
      <c r="DG769" s="233"/>
      <c r="DH769" s="233"/>
      <c r="DI769" s="233"/>
      <c r="DJ769" s="233"/>
      <c r="DK769" s="233"/>
      <c r="DL769" s="233"/>
      <c r="DM769" s="233"/>
      <c r="DN769" s="233"/>
      <c r="DO769" s="233"/>
      <c r="DP769" s="233"/>
      <c r="DQ769" s="233"/>
      <c r="DR769" s="233"/>
      <c r="DS769" s="233"/>
      <c r="DT769" s="233"/>
      <c r="DU769" s="233"/>
      <c r="DV769" s="233"/>
      <c r="DW769" s="233"/>
      <c r="DX769" s="233"/>
      <c r="DY769" s="233"/>
      <c r="DZ769" s="233"/>
      <c r="EA769" s="233"/>
      <c r="EB769" s="233"/>
      <c r="EC769" s="233"/>
      <c r="ED769" s="233"/>
      <c r="EE769" s="233"/>
      <c r="EF769" s="233"/>
      <c r="EG769" s="233"/>
      <c r="EH769" s="233"/>
      <c r="EI769" s="233"/>
      <c r="EJ769" s="233"/>
      <c r="EK769" s="233"/>
      <c r="EL769" s="233"/>
      <c r="EM769" s="233"/>
      <c r="EN769" s="233"/>
      <c r="EO769" s="233"/>
      <c r="EP769" s="233"/>
    </row>
    <row r="770" spans="1:146" ht="14.25" x14ac:dyDescent="0.2">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row>
    <row r="771" spans="1:146" ht="14.25" x14ac:dyDescent="0.2">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c r="AV771" s="233"/>
      <c r="AW771" s="233"/>
      <c r="AX771" s="233"/>
      <c r="AY771" s="233"/>
      <c r="AZ771" s="233"/>
      <c r="BA771" s="233"/>
      <c r="BB771" s="233"/>
      <c r="BC771" s="233"/>
      <c r="BD771" s="233"/>
      <c r="BE771" s="233"/>
      <c r="BF771" s="233"/>
      <c r="BG771" s="233"/>
      <c r="BH771" s="233"/>
      <c r="BI771" s="233"/>
      <c r="BJ771" s="233"/>
      <c r="BK771" s="233"/>
      <c r="BL771" s="233"/>
      <c r="BM771" s="233"/>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33"/>
      <c r="CI771" s="233"/>
      <c r="CJ771" s="233"/>
      <c r="CK771" s="233"/>
      <c r="CL771" s="233"/>
      <c r="CM771" s="233"/>
      <c r="CN771" s="233"/>
      <c r="CO771" s="233"/>
      <c r="CP771" s="233"/>
      <c r="CQ771" s="233"/>
      <c r="CR771" s="233"/>
      <c r="CS771" s="233"/>
      <c r="CT771" s="233"/>
      <c r="CU771" s="233"/>
      <c r="CV771" s="233"/>
      <c r="CW771" s="233"/>
      <c r="CX771" s="233"/>
      <c r="CY771" s="233"/>
      <c r="CZ771" s="233"/>
      <c r="DA771" s="233"/>
      <c r="DB771" s="233"/>
      <c r="DC771" s="233"/>
      <c r="DD771" s="233"/>
      <c r="DE771" s="233"/>
      <c r="DF771" s="233"/>
      <c r="DG771" s="233"/>
      <c r="DH771" s="233"/>
      <c r="DI771" s="233"/>
      <c r="DJ771" s="233"/>
      <c r="DK771" s="233"/>
      <c r="DL771" s="233"/>
      <c r="DM771" s="233"/>
      <c r="DN771" s="233"/>
      <c r="DO771" s="233"/>
      <c r="DP771" s="233"/>
      <c r="DQ771" s="233"/>
      <c r="DR771" s="233"/>
      <c r="DS771" s="233"/>
      <c r="DT771" s="233"/>
      <c r="DU771" s="233"/>
      <c r="DV771" s="233"/>
      <c r="DW771" s="233"/>
      <c r="DX771" s="233"/>
      <c r="DY771" s="233"/>
      <c r="DZ771" s="233"/>
      <c r="EA771" s="233"/>
      <c r="EB771" s="233"/>
      <c r="EC771" s="233"/>
      <c r="ED771" s="233"/>
      <c r="EE771" s="233"/>
      <c r="EF771" s="233"/>
      <c r="EG771" s="233"/>
      <c r="EH771" s="233"/>
      <c r="EI771" s="233"/>
      <c r="EJ771" s="233"/>
      <c r="EK771" s="233"/>
      <c r="EL771" s="233"/>
      <c r="EM771" s="233"/>
      <c r="EN771" s="233"/>
      <c r="EO771" s="233"/>
      <c r="EP771" s="233"/>
    </row>
    <row r="772" spans="1:146" ht="14.25" x14ac:dyDescent="0.2">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c r="AV772" s="233"/>
      <c r="AW772" s="233"/>
      <c r="AX772" s="233"/>
      <c r="AY772" s="233"/>
      <c r="AZ772" s="233"/>
      <c r="BA772" s="233"/>
      <c r="BB772" s="233"/>
      <c r="BC772" s="233"/>
      <c r="BD772" s="233"/>
      <c r="BE772" s="233"/>
      <c r="BF772" s="233"/>
      <c r="BG772" s="233"/>
      <c r="BH772" s="233"/>
      <c r="BI772" s="233"/>
      <c r="BJ772" s="233"/>
      <c r="BK772" s="233"/>
      <c r="BL772" s="233"/>
      <c r="BM772" s="233"/>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33"/>
      <c r="CI772" s="233"/>
      <c r="CJ772" s="233"/>
      <c r="CK772" s="233"/>
      <c r="CL772" s="233"/>
      <c r="CM772" s="233"/>
      <c r="CN772" s="233"/>
      <c r="CO772" s="233"/>
      <c r="CP772" s="233"/>
      <c r="CQ772" s="233"/>
      <c r="CR772" s="233"/>
      <c r="CS772" s="233"/>
      <c r="CT772" s="233"/>
      <c r="CU772" s="233"/>
      <c r="CV772" s="233"/>
      <c r="CW772" s="233"/>
      <c r="CX772" s="233"/>
      <c r="CY772" s="233"/>
      <c r="CZ772" s="233"/>
      <c r="DA772" s="233"/>
      <c r="DB772" s="233"/>
      <c r="DC772" s="233"/>
      <c r="DD772" s="233"/>
      <c r="DE772" s="233"/>
      <c r="DF772" s="233"/>
      <c r="DG772" s="233"/>
      <c r="DH772" s="233"/>
      <c r="DI772" s="233"/>
      <c r="DJ772" s="233"/>
      <c r="DK772" s="233"/>
      <c r="DL772" s="233"/>
      <c r="DM772" s="233"/>
      <c r="DN772" s="233"/>
      <c r="DO772" s="233"/>
      <c r="DP772" s="233"/>
      <c r="DQ772" s="233"/>
      <c r="DR772" s="233"/>
      <c r="DS772" s="233"/>
      <c r="DT772" s="233"/>
      <c r="DU772" s="233"/>
      <c r="DV772" s="233"/>
      <c r="DW772" s="233"/>
      <c r="DX772" s="233"/>
      <c r="DY772" s="233"/>
      <c r="DZ772" s="233"/>
      <c r="EA772" s="233"/>
      <c r="EB772" s="233"/>
      <c r="EC772" s="233"/>
      <c r="ED772" s="233"/>
      <c r="EE772" s="233"/>
      <c r="EF772" s="233"/>
      <c r="EG772" s="233"/>
      <c r="EH772" s="233"/>
      <c r="EI772" s="233"/>
      <c r="EJ772" s="233"/>
      <c r="EK772" s="233"/>
      <c r="EL772" s="233"/>
      <c r="EM772" s="233"/>
      <c r="EN772" s="233"/>
      <c r="EO772" s="233"/>
      <c r="EP772" s="233"/>
    </row>
    <row r="773" spans="1:146" ht="14.25" x14ac:dyDescent="0.2">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c r="AV773" s="233"/>
      <c r="AW773" s="233"/>
      <c r="AX773" s="233"/>
      <c r="AY773" s="233"/>
      <c r="AZ773" s="233"/>
      <c r="BA773" s="233"/>
      <c r="BB773" s="233"/>
      <c r="BC773" s="233"/>
      <c r="BD773" s="233"/>
      <c r="BE773" s="233"/>
      <c r="BF773" s="233"/>
      <c r="BG773" s="233"/>
      <c r="BH773" s="233"/>
      <c r="BI773" s="233"/>
      <c r="BJ773" s="233"/>
      <c r="BK773" s="233"/>
      <c r="BL773" s="233"/>
      <c r="BM773" s="233"/>
      <c r="BN773" s="233"/>
      <c r="BO773" s="233"/>
      <c r="BP773" s="233"/>
      <c r="BQ773" s="233"/>
      <c r="BR773" s="233"/>
      <c r="BS773" s="233"/>
      <c r="BT773" s="233"/>
      <c r="BU773" s="233"/>
      <c r="BV773" s="233"/>
      <c r="BW773" s="233"/>
      <c r="BX773" s="233"/>
      <c r="BY773" s="233"/>
      <c r="BZ773" s="233"/>
      <c r="CA773" s="233"/>
      <c r="CB773" s="233"/>
      <c r="CC773" s="233"/>
      <c r="CD773" s="233"/>
      <c r="CE773" s="233"/>
      <c r="CF773" s="233"/>
      <c r="CG773" s="233"/>
      <c r="CH773" s="233"/>
      <c r="CI773" s="233"/>
      <c r="CJ773" s="233"/>
      <c r="CK773" s="233"/>
      <c r="CL773" s="233"/>
      <c r="CM773" s="233"/>
      <c r="CN773" s="233"/>
      <c r="CO773" s="233"/>
      <c r="CP773" s="233"/>
      <c r="CQ773" s="233"/>
      <c r="CR773" s="233"/>
      <c r="CS773" s="233"/>
      <c r="CT773" s="233"/>
      <c r="CU773" s="233"/>
      <c r="CV773" s="233"/>
      <c r="CW773" s="233"/>
      <c r="CX773" s="233"/>
      <c r="CY773" s="233"/>
      <c r="CZ773" s="233"/>
      <c r="DA773" s="233"/>
      <c r="DB773" s="233"/>
      <c r="DC773" s="233"/>
      <c r="DD773" s="233"/>
      <c r="DE773" s="233"/>
      <c r="DF773" s="233"/>
      <c r="DG773" s="233"/>
      <c r="DH773" s="233"/>
      <c r="DI773" s="233"/>
      <c r="DJ773" s="233"/>
      <c r="DK773" s="233"/>
      <c r="DL773" s="233"/>
      <c r="DM773" s="233"/>
      <c r="DN773" s="233"/>
      <c r="DO773" s="233"/>
      <c r="DP773" s="233"/>
      <c r="DQ773" s="233"/>
      <c r="DR773" s="233"/>
      <c r="DS773" s="233"/>
      <c r="DT773" s="233"/>
      <c r="DU773" s="233"/>
      <c r="DV773" s="233"/>
      <c r="DW773" s="233"/>
      <c r="DX773" s="233"/>
      <c r="DY773" s="233"/>
      <c r="DZ773" s="233"/>
      <c r="EA773" s="233"/>
      <c r="EB773" s="233"/>
      <c r="EC773" s="233"/>
      <c r="ED773" s="233"/>
      <c r="EE773" s="233"/>
      <c r="EF773" s="233"/>
      <c r="EG773" s="233"/>
      <c r="EH773" s="233"/>
      <c r="EI773" s="233"/>
      <c r="EJ773" s="233"/>
      <c r="EK773" s="233"/>
      <c r="EL773" s="233"/>
      <c r="EM773" s="233"/>
      <c r="EN773" s="233"/>
      <c r="EO773" s="233"/>
      <c r="EP773" s="233"/>
    </row>
    <row r="774" spans="1:146" ht="14.25" x14ac:dyDescent="0.2">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c r="AV774" s="233"/>
      <c r="AW774" s="233"/>
      <c r="AX774" s="233"/>
      <c r="AY774" s="233"/>
      <c r="AZ774" s="233"/>
      <c r="BA774" s="233"/>
      <c r="BB774" s="233"/>
      <c r="BC774" s="233"/>
      <c r="BD774" s="233"/>
      <c r="BE774" s="233"/>
      <c r="BF774" s="233"/>
      <c r="BG774" s="233"/>
      <c r="BH774" s="233"/>
      <c r="BI774" s="233"/>
      <c r="BJ774" s="233"/>
      <c r="BK774" s="233"/>
      <c r="BL774" s="233"/>
      <c r="BM774" s="233"/>
      <c r="BN774" s="233"/>
      <c r="BO774" s="233"/>
      <c r="BP774" s="233"/>
      <c r="BQ774" s="233"/>
      <c r="BR774" s="233"/>
      <c r="BS774" s="233"/>
      <c r="BT774" s="233"/>
      <c r="BU774" s="233"/>
      <c r="BV774" s="233"/>
      <c r="BW774" s="233"/>
      <c r="BX774" s="233"/>
      <c r="BY774" s="233"/>
      <c r="BZ774" s="233"/>
      <c r="CA774" s="233"/>
      <c r="CB774" s="233"/>
      <c r="CC774" s="233"/>
      <c r="CD774" s="233"/>
      <c r="CE774" s="233"/>
      <c r="CF774" s="233"/>
      <c r="CG774" s="233"/>
      <c r="CH774" s="233"/>
      <c r="CI774" s="233"/>
      <c r="CJ774" s="233"/>
      <c r="CK774" s="233"/>
      <c r="CL774" s="233"/>
      <c r="CM774" s="233"/>
      <c r="CN774" s="233"/>
      <c r="CO774" s="233"/>
      <c r="CP774" s="233"/>
      <c r="CQ774" s="233"/>
      <c r="CR774" s="233"/>
      <c r="CS774" s="233"/>
      <c r="CT774" s="233"/>
      <c r="CU774" s="233"/>
      <c r="CV774" s="233"/>
      <c r="CW774" s="233"/>
      <c r="CX774" s="233"/>
      <c r="CY774" s="233"/>
      <c r="CZ774" s="233"/>
      <c r="DA774" s="233"/>
      <c r="DB774" s="233"/>
      <c r="DC774" s="233"/>
      <c r="DD774" s="233"/>
      <c r="DE774" s="233"/>
      <c r="DF774" s="233"/>
      <c r="DG774" s="233"/>
      <c r="DH774" s="233"/>
      <c r="DI774" s="233"/>
      <c r="DJ774" s="233"/>
      <c r="DK774" s="233"/>
      <c r="DL774" s="233"/>
      <c r="DM774" s="233"/>
      <c r="DN774" s="233"/>
      <c r="DO774" s="233"/>
      <c r="DP774" s="233"/>
      <c r="DQ774" s="233"/>
      <c r="DR774" s="233"/>
      <c r="DS774" s="233"/>
      <c r="DT774" s="233"/>
      <c r="DU774" s="233"/>
      <c r="DV774" s="233"/>
      <c r="DW774" s="233"/>
      <c r="DX774" s="233"/>
      <c r="DY774" s="233"/>
      <c r="DZ774" s="233"/>
      <c r="EA774" s="233"/>
      <c r="EB774" s="233"/>
      <c r="EC774" s="233"/>
      <c r="ED774" s="233"/>
      <c r="EE774" s="233"/>
      <c r="EF774" s="233"/>
      <c r="EG774" s="233"/>
      <c r="EH774" s="233"/>
      <c r="EI774" s="233"/>
      <c r="EJ774" s="233"/>
      <c r="EK774" s="233"/>
      <c r="EL774" s="233"/>
      <c r="EM774" s="233"/>
      <c r="EN774" s="233"/>
      <c r="EO774" s="233"/>
      <c r="EP774" s="233"/>
    </row>
    <row r="775" spans="1:146" ht="14.25" x14ac:dyDescent="0.2">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c r="AV775" s="233"/>
      <c r="AW775" s="233"/>
      <c r="AX775" s="233"/>
      <c r="AY775" s="233"/>
      <c r="AZ775" s="233"/>
      <c r="BA775" s="233"/>
      <c r="BB775" s="233"/>
      <c r="BC775" s="233"/>
      <c r="BD775" s="233"/>
      <c r="BE775" s="233"/>
      <c r="BF775" s="233"/>
      <c r="BG775" s="233"/>
      <c r="BH775" s="233"/>
      <c r="BI775" s="233"/>
      <c r="BJ775" s="233"/>
      <c r="BK775" s="233"/>
      <c r="BL775" s="233"/>
      <c r="BM775" s="233"/>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33"/>
      <c r="CI775" s="233"/>
      <c r="CJ775" s="233"/>
      <c r="CK775" s="233"/>
      <c r="CL775" s="233"/>
      <c r="CM775" s="233"/>
      <c r="CN775" s="233"/>
      <c r="CO775" s="233"/>
      <c r="CP775" s="233"/>
      <c r="CQ775" s="233"/>
      <c r="CR775" s="233"/>
      <c r="CS775" s="233"/>
      <c r="CT775" s="233"/>
      <c r="CU775" s="233"/>
      <c r="CV775" s="233"/>
      <c r="CW775" s="233"/>
      <c r="CX775" s="233"/>
      <c r="CY775" s="233"/>
      <c r="CZ775" s="233"/>
      <c r="DA775" s="233"/>
      <c r="DB775" s="233"/>
      <c r="DC775" s="233"/>
      <c r="DD775" s="233"/>
      <c r="DE775" s="233"/>
      <c r="DF775" s="233"/>
      <c r="DG775" s="233"/>
      <c r="DH775" s="233"/>
      <c r="DI775" s="233"/>
      <c r="DJ775" s="233"/>
      <c r="DK775" s="233"/>
      <c r="DL775" s="233"/>
      <c r="DM775" s="233"/>
      <c r="DN775" s="233"/>
      <c r="DO775" s="233"/>
      <c r="DP775" s="233"/>
      <c r="DQ775" s="233"/>
      <c r="DR775" s="233"/>
      <c r="DS775" s="233"/>
      <c r="DT775" s="233"/>
      <c r="DU775" s="233"/>
      <c r="DV775" s="233"/>
      <c r="DW775" s="233"/>
      <c r="DX775" s="233"/>
      <c r="DY775" s="233"/>
      <c r="DZ775" s="233"/>
      <c r="EA775" s="233"/>
      <c r="EB775" s="233"/>
      <c r="EC775" s="233"/>
      <c r="ED775" s="233"/>
      <c r="EE775" s="233"/>
      <c r="EF775" s="233"/>
      <c r="EG775" s="233"/>
      <c r="EH775" s="233"/>
      <c r="EI775" s="233"/>
      <c r="EJ775" s="233"/>
      <c r="EK775" s="233"/>
      <c r="EL775" s="233"/>
      <c r="EM775" s="233"/>
      <c r="EN775" s="233"/>
      <c r="EO775" s="233"/>
      <c r="EP775" s="233"/>
    </row>
    <row r="776" spans="1:146" ht="14.25" x14ac:dyDescent="0.2">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row>
    <row r="777" spans="1:146" ht="14.25" x14ac:dyDescent="0.2">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c r="AV777" s="233"/>
      <c r="AW777" s="233"/>
      <c r="AX777" s="233"/>
      <c r="AY777" s="233"/>
      <c r="AZ777" s="233"/>
      <c r="BA777" s="233"/>
      <c r="BB777" s="233"/>
      <c r="BC777" s="233"/>
      <c r="BD777" s="233"/>
      <c r="BE777" s="233"/>
      <c r="BF777" s="233"/>
      <c r="BG777" s="233"/>
      <c r="BH777" s="233"/>
      <c r="BI777" s="233"/>
      <c r="BJ777" s="233"/>
      <c r="BK777" s="233"/>
      <c r="BL777" s="233"/>
      <c r="BM777" s="233"/>
      <c r="BN777" s="233"/>
      <c r="BO777" s="233"/>
      <c r="BP777" s="233"/>
      <c r="BQ777" s="233"/>
      <c r="BR777" s="233"/>
      <c r="BS777" s="233"/>
      <c r="BT777" s="233"/>
      <c r="BU777" s="233"/>
      <c r="BV777" s="233"/>
      <c r="BW777" s="233"/>
      <c r="BX777" s="233"/>
      <c r="BY777" s="233"/>
      <c r="BZ777" s="233"/>
      <c r="CA777" s="233"/>
      <c r="CB777" s="233"/>
      <c r="CC777" s="233"/>
      <c r="CD777" s="233"/>
      <c r="CE777" s="233"/>
      <c r="CF777" s="233"/>
      <c r="CG777" s="233"/>
      <c r="CH777" s="233"/>
      <c r="CI777" s="233"/>
      <c r="CJ777" s="233"/>
      <c r="CK777" s="233"/>
      <c r="CL777" s="233"/>
      <c r="CM777" s="233"/>
      <c r="CN777" s="233"/>
      <c r="CO777" s="233"/>
      <c r="CP777" s="233"/>
      <c r="CQ777" s="233"/>
      <c r="CR777" s="233"/>
      <c r="CS777" s="233"/>
      <c r="CT777" s="233"/>
      <c r="CU777" s="233"/>
      <c r="CV777" s="233"/>
      <c r="CW777" s="233"/>
      <c r="CX777" s="233"/>
      <c r="CY777" s="233"/>
      <c r="CZ777" s="233"/>
      <c r="DA777" s="233"/>
      <c r="DB777" s="233"/>
      <c r="DC777" s="233"/>
      <c r="DD777" s="233"/>
      <c r="DE777" s="233"/>
      <c r="DF777" s="233"/>
      <c r="DG777" s="233"/>
      <c r="DH777" s="233"/>
      <c r="DI777" s="233"/>
      <c r="DJ777" s="233"/>
      <c r="DK777" s="233"/>
      <c r="DL777" s="233"/>
      <c r="DM777" s="233"/>
      <c r="DN777" s="233"/>
      <c r="DO777" s="233"/>
      <c r="DP777" s="233"/>
      <c r="DQ777" s="233"/>
      <c r="DR777" s="233"/>
      <c r="DS777" s="233"/>
      <c r="DT777" s="233"/>
      <c r="DU777" s="233"/>
      <c r="DV777" s="233"/>
      <c r="DW777" s="233"/>
      <c r="DX777" s="233"/>
      <c r="DY777" s="233"/>
      <c r="DZ777" s="233"/>
      <c r="EA777" s="233"/>
      <c r="EB777" s="233"/>
      <c r="EC777" s="233"/>
      <c r="ED777" s="233"/>
      <c r="EE777" s="233"/>
      <c r="EF777" s="233"/>
      <c r="EG777" s="233"/>
      <c r="EH777" s="233"/>
      <c r="EI777" s="233"/>
      <c r="EJ777" s="233"/>
      <c r="EK777" s="233"/>
      <c r="EL777" s="233"/>
      <c r="EM777" s="233"/>
      <c r="EN777" s="233"/>
      <c r="EO777" s="233"/>
      <c r="EP777" s="233"/>
    </row>
    <row r="778" spans="1:146" ht="14.25" x14ac:dyDescent="0.2">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c r="AV778" s="233"/>
      <c r="AW778" s="233"/>
      <c r="AX778" s="233"/>
      <c r="AY778" s="233"/>
      <c r="AZ778" s="233"/>
      <c r="BA778" s="233"/>
      <c r="BB778" s="233"/>
      <c r="BC778" s="233"/>
      <c r="BD778" s="233"/>
      <c r="BE778" s="233"/>
      <c r="BF778" s="233"/>
      <c r="BG778" s="233"/>
      <c r="BH778" s="233"/>
      <c r="BI778" s="233"/>
      <c r="BJ778" s="233"/>
      <c r="BK778" s="233"/>
      <c r="BL778" s="233"/>
      <c r="BM778" s="233"/>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33"/>
      <c r="CI778" s="233"/>
      <c r="CJ778" s="233"/>
      <c r="CK778" s="233"/>
      <c r="CL778" s="233"/>
      <c r="CM778" s="233"/>
      <c r="CN778" s="233"/>
      <c r="CO778" s="233"/>
      <c r="CP778" s="233"/>
      <c r="CQ778" s="233"/>
      <c r="CR778" s="233"/>
      <c r="CS778" s="233"/>
      <c r="CT778" s="233"/>
      <c r="CU778" s="233"/>
      <c r="CV778" s="233"/>
      <c r="CW778" s="233"/>
      <c r="CX778" s="233"/>
      <c r="CY778" s="233"/>
      <c r="CZ778" s="233"/>
      <c r="DA778" s="233"/>
      <c r="DB778" s="233"/>
      <c r="DC778" s="233"/>
      <c r="DD778" s="233"/>
      <c r="DE778" s="233"/>
      <c r="DF778" s="233"/>
      <c r="DG778" s="233"/>
      <c r="DH778" s="233"/>
      <c r="DI778" s="233"/>
      <c r="DJ778" s="233"/>
      <c r="DK778" s="233"/>
      <c r="DL778" s="233"/>
      <c r="DM778" s="233"/>
      <c r="DN778" s="233"/>
      <c r="DO778" s="233"/>
      <c r="DP778" s="233"/>
      <c r="DQ778" s="233"/>
      <c r="DR778" s="233"/>
      <c r="DS778" s="233"/>
      <c r="DT778" s="233"/>
      <c r="DU778" s="233"/>
      <c r="DV778" s="233"/>
      <c r="DW778" s="233"/>
      <c r="DX778" s="233"/>
      <c r="DY778" s="233"/>
      <c r="DZ778" s="233"/>
      <c r="EA778" s="233"/>
      <c r="EB778" s="233"/>
      <c r="EC778" s="233"/>
      <c r="ED778" s="233"/>
      <c r="EE778" s="233"/>
      <c r="EF778" s="233"/>
      <c r="EG778" s="233"/>
      <c r="EH778" s="233"/>
      <c r="EI778" s="233"/>
      <c r="EJ778" s="233"/>
      <c r="EK778" s="233"/>
      <c r="EL778" s="233"/>
      <c r="EM778" s="233"/>
      <c r="EN778" s="233"/>
      <c r="EO778" s="233"/>
      <c r="EP778" s="233"/>
    </row>
    <row r="779" spans="1:146" ht="14.25" x14ac:dyDescent="0.2">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c r="AV779" s="233"/>
      <c r="AW779" s="233"/>
      <c r="AX779" s="233"/>
      <c r="AY779" s="233"/>
      <c r="AZ779" s="233"/>
      <c r="BA779" s="233"/>
      <c r="BB779" s="233"/>
      <c r="BC779" s="233"/>
      <c r="BD779" s="233"/>
      <c r="BE779" s="233"/>
      <c r="BF779" s="233"/>
      <c r="BG779" s="233"/>
      <c r="BH779" s="233"/>
      <c r="BI779" s="233"/>
      <c r="BJ779" s="233"/>
      <c r="BK779" s="233"/>
      <c r="BL779" s="233"/>
      <c r="BM779" s="233"/>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33"/>
      <c r="CI779" s="233"/>
      <c r="CJ779" s="233"/>
      <c r="CK779" s="233"/>
      <c r="CL779" s="233"/>
      <c r="CM779" s="233"/>
      <c r="CN779" s="233"/>
      <c r="CO779" s="233"/>
      <c r="CP779" s="233"/>
      <c r="CQ779" s="233"/>
      <c r="CR779" s="233"/>
      <c r="CS779" s="233"/>
      <c r="CT779" s="233"/>
      <c r="CU779" s="233"/>
      <c r="CV779" s="233"/>
      <c r="CW779" s="233"/>
      <c r="CX779" s="233"/>
      <c r="CY779" s="233"/>
      <c r="CZ779" s="233"/>
      <c r="DA779" s="233"/>
      <c r="DB779" s="233"/>
      <c r="DC779" s="233"/>
      <c r="DD779" s="233"/>
      <c r="DE779" s="233"/>
      <c r="DF779" s="233"/>
      <c r="DG779" s="233"/>
      <c r="DH779" s="233"/>
      <c r="DI779" s="233"/>
      <c r="DJ779" s="233"/>
      <c r="DK779" s="233"/>
      <c r="DL779" s="233"/>
      <c r="DM779" s="233"/>
      <c r="DN779" s="233"/>
      <c r="DO779" s="233"/>
      <c r="DP779" s="233"/>
      <c r="DQ779" s="233"/>
      <c r="DR779" s="233"/>
      <c r="DS779" s="233"/>
      <c r="DT779" s="233"/>
      <c r="DU779" s="233"/>
      <c r="DV779" s="233"/>
      <c r="DW779" s="233"/>
      <c r="DX779" s="233"/>
      <c r="DY779" s="233"/>
      <c r="DZ779" s="233"/>
      <c r="EA779" s="233"/>
      <c r="EB779" s="233"/>
      <c r="EC779" s="233"/>
      <c r="ED779" s="233"/>
      <c r="EE779" s="233"/>
      <c r="EF779" s="233"/>
      <c r="EG779" s="233"/>
      <c r="EH779" s="233"/>
      <c r="EI779" s="233"/>
      <c r="EJ779" s="233"/>
      <c r="EK779" s="233"/>
      <c r="EL779" s="233"/>
      <c r="EM779" s="233"/>
      <c r="EN779" s="233"/>
      <c r="EO779" s="233"/>
      <c r="EP779" s="233"/>
    </row>
    <row r="780" spans="1:146" ht="14.25" x14ac:dyDescent="0.2">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33"/>
      <c r="BF780" s="233"/>
      <c r="BG780" s="233"/>
      <c r="BH780" s="233"/>
      <c r="BI780" s="233"/>
      <c r="BJ780" s="233"/>
      <c r="BK780" s="233"/>
      <c r="BL780" s="233"/>
      <c r="BM780" s="233"/>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33"/>
      <c r="CI780" s="233"/>
      <c r="CJ780" s="233"/>
      <c r="CK780" s="233"/>
      <c r="CL780" s="233"/>
      <c r="CM780" s="233"/>
      <c r="CN780" s="233"/>
      <c r="CO780" s="233"/>
      <c r="CP780" s="233"/>
      <c r="CQ780" s="233"/>
      <c r="CR780" s="233"/>
      <c r="CS780" s="233"/>
      <c r="CT780" s="233"/>
      <c r="CU780" s="233"/>
      <c r="CV780" s="233"/>
      <c r="CW780" s="233"/>
      <c r="CX780" s="233"/>
      <c r="CY780" s="233"/>
      <c r="CZ780" s="233"/>
      <c r="DA780" s="233"/>
      <c r="DB780" s="233"/>
      <c r="DC780" s="233"/>
      <c r="DD780" s="233"/>
      <c r="DE780" s="233"/>
      <c r="DF780" s="233"/>
      <c r="DG780" s="233"/>
      <c r="DH780" s="233"/>
      <c r="DI780" s="233"/>
      <c r="DJ780" s="233"/>
      <c r="DK780" s="233"/>
      <c r="DL780" s="233"/>
      <c r="DM780" s="233"/>
      <c r="DN780" s="233"/>
      <c r="DO780" s="233"/>
      <c r="DP780" s="233"/>
      <c r="DQ780" s="233"/>
      <c r="DR780" s="233"/>
      <c r="DS780" s="233"/>
      <c r="DT780" s="233"/>
      <c r="DU780" s="233"/>
      <c r="DV780" s="233"/>
      <c r="DW780" s="233"/>
      <c r="DX780" s="233"/>
      <c r="DY780" s="233"/>
      <c r="DZ780" s="233"/>
      <c r="EA780" s="233"/>
      <c r="EB780" s="233"/>
      <c r="EC780" s="233"/>
      <c r="ED780" s="233"/>
      <c r="EE780" s="233"/>
      <c r="EF780" s="233"/>
      <c r="EG780" s="233"/>
      <c r="EH780" s="233"/>
      <c r="EI780" s="233"/>
      <c r="EJ780" s="233"/>
      <c r="EK780" s="233"/>
      <c r="EL780" s="233"/>
      <c r="EM780" s="233"/>
      <c r="EN780" s="233"/>
      <c r="EO780" s="233"/>
      <c r="EP780" s="233"/>
    </row>
    <row r="781" spans="1:146" ht="14.25" x14ac:dyDescent="0.2">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33"/>
      <c r="BF781" s="233"/>
      <c r="BG781" s="233"/>
      <c r="BH781" s="233"/>
      <c r="BI781" s="233"/>
      <c r="BJ781" s="233"/>
      <c r="BK781" s="233"/>
      <c r="BL781" s="233"/>
      <c r="BM781" s="233"/>
      <c r="BN781" s="233"/>
      <c r="BO781" s="233"/>
      <c r="BP781" s="233"/>
      <c r="BQ781" s="233"/>
      <c r="BR781" s="233"/>
      <c r="BS781" s="233"/>
      <c r="BT781" s="233"/>
      <c r="BU781" s="233"/>
      <c r="BV781" s="233"/>
      <c r="BW781" s="233"/>
      <c r="BX781" s="233"/>
      <c r="BY781" s="233"/>
      <c r="BZ781" s="233"/>
      <c r="CA781" s="233"/>
      <c r="CB781" s="233"/>
      <c r="CC781" s="233"/>
      <c r="CD781" s="233"/>
      <c r="CE781" s="233"/>
      <c r="CF781" s="233"/>
      <c r="CG781" s="233"/>
      <c r="CH781" s="233"/>
      <c r="CI781" s="233"/>
      <c r="CJ781" s="233"/>
      <c r="CK781" s="233"/>
      <c r="CL781" s="233"/>
      <c r="CM781" s="233"/>
      <c r="CN781" s="233"/>
      <c r="CO781" s="233"/>
      <c r="CP781" s="233"/>
      <c r="CQ781" s="233"/>
      <c r="CR781" s="233"/>
      <c r="CS781" s="233"/>
      <c r="CT781" s="233"/>
      <c r="CU781" s="233"/>
      <c r="CV781" s="233"/>
      <c r="CW781" s="233"/>
      <c r="CX781" s="233"/>
      <c r="CY781" s="233"/>
      <c r="CZ781" s="233"/>
      <c r="DA781" s="233"/>
      <c r="DB781" s="233"/>
      <c r="DC781" s="233"/>
      <c r="DD781" s="233"/>
      <c r="DE781" s="233"/>
      <c r="DF781" s="233"/>
      <c r="DG781" s="233"/>
      <c r="DH781" s="233"/>
      <c r="DI781" s="233"/>
      <c r="DJ781" s="233"/>
      <c r="DK781" s="233"/>
      <c r="DL781" s="233"/>
      <c r="DM781" s="233"/>
      <c r="DN781" s="233"/>
      <c r="DO781" s="233"/>
      <c r="DP781" s="233"/>
      <c r="DQ781" s="233"/>
      <c r="DR781" s="233"/>
      <c r="DS781" s="233"/>
      <c r="DT781" s="233"/>
      <c r="DU781" s="233"/>
      <c r="DV781" s="233"/>
      <c r="DW781" s="233"/>
      <c r="DX781" s="233"/>
      <c r="DY781" s="233"/>
      <c r="DZ781" s="233"/>
      <c r="EA781" s="233"/>
      <c r="EB781" s="233"/>
      <c r="EC781" s="233"/>
      <c r="ED781" s="233"/>
      <c r="EE781" s="233"/>
      <c r="EF781" s="233"/>
      <c r="EG781" s="233"/>
      <c r="EH781" s="233"/>
      <c r="EI781" s="233"/>
      <c r="EJ781" s="233"/>
      <c r="EK781" s="233"/>
      <c r="EL781" s="233"/>
      <c r="EM781" s="233"/>
      <c r="EN781" s="233"/>
      <c r="EO781" s="233"/>
      <c r="EP781" s="233"/>
    </row>
    <row r="782" spans="1:146" ht="14.25" x14ac:dyDescent="0.2">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33"/>
      <c r="BF782" s="233"/>
      <c r="BG782" s="233"/>
      <c r="BH782" s="233"/>
      <c r="BI782" s="233"/>
      <c r="BJ782" s="233"/>
      <c r="BK782" s="233"/>
      <c r="BL782" s="233"/>
      <c r="BM782" s="233"/>
      <c r="BN782" s="233"/>
      <c r="BO782" s="233"/>
      <c r="BP782" s="233"/>
      <c r="BQ782" s="233"/>
      <c r="BR782" s="233"/>
      <c r="BS782" s="233"/>
      <c r="BT782" s="233"/>
      <c r="BU782" s="233"/>
      <c r="BV782" s="233"/>
      <c r="BW782" s="233"/>
      <c r="BX782" s="233"/>
      <c r="BY782" s="233"/>
      <c r="BZ782" s="233"/>
      <c r="CA782" s="233"/>
      <c r="CB782" s="233"/>
      <c r="CC782" s="233"/>
      <c r="CD782" s="233"/>
      <c r="CE782" s="233"/>
      <c r="CF782" s="233"/>
      <c r="CG782" s="233"/>
      <c r="CH782" s="233"/>
      <c r="CI782" s="233"/>
      <c r="CJ782" s="233"/>
      <c r="CK782" s="233"/>
      <c r="CL782" s="233"/>
      <c r="CM782" s="233"/>
      <c r="CN782" s="233"/>
      <c r="CO782" s="233"/>
      <c r="CP782" s="233"/>
      <c r="CQ782" s="233"/>
      <c r="CR782" s="233"/>
      <c r="CS782" s="233"/>
      <c r="CT782" s="233"/>
      <c r="CU782" s="233"/>
      <c r="CV782" s="233"/>
      <c r="CW782" s="233"/>
      <c r="CX782" s="233"/>
      <c r="CY782" s="233"/>
      <c r="CZ782" s="233"/>
      <c r="DA782" s="233"/>
      <c r="DB782" s="233"/>
      <c r="DC782" s="233"/>
      <c r="DD782" s="233"/>
      <c r="DE782" s="233"/>
      <c r="DF782" s="233"/>
      <c r="DG782" s="233"/>
      <c r="DH782" s="233"/>
      <c r="DI782" s="233"/>
      <c r="DJ782" s="233"/>
      <c r="DK782" s="233"/>
      <c r="DL782" s="233"/>
      <c r="DM782" s="233"/>
      <c r="DN782" s="233"/>
      <c r="DO782" s="233"/>
      <c r="DP782" s="233"/>
      <c r="DQ782" s="233"/>
      <c r="DR782" s="233"/>
      <c r="DS782" s="233"/>
      <c r="DT782" s="233"/>
      <c r="DU782" s="233"/>
      <c r="DV782" s="233"/>
      <c r="DW782" s="233"/>
      <c r="DX782" s="233"/>
      <c r="DY782" s="233"/>
      <c r="DZ782" s="233"/>
      <c r="EA782" s="233"/>
      <c r="EB782" s="233"/>
      <c r="EC782" s="233"/>
      <c r="ED782" s="233"/>
      <c r="EE782" s="233"/>
      <c r="EF782" s="233"/>
      <c r="EG782" s="233"/>
      <c r="EH782" s="233"/>
      <c r="EI782" s="233"/>
      <c r="EJ782" s="233"/>
      <c r="EK782" s="233"/>
      <c r="EL782" s="233"/>
      <c r="EM782" s="233"/>
      <c r="EN782" s="233"/>
      <c r="EO782" s="233"/>
      <c r="EP782" s="233"/>
    </row>
    <row r="783" spans="1:146" ht="14.25" x14ac:dyDescent="0.2">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33"/>
      <c r="BF783" s="233"/>
      <c r="BG783" s="233"/>
      <c r="BH783" s="233"/>
      <c r="BI783" s="233"/>
      <c r="BJ783" s="233"/>
      <c r="BK783" s="233"/>
      <c r="BL783" s="233"/>
      <c r="BM783" s="233"/>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33"/>
      <c r="CI783" s="233"/>
      <c r="CJ783" s="233"/>
      <c r="CK783" s="233"/>
      <c r="CL783" s="233"/>
      <c r="CM783" s="233"/>
      <c r="CN783" s="233"/>
      <c r="CO783" s="233"/>
      <c r="CP783" s="233"/>
      <c r="CQ783" s="233"/>
      <c r="CR783" s="233"/>
      <c r="CS783" s="233"/>
      <c r="CT783" s="233"/>
      <c r="CU783" s="233"/>
      <c r="CV783" s="233"/>
      <c r="CW783" s="233"/>
      <c r="CX783" s="233"/>
      <c r="CY783" s="233"/>
      <c r="CZ783" s="233"/>
      <c r="DA783" s="233"/>
      <c r="DB783" s="233"/>
      <c r="DC783" s="233"/>
      <c r="DD783" s="233"/>
      <c r="DE783" s="233"/>
      <c r="DF783" s="233"/>
      <c r="DG783" s="233"/>
      <c r="DH783" s="233"/>
      <c r="DI783" s="233"/>
      <c r="DJ783" s="233"/>
      <c r="DK783" s="233"/>
      <c r="DL783" s="233"/>
      <c r="DM783" s="233"/>
      <c r="DN783" s="233"/>
      <c r="DO783" s="233"/>
      <c r="DP783" s="233"/>
      <c r="DQ783" s="233"/>
      <c r="DR783" s="233"/>
      <c r="DS783" s="233"/>
      <c r="DT783" s="233"/>
      <c r="DU783" s="233"/>
      <c r="DV783" s="233"/>
      <c r="DW783" s="233"/>
      <c r="DX783" s="233"/>
      <c r="DY783" s="233"/>
      <c r="DZ783" s="233"/>
      <c r="EA783" s="233"/>
      <c r="EB783" s="233"/>
      <c r="EC783" s="233"/>
      <c r="ED783" s="233"/>
      <c r="EE783" s="233"/>
      <c r="EF783" s="233"/>
      <c r="EG783" s="233"/>
      <c r="EH783" s="233"/>
      <c r="EI783" s="233"/>
      <c r="EJ783" s="233"/>
      <c r="EK783" s="233"/>
      <c r="EL783" s="233"/>
      <c r="EM783" s="233"/>
      <c r="EN783" s="233"/>
      <c r="EO783" s="233"/>
      <c r="EP783" s="233"/>
    </row>
    <row r="784" spans="1:146" ht="14.25" x14ac:dyDescent="0.2">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33"/>
      <c r="BF784" s="233"/>
      <c r="BG784" s="233"/>
      <c r="BH784" s="233"/>
      <c r="BI784" s="233"/>
      <c r="BJ784" s="233"/>
      <c r="BK784" s="233"/>
      <c r="BL784" s="233"/>
      <c r="BM784" s="233"/>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33"/>
      <c r="CI784" s="233"/>
      <c r="CJ784" s="233"/>
      <c r="CK784" s="233"/>
      <c r="CL784" s="233"/>
      <c r="CM784" s="233"/>
      <c r="CN784" s="233"/>
      <c r="CO784" s="233"/>
      <c r="CP784" s="233"/>
      <c r="CQ784" s="233"/>
      <c r="CR784" s="233"/>
      <c r="CS784" s="233"/>
      <c r="CT784" s="233"/>
      <c r="CU784" s="233"/>
      <c r="CV784" s="233"/>
      <c r="CW784" s="233"/>
      <c r="CX784" s="233"/>
      <c r="CY784" s="233"/>
      <c r="CZ784" s="233"/>
      <c r="DA784" s="233"/>
      <c r="DB784" s="233"/>
      <c r="DC784" s="233"/>
      <c r="DD784" s="233"/>
      <c r="DE784" s="233"/>
      <c r="DF784" s="233"/>
      <c r="DG784" s="233"/>
      <c r="DH784" s="233"/>
      <c r="DI784" s="233"/>
      <c r="DJ784" s="233"/>
      <c r="DK784" s="233"/>
      <c r="DL784" s="233"/>
      <c r="DM784" s="233"/>
      <c r="DN784" s="233"/>
      <c r="DO784" s="233"/>
      <c r="DP784" s="233"/>
      <c r="DQ784" s="233"/>
      <c r="DR784" s="233"/>
      <c r="DS784" s="233"/>
      <c r="DT784" s="233"/>
      <c r="DU784" s="233"/>
      <c r="DV784" s="233"/>
      <c r="DW784" s="233"/>
      <c r="DX784" s="233"/>
      <c r="DY784" s="233"/>
      <c r="DZ784" s="233"/>
      <c r="EA784" s="233"/>
      <c r="EB784" s="233"/>
      <c r="EC784" s="233"/>
      <c r="ED784" s="233"/>
      <c r="EE784" s="233"/>
      <c r="EF784" s="233"/>
      <c r="EG784" s="233"/>
      <c r="EH784" s="233"/>
      <c r="EI784" s="233"/>
      <c r="EJ784" s="233"/>
      <c r="EK784" s="233"/>
      <c r="EL784" s="233"/>
      <c r="EM784" s="233"/>
      <c r="EN784" s="233"/>
      <c r="EO784" s="233"/>
      <c r="EP784" s="233"/>
    </row>
    <row r="785" spans="1:146" ht="14.25" x14ac:dyDescent="0.2">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33"/>
      <c r="BF785" s="233"/>
      <c r="BG785" s="233"/>
      <c r="BH785" s="233"/>
      <c r="BI785" s="233"/>
      <c r="BJ785" s="233"/>
      <c r="BK785" s="233"/>
      <c r="BL785" s="233"/>
      <c r="BM785" s="233"/>
      <c r="BN785" s="233"/>
      <c r="BO785" s="233"/>
      <c r="BP785" s="233"/>
      <c r="BQ785" s="233"/>
      <c r="BR785" s="233"/>
      <c r="BS785" s="233"/>
      <c r="BT785" s="233"/>
      <c r="BU785" s="233"/>
      <c r="BV785" s="233"/>
      <c r="BW785" s="233"/>
      <c r="BX785" s="233"/>
      <c r="BY785" s="233"/>
      <c r="BZ785" s="233"/>
      <c r="CA785" s="233"/>
      <c r="CB785" s="233"/>
      <c r="CC785" s="233"/>
      <c r="CD785" s="233"/>
      <c r="CE785" s="233"/>
      <c r="CF785" s="233"/>
      <c r="CG785" s="233"/>
      <c r="CH785" s="233"/>
      <c r="CI785" s="233"/>
      <c r="CJ785" s="233"/>
      <c r="CK785" s="233"/>
      <c r="CL785" s="233"/>
      <c r="CM785" s="233"/>
      <c r="CN785" s="233"/>
      <c r="CO785" s="233"/>
      <c r="CP785" s="233"/>
      <c r="CQ785" s="233"/>
      <c r="CR785" s="233"/>
      <c r="CS785" s="233"/>
      <c r="CT785" s="233"/>
      <c r="CU785" s="233"/>
      <c r="CV785" s="233"/>
      <c r="CW785" s="233"/>
      <c r="CX785" s="233"/>
      <c r="CY785" s="233"/>
      <c r="CZ785" s="233"/>
      <c r="DA785" s="233"/>
      <c r="DB785" s="233"/>
      <c r="DC785" s="233"/>
      <c r="DD785" s="233"/>
      <c r="DE785" s="233"/>
      <c r="DF785" s="233"/>
      <c r="DG785" s="233"/>
      <c r="DH785" s="233"/>
      <c r="DI785" s="233"/>
      <c r="DJ785" s="233"/>
      <c r="DK785" s="233"/>
      <c r="DL785" s="233"/>
      <c r="DM785" s="233"/>
      <c r="DN785" s="233"/>
      <c r="DO785" s="233"/>
      <c r="DP785" s="233"/>
      <c r="DQ785" s="233"/>
      <c r="DR785" s="233"/>
      <c r="DS785" s="233"/>
      <c r="DT785" s="233"/>
      <c r="DU785" s="233"/>
      <c r="DV785" s="233"/>
      <c r="DW785" s="233"/>
      <c r="DX785" s="233"/>
      <c r="DY785" s="233"/>
      <c r="DZ785" s="233"/>
      <c r="EA785" s="233"/>
      <c r="EB785" s="233"/>
      <c r="EC785" s="233"/>
      <c r="ED785" s="233"/>
      <c r="EE785" s="233"/>
      <c r="EF785" s="233"/>
      <c r="EG785" s="233"/>
      <c r="EH785" s="233"/>
      <c r="EI785" s="233"/>
      <c r="EJ785" s="233"/>
      <c r="EK785" s="233"/>
      <c r="EL785" s="233"/>
      <c r="EM785" s="233"/>
      <c r="EN785" s="233"/>
      <c r="EO785" s="233"/>
      <c r="EP785" s="233"/>
    </row>
    <row r="786" spans="1:146" ht="14.25" x14ac:dyDescent="0.2">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row>
    <row r="787" spans="1:146" ht="14.25" x14ac:dyDescent="0.2">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row>
    <row r="788" spans="1:146" ht="14.25" x14ac:dyDescent="0.2">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C788" s="233"/>
      <c r="CD788" s="233"/>
      <c r="CE788" s="233"/>
      <c r="CF788" s="233"/>
      <c r="CG788" s="233"/>
      <c r="CH788" s="233"/>
      <c r="CI788" s="233"/>
      <c r="CJ788" s="233"/>
      <c r="CK788" s="233"/>
      <c r="CL788" s="233"/>
      <c r="CM788" s="233"/>
      <c r="CN788" s="233"/>
      <c r="CO788" s="233"/>
      <c r="CP788" s="233"/>
      <c r="CQ788" s="233"/>
      <c r="CR788" s="233"/>
      <c r="CS788" s="233"/>
      <c r="CT788" s="233"/>
      <c r="CU788" s="233"/>
      <c r="CV788" s="233"/>
      <c r="CW788" s="233"/>
      <c r="CX788" s="233"/>
      <c r="CY788" s="233"/>
      <c r="CZ788" s="233"/>
      <c r="DA788" s="233"/>
      <c r="DB788" s="233"/>
      <c r="DC788" s="233"/>
      <c r="DD788" s="233"/>
      <c r="DE788" s="233"/>
      <c r="DF788" s="233"/>
      <c r="DG788" s="233"/>
      <c r="DH788" s="233"/>
      <c r="DI788" s="233"/>
      <c r="DJ788" s="233"/>
      <c r="DK788" s="233"/>
      <c r="DL788" s="233"/>
      <c r="DM788" s="233"/>
      <c r="DN788" s="233"/>
      <c r="DO788" s="233"/>
      <c r="DP788" s="233"/>
      <c r="DQ788" s="233"/>
      <c r="DR788" s="233"/>
      <c r="DS788" s="233"/>
      <c r="DT788" s="233"/>
      <c r="DU788" s="233"/>
      <c r="DV788" s="233"/>
      <c r="DW788" s="233"/>
      <c r="DX788" s="233"/>
      <c r="DY788" s="233"/>
      <c r="DZ788" s="233"/>
      <c r="EA788" s="233"/>
      <c r="EB788" s="233"/>
      <c r="EC788" s="233"/>
      <c r="ED788" s="233"/>
      <c r="EE788" s="233"/>
      <c r="EF788" s="233"/>
      <c r="EG788" s="233"/>
      <c r="EH788" s="233"/>
      <c r="EI788" s="233"/>
      <c r="EJ788" s="233"/>
      <c r="EK788" s="233"/>
      <c r="EL788" s="233"/>
      <c r="EM788" s="233"/>
      <c r="EN788" s="233"/>
      <c r="EO788" s="233"/>
      <c r="EP788" s="233"/>
    </row>
    <row r="789" spans="1:146" ht="14.25" x14ac:dyDescent="0.2">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c r="AV789" s="233"/>
      <c r="AW789" s="233"/>
      <c r="AX789" s="233"/>
      <c r="AY789" s="233"/>
      <c r="AZ789" s="233"/>
      <c r="BA789" s="233"/>
      <c r="BB789" s="233"/>
      <c r="BC789" s="233"/>
      <c r="BD789" s="233"/>
      <c r="BE789" s="233"/>
      <c r="BF789" s="233"/>
      <c r="BG789" s="233"/>
      <c r="BH789" s="233"/>
      <c r="BI789" s="233"/>
      <c r="BJ789" s="233"/>
      <c r="BK789" s="233"/>
      <c r="BL789" s="233"/>
      <c r="BM789" s="233"/>
      <c r="BN789" s="233"/>
      <c r="BO789" s="233"/>
      <c r="BP789" s="233"/>
      <c r="BQ789" s="233"/>
      <c r="BR789" s="233"/>
      <c r="BS789" s="233"/>
      <c r="BT789" s="233"/>
      <c r="BU789" s="233"/>
      <c r="BV789" s="233"/>
      <c r="BW789" s="233"/>
      <c r="BX789" s="233"/>
      <c r="BY789" s="233"/>
      <c r="BZ789" s="233"/>
      <c r="CA789" s="233"/>
      <c r="CB789" s="233"/>
      <c r="CC789" s="233"/>
      <c r="CD789" s="233"/>
      <c r="CE789" s="233"/>
      <c r="CF789" s="233"/>
      <c r="CG789" s="233"/>
      <c r="CH789" s="233"/>
      <c r="CI789" s="233"/>
      <c r="CJ789" s="233"/>
      <c r="CK789" s="233"/>
      <c r="CL789" s="233"/>
      <c r="CM789" s="233"/>
      <c r="CN789" s="233"/>
      <c r="CO789" s="233"/>
      <c r="CP789" s="233"/>
      <c r="CQ789" s="233"/>
      <c r="CR789" s="233"/>
      <c r="CS789" s="233"/>
      <c r="CT789" s="233"/>
      <c r="CU789" s="233"/>
      <c r="CV789" s="233"/>
      <c r="CW789" s="233"/>
      <c r="CX789" s="233"/>
      <c r="CY789" s="233"/>
      <c r="CZ789" s="233"/>
      <c r="DA789" s="233"/>
      <c r="DB789" s="233"/>
      <c r="DC789" s="233"/>
      <c r="DD789" s="233"/>
      <c r="DE789" s="233"/>
      <c r="DF789" s="233"/>
      <c r="DG789" s="233"/>
      <c r="DH789" s="233"/>
      <c r="DI789" s="233"/>
      <c r="DJ789" s="233"/>
      <c r="DK789" s="233"/>
      <c r="DL789" s="233"/>
      <c r="DM789" s="233"/>
      <c r="DN789" s="233"/>
      <c r="DO789" s="233"/>
      <c r="DP789" s="233"/>
      <c r="DQ789" s="233"/>
      <c r="DR789" s="233"/>
      <c r="DS789" s="233"/>
      <c r="DT789" s="233"/>
      <c r="DU789" s="233"/>
      <c r="DV789" s="233"/>
      <c r="DW789" s="233"/>
      <c r="DX789" s="233"/>
      <c r="DY789" s="233"/>
      <c r="DZ789" s="233"/>
      <c r="EA789" s="233"/>
      <c r="EB789" s="233"/>
      <c r="EC789" s="233"/>
      <c r="ED789" s="233"/>
      <c r="EE789" s="233"/>
      <c r="EF789" s="233"/>
      <c r="EG789" s="233"/>
      <c r="EH789" s="233"/>
      <c r="EI789" s="233"/>
      <c r="EJ789" s="233"/>
      <c r="EK789" s="233"/>
      <c r="EL789" s="233"/>
      <c r="EM789" s="233"/>
      <c r="EN789" s="233"/>
      <c r="EO789" s="233"/>
      <c r="EP789" s="233"/>
    </row>
    <row r="790" spans="1:146" ht="14.25" x14ac:dyDescent="0.2">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c r="AW790" s="233"/>
      <c r="AX790" s="233"/>
      <c r="AY790" s="233"/>
      <c r="AZ790" s="233"/>
      <c r="BA790" s="233"/>
      <c r="BB790" s="233"/>
      <c r="BC790" s="233"/>
      <c r="BD790" s="233"/>
      <c r="BE790" s="233"/>
      <c r="BF790" s="233"/>
      <c r="BG790" s="233"/>
      <c r="BH790" s="233"/>
      <c r="BI790" s="233"/>
      <c r="BJ790" s="233"/>
      <c r="BK790" s="233"/>
      <c r="BL790" s="233"/>
      <c r="BM790" s="233"/>
      <c r="BN790" s="233"/>
      <c r="BO790" s="233"/>
      <c r="BP790" s="233"/>
      <c r="BQ790" s="233"/>
      <c r="BR790" s="233"/>
      <c r="BS790" s="233"/>
      <c r="BT790" s="233"/>
      <c r="BU790" s="233"/>
      <c r="BV790" s="233"/>
      <c r="BW790" s="233"/>
      <c r="BX790" s="233"/>
      <c r="BY790" s="233"/>
      <c r="BZ790" s="233"/>
      <c r="CA790" s="233"/>
      <c r="CB790" s="233"/>
      <c r="CC790" s="233"/>
      <c r="CD790" s="233"/>
      <c r="CE790" s="233"/>
      <c r="CF790" s="233"/>
      <c r="CG790" s="233"/>
      <c r="CH790" s="233"/>
      <c r="CI790" s="233"/>
      <c r="CJ790" s="233"/>
      <c r="CK790" s="233"/>
      <c r="CL790" s="233"/>
      <c r="CM790" s="233"/>
      <c r="CN790" s="233"/>
      <c r="CO790" s="233"/>
      <c r="CP790" s="233"/>
      <c r="CQ790" s="233"/>
      <c r="CR790" s="233"/>
      <c r="CS790" s="233"/>
      <c r="CT790" s="233"/>
      <c r="CU790" s="233"/>
      <c r="CV790" s="233"/>
      <c r="CW790" s="233"/>
      <c r="CX790" s="233"/>
      <c r="CY790" s="233"/>
      <c r="CZ790" s="233"/>
      <c r="DA790" s="233"/>
      <c r="DB790" s="233"/>
      <c r="DC790" s="233"/>
      <c r="DD790" s="233"/>
      <c r="DE790" s="233"/>
      <c r="DF790" s="233"/>
      <c r="DG790" s="233"/>
      <c r="DH790" s="233"/>
      <c r="DI790" s="233"/>
      <c r="DJ790" s="233"/>
      <c r="DK790" s="233"/>
      <c r="DL790" s="233"/>
      <c r="DM790" s="233"/>
      <c r="DN790" s="233"/>
      <c r="DO790" s="233"/>
      <c r="DP790" s="233"/>
      <c r="DQ790" s="233"/>
      <c r="DR790" s="233"/>
      <c r="DS790" s="233"/>
      <c r="DT790" s="233"/>
      <c r="DU790" s="233"/>
      <c r="DV790" s="233"/>
      <c r="DW790" s="233"/>
      <c r="DX790" s="233"/>
      <c r="DY790" s="233"/>
      <c r="DZ790" s="233"/>
      <c r="EA790" s="233"/>
      <c r="EB790" s="233"/>
      <c r="EC790" s="233"/>
      <c r="ED790" s="233"/>
      <c r="EE790" s="233"/>
      <c r="EF790" s="233"/>
      <c r="EG790" s="233"/>
      <c r="EH790" s="233"/>
      <c r="EI790" s="233"/>
      <c r="EJ790" s="233"/>
      <c r="EK790" s="233"/>
      <c r="EL790" s="233"/>
      <c r="EM790" s="233"/>
      <c r="EN790" s="233"/>
      <c r="EO790" s="233"/>
      <c r="EP790" s="233"/>
    </row>
    <row r="791" spans="1:146" ht="14.25" x14ac:dyDescent="0.2">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c r="AZ791" s="233"/>
      <c r="BA791" s="233"/>
      <c r="BB791" s="233"/>
      <c r="BC791" s="233"/>
      <c r="BD791" s="233"/>
      <c r="BE791" s="233"/>
      <c r="BF791" s="233"/>
      <c r="BG791" s="233"/>
      <c r="BH791" s="233"/>
      <c r="BI791" s="233"/>
      <c r="BJ791" s="233"/>
      <c r="BK791" s="233"/>
      <c r="BL791" s="233"/>
      <c r="BM791" s="233"/>
      <c r="BN791" s="233"/>
      <c r="BO791" s="233"/>
      <c r="BP791" s="233"/>
      <c r="BQ791" s="233"/>
      <c r="BR791" s="233"/>
      <c r="BS791" s="233"/>
      <c r="BT791" s="233"/>
      <c r="BU791" s="233"/>
      <c r="BV791" s="233"/>
      <c r="BW791" s="233"/>
      <c r="BX791" s="233"/>
      <c r="BY791" s="233"/>
      <c r="BZ791" s="233"/>
      <c r="CA791" s="233"/>
      <c r="CB791" s="233"/>
      <c r="CC791" s="233"/>
      <c r="CD791" s="233"/>
      <c r="CE791" s="233"/>
      <c r="CF791" s="233"/>
      <c r="CG791" s="233"/>
      <c r="CH791" s="233"/>
      <c r="CI791" s="233"/>
      <c r="CJ791" s="233"/>
      <c r="CK791" s="233"/>
      <c r="CL791" s="233"/>
      <c r="CM791" s="233"/>
      <c r="CN791" s="233"/>
      <c r="CO791" s="233"/>
      <c r="CP791" s="233"/>
      <c r="CQ791" s="233"/>
      <c r="CR791" s="233"/>
      <c r="CS791" s="233"/>
      <c r="CT791" s="233"/>
      <c r="CU791" s="233"/>
      <c r="CV791" s="233"/>
      <c r="CW791" s="233"/>
      <c r="CX791" s="233"/>
      <c r="CY791" s="233"/>
      <c r="CZ791" s="233"/>
      <c r="DA791" s="233"/>
      <c r="DB791" s="233"/>
      <c r="DC791" s="233"/>
      <c r="DD791" s="233"/>
      <c r="DE791" s="233"/>
      <c r="DF791" s="233"/>
      <c r="DG791" s="233"/>
      <c r="DH791" s="233"/>
      <c r="DI791" s="233"/>
      <c r="DJ791" s="233"/>
      <c r="DK791" s="233"/>
      <c r="DL791" s="233"/>
      <c r="DM791" s="233"/>
      <c r="DN791" s="233"/>
      <c r="DO791" s="233"/>
      <c r="DP791" s="233"/>
      <c r="DQ791" s="233"/>
      <c r="DR791" s="233"/>
      <c r="DS791" s="233"/>
      <c r="DT791" s="233"/>
      <c r="DU791" s="233"/>
      <c r="DV791" s="233"/>
      <c r="DW791" s="233"/>
      <c r="DX791" s="233"/>
      <c r="DY791" s="233"/>
      <c r="DZ791" s="233"/>
      <c r="EA791" s="233"/>
      <c r="EB791" s="233"/>
      <c r="EC791" s="233"/>
      <c r="ED791" s="233"/>
      <c r="EE791" s="233"/>
      <c r="EF791" s="233"/>
      <c r="EG791" s="233"/>
      <c r="EH791" s="233"/>
      <c r="EI791" s="233"/>
      <c r="EJ791" s="233"/>
      <c r="EK791" s="233"/>
      <c r="EL791" s="233"/>
      <c r="EM791" s="233"/>
      <c r="EN791" s="233"/>
      <c r="EO791" s="233"/>
      <c r="EP791" s="233"/>
    </row>
    <row r="792" spans="1:146" ht="14.25" x14ac:dyDescent="0.2">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row>
    <row r="793" spans="1:146" ht="14.25" x14ac:dyDescent="0.2">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row>
    <row r="794" spans="1:146" ht="14.25" x14ac:dyDescent="0.2">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row>
    <row r="795" spans="1:146" ht="14.25" x14ac:dyDescent="0.2">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233"/>
      <c r="AW795" s="233"/>
      <c r="AX795" s="233"/>
      <c r="AY795" s="233"/>
      <c r="AZ795" s="233"/>
      <c r="BA795" s="233"/>
      <c r="BB795" s="233"/>
      <c r="BC795" s="233"/>
      <c r="BD795" s="233"/>
      <c r="BE795" s="233"/>
      <c r="BF795" s="233"/>
      <c r="BG795" s="233"/>
      <c r="BH795" s="233"/>
      <c r="BI795" s="233"/>
      <c r="BJ795" s="233"/>
      <c r="BK795" s="233"/>
      <c r="BL795" s="233"/>
      <c r="BM795" s="233"/>
      <c r="BN795" s="233"/>
      <c r="BO795" s="233"/>
      <c r="BP795" s="233"/>
      <c r="BQ795" s="233"/>
      <c r="BR795" s="233"/>
      <c r="BS795" s="233"/>
      <c r="BT795" s="233"/>
      <c r="BU795" s="233"/>
      <c r="BV795" s="233"/>
      <c r="BW795" s="233"/>
      <c r="BX795" s="233"/>
      <c r="BY795" s="233"/>
      <c r="BZ795" s="233"/>
      <c r="CA795" s="233"/>
      <c r="CB795" s="233"/>
      <c r="CC795" s="233"/>
      <c r="CD795" s="233"/>
      <c r="CE795" s="233"/>
      <c r="CF795" s="233"/>
      <c r="CG795" s="233"/>
      <c r="CH795" s="233"/>
      <c r="CI795" s="233"/>
      <c r="CJ795" s="233"/>
      <c r="CK795" s="233"/>
      <c r="CL795" s="233"/>
      <c r="CM795" s="233"/>
      <c r="CN795" s="233"/>
      <c r="CO795" s="233"/>
      <c r="CP795" s="233"/>
      <c r="CQ795" s="233"/>
      <c r="CR795" s="233"/>
      <c r="CS795" s="233"/>
      <c r="CT795" s="233"/>
      <c r="CU795" s="233"/>
      <c r="CV795" s="233"/>
      <c r="CW795" s="233"/>
      <c r="CX795" s="233"/>
      <c r="CY795" s="233"/>
      <c r="CZ795" s="233"/>
      <c r="DA795" s="233"/>
      <c r="DB795" s="233"/>
      <c r="DC795" s="233"/>
      <c r="DD795" s="233"/>
      <c r="DE795" s="233"/>
      <c r="DF795" s="233"/>
      <c r="DG795" s="233"/>
      <c r="DH795" s="233"/>
      <c r="DI795" s="233"/>
      <c r="DJ795" s="233"/>
      <c r="DK795" s="233"/>
      <c r="DL795" s="233"/>
      <c r="DM795" s="233"/>
      <c r="DN795" s="233"/>
      <c r="DO795" s="233"/>
      <c r="DP795" s="233"/>
      <c r="DQ795" s="233"/>
      <c r="DR795" s="233"/>
      <c r="DS795" s="233"/>
      <c r="DT795" s="233"/>
      <c r="DU795" s="233"/>
      <c r="DV795" s="233"/>
      <c r="DW795" s="233"/>
      <c r="DX795" s="233"/>
      <c r="DY795" s="233"/>
      <c r="DZ795" s="233"/>
      <c r="EA795" s="233"/>
      <c r="EB795" s="233"/>
      <c r="EC795" s="233"/>
      <c r="ED795" s="233"/>
      <c r="EE795" s="233"/>
      <c r="EF795" s="233"/>
      <c r="EG795" s="233"/>
      <c r="EH795" s="233"/>
      <c r="EI795" s="233"/>
      <c r="EJ795" s="233"/>
      <c r="EK795" s="233"/>
      <c r="EL795" s="233"/>
      <c r="EM795" s="233"/>
      <c r="EN795" s="233"/>
      <c r="EO795" s="233"/>
      <c r="EP795" s="233"/>
    </row>
    <row r="796" spans="1:146" ht="14.25" x14ac:dyDescent="0.2">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c r="AV796" s="233"/>
      <c r="AW796" s="233"/>
      <c r="AX796" s="233"/>
      <c r="AY796" s="233"/>
      <c r="AZ796" s="233"/>
      <c r="BA796" s="233"/>
      <c r="BB796" s="233"/>
      <c r="BC796" s="233"/>
      <c r="BD796" s="233"/>
      <c r="BE796" s="233"/>
      <c r="BF796" s="233"/>
      <c r="BG796" s="233"/>
      <c r="BH796" s="233"/>
      <c r="BI796" s="233"/>
      <c r="BJ796" s="233"/>
      <c r="BK796" s="233"/>
      <c r="BL796" s="233"/>
      <c r="BM796" s="233"/>
      <c r="BN796" s="233"/>
      <c r="BO796" s="233"/>
      <c r="BP796" s="233"/>
      <c r="BQ796" s="233"/>
      <c r="BR796" s="233"/>
      <c r="BS796" s="233"/>
      <c r="BT796" s="233"/>
      <c r="BU796" s="233"/>
      <c r="BV796" s="233"/>
      <c r="BW796" s="233"/>
      <c r="BX796" s="233"/>
      <c r="BY796" s="233"/>
      <c r="BZ796" s="233"/>
      <c r="CA796" s="233"/>
      <c r="CB796" s="233"/>
      <c r="CC796" s="233"/>
      <c r="CD796" s="233"/>
      <c r="CE796" s="233"/>
      <c r="CF796" s="233"/>
      <c r="CG796" s="233"/>
      <c r="CH796" s="233"/>
      <c r="CI796" s="233"/>
      <c r="CJ796" s="233"/>
      <c r="CK796" s="233"/>
      <c r="CL796" s="233"/>
      <c r="CM796" s="233"/>
      <c r="CN796" s="233"/>
      <c r="CO796" s="233"/>
      <c r="CP796" s="233"/>
      <c r="CQ796" s="233"/>
      <c r="CR796" s="233"/>
      <c r="CS796" s="233"/>
      <c r="CT796" s="233"/>
      <c r="CU796" s="233"/>
      <c r="CV796" s="233"/>
      <c r="CW796" s="233"/>
      <c r="CX796" s="233"/>
      <c r="CY796" s="233"/>
      <c r="CZ796" s="233"/>
      <c r="DA796" s="233"/>
      <c r="DB796" s="233"/>
      <c r="DC796" s="233"/>
      <c r="DD796" s="233"/>
      <c r="DE796" s="233"/>
      <c r="DF796" s="233"/>
      <c r="DG796" s="233"/>
      <c r="DH796" s="233"/>
      <c r="DI796" s="233"/>
      <c r="DJ796" s="233"/>
      <c r="DK796" s="233"/>
      <c r="DL796" s="233"/>
      <c r="DM796" s="233"/>
      <c r="DN796" s="233"/>
      <c r="DO796" s="233"/>
      <c r="DP796" s="233"/>
      <c r="DQ796" s="233"/>
      <c r="DR796" s="233"/>
      <c r="DS796" s="233"/>
      <c r="DT796" s="233"/>
      <c r="DU796" s="233"/>
      <c r="DV796" s="233"/>
      <c r="DW796" s="233"/>
      <c r="DX796" s="233"/>
      <c r="DY796" s="233"/>
      <c r="DZ796" s="233"/>
      <c r="EA796" s="233"/>
      <c r="EB796" s="233"/>
      <c r="EC796" s="233"/>
      <c r="ED796" s="233"/>
      <c r="EE796" s="233"/>
      <c r="EF796" s="233"/>
      <c r="EG796" s="233"/>
      <c r="EH796" s="233"/>
      <c r="EI796" s="233"/>
      <c r="EJ796" s="233"/>
      <c r="EK796" s="233"/>
      <c r="EL796" s="233"/>
      <c r="EM796" s="233"/>
      <c r="EN796" s="233"/>
      <c r="EO796" s="233"/>
      <c r="EP796" s="233"/>
    </row>
    <row r="797" spans="1:146" ht="14.25" x14ac:dyDescent="0.2">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233"/>
      <c r="AW797" s="233"/>
      <c r="AX797" s="233"/>
      <c r="AY797" s="233"/>
      <c r="AZ797" s="233"/>
      <c r="BA797" s="233"/>
      <c r="BB797" s="233"/>
      <c r="BC797" s="233"/>
      <c r="BD797" s="233"/>
      <c r="BE797" s="233"/>
      <c r="BF797" s="233"/>
      <c r="BG797" s="233"/>
      <c r="BH797" s="233"/>
      <c r="BI797" s="233"/>
      <c r="BJ797" s="233"/>
      <c r="BK797" s="233"/>
      <c r="BL797" s="233"/>
      <c r="BM797" s="233"/>
      <c r="BN797" s="233"/>
      <c r="BO797" s="233"/>
      <c r="BP797" s="233"/>
      <c r="BQ797" s="233"/>
      <c r="BR797" s="233"/>
      <c r="BS797" s="233"/>
      <c r="BT797" s="233"/>
      <c r="BU797" s="233"/>
      <c r="BV797" s="233"/>
      <c r="BW797" s="233"/>
      <c r="BX797" s="233"/>
      <c r="BY797" s="233"/>
      <c r="BZ797" s="233"/>
      <c r="CA797" s="233"/>
      <c r="CB797" s="233"/>
      <c r="CC797" s="233"/>
      <c r="CD797" s="233"/>
      <c r="CE797" s="233"/>
      <c r="CF797" s="233"/>
      <c r="CG797" s="233"/>
      <c r="CH797" s="233"/>
      <c r="CI797" s="233"/>
      <c r="CJ797" s="233"/>
      <c r="CK797" s="233"/>
      <c r="CL797" s="233"/>
      <c r="CM797" s="233"/>
      <c r="CN797" s="233"/>
      <c r="CO797" s="233"/>
      <c r="CP797" s="233"/>
      <c r="CQ797" s="233"/>
      <c r="CR797" s="233"/>
      <c r="CS797" s="233"/>
      <c r="CT797" s="233"/>
      <c r="CU797" s="233"/>
      <c r="CV797" s="233"/>
      <c r="CW797" s="233"/>
      <c r="CX797" s="233"/>
      <c r="CY797" s="233"/>
      <c r="CZ797" s="233"/>
      <c r="DA797" s="233"/>
      <c r="DB797" s="233"/>
      <c r="DC797" s="233"/>
      <c r="DD797" s="233"/>
      <c r="DE797" s="233"/>
      <c r="DF797" s="233"/>
      <c r="DG797" s="233"/>
      <c r="DH797" s="233"/>
      <c r="DI797" s="233"/>
      <c r="DJ797" s="233"/>
      <c r="DK797" s="233"/>
      <c r="DL797" s="233"/>
      <c r="DM797" s="233"/>
      <c r="DN797" s="233"/>
      <c r="DO797" s="233"/>
      <c r="DP797" s="233"/>
      <c r="DQ797" s="233"/>
      <c r="DR797" s="233"/>
      <c r="DS797" s="233"/>
      <c r="DT797" s="233"/>
      <c r="DU797" s="233"/>
      <c r="DV797" s="233"/>
      <c r="DW797" s="233"/>
      <c r="DX797" s="233"/>
      <c r="DY797" s="233"/>
      <c r="DZ797" s="233"/>
      <c r="EA797" s="233"/>
      <c r="EB797" s="233"/>
      <c r="EC797" s="233"/>
      <c r="ED797" s="233"/>
      <c r="EE797" s="233"/>
      <c r="EF797" s="233"/>
      <c r="EG797" s="233"/>
      <c r="EH797" s="233"/>
      <c r="EI797" s="233"/>
      <c r="EJ797" s="233"/>
      <c r="EK797" s="233"/>
      <c r="EL797" s="233"/>
      <c r="EM797" s="233"/>
      <c r="EN797" s="233"/>
      <c r="EO797" s="233"/>
      <c r="EP797" s="233"/>
    </row>
    <row r="798" spans="1:146" ht="14.25" x14ac:dyDescent="0.2">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c r="AV798" s="233"/>
      <c r="AW798" s="233"/>
      <c r="AX798" s="233"/>
      <c r="AY798" s="233"/>
      <c r="AZ798" s="233"/>
      <c r="BA798" s="233"/>
      <c r="BB798" s="233"/>
      <c r="BC798" s="233"/>
      <c r="BD798" s="233"/>
      <c r="BE798" s="233"/>
      <c r="BF798" s="233"/>
      <c r="BG798" s="233"/>
      <c r="BH798" s="233"/>
      <c r="BI798" s="233"/>
      <c r="BJ798" s="233"/>
      <c r="BK798" s="233"/>
      <c r="BL798" s="233"/>
      <c r="BM798" s="233"/>
      <c r="BN798" s="233"/>
      <c r="BO798" s="233"/>
      <c r="BP798" s="233"/>
      <c r="BQ798" s="233"/>
      <c r="BR798" s="233"/>
      <c r="BS798" s="233"/>
      <c r="BT798" s="233"/>
      <c r="BU798" s="233"/>
      <c r="BV798" s="233"/>
      <c r="BW798" s="233"/>
      <c r="BX798" s="233"/>
      <c r="BY798" s="233"/>
      <c r="BZ798" s="233"/>
      <c r="CA798" s="233"/>
      <c r="CB798" s="233"/>
      <c r="CC798" s="233"/>
      <c r="CD798" s="233"/>
      <c r="CE798" s="233"/>
      <c r="CF798" s="233"/>
      <c r="CG798" s="233"/>
      <c r="CH798" s="233"/>
      <c r="CI798" s="233"/>
      <c r="CJ798" s="233"/>
      <c r="CK798" s="233"/>
      <c r="CL798" s="233"/>
      <c r="CM798" s="233"/>
      <c r="CN798" s="233"/>
      <c r="CO798" s="233"/>
      <c r="CP798" s="233"/>
      <c r="CQ798" s="233"/>
      <c r="CR798" s="233"/>
      <c r="CS798" s="233"/>
      <c r="CT798" s="233"/>
      <c r="CU798" s="233"/>
      <c r="CV798" s="233"/>
      <c r="CW798" s="233"/>
      <c r="CX798" s="233"/>
      <c r="CY798" s="233"/>
      <c r="CZ798" s="233"/>
      <c r="DA798" s="233"/>
      <c r="DB798" s="233"/>
      <c r="DC798" s="233"/>
      <c r="DD798" s="233"/>
      <c r="DE798" s="233"/>
      <c r="DF798" s="233"/>
      <c r="DG798" s="233"/>
      <c r="DH798" s="233"/>
      <c r="DI798" s="233"/>
      <c r="DJ798" s="233"/>
      <c r="DK798" s="233"/>
      <c r="DL798" s="233"/>
      <c r="DM798" s="233"/>
      <c r="DN798" s="233"/>
      <c r="DO798" s="233"/>
      <c r="DP798" s="233"/>
      <c r="DQ798" s="233"/>
      <c r="DR798" s="233"/>
      <c r="DS798" s="233"/>
      <c r="DT798" s="233"/>
      <c r="DU798" s="233"/>
      <c r="DV798" s="233"/>
      <c r="DW798" s="233"/>
      <c r="DX798" s="233"/>
      <c r="DY798" s="233"/>
      <c r="DZ798" s="233"/>
      <c r="EA798" s="233"/>
      <c r="EB798" s="233"/>
      <c r="EC798" s="233"/>
      <c r="ED798" s="233"/>
      <c r="EE798" s="233"/>
      <c r="EF798" s="233"/>
      <c r="EG798" s="233"/>
      <c r="EH798" s="233"/>
      <c r="EI798" s="233"/>
      <c r="EJ798" s="233"/>
      <c r="EK798" s="233"/>
      <c r="EL798" s="233"/>
      <c r="EM798" s="233"/>
      <c r="EN798" s="233"/>
      <c r="EO798" s="233"/>
      <c r="EP798" s="233"/>
    </row>
    <row r="799" spans="1:146" ht="14.25" x14ac:dyDescent="0.2">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row>
    <row r="800" spans="1:146" ht="14.25" x14ac:dyDescent="0.2">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row>
    <row r="801" spans="1:146" ht="14.25" x14ac:dyDescent="0.2">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c r="AV801" s="233"/>
      <c r="AW801" s="233"/>
      <c r="AX801" s="233"/>
      <c r="AY801" s="233"/>
      <c r="AZ801" s="233"/>
      <c r="BA801" s="233"/>
      <c r="BB801" s="233"/>
      <c r="BC801" s="233"/>
      <c r="BD801" s="233"/>
      <c r="BE801" s="233"/>
      <c r="BF801" s="233"/>
      <c r="BG801" s="233"/>
      <c r="BH801" s="233"/>
      <c r="BI801" s="233"/>
      <c r="BJ801" s="233"/>
      <c r="BK801" s="233"/>
      <c r="BL801" s="233"/>
      <c r="BM801" s="233"/>
      <c r="BN801" s="233"/>
      <c r="BO801" s="233"/>
      <c r="BP801" s="233"/>
      <c r="BQ801" s="233"/>
      <c r="BR801" s="233"/>
      <c r="BS801" s="233"/>
      <c r="BT801" s="233"/>
      <c r="BU801" s="233"/>
      <c r="BV801" s="233"/>
      <c r="BW801" s="233"/>
      <c r="BX801" s="233"/>
      <c r="BY801" s="233"/>
      <c r="BZ801" s="233"/>
      <c r="CA801" s="233"/>
      <c r="CB801" s="233"/>
      <c r="CC801" s="233"/>
      <c r="CD801" s="233"/>
      <c r="CE801" s="233"/>
      <c r="CF801" s="233"/>
      <c r="CG801" s="233"/>
      <c r="CH801" s="233"/>
      <c r="CI801" s="233"/>
      <c r="CJ801" s="233"/>
      <c r="CK801" s="233"/>
      <c r="CL801" s="233"/>
      <c r="CM801" s="233"/>
      <c r="CN801" s="233"/>
      <c r="CO801" s="233"/>
      <c r="CP801" s="233"/>
      <c r="CQ801" s="233"/>
      <c r="CR801" s="233"/>
      <c r="CS801" s="233"/>
      <c r="CT801" s="233"/>
      <c r="CU801" s="233"/>
      <c r="CV801" s="233"/>
      <c r="CW801" s="233"/>
      <c r="CX801" s="233"/>
      <c r="CY801" s="233"/>
      <c r="CZ801" s="233"/>
      <c r="DA801" s="233"/>
      <c r="DB801" s="233"/>
      <c r="DC801" s="233"/>
      <c r="DD801" s="233"/>
      <c r="DE801" s="233"/>
      <c r="DF801" s="233"/>
      <c r="DG801" s="233"/>
      <c r="DH801" s="233"/>
      <c r="DI801" s="233"/>
      <c r="DJ801" s="233"/>
      <c r="DK801" s="233"/>
      <c r="DL801" s="233"/>
      <c r="DM801" s="233"/>
      <c r="DN801" s="233"/>
      <c r="DO801" s="233"/>
      <c r="DP801" s="233"/>
      <c r="DQ801" s="233"/>
      <c r="DR801" s="233"/>
      <c r="DS801" s="233"/>
      <c r="DT801" s="233"/>
      <c r="DU801" s="233"/>
      <c r="DV801" s="233"/>
      <c r="DW801" s="233"/>
      <c r="DX801" s="233"/>
      <c r="DY801" s="233"/>
      <c r="DZ801" s="233"/>
      <c r="EA801" s="233"/>
      <c r="EB801" s="233"/>
      <c r="EC801" s="233"/>
      <c r="ED801" s="233"/>
      <c r="EE801" s="233"/>
      <c r="EF801" s="233"/>
      <c r="EG801" s="233"/>
      <c r="EH801" s="233"/>
      <c r="EI801" s="233"/>
      <c r="EJ801" s="233"/>
      <c r="EK801" s="233"/>
      <c r="EL801" s="233"/>
      <c r="EM801" s="233"/>
      <c r="EN801" s="233"/>
      <c r="EO801" s="233"/>
      <c r="EP801" s="233"/>
    </row>
    <row r="802" spans="1:146" ht="14.25" x14ac:dyDescent="0.2">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c r="AV802" s="233"/>
      <c r="AW802" s="233"/>
      <c r="AX802" s="233"/>
      <c r="AY802" s="233"/>
      <c r="AZ802" s="233"/>
      <c r="BA802" s="233"/>
      <c r="BB802" s="233"/>
      <c r="BC802" s="233"/>
      <c r="BD802" s="233"/>
      <c r="BE802" s="233"/>
      <c r="BF802" s="233"/>
      <c r="BG802" s="233"/>
      <c r="BH802" s="233"/>
      <c r="BI802" s="233"/>
      <c r="BJ802" s="233"/>
      <c r="BK802" s="233"/>
      <c r="BL802" s="233"/>
      <c r="BM802" s="233"/>
      <c r="BN802" s="233"/>
      <c r="BO802" s="233"/>
      <c r="BP802" s="233"/>
      <c r="BQ802" s="233"/>
      <c r="BR802" s="233"/>
      <c r="BS802" s="233"/>
      <c r="BT802" s="233"/>
      <c r="BU802" s="233"/>
      <c r="BV802" s="233"/>
      <c r="BW802" s="233"/>
      <c r="BX802" s="233"/>
      <c r="BY802" s="233"/>
      <c r="BZ802" s="233"/>
      <c r="CA802" s="233"/>
      <c r="CB802" s="233"/>
      <c r="CC802" s="233"/>
      <c r="CD802" s="233"/>
      <c r="CE802" s="233"/>
      <c r="CF802" s="233"/>
      <c r="CG802" s="233"/>
      <c r="CH802" s="233"/>
      <c r="CI802" s="233"/>
      <c r="CJ802" s="233"/>
      <c r="CK802" s="233"/>
      <c r="CL802" s="233"/>
      <c r="CM802" s="233"/>
      <c r="CN802" s="233"/>
      <c r="CO802" s="233"/>
      <c r="CP802" s="233"/>
      <c r="CQ802" s="233"/>
      <c r="CR802" s="233"/>
      <c r="CS802" s="233"/>
      <c r="CT802" s="233"/>
      <c r="CU802" s="233"/>
      <c r="CV802" s="233"/>
      <c r="CW802" s="233"/>
      <c r="CX802" s="233"/>
      <c r="CY802" s="233"/>
      <c r="CZ802" s="233"/>
      <c r="DA802" s="233"/>
      <c r="DB802" s="233"/>
      <c r="DC802" s="233"/>
      <c r="DD802" s="233"/>
      <c r="DE802" s="233"/>
      <c r="DF802" s="233"/>
      <c r="DG802" s="233"/>
      <c r="DH802" s="233"/>
      <c r="DI802" s="233"/>
      <c r="DJ802" s="233"/>
      <c r="DK802" s="233"/>
      <c r="DL802" s="233"/>
      <c r="DM802" s="233"/>
      <c r="DN802" s="233"/>
      <c r="DO802" s="233"/>
      <c r="DP802" s="233"/>
      <c r="DQ802" s="233"/>
      <c r="DR802" s="233"/>
      <c r="DS802" s="233"/>
      <c r="DT802" s="233"/>
      <c r="DU802" s="233"/>
      <c r="DV802" s="233"/>
      <c r="DW802" s="233"/>
      <c r="DX802" s="233"/>
      <c r="DY802" s="233"/>
      <c r="DZ802" s="233"/>
      <c r="EA802" s="233"/>
      <c r="EB802" s="233"/>
      <c r="EC802" s="233"/>
      <c r="ED802" s="233"/>
      <c r="EE802" s="233"/>
      <c r="EF802" s="233"/>
      <c r="EG802" s="233"/>
      <c r="EH802" s="233"/>
      <c r="EI802" s="233"/>
      <c r="EJ802" s="233"/>
      <c r="EK802" s="233"/>
      <c r="EL802" s="233"/>
      <c r="EM802" s="233"/>
      <c r="EN802" s="233"/>
      <c r="EO802" s="233"/>
      <c r="EP802" s="233"/>
    </row>
    <row r="803" spans="1:146" ht="14.25" x14ac:dyDescent="0.2">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c r="AV803" s="233"/>
      <c r="AW803" s="233"/>
      <c r="AX803" s="233"/>
      <c r="AY803" s="233"/>
      <c r="AZ803" s="233"/>
      <c r="BA803" s="233"/>
      <c r="BB803" s="233"/>
      <c r="BC803" s="233"/>
      <c r="BD803" s="233"/>
      <c r="BE803" s="233"/>
      <c r="BF803" s="233"/>
      <c r="BG803" s="233"/>
      <c r="BH803" s="233"/>
      <c r="BI803" s="233"/>
      <c r="BJ803" s="233"/>
      <c r="BK803" s="233"/>
      <c r="BL803" s="233"/>
      <c r="BM803" s="233"/>
      <c r="BN803" s="233"/>
      <c r="BO803" s="233"/>
      <c r="BP803" s="233"/>
      <c r="BQ803" s="233"/>
      <c r="BR803" s="233"/>
      <c r="BS803" s="233"/>
      <c r="BT803" s="233"/>
      <c r="BU803" s="233"/>
      <c r="BV803" s="233"/>
      <c r="BW803" s="233"/>
      <c r="BX803" s="233"/>
      <c r="BY803" s="233"/>
      <c r="BZ803" s="233"/>
      <c r="CA803" s="233"/>
      <c r="CB803" s="233"/>
      <c r="CC803" s="233"/>
      <c r="CD803" s="233"/>
      <c r="CE803" s="233"/>
      <c r="CF803" s="233"/>
      <c r="CG803" s="233"/>
      <c r="CH803" s="233"/>
      <c r="CI803" s="233"/>
      <c r="CJ803" s="233"/>
      <c r="CK803" s="233"/>
      <c r="CL803" s="233"/>
      <c r="CM803" s="233"/>
      <c r="CN803" s="233"/>
      <c r="CO803" s="233"/>
      <c r="CP803" s="233"/>
      <c r="CQ803" s="233"/>
      <c r="CR803" s="233"/>
      <c r="CS803" s="233"/>
      <c r="CT803" s="233"/>
      <c r="CU803" s="233"/>
      <c r="CV803" s="233"/>
      <c r="CW803" s="233"/>
      <c r="CX803" s="233"/>
      <c r="CY803" s="233"/>
      <c r="CZ803" s="233"/>
      <c r="DA803" s="233"/>
      <c r="DB803" s="233"/>
      <c r="DC803" s="233"/>
      <c r="DD803" s="233"/>
      <c r="DE803" s="233"/>
      <c r="DF803" s="233"/>
      <c r="DG803" s="233"/>
      <c r="DH803" s="233"/>
      <c r="DI803" s="233"/>
      <c r="DJ803" s="233"/>
      <c r="DK803" s="233"/>
      <c r="DL803" s="233"/>
      <c r="DM803" s="233"/>
      <c r="DN803" s="233"/>
      <c r="DO803" s="233"/>
      <c r="DP803" s="233"/>
      <c r="DQ803" s="233"/>
      <c r="DR803" s="233"/>
      <c r="DS803" s="233"/>
      <c r="DT803" s="233"/>
      <c r="DU803" s="233"/>
      <c r="DV803" s="233"/>
      <c r="DW803" s="233"/>
      <c r="DX803" s="233"/>
      <c r="DY803" s="233"/>
      <c r="DZ803" s="233"/>
      <c r="EA803" s="233"/>
      <c r="EB803" s="233"/>
      <c r="EC803" s="233"/>
      <c r="ED803" s="233"/>
      <c r="EE803" s="233"/>
      <c r="EF803" s="233"/>
      <c r="EG803" s="233"/>
      <c r="EH803" s="233"/>
      <c r="EI803" s="233"/>
      <c r="EJ803" s="233"/>
      <c r="EK803" s="233"/>
      <c r="EL803" s="233"/>
      <c r="EM803" s="233"/>
      <c r="EN803" s="233"/>
      <c r="EO803" s="233"/>
      <c r="EP803" s="233"/>
    </row>
    <row r="804" spans="1:146" ht="14.25" x14ac:dyDescent="0.2">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row>
    <row r="805" spans="1:146" ht="14.25" x14ac:dyDescent="0.2">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row>
    <row r="806" spans="1:146" ht="14.25" x14ac:dyDescent="0.2">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row>
    <row r="807" spans="1:146" ht="14.25" x14ac:dyDescent="0.2">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c r="AV807" s="233"/>
      <c r="AW807" s="233"/>
      <c r="AX807" s="233"/>
      <c r="AY807" s="233"/>
      <c r="AZ807" s="233"/>
      <c r="BA807" s="233"/>
      <c r="BB807" s="233"/>
      <c r="BC807" s="233"/>
      <c r="BD807" s="233"/>
      <c r="BE807" s="233"/>
      <c r="BF807" s="233"/>
      <c r="BG807" s="233"/>
      <c r="BH807" s="233"/>
      <c r="BI807" s="233"/>
      <c r="BJ807" s="233"/>
      <c r="BK807" s="233"/>
      <c r="BL807" s="233"/>
      <c r="BM807" s="233"/>
      <c r="BN807" s="233"/>
      <c r="BO807" s="233"/>
      <c r="BP807" s="233"/>
      <c r="BQ807" s="233"/>
      <c r="BR807" s="233"/>
      <c r="BS807" s="233"/>
      <c r="BT807" s="233"/>
      <c r="BU807" s="233"/>
      <c r="BV807" s="233"/>
      <c r="BW807" s="233"/>
      <c r="BX807" s="233"/>
      <c r="BY807" s="233"/>
      <c r="BZ807" s="233"/>
      <c r="CA807" s="233"/>
      <c r="CB807" s="233"/>
      <c r="CC807" s="233"/>
      <c r="CD807" s="233"/>
      <c r="CE807" s="233"/>
      <c r="CF807" s="233"/>
      <c r="CG807" s="233"/>
      <c r="CH807" s="233"/>
      <c r="CI807" s="233"/>
      <c r="CJ807" s="233"/>
      <c r="CK807" s="233"/>
      <c r="CL807" s="233"/>
      <c r="CM807" s="233"/>
      <c r="CN807" s="233"/>
      <c r="CO807" s="233"/>
      <c r="CP807" s="233"/>
      <c r="CQ807" s="233"/>
      <c r="CR807" s="233"/>
      <c r="CS807" s="233"/>
      <c r="CT807" s="233"/>
      <c r="CU807" s="233"/>
      <c r="CV807" s="233"/>
      <c r="CW807" s="233"/>
      <c r="CX807" s="233"/>
      <c r="CY807" s="233"/>
      <c r="CZ807" s="233"/>
      <c r="DA807" s="233"/>
      <c r="DB807" s="233"/>
      <c r="DC807" s="233"/>
      <c r="DD807" s="233"/>
      <c r="DE807" s="233"/>
      <c r="DF807" s="233"/>
      <c r="DG807" s="233"/>
      <c r="DH807" s="233"/>
      <c r="DI807" s="233"/>
      <c r="DJ807" s="233"/>
      <c r="DK807" s="233"/>
      <c r="DL807" s="233"/>
      <c r="DM807" s="233"/>
      <c r="DN807" s="233"/>
      <c r="DO807" s="233"/>
      <c r="DP807" s="233"/>
      <c r="DQ807" s="233"/>
      <c r="DR807" s="233"/>
      <c r="DS807" s="233"/>
      <c r="DT807" s="233"/>
      <c r="DU807" s="233"/>
      <c r="DV807" s="233"/>
      <c r="DW807" s="233"/>
      <c r="DX807" s="233"/>
      <c r="DY807" s="233"/>
      <c r="DZ807" s="233"/>
      <c r="EA807" s="233"/>
      <c r="EB807" s="233"/>
      <c r="EC807" s="233"/>
      <c r="ED807" s="233"/>
      <c r="EE807" s="233"/>
      <c r="EF807" s="233"/>
      <c r="EG807" s="233"/>
      <c r="EH807" s="233"/>
      <c r="EI807" s="233"/>
      <c r="EJ807" s="233"/>
      <c r="EK807" s="233"/>
      <c r="EL807" s="233"/>
      <c r="EM807" s="233"/>
      <c r="EN807" s="233"/>
      <c r="EO807" s="233"/>
      <c r="EP807" s="233"/>
    </row>
    <row r="808" spans="1:146" ht="14.25" x14ac:dyDescent="0.2">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c r="AV808" s="233"/>
      <c r="AW808" s="233"/>
      <c r="AX808" s="233"/>
      <c r="AY808" s="233"/>
      <c r="AZ808" s="233"/>
      <c r="BA808" s="233"/>
      <c r="BB808" s="233"/>
      <c r="BC808" s="233"/>
      <c r="BD808" s="233"/>
      <c r="BE808" s="233"/>
      <c r="BF808" s="233"/>
      <c r="BG808" s="233"/>
      <c r="BH808" s="233"/>
      <c r="BI808" s="233"/>
      <c r="BJ808" s="233"/>
      <c r="BK808" s="233"/>
      <c r="BL808" s="233"/>
      <c r="BM808" s="233"/>
      <c r="BN808" s="233"/>
      <c r="BO808" s="233"/>
      <c r="BP808" s="233"/>
      <c r="BQ808" s="233"/>
      <c r="BR808" s="233"/>
      <c r="BS808" s="233"/>
      <c r="BT808" s="233"/>
      <c r="BU808" s="233"/>
      <c r="BV808" s="233"/>
      <c r="BW808" s="233"/>
      <c r="BX808" s="233"/>
      <c r="BY808" s="233"/>
      <c r="BZ808" s="233"/>
      <c r="CA808" s="233"/>
      <c r="CB808" s="233"/>
      <c r="CC808" s="233"/>
      <c r="CD808" s="233"/>
      <c r="CE808" s="233"/>
      <c r="CF808" s="233"/>
      <c r="CG808" s="233"/>
      <c r="CH808" s="233"/>
      <c r="CI808" s="233"/>
      <c r="CJ808" s="233"/>
      <c r="CK808" s="233"/>
      <c r="CL808" s="233"/>
      <c r="CM808" s="233"/>
      <c r="CN808" s="233"/>
      <c r="CO808" s="233"/>
      <c r="CP808" s="233"/>
      <c r="CQ808" s="233"/>
      <c r="CR808" s="233"/>
      <c r="CS808" s="233"/>
      <c r="CT808" s="233"/>
      <c r="CU808" s="233"/>
      <c r="CV808" s="233"/>
      <c r="CW808" s="233"/>
      <c r="CX808" s="233"/>
      <c r="CY808" s="233"/>
      <c r="CZ808" s="233"/>
      <c r="DA808" s="233"/>
      <c r="DB808" s="233"/>
      <c r="DC808" s="233"/>
      <c r="DD808" s="233"/>
      <c r="DE808" s="233"/>
      <c r="DF808" s="233"/>
      <c r="DG808" s="233"/>
      <c r="DH808" s="233"/>
      <c r="DI808" s="233"/>
      <c r="DJ808" s="233"/>
      <c r="DK808" s="233"/>
      <c r="DL808" s="233"/>
      <c r="DM808" s="233"/>
      <c r="DN808" s="233"/>
      <c r="DO808" s="233"/>
      <c r="DP808" s="233"/>
      <c r="DQ808" s="233"/>
      <c r="DR808" s="233"/>
      <c r="DS808" s="233"/>
      <c r="DT808" s="233"/>
      <c r="DU808" s="233"/>
      <c r="DV808" s="233"/>
      <c r="DW808" s="233"/>
      <c r="DX808" s="233"/>
      <c r="DY808" s="233"/>
      <c r="DZ808" s="233"/>
      <c r="EA808" s="233"/>
      <c r="EB808" s="233"/>
      <c r="EC808" s="233"/>
      <c r="ED808" s="233"/>
      <c r="EE808" s="233"/>
      <c r="EF808" s="233"/>
      <c r="EG808" s="233"/>
      <c r="EH808" s="233"/>
      <c r="EI808" s="233"/>
      <c r="EJ808" s="233"/>
      <c r="EK808" s="233"/>
      <c r="EL808" s="233"/>
      <c r="EM808" s="233"/>
      <c r="EN808" s="233"/>
      <c r="EO808" s="233"/>
      <c r="EP808" s="233"/>
    </row>
    <row r="809" spans="1:146" ht="14.25" x14ac:dyDescent="0.2">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c r="AV809" s="233"/>
      <c r="AW809" s="233"/>
      <c r="AX809" s="233"/>
      <c r="AY809" s="233"/>
      <c r="AZ809" s="233"/>
      <c r="BA809" s="233"/>
      <c r="BB809" s="233"/>
      <c r="BC809" s="233"/>
      <c r="BD809" s="233"/>
      <c r="BE809" s="233"/>
      <c r="BF809" s="233"/>
      <c r="BG809" s="233"/>
      <c r="BH809" s="233"/>
      <c r="BI809" s="233"/>
      <c r="BJ809" s="233"/>
      <c r="BK809" s="233"/>
      <c r="BL809" s="233"/>
      <c r="BM809" s="233"/>
      <c r="BN809" s="233"/>
      <c r="BO809" s="233"/>
      <c r="BP809" s="233"/>
      <c r="BQ809" s="233"/>
      <c r="BR809" s="233"/>
      <c r="BS809" s="233"/>
      <c r="BT809" s="233"/>
      <c r="BU809" s="233"/>
      <c r="BV809" s="233"/>
      <c r="BW809" s="233"/>
      <c r="BX809" s="233"/>
      <c r="BY809" s="233"/>
      <c r="BZ809" s="233"/>
      <c r="CA809" s="233"/>
      <c r="CB809" s="233"/>
      <c r="CC809" s="233"/>
      <c r="CD809" s="233"/>
      <c r="CE809" s="233"/>
      <c r="CF809" s="233"/>
      <c r="CG809" s="233"/>
      <c r="CH809" s="233"/>
      <c r="CI809" s="233"/>
      <c r="CJ809" s="233"/>
      <c r="CK809" s="233"/>
      <c r="CL809" s="233"/>
      <c r="CM809" s="233"/>
      <c r="CN809" s="233"/>
      <c r="CO809" s="233"/>
      <c r="CP809" s="233"/>
      <c r="CQ809" s="233"/>
      <c r="CR809" s="233"/>
      <c r="CS809" s="233"/>
      <c r="CT809" s="233"/>
      <c r="CU809" s="233"/>
      <c r="CV809" s="233"/>
      <c r="CW809" s="233"/>
      <c r="CX809" s="233"/>
      <c r="CY809" s="233"/>
      <c r="CZ809" s="233"/>
      <c r="DA809" s="233"/>
      <c r="DB809" s="233"/>
      <c r="DC809" s="233"/>
      <c r="DD809" s="233"/>
      <c r="DE809" s="233"/>
      <c r="DF809" s="233"/>
      <c r="DG809" s="233"/>
      <c r="DH809" s="233"/>
      <c r="DI809" s="233"/>
      <c r="DJ809" s="233"/>
      <c r="DK809" s="233"/>
      <c r="DL809" s="233"/>
      <c r="DM809" s="233"/>
      <c r="DN809" s="233"/>
      <c r="DO809" s="233"/>
      <c r="DP809" s="233"/>
      <c r="DQ809" s="233"/>
      <c r="DR809" s="233"/>
      <c r="DS809" s="233"/>
      <c r="DT809" s="233"/>
      <c r="DU809" s="233"/>
      <c r="DV809" s="233"/>
      <c r="DW809" s="233"/>
      <c r="DX809" s="233"/>
      <c r="DY809" s="233"/>
      <c r="DZ809" s="233"/>
      <c r="EA809" s="233"/>
      <c r="EB809" s="233"/>
      <c r="EC809" s="233"/>
      <c r="ED809" s="233"/>
      <c r="EE809" s="233"/>
      <c r="EF809" s="233"/>
      <c r="EG809" s="233"/>
      <c r="EH809" s="233"/>
      <c r="EI809" s="233"/>
      <c r="EJ809" s="233"/>
      <c r="EK809" s="233"/>
      <c r="EL809" s="233"/>
      <c r="EM809" s="233"/>
      <c r="EN809" s="233"/>
      <c r="EO809" s="233"/>
      <c r="EP809" s="233"/>
    </row>
    <row r="810" spans="1:146" ht="14.25" x14ac:dyDescent="0.2">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row>
    <row r="811" spans="1:146" ht="14.25" x14ac:dyDescent="0.2">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c r="AW811" s="233"/>
      <c r="AX811" s="233"/>
      <c r="AY811" s="233"/>
      <c r="AZ811" s="233"/>
      <c r="BA811" s="233"/>
      <c r="BB811" s="233"/>
      <c r="BC811" s="233"/>
      <c r="BD811" s="233"/>
      <c r="BE811" s="233"/>
      <c r="BF811" s="233"/>
      <c r="BG811" s="233"/>
      <c r="BH811" s="233"/>
      <c r="BI811" s="233"/>
      <c r="BJ811" s="233"/>
      <c r="BK811" s="233"/>
      <c r="BL811" s="233"/>
      <c r="BM811" s="233"/>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33"/>
      <c r="CI811" s="233"/>
      <c r="CJ811" s="233"/>
      <c r="CK811" s="233"/>
      <c r="CL811" s="233"/>
      <c r="CM811" s="233"/>
      <c r="CN811" s="233"/>
      <c r="CO811" s="233"/>
      <c r="CP811" s="233"/>
      <c r="CQ811" s="233"/>
      <c r="CR811" s="233"/>
      <c r="CS811" s="233"/>
      <c r="CT811" s="233"/>
      <c r="CU811" s="233"/>
      <c r="CV811" s="233"/>
      <c r="CW811" s="233"/>
      <c r="CX811" s="233"/>
      <c r="CY811" s="233"/>
      <c r="CZ811" s="233"/>
      <c r="DA811" s="233"/>
      <c r="DB811" s="233"/>
      <c r="DC811" s="233"/>
      <c r="DD811" s="233"/>
      <c r="DE811" s="233"/>
      <c r="DF811" s="233"/>
      <c r="DG811" s="233"/>
      <c r="DH811" s="233"/>
      <c r="DI811" s="233"/>
      <c r="DJ811" s="233"/>
      <c r="DK811" s="233"/>
      <c r="DL811" s="233"/>
      <c r="DM811" s="233"/>
      <c r="DN811" s="233"/>
      <c r="DO811" s="233"/>
      <c r="DP811" s="233"/>
      <c r="DQ811" s="233"/>
      <c r="DR811" s="233"/>
      <c r="DS811" s="233"/>
      <c r="DT811" s="233"/>
      <c r="DU811" s="233"/>
      <c r="DV811" s="233"/>
      <c r="DW811" s="233"/>
      <c r="DX811" s="233"/>
      <c r="DY811" s="233"/>
      <c r="DZ811" s="233"/>
      <c r="EA811" s="233"/>
      <c r="EB811" s="233"/>
      <c r="EC811" s="233"/>
      <c r="ED811" s="233"/>
      <c r="EE811" s="233"/>
      <c r="EF811" s="233"/>
      <c r="EG811" s="233"/>
      <c r="EH811" s="233"/>
      <c r="EI811" s="233"/>
      <c r="EJ811" s="233"/>
      <c r="EK811" s="233"/>
      <c r="EL811" s="233"/>
      <c r="EM811" s="233"/>
      <c r="EN811" s="233"/>
      <c r="EO811" s="233"/>
      <c r="EP811" s="233"/>
    </row>
    <row r="812" spans="1:146" ht="14.25" x14ac:dyDescent="0.2">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c r="AV812" s="233"/>
      <c r="AW812" s="233"/>
      <c r="AX812" s="233"/>
      <c r="AY812" s="233"/>
      <c r="AZ812" s="233"/>
      <c r="BA812" s="233"/>
      <c r="BB812" s="233"/>
      <c r="BC812" s="233"/>
      <c r="BD812" s="233"/>
      <c r="BE812" s="233"/>
      <c r="BF812" s="233"/>
      <c r="BG812" s="233"/>
      <c r="BH812" s="233"/>
      <c r="BI812" s="233"/>
      <c r="BJ812" s="233"/>
      <c r="BK812" s="233"/>
      <c r="BL812" s="233"/>
      <c r="BM812" s="233"/>
      <c r="BN812" s="233"/>
      <c r="BO812" s="233"/>
      <c r="BP812" s="233"/>
      <c r="BQ812" s="233"/>
      <c r="BR812" s="233"/>
      <c r="BS812" s="233"/>
      <c r="BT812" s="233"/>
      <c r="BU812" s="233"/>
      <c r="BV812" s="233"/>
      <c r="BW812" s="233"/>
      <c r="BX812" s="233"/>
      <c r="BY812" s="233"/>
      <c r="BZ812" s="233"/>
      <c r="CA812" s="233"/>
      <c r="CB812" s="233"/>
      <c r="CC812" s="233"/>
      <c r="CD812" s="233"/>
      <c r="CE812" s="233"/>
      <c r="CF812" s="233"/>
      <c r="CG812" s="233"/>
      <c r="CH812" s="233"/>
      <c r="CI812" s="233"/>
      <c r="CJ812" s="233"/>
      <c r="CK812" s="233"/>
      <c r="CL812" s="233"/>
      <c r="CM812" s="233"/>
      <c r="CN812" s="233"/>
      <c r="CO812" s="233"/>
      <c r="CP812" s="233"/>
      <c r="CQ812" s="233"/>
      <c r="CR812" s="233"/>
      <c r="CS812" s="233"/>
      <c r="CT812" s="233"/>
      <c r="CU812" s="233"/>
      <c r="CV812" s="233"/>
      <c r="CW812" s="233"/>
      <c r="CX812" s="233"/>
      <c r="CY812" s="233"/>
      <c r="CZ812" s="233"/>
      <c r="DA812" s="233"/>
      <c r="DB812" s="233"/>
      <c r="DC812" s="233"/>
      <c r="DD812" s="233"/>
      <c r="DE812" s="233"/>
      <c r="DF812" s="233"/>
      <c r="DG812" s="233"/>
      <c r="DH812" s="233"/>
      <c r="DI812" s="233"/>
      <c r="DJ812" s="233"/>
      <c r="DK812" s="233"/>
      <c r="DL812" s="233"/>
      <c r="DM812" s="233"/>
      <c r="DN812" s="233"/>
      <c r="DO812" s="233"/>
      <c r="DP812" s="233"/>
      <c r="DQ812" s="233"/>
      <c r="DR812" s="233"/>
      <c r="DS812" s="233"/>
      <c r="DT812" s="233"/>
      <c r="DU812" s="233"/>
      <c r="DV812" s="233"/>
      <c r="DW812" s="233"/>
      <c r="DX812" s="233"/>
      <c r="DY812" s="233"/>
      <c r="DZ812" s="233"/>
      <c r="EA812" s="233"/>
      <c r="EB812" s="233"/>
      <c r="EC812" s="233"/>
      <c r="ED812" s="233"/>
      <c r="EE812" s="233"/>
      <c r="EF812" s="233"/>
      <c r="EG812" s="233"/>
      <c r="EH812" s="233"/>
      <c r="EI812" s="233"/>
      <c r="EJ812" s="233"/>
      <c r="EK812" s="233"/>
      <c r="EL812" s="233"/>
      <c r="EM812" s="233"/>
      <c r="EN812" s="233"/>
      <c r="EO812" s="233"/>
      <c r="EP812" s="233"/>
    </row>
    <row r="813" spans="1:146" ht="14.25" x14ac:dyDescent="0.2">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c r="AV813" s="233"/>
      <c r="AW813" s="233"/>
      <c r="AX813" s="233"/>
      <c r="AY813" s="233"/>
      <c r="AZ813" s="233"/>
      <c r="BA813" s="233"/>
      <c r="BB813" s="233"/>
      <c r="BC813" s="233"/>
      <c r="BD813" s="233"/>
      <c r="BE813" s="233"/>
      <c r="BF813" s="233"/>
      <c r="BG813" s="233"/>
      <c r="BH813" s="233"/>
      <c r="BI813" s="233"/>
      <c r="BJ813" s="233"/>
      <c r="BK813" s="233"/>
      <c r="BL813" s="233"/>
      <c r="BM813" s="233"/>
      <c r="BN813" s="233"/>
      <c r="BO813" s="233"/>
      <c r="BP813" s="233"/>
      <c r="BQ813" s="233"/>
      <c r="BR813" s="233"/>
      <c r="BS813" s="233"/>
      <c r="BT813" s="233"/>
      <c r="BU813" s="233"/>
      <c r="BV813" s="233"/>
      <c r="BW813" s="233"/>
      <c r="BX813" s="233"/>
      <c r="BY813" s="233"/>
      <c r="BZ813" s="233"/>
      <c r="CA813" s="233"/>
      <c r="CB813" s="233"/>
      <c r="CC813" s="233"/>
      <c r="CD813" s="233"/>
      <c r="CE813" s="233"/>
      <c r="CF813" s="233"/>
      <c r="CG813" s="233"/>
      <c r="CH813" s="233"/>
      <c r="CI813" s="233"/>
      <c r="CJ813" s="233"/>
      <c r="CK813" s="233"/>
      <c r="CL813" s="233"/>
      <c r="CM813" s="233"/>
      <c r="CN813" s="233"/>
      <c r="CO813" s="233"/>
      <c r="CP813" s="233"/>
      <c r="CQ813" s="233"/>
      <c r="CR813" s="233"/>
      <c r="CS813" s="233"/>
      <c r="CT813" s="233"/>
      <c r="CU813" s="233"/>
      <c r="CV813" s="233"/>
      <c r="CW813" s="233"/>
      <c r="CX813" s="233"/>
      <c r="CY813" s="233"/>
      <c r="CZ813" s="233"/>
      <c r="DA813" s="233"/>
      <c r="DB813" s="233"/>
      <c r="DC813" s="233"/>
      <c r="DD813" s="233"/>
      <c r="DE813" s="233"/>
      <c r="DF813" s="233"/>
      <c r="DG813" s="233"/>
      <c r="DH813" s="233"/>
      <c r="DI813" s="233"/>
      <c r="DJ813" s="233"/>
      <c r="DK813" s="233"/>
      <c r="DL813" s="233"/>
      <c r="DM813" s="233"/>
      <c r="DN813" s="233"/>
      <c r="DO813" s="233"/>
      <c r="DP813" s="233"/>
      <c r="DQ813" s="233"/>
      <c r="DR813" s="233"/>
      <c r="DS813" s="233"/>
      <c r="DT813" s="233"/>
      <c r="DU813" s="233"/>
      <c r="DV813" s="233"/>
      <c r="DW813" s="233"/>
      <c r="DX813" s="233"/>
      <c r="DY813" s="233"/>
      <c r="DZ813" s="233"/>
      <c r="EA813" s="233"/>
      <c r="EB813" s="233"/>
      <c r="EC813" s="233"/>
      <c r="ED813" s="233"/>
      <c r="EE813" s="233"/>
      <c r="EF813" s="233"/>
      <c r="EG813" s="233"/>
      <c r="EH813" s="233"/>
      <c r="EI813" s="233"/>
      <c r="EJ813" s="233"/>
      <c r="EK813" s="233"/>
      <c r="EL813" s="233"/>
      <c r="EM813" s="233"/>
      <c r="EN813" s="233"/>
      <c r="EO813" s="233"/>
      <c r="EP813" s="233"/>
    </row>
    <row r="814" spans="1:146" ht="14.25" x14ac:dyDescent="0.2">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c r="AV814" s="233"/>
      <c r="AW814" s="233"/>
      <c r="AX814" s="233"/>
      <c r="AY814" s="233"/>
      <c r="AZ814" s="233"/>
      <c r="BA814" s="233"/>
      <c r="BB814" s="233"/>
      <c r="BC814" s="233"/>
      <c r="BD814" s="233"/>
      <c r="BE814" s="233"/>
      <c r="BF814" s="233"/>
      <c r="BG814" s="233"/>
      <c r="BH814" s="233"/>
      <c r="BI814" s="233"/>
      <c r="BJ814" s="233"/>
      <c r="BK814" s="233"/>
      <c r="BL814" s="233"/>
      <c r="BM814" s="233"/>
      <c r="BN814" s="233"/>
      <c r="BO814" s="233"/>
      <c r="BP814" s="233"/>
      <c r="BQ814" s="233"/>
      <c r="BR814" s="233"/>
      <c r="BS814" s="233"/>
      <c r="BT814" s="233"/>
      <c r="BU814" s="233"/>
      <c r="BV814" s="233"/>
      <c r="BW814" s="233"/>
      <c r="BX814" s="233"/>
      <c r="BY814" s="233"/>
      <c r="BZ814" s="233"/>
      <c r="CA814" s="233"/>
      <c r="CB814" s="233"/>
      <c r="CC814" s="233"/>
      <c r="CD814" s="233"/>
      <c r="CE814" s="233"/>
      <c r="CF814" s="233"/>
      <c r="CG814" s="233"/>
      <c r="CH814" s="233"/>
      <c r="CI814" s="233"/>
      <c r="CJ814" s="233"/>
      <c r="CK814" s="233"/>
      <c r="CL814" s="233"/>
      <c r="CM814" s="233"/>
      <c r="CN814" s="233"/>
      <c r="CO814" s="233"/>
      <c r="CP814" s="233"/>
      <c r="CQ814" s="233"/>
      <c r="CR814" s="233"/>
      <c r="CS814" s="233"/>
      <c r="CT814" s="233"/>
      <c r="CU814" s="233"/>
      <c r="CV814" s="233"/>
      <c r="CW814" s="233"/>
      <c r="CX814" s="233"/>
      <c r="CY814" s="233"/>
      <c r="CZ814" s="233"/>
      <c r="DA814" s="233"/>
      <c r="DB814" s="233"/>
      <c r="DC814" s="233"/>
      <c r="DD814" s="233"/>
      <c r="DE814" s="233"/>
      <c r="DF814" s="233"/>
      <c r="DG814" s="233"/>
      <c r="DH814" s="233"/>
      <c r="DI814" s="233"/>
      <c r="DJ814" s="233"/>
      <c r="DK814" s="233"/>
      <c r="DL814" s="233"/>
      <c r="DM814" s="233"/>
      <c r="DN814" s="233"/>
      <c r="DO814" s="233"/>
      <c r="DP814" s="233"/>
      <c r="DQ814" s="233"/>
      <c r="DR814" s="233"/>
      <c r="DS814" s="233"/>
      <c r="DT814" s="233"/>
      <c r="DU814" s="233"/>
      <c r="DV814" s="233"/>
      <c r="DW814" s="233"/>
      <c r="DX814" s="233"/>
      <c r="DY814" s="233"/>
      <c r="DZ814" s="233"/>
      <c r="EA814" s="233"/>
      <c r="EB814" s="233"/>
      <c r="EC814" s="233"/>
      <c r="ED814" s="233"/>
      <c r="EE814" s="233"/>
      <c r="EF814" s="233"/>
      <c r="EG814" s="233"/>
      <c r="EH814" s="233"/>
      <c r="EI814" s="233"/>
      <c r="EJ814" s="233"/>
      <c r="EK814" s="233"/>
      <c r="EL814" s="233"/>
      <c r="EM814" s="233"/>
      <c r="EN814" s="233"/>
      <c r="EO814" s="233"/>
      <c r="EP814" s="233"/>
    </row>
    <row r="815" spans="1:146" ht="14.25" x14ac:dyDescent="0.2">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c r="AV815" s="233"/>
      <c r="AW815" s="233"/>
      <c r="AX815" s="233"/>
      <c r="AY815" s="233"/>
      <c r="AZ815" s="233"/>
      <c r="BA815" s="233"/>
      <c r="BB815" s="233"/>
      <c r="BC815" s="233"/>
      <c r="BD815" s="233"/>
      <c r="BE815" s="233"/>
      <c r="BF815" s="233"/>
      <c r="BG815" s="233"/>
      <c r="BH815" s="233"/>
      <c r="BI815" s="233"/>
      <c r="BJ815" s="233"/>
      <c r="BK815" s="233"/>
      <c r="BL815" s="233"/>
      <c r="BM815" s="233"/>
      <c r="BN815" s="233"/>
      <c r="BO815" s="233"/>
      <c r="BP815" s="233"/>
      <c r="BQ815" s="233"/>
      <c r="BR815" s="233"/>
      <c r="BS815" s="233"/>
      <c r="BT815" s="233"/>
      <c r="BU815" s="233"/>
      <c r="BV815" s="233"/>
      <c r="BW815" s="233"/>
      <c r="BX815" s="233"/>
      <c r="BY815" s="233"/>
      <c r="BZ815" s="233"/>
      <c r="CA815" s="233"/>
      <c r="CB815" s="233"/>
      <c r="CC815" s="233"/>
      <c r="CD815" s="233"/>
      <c r="CE815" s="233"/>
      <c r="CF815" s="233"/>
      <c r="CG815" s="233"/>
      <c r="CH815" s="233"/>
      <c r="CI815" s="233"/>
      <c r="CJ815" s="233"/>
      <c r="CK815" s="233"/>
      <c r="CL815" s="233"/>
      <c r="CM815" s="233"/>
      <c r="CN815" s="233"/>
      <c r="CO815" s="233"/>
      <c r="CP815" s="233"/>
      <c r="CQ815" s="233"/>
      <c r="CR815" s="233"/>
      <c r="CS815" s="233"/>
      <c r="CT815" s="233"/>
      <c r="CU815" s="233"/>
      <c r="CV815" s="233"/>
      <c r="CW815" s="233"/>
      <c r="CX815" s="233"/>
      <c r="CY815" s="233"/>
      <c r="CZ815" s="233"/>
      <c r="DA815" s="233"/>
      <c r="DB815" s="233"/>
      <c r="DC815" s="233"/>
      <c r="DD815" s="233"/>
      <c r="DE815" s="233"/>
      <c r="DF815" s="233"/>
      <c r="DG815" s="233"/>
      <c r="DH815" s="233"/>
      <c r="DI815" s="233"/>
      <c r="DJ815" s="233"/>
      <c r="DK815" s="233"/>
      <c r="DL815" s="233"/>
      <c r="DM815" s="233"/>
      <c r="DN815" s="233"/>
      <c r="DO815" s="233"/>
      <c r="DP815" s="233"/>
      <c r="DQ815" s="233"/>
      <c r="DR815" s="233"/>
      <c r="DS815" s="233"/>
      <c r="DT815" s="233"/>
      <c r="DU815" s="233"/>
      <c r="DV815" s="233"/>
      <c r="DW815" s="233"/>
      <c r="DX815" s="233"/>
      <c r="DY815" s="233"/>
      <c r="DZ815" s="233"/>
      <c r="EA815" s="233"/>
      <c r="EB815" s="233"/>
      <c r="EC815" s="233"/>
      <c r="ED815" s="233"/>
      <c r="EE815" s="233"/>
      <c r="EF815" s="233"/>
      <c r="EG815" s="233"/>
      <c r="EH815" s="233"/>
      <c r="EI815" s="233"/>
      <c r="EJ815" s="233"/>
      <c r="EK815" s="233"/>
      <c r="EL815" s="233"/>
      <c r="EM815" s="233"/>
      <c r="EN815" s="233"/>
      <c r="EO815" s="233"/>
      <c r="EP815" s="233"/>
    </row>
    <row r="816" spans="1:146" ht="14.25" x14ac:dyDescent="0.2">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33"/>
      <c r="BF816" s="233"/>
      <c r="BG816" s="233"/>
      <c r="BH816" s="233"/>
      <c r="BI816" s="233"/>
      <c r="BJ816" s="233"/>
      <c r="BK816" s="233"/>
      <c r="BL816" s="233"/>
      <c r="BM816" s="233"/>
      <c r="BN816" s="233"/>
      <c r="BO816" s="233"/>
      <c r="BP816" s="233"/>
      <c r="BQ816" s="233"/>
      <c r="BR816" s="233"/>
      <c r="BS816" s="233"/>
      <c r="BT816" s="233"/>
      <c r="BU816" s="233"/>
      <c r="BV816" s="233"/>
      <c r="BW816" s="233"/>
      <c r="BX816" s="233"/>
      <c r="BY816" s="233"/>
      <c r="BZ816" s="233"/>
      <c r="CA816" s="233"/>
      <c r="CB816" s="233"/>
      <c r="CC816" s="233"/>
      <c r="CD816" s="233"/>
      <c r="CE816" s="233"/>
      <c r="CF816" s="233"/>
      <c r="CG816" s="233"/>
      <c r="CH816" s="233"/>
      <c r="CI816" s="233"/>
      <c r="CJ816" s="233"/>
      <c r="CK816" s="233"/>
      <c r="CL816" s="233"/>
      <c r="CM816" s="233"/>
      <c r="CN816" s="233"/>
      <c r="CO816" s="233"/>
      <c r="CP816" s="233"/>
      <c r="CQ816" s="233"/>
      <c r="CR816" s="233"/>
      <c r="CS816" s="233"/>
      <c r="CT816" s="233"/>
      <c r="CU816" s="233"/>
      <c r="CV816" s="233"/>
      <c r="CW816" s="233"/>
      <c r="CX816" s="233"/>
      <c r="CY816" s="233"/>
      <c r="CZ816" s="233"/>
      <c r="DA816" s="233"/>
      <c r="DB816" s="233"/>
      <c r="DC816" s="233"/>
      <c r="DD816" s="233"/>
      <c r="DE816" s="233"/>
      <c r="DF816" s="233"/>
      <c r="DG816" s="233"/>
      <c r="DH816" s="233"/>
      <c r="DI816" s="233"/>
      <c r="DJ816" s="233"/>
      <c r="DK816" s="233"/>
      <c r="DL816" s="233"/>
      <c r="DM816" s="233"/>
      <c r="DN816" s="233"/>
      <c r="DO816" s="233"/>
      <c r="DP816" s="233"/>
      <c r="DQ816" s="233"/>
      <c r="DR816" s="233"/>
      <c r="DS816" s="233"/>
      <c r="DT816" s="233"/>
      <c r="DU816" s="233"/>
      <c r="DV816" s="233"/>
      <c r="DW816" s="233"/>
      <c r="DX816" s="233"/>
      <c r="DY816" s="233"/>
      <c r="DZ816" s="233"/>
      <c r="EA816" s="233"/>
      <c r="EB816" s="233"/>
      <c r="EC816" s="233"/>
      <c r="ED816" s="233"/>
      <c r="EE816" s="233"/>
      <c r="EF816" s="233"/>
      <c r="EG816" s="233"/>
      <c r="EH816" s="233"/>
      <c r="EI816" s="233"/>
      <c r="EJ816" s="233"/>
      <c r="EK816" s="233"/>
      <c r="EL816" s="233"/>
      <c r="EM816" s="233"/>
      <c r="EN816" s="233"/>
      <c r="EO816" s="233"/>
      <c r="EP816" s="233"/>
    </row>
    <row r="817" spans="1:146" ht="14.25" x14ac:dyDescent="0.2">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row>
    <row r="818" spans="1:146" ht="14.25" x14ac:dyDescent="0.2">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row>
    <row r="819" spans="1:146" ht="14.25" x14ac:dyDescent="0.2">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row>
    <row r="820" spans="1:146" ht="14.25" x14ac:dyDescent="0.2">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33"/>
      <c r="BF820" s="233"/>
      <c r="BG820" s="233"/>
      <c r="BH820" s="233"/>
      <c r="BI820" s="233"/>
      <c r="BJ820" s="233"/>
      <c r="BK820" s="233"/>
      <c r="BL820" s="233"/>
      <c r="BM820" s="233"/>
      <c r="BN820" s="233"/>
      <c r="BO820" s="233"/>
      <c r="BP820" s="233"/>
      <c r="BQ820" s="233"/>
      <c r="BR820" s="233"/>
      <c r="BS820" s="233"/>
      <c r="BT820" s="233"/>
      <c r="BU820" s="233"/>
      <c r="BV820" s="233"/>
      <c r="BW820" s="233"/>
      <c r="BX820" s="233"/>
      <c r="BY820" s="233"/>
      <c r="BZ820" s="233"/>
      <c r="CA820" s="233"/>
      <c r="CB820" s="233"/>
      <c r="CC820" s="233"/>
      <c r="CD820" s="233"/>
      <c r="CE820" s="233"/>
      <c r="CF820" s="233"/>
      <c r="CG820" s="233"/>
      <c r="CH820" s="233"/>
      <c r="CI820" s="233"/>
      <c r="CJ820" s="233"/>
      <c r="CK820" s="233"/>
      <c r="CL820" s="233"/>
      <c r="CM820" s="233"/>
      <c r="CN820" s="233"/>
      <c r="CO820" s="233"/>
      <c r="CP820" s="233"/>
      <c r="CQ820" s="233"/>
      <c r="CR820" s="233"/>
      <c r="CS820" s="233"/>
      <c r="CT820" s="233"/>
      <c r="CU820" s="233"/>
      <c r="CV820" s="233"/>
      <c r="CW820" s="233"/>
      <c r="CX820" s="233"/>
      <c r="CY820" s="233"/>
      <c r="CZ820" s="233"/>
      <c r="DA820" s="233"/>
      <c r="DB820" s="233"/>
      <c r="DC820" s="233"/>
      <c r="DD820" s="233"/>
      <c r="DE820" s="233"/>
      <c r="DF820" s="233"/>
      <c r="DG820" s="233"/>
      <c r="DH820" s="233"/>
      <c r="DI820" s="233"/>
      <c r="DJ820" s="233"/>
      <c r="DK820" s="233"/>
      <c r="DL820" s="233"/>
      <c r="DM820" s="233"/>
      <c r="DN820" s="233"/>
      <c r="DO820" s="233"/>
      <c r="DP820" s="233"/>
      <c r="DQ820" s="233"/>
      <c r="DR820" s="233"/>
      <c r="DS820" s="233"/>
      <c r="DT820" s="233"/>
      <c r="DU820" s="233"/>
      <c r="DV820" s="233"/>
      <c r="DW820" s="233"/>
      <c r="DX820" s="233"/>
      <c r="DY820" s="233"/>
      <c r="DZ820" s="233"/>
      <c r="EA820" s="233"/>
      <c r="EB820" s="233"/>
      <c r="EC820" s="233"/>
      <c r="ED820" s="233"/>
      <c r="EE820" s="233"/>
      <c r="EF820" s="233"/>
      <c r="EG820" s="233"/>
      <c r="EH820" s="233"/>
      <c r="EI820" s="233"/>
      <c r="EJ820" s="233"/>
      <c r="EK820" s="233"/>
      <c r="EL820" s="233"/>
      <c r="EM820" s="233"/>
      <c r="EN820" s="233"/>
      <c r="EO820" s="233"/>
      <c r="EP820" s="233"/>
    </row>
    <row r="821" spans="1:146" ht="14.25" x14ac:dyDescent="0.2">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33"/>
      <c r="BF821" s="233"/>
      <c r="BG821" s="233"/>
      <c r="BH821" s="233"/>
      <c r="BI821" s="233"/>
      <c r="BJ821" s="233"/>
      <c r="BK821" s="233"/>
      <c r="BL821" s="233"/>
      <c r="BM821" s="233"/>
      <c r="BN821" s="233"/>
      <c r="BO821" s="233"/>
      <c r="BP821" s="233"/>
      <c r="BQ821" s="233"/>
      <c r="BR821" s="233"/>
      <c r="BS821" s="233"/>
      <c r="BT821" s="233"/>
      <c r="BU821" s="233"/>
      <c r="BV821" s="233"/>
      <c r="BW821" s="233"/>
      <c r="BX821" s="233"/>
      <c r="BY821" s="233"/>
      <c r="BZ821" s="233"/>
      <c r="CA821" s="233"/>
      <c r="CB821" s="233"/>
      <c r="CC821" s="233"/>
      <c r="CD821" s="233"/>
      <c r="CE821" s="233"/>
      <c r="CF821" s="233"/>
      <c r="CG821" s="233"/>
      <c r="CH821" s="233"/>
      <c r="CI821" s="233"/>
      <c r="CJ821" s="233"/>
      <c r="CK821" s="233"/>
      <c r="CL821" s="233"/>
      <c r="CM821" s="233"/>
      <c r="CN821" s="233"/>
      <c r="CO821" s="233"/>
      <c r="CP821" s="233"/>
      <c r="CQ821" s="233"/>
      <c r="CR821" s="233"/>
      <c r="CS821" s="233"/>
      <c r="CT821" s="233"/>
      <c r="CU821" s="233"/>
      <c r="CV821" s="233"/>
      <c r="CW821" s="233"/>
      <c r="CX821" s="233"/>
      <c r="CY821" s="233"/>
      <c r="CZ821" s="233"/>
      <c r="DA821" s="233"/>
      <c r="DB821" s="233"/>
      <c r="DC821" s="233"/>
      <c r="DD821" s="233"/>
      <c r="DE821" s="233"/>
      <c r="DF821" s="233"/>
      <c r="DG821" s="233"/>
      <c r="DH821" s="233"/>
      <c r="DI821" s="233"/>
      <c r="DJ821" s="233"/>
      <c r="DK821" s="233"/>
      <c r="DL821" s="233"/>
      <c r="DM821" s="233"/>
      <c r="DN821" s="233"/>
      <c r="DO821" s="233"/>
      <c r="DP821" s="233"/>
      <c r="DQ821" s="233"/>
      <c r="DR821" s="233"/>
      <c r="DS821" s="233"/>
      <c r="DT821" s="233"/>
      <c r="DU821" s="233"/>
      <c r="DV821" s="233"/>
      <c r="DW821" s="233"/>
      <c r="DX821" s="233"/>
      <c r="DY821" s="233"/>
      <c r="DZ821" s="233"/>
      <c r="EA821" s="233"/>
      <c r="EB821" s="233"/>
      <c r="EC821" s="233"/>
      <c r="ED821" s="233"/>
      <c r="EE821" s="233"/>
      <c r="EF821" s="233"/>
      <c r="EG821" s="233"/>
      <c r="EH821" s="233"/>
      <c r="EI821" s="233"/>
      <c r="EJ821" s="233"/>
      <c r="EK821" s="233"/>
      <c r="EL821" s="233"/>
      <c r="EM821" s="233"/>
      <c r="EN821" s="233"/>
      <c r="EO821" s="233"/>
      <c r="EP821" s="233"/>
    </row>
    <row r="822" spans="1:146" ht="14.25" x14ac:dyDescent="0.2">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c r="AS822" s="233"/>
      <c r="AT822" s="233"/>
      <c r="AU822" s="233"/>
      <c r="AV822" s="233"/>
      <c r="AW822" s="233"/>
      <c r="AX822" s="233"/>
      <c r="AY822" s="233"/>
      <c r="AZ822" s="233"/>
      <c r="BA822" s="233"/>
      <c r="BB822" s="233"/>
      <c r="BC822" s="233"/>
      <c r="BD822" s="233"/>
      <c r="BE822" s="233"/>
      <c r="BF822" s="233"/>
      <c r="BG822" s="233"/>
      <c r="BH822" s="233"/>
      <c r="BI822" s="233"/>
      <c r="BJ822" s="233"/>
      <c r="BK822" s="233"/>
      <c r="BL822" s="233"/>
      <c r="BM822" s="233"/>
      <c r="BN822" s="233"/>
      <c r="BO822" s="233"/>
      <c r="BP822" s="233"/>
      <c r="BQ822" s="233"/>
      <c r="BR822" s="233"/>
      <c r="BS822" s="233"/>
      <c r="BT822" s="233"/>
      <c r="BU822" s="233"/>
      <c r="BV822" s="233"/>
      <c r="BW822" s="233"/>
      <c r="BX822" s="233"/>
      <c r="BY822" s="233"/>
      <c r="BZ822" s="233"/>
      <c r="CA822" s="233"/>
      <c r="CB822" s="233"/>
      <c r="CC822" s="233"/>
      <c r="CD822" s="233"/>
      <c r="CE822" s="233"/>
      <c r="CF822" s="233"/>
      <c r="CG822" s="233"/>
      <c r="CH822" s="233"/>
      <c r="CI822" s="233"/>
      <c r="CJ822" s="233"/>
      <c r="CK822" s="233"/>
      <c r="CL822" s="233"/>
      <c r="CM822" s="233"/>
      <c r="CN822" s="233"/>
      <c r="CO822" s="233"/>
      <c r="CP822" s="233"/>
      <c r="CQ822" s="233"/>
      <c r="CR822" s="233"/>
      <c r="CS822" s="233"/>
      <c r="CT822" s="233"/>
      <c r="CU822" s="233"/>
      <c r="CV822" s="233"/>
      <c r="CW822" s="233"/>
      <c r="CX822" s="233"/>
      <c r="CY822" s="233"/>
      <c r="CZ822" s="233"/>
      <c r="DA822" s="233"/>
      <c r="DB822" s="233"/>
      <c r="DC822" s="233"/>
      <c r="DD822" s="233"/>
      <c r="DE822" s="233"/>
      <c r="DF822" s="233"/>
      <c r="DG822" s="233"/>
      <c r="DH822" s="233"/>
      <c r="DI822" s="233"/>
      <c r="DJ822" s="233"/>
      <c r="DK822" s="233"/>
      <c r="DL822" s="233"/>
      <c r="DM822" s="233"/>
      <c r="DN822" s="233"/>
      <c r="DO822" s="233"/>
      <c r="DP822" s="233"/>
      <c r="DQ822" s="233"/>
      <c r="DR822" s="233"/>
      <c r="DS822" s="233"/>
      <c r="DT822" s="233"/>
      <c r="DU822" s="233"/>
      <c r="DV822" s="233"/>
      <c r="DW822" s="233"/>
      <c r="DX822" s="233"/>
      <c r="DY822" s="233"/>
      <c r="DZ822" s="233"/>
      <c r="EA822" s="233"/>
      <c r="EB822" s="233"/>
      <c r="EC822" s="233"/>
      <c r="ED822" s="233"/>
      <c r="EE822" s="233"/>
      <c r="EF822" s="233"/>
      <c r="EG822" s="233"/>
      <c r="EH822" s="233"/>
      <c r="EI822" s="233"/>
      <c r="EJ822" s="233"/>
      <c r="EK822" s="233"/>
      <c r="EL822" s="233"/>
      <c r="EM822" s="233"/>
      <c r="EN822" s="233"/>
      <c r="EO822" s="233"/>
      <c r="EP822" s="233"/>
    </row>
    <row r="823" spans="1:146" ht="14.25" x14ac:dyDescent="0.2">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c r="AV823" s="233"/>
      <c r="AW823" s="233"/>
      <c r="AX823" s="233"/>
      <c r="AY823" s="233"/>
      <c r="AZ823" s="233"/>
      <c r="BA823" s="233"/>
      <c r="BB823" s="233"/>
      <c r="BC823" s="233"/>
      <c r="BD823" s="233"/>
      <c r="BE823" s="233"/>
      <c r="BF823" s="233"/>
      <c r="BG823" s="233"/>
      <c r="BH823" s="233"/>
      <c r="BI823" s="233"/>
      <c r="BJ823" s="233"/>
      <c r="BK823" s="233"/>
      <c r="BL823" s="233"/>
      <c r="BM823" s="233"/>
      <c r="BN823" s="233"/>
      <c r="BO823" s="233"/>
      <c r="BP823" s="233"/>
      <c r="BQ823" s="233"/>
      <c r="BR823" s="233"/>
      <c r="BS823" s="233"/>
      <c r="BT823" s="233"/>
      <c r="BU823" s="233"/>
      <c r="BV823" s="233"/>
      <c r="BW823" s="233"/>
      <c r="BX823" s="233"/>
      <c r="BY823" s="233"/>
      <c r="BZ823" s="233"/>
      <c r="CA823" s="233"/>
      <c r="CB823" s="233"/>
      <c r="CC823" s="233"/>
      <c r="CD823" s="233"/>
      <c r="CE823" s="233"/>
      <c r="CF823" s="233"/>
      <c r="CG823" s="233"/>
      <c r="CH823" s="233"/>
      <c r="CI823" s="233"/>
      <c r="CJ823" s="233"/>
      <c r="CK823" s="233"/>
      <c r="CL823" s="233"/>
      <c r="CM823" s="233"/>
      <c r="CN823" s="233"/>
      <c r="CO823" s="233"/>
      <c r="CP823" s="233"/>
      <c r="CQ823" s="233"/>
      <c r="CR823" s="233"/>
      <c r="CS823" s="233"/>
      <c r="CT823" s="233"/>
      <c r="CU823" s="233"/>
      <c r="CV823" s="233"/>
      <c r="CW823" s="233"/>
      <c r="CX823" s="233"/>
      <c r="CY823" s="233"/>
      <c r="CZ823" s="233"/>
      <c r="DA823" s="233"/>
      <c r="DB823" s="233"/>
      <c r="DC823" s="233"/>
      <c r="DD823" s="233"/>
      <c r="DE823" s="233"/>
      <c r="DF823" s="233"/>
      <c r="DG823" s="233"/>
      <c r="DH823" s="233"/>
      <c r="DI823" s="233"/>
      <c r="DJ823" s="233"/>
      <c r="DK823" s="233"/>
      <c r="DL823" s="233"/>
      <c r="DM823" s="233"/>
      <c r="DN823" s="233"/>
      <c r="DO823" s="233"/>
      <c r="DP823" s="233"/>
      <c r="DQ823" s="233"/>
      <c r="DR823" s="233"/>
      <c r="DS823" s="233"/>
      <c r="DT823" s="233"/>
      <c r="DU823" s="233"/>
      <c r="DV823" s="233"/>
      <c r="DW823" s="233"/>
      <c r="DX823" s="233"/>
      <c r="DY823" s="233"/>
      <c r="DZ823" s="233"/>
      <c r="EA823" s="233"/>
      <c r="EB823" s="233"/>
      <c r="EC823" s="233"/>
      <c r="ED823" s="233"/>
      <c r="EE823" s="233"/>
      <c r="EF823" s="233"/>
      <c r="EG823" s="233"/>
      <c r="EH823" s="233"/>
      <c r="EI823" s="233"/>
      <c r="EJ823" s="233"/>
      <c r="EK823" s="233"/>
      <c r="EL823" s="233"/>
      <c r="EM823" s="233"/>
      <c r="EN823" s="233"/>
      <c r="EO823" s="233"/>
      <c r="EP823" s="233"/>
    </row>
    <row r="824" spans="1:146" ht="14.25" x14ac:dyDescent="0.2">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C824" s="233"/>
      <c r="CD824" s="233"/>
      <c r="CE824" s="233"/>
      <c r="CF824" s="233"/>
      <c r="CG824" s="233"/>
      <c r="CH824" s="233"/>
      <c r="CI824" s="233"/>
      <c r="CJ824" s="233"/>
      <c r="CK824" s="233"/>
      <c r="CL824" s="233"/>
      <c r="CM824" s="233"/>
      <c r="CN824" s="233"/>
      <c r="CO824" s="233"/>
      <c r="CP824" s="233"/>
      <c r="CQ824" s="233"/>
      <c r="CR824" s="233"/>
      <c r="CS824" s="233"/>
      <c r="CT824" s="233"/>
      <c r="CU824" s="233"/>
      <c r="CV824" s="233"/>
      <c r="CW824" s="233"/>
      <c r="CX824" s="233"/>
      <c r="CY824" s="233"/>
      <c r="CZ824" s="233"/>
      <c r="DA824" s="233"/>
      <c r="DB824" s="233"/>
      <c r="DC824" s="233"/>
      <c r="DD824" s="233"/>
      <c r="DE824" s="233"/>
      <c r="DF824" s="233"/>
      <c r="DG824" s="233"/>
      <c r="DH824" s="233"/>
      <c r="DI824" s="233"/>
      <c r="DJ824" s="233"/>
      <c r="DK824" s="233"/>
      <c r="DL824" s="233"/>
      <c r="DM824" s="233"/>
      <c r="DN824" s="233"/>
      <c r="DO824" s="233"/>
      <c r="DP824" s="233"/>
      <c r="DQ824" s="233"/>
      <c r="DR824" s="233"/>
      <c r="DS824" s="233"/>
      <c r="DT824" s="233"/>
      <c r="DU824" s="233"/>
      <c r="DV824" s="233"/>
      <c r="DW824" s="233"/>
      <c r="DX824" s="233"/>
      <c r="DY824" s="233"/>
      <c r="DZ824" s="233"/>
      <c r="EA824" s="233"/>
      <c r="EB824" s="233"/>
      <c r="EC824" s="233"/>
      <c r="ED824" s="233"/>
      <c r="EE824" s="233"/>
      <c r="EF824" s="233"/>
      <c r="EG824" s="233"/>
      <c r="EH824" s="233"/>
      <c r="EI824" s="233"/>
      <c r="EJ824" s="233"/>
      <c r="EK824" s="233"/>
      <c r="EL824" s="233"/>
      <c r="EM824" s="233"/>
      <c r="EN824" s="233"/>
      <c r="EO824" s="233"/>
      <c r="EP824" s="233"/>
    </row>
    <row r="825" spans="1:146" ht="14.25" x14ac:dyDescent="0.2">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c r="AV825" s="233"/>
      <c r="AW825" s="233"/>
      <c r="AX825" s="233"/>
      <c r="AY825" s="233"/>
      <c r="AZ825" s="233"/>
      <c r="BA825" s="233"/>
      <c r="BB825" s="233"/>
      <c r="BC825" s="233"/>
      <c r="BD825" s="233"/>
      <c r="BE825" s="233"/>
      <c r="BF825" s="233"/>
      <c r="BG825" s="233"/>
      <c r="BH825" s="233"/>
      <c r="BI825" s="233"/>
      <c r="BJ825" s="233"/>
      <c r="BK825" s="233"/>
      <c r="BL825" s="233"/>
      <c r="BM825" s="233"/>
      <c r="BN825" s="233"/>
      <c r="BO825" s="233"/>
      <c r="BP825" s="233"/>
      <c r="BQ825" s="233"/>
      <c r="BR825" s="233"/>
      <c r="BS825" s="233"/>
      <c r="BT825" s="233"/>
      <c r="BU825" s="233"/>
      <c r="BV825" s="233"/>
      <c r="BW825" s="233"/>
      <c r="BX825" s="233"/>
      <c r="BY825" s="233"/>
      <c r="BZ825" s="233"/>
      <c r="CA825" s="233"/>
      <c r="CB825" s="233"/>
      <c r="CC825" s="233"/>
      <c r="CD825" s="233"/>
      <c r="CE825" s="233"/>
      <c r="CF825" s="233"/>
      <c r="CG825" s="233"/>
      <c r="CH825" s="233"/>
      <c r="CI825" s="233"/>
      <c r="CJ825" s="233"/>
      <c r="CK825" s="233"/>
      <c r="CL825" s="233"/>
      <c r="CM825" s="233"/>
      <c r="CN825" s="233"/>
      <c r="CO825" s="233"/>
      <c r="CP825" s="233"/>
      <c r="CQ825" s="233"/>
      <c r="CR825" s="233"/>
      <c r="CS825" s="233"/>
      <c r="CT825" s="233"/>
      <c r="CU825" s="233"/>
      <c r="CV825" s="233"/>
      <c r="CW825" s="233"/>
      <c r="CX825" s="233"/>
      <c r="CY825" s="233"/>
      <c r="CZ825" s="233"/>
      <c r="DA825" s="233"/>
      <c r="DB825" s="233"/>
      <c r="DC825" s="233"/>
      <c r="DD825" s="233"/>
      <c r="DE825" s="233"/>
      <c r="DF825" s="233"/>
      <c r="DG825" s="233"/>
      <c r="DH825" s="233"/>
      <c r="DI825" s="233"/>
      <c r="DJ825" s="233"/>
      <c r="DK825" s="233"/>
      <c r="DL825" s="233"/>
      <c r="DM825" s="233"/>
      <c r="DN825" s="233"/>
      <c r="DO825" s="233"/>
      <c r="DP825" s="233"/>
      <c r="DQ825" s="233"/>
      <c r="DR825" s="233"/>
      <c r="DS825" s="233"/>
      <c r="DT825" s="233"/>
      <c r="DU825" s="233"/>
      <c r="DV825" s="233"/>
      <c r="DW825" s="233"/>
      <c r="DX825" s="233"/>
      <c r="DY825" s="233"/>
      <c r="DZ825" s="233"/>
      <c r="EA825" s="233"/>
      <c r="EB825" s="233"/>
      <c r="EC825" s="233"/>
      <c r="ED825" s="233"/>
      <c r="EE825" s="233"/>
      <c r="EF825" s="233"/>
      <c r="EG825" s="233"/>
      <c r="EH825" s="233"/>
      <c r="EI825" s="233"/>
      <c r="EJ825" s="233"/>
      <c r="EK825" s="233"/>
      <c r="EL825" s="233"/>
      <c r="EM825" s="233"/>
      <c r="EN825" s="233"/>
      <c r="EO825" s="233"/>
      <c r="EP825" s="233"/>
    </row>
    <row r="826" spans="1:146" ht="14.25" x14ac:dyDescent="0.2">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c r="AV826" s="233"/>
      <c r="AW826" s="233"/>
      <c r="AX826" s="233"/>
      <c r="AY826" s="233"/>
      <c r="AZ826" s="233"/>
      <c r="BA826" s="233"/>
      <c r="BB826" s="233"/>
      <c r="BC826" s="233"/>
      <c r="BD826" s="233"/>
      <c r="BE826" s="233"/>
      <c r="BF826" s="233"/>
      <c r="BG826" s="233"/>
      <c r="BH826" s="233"/>
      <c r="BI826" s="233"/>
      <c r="BJ826" s="233"/>
      <c r="BK826" s="233"/>
      <c r="BL826" s="233"/>
      <c r="BM826" s="233"/>
      <c r="BN826" s="233"/>
      <c r="BO826" s="233"/>
      <c r="BP826" s="233"/>
      <c r="BQ826" s="233"/>
      <c r="BR826" s="233"/>
      <c r="BS826" s="233"/>
      <c r="BT826" s="233"/>
      <c r="BU826" s="233"/>
      <c r="BV826" s="233"/>
      <c r="BW826" s="233"/>
      <c r="BX826" s="233"/>
      <c r="BY826" s="233"/>
      <c r="BZ826" s="233"/>
      <c r="CA826" s="233"/>
      <c r="CB826" s="233"/>
      <c r="CC826" s="233"/>
      <c r="CD826" s="233"/>
      <c r="CE826" s="233"/>
      <c r="CF826" s="233"/>
      <c r="CG826" s="233"/>
      <c r="CH826" s="233"/>
      <c r="CI826" s="233"/>
      <c r="CJ826" s="233"/>
      <c r="CK826" s="233"/>
      <c r="CL826" s="233"/>
      <c r="CM826" s="233"/>
      <c r="CN826" s="233"/>
      <c r="CO826" s="233"/>
      <c r="CP826" s="233"/>
      <c r="CQ826" s="233"/>
      <c r="CR826" s="233"/>
      <c r="CS826" s="233"/>
      <c r="CT826" s="233"/>
      <c r="CU826" s="233"/>
      <c r="CV826" s="233"/>
      <c r="CW826" s="233"/>
      <c r="CX826" s="233"/>
      <c r="CY826" s="233"/>
      <c r="CZ826" s="233"/>
      <c r="DA826" s="233"/>
      <c r="DB826" s="233"/>
      <c r="DC826" s="233"/>
      <c r="DD826" s="233"/>
      <c r="DE826" s="233"/>
      <c r="DF826" s="233"/>
      <c r="DG826" s="233"/>
      <c r="DH826" s="233"/>
      <c r="DI826" s="233"/>
      <c r="DJ826" s="233"/>
      <c r="DK826" s="233"/>
      <c r="DL826" s="233"/>
      <c r="DM826" s="233"/>
      <c r="DN826" s="233"/>
      <c r="DO826" s="233"/>
      <c r="DP826" s="233"/>
      <c r="DQ826" s="233"/>
      <c r="DR826" s="233"/>
      <c r="DS826" s="233"/>
      <c r="DT826" s="233"/>
      <c r="DU826" s="233"/>
      <c r="DV826" s="233"/>
      <c r="DW826" s="233"/>
      <c r="DX826" s="233"/>
      <c r="DY826" s="233"/>
      <c r="DZ826" s="233"/>
      <c r="EA826" s="233"/>
      <c r="EB826" s="233"/>
      <c r="EC826" s="233"/>
      <c r="ED826" s="233"/>
      <c r="EE826" s="233"/>
      <c r="EF826" s="233"/>
      <c r="EG826" s="233"/>
      <c r="EH826" s="233"/>
      <c r="EI826" s="233"/>
      <c r="EJ826" s="233"/>
      <c r="EK826" s="233"/>
      <c r="EL826" s="233"/>
      <c r="EM826" s="233"/>
      <c r="EN826" s="233"/>
      <c r="EO826" s="233"/>
      <c r="EP826" s="233"/>
    </row>
    <row r="827" spans="1:146" ht="14.25" x14ac:dyDescent="0.2">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C827" s="233"/>
      <c r="CD827" s="233"/>
      <c r="CE827" s="233"/>
      <c r="CF827" s="233"/>
      <c r="CG827" s="233"/>
      <c r="CH827" s="233"/>
      <c r="CI827" s="233"/>
      <c r="CJ827" s="233"/>
      <c r="CK827" s="233"/>
      <c r="CL827" s="233"/>
      <c r="CM827" s="233"/>
      <c r="CN827" s="233"/>
      <c r="CO827" s="233"/>
      <c r="CP827" s="233"/>
      <c r="CQ827" s="233"/>
      <c r="CR827" s="233"/>
      <c r="CS827" s="233"/>
      <c r="CT827" s="233"/>
      <c r="CU827" s="233"/>
      <c r="CV827" s="233"/>
      <c r="CW827" s="233"/>
      <c r="CX827" s="233"/>
      <c r="CY827" s="233"/>
      <c r="CZ827" s="233"/>
      <c r="DA827" s="233"/>
      <c r="DB827" s="233"/>
      <c r="DC827" s="233"/>
      <c r="DD827" s="233"/>
      <c r="DE827" s="233"/>
      <c r="DF827" s="233"/>
      <c r="DG827" s="233"/>
      <c r="DH827" s="233"/>
      <c r="DI827" s="233"/>
      <c r="DJ827" s="233"/>
      <c r="DK827" s="233"/>
      <c r="DL827" s="233"/>
      <c r="DM827" s="233"/>
      <c r="DN827" s="233"/>
      <c r="DO827" s="233"/>
      <c r="DP827" s="233"/>
      <c r="DQ827" s="233"/>
      <c r="DR827" s="233"/>
      <c r="DS827" s="233"/>
      <c r="DT827" s="233"/>
      <c r="DU827" s="233"/>
      <c r="DV827" s="233"/>
      <c r="DW827" s="233"/>
      <c r="DX827" s="233"/>
      <c r="DY827" s="233"/>
      <c r="DZ827" s="233"/>
      <c r="EA827" s="233"/>
      <c r="EB827" s="233"/>
      <c r="EC827" s="233"/>
      <c r="ED827" s="233"/>
      <c r="EE827" s="233"/>
      <c r="EF827" s="233"/>
      <c r="EG827" s="233"/>
      <c r="EH827" s="233"/>
      <c r="EI827" s="233"/>
      <c r="EJ827" s="233"/>
      <c r="EK827" s="233"/>
      <c r="EL827" s="233"/>
      <c r="EM827" s="233"/>
      <c r="EN827" s="233"/>
      <c r="EO827" s="233"/>
      <c r="EP827" s="233"/>
    </row>
    <row r="828" spans="1:146" ht="14.25" x14ac:dyDescent="0.2">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c r="AV828" s="233"/>
      <c r="AW828" s="233"/>
      <c r="AX828" s="233"/>
      <c r="AY828" s="233"/>
      <c r="AZ828" s="233"/>
      <c r="BA828" s="233"/>
      <c r="BB828" s="233"/>
      <c r="BC828" s="233"/>
      <c r="BD828" s="233"/>
      <c r="BE828" s="233"/>
      <c r="BF828" s="233"/>
      <c r="BG828" s="233"/>
      <c r="BH828" s="233"/>
      <c r="BI828" s="233"/>
      <c r="BJ828" s="233"/>
      <c r="BK828" s="233"/>
      <c r="BL828" s="233"/>
      <c r="BM828" s="233"/>
      <c r="BN828" s="233"/>
      <c r="BO828" s="233"/>
      <c r="BP828" s="233"/>
      <c r="BQ828" s="233"/>
      <c r="BR828" s="233"/>
      <c r="BS828" s="233"/>
      <c r="BT828" s="233"/>
      <c r="BU828" s="233"/>
      <c r="BV828" s="233"/>
      <c r="BW828" s="233"/>
      <c r="BX828" s="233"/>
      <c r="BY828" s="233"/>
      <c r="BZ828" s="233"/>
      <c r="CA828" s="233"/>
      <c r="CB828" s="233"/>
      <c r="CC828" s="233"/>
      <c r="CD828" s="233"/>
      <c r="CE828" s="233"/>
      <c r="CF828" s="233"/>
      <c r="CG828" s="233"/>
      <c r="CH828" s="233"/>
      <c r="CI828" s="233"/>
      <c r="CJ828" s="233"/>
      <c r="CK828" s="233"/>
      <c r="CL828" s="233"/>
      <c r="CM828" s="233"/>
      <c r="CN828" s="233"/>
      <c r="CO828" s="233"/>
      <c r="CP828" s="233"/>
      <c r="CQ828" s="233"/>
      <c r="CR828" s="233"/>
      <c r="CS828" s="233"/>
      <c r="CT828" s="233"/>
      <c r="CU828" s="233"/>
      <c r="CV828" s="233"/>
      <c r="CW828" s="233"/>
      <c r="CX828" s="233"/>
      <c r="CY828" s="233"/>
      <c r="CZ828" s="233"/>
      <c r="DA828" s="233"/>
      <c r="DB828" s="233"/>
      <c r="DC828" s="233"/>
      <c r="DD828" s="233"/>
      <c r="DE828" s="233"/>
      <c r="DF828" s="233"/>
      <c r="DG828" s="233"/>
      <c r="DH828" s="233"/>
      <c r="DI828" s="233"/>
      <c r="DJ828" s="233"/>
      <c r="DK828" s="233"/>
      <c r="DL828" s="233"/>
      <c r="DM828" s="233"/>
      <c r="DN828" s="233"/>
      <c r="DO828" s="233"/>
      <c r="DP828" s="233"/>
      <c r="DQ828" s="233"/>
      <c r="DR828" s="233"/>
      <c r="DS828" s="233"/>
      <c r="DT828" s="233"/>
      <c r="DU828" s="233"/>
      <c r="DV828" s="233"/>
      <c r="DW828" s="233"/>
      <c r="DX828" s="233"/>
      <c r="DY828" s="233"/>
      <c r="DZ828" s="233"/>
      <c r="EA828" s="233"/>
      <c r="EB828" s="233"/>
      <c r="EC828" s="233"/>
      <c r="ED828" s="233"/>
      <c r="EE828" s="233"/>
      <c r="EF828" s="233"/>
      <c r="EG828" s="233"/>
      <c r="EH828" s="233"/>
      <c r="EI828" s="233"/>
      <c r="EJ828" s="233"/>
      <c r="EK828" s="233"/>
      <c r="EL828" s="233"/>
      <c r="EM828" s="233"/>
      <c r="EN828" s="233"/>
      <c r="EO828" s="233"/>
      <c r="EP828" s="233"/>
    </row>
    <row r="829" spans="1:146" ht="14.25" x14ac:dyDescent="0.2">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c r="AV829" s="233"/>
      <c r="AW829" s="233"/>
      <c r="AX829" s="233"/>
      <c r="AY829" s="233"/>
      <c r="AZ829" s="233"/>
      <c r="BA829" s="233"/>
      <c r="BB829" s="233"/>
      <c r="BC829" s="233"/>
      <c r="BD829" s="233"/>
      <c r="BE829" s="233"/>
      <c r="BF829" s="233"/>
      <c r="BG829" s="233"/>
      <c r="BH829" s="233"/>
      <c r="BI829" s="233"/>
      <c r="BJ829" s="233"/>
      <c r="BK829" s="233"/>
      <c r="BL829" s="233"/>
      <c r="BM829" s="233"/>
      <c r="BN829" s="233"/>
      <c r="BO829" s="233"/>
      <c r="BP829" s="233"/>
      <c r="BQ829" s="233"/>
      <c r="BR829" s="233"/>
      <c r="BS829" s="233"/>
      <c r="BT829" s="233"/>
      <c r="BU829" s="233"/>
      <c r="BV829" s="233"/>
      <c r="BW829" s="233"/>
      <c r="BX829" s="233"/>
      <c r="BY829" s="233"/>
      <c r="BZ829" s="233"/>
      <c r="CA829" s="233"/>
      <c r="CB829" s="233"/>
      <c r="CC829" s="233"/>
      <c r="CD829" s="233"/>
      <c r="CE829" s="233"/>
      <c r="CF829" s="233"/>
      <c r="CG829" s="233"/>
      <c r="CH829" s="233"/>
      <c r="CI829" s="233"/>
      <c r="CJ829" s="233"/>
      <c r="CK829" s="233"/>
      <c r="CL829" s="233"/>
      <c r="CM829" s="233"/>
      <c r="CN829" s="233"/>
      <c r="CO829" s="233"/>
      <c r="CP829" s="233"/>
      <c r="CQ829" s="233"/>
      <c r="CR829" s="233"/>
      <c r="CS829" s="233"/>
      <c r="CT829" s="233"/>
      <c r="CU829" s="233"/>
      <c r="CV829" s="233"/>
      <c r="CW829" s="233"/>
      <c r="CX829" s="233"/>
      <c r="CY829" s="233"/>
      <c r="CZ829" s="233"/>
      <c r="DA829" s="233"/>
      <c r="DB829" s="233"/>
      <c r="DC829" s="233"/>
      <c r="DD829" s="233"/>
      <c r="DE829" s="233"/>
      <c r="DF829" s="233"/>
      <c r="DG829" s="233"/>
      <c r="DH829" s="233"/>
      <c r="DI829" s="233"/>
      <c r="DJ829" s="233"/>
      <c r="DK829" s="233"/>
      <c r="DL829" s="233"/>
      <c r="DM829" s="233"/>
      <c r="DN829" s="233"/>
      <c r="DO829" s="233"/>
      <c r="DP829" s="233"/>
      <c r="DQ829" s="233"/>
      <c r="DR829" s="233"/>
      <c r="DS829" s="233"/>
      <c r="DT829" s="233"/>
      <c r="DU829" s="233"/>
      <c r="DV829" s="233"/>
      <c r="DW829" s="233"/>
      <c r="DX829" s="233"/>
      <c r="DY829" s="233"/>
      <c r="DZ829" s="233"/>
      <c r="EA829" s="233"/>
      <c r="EB829" s="233"/>
      <c r="EC829" s="233"/>
      <c r="ED829" s="233"/>
      <c r="EE829" s="233"/>
      <c r="EF829" s="233"/>
      <c r="EG829" s="233"/>
      <c r="EH829" s="233"/>
      <c r="EI829" s="233"/>
      <c r="EJ829" s="233"/>
      <c r="EK829" s="233"/>
      <c r="EL829" s="233"/>
      <c r="EM829" s="233"/>
      <c r="EN829" s="233"/>
      <c r="EO829" s="233"/>
      <c r="EP829" s="233"/>
    </row>
    <row r="830" spans="1:146" ht="14.25" x14ac:dyDescent="0.2">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c r="AV830" s="233"/>
      <c r="AW830" s="233"/>
      <c r="AX830" s="233"/>
      <c r="AY830" s="233"/>
      <c r="AZ830" s="233"/>
      <c r="BA830" s="233"/>
      <c r="BB830" s="233"/>
      <c r="BC830" s="233"/>
      <c r="BD830" s="233"/>
      <c r="BE830" s="233"/>
      <c r="BF830" s="233"/>
      <c r="BG830" s="233"/>
      <c r="BH830" s="233"/>
      <c r="BI830" s="233"/>
      <c r="BJ830" s="233"/>
      <c r="BK830" s="233"/>
      <c r="BL830" s="233"/>
      <c r="BM830" s="233"/>
      <c r="BN830" s="233"/>
      <c r="BO830" s="233"/>
      <c r="BP830" s="233"/>
      <c r="BQ830" s="233"/>
      <c r="BR830" s="233"/>
      <c r="BS830" s="233"/>
      <c r="BT830" s="233"/>
      <c r="BU830" s="233"/>
      <c r="BV830" s="233"/>
      <c r="BW830" s="233"/>
      <c r="BX830" s="233"/>
      <c r="BY830" s="233"/>
      <c r="BZ830" s="233"/>
      <c r="CA830" s="233"/>
      <c r="CB830" s="233"/>
      <c r="CC830" s="233"/>
      <c r="CD830" s="233"/>
      <c r="CE830" s="233"/>
      <c r="CF830" s="233"/>
      <c r="CG830" s="233"/>
      <c r="CH830" s="233"/>
      <c r="CI830" s="233"/>
      <c r="CJ830" s="233"/>
      <c r="CK830" s="233"/>
      <c r="CL830" s="233"/>
      <c r="CM830" s="233"/>
      <c r="CN830" s="233"/>
      <c r="CO830" s="233"/>
      <c r="CP830" s="233"/>
      <c r="CQ830" s="233"/>
      <c r="CR830" s="233"/>
      <c r="CS830" s="233"/>
      <c r="CT830" s="233"/>
      <c r="CU830" s="233"/>
      <c r="CV830" s="233"/>
      <c r="CW830" s="233"/>
      <c r="CX830" s="233"/>
      <c r="CY830" s="233"/>
      <c r="CZ830" s="233"/>
      <c r="DA830" s="233"/>
      <c r="DB830" s="233"/>
      <c r="DC830" s="233"/>
      <c r="DD830" s="233"/>
      <c r="DE830" s="233"/>
      <c r="DF830" s="233"/>
      <c r="DG830" s="233"/>
      <c r="DH830" s="233"/>
      <c r="DI830" s="233"/>
      <c r="DJ830" s="233"/>
      <c r="DK830" s="233"/>
      <c r="DL830" s="233"/>
      <c r="DM830" s="233"/>
      <c r="DN830" s="233"/>
      <c r="DO830" s="233"/>
      <c r="DP830" s="233"/>
      <c r="DQ830" s="233"/>
      <c r="DR830" s="233"/>
      <c r="DS830" s="233"/>
      <c r="DT830" s="233"/>
      <c r="DU830" s="233"/>
      <c r="DV830" s="233"/>
      <c r="DW830" s="233"/>
      <c r="DX830" s="233"/>
      <c r="DY830" s="233"/>
      <c r="DZ830" s="233"/>
      <c r="EA830" s="233"/>
      <c r="EB830" s="233"/>
      <c r="EC830" s="233"/>
      <c r="ED830" s="233"/>
      <c r="EE830" s="233"/>
      <c r="EF830" s="233"/>
      <c r="EG830" s="233"/>
      <c r="EH830" s="233"/>
      <c r="EI830" s="233"/>
      <c r="EJ830" s="233"/>
      <c r="EK830" s="233"/>
      <c r="EL830" s="233"/>
      <c r="EM830" s="233"/>
      <c r="EN830" s="233"/>
      <c r="EO830" s="233"/>
      <c r="EP830" s="233"/>
    </row>
    <row r="831" spans="1:146" ht="14.25" x14ac:dyDescent="0.2">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c r="AV831" s="233"/>
      <c r="AW831" s="233"/>
      <c r="AX831" s="233"/>
      <c r="AY831" s="233"/>
      <c r="AZ831" s="233"/>
      <c r="BA831" s="233"/>
      <c r="BB831" s="233"/>
      <c r="BC831" s="233"/>
      <c r="BD831" s="233"/>
      <c r="BE831" s="233"/>
      <c r="BF831" s="233"/>
      <c r="BG831" s="233"/>
      <c r="BH831" s="233"/>
      <c r="BI831" s="233"/>
      <c r="BJ831" s="233"/>
      <c r="BK831" s="233"/>
      <c r="BL831" s="233"/>
      <c r="BM831" s="233"/>
      <c r="BN831" s="233"/>
      <c r="BO831" s="233"/>
      <c r="BP831" s="233"/>
      <c r="BQ831" s="233"/>
      <c r="BR831" s="233"/>
      <c r="BS831" s="233"/>
      <c r="BT831" s="233"/>
      <c r="BU831" s="233"/>
      <c r="BV831" s="233"/>
      <c r="BW831" s="233"/>
      <c r="BX831" s="233"/>
      <c r="BY831" s="233"/>
      <c r="BZ831" s="233"/>
      <c r="CA831" s="233"/>
      <c r="CB831" s="233"/>
      <c r="CC831" s="233"/>
      <c r="CD831" s="233"/>
      <c r="CE831" s="233"/>
      <c r="CF831" s="233"/>
      <c r="CG831" s="233"/>
      <c r="CH831" s="233"/>
      <c r="CI831" s="233"/>
      <c r="CJ831" s="233"/>
      <c r="CK831" s="233"/>
      <c r="CL831" s="233"/>
      <c r="CM831" s="233"/>
      <c r="CN831" s="233"/>
      <c r="CO831" s="233"/>
      <c r="CP831" s="233"/>
      <c r="CQ831" s="233"/>
      <c r="CR831" s="233"/>
      <c r="CS831" s="233"/>
      <c r="CT831" s="233"/>
      <c r="CU831" s="233"/>
      <c r="CV831" s="233"/>
      <c r="CW831" s="233"/>
      <c r="CX831" s="233"/>
      <c r="CY831" s="233"/>
      <c r="CZ831" s="233"/>
      <c r="DA831" s="233"/>
      <c r="DB831" s="233"/>
      <c r="DC831" s="233"/>
      <c r="DD831" s="233"/>
      <c r="DE831" s="233"/>
      <c r="DF831" s="233"/>
      <c r="DG831" s="233"/>
      <c r="DH831" s="233"/>
      <c r="DI831" s="233"/>
      <c r="DJ831" s="233"/>
      <c r="DK831" s="233"/>
      <c r="DL831" s="233"/>
      <c r="DM831" s="233"/>
      <c r="DN831" s="233"/>
      <c r="DO831" s="233"/>
      <c r="DP831" s="233"/>
      <c r="DQ831" s="233"/>
      <c r="DR831" s="233"/>
      <c r="DS831" s="233"/>
      <c r="DT831" s="233"/>
      <c r="DU831" s="233"/>
      <c r="DV831" s="233"/>
      <c r="DW831" s="233"/>
      <c r="DX831" s="233"/>
      <c r="DY831" s="233"/>
      <c r="DZ831" s="233"/>
      <c r="EA831" s="233"/>
      <c r="EB831" s="233"/>
      <c r="EC831" s="233"/>
      <c r="ED831" s="233"/>
      <c r="EE831" s="233"/>
      <c r="EF831" s="233"/>
      <c r="EG831" s="233"/>
      <c r="EH831" s="233"/>
      <c r="EI831" s="233"/>
      <c r="EJ831" s="233"/>
      <c r="EK831" s="233"/>
      <c r="EL831" s="233"/>
      <c r="EM831" s="233"/>
      <c r="EN831" s="233"/>
      <c r="EO831" s="233"/>
      <c r="EP831" s="233"/>
    </row>
    <row r="832" spans="1:146" ht="14.25" x14ac:dyDescent="0.2">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c r="AV832" s="233"/>
      <c r="AW832" s="233"/>
      <c r="AX832" s="233"/>
      <c r="AY832" s="233"/>
      <c r="AZ832" s="233"/>
      <c r="BA832" s="233"/>
      <c r="BB832" s="233"/>
      <c r="BC832" s="233"/>
      <c r="BD832" s="233"/>
      <c r="BE832" s="233"/>
      <c r="BF832" s="233"/>
      <c r="BG832" s="233"/>
      <c r="BH832" s="233"/>
      <c r="BI832" s="233"/>
      <c r="BJ832" s="233"/>
      <c r="BK832" s="233"/>
      <c r="BL832" s="233"/>
      <c r="BM832" s="233"/>
      <c r="BN832" s="233"/>
      <c r="BO832" s="233"/>
      <c r="BP832" s="233"/>
      <c r="BQ832" s="233"/>
      <c r="BR832" s="233"/>
      <c r="BS832" s="233"/>
      <c r="BT832" s="233"/>
      <c r="BU832" s="233"/>
      <c r="BV832" s="233"/>
      <c r="BW832" s="233"/>
      <c r="BX832" s="233"/>
      <c r="BY832" s="233"/>
      <c r="BZ832" s="233"/>
      <c r="CA832" s="233"/>
      <c r="CB832" s="233"/>
      <c r="CC832" s="233"/>
      <c r="CD832" s="233"/>
      <c r="CE832" s="233"/>
      <c r="CF832" s="233"/>
      <c r="CG832" s="233"/>
      <c r="CH832" s="233"/>
      <c r="CI832" s="233"/>
      <c r="CJ832" s="233"/>
      <c r="CK832" s="233"/>
      <c r="CL832" s="233"/>
      <c r="CM832" s="233"/>
      <c r="CN832" s="233"/>
      <c r="CO832" s="233"/>
      <c r="CP832" s="233"/>
      <c r="CQ832" s="233"/>
      <c r="CR832" s="233"/>
      <c r="CS832" s="233"/>
      <c r="CT832" s="233"/>
      <c r="CU832" s="233"/>
      <c r="CV832" s="233"/>
      <c r="CW832" s="233"/>
      <c r="CX832" s="233"/>
      <c r="CY832" s="233"/>
      <c r="CZ832" s="233"/>
      <c r="DA832" s="233"/>
      <c r="DB832" s="233"/>
      <c r="DC832" s="233"/>
      <c r="DD832" s="233"/>
      <c r="DE832" s="233"/>
      <c r="DF832" s="233"/>
      <c r="DG832" s="233"/>
      <c r="DH832" s="233"/>
      <c r="DI832" s="233"/>
      <c r="DJ832" s="233"/>
      <c r="DK832" s="233"/>
      <c r="DL832" s="233"/>
      <c r="DM832" s="233"/>
      <c r="DN832" s="233"/>
      <c r="DO832" s="233"/>
      <c r="DP832" s="233"/>
      <c r="DQ832" s="233"/>
      <c r="DR832" s="233"/>
      <c r="DS832" s="233"/>
      <c r="DT832" s="233"/>
      <c r="DU832" s="233"/>
      <c r="DV832" s="233"/>
      <c r="DW832" s="233"/>
      <c r="DX832" s="233"/>
      <c r="DY832" s="233"/>
      <c r="DZ832" s="233"/>
      <c r="EA832" s="233"/>
      <c r="EB832" s="233"/>
      <c r="EC832" s="233"/>
      <c r="ED832" s="233"/>
      <c r="EE832" s="233"/>
      <c r="EF832" s="233"/>
      <c r="EG832" s="233"/>
      <c r="EH832" s="233"/>
      <c r="EI832" s="233"/>
      <c r="EJ832" s="233"/>
      <c r="EK832" s="233"/>
      <c r="EL832" s="233"/>
      <c r="EM832" s="233"/>
      <c r="EN832" s="233"/>
      <c r="EO832" s="233"/>
      <c r="EP832" s="233"/>
    </row>
    <row r="833" spans="1:146" ht="14.25" x14ac:dyDescent="0.2">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c r="AW833" s="233"/>
      <c r="AX833" s="233"/>
      <c r="AY833" s="233"/>
      <c r="AZ833" s="233"/>
      <c r="BA833" s="233"/>
      <c r="BB833" s="233"/>
      <c r="BC833" s="233"/>
      <c r="BD833" s="233"/>
      <c r="BE833" s="233"/>
      <c r="BF833" s="233"/>
      <c r="BG833" s="233"/>
      <c r="BH833" s="233"/>
      <c r="BI833" s="233"/>
      <c r="BJ833" s="233"/>
      <c r="BK833" s="233"/>
      <c r="BL833" s="233"/>
      <c r="BM833" s="233"/>
      <c r="BN833" s="233"/>
      <c r="BO833" s="233"/>
      <c r="BP833" s="233"/>
      <c r="BQ833" s="233"/>
      <c r="BR833" s="233"/>
      <c r="BS833" s="233"/>
      <c r="BT833" s="233"/>
      <c r="BU833" s="233"/>
      <c r="BV833" s="233"/>
      <c r="BW833" s="233"/>
      <c r="BX833" s="233"/>
      <c r="BY833" s="233"/>
      <c r="BZ833" s="233"/>
      <c r="CA833" s="233"/>
      <c r="CB833" s="233"/>
      <c r="CC833" s="233"/>
      <c r="CD833" s="233"/>
      <c r="CE833" s="233"/>
      <c r="CF833" s="233"/>
      <c r="CG833" s="233"/>
      <c r="CH833" s="233"/>
      <c r="CI833" s="233"/>
      <c r="CJ833" s="233"/>
      <c r="CK833" s="233"/>
      <c r="CL833" s="233"/>
      <c r="CM833" s="233"/>
      <c r="CN833" s="233"/>
      <c r="CO833" s="233"/>
      <c r="CP833" s="233"/>
      <c r="CQ833" s="233"/>
      <c r="CR833" s="233"/>
      <c r="CS833" s="233"/>
      <c r="CT833" s="233"/>
      <c r="CU833" s="233"/>
      <c r="CV833" s="233"/>
      <c r="CW833" s="233"/>
      <c r="CX833" s="233"/>
      <c r="CY833" s="233"/>
      <c r="CZ833" s="233"/>
      <c r="DA833" s="233"/>
      <c r="DB833" s="233"/>
      <c r="DC833" s="233"/>
      <c r="DD833" s="233"/>
      <c r="DE833" s="233"/>
      <c r="DF833" s="233"/>
      <c r="DG833" s="233"/>
      <c r="DH833" s="233"/>
      <c r="DI833" s="233"/>
      <c r="DJ833" s="233"/>
      <c r="DK833" s="233"/>
      <c r="DL833" s="233"/>
      <c r="DM833" s="233"/>
      <c r="DN833" s="233"/>
      <c r="DO833" s="233"/>
      <c r="DP833" s="233"/>
      <c r="DQ833" s="233"/>
      <c r="DR833" s="233"/>
      <c r="DS833" s="233"/>
      <c r="DT833" s="233"/>
      <c r="DU833" s="233"/>
      <c r="DV833" s="233"/>
      <c r="DW833" s="233"/>
      <c r="DX833" s="233"/>
      <c r="DY833" s="233"/>
      <c r="DZ833" s="233"/>
      <c r="EA833" s="233"/>
      <c r="EB833" s="233"/>
      <c r="EC833" s="233"/>
      <c r="ED833" s="233"/>
      <c r="EE833" s="233"/>
      <c r="EF833" s="233"/>
      <c r="EG833" s="233"/>
      <c r="EH833" s="233"/>
      <c r="EI833" s="233"/>
      <c r="EJ833" s="233"/>
      <c r="EK833" s="233"/>
      <c r="EL833" s="233"/>
      <c r="EM833" s="233"/>
      <c r="EN833" s="233"/>
      <c r="EO833" s="233"/>
      <c r="EP833" s="233"/>
    </row>
    <row r="834" spans="1:146" ht="14.25" x14ac:dyDescent="0.2">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c r="AV834" s="233"/>
      <c r="AW834" s="233"/>
      <c r="AX834" s="233"/>
      <c r="AY834" s="233"/>
      <c r="AZ834" s="233"/>
      <c r="BA834" s="233"/>
      <c r="BB834" s="233"/>
      <c r="BC834" s="233"/>
      <c r="BD834" s="233"/>
      <c r="BE834" s="233"/>
      <c r="BF834" s="233"/>
      <c r="BG834" s="233"/>
      <c r="BH834" s="233"/>
      <c r="BI834" s="233"/>
      <c r="BJ834" s="233"/>
      <c r="BK834" s="233"/>
      <c r="BL834" s="233"/>
      <c r="BM834" s="233"/>
      <c r="BN834" s="233"/>
      <c r="BO834" s="233"/>
      <c r="BP834" s="233"/>
      <c r="BQ834" s="233"/>
      <c r="BR834" s="233"/>
      <c r="BS834" s="233"/>
      <c r="BT834" s="233"/>
      <c r="BU834" s="233"/>
      <c r="BV834" s="233"/>
      <c r="BW834" s="233"/>
      <c r="BX834" s="233"/>
      <c r="BY834" s="233"/>
      <c r="BZ834" s="233"/>
      <c r="CA834" s="233"/>
      <c r="CB834" s="233"/>
      <c r="CC834" s="233"/>
      <c r="CD834" s="233"/>
      <c r="CE834" s="233"/>
      <c r="CF834" s="233"/>
      <c r="CG834" s="233"/>
      <c r="CH834" s="233"/>
      <c r="CI834" s="233"/>
      <c r="CJ834" s="233"/>
      <c r="CK834" s="233"/>
      <c r="CL834" s="233"/>
      <c r="CM834" s="233"/>
      <c r="CN834" s="233"/>
      <c r="CO834" s="233"/>
      <c r="CP834" s="233"/>
      <c r="CQ834" s="233"/>
      <c r="CR834" s="233"/>
      <c r="CS834" s="233"/>
      <c r="CT834" s="233"/>
      <c r="CU834" s="233"/>
      <c r="CV834" s="233"/>
      <c r="CW834" s="233"/>
      <c r="CX834" s="233"/>
      <c r="CY834" s="233"/>
      <c r="CZ834" s="233"/>
      <c r="DA834" s="233"/>
      <c r="DB834" s="233"/>
      <c r="DC834" s="233"/>
      <c r="DD834" s="233"/>
      <c r="DE834" s="233"/>
      <c r="DF834" s="233"/>
      <c r="DG834" s="233"/>
      <c r="DH834" s="233"/>
      <c r="DI834" s="233"/>
      <c r="DJ834" s="233"/>
      <c r="DK834" s="233"/>
      <c r="DL834" s="233"/>
      <c r="DM834" s="233"/>
      <c r="DN834" s="233"/>
      <c r="DO834" s="233"/>
      <c r="DP834" s="233"/>
      <c r="DQ834" s="233"/>
      <c r="DR834" s="233"/>
      <c r="DS834" s="233"/>
      <c r="DT834" s="233"/>
      <c r="DU834" s="233"/>
      <c r="DV834" s="233"/>
      <c r="DW834" s="233"/>
      <c r="DX834" s="233"/>
      <c r="DY834" s="233"/>
      <c r="DZ834" s="233"/>
      <c r="EA834" s="233"/>
      <c r="EB834" s="233"/>
      <c r="EC834" s="233"/>
      <c r="ED834" s="233"/>
      <c r="EE834" s="233"/>
      <c r="EF834" s="233"/>
      <c r="EG834" s="233"/>
      <c r="EH834" s="233"/>
      <c r="EI834" s="233"/>
      <c r="EJ834" s="233"/>
      <c r="EK834" s="233"/>
      <c r="EL834" s="233"/>
      <c r="EM834" s="233"/>
      <c r="EN834" s="233"/>
      <c r="EO834" s="233"/>
      <c r="EP834" s="233"/>
    </row>
    <row r="835" spans="1:146" ht="14.25" x14ac:dyDescent="0.2">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c r="AV835" s="233"/>
      <c r="AW835" s="233"/>
      <c r="AX835" s="233"/>
      <c r="AY835" s="233"/>
      <c r="AZ835" s="233"/>
      <c r="BA835" s="233"/>
      <c r="BB835" s="233"/>
      <c r="BC835" s="233"/>
      <c r="BD835" s="233"/>
      <c r="BE835" s="233"/>
      <c r="BF835" s="233"/>
      <c r="BG835" s="233"/>
      <c r="BH835" s="233"/>
      <c r="BI835" s="233"/>
      <c r="BJ835" s="233"/>
      <c r="BK835" s="233"/>
      <c r="BL835" s="233"/>
      <c r="BM835" s="233"/>
      <c r="BN835" s="233"/>
      <c r="BO835" s="233"/>
      <c r="BP835" s="233"/>
      <c r="BQ835" s="233"/>
      <c r="BR835" s="233"/>
      <c r="BS835" s="233"/>
      <c r="BT835" s="233"/>
      <c r="BU835" s="233"/>
      <c r="BV835" s="233"/>
      <c r="BW835" s="233"/>
      <c r="BX835" s="233"/>
      <c r="BY835" s="233"/>
      <c r="BZ835" s="233"/>
      <c r="CA835" s="233"/>
      <c r="CB835" s="233"/>
      <c r="CC835" s="233"/>
      <c r="CD835" s="233"/>
      <c r="CE835" s="233"/>
      <c r="CF835" s="233"/>
      <c r="CG835" s="233"/>
      <c r="CH835" s="233"/>
      <c r="CI835" s="233"/>
      <c r="CJ835" s="233"/>
      <c r="CK835" s="233"/>
      <c r="CL835" s="233"/>
      <c r="CM835" s="233"/>
      <c r="CN835" s="233"/>
      <c r="CO835" s="233"/>
      <c r="CP835" s="233"/>
      <c r="CQ835" s="233"/>
      <c r="CR835" s="233"/>
      <c r="CS835" s="233"/>
      <c r="CT835" s="233"/>
      <c r="CU835" s="233"/>
      <c r="CV835" s="233"/>
      <c r="CW835" s="233"/>
      <c r="CX835" s="233"/>
      <c r="CY835" s="233"/>
      <c r="CZ835" s="233"/>
      <c r="DA835" s="233"/>
      <c r="DB835" s="233"/>
      <c r="DC835" s="233"/>
      <c r="DD835" s="233"/>
      <c r="DE835" s="233"/>
      <c r="DF835" s="233"/>
      <c r="DG835" s="233"/>
      <c r="DH835" s="233"/>
      <c r="DI835" s="233"/>
      <c r="DJ835" s="233"/>
      <c r="DK835" s="233"/>
      <c r="DL835" s="233"/>
      <c r="DM835" s="233"/>
      <c r="DN835" s="233"/>
      <c r="DO835" s="233"/>
      <c r="DP835" s="233"/>
      <c r="DQ835" s="233"/>
      <c r="DR835" s="233"/>
      <c r="DS835" s="233"/>
      <c r="DT835" s="233"/>
      <c r="DU835" s="233"/>
      <c r="DV835" s="233"/>
      <c r="DW835" s="233"/>
      <c r="DX835" s="233"/>
      <c r="DY835" s="233"/>
      <c r="DZ835" s="233"/>
      <c r="EA835" s="233"/>
      <c r="EB835" s="233"/>
      <c r="EC835" s="233"/>
      <c r="ED835" s="233"/>
      <c r="EE835" s="233"/>
      <c r="EF835" s="233"/>
      <c r="EG835" s="233"/>
      <c r="EH835" s="233"/>
      <c r="EI835" s="233"/>
      <c r="EJ835" s="233"/>
      <c r="EK835" s="233"/>
      <c r="EL835" s="233"/>
      <c r="EM835" s="233"/>
      <c r="EN835" s="233"/>
      <c r="EO835" s="233"/>
      <c r="EP835" s="233"/>
    </row>
    <row r="836" spans="1:146" ht="14.25" x14ac:dyDescent="0.2">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c r="AS836" s="233"/>
      <c r="AT836" s="233"/>
      <c r="AU836" s="233"/>
      <c r="AV836" s="233"/>
      <c r="AW836" s="233"/>
      <c r="AX836" s="233"/>
      <c r="AY836" s="233"/>
      <c r="AZ836" s="233"/>
      <c r="BA836" s="233"/>
      <c r="BB836" s="233"/>
      <c r="BC836" s="233"/>
      <c r="BD836" s="233"/>
      <c r="BE836" s="233"/>
      <c r="BF836" s="233"/>
      <c r="BG836" s="233"/>
      <c r="BH836" s="233"/>
      <c r="BI836" s="233"/>
      <c r="BJ836" s="233"/>
      <c r="BK836" s="233"/>
      <c r="BL836" s="233"/>
      <c r="BM836" s="233"/>
      <c r="BN836" s="233"/>
      <c r="BO836" s="233"/>
      <c r="BP836" s="233"/>
      <c r="BQ836" s="233"/>
      <c r="BR836" s="233"/>
      <c r="BS836" s="233"/>
      <c r="BT836" s="233"/>
      <c r="BU836" s="233"/>
      <c r="BV836" s="233"/>
      <c r="BW836" s="233"/>
      <c r="BX836" s="233"/>
      <c r="BY836" s="233"/>
      <c r="BZ836" s="233"/>
      <c r="CA836" s="233"/>
      <c r="CB836" s="233"/>
      <c r="CC836" s="233"/>
      <c r="CD836" s="233"/>
      <c r="CE836" s="233"/>
      <c r="CF836" s="233"/>
      <c r="CG836" s="233"/>
      <c r="CH836" s="233"/>
      <c r="CI836" s="233"/>
      <c r="CJ836" s="233"/>
      <c r="CK836" s="233"/>
      <c r="CL836" s="233"/>
      <c r="CM836" s="233"/>
      <c r="CN836" s="233"/>
      <c r="CO836" s="233"/>
      <c r="CP836" s="233"/>
      <c r="CQ836" s="233"/>
      <c r="CR836" s="233"/>
      <c r="CS836" s="233"/>
      <c r="CT836" s="233"/>
      <c r="CU836" s="233"/>
      <c r="CV836" s="233"/>
      <c r="CW836" s="233"/>
      <c r="CX836" s="233"/>
      <c r="CY836" s="233"/>
      <c r="CZ836" s="233"/>
      <c r="DA836" s="233"/>
      <c r="DB836" s="233"/>
      <c r="DC836" s="233"/>
      <c r="DD836" s="233"/>
      <c r="DE836" s="233"/>
      <c r="DF836" s="233"/>
      <c r="DG836" s="233"/>
      <c r="DH836" s="233"/>
      <c r="DI836" s="233"/>
      <c r="DJ836" s="233"/>
      <c r="DK836" s="233"/>
      <c r="DL836" s="233"/>
      <c r="DM836" s="233"/>
      <c r="DN836" s="233"/>
      <c r="DO836" s="233"/>
      <c r="DP836" s="233"/>
      <c r="DQ836" s="233"/>
      <c r="DR836" s="233"/>
      <c r="DS836" s="233"/>
      <c r="DT836" s="233"/>
      <c r="DU836" s="233"/>
      <c r="DV836" s="233"/>
      <c r="DW836" s="233"/>
      <c r="DX836" s="233"/>
      <c r="DY836" s="233"/>
      <c r="DZ836" s="233"/>
      <c r="EA836" s="233"/>
      <c r="EB836" s="233"/>
      <c r="EC836" s="233"/>
      <c r="ED836" s="233"/>
      <c r="EE836" s="233"/>
      <c r="EF836" s="233"/>
      <c r="EG836" s="233"/>
      <c r="EH836" s="233"/>
      <c r="EI836" s="233"/>
      <c r="EJ836" s="233"/>
      <c r="EK836" s="233"/>
      <c r="EL836" s="233"/>
      <c r="EM836" s="233"/>
      <c r="EN836" s="233"/>
      <c r="EO836" s="233"/>
      <c r="EP836" s="233"/>
    </row>
    <row r="837" spans="1:146" ht="14.25" x14ac:dyDescent="0.2">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row>
    <row r="838" spans="1:146" ht="14.25" x14ac:dyDescent="0.2">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row>
    <row r="839" spans="1:146" ht="14.25" x14ac:dyDescent="0.2">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row>
    <row r="840" spans="1:146" ht="14.25" x14ac:dyDescent="0.2">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row>
    <row r="841" spans="1:146" ht="14.25" x14ac:dyDescent="0.2">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c r="AV841" s="233"/>
      <c r="AW841" s="233"/>
      <c r="AX841" s="233"/>
      <c r="AY841" s="233"/>
      <c r="AZ841" s="233"/>
      <c r="BA841" s="233"/>
      <c r="BB841" s="233"/>
      <c r="BC841" s="233"/>
      <c r="BD841" s="233"/>
      <c r="BE841" s="233"/>
      <c r="BF841" s="233"/>
      <c r="BG841" s="233"/>
      <c r="BH841" s="233"/>
      <c r="BI841" s="233"/>
      <c r="BJ841" s="233"/>
      <c r="BK841" s="233"/>
      <c r="BL841" s="233"/>
      <c r="BM841" s="233"/>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33"/>
      <c r="CI841" s="233"/>
      <c r="CJ841" s="233"/>
      <c r="CK841" s="233"/>
      <c r="CL841" s="233"/>
      <c r="CM841" s="233"/>
      <c r="CN841" s="233"/>
      <c r="CO841" s="233"/>
      <c r="CP841" s="233"/>
      <c r="CQ841" s="233"/>
      <c r="CR841" s="233"/>
      <c r="CS841" s="233"/>
      <c r="CT841" s="233"/>
      <c r="CU841" s="233"/>
      <c r="CV841" s="233"/>
      <c r="CW841" s="233"/>
      <c r="CX841" s="233"/>
      <c r="CY841" s="233"/>
      <c r="CZ841" s="233"/>
      <c r="DA841" s="233"/>
      <c r="DB841" s="233"/>
      <c r="DC841" s="233"/>
      <c r="DD841" s="233"/>
      <c r="DE841" s="233"/>
      <c r="DF841" s="233"/>
      <c r="DG841" s="233"/>
      <c r="DH841" s="233"/>
      <c r="DI841" s="233"/>
      <c r="DJ841" s="233"/>
      <c r="DK841" s="233"/>
      <c r="DL841" s="233"/>
      <c r="DM841" s="233"/>
      <c r="DN841" s="233"/>
      <c r="DO841" s="233"/>
      <c r="DP841" s="233"/>
      <c r="DQ841" s="233"/>
      <c r="DR841" s="233"/>
      <c r="DS841" s="233"/>
      <c r="DT841" s="233"/>
      <c r="DU841" s="233"/>
      <c r="DV841" s="233"/>
      <c r="DW841" s="233"/>
      <c r="DX841" s="233"/>
      <c r="DY841" s="233"/>
      <c r="DZ841" s="233"/>
      <c r="EA841" s="233"/>
      <c r="EB841" s="233"/>
      <c r="EC841" s="233"/>
      <c r="ED841" s="233"/>
      <c r="EE841" s="233"/>
      <c r="EF841" s="233"/>
      <c r="EG841" s="233"/>
      <c r="EH841" s="233"/>
      <c r="EI841" s="233"/>
      <c r="EJ841" s="233"/>
      <c r="EK841" s="233"/>
      <c r="EL841" s="233"/>
      <c r="EM841" s="233"/>
      <c r="EN841" s="233"/>
      <c r="EO841" s="233"/>
      <c r="EP841" s="233"/>
    </row>
    <row r="842" spans="1:146" ht="14.25" x14ac:dyDescent="0.2">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233"/>
      <c r="AW842" s="233"/>
      <c r="AX842" s="233"/>
      <c r="AY842" s="233"/>
      <c r="AZ842" s="233"/>
      <c r="BA842" s="233"/>
      <c r="BB842" s="233"/>
      <c r="BC842" s="233"/>
      <c r="BD842" s="233"/>
      <c r="BE842" s="233"/>
      <c r="BF842" s="233"/>
      <c r="BG842" s="233"/>
      <c r="BH842" s="233"/>
      <c r="BI842" s="233"/>
      <c r="BJ842" s="233"/>
      <c r="BK842" s="233"/>
      <c r="BL842" s="233"/>
      <c r="BM842" s="233"/>
      <c r="BN842" s="233"/>
      <c r="BO842" s="233"/>
      <c r="BP842" s="233"/>
      <c r="BQ842" s="233"/>
      <c r="BR842" s="233"/>
      <c r="BS842" s="233"/>
      <c r="BT842" s="233"/>
      <c r="BU842" s="233"/>
      <c r="BV842" s="233"/>
      <c r="BW842" s="233"/>
      <c r="BX842" s="233"/>
      <c r="BY842" s="233"/>
      <c r="BZ842" s="233"/>
      <c r="CA842" s="233"/>
      <c r="CB842" s="233"/>
      <c r="CC842" s="233"/>
      <c r="CD842" s="233"/>
      <c r="CE842" s="233"/>
      <c r="CF842" s="233"/>
      <c r="CG842" s="233"/>
      <c r="CH842" s="233"/>
      <c r="CI842" s="233"/>
      <c r="CJ842" s="233"/>
      <c r="CK842" s="233"/>
      <c r="CL842" s="233"/>
      <c r="CM842" s="233"/>
      <c r="CN842" s="233"/>
      <c r="CO842" s="233"/>
      <c r="CP842" s="233"/>
      <c r="CQ842" s="233"/>
      <c r="CR842" s="233"/>
      <c r="CS842" s="233"/>
      <c r="CT842" s="233"/>
      <c r="CU842" s="233"/>
      <c r="CV842" s="233"/>
      <c r="CW842" s="233"/>
      <c r="CX842" s="233"/>
      <c r="CY842" s="233"/>
      <c r="CZ842" s="233"/>
      <c r="DA842" s="233"/>
      <c r="DB842" s="233"/>
      <c r="DC842" s="233"/>
      <c r="DD842" s="233"/>
      <c r="DE842" s="233"/>
      <c r="DF842" s="233"/>
      <c r="DG842" s="233"/>
      <c r="DH842" s="233"/>
      <c r="DI842" s="233"/>
      <c r="DJ842" s="233"/>
      <c r="DK842" s="233"/>
      <c r="DL842" s="233"/>
      <c r="DM842" s="233"/>
      <c r="DN842" s="233"/>
      <c r="DO842" s="233"/>
      <c r="DP842" s="233"/>
      <c r="DQ842" s="233"/>
      <c r="DR842" s="233"/>
      <c r="DS842" s="233"/>
      <c r="DT842" s="233"/>
      <c r="DU842" s="233"/>
      <c r="DV842" s="233"/>
      <c r="DW842" s="233"/>
      <c r="DX842" s="233"/>
      <c r="DY842" s="233"/>
      <c r="DZ842" s="233"/>
      <c r="EA842" s="233"/>
      <c r="EB842" s="233"/>
      <c r="EC842" s="233"/>
      <c r="ED842" s="233"/>
      <c r="EE842" s="233"/>
      <c r="EF842" s="233"/>
      <c r="EG842" s="233"/>
      <c r="EH842" s="233"/>
      <c r="EI842" s="233"/>
      <c r="EJ842" s="233"/>
      <c r="EK842" s="233"/>
      <c r="EL842" s="233"/>
      <c r="EM842" s="233"/>
      <c r="EN842" s="233"/>
      <c r="EO842" s="233"/>
      <c r="EP842" s="233"/>
    </row>
    <row r="843" spans="1:146" ht="14.25" x14ac:dyDescent="0.2">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c r="AW843" s="233"/>
      <c r="AX843" s="233"/>
      <c r="AY843" s="233"/>
      <c r="AZ843" s="233"/>
      <c r="BA843" s="233"/>
      <c r="BB843" s="233"/>
      <c r="BC843" s="233"/>
      <c r="BD843" s="233"/>
      <c r="BE843" s="233"/>
      <c r="BF843" s="233"/>
      <c r="BG843" s="233"/>
      <c r="BH843" s="233"/>
      <c r="BI843" s="233"/>
      <c r="BJ843" s="233"/>
      <c r="BK843" s="233"/>
      <c r="BL843" s="233"/>
      <c r="BM843" s="233"/>
      <c r="BN843" s="233"/>
      <c r="BO843" s="233"/>
      <c r="BP843" s="233"/>
      <c r="BQ843" s="233"/>
      <c r="BR843" s="233"/>
      <c r="BS843" s="233"/>
      <c r="BT843" s="233"/>
      <c r="BU843" s="233"/>
      <c r="BV843" s="233"/>
      <c r="BW843" s="233"/>
      <c r="BX843" s="233"/>
      <c r="BY843" s="233"/>
      <c r="BZ843" s="233"/>
      <c r="CA843" s="233"/>
      <c r="CB843" s="233"/>
      <c r="CC843" s="233"/>
      <c r="CD843" s="233"/>
      <c r="CE843" s="233"/>
      <c r="CF843" s="233"/>
      <c r="CG843" s="233"/>
      <c r="CH843" s="233"/>
      <c r="CI843" s="233"/>
      <c r="CJ843" s="233"/>
      <c r="CK843" s="233"/>
      <c r="CL843" s="233"/>
      <c r="CM843" s="233"/>
      <c r="CN843" s="233"/>
      <c r="CO843" s="233"/>
      <c r="CP843" s="233"/>
      <c r="CQ843" s="233"/>
      <c r="CR843" s="233"/>
      <c r="CS843" s="233"/>
      <c r="CT843" s="233"/>
      <c r="CU843" s="233"/>
      <c r="CV843" s="233"/>
      <c r="CW843" s="233"/>
      <c r="CX843" s="233"/>
      <c r="CY843" s="233"/>
      <c r="CZ843" s="233"/>
      <c r="DA843" s="233"/>
      <c r="DB843" s="233"/>
      <c r="DC843" s="233"/>
      <c r="DD843" s="233"/>
      <c r="DE843" s="233"/>
      <c r="DF843" s="233"/>
      <c r="DG843" s="233"/>
      <c r="DH843" s="233"/>
      <c r="DI843" s="233"/>
      <c r="DJ843" s="233"/>
      <c r="DK843" s="233"/>
      <c r="DL843" s="233"/>
      <c r="DM843" s="233"/>
      <c r="DN843" s="233"/>
      <c r="DO843" s="233"/>
      <c r="DP843" s="233"/>
      <c r="DQ843" s="233"/>
      <c r="DR843" s="233"/>
      <c r="DS843" s="233"/>
      <c r="DT843" s="233"/>
      <c r="DU843" s="233"/>
      <c r="DV843" s="233"/>
      <c r="DW843" s="233"/>
      <c r="DX843" s="233"/>
      <c r="DY843" s="233"/>
      <c r="DZ843" s="233"/>
      <c r="EA843" s="233"/>
      <c r="EB843" s="233"/>
      <c r="EC843" s="233"/>
      <c r="ED843" s="233"/>
      <c r="EE843" s="233"/>
      <c r="EF843" s="233"/>
      <c r="EG843" s="233"/>
      <c r="EH843" s="233"/>
      <c r="EI843" s="233"/>
      <c r="EJ843" s="233"/>
      <c r="EK843" s="233"/>
      <c r="EL843" s="233"/>
      <c r="EM843" s="233"/>
      <c r="EN843" s="233"/>
      <c r="EO843" s="233"/>
      <c r="EP843" s="233"/>
    </row>
    <row r="844" spans="1:146" ht="14.25" x14ac:dyDescent="0.2">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c r="AV844" s="233"/>
      <c r="AW844" s="233"/>
      <c r="AX844" s="233"/>
      <c r="AY844" s="233"/>
      <c r="AZ844" s="233"/>
      <c r="BA844" s="233"/>
      <c r="BB844" s="233"/>
      <c r="BC844" s="233"/>
      <c r="BD844" s="233"/>
      <c r="BE844" s="233"/>
      <c r="BF844" s="233"/>
      <c r="BG844" s="233"/>
      <c r="BH844" s="233"/>
      <c r="BI844" s="233"/>
      <c r="BJ844" s="233"/>
      <c r="BK844" s="233"/>
      <c r="BL844" s="233"/>
      <c r="BM844" s="233"/>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33"/>
      <c r="CI844" s="233"/>
      <c r="CJ844" s="233"/>
      <c r="CK844" s="233"/>
      <c r="CL844" s="233"/>
      <c r="CM844" s="233"/>
      <c r="CN844" s="233"/>
      <c r="CO844" s="233"/>
      <c r="CP844" s="233"/>
      <c r="CQ844" s="233"/>
      <c r="CR844" s="233"/>
      <c r="CS844" s="233"/>
      <c r="CT844" s="233"/>
      <c r="CU844" s="233"/>
      <c r="CV844" s="233"/>
      <c r="CW844" s="233"/>
      <c r="CX844" s="233"/>
      <c r="CY844" s="233"/>
      <c r="CZ844" s="233"/>
      <c r="DA844" s="233"/>
      <c r="DB844" s="233"/>
      <c r="DC844" s="233"/>
      <c r="DD844" s="233"/>
      <c r="DE844" s="233"/>
      <c r="DF844" s="233"/>
      <c r="DG844" s="233"/>
      <c r="DH844" s="233"/>
      <c r="DI844" s="233"/>
      <c r="DJ844" s="233"/>
      <c r="DK844" s="233"/>
      <c r="DL844" s="233"/>
      <c r="DM844" s="233"/>
      <c r="DN844" s="233"/>
      <c r="DO844" s="233"/>
      <c r="DP844" s="233"/>
      <c r="DQ844" s="233"/>
      <c r="DR844" s="233"/>
      <c r="DS844" s="233"/>
      <c r="DT844" s="233"/>
      <c r="DU844" s="233"/>
      <c r="DV844" s="233"/>
      <c r="DW844" s="233"/>
      <c r="DX844" s="233"/>
      <c r="DY844" s="233"/>
      <c r="DZ844" s="233"/>
      <c r="EA844" s="233"/>
      <c r="EB844" s="233"/>
      <c r="EC844" s="233"/>
      <c r="ED844" s="233"/>
      <c r="EE844" s="233"/>
      <c r="EF844" s="233"/>
      <c r="EG844" s="233"/>
      <c r="EH844" s="233"/>
      <c r="EI844" s="233"/>
      <c r="EJ844" s="233"/>
      <c r="EK844" s="233"/>
      <c r="EL844" s="233"/>
      <c r="EM844" s="233"/>
      <c r="EN844" s="233"/>
      <c r="EO844" s="233"/>
      <c r="EP844" s="233"/>
    </row>
    <row r="845" spans="1:146" ht="14.25" x14ac:dyDescent="0.2">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row>
    <row r="846" spans="1:146" ht="14.25" x14ac:dyDescent="0.2">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c r="AV846" s="233"/>
      <c r="AW846" s="233"/>
      <c r="AX846" s="233"/>
      <c r="AY846" s="233"/>
      <c r="AZ846" s="233"/>
      <c r="BA846" s="233"/>
      <c r="BB846" s="233"/>
      <c r="BC846" s="233"/>
      <c r="BD846" s="233"/>
      <c r="BE846" s="233"/>
      <c r="BF846" s="233"/>
      <c r="BG846" s="233"/>
      <c r="BH846" s="233"/>
      <c r="BI846" s="233"/>
      <c r="BJ846" s="233"/>
      <c r="BK846" s="233"/>
      <c r="BL846" s="233"/>
      <c r="BM846" s="233"/>
      <c r="BN846" s="233"/>
      <c r="BO846" s="233"/>
      <c r="BP846" s="233"/>
      <c r="BQ846" s="233"/>
      <c r="BR846" s="233"/>
      <c r="BS846" s="233"/>
      <c r="BT846" s="233"/>
      <c r="BU846" s="233"/>
      <c r="BV846" s="233"/>
      <c r="BW846" s="233"/>
      <c r="BX846" s="233"/>
      <c r="BY846" s="233"/>
      <c r="BZ846" s="233"/>
      <c r="CA846" s="233"/>
      <c r="CB846" s="233"/>
      <c r="CC846" s="233"/>
      <c r="CD846" s="233"/>
      <c r="CE846" s="233"/>
      <c r="CF846" s="233"/>
      <c r="CG846" s="233"/>
      <c r="CH846" s="233"/>
      <c r="CI846" s="233"/>
      <c r="CJ846" s="233"/>
      <c r="CK846" s="233"/>
      <c r="CL846" s="233"/>
      <c r="CM846" s="233"/>
      <c r="CN846" s="233"/>
      <c r="CO846" s="233"/>
      <c r="CP846" s="233"/>
      <c r="CQ846" s="233"/>
      <c r="CR846" s="233"/>
      <c r="CS846" s="233"/>
      <c r="CT846" s="233"/>
      <c r="CU846" s="233"/>
      <c r="CV846" s="233"/>
      <c r="CW846" s="233"/>
      <c r="CX846" s="233"/>
      <c r="CY846" s="233"/>
      <c r="CZ846" s="233"/>
      <c r="DA846" s="233"/>
      <c r="DB846" s="233"/>
      <c r="DC846" s="233"/>
      <c r="DD846" s="233"/>
      <c r="DE846" s="233"/>
      <c r="DF846" s="233"/>
      <c r="DG846" s="233"/>
      <c r="DH846" s="233"/>
      <c r="DI846" s="233"/>
      <c r="DJ846" s="233"/>
      <c r="DK846" s="233"/>
      <c r="DL846" s="233"/>
      <c r="DM846" s="233"/>
      <c r="DN846" s="233"/>
      <c r="DO846" s="233"/>
      <c r="DP846" s="233"/>
      <c r="DQ846" s="233"/>
      <c r="DR846" s="233"/>
      <c r="DS846" s="233"/>
      <c r="DT846" s="233"/>
      <c r="DU846" s="233"/>
      <c r="DV846" s="233"/>
      <c r="DW846" s="233"/>
      <c r="DX846" s="233"/>
      <c r="DY846" s="233"/>
      <c r="DZ846" s="233"/>
      <c r="EA846" s="233"/>
      <c r="EB846" s="233"/>
      <c r="EC846" s="233"/>
      <c r="ED846" s="233"/>
      <c r="EE846" s="233"/>
      <c r="EF846" s="233"/>
      <c r="EG846" s="233"/>
      <c r="EH846" s="233"/>
      <c r="EI846" s="233"/>
      <c r="EJ846" s="233"/>
      <c r="EK846" s="233"/>
      <c r="EL846" s="233"/>
      <c r="EM846" s="233"/>
      <c r="EN846" s="233"/>
      <c r="EO846" s="233"/>
      <c r="EP846" s="233"/>
    </row>
    <row r="847" spans="1:146" ht="14.25" x14ac:dyDescent="0.2">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c r="AV847" s="233"/>
      <c r="AW847" s="233"/>
      <c r="AX847" s="233"/>
      <c r="AY847" s="233"/>
      <c r="AZ847" s="233"/>
      <c r="BA847" s="233"/>
      <c r="BB847" s="233"/>
      <c r="BC847" s="233"/>
      <c r="BD847" s="233"/>
      <c r="BE847" s="233"/>
      <c r="BF847" s="233"/>
      <c r="BG847" s="233"/>
      <c r="BH847" s="233"/>
      <c r="BI847" s="233"/>
      <c r="BJ847" s="233"/>
      <c r="BK847" s="233"/>
      <c r="BL847" s="233"/>
      <c r="BM847" s="233"/>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33"/>
      <c r="CI847" s="233"/>
      <c r="CJ847" s="233"/>
      <c r="CK847" s="233"/>
      <c r="CL847" s="233"/>
      <c r="CM847" s="233"/>
      <c r="CN847" s="233"/>
      <c r="CO847" s="233"/>
      <c r="CP847" s="233"/>
      <c r="CQ847" s="233"/>
      <c r="CR847" s="233"/>
      <c r="CS847" s="233"/>
      <c r="CT847" s="233"/>
      <c r="CU847" s="233"/>
      <c r="CV847" s="233"/>
      <c r="CW847" s="233"/>
      <c r="CX847" s="233"/>
      <c r="CY847" s="233"/>
      <c r="CZ847" s="233"/>
      <c r="DA847" s="233"/>
      <c r="DB847" s="233"/>
      <c r="DC847" s="233"/>
      <c r="DD847" s="233"/>
      <c r="DE847" s="233"/>
      <c r="DF847" s="233"/>
      <c r="DG847" s="233"/>
      <c r="DH847" s="233"/>
      <c r="DI847" s="233"/>
      <c r="DJ847" s="233"/>
      <c r="DK847" s="233"/>
      <c r="DL847" s="233"/>
      <c r="DM847" s="233"/>
      <c r="DN847" s="233"/>
      <c r="DO847" s="233"/>
      <c r="DP847" s="233"/>
      <c r="DQ847" s="233"/>
      <c r="DR847" s="233"/>
      <c r="DS847" s="233"/>
      <c r="DT847" s="233"/>
      <c r="DU847" s="233"/>
      <c r="DV847" s="233"/>
      <c r="DW847" s="233"/>
      <c r="DX847" s="233"/>
      <c r="DY847" s="233"/>
      <c r="DZ847" s="233"/>
      <c r="EA847" s="233"/>
      <c r="EB847" s="233"/>
      <c r="EC847" s="233"/>
      <c r="ED847" s="233"/>
      <c r="EE847" s="233"/>
      <c r="EF847" s="233"/>
      <c r="EG847" s="233"/>
      <c r="EH847" s="233"/>
      <c r="EI847" s="233"/>
      <c r="EJ847" s="233"/>
      <c r="EK847" s="233"/>
      <c r="EL847" s="233"/>
      <c r="EM847" s="233"/>
      <c r="EN847" s="233"/>
      <c r="EO847" s="233"/>
      <c r="EP847" s="233"/>
    </row>
    <row r="848" spans="1:146" ht="14.25" x14ac:dyDescent="0.2">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c r="AV848" s="233"/>
      <c r="AW848" s="233"/>
      <c r="AX848" s="233"/>
      <c r="AY848" s="233"/>
      <c r="AZ848" s="233"/>
      <c r="BA848" s="233"/>
      <c r="BB848" s="233"/>
      <c r="BC848" s="233"/>
      <c r="BD848" s="233"/>
      <c r="BE848" s="233"/>
      <c r="BF848" s="233"/>
      <c r="BG848" s="233"/>
      <c r="BH848" s="233"/>
      <c r="BI848" s="233"/>
      <c r="BJ848" s="233"/>
      <c r="BK848" s="233"/>
      <c r="BL848" s="233"/>
      <c r="BM848" s="233"/>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33"/>
      <c r="CI848" s="233"/>
      <c r="CJ848" s="233"/>
      <c r="CK848" s="233"/>
      <c r="CL848" s="233"/>
      <c r="CM848" s="233"/>
      <c r="CN848" s="233"/>
      <c r="CO848" s="233"/>
      <c r="CP848" s="233"/>
      <c r="CQ848" s="233"/>
      <c r="CR848" s="233"/>
      <c r="CS848" s="233"/>
      <c r="CT848" s="233"/>
      <c r="CU848" s="233"/>
      <c r="CV848" s="233"/>
      <c r="CW848" s="233"/>
      <c r="CX848" s="233"/>
      <c r="CY848" s="233"/>
      <c r="CZ848" s="233"/>
      <c r="DA848" s="233"/>
      <c r="DB848" s="233"/>
      <c r="DC848" s="233"/>
      <c r="DD848" s="233"/>
      <c r="DE848" s="233"/>
      <c r="DF848" s="233"/>
      <c r="DG848" s="233"/>
      <c r="DH848" s="233"/>
      <c r="DI848" s="233"/>
      <c r="DJ848" s="233"/>
      <c r="DK848" s="233"/>
      <c r="DL848" s="233"/>
      <c r="DM848" s="233"/>
      <c r="DN848" s="233"/>
      <c r="DO848" s="233"/>
      <c r="DP848" s="233"/>
      <c r="DQ848" s="233"/>
      <c r="DR848" s="233"/>
      <c r="DS848" s="233"/>
      <c r="DT848" s="233"/>
      <c r="DU848" s="233"/>
      <c r="DV848" s="233"/>
      <c r="DW848" s="233"/>
      <c r="DX848" s="233"/>
      <c r="DY848" s="233"/>
      <c r="DZ848" s="233"/>
      <c r="EA848" s="233"/>
      <c r="EB848" s="233"/>
      <c r="EC848" s="233"/>
      <c r="ED848" s="233"/>
      <c r="EE848" s="233"/>
      <c r="EF848" s="233"/>
      <c r="EG848" s="233"/>
      <c r="EH848" s="233"/>
      <c r="EI848" s="233"/>
      <c r="EJ848" s="233"/>
      <c r="EK848" s="233"/>
      <c r="EL848" s="233"/>
      <c r="EM848" s="233"/>
      <c r="EN848" s="233"/>
      <c r="EO848" s="233"/>
      <c r="EP848" s="233"/>
    </row>
    <row r="849" spans="1:146" ht="14.25" x14ac:dyDescent="0.2">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c r="AV849" s="233"/>
      <c r="AW849" s="233"/>
      <c r="AX849" s="233"/>
      <c r="AY849" s="233"/>
      <c r="AZ849" s="233"/>
      <c r="BA849" s="233"/>
      <c r="BB849" s="233"/>
      <c r="BC849" s="233"/>
      <c r="BD849" s="233"/>
      <c r="BE849" s="233"/>
      <c r="BF849" s="233"/>
      <c r="BG849" s="233"/>
      <c r="BH849" s="233"/>
      <c r="BI849" s="233"/>
      <c r="BJ849" s="233"/>
      <c r="BK849" s="233"/>
      <c r="BL849" s="233"/>
      <c r="BM849" s="233"/>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33"/>
      <c r="CI849" s="233"/>
      <c r="CJ849" s="233"/>
      <c r="CK849" s="233"/>
      <c r="CL849" s="233"/>
      <c r="CM849" s="233"/>
      <c r="CN849" s="233"/>
      <c r="CO849" s="233"/>
      <c r="CP849" s="233"/>
      <c r="CQ849" s="233"/>
      <c r="CR849" s="233"/>
      <c r="CS849" s="233"/>
      <c r="CT849" s="233"/>
      <c r="CU849" s="233"/>
      <c r="CV849" s="233"/>
      <c r="CW849" s="233"/>
      <c r="CX849" s="233"/>
      <c r="CY849" s="233"/>
      <c r="CZ849" s="233"/>
      <c r="DA849" s="233"/>
      <c r="DB849" s="233"/>
      <c r="DC849" s="233"/>
      <c r="DD849" s="233"/>
      <c r="DE849" s="233"/>
      <c r="DF849" s="233"/>
      <c r="DG849" s="233"/>
      <c r="DH849" s="233"/>
      <c r="DI849" s="233"/>
      <c r="DJ849" s="233"/>
      <c r="DK849" s="233"/>
      <c r="DL849" s="233"/>
      <c r="DM849" s="233"/>
      <c r="DN849" s="233"/>
      <c r="DO849" s="233"/>
      <c r="DP849" s="233"/>
      <c r="DQ849" s="233"/>
      <c r="DR849" s="233"/>
      <c r="DS849" s="233"/>
      <c r="DT849" s="233"/>
      <c r="DU849" s="233"/>
      <c r="DV849" s="233"/>
      <c r="DW849" s="233"/>
      <c r="DX849" s="233"/>
      <c r="DY849" s="233"/>
      <c r="DZ849" s="233"/>
      <c r="EA849" s="233"/>
      <c r="EB849" s="233"/>
      <c r="EC849" s="233"/>
      <c r="ED849" s="233"/>
      <c r="EE849" s="233"/>
      <c r="EF849" s="233"/>
      <c r="EG849" s="233"/>
      <c r="EH849" s="233"/>
      <c r="EI849" s="233"/>
      <c r="EJ849" s="233"/>
      <c r="EK849" s="233"/>
      <c r="EL849" s="233"/>
      <c r="EM849" s="233"/>
      <c r="EN849" s="233"/>
      <c r="EO849" s="233"/>
      <c r="EP849" s="233"/>
    </row>
    <row r="850" spans="1:146" ht="14.25" x14ac:dyDescent="0.2">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c r="AW850" s="233"/>
      <c r="AX850" s="233"/>
      <c r="AY850" s="233"/>
      <c r="AZ850" s="233"/>
      <c r="BA850" s="233"/>
      <c r="BB850" s="233"/>
      <c r="BC850" s="233"/>
      <c r="BD850" s="233"/>
      <c r="BE850" s="233"/>
      <c r="BF850" s="233"/>
      <c r="BG850" s="233"/>
      <c r="BH850" s="233"/>
      <c r="BI850" s="233"/>
      <c r="BJ850" s="233"/>
      <c r="BK850" s="233"/>
      <c r="BL850" s="233"/>
      <c r="BM850" s="233"/>
      <c r="BN850" s="233"/>
      <c r="BO850" s="233"/>
      <c r="BP850" s="233"/>
      <c r="BQ850" s="233"/>
      <c r="BR850" s="233"/>
      <c r="BS850" s="233"/>
      <c r="BT850" s="233"/>
      <c r="BU850" s="233"/>
      <c r="BV850" s="233"/>
      <c r="BW850" s="233"/>
      <c r="BX850" s="233"/>
      <c r="BY850" s="233"/>
      <c r="BZ850" s="233"/>
      <c r="CA850" s="233"/>
      <c r="CB850" s="233"/>
      <c r="CC850" s="233"/>
      <c r="CD850" s="233"/>
      <c r="CE850" s="233"/>
      <c r="CF850" s="233"/>
      <c r="CG850" s="233"/>
      <c r="CH850" s="233"/>
      <c r="CI850" s="233"/>
      <c r="CJ850" s="233"/>
      <c r="CK850" s="233"/>
      <c r="CL850" s="233"/>
      <c r="CM850" s="233"/>
      <c r="CN850" s="233"/>
      <c r="CO850" s="233"/>
      <c r="CP850" s="233"/>
      <c r="CQ850" s="233"/>
      <c r="CR850" s="233"/>
      <c r="CS850" s="233"/>
      <c r="CT850" s="233"/>
      <c r="CU850" s="233"/>
      <c r="CV850" s="233"/>
      <c r="CW850" s="233"/>
      <c r="CX850" s="233"/>
      <c r="CY850" s="233"/>
      <c r="CZ850" s="233"/>
      <c r="DA850" s="233"/>
      <c r="DB850" s="233"/>
      <c r="DC850" s="233"/>
      <c r="DD850" s="233"/>
      <c r="DE850" s="233"/>
      <c r="DF850" s="233"/>
      <c r="DG850" s="233"/>
      <c r="DH850" s="233"/>
      <c r="DI850" s="233"/>
      <c r="DJ850" s="233"/>
      <c r="DK850" s="233"/>
      <c r="DL850" s="233"/>
      <c r="DM850" s="233"/>
      <c r="DN850" s="233"/>
      <c r="DO850" s="233"/>
      <c r="DP850" s="233"/>
      <c r="DQ850" s="233"/>
      <c r="DR850" s="233"/>
      <c r="DS850" s="233"/>
      <c r="DT850" s="233"/>
      <c r="DU850" s="233"/>
      <c r="DV850" s="233"/>
      <c r="DW850" s="233"/>
      <c r="DX850" s="233"/>
      <c r="DY850" s="233"/>
      <c r="DZ850" s="233"/>
      <c r="EA850" s="233"/>
      <c r="EB850" s="233"/>
      <c r="EC850" s="233"/>
      <c r="ED850" s="233"/>
      <c r="EE850" s="233"/>
      <c r="EF850" s="233"/>
      <c r="EG850" s="233"/>
      <c r="EH850" s="233"/>
      <c r="EI850" s="233"/>
      <c r="EJ850" s="233"/>
      <c r="EK850" s="233"/>
      <c r="EL850" s="233"/>
      <c r="EM850" s="233"/>
      <c r="EN850" s="233"/>
      <c r="EO850" s="233"/>
      <c r="EP850" s="233"/>
    </row>
    <row r="851" spans="1:146" ht="14.25" x14ac:dyDescent="0.2">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c r="AV851" s="233"/>
      <c r="AW851" s="233"/>
      <c r="AX851" s="233"/>
      <c r="AY851" s="233"/>
      <c r="AZ851" s="233"/>
      <c r="BA851" s="233"/>
      <c r="BB851" s="233"/>
      <c r="BC851" s="233"/>
      <c r="BD851" s="233"/>
      <c r="BE851" s="233"/>
      <c r="BF851" s="233"/>
      <c r="BG851" s="233"/>
      <c r="BH851" s="233"/>
      <c r="BI851" s="233"/>
      <c r="BJ851" s="233"/>
      <c r="BK851" s="233"/>
      <c r="BL851" s="233"/>
      <c r="BM851" s="233"/>
      <c r="BN851" s="233"/>
      <c r="BO851" s="233"/>
      <c r="BP851" s="233"/>
      <c r="BQ851" s="233"/>
      <c r="BR851" s="233"/>
      <c r="BS851" s="233"/>
      <c r="BT851" s="233"/>
      <c r="BU851" s="233"/>
      <c r="BV851" s="233"/>
      <c r="BW851" s="233"/>
      <c r="BX851" s="233"/>
      <c r="BY851" s="233"/>
      <c r="BZ851" s="233"/>
      <c r="CA851" s="233"/>
      <c r="CB851" s="233"/>
      <c r="CC851" s="233"/>
      <c r="CD851" s="233"/>
      <c r="CE851" s="233"/>
      <c r="CF851" s="233"/>
      <c r="CG851" s="233"/>
      <c r="CH851" s="233"/>
      <c r="CI851" s="233"/>
      <c r="CJ851" s="233"/>
      <c r="CK851" s="233"/>
      <c r="CL851" s="233"/>
      <c r="CM851" s="233"/>
      <c r="CN851" s="233"/>
      <c r="CO851" s="233"/>
      <c r="CP851" s="233"/>
      <c r="CQ851" s="233"/>
      <c r="CR851" s="233"/>
      <c r="CS851" s="233"/>
      <c r="CT851" s="233"/>
      <c r="CU851" s="233"/>
      <c r="CV851" s="233"/>
      <c r="CW851" s="233"/>
      <c r="CX851" s="233"/>
      <c r="CY851" s="233"/>
      <c r="CZ851" s="233"/>
      <c r="DA851" s="233"/>
      <c r="DB851" s="233"/>
      <c r="DC851" s="233"/>
      <c r="DD851" s="233"/>
      <c r="DE851" s="233"/>
      <c r="DF851" s="233"/>
      <c r="DG851" s="233"/>
      <c r="DH851" s="233"/>
      <c r="DI851" s="233"/>
      <c r="DJ851" s="233"/>
      <c r="DK851" s="233"/>
      <c r="DL851" s="233"/>
      <c r="DM851" s="233"/>
      <c r="DN851" s="233"/>
      <c r="DO851" s="233"/>
      <c r="DP851" s="233"/>
      <c r="DQ851" s="233"/>
      <c r="DR851" s="233"/>
      <c r="DS851" s="233"/>
      <c r="DT851" s="233"/>
      <c r="DU851" s="233"/>
      <c r="DV851" s="233"/>
      <c r="DW851" s="233"/>
      <c r="DX851" s="233"/>
      <c r="DY851" s="233"/>
      <c r="DZ851" s="233"/>
      <c r="EA851" s="233"/>
      <c r="EB851" s="233"/>
      <c r="EC851" s="233"/>
      <c r="ED851" s="233"/>
      <c r="EE851" s="233"/>
      <c r="EF851" s="233"/>
      <c r="EG851" s="233"/>
      <c r="EH851" s="233"/>
      <c r="EI851" s="233"/>
      <c r="EJ851" s="233"/>
      <c r="EK851" s="233"/>
      <c r="EL851" s="233"/>
      <c r="EM851" s="233"/>
      <c r="EN851" s="233"/>
      <c r="EO851" s="233"/>
      <c r="EP851" s="233"/>
    </row>
    <row r="852" spans="1:146" ht="14.25" x14ac:dyDescent="0.2">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33"/>
      <c r="BF852" s="233"/>
      <c r="BG852" s="233"/>
      <c r="BH852" s="233"/>
      <c r="BI852" s="233"/>
      <c r="BJ852" s="233"/>
      <c r="BK852" s="233"/>
      <c r="BL852" s="233"/>
      <c r="BM852" s="233"/>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33"/>
      <c r="CI852" s="233"/>
      <c r="CJ852" s="233"/>
      <c r="CK852" s="233"/>
      <c r="CL852" s="233"/>
      <c r="CM852" s="233"/>
      <c r="CN852" s="233"/>
      <c r="CO852" s="233"/>
      <c r="CP852" s="233"/>
      <c r="CQ852" s="233"/>
      <c r="CR852" s="233"/>
      <c r="CS852" s="233"/>
      <c r="CT852" s="233"/>
      <c r="CU852" s="233"/>
      <c r="CV852" s="233"/>
      <c r="CW852" s="233"/>
      <c r="CX852" s="233"/>
      <c r="CY852" s="233"/>
      <c r="CZ852" s="233"/>
      <c r="DA852" s="233"/>
      <c r="DB852" s="233"/>
      <c r="DC852" s="233"/>
      <c r="DD852" s="233"/>
      <c r="DE852" s="233"/>
      <c r="DF852" s="233"/>
      <c r="DG852" s="233"/>
      <c r="DH852" s="233"/>
      <c r="DI852" s="233"/>
      <c r="DJ852" s="233"/>
      <c r="DK852" s="233"/>
      <c r="DL852" s="233"/>
      <c r="DM852" s="233"/>
      <c r="DN852" s="233"/>
      <c r="DO852" s="233"/>
      <c r="DP852" s="233"/>
      <c r="DQ852" s="233"/>
      <c r="DR852" s="233"/>
      <c r="DS852" s="233"/>
      <c r="DT852" s="233"/>
      <c r="DU852" s="233"/>
      <c r="DV852" s="233"/>
      <c r="DW852" s="233"/>
      <c r="DX852" s="233"/>
      <c r="DY852" s="233"/>
      <c r="DZ852" s="233"/>
      <c r="EA852" s="233"/>
      <c r="EB852" s="233"/>
      <c r="EC852" s="233"/>
      <c r="ED852" s="233"/>
      <c r="EE852" s="233"/>
      <c r="EF852" s="233"/>
      <c r="EG852" s="233"/>
      <c r="EH852" s="233"/>
      <c r="EI852" s="233"/>
      <c r="EJ852" s="233"/>
      <c r="EK852" s="233"/>
      <c r="EL852" s="233"/>
      <c r="EM852" s="233"/>
      <c r="EN852" s="233"/>
      <c r="EO852" s="233"/>
      <c r="EP852" s="233"/>
    </row>
    <row r="853" spans="1:146" ht="14.25" x14ac:dyDescent="0.2">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33"/>
      <c r="BF853" s="233"/>
      <c r="BG853" s="233"/>
      <c r="BH853" s="233"/>
      <c r="BI853" s="233"/>
      <c r="BJ853" s="233"/>
      <c r="BK853" s="233"/>
      <c r="BL853" s="233"/>
      <c r="BM853" s="233"/>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33"/>
      <c r="CI853" s="233"/>
      <c r="CJ853" s="233"/>
      <c r="CK853" s="233"/>
      <c r="CL853" s="233"/>
      <c r="CM853" s="233"/>
      <c r="CN853" s="233"/>
      <c r="CO853" s="233"/>
      <c r="CP853" s="233"/>
      <c r="CQ853" s="233"/>
      <c r="CR853" s="233"/>
      <c r="CS853" s="233"/>
      <c r="CT853" s="233"/>
      <c r="CU853" s="233"/>
      <c r="CV853" s="233"/>
      <c r="CW853" s="233"/>
      <c r="CX853" s="233"/>
      <c r="CY853" s="233"/>
      <c r="CZ853" s="233"/>
      <c r="DA853" s="233"/>
      <c r="DB853" s="233"/>
      <c r="DC853" s="233"/>
      <c r="DD853" s="233"/>
      <c r="DE853" s="233"/>
      <c r="DF853" s="233"/>
      <c r="DG853" s="233"/>
      <c r="DH853" s="233"/>
      <c r="DI853" s="233"/>
      <c r="DJ853" s="233"/>
      <c r="DK853" s="233"/>
      <c r="DL853" s="233"/>
      <c r="DM853" s="233"/>
      <c r="DN853" s="233"/>
      <c r="DO853" s="233"/>
      <c r="DP853" s="233"/>
      <c r="DQ853" s="233"/>
      <c r="DR853" s="233"/>
      <c r="DS853" s="233"/>
      <c r="DT853" s="233"/>
      <c r="DU853" s="233"/>
      <c r="DV853" s="233"/>
      <c r="DW853" s="233"/>
      <c r="DX853" s="233"/>
      <c r="DY853" s="233"/>
      <c r="DZ853" s="233"/>
      <c r="EA853" s="233"/>
      <c r="EB853" s="233"/>
      <c r="EC853" s="233"/>
      <c r="ED853" s="233"/>
      <c r="EE853" s="233"/>
      <c r="EF853" s="233"/>
      <c r="EG853" s="233"/>
      <c r="EH853" s="233"/>
      <c r="EI853" s="233"/>
      <c r="EJ853" s="233"/>
      <c r="EK853" s="233"/>
      <c r="EL853" s="233"/>
      <c r="EM853" s="233"/>
      <c r="EN853" s="233"/>
      <c r="EO853" s="233"/>
      <c r="EP853" s="233"/>
    </row>
    <row r="854" spans="1:146" ht="14.25" x14ac:dyDescent="0.2">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33"/>
      <c r="BF854" s="233"/>
      <c r="BG854" s="233"/>
      <c r="BH854" s="233"/>
      <c r="BI854" s="233"/>
      <c r="BJ854" s="233"/>
      <c r="BK854" s="233"/>
      <c r="BL854" s="233"/>
      <c r="BM854" s="233"/>
      <c r="BN854" s="233"/>
      <c r="BO854" s="233"/>
      <c r="BP854" s="233"/>
      <c r="BQ854" s="233"/>
      <c r="BR854" s="233"/>
      <c r="BS854" s="233"/>
      <c r="BT854" s="233"/>
      <c r="BU854" s="233"/>
      <c r="BV854" s="233"/>
      <c r="BW854" s="233"/>
      <c r="BX854" s="233"/>
      <c r="BY854" s="233"/>
      <c r="BZ854" s="233"/>
      <c r="CA854" s="233"/>
      <c r="CB854" s="233"/>
      <c r="CC854" s="233"/>
      <c r="CD854" s="233"/>
      <c r="CE854" s="233"/>
      <c r="CF854" s="233"/>
      <c r="CG854" s="233"/>
      <c r="CH854" s="233"/>
      <c r="CI854" s="233"/>
      <c r="CJ854" s="233"/>
      <c r="CK854" s="233"/>
      <c r="CL854" s="233"/>
      <c r="CM854" s="233"/>
      <c r="CN854" s="233"/>
      <c r="CO854" s="233"/>
      <c r="CP854" s="233"/>
      <c r="CQ854" s="233"/>
      <c r="CR854" s="233"/>
      <c r="CS854" s="233"/>
      <c r="CT854" s="233"/>
      <c r="CU854" s="233"/>
      <c r="CV854" s="233"/>
      <c r="CW854" s="233"/>
      <c r="CX854" s="233"/>
      <c r="CY854" s="233"/>
      <c r="CZ854" s="233"/>
      <c r="DA854" s="233"/>
      <c r="DB854" s="233"/>
      <c r="DC854" s="233"/>
      <c r="DD854" s="233"/>
      <c r="DE854" s="233"/>
      <c r="DF854" s="233"/>
      <c r="DG854" s="233"/>
      <c r="DH854" s="233"/>
      <c r="DI854" s="233"/>
      <c r="DJ854" s="233"/>
      <c r="DK854" s="233"/>
      <c r="DL854" s="233"/>
      <c r="DM854" s="233"/>
      <c r="DN854" s="233"/>
      <c r="DO854" s="233"/>
      <c r="DP854" s="233"/>
      <c r="DQ854" s="233"/>
      <c r="DR854" s="233"/>
      <c r="DS854" s="233"/>
      <c r="DT854" s="233"/>
      <c r="DU854" s="233"/>
      <c r="DV854" s="233"/>
      <c r="DW854" s="233"/>
      <c r="DX854" s="233"/>
      <c r="DY854" s="233"/>
      <c r="DZ854" s="233"/>
      <c r="EA854" s="233"/>
      <c r="EB854" s="233"/>
      <c r="EC854" s="233"/>
      <c r="ED854" s="233"/>
      <c r="EE854" s="233"/>
      <c r="EF854" s="233"/>
      <c r="EG854" s="233"/>
      <c r="EH854" s="233"/>
      <c r="EI854" s="233"/>
      <c r="EJ854" s="233"/>
      <c r="EK854" s="233"/>
      <c r="EL854" s="233"/>
      <c r="EM854" s="233"/>
      <c r="EN854" s="233"/>
      <c r="EO854" s="233"/>
      <c r="EP854" s="233"/>
    </row>
    <row r="855" spans="1:146" ht="14.25" x14ac:dyDescent="0.2">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33"/>
      <c r="BF855" s="233"/>
      <c r="BG855" s="233"/>
      <c r="BH855" s="233"/>
      <c r="BI855" s="233"/>
      <c r="BJ855" s="233"/>
      <c r="BK855" s="233"/>
      <c r="BL855" s="233"/>
      <c r="BM855" s="233"/>
      <c r="BN855" s="233"/>
      <c r="BO855" s="233"/>
      <c r="BP855" s="233"/>
      <c r="BQ855" s="233"/>
      <c r="BR855" s="233"/>
      <c r="BS855" s="233"/>
      <c r="BT855" s="233"/>
      <c r="BU855" s="233"/>
      <c r="BV855" s="233"/>
      <c r="BW855" s="233"/>
      <c r="BX855" s="233"/>
      <c r="BY855" s="233"/>
      <c r="BZ855" s="233"/>
      <c r="CA855" s="233"/>
      <c r="CB855" s="233"/>
      <c r="CC855" s="233"/>
      <c r="CD855" s="233"/>
      <c r="CE855" s="233"/>
      <c r="CF855" s="233"/>
      <c r="CG855" s="233"/>
      <c r="CH855" s="233"/>
      <c r="CI855" s="233"/>
      <c r="CJ855" s="233"/>
      <c r="CK855" s="233"/>
      <c r="CL855" s="233"/>
      <c r="CM855" s="233"/>
      <c r="CN855" s="233"/>
      <c r="CO855" s="233"/>
      <c r="CP855" s="233"/>
      <c r="CQ855" s="233"/>
      <c r="CR855" s="233"/>
      <c r="CS855" s="233"/>
      <c r="CT855" s="233"/>
      <c r="CU855" s="233"/>
      <c r="CV855" s="233"/>
      <c r="CW855" s="233"/>
      <c r="CX855" s="233"/>
      <c r="CY855" s="233"/>
      <c r="CZ855" s="233"/>
      <c r="DA855" s="233"/>
      <c r="DB855" s="233"/>
      <c r="DC855" s="233"/>
      <c r="DD855" s="233"/>
      <c r="DE855" s="233"/>
      <c r="DF855" s="233"/>
      <c r="DG855" s="233"/>
      <c r="DH855" s="233"/>
      <c r="DI855" s="233"/>
      <c r="DJ855" s="233"/>
      <c r="DK855" s="233"/>
      <c r="DL855" s="233"/>
      <c r="DM855" s="233"/>
      <c r="DN855" s="233"/>
      <c r="DO855" s="233"/>
      <c r="DP855" s="233"/>
      <c r="DQ855" s="233"/>
      <c r="DR855" s="233"/>
      <c r="DS855" s="233"/>
      <c r="DT855" s="233"/>
      <c r="DU855" s="233"/>
      <c r="DV855" s="233"/>
      <c r="DW855" s="233"/>
      <c r="DX855" s="233"/>
      <c r="DY855" s="233"/>
      <c r="DZ855" s="233"/>
      <c r="EA855" s="233"/>
      <c r="EB855" s="233"/>
      <c r="EC855" s="233"/>
      <c r="ED855" s="233"/>
      <c r="EE855" s="233"/>
      <c r="EF855" s="233"/>
      <c r="EG855" s="233"/>
      <c r="EH855" s="233"/>
      <c r="EI855" s="233"/>
      <c r="EJ855" s="233"/>
      <c r="EK855" s="233"/>
      <c r="EL855" s="233"/>
      <c r="EM855" s="233"/>
      <c r="EN855" s="233"/>
      <c r="EO855" s="233"/>
      <c r="EP855" s="233"/>
    </row>
    <row r="856" spans="1:146" ht="14.25" x14ac:dyDescent="0.2">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33"/>
      <c r="BF856" s="233"/>
      <c r="BG856" s="233"/>
      <c r="BH856" s="233"/>
      <c r="BI856" s="233"/>
      <c r="BJ856" s="233"/>
      <c r="BK856" s="233"/>
      <c r="BL856" s="233"/>
      <c r="BM856" s="233"/>
      <c r="BN856" s="233"/>
      <c r="BO856" s="233"/>
      <c r="BP856" s="233"/>
      <c r="BQ856" s="233"/>
      <c r="BR856" s="233"/>
      <c r="BS856" s="233"/>
      <c r="BT856" s="233"/>
      <c r="BU856" s="233"/>
      <c r="BV856" s="233"/>
      <c r="BW856" s="233"/>
      <c r="BX856" s="233"/>
      <c r="BY856" s="233"/>
      <c r="BZ856" s="233"/>
      <c r="CA856" s="233"/>
      <c r="CB856" s="233"/>
      <c r="CC856" s="233"/>
      <c r="CD856" s="233"/>
      <c r="CE856" s="233"/>
      <c r="CF856" s="233"/>
      <c r="CG856" s="233"/>
      <c r="CH856" s="233"/>
      <c r="CI856" s="233"/>
      <c r="CJ856" s="233"/>
      <c r="CK856" s="233"/>
      <c r="CL856" s="233"/>
      <c r="CM856" s="233"/>
      <c r="CN856" s="233"/>
      <c r="CO856" s="233"/>
      <c r="CP856" s="233"/>
      <c r="CQ856" s="233"/>
      <c r="CR856" s="233"/>
      <c r="CS856" s="233"/>
      <c r="CT856" s="233"/>
      <c r="CU856" s="233"/>
      <c r="CV856" s="233"/>
      <c r="CW856" s="233"/>
      <c r="CX856" s="233"/>
      <c r="CY856" s="233"/>
      <c r="CZ856" s="233"/>
      <c r="DA856" s="233"/>
      <c r="DB856" s="233"/>
      <c r="DC856" s="233"/>
      <c r="DD856" s="233"/>
      <c r="DE856" s="233"/>
      <c r="DF856" s="233"/>
      <c r="DG856" s="233"/>
      <c r="DH856" s="233"/>
      <c r="DI856" s="233"/>
      <c r="DJ856" s="233"/>
      <c r="DK856" s="233"/>
      <c r="DL856" s="233"/>
      <c r="DM856" s="233"/>
      <c r="DN856" s="233"/>
      <c r="DO856" s="233"/>
      <c r="DP856" s="233"/>
      <c r="DQ856" s="233"/>
      <c r="DR856" s="233"/>
      <c r="DS856" s="233"/>
      <c r="DT856" s="233"/>
      <c r="DU856" s="233"/>
      <c r="DV856" s="233"/>
      <c r="DW856" s="233"/>
      <c r="DX856" s="233"/>
      <c r="DY856" s="233"/>
      <c r="DZ856" s="233"/>
      <c r="EA856" s="233"/>
      <c r="EB856" s="233"/>
      <c r="EC856" s="233"/>
      <c r="ED856" s="233"/>
      <c r="EE856" s="233"/>
      <c r="EF856" s="233"/>
      <c r="EG856" s="233"/>
      <c r="EH856" s="233"/>
      <c r="EI856" s="233"/>
      <c r="EJ856" s="233"/>
      <c r="EK856" s="233"/>
      <c r="EL856" s="233"/>
      <c r="EM856" s="233"/>
      <c r="EN856" s="233"/>
      <c r="EO856" s="233"/>
      <c r="EP856" s="233"/>
    </row>
    <row r="857" spans="1:146" ht="14.25" x14ac:dyDescent="0.2">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33"/>
      <c r="BF857" s="233"/>
      <c r="BG857" s="233"/>
      <c r="BH857" s="233"/>
      <c r="BI857" s="233"/>
      <c r="BJ857" s="233"/>
      <c r="BK857" s="233"/>
      <c r="BL857" s="233"/>
      <c r="BM857" s="233"/>
      <c r="BN857" s="233"/>
      <c r="BO857" s="233"/>
      <c r="BP857" s="233"/>
      <c r="BQ857" s="233"/>
      <c r="BR857" s="233"/>
      <c r="BS857" s="233"/>
      <c r="BT857" s="233"/>
      <c r="BU857" s="233"/>
      <c r="BV857" s="233"/>
      <c r="BW857" s="233"/>
      <c r="BX857" s="233"/>
      <c r="BY857" s="233"/>
      <c r="BZ857" s="233"/>
      <c r="CA857" s="233"/>
      <c r="CB857" s="233"/>
      <c r="CC857" s="233"/>
      <c r="CD857" s="233"/>
      <c r="CE857" s="233"/>
      <c r="CF857" s="233"/>
      <c r="CG857" s="233"/>
      <c r="CH857" s="233"/>
      <c r="CI857" s="233"/>
      <c r="CJ857" s="233"/>
      <c r="CK857" s="233"/>
      <c r="CL857" s="233"/>
      <c r="CM857" s="233"/>
      <c r="CN857" s="233"/>
      <c r="CO857" s="233"/>
      <c r="CP857" s="233"/>
      <c r="CQ857" s="233"/>
      <c r="CR857" s="233"/>
      <c r="CS857" s="233"/>
      <c r="CT857" s="233"/>
      <c r="CU857" s="233"/>
      <c r="CV857" s="233"/>
      <c r="CW857" s="233"/>
      <c r="CX857" s="233"/>
      <c r="CY857" s="233"/>
      <c r="CZ857" s="233"/>
      <c r="DA857" s="233"/>
      <c r="DB857" s="233"/>
      <c r="DC857" s="233"/>
      <c r="DD857" s="233"/>
      <c r="DE857" s="233"/>
      <c r="DF857" s="233"/>
      <c r="DG857" s="233"/>
      <c r="DH857" s="233"/>
      <c r="DI857" s="233"/>
      <c r="DJ857" s="233"/>
      <c r="DK857" s="233"/>
      <c r="DL857" s="233"/>
      <c r="DM857" s="233"/>
      <c r="DN857" s="233"/>
      <c r="DO857" s="233"/>
      <c r="DP857" s="233"/>
      <c r="DQ857" s="233"/>
      <c r="DR857" s="233"/>
      <c r="DS857" s="233"/>
      <c r="DT857" s="233"/>
      <c r="DU857" s="233"/>
      <c r="DV857" s="233"/>
      <c r="DW857" s="233"/>
      <c r="DX857" s="233"/>
      <c r="DY857" s="233"/>
      <c r="DZ857" s="233"/>
      <c r="EA857" s="233"/>
      <c r="EB857" s="233"/>
      <c r="EC857" s="233"/>
      <c r="ED857" s="233"/>
      <c r="EE857" s="233"/>
      <c r="EF857" s="233"/>
      <c r="EG857" s="233"/>
      <c r="EH857" s="233"/>
      <c r="EI857" s="233"/>
      <c r="EJ857" s="233"/>
      <c r="EK857" s="233"/>
      <c r="EL857" s="233"/>
      <c r="EM857" s="233"/>
      <c r="EN857" s="233"/>
      <c r="EO857" s="233"/>
      <c r="EP857" s="233"/>
    </row>
    <row r="858" spans="1:146" ht="14.25" x14ac:dyDescent="0.2">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c r="AV858" s="233"/>
      <c r="AW858" s="233"/>
      <c r="AX858" s="233"/>
      <c r="AY858" s="233"/>
      <c r="AZ858" s="233"/>
      <c r="BA858" s="233"/>
      <c r="BB858" s="233"/>
      <c r="BC858" s="233"/>
      <c r="BD858" s="233"/>
      <c r="BE858" s="233"/>
      <c r="BF858" s="233"/>
      <c r="BG858" s="233"/>
      <c r="BH858" s="233"/>
      <c r="BI858" s="233"/>
      <c r="BJ858" s="233"/>
      <c r="BK858" s="233"/>
      <c r="BL858" s="233"/>
      <c r="BM858" s="233"/>
      <c r="BN858" s="233"/>
      <c r="BO858" s="233"/>
      <c r="BP858" s="233"/>
      <c r="BQ858" s="233"/>
      <c r="BR858" s="233"/>
      <c r="BS858" s="233"/>
      <c r="BT858" s="233"/>
      <c r="BU858" s="233"/>
      <c r="BV858" s="233"/>
      <c r="BW858" s="233"/>
      <c r="BX858" s="233"/>
      <c r="BY858" s="233"/>
      <c r="BZ858" s="233"/>
      <c r="CA858" s="233"/>
      <c r="CB858" s="233"/>
      <c r="CC858" s="233"/>
      <c r="CD858" s="233"/>
      <c r="CE858" s="233"/>
      <c r="CF858" s="233"/>
      <c r="CG858" s="233"/>
      <c r="CH858" s="233"/>
      <c r="CI858" s="233"/>
      <c r="CJ858" s="233"/>
      <c r="CK858" s="233"/>
      <c r="CL858" s="233"/>
      <c r="CM858" s="233"/>
      <c r="CN858" s="233"/>
      <c r="CO858" s="233"/>
      <c r="CP858" s="233"/>
      <c r="CQ858" s="233"/>
      <c r="CR858" s="233"/>
      <c r="CS858" s="233"/>
      <c r="CT858" s="233"/>
      <c r="CU858" s="233"/>
      <c r="CV858" s="233"/>
      <c r="CW858" s="233"/>
      <c r="CX858" s="233"/>
      <c r="CY858" s="233"/>
      <c r="CZ858" s="233"/>
      <c r="DA858" s="233"/>
      <c r="DB858" s="233"/>
      <c r="DC858" s="233"/>
      <c r="DD858" s="233"/>
      <c r="DE858" s="233"/>
      <c r="DF858" s="233"/>
      <c r="DG858" s="233"/>
      <c r="DH858" s="233"/>
      <c r="DI858" s="233"/>
      <c r="DJ858" s="233"/>
      <c r="DK858" s="233"/>
      <c r="DL858" s="233"/>
      <c r="DM858" s="233"/>
      <c r="DN858" s="233"/>
      <c r="DO858" s="233"/>
      <c r="DP858" s="233"/>
      <c r="DQ858" s="233"/>
      <c r="DR858" s="233"/>
      <c r="DS858" s="233"/>
      <c r="DT858" s="233"/>
      <c r="DU858" s="233"/>
      <c r="DV858" s="233"/>
      <c r="DW858" s="233"/>
      <c r="DX858" s="233"/>
      <c r="DY858" s="233"/>
      <c r="DZ858" s="233"/>
      <c r="EA858" s="233"/>
      <c r="EB858" s="233"/>
      <c r="EC858" s="233"/>
      <c r="ED858" s="233"/>
      <c r="EE858" s="233"/>
      <c r="EF858" s="233"/>
      <c r="EG858" s="233"/>
      <c r="EH858" s="233"/>
      <c r="EI858" s="233"/>
      <c r="EJ858" s="233"/>
      <c r="EK858" s="233"/>
      <c r="EL858" s="233"/>
      <c r="EM858" s="233"/>
      <c r="EN858" s="233"/>
      <c r="EO858" s="233"/>
      <c r="EP858" s="233"/>
    </row>
    <row r="859" spans="1:146" ht="14.25" x14ac:dyDescent="0.2">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c r="AS859" s="233"/>
      <c r="AT859" s="233"/>
      <c r="AU859" s="233"/>
      <c r="AV859" s="233"/>
      <c r="AW859" s="233"/>
      <c r="AX859" s="233"/>
      <c r="AY859" s="233"/>
      <c r="AZ859" s="233"/>
      <c r="BA859" s="233"/>
      <c r="BB859" s="233"/>
      <c r="BC859" s="233"/>
      <c r="BD859" s="233"/>
      <c r="BE859" s="233"/>
      <c r="BF859" s="233"/>
      <c r="BG859" s="233"/>
      <c r="BH859" s="233"/>
      <c r="BI859" s="233"/>
      <c r="BJ859" s="233"/>
      <c r="BK859" s="233"/>
      <c r="BL859" s="233"/>
      <c r="BM859" s="233"/>
      <c r="BN859" s="233"/>
      <c r="BO859" s="233"/>
      <c r="BP859" s="233"/>
      <c r="BQ859" s="233"/>
      <c r="BR859" s="233"/>
      <c r="BS859" s="233"/>
      <c r="BT859" s="233"/>
      <c r="BU859" s="233"/>
      <c r="BV859" s="233"/>
      <c r="BW859" s="233"/>
      <c r="BX859" s="233"/>
      <c r="BY859" s="233"/>
      <c r="BZ859" s="233"/>
      <c r="CA859" s="233"/>
      <c r="CB859" s="233"/>
      <c r="CC859" s="233"/>
      <c r="CD859" s="233"/>
      <c r="CE859" s="233"/>
      <c r="CF859" s="233"/>
      <c r="CG859" s="233"/>
      <c r="CH859" s="233"/>
      <c r="CI859" s="233"/>
      <c r="CJ859" s="233"/>
      <c r="CK859" s="233"/>
      <c r="CL859" s="233"/>
      <c r="CM859" s="233"/>
      <c r="CN859" s="233"/>
      <c r="CO859" s="233"/>
      <c r="CP859" s="233"/>
      <c r="CQ859" s="233"/>
      <c r="CR859" s="233"/>
      <c r="CS859" s="233"/>
      <c r="CT859" s="233"/>
      <c r="CU859" s="233"/>
      <c r="CV859" s="233"/>
      <c r="CW859" s="233"/>
      <c r="CX859" s="233"/>
      <c r="CY859" s="233"/>
      <c r="CZ859" s="233"/>
      <c r="DA859" s="233"/>
      <c r="DB859" s="233"/>
      <c r="DC859" s="233"/>
      <c r="DD859" s="233"/>
      <c r="DE859" s="233"/>
      <c r="DF859" s="233"/>
      <c r="DG859" s="233"/>
      <c r="DH859" s="233"/>
      <c r="DI859" s="233"/>
      <c r="DJ859" s="233"/>
      <c r="DK859" s="233"/>
      <c r="DL859" s="233"/>
      <c r="DM859" s="233"/>
      <c r="DN859" s="233"/>
      <c r="DO859" s="233"/>
      <c r="DP859" s="233"/>
      <c r="DQ859" s="233"/>
      <c r="DR859" s="233"/>
      <c r="DS859" s="233"/>
      <c r="DT859" s="233"/>
      <c r="DU859" s="233"/>
      <c r="DV859" s="233"/>
      <c r="DW859" s="233"/>
      <c r="DX859" s="233"/>
      <c r="DY859" s="233"/>
      <c r="DZ859" s="233"/>
      <c r="EA859" s="233"/>
      <c r="EB859" s="233"/>
      <c r="EC859" s="233"/>
      <c r="ED859" s="233"/>
      <c r="EE859" s="233"/>
      <c r="EF859" s="233"/>
      <c r="EG859" s="233"/>
      <c r="EH859" s="233"/>
      <c r="EI859" s="233"/>
      <c r="EJ859" s="233"/>
      <c r="EK859" s="233"/>
      <c r="EL859" s="233"/>
      <c r="EM859" s="233"/>
      <c r="EN859" s="233"/>
      <c r="EO859" s="233"/>
      <c r="EP859" s="233"/>
    </row>
    <row r="860" spans="1:146" ht="14.25" x14ac:dyDescent="0.2">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33"/>
      <c r="CI860" s="233"/>
      <c r="CJ860" s="233"/>
      <c r="CK860" s="233"/>
      <c r="CL860" s="233"/>
      <c r="CM860" s="233"/>
      <c r="CN860" s="233"/>
      <c r="CO860" s="233"/>
      <c r="CP860" s="233"/>
      <c r="CQ860" s="233"/>
      <c r="CR860" s="233"/>
      <c r="CS860" s="233"/>
      <c r="CT860" s="233"/>
      <c r="CU860" s="233"/>
      <c r="CV860" s="233"/>
      <c r="CW860" s="233"/>
      <c r="CX860" s="233"/>
      <c r="CY860" s="233"/>
      <c r="CZ860" s="233"/>
      <c r="DA860" s="233"/>
      <c r="DB860" s="233"/>
      <c r="DC860" s="233"/>
      <c r="DD860" s="233"/>
      <c r="DE860" s="233"/>
      <c r="DF860" s="233"/>
      <c r="DG860" s="233"/>
      <c r="DH860" s="233"/>
      <c r="DI860" s="233"/>
      <c r="DJ860" s="233"/>
      <c r="DK860" s="233"/>
      <c r="DL860" s="233"/>
      <c r="DM860" s="233"/>
      <c r="DN860" s="233"/>
      <c r="DO860" s="233"/>
      <c r="DP860" s="233"/>
      <c r="DQ860" s="233"/>
      <c r="DR860" s="233"/>
      <c r="DS860" s="233"/>
      <c r="DT860" s="233"/>
      <c r="DU860" s="233"/>
      <c r="DV860" s="233"/>
      <c r="DW860" s="233"/>
      <c r="DX860" s="233"/>
      <c r="DY860" s="233"/>
      <c r="DZ860" s="233"/>
      <c r="EA860" s="233"/>
      <c r="EB860" s="233"/>
      <c r="EC860" s="233"/>
      <c r="ED860" s="233"/>
      <c r="EE860" s="233"/>
      <c r="EF860" s="233"/>
      <c r="EG860" s="233"/>
      <c r="EH860" s="233"/>
      <c r="EI860" s="233"/>
      <c r="EJ860" s="233"/>
      <c r="EK860" s="233"/>
      <c r="EL860" s="233"/>
      <c r="EM860" s="233"/>
      <c r="EN860" s="233"/>
      <c r="EO860" s="233"/>
      <c r="EP860" s="233"/>
    </row>
    <row r="861" spans="1:146" ht="14.25" x14ac:dyDescent="0.2">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c r="AW861" s="233"/>
      <c r="AX861" s="233"/>
      <c r="AY861" s="233"/>
      <c r="AZ861" s="233"/>
      <c r="BA861" s="233"/>
      <c r="BB861" s="233"/>
      <c r="BC861" s="233"/>
      <c r="BD861" s="233"/>
      <c r="BE861" s="233"/>
      <c r="BF861" s="233"/>
      <c r="BG861" s="233"/>
      <c r="BH861" s="233"/>
      <c r="BI861" s="233"/>
      <c r="BJ861" s="233"/>
      <c r="BK861" s="233"/>
      <c r="BL861" s="233"/>
      <c r="BM861" s="233"/>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33"/>
      <c r="CI861" s="233"/>
      <c r="CJ861" s="233"/>
      <c r="CK861" s="233"/>
      <c r="CL861" s="233"/>
      <c r="CM861" s="233"/>
      <c r="CN861" s="233"/>
      <c r="CO861" s="233"/>
      <c r="CP861" s="233"/>
      <c r="CQ861" s="233"/>
      <c r="CR861" s="233"/>
      <c r="CS861" s="233"/>
      <c r="CT861" s="233"/>
      <c r="CU861" s="233"/>
      <c r="CV861" s="233"/>
      <c r="CW861" s="233"/>
      <c r="CX861" s="233"/>
      <c r="CY861" s="233"/>
      <c r="CZ861" s="233"/>
      <c r="DA861" s="233"/>
      <c r="DB861" s="233"/>
      <c r="DC861" s="233"/>
      <c r="DD861" s="233"/>
      <c r="DE861" s="233"/>
      <c r="DF861" s="233"/>
      <c r="DG861" s="233"/>
      <c r="DH861" s="233"/>
      <c r="DI861" s="233"/>
      <c r="DJ861" s="233"/>
      <c r="DK861" s="233"/>
      <c r="DL861" s="233"/>
      <c r="DM861" s="233"/>
      <c r="DN861" s="233"/>
      <c r="DO861" s="233"/>
      <c r="DP861" s="233"/>
      <c r="DQ861" s="233"/>
      <c r="DR861" s="233"/>
      <c r="DS861" s="233"/>
      <c r="DT861" s="233"/>
      <c r="DU861" s="233"/>
      <c r="DV861" s="233"/>
      <c r="DW861" s="233"/>
      <c r="DX861" s="233"/>
      <c r="DY861" s="233"/>
      <c r="DZ861" s="233"/>
      <c r="EA861" s="233"/>
      <c r="EB861" s="233"/>
      <c r="EC861" s="233"/>
      <c r="ED861" s="233"/>
      <c r="EE861" s="233"/>
      <c r="EF861" s="233"/>
      <c r="EG861" s="233"/>
      <c r="EH861" s="233"/>
      <c r="EI861" s="233"/>
      <c r="EJ861" s="233"/>
      <c r="EK861" s="233"/>
      <c r="EL861" s="233"/>
      <c r="EM861" s="233"/>
      <c r="EN861" s="233"/>
      <c r="EO861" s="233"/>
      <c r="EP861" s="233"/>
    </row>
    <row r="862" spans="1:146" ht="14.25" x14ac:dyDescent="0.2">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c r="AV862" s="233"/>
      <c r="AW862" s="233"/>
      <c r="AX862" s="233"/>
      <c r="AY862" s="233"/>
      <c r="AZ862" s="233"/>
      <c r="BA862" s="233"/>
      <c r="BB862" s="233"/>
      <c r="BC862" s="233"/>
      <c r="BD862" s="233"/>
      <c r="BE862" s="233"/>
      <c r="BF862" s="233"/>
      <c r="BG862" s="233"/>
      <c r="BH862" s="233"/>
      <c r="BI862" s="233"/>
      <c r="BJ862" s="233"/>
      <c r="BK862" s="233"/>
      <c r="BL862" s="233"/>
      <c r="BM862" s="233"/>
      <c r="BN862" s="233"/>
      <c r="BO862" s="233"/>
      <c r="BP862" s="233"/>
      <c r="BQ862" s="233"/>
      <c r="BR862" s="233"/>
      <c r="BS862" s="233"/>
      <c r="BT862" s="233"/>
      <c r="BU862" s="233"/>
      <c r="BV862" s="233"/>
      <c r="BW862" s="233"/>
      <c r="BX862" s="233"/>
      <c r="BY862" s="233"/>
      <c r="BZ862" s="233"/>
      <c r="CA862" s="233"/>
      <c r="CB862" s="233"/>
      <c r="CC862" s="233"/>
      <c r="CD862" s="233"/>
      <c r="CE862" s="233"/>
      <c r="CF862" s="233"/>
      <c r="CG862" s="233"/>
      <c r="CH862" s="233"/>
      <c r="CI862" s="233"/>
      <c r="CJ862" s="233"/>
      <c r="CK862" s="233"/>
      <c r="CL862" s="233"/>
      <c r="CM862" s="233"/>
      <c r="CN862" s="233"/>
      <c r="CO862" s="233"/>
      <c r="CP862" s="233"/>
      <c r="CQ862" s="233"/>
      <c r="CR862" s="233"/>
      <c r="CS862" s="233"/>
      <c r="CT862" s="233"/>
      <c r="CU862" s="233"/>
      <c r="CV862" s="233"/>
      <c r="CW862" s="233"/>
      <c r="CX862" s="233"/>
      <c r="CY862" s="233"/>
      <c r="CZ862" s="233"/>
      <c r="DA862" s="233"/>
      <c r="DB862" s="233"/>
      <c r="DC862" s="233"/>
      <c r="DD862" s="233"/>
      <c r="DE862" s="233"/>
      <c r="DF862" s="233"/>
      <c r="DG862" s="233"/>
      <c r="DH862" s="233"/>
      <c r="DI862" s="233"/>
      <c r="DJ862" s="233"/>
      <c r="DK862" s="233"/>
      <c r="DL862" s="233"/>
      <c r="DM862" s="233"/>
      <c r="DN862" s="233"/>
      <c r="DO862" s="233"/>
      <c r="DP862" s="233"/>
      <c r="DQ862" s="233"/>
      <c r="DR862" s="233"/>
      <c r="DS862" s="233"/>
      <c r="DT862" s="233"/>
      <c r="DU862" s="233"/>
      <c r="DV862" s="233"/>
      <c r="DW862" s="233"/>
      <c r="DX862" s="233"/>
      <c r="DY862" s="233"/>
      <c r="DZ862" s="233"/>
      <c r="EA862" s="233"/>
      <c r="EB862" s="233"/>
      <c r="EC862" s="233"/>
      <c r="ED862" s="233"/>
      <c r="EE862" s="233"/>
      <c r="EF862" s="233"/>
      <c r="EG862" s="233"/>
      <c r="EH862" s="233"/>
      <c r="EI862" s="233"/>
      <c r="EJ862" s="233"/>
      <c r="EK862" s="233"/>
      <c r="EL862" s="233"/>
      <c r="EM862" s="233"/>
      <c r="EN862" s="233"/>
      <c r="EO862" s="233"/>
      <c r="EP862" s="233"/>
    </row>
    <row r="863" spans="1:146" ht="14.25" x14ac:dyDescent="0.2">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233"/>
      <c r="CD863" s="233"/>
      <c r="CE863" s="233"/>
      <c r="CF863" s="233"/>
      <c r="CG863" s="233"/>
      <c r="CH863" s="233"/>
      <c r="CI863" s="233"/>
      <c r="CJ863" s="233"/>
      <c r="CK863" s="233"/>
      <c r="CL863" s="233"/>
      <c r="CM863" s="233"/>
      <c r="CN863" s="233"/>
      <c r="CO863" s="233"/>
      <c r="CP863" s="233"/>
      <c r="CQ863" s="233"/>
      <c r="CR863" s="233"/>
      <c r="CS863" s="233"/>
      <c r="CT863" s="233"/>
      <c r="CU863" s="233"/>
      <c r="CV863" s="233"/>
      <c r="CW863" s="233"/>
      <c r="CX863" s="233"/>
      <c r="CY863" s="233"/>
      <c r="CZ863" s="233"/>
      <c r="DA863" s="233"/>
      <c r="DB863" s="233"/>
      <c r="DC863" s="233"/>
      <c r="DD863" s="233"/>
      <c r="DE863" s="233"/>
      <c r="DF863" s="233"/>
      <c r="DG863" s="233"/>
      <c r="DH863" s="233"/>
      <c r="DI863" s="233"/>
      <c r="DJ863" s="233"/>
      <c r="DK863" s="233"/>
      <c r="DL863" s="233"/>
      <c r="DM863" s="233"/>
      <c r="DN863" s="233"/>
      <c r="DO863" s="233"/>
      <c r="DP863" s="233"/>
      <c r="DQ863" s="233"/>
      <c r="DR863" s="233"/>
      <c r="DS863" s="233"/>
      <c r="DT863" s="233"/>
      <c r="DU863" s="233"/>
      <c r="DV863" s="233"/>
      <c r="DW863" s="233"/>
      <c r="DX863" s="233"/>
      <c r="DY863" s="233"/>
      <c r="DZ863" s="233"/>
      <c r="EA863" s="233"/>
      <c r="EB863" s="233"/>
      <c r="EC863" s="233"/>
      <c r="ED863" s="233"/>
      <c r="EE863" s="233"/>
      <c r="EF863" s="233"/>
      <c r="EG863" s="233"/>
      <c r="EH863" s="233"/>
      <c r="EI863" s="233"/>
      <c r="EJ863" s="233"/>
      <c r="EK863" s="233"/>
      <c r="EL863" s="233"/>
      <c r="EM863" s="233"/>
      <c r="EN863" s="233"/>
      <c r="EO863" s="233"/>
      <c r="EP863" s="233"/>
    </row>
    <row r="864" spans="1:146" ht="14.25" x14ac:dyDescent="0.2">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c r="AS864" s="233"/>
      <c r="AT864" s="233"/>
      <c r="AU864" s="233"/>
      <c r="AV864" s="233"/>
      <c r="AW864" s="233"/>
      <c r="AX864" s="233"/>
      <c r="AY864" s="233"/>
      <c r="AZ864" s="233"/>
      <c r="BA864" s="233"/>
      <c r="BB864" s="233"/>
      <c r="BC864" s="233"/>
      <c r="BD864" s="233"/>
      <c r="BE864" s="233"/>
      <c r="BF864" s="233"/>
      <c r="BG864" s="233"/>
      <c r="BH864" s="233"/>
      <c r="BI864" s="233"/>
      <c r="BJ864" s="233"/>
      <c r="BK864" s="233"/>
      <c r="BL864" s="233"/>
      <c r="BM864" s="233"/>
      <c r="BN864" s="233"/>
      <c r="BO864" s="233"/>
      <c r="BP864" s="233"/>
      <c r="BQ864" s="233"/>
      <c r="BR864" s="233"/>
      <c r="BS864" s="233"/>
      <c r="BT864" s="233"/>
      <c r="BU864" s="233"/>
      <c r="BV864" s="233"/>
      <c r="BW864" s="233"/>
      <c r="BX864" s="233"/>
      <c r="BY864" s="233"/>
      <c r="BZ864" s="233"/>
      <c r="CA864" s="233"/>
      <c r="CB864" s="233"/>
      <c r="CC864" s="233"/>
      <c r="CD864" s="233"/>
      <c r="CE864" s="233"/>
      <c r="CF864" s="233"/>
      <c r="CG864" s="233"/>
      <c r="CH864" s="233"/>
      <c r="CI864" s="233"/>
      <c r="CJ864" s="233"/>
      <c r="CK864" s="233"/>
      <c r="CL864" s="233"/>
      <c r="CM864" s="233"/>
      <c r="CN864" s="233"/>
      <c r="CO864" s="233"/>
      <c r="CP864" s="233"/>
      <c r="CQ864" s="233"/>
      <c r="CR864" s="233"/>
      <c r="CS864" s="233"/>
      <c r="CT864" s="233"/>
      <c r="CU864" s="233"/>
      <c r="CV864" s="233"/>
      <c r="CW864" s="233"/>
      <c r="CX864" s="233"/>
      <c r="CY864" s="233"/>
      <c r="CZ864" s="233"/>
      <c r="DA864" s="233"/>
      <c r="DB864" s="233"/>
      <c r="DC864" s="233"/>
      <c r="DD864" s="233"/>
      <c r="DE864" s="233"/>
      <c r="DF864" s="233"/>
      <c r="DG864" s="233"/>
      <c r="DH864" s="233"/>
      <c r="DI864" s="233"/>
      <c r="DJ864" s="233"/>
      <c r="DK864" s="233"/>
      <c r="DL864" s="233"/>
      <c r="DM864" s="233"/>
      <c r="DN864" s="233"/>
      <c r="DO864" s="233"/>
      <c r="DP864" s="233"/>
      <c r="DQ864" s="233"/>
      <c r="DR864" s="233"/>
      <c r="DS864" s="233"/>
      <c r="DT864" s="233"/>
      <c r="DU864" s="233"/>
      <c r="DV864" s="233"/>
      <c r="DW864" s="233"/>
      <c r="DX864" s="233"/>
      <c r="DY864" s="233"/>
      <c r="DZ864" s="233"/>
      <c r="EA864" s="233"/>
      <c r="EB864" s="233"/>
      <c r="EC864" s="233"/>
      <c r="ED864" s="233"/>
      <c r="EE864" s="233"/>
      <c r="EF864" s="233"/>
      <c r="EG864" s="233"/>
      <c r="EH864" s="233"/>
      <c r="EI864" s="233"/>
      <c r="EJ864" s="233"/>
      <c r="EK864" s="233"/>
      <c r="EL864" s="233"/>
      <c r="EM864" s="233"/>
      <c r="EN864" s="233"/>
      <c r="EO864" s="233"/>
      <c r="EP864" s="233"/>
    </row>
    <row r="865" spans="1:146" ht="14.25" x14ac:dyDescent="0.2">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c r="AV865" s="233"/>
      <c r="AW865" s="233"/>
      <c r="AX865" s="233"/>
      <c r="AY865" s="233"/>
      <c r="AZ865" s="233"/>
      <c r="BA865" s="233"/>
      <c r="BB865" s="233"/>
      <c r="BC865" s="233"/>
      <c r="BD865" s="233"/>
      <c r="BE865" s="233"/>
      <c r="BF865" s="233"/>
      <c r="BG865" s="233"/>
      <c r="BH865" s="233"/>
      <c r="BI865" s="233"/>
      <c r="BJ865" s="233"/>
      <c r="BK865" s="233"/>
      <c r="BL865" s="233"/>
      <c r="BM865" s="233"/>
      <c r="BN865" s="233"/>
      <c r="BO865" s="233"/>
      <c r="BP865" s="233"/>
      <c r="BQ865" s="233"/>
      <c r="BR865" s="233"/>
      <c r="BS865" s="233"/>
      <c r="BT865" s="233"/>
      <c r="BU865" s="233"/>
      <c r="BV865" s="233"/>
      <c r="BW865" s="233"/>
      <c r="BX865" s="233"/>
      <c r="BY865" s="233"/>
      <c r="BZ865" s="233"/>
      <c r="CA865" s="233"/>
      <c r="CB865" s="233"/>
      <c r="CC865" s="233"/>
      <c r="CD865" s="233"/>
      <c r="CE865" s="233"/>
      <c r="CF865" s="233"/>
      <c r="CG865" s="233"/>
      <c r="CH865" s="233"/>
      <c r="CI865" s="233"/>
      <c r="CJ865" s="233"/>
      <c r="CK865" s="233"/>
      <c r="CL865" s="233"/>
      <c r="CM865" s="233"/>
      <c r="CN865" s="233"/>
      <c r="CO865" s="233"/>
      <c r="CP865" s="233"/>
      <c r="CQ865" s="233"/>
      <c r="CR865" s="233"/>
      <c r="CS865" s="233"/>
      <c r="CT865" s="233"/>
      <c r="CU865" s="233"/>
      <c r="CV865" s="233"/>
      <c r="CW865" s="233"/>
      <c r="CX865" s="233"/>
      <c r="CY865" s="233"/>
      <c r="CZ865" s="233"/>
      <c r="DA865" s="233"/>
      <c r="DB865" s="233"/>
      <c r="DC865" s="233"/>
      <c r="DD865" s="233"/>
      <c r="DE865" s="233"/>
      <c r="DF865" s="233"/>
      <c r="DG865" s="233"/>
      <c r="DH865" s="233"/>
      <c r="DI865" s="233"/>
      <c r="DJ865" s="233"/>
      <c r="DK865" s="233"/>
      <c r="DL865" s="233"/>
      <c r="DM865" s="233"/>
      <c r="DN865" s="233"/>
      <c r="DO865" s="233"/>
      <c r="DP865" s="233"/>
      <c r="DQ865" s="233"/>
      <c r="DR865" s="233"/>
      <c r="DS865" s="233"/>
      <c r="DT865" s="233"/>
      <c r="DU865" s="233"/>
      <c r="DV865" s="233"/>
      <c r="DW865" s="233"/>
      <c r="DX865" s="233"/>
      <c r="DY865" s="233"/>
      <c r="DZ865" s="233"/>
      <c r="EA865" s="233"/>
      <c r="EB865" s="233"/>
      <c r="EC865" s="233"/>
      <c r="ED865" s="233"/>
      <c r="EE865" s="233"/>
      <c r="EF865" s="233"/>
      <c r="EG865" s="233"/>
      <c r="EH865" s="233"/>
      <c r="EI865" s="233"/>
      <c r="EJ865" s="233"/>
      <c r="EK865" s="233"/>
      <c r="EL865" s="233"/>
      <c r="EM865" s="233"/>
      <c r="EN865" s="233"/>
      <c r="EO865" s="233"/>
      <c r="EP865" s="233"/>
    </row>
    <row r="866" spans="1:146" ht="14.25" x14ac:dyDescent="0.2">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c r="AV866" s="233"/>
      <c r="AW866" s="233"/>
      <c r="AX866" s="233"/>
      <c r="AY866" s="233"/>
      <c r="AZ866" s="233"/>
      <c r="BA866" s="233"/>
      <c r="BB866" s="233"/>
      <c r="BC866" s="233"/>
      <c r="BD866" s="233"/>
      <c r="BE866" s="233"/>
      <c r="BF866" s="233"/>
      <c r="BG866" s="233"/>
      <c r="BH866" s="233"/>
      <c r="BI866" s="233"/>
      <c r="BJ866" s="233"/>
      <c r="BK866" s="233"/>
      <c r="BL866" s="233"/>
      <c r="BM866" s="233"/>
      <c r="BN866" s="233"/>
      <c r="BO866" s="233"/>
      <c r="BP866" s="233"/>
      <c r="BQ866" s="233"/>
      <c r="BR866" s="233"/>
      <c r="BS866" s="233"/>
      <c r="BT866" s="233"/>
      <c r="BU866" s="233"/>
      <c r="BV866" s="233"/>
      <c r="BW866" s="233"/>
      <c r="BX866" s="233"/>
      <c r="BY866" s="233"/>
      <c r="BZ866" s="233"/>
      <c r="CA866" s="233"/>
      <c r="CB866" s="233"/>
      <c r="CC866" s="233"/>
      <c r="CD866" s="233"/>
      <c r="CE866" s="233"/>
      <c r="CF866" s="233"/>
      <c r="CG866" s="233"/>
      <c r="CH866" s="233"/>
      <c r="CI866" s="233"/>
      <c r="CJ866" s="233"/>
      <c r="CK866" s="233"/>
      <c r="CL866" s="233"/>
      <c r="CM866" s="233"/>
      <c r="CN866" s="233"/>
      <c r="CO866" s="233"/>
      <c r="CP866" s="233"/>
      <c r="CQ866" s="233"/>
      <c r="CR866" s="233"/>
      <c r="CS866" s="233"/>
      <c r="CT866" s="233"/>
      <c r="CU866" s="233"/>
      <c r="CV866" s="233"/>
      <c r="CW866" s="233"/>
      <c r="CX866" s="233"/>
      <c r="CY866" s="233"/>
      <c r="CZ866" s="233"/>
      <c r="DA866" s="233"/>
      <c r="DB866" s="233"/>
      <c r="DC866" s="233"/>
      <c r="DD866" s="233"/>
      <c r="DE866" s="233"/>
      <c r="DF866" s="233"/>
      <c r="DG866" s="233"/>
      <c r="DH866" s="233"/>
      <c r="DI866" s="233"/>
      <c r="DJ866" s="233"/>
      <c r="DK866" s="233"/>
      <c r="DL866" s="233"/>
      <c r="DM866" s="233"/>
      <c r="DN866" s="233"/>
      <c r="DO866" s="233"/>
      <c r="DP866" s="233"/>
      <c r="DQ866" s="233"/>
      <c r="DR866" s="233"/>
      <c r="DS866" s="233"/>
      <c r="DT866" s="233"/>
      <c r="DU866" s="233"/>
      <c r="DV866" s="233"/>
      <c r="DW866" s="233"/>
      <c r="DX866" s="233"/>
      <c r="DY866" s="233"/>
      <c r="DZ866" s="233"/>
      <c r="EA866" s="233"/>
      <c r="EB866" s="233"/>
      <c r="EC866" s="233"/>
      <c r="ED866" s="233"/>
      <c r="EE866" s="233"/>
      <c r="EF866" s="233"/>
      <c r="EG866" s="233"/>
      <c r="EH866" s="233"/>
      <c r="EI866" s="233"/>
      <c r="EJ866" s="233"/>
      <c r="EK866" s="233"/>
      <c r="EL866" s="233"/>
      <c r="EM866" s="233"/>
      <c r="EN866" s="233"/>
      <c r="EO866" s="233"/>
      <c r="EP866" s="233"/>
    </row>
    <row r="867" spans="1:146" ht="14.25" x14ac:dyDescent="0.2">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row>
    <row r="868" spans="1:146" ht="14.25" x14ac:dyDescent="0.2">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row>
    <row r="869" spans="1:146" ht="14.25" x14ac:dyDescent="0.2">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row>
    <row r="870" spans="1:146" ht="14.25" x14ac:dyDescent="0.2">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c r="AW870" s="233"/>
      <c r="AX870" s="233"/>
      <c r="AY870" s="233"/>
      <c r="AZ870" s="233"/>
      <c r="BA870" s="233"/>
      <c r="BB870" s="233"/>
      <c r="BC870" s="233"/>
      <c r="BD870" s="233"/>
      <c r="BE870" s="233"/>
      <c r="BF870" s="233"/>
      <c r="BG870" s="233"/>
      <c r="BH870" s="233"/>
      <c r="BI870" s="233"/>
      <c r="BJ870" s="233"/>
      <c r="BK870" s="233"/>
      <c r="BL870" s="233"/>
      <c r="BM870" s="233"/>
      <c r="BN870" s="233"/>
      <c r="BO870" s="233"/>
      <c r="BP870" s="233"/>
      <c r="BQ870" s="233"/>
      <c r="BR870" s="233"/>
      <c r="BS870" s="233"/>
      <c r="BT870" s="233"/>
      <c r="BU870" s="233"/>
      <c r="BV870" s="233"/>
      <c r="BW870" s="233"/>
      <c r="BX870" s="233"/>
      <c r="BY870" s="233"/>
      <c r="BZ870" s="233"/>
      <c r="CA870" s="233"/>
      <c r="CB870" s="233"/>
      <c r="CC870" s="233"/>
      <c r="CD870" s="233"/>
      <c r="CE870" s="233"/>
      <c r="CF870" s="233"/>
      <c r="CG870" s="233"/>
      <c r="CH870" s="233"/>
      <c r="CI870" s="233"/>
      <c r="CJ870" s="233"/>
      <c r="CK870" s="233"/>
      <c r="CL870" s="233"/>
      <c r="CM870" s="233"/>
      <c r="CN870" s="233"/>
      <c r="CO870" s="233"/>
      <c r="CP870" s="233"/>
      <c r="CQ870" s="233"/>
      <c r="CR870" s="233"/>
      <c r="CS870" s="233"/>
      <c r="CT870" s="233"/>
      <c r="CU870" s="233"/>
      <c r="CV870" s="233"/>
      <c r="CW870" s="233"/>
      <c r="CX870" s="233"/>
      <c r="CY870" s="233"/>
      <c r="CZ870" s="233"/>
      <c r="DA870" s="233"/>
      <c r="DB870" s="233"/>
      <c r="DC870" s="233"/>
      <c r="DD870" s="233"/>
      <c r="DE870" s="233"/>
      <c r="DF870" s="233"/>
      <c r="DG870" s="233"/>
      <c r="DH870" s="233"/>
      <c r="DI870" s="233"/>
      <c r="DJ870" s="233"/>
      <c r="DK870" s="233"/>
      <c r="DL870" s="233"/>
      <c r="DM870" s="233"/>
      <c r="DN870" s="233"/>
      <c r="DO870" s="233"/>
      <c r="DP870" s="233"/>
      <c r="DQ870" s="233"/>
      <c r="DR870" s="233"/>
      <c r="DS870" s="233"/>
      <c r="DT870" s="233"/>
      <c r="DU870" s="233"/>
      <c r="DV870" s="233"/>
      <c r="DW870" s="233"/>
      <c r="DX870" s="233"/>
      <c r="DY870" s="233"/>
      <c r="DZ870" s="233"/>
      <c r="EA870" s="233"/>
      <c r="EB870" s="233"/>
      <c r="EC870" s="233"/>
      <c r="ED870" s="233"/>
      <c r="EE870" s="233"/>
      <c r="EF870" s="233"/>
      <c r="EG870" s="233"/>
      <c r="EH870" s="233"/>
      <c r="EI870" s="233"/>
      <c r="EJ870" s="233"/>
      <c r="EK870" s="233"/>
      <c r="EL870" s="233"/>
      <c r="EM870" s="233"/>
      <c r="EN870" s="233"/>
      <c r="EO870" s="233"/>
      <c r="EP870" s="233"/>
    </row>
    <row r="871" spans="1:146" ht="14.25" x14ac:dyDescent="0.2">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c r="AV871" s="233"/>
      <c r="AW871" s="233"/>
      <c r="AX871" s="233"/>
      <c r="AY871" s="233"/>
      <c r="AZ871" s="233"/>
      <c r="BA871" s="233"/>
      <c r="BB871" s="233"/>
      <c r="BC871" s="233"/>
      <c r="BD871" s="233"/>
      <c r="BE871" s="233"/>
      <c r="BF871" s="233"/>
      <c r="BG871" s="233"/>
      <c r="BH871" s="233"/>
      <c r="BI871" s="233"/>
      <c r="BJ871" s="233"/>
      <c r="BK871" s="233"/>
      <c r="BL871" s="233"/>
      <c r="BM871" s="233"/>
      <c r="BN871" s="233"/>
      <c r="BO871" s="233"/>
      <c r="BP871" s="233"/>
      <c r="BQ871" s="233"/>
      <c r="BR871" s="233"/>
      <c r="BS871" s="233"/>
      <c r="BT871" s="233"/>
      <c r="BU871" s="233"/>
      <c r="BV871" s="233"/>
      <c r="BW871" s="233"/>
      <c r="BX871" s="233"/>
      <c r="BY871" s="233"/>
      <c r="BZ871" s="233"/>
      <c r="CA871" s="233"/>
      <c r="CB871" s="233"/>
      <c r="CC871" s="233"/>
      <c r="CD871" s="233"/>
      <c r="CE871" s="233"/>
      <c r="CF871" s="233"/>
      <c r="CG871" s="233"/>
      <c r="CH871" s="233"/>
      <c r="CI871" s="233"/>
      <c r="CJ871" s="233"/>
      <c r="CK871" s="233"/>
      <c r="CL871" s="233"/>
      <c r="CM871" s="233"/>
      <c r="CN871" s="233"/>
      <c r="CO871" s="233"/>
      <c r="CP871" s="233"/>
      <c r="CQ871" s="233"/>
      <c r="CR871" s="233"/>
      <c r="CS871" s="233"/>
      <c r="CT871" s="233"/>
      <c r="CU871" s="233"/>
      <c r="CV871" s="233"/>
      <c r="CW871" s="233"/>
      <c r="CX871" s="233"/>
      <c r="CY871" s="233"/>
      <c r="CZ871" s="233"/>
      <c r="DA871" s="233"/>
      <c r="DB871" s="233"/>
      <c r="DC871" s="233"/>
      <c r="DD871" s="233"/>
      <c r="DE871" s="233"/>
      <c r="DF871" s="233"/>
      <c r="DG871" s="233"/>
      <c r="DH871" s="233"/>
      <c r="DI871" s="233"/>
      <c r="DJ871" s="233"/>
      <c r="DK871" s="233"/>
      <c r="DL871" s="233"/>
      <c r="DM871" s="233"/>
      <c r="DN871" s="233"/>
      <c r="DO871" s="233"/>
      <c r="DP871" s="233"/>
      <c r="DQ871" s="233"/>
      <c r="DR871" s="233"/>
      <c r="DS871" s="233"/>
      <c r="DT871" s="233"/>
      <c r="DU871" s="233"/>
      <c r="DV871" s="233"/>
      <c r="DW871" s="233"/>
      <c r="DX871" s="233"/>
      <c r="DY871" s="233"/>
      <c r="DZ871" s="233"/>
      <c r="EA871" s="233"/>
      <c r="EB871" s="233"/>
      <c r="EC871" s="233"/>
      <c r="ED871" s="233"/>
      <c r="EE871" s="233"/>
      <c r="EF871" s="233"/>
      <c r="EG871" s="233"/>
      <c r="EH871" s="233"/>
      <c r="EI871" s="233"/>
      <c r="EJ871" s="233"/>
      <c r="EK871" s="233"/>
      <c r="EL871" s="233"/>
      <c r="EM871" s="233"/>
      <c r="EN871" s="233"/>
      <c r="EO871" s="233"/>
      <c r="EP871" s="233"/>
    </row>
    <row r="872" spans="1:146" ht="14.25" x14ac:dyDescent="0.2">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c r="AS872" s="233"/>
      <c r="AT872" s="233"/>
      <c r="AU872" s="233"/>
      <c r="AV872" s="233"/>
      <c r="AW872" s="233"/>
      <c r="AX872" s="233"/>
      <c r="AY872" s="233"/>
      <c r="AZ872" s="233"/>
      <c r="BA872" s="233"/>
      <c r="BB872" s="233"/>
      <c r="BC872" s="233"/>
      <c r="BD872" s="233"/>
      <c r="BE872" s="233"/>
      <c r="BF872" s="233"/>
      <c r="BG872" s="233"/>
      <c r="BH872" s="233"/>
      <c r="BI872" s="233"/>
      <c r="BJ872" s="233"/>
      <c r="BK872" s="233"/>
      <c r="BL872" s="233"/>
      <c r="BM872" s="233"/>
      <c r="BN872" s="233"/>
      <c r="BO872" s="233"/>
      <c r="BP872" s="233"/>
      <c r="BQ872" s="233"/>
      <c r="BR872" s="233"/>
      <c r="BS872" s="233"/>
      <c r="BT872" s="233"/>
      <c r="BU872" s="233"/>
      <c r="BV872" s="233"/>
      <c r="BW872" s="233"/>
      <c r="BX872" s="233"/>
      <c r="BY872" s="233"/>
      <c r="BZ872" s="233"/>
      <c r="CA872" s="233"/>
      <c r="CB872" s="233"/>
      <c r="CC872" s="233"/>
      <c r="CD872" s="233"/>
      <c r="CE872" s="233"/>
      <c r="CF872" s="233"/>
      <c r="CG872" s="233"/>
      <c r="CH872" s="233"/>
      <c r="CI872" s="233"/>
      <c r="CJ872" s="233"/>
      <c r="CK872" s="233"/>
      <c r="CL872" s="233"/>
      <c r="CM872" s="233"/>
      <c r="CN872" s="233"/>
      <c r="CO872" s="233"/>
      <c r="CP872" s="233"/>
      <c r="CQ872" s="233"/>
      <c r="CR872" s="233"/>
      <c r="CS872" s="233"/>
      <c r="CT872" s="233"/>
      <c r="CU872" s="233"/>
      <c r="CV872" s="233"/>
      <c r="CW872" s="233"/>
      <c r="CX872" s="233"/>
      <c r="CY872" s="233"/>
      <c r="CZ872" s="233"/>
      <c r="DA872" s="233"/>
      <c r="DB872" s="233"/>
      <c r="DC872" s="233"/>
      <c r="DD872" s="233"/>
      <c r="DE872" s="233"/>
      <c r="DF872" s="233"/>
      <c r="DG872" s="233"/>
      <c r="DH872" s="233"/>
      <c r="DI872" s="233"/>
      <c r="DJ872" s="233"/>
      <c r="DK872" s="233"/>
      <c r="DL872" s="233"/>
      <c r="DM872" s="233"/>
      <c r="DN872" s="233"/>
      <c r="DO872" s="233"/>
      <c r="DP872" s="233"/>
      <c r="DQ872" s="233"/>
      <c r="DR872" s="233"/>
      <c r="DS872" s="233"/>
      <c r="DT872" s="233"/>
      <c r="DU872" s="233"/>
      <c r="DV872" s="233"/>
      <c r="DW872" s="233"/>
      <c r="DX872" s="233"/>
      <c r="DY872" s="233"/>
      <c r="DZ872" s="233"/>
      <c r="EA872" s="233"/>
      <c r="EB872" s="233"/>
      <c r="EC872" s="233"/>
      <c r="ED872" s="233"/>
      <c r="EE872" s="233"/>
      <c r="EF872" s="233"/>
      <c r="EG872" s="233"/>
      <c r="EH872" s="233"/>
      <c r="EI872" s="233"/>
      <c r="EJ872" s="233"/>
      <c r="EK872" s="233"/>
      <c r="EL872" s="233"/>
      <c r="EM872" s="233"/>
      <c r="EN872" s="233"/>
      <c r="EO872" s="233"/>
      <c r="EP872" s="233"/>
    </row>
    <row r="873" spans="1:146" ht="14.25" x14ac:dyDescent="0.2">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c r="AV873" s="233"/>
      <c r="AW873" s="233"/>
      <c r="AX873" s="233"/>
      <c r="AY873" s="233"/>
      <c r="AZ873" s="233"/>
      <c r="BA873" s="233"/>
      <c r="BB873" s="233"/>
      <c r="BC873" s="233"/>
      <c r="BD873" s="233"/>
      <c r="BE873" s="233"/>
      <c r="BF873" s="233"/>
      <c r="BG873" s="233"/>
      <c r="BH873" s="233"/>
      <c r="BI873" s="233"/>
      <c r="BJ873" s="233"/>
      <c r="BK873" s="233"/>
      <c r="BL873" s="233"/>
      <c r="BM873" s="233"/>
      <c r="BN873" s="233"/>
      <c r="BO873" s="233"/>
      <c r="BP873" s="233"/>
      <c r="BQ873" s="233"/>
      <c r="BR873" s="233"/>
      <c r="BS873" s="233"/>
      <c r="BT873" s="233"/>
      <c r="BU873" s="233"/>
      <c r="BV873" s="233"/>
      <c r="BW873" s="233"/>
      <c r="BX873" s="233"/>
      <c r="BY873" s="233"/>
      <c r="BZ873" s="233"/>
      <c r="CA873" s="233"/>
      <c r="CB873" s="233"/>
      <c r="CC873" s="233"/>
      <c r="CD873" s="233"/>
      <c r="CE873" s="233"/>
      <c r="CF873" s="233"/>
      <c r="CG873" s="233"/>
      <c r="CH873" s="233"/>
      <c r="CI873" s="233"/>
      <c r="CJ873" s="233"/>
      <c r="CK873" s="233"/>
      <c r="CL873" s="233"/>
      <c r="CM873" s="233"/>
      <c r="CN873" s="233"/>
      <c r="CO873" s="233"/>
      <c r="CP873" s="233"/>
      <c r="CQ873" s="233"/>
      <c r="CR873" s="233"/>
      <c r="CS873" s="233"/>
      <c r="CT873" s="233"/>
      <c r="CU873" s="233"/>
      <c r="CV873" s="233"/>
      <c r="CW873" s="233"/>
      <c r="CX873" s="233"/>
      <c r="CY873" s="233"/>
      <c r="CZ873" s="233"/>
      <c r="DA873" s="233"/>
      <c r="DB873" s="233"/>
      <c r="DC873" s="233"/>
      <c r="DD873" s="233"/>
      <c r="DE873" s="233"/>
      <c r="DF873" s="233"/>
      <c r="DG873" s="233"/>
      <c r="DH873" s="233"/>
      <c r="DI873" s="233"/>
      <c r="DJ873" s="233"/>
      <c r="DK873" s="233"/>
      <c r="DL873" s="233"/>
      <c r="DM873" s="233"/>
      <c r="DN873" s="233"/>
      <c r="DO873" s="233"/>
      <c r="DP873" s="233"/>
      <c r="DQ873" s="233"/>
      <c r="DR873" s="233"/>
      <c r="DS873" s="233"/>
      <c r="DT873" s="233"/>
      <c r="DU873" s="233"/>
      <c r="DV873" s="233"/>
      <c r="DW873" s="233"/>
      <c r="DX873" s="233"/>
      <c r="DY873" s="233"/>
      <c r="DZ873" s="233"/>
      <c r="EA873" s="233"/>
      <c r="EB873" s="233"/>
      <c r="EC873" s="233"/>
      <c r="ED873" s="233"/>
      <c r="EE873" s="233"/>
      <c r="EF873" s="233"/>
      <c r="EG873" s="233"/>
      <c r="EH873" s="233"/>
      <c r="EI873" s="233"/>
      <c r="EJ873" s="233"/>
      <c r="EK873" s="233"/>
      <c r="EL873" s="233"/>
      <c r="EM873" s="233"/>
      <c r="EN873" s="233"/>
      <c r="EO873" s="233"/>
      <c r="EP873" s="233"/>
    </row>
    <row r="874" spans="1:146" ht="14.25" x14ac:dyDescent="0.2">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c r="AV874" s="233"/>
      <c r="AW874" s="233"/>
      <c r="AX874" s="233"/>
      <c r="AY874" s="233"/>
      <c r="AZ874" s="233"/>
      <c r="BA874" s="233"/>
      <c r="BB874" s="233"/>
      <c r="BC874" s="233"/>
      <c r="BD874" s="233"/>
      <c r="BE874" s="233"/>
      <c r="BF874" s="233"/>
      <c r="BG874" s="233"/>
      <c r="BH874" s="233"/>
      <c r="BI874" s="233"/>
      <c r="BJ874" s="233"/>
      <c r="BK874" s="233"/>
      <c r="BL874" s="233"/>
      <c r="BM874" s="233"/>
      <c r="BN874" s="233"/>
      <c r="BO874" s="233"/>
      <c r="BP874" s="233"/>
      <c r="BQ874" s="233"/>
      <c r="BR874" s="233"/>
      <c r="BS874" s="233"/>
      <c r="BT874" s="233"/>
      <c r="BU874" s="233"/>
      <c r="BV874" s="233"/>
      <c r="BW874" s="233"/>
      <c r="BX874" s="233"/>
      <c r="BY874" s="233"/>
      <c r="BZ874" s="233"/>
      <c r="CA874" s="233"/>
      <c r="CB874" s="233"/>
      <c r="CC874" s="233"/>
      <c r="CD874" s="233"/>
      <c r="CE874" s="233"/>
      <c r="CF874" s="233"/>
      <c r="CG874" s="233"/>
      <c r="CH874" s="233"/>
      <c r="CI874" s="233"/>
      <c r="CJ874" s="233"/>
      <c r="CK874" s="233"/>
      <c r="CL874" s="233"/>
      <c r="CM874" s="233"/>
      <c r="CN874" s="233"/>
      <c r="CO874" s="233"/>
      <c r="CP874" s="233"/>
      <c r="CQ874" s="233"/>
      <c r="CR874" s="233"/>
      <c r="CS874" s="233"/>
      <c r="CT874" s="233"/>
      <c r="CU874" s="233"/>
      <c r="CV874" s="233"/>
      <c r="CW874" s="233"/>
      <c r="CX874" s="233"/>
      <c r="CY874" s="233"/>
      <c r="CZ874" s="233"/>
      <c r="DA874" s="233"/>
      <c r="DB874" s="233"/>
      <c r="DC874" s="233"/>
      <c r="DD874" s="233"/>
      <c r="DE874" s="233"/>
      <c r="DF874" s="233"/>
      <c r="DG874" s="233"/>
      <c r="DH874" s="233"/>
      <c r="DI874" s="233"/>
      <c r="DJ874" s="233"/>
      <c r="DK874" s="233"/>
      <c r="DL874" s="233"/>
      <c r="DM874" s="233"/>
      <c r="DN874" s="233"/>
      <c r="DO874" s="233"/>
      <c r="DP874" s="233"/>
      <c r="DQ874" s="233"/>
      <c r="DR874" s="233"/>
      <c r="DS874" s="233"/>
      <c r="DT874" s="233"/>
      <c r="DU874" s="233"/>
      <c r="DV874" s="233"/>
      <c r="DW874" s="233"/>
      <c r="DX874" s="233"/>
      <c r="DY874" s="233"/>
      <c r="DZ874" s="233"/>
      <c r="EA874" s="233"/>
      <c r="EB874" s="233"/>
      <c r="EC874" s="233"/>
      <c r="ED874" s="233"/>
      <c r="EE874" s="233"/>
      <c r="EF874" s="233"/>
      <c r="EG874" s="233"/>
      <c r="EH874" s="233"/>
      <c r="EI874" s="233"/>
      <c r="EJ874" s="233"/>
      <c r="EK874" s="233"/>
      <c r="EL874" s="233"/>
      <c r="EM874" s="233"/>
      <c r="EN874" s="233"/>
      <c r="EO874" s="233"/>
      <c r="EP874" s="233"/>
    </row>
    <row r="875" spans="1:146" ht="14.25" x14ac:dyDescent="0.2">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233"/>
      <c r="AW875" s="233"/>
      <c r="AX875" s="233"/>
      <c r="AY875" s="233"/>
      <c r="AZ875" s="233"/>
      <c r="BA875" s="233"/>
      <c r="BB875" s="233"/>
      <c r="BC875" s="233"/>
      <c r="BD875" s="233"/>
      <c r="BE875" s="233"/>
      <c r="BF875" s="233"/>
      <c r="BG875" s="233"/>
      <c r="BH875" s="233"/>
      <c r="BI875" s="233"/>
      <c r="BJ875" s="233"/>
      <c r="BK875" s="233"/>
      <c r="BL875" s="233"/>
      <c r="BM875" s="233"/>
      <c r="BN875" s="233"/>
      <c r="BO875" s="233"/>
      <c r="BP875" s="233"/>
      <c r="BQ875" s="233"/>
      <c r="BR875" s="233"/>
      <c r="BS875" s="233"/>
      <c r="BT875" s="233"/>
      <c r="BU875" s="233"/>
      <c r="BV875" s="233"/>
      <c r="BW875" s="233"/>
      <c r="BX875" s="233"/>
      <c r="BY875" s="233"/>
      <c r="BZ875" s="233"/>
      <c r="CA875" s="233"/>
      <c r="CB875" s="233"/>
      <c r="CC875" s="233"/>
      <c r="CD875" s="233"/>
      <c r="CE875" s="233"/>
      <c r="CF875" s="233"/>
      <c r="CG875" s="233"/>
      <c r="CH875" s="233"/>
      <c r="CI875" s="233"/>
      <c r="CJ875" s="233"/>
      <c r="CK875" s="233"/>
      <c r="CL875" s="233"/>
      <c r="CM875" s="233"/>
      <c r="CN875" s="233"/>
      <c r="CO875" s="233"/>
      <c r="CP875" s="233"/>
      <c r="CQ875" s="233"/>
      <c r="CR875" s="233"/>
      <c r="CS875" s="233"/>
      <c r="CT875" s="233"/>
      <c r="CU875" s="233"/>
      <c r="CV875" s="233"/>
      <c r="CW875" s="233"/>
      <c r="CX875" s="233"/>
      <c r="CY875" s="233"/>
      <c r="CZ875" s="233"/>
      <c r="DA875" s="233"/>
      <c r="DB875" s="233"/>
      <c r="DC875" s="233"/>
      <c r="DD875" s="233"/>
      <c r="DE875" s="233"/>
      <c r="DF875" s="233"/>
      <c r="DG875" s="233"/>
      <c r="DH875" s="233"/>
      <c r="DI875" s="233"/>
      <c r="DJ875" s="233"/>
      <c r="DK875" s="233"/>
      <c r="DL875" s="233"/>
      <c r="DM875" s="233"/>
      <c r="DN875" s="233"/>
      <c r="DO875" s="233"/>
      <c r="DP875" s="233"/>
      <c r="DQ875" s="233"/>
      <c r="DR875" s="233"/>
      <c r="DS875" s="233"/>
      <c r="DT875" s="233"/>
      <c r="DU875" s="233"/>
      <c r="DV875" s="233"/>
      <c r="DW875" s="233"/>
      <c r="DX875" s="233"/>
      <c r="DY875" s="233"/>
      <c r="DZ875" s="233"/>
      <c r="EA875" s="233"/>
      <c r="EB875" s="233"/>
      <c r="EC875" s="233"/>
      <c r="ED875" s="233"/>
      <c r="EE875" s="233"/>
      <c r="EF875" s="233"/>
      <c r="EG875" s="233"/>
      <c r="EH875" s="233"/>
      <c r="EI875" s="233"/>
      <c r="EJ875" s="233"/>
      <c r="EK875" s="233"/>
      <c r="EL875" s="233"/>
      <c r="EM875" s="233"/>
      <c r="EN875" s="233"/>
      <c r="EO875" s="233"/>
      <c r="EP875" s="233"/>
    </row>
    <row r="876" spans="1:146" ht="14.25" x14ac:dyDescent="0.2">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c r="AV876" s="233"/>
      <c r="AW876" s="233"/>
      <c r="AX876" s="233"/>
      <c r="AY876" s="233"/>
      <c r="AZ876" s="233"/>
      <c r="BA876" s="233"/>
      <c r="BB876" s="233"/>
      <c r="BC876" s="233"/>
      <c r="BD876" s="233"/>
      <c r="BE876" s="233"/>
      <c r="BF876" s="233"/>
      <c r="BG876" s="233"/>
      <c r="BH876" s="233"/>
      <c r="BI876" s="233"/>
      <c r="BJ876" s="233"/>
      <c r="BK876" s="233"/>
      <c r="BL876" s="233"/>
      <c r="BM876" s="233"/>
      <c r="BN876" s="233"/>
      <c r="BO876" s="233"/>
      <c r="BP876" s="233"/>
      <c r="BQ876" s="233"/>
      <c r="BR876" s="233"/>
      <c r="BS876" s="233"/>
      <c r="BT876" s="233"/>
      <c r="BU876" s="233"/>
      <c r="BV876" s="233"/>
      <c r="BW876" s="233"/>
      <c r="BX876" s="233"/>
      <c r="BY876" s="233"/>
      <c r="BZ876" s="233"/>
      <c r="CA876" s="233"/>
      <c r="CB876" s="233"/>
      <c r="CC876" s="233"/>
      <c r="CD876" s="233"/>
      <c r="CE876" s="233"/>
      <c r="CF876" s="233"/>
      <c r="CG876" s="233"/>
      <c r="CH876" s="233"/>
      <c r="CI876" s="233"/>
      <c r="CJ876" s="233"/>
      <c r="CK876" s="233"/>
      <c r="CL876" s="233"/>
      <c r="CM876" s="233"/>
      <c r="CN876" s="233"/>
      <c r="CO876" s="233"/>
      <c r="CP876" s="233"/>
      <c r="CQ876" s="233"/>
      <c r="CR876" s="233"/>
      <c r="CS876" s="233"/>
      <c r="CT876" s="233"/>
      <c r="CU876" s="233"/>
      <c r="CV876" s="233"/>
      <c r="CW876" s="233"/>
      <c r="CX876" s="233"/>
      <c r="CY876" s="233"/>
      <c r="CZ876" s="233"/>
      <c r="DA876" s="233"/>
      <c r="DB876" s="233"/>
      <c r="DC876" s="233"/>
      <c r="DD876" s="233"/>
      <c r="DE876" s="233"/>
      <c r="DF876" s="233"/>
      <c r="DG876" s="233"/>
      <c r="DH876" s="233"/>
      <c r="DI876" s="233"/>
      <c r="DJ876" s="233"/>
      <c r="DK876" s="233"/>
      <c r="DL876" s="233"/>
      <c r="DM876" s="233"/>
      <c r="DN876" s="233"/>
      <c r="DO876" s="233"/>
      <c r="DP876" s="233"/>
      <c r="DQ876" s="233"/>
      <c r="DR876" s="233"/>
      <c r="DS876" s="233"/>
      <c r="DT876" s="233"/>
      <c r="DU876" s="233"/>
      <c r="DV876" s="233"/>
      <c r="DW876" s="233"/>
      <c r="DX876" s="233"/>
      <c r="DY876" s="233"/>
      <c r="DZ876" s="233"/>
      <c r="EA876" s="233"/>
      <c r="EB876" s="233"/>
      <c r="EC876" s="233"/>
      <c r="ED876" s="233"/>
      <c r="EE876" s="233"/>
      <c r="EF876" s="233"/>
      <c r="EG876" s="233"/>
      <c r="EH876" s="233"/>
      <c r="EI876" s="233"/>
      <c r="EJ876" s="233"/>
      <c r="EK876" s="233"/>
      <c r="EL876" s="233"/>
      <c r="EM876" s="233"/>
      <c r="EN876" s="233"/>
      <c r="EO876" s="233"/>
      <c r="EP876" s="233"/>
    </row>
    <row r="877" spans="1:146" ht="14.25" x14ac:dyDescent="0.2">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233"/>
      <c r="AW877" s="233"/>
      <c r="AX877" s="233"/>
      <c r="AY877" s="233"/>
      <c r="AZ877" s="233"/>
      <c r="BA877" s="233"/>
      <c r="BB877" s="233"/>
      <c r="BC877" s="233"/>
      <c r="BD877" s="233"/>
      <c r="BE877" s="233"/>
      <c r="BF877" s="233"/>
      <c r="BG877" s="233"/>
      <c r="BH877" s="233"/>
      <c r="BI877" s="233"/>
      <c r="BJ877" s="233"/>
      <c r="BK877" s="233"/>
      <c r="BL877" s="233"/>
      <c r="BM877" s="233"/>
      <c r="BN877" s="233"/>
      <c r="BO877" s="233"/>
      <c r="BP877" s="233"/>
      <c r="BQ877" s="233"/>
      <c r="BR877" s="233"/>
      <c r="BS877" s="233"/>
      <c r="BT877" s="233"/>
      <c r="BU877" s="233"/>
      <c r="BV877" s="233"/>
      <c r="BW877" s="233"/>
      <c r="BX877" s="233"/>
      <c r="BY877" s="233"/>
      <c r="BZ877" s="233"/>
      <c r="CA877" s="233"/>
      <c r="CB877" s="233"/>
      <c r="CC877" s="233"/>
      <c r="CD877" s="233"/>
      <c r="CE877" s="233"/>
      <c r="CF877" s="233"/>
      <c r="CG877" s="233"/>
      <c r="CH877" s="233"/>
      <c r="CI877" s="233"/>
      <c r="CJ877" s="233"/>
      <c r="CK877" s="233"/>
      <c r="CL877" s="233"/>
      <c r="CM877" s="233"/>
      <c r="CN877" s="233"/>
      <c r="CO877" s="233"/>
      <c r="CP877" s="233"/>
      <c r="CQ877" s="233"/>
      <c r="CR877" s="233"/>
      <c r="CS877" s="233"/>
      <c r="CT877" s="233"/>
      <c r="CU877" s="233"/>
      <c r="CV877" s="233"/>
      <c r="CW877" s="233"/>
      <c r="CX877" s="233"/>
      <c r="CY877" s="233"/>
      <c r="CZ877" s="233"/>
      <c r="DA877" s="233"/>
      <c r="DB877" s="233"/>
      <c r="DC877" s="233"/>
      <c r="DD877" s="233"/>
      <c r="DE877" s="233"/>
      <c r="DF877" s="233"/>
      <c r="DG877" s="233"/>
      <c r="DH877" s="233"/>
      <c r="DI877" s="233"/>
      <c r="DJ877" s="233"/>
      <c r="DK877" s="233"/>
      <c r="DL877" s="233"/>
      <c r="DM877" s="233"/>
      <c r="DN877" s="233"/>
      <c r="DO877" s="233"/>
      <c r="DP877" s="233"/>
      <c r="DQ877" s="233"/>
      <c r="DR877" s="233"/>
      <c r="DS877" s="233"/>
      <c r="DT877" s="233"/>
      <c r="DU877" s="233"/>
      <c r="DV877" s="233"/>
      <c r="DW877" s="233"/>
      <c r="DX877" s="233"/>
      <c r="DY877" s="233"/>
      <c r="DZ877" s="233"/>
      <c r="EA877" s="233"/>
      <c r="EB877" s="233"/>
      <c r="EC877" s="233"/>
      <c r="ED877" s="233"/>
      <c r="EE877" s="233"/>
      <c r="EF877" s="233"/>
      <c r="EG877" s="233"/>
      <c r="EH877" s="233"/>
      <c r="EI877" s="233"/>
      <c r="EJ877" s="233"/>
      <c r="EK877" s="233"/>
      <c r="EL877" s="233"/>
      <c r="EM877" s="233"/>
      <c r="EN877" s="233"/>
      <c r="EO877" s="233"/>
      <c r="EP877" s="233"/>
    </row>
    <row r="878" spans="1:146" ht="14.25" x14ac:dyDescent="0.2">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c r="AS878" s="233"/>
      <c r="AT878" s="233"/>
      <c r="AU878" s="233"/>
      <c r="AV878" s="233"/>
      <c r="AW878" s="233"/>
      <c r="AX878" s="233"/>
      <c r="AY878" s="233"/>
      <c r="AZ878" s="233"/>
      <c r="BA878" s="233"/>
      <c r="BB878" s="233"/>
      <c r="BC878" s="233"/>
      <c r="BD878" s="233"/>
      <c r="BE878" s="233"/>
      <c r="BF878" s="233"/>
      <c r="BG878" s="233"/>
      <c r="BH878" s="233"/>
      <c r="BI878" s="233"/>
      <c r="BJ878" s="233"/>
      <c r="BK878" s="233"/>
      <c r="BL878" s="233"/>
      <c r="BM878" s="233"/>
      <c r="BN878" s="233"/>
      <c r="BO878" s="233"/>
      <c r="BP878" s="233"/>
      <c r="BQ878" s="233"/>
      <c r="BR878" s="233"/>
      <c r="BS878" s="233"/>
      <c r="BT878" s="233"/>
      <c r="BU878" s="233"/>
      <c r="BV878" s="233"/>
      <c r="BW878" s="233"/>
      <c r="BX878" s="233"/>
      <c r="BY878" s="233"/>
      <c r="BZ878" s="233"/>
      <c r="CA878" s="233"/>
      <c r="CB878" s="233"/>
      <c r="CC878" s="233"/>
      <c r="CD878" s="233"/>
      <c r="CE878" s="233"/>
      <c r="CF878" s="233"/>
      <c r="CG878" s="233"/>
      <c r="CH878" s="233"/>
      <c r="CI878" s="233"/>
      <c r="CJ878" s="233"/>
      <c r="CK878" s="233"/>
      <c r="CL878" s="233"/>
      <c r="CM878" s="233"/>
      <c r="CN878" s="233"/>
      <c r="CO878" s="233"/>
      <c r="CP878" s="233"/>
      <c r="CQ878" s="233"/>
      <c r="CR878" s="233"/>
      <c r="CS878" s="233"/>
      <c r="CT878" s="233"/>
      <c r="CU878" s="233"/>
      <c r="CV878" s="233"/>
      <c r="CW878" s="233"/>
      <c r="CX878" s="233"/>
      <c r="CY878" s="233"/>
      <c r="CZ878" s="233"/>
      <c r="DA878" s="233"/>
      <c r="DB878" s="233"/>
      <c r="DC878" s="233"/>
      <c r="DD878" s="233"/>
      <c r="DE878" s="233"/>
      <c r="DF878" s="233"/>
      <c r="DG878" s="233"/>
      <c r="DH878" s="233"/>
      <c r="DI878" s="233"/>
      <c r="DJ878" s="233"/>
      <c r="DK878" s="233"/>
      <c r="DL878" s="233"/>
      <c r="DM878" s="233"/>
      <c r="DN878" s="233"/>
      <c r="DO878" s="233"/>
      <c r="DP878" s="233"/>
      <c r="DQ878" s="233"/>
      <c r="DR878" s="233"/>
      <c r="DS878" s="233"/>
      <c r="DT878" s="233"/>
      <c r="DU878" s="233"/>
      <c r="DV878" s="233"/>
      <c r="DW878" s="233"/>
      <c r="DX878" s="233"/>
      <c r="DY878" s="233"/>
      <c r="DZ878" s="233"/>
      <c r="EA878" s="233"/>
      <c r="EB878" s="233"/>
      <c r="EC878" s="233"/>
      <c r="ED878" s="233"/>
      <c r="EE878" s="233"/>
      <c r="EF878" s="233"/>
      <c r="EG878" s="233"/>
      <c r="EH878" s="233"/>
      <c r="EI878" s="233"/>
      <c r="EJ878" s="233"/>
      <c r="EK878" s="233"/>
      <c r="EL878" s="233"/>
      <c r="EM878" s="233"/>
      <c r="EN878" s="233"/>
      <c r="EO878" s="233"/>
      <c r="EP878" s="233"/>
    </row>
    <row r="879" spans="1:146" ht="14.25" x14ac:dyDescent="0.2">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c r="AV879" s="233"/>
      <c r="AW879" s="233"/>
      <c r="AX879" s="233"/>
      <c r="AY879" s="233"/>
      <c r="AZ879" s="233"/>
      <c r="BA879" s="233"/>
      <c r="BB879" s="233"/>
      <c r="BC879" s="233"/>
      <c r="BD879" s="233"/>
      <c r="BE879" s="233"/>
      <c r="BF879" s="233"/>
      <c r="BG879" s="233"/>
      <c r="BH879" s="233"/>
      <c r="BI879" s="233"/>
      <c r="BJ879" s="233"/>
      <c r="BK879" s="233"/>
      <c r="BL879" s="233"/>
      <c r="BM879" s="233"/>
      <c r="BN879" s="233"/>
      <c r="BO879" s="233"/>
      <c r="BP879" s="233"/>
      <c r="BQ879" s="233"/>
      <c r="BR879" s="233"/>
      <c r="BS879" s="233"/>
      <c r="BT879" s="233"/>
      <c r="BU879" s="233"/>
      <c r="BV879" s="233"/>
      <c r="BW879" s="233"/>
      <c r="BX879" s="233"/>
      <c r="BY879" s="233"/>
      <c r="BZ879" s="233"/>
      <c r="CA879" s="233"/>
      <c r="CB879" s="233"/>
      <c r="CC879" s="233"/>
      <c r="CD879" s="233"/>
      <c r="CE879" s="233"/>
      <c r="CF879" s="233"/>
      <c r="CG879" s="233"/>
      <c r="CH879" s="233"/>
      <c r="CI879" s="233"/>
      <c r="CJ879" s="233"/>
      <c r="CK879" s="233"/>
      <c r="CL879" s="233"/>
      <c r="CM879" s="233"/>
      <c r="CN879" s="233"/>
      <c r="CO879" s="233"/>
      <c r="CP879" s="233"/>
      <c r="CQ879" s="233"/>
      <c r="CR879" s="233"/>
      <c r="CS879" s="233"/>
      <c r="CT879" s="233"/>
      <c r="CU879" s="233"/>
      <c r="CV879" s="233"/>
      <c r="CW879" s="233"/>
      <c r="CX879" s="233"/>
      <c r="CY879" s="233"/>
      <c r="CZ879" s="233"/>
      <c r="DA879" s="233"/>
      <c r="DB879" s="233"/>
      <c r="DC879" s="233"/>
      <c r="DD879" s="233"/>
      <c r="DE879" s="233"/>
      <c r="DF879" s="233"/>
      <c r="DG879" s="233"/>
      <c r="DH879" s="233"/>
      <c r="DI879" s="233"/>
      <c r="DJ879" s="233"/>
      <c r="DK879" s="233"/>
      <c r="DL879" s="233"/>
      <c r="DM879" s="233"/>
      <c r="DN879" s="233"/>
      <c r="DO879" s="233"/>
      <c r="DP879" s="233"/>
      <c r="DQ879" s="233"/>
      <c r="DR879" s="233"/>
      <c r="DS879" s="233"/>
      <c r="DT879" s="233"/>
      <c r="DU879" s="233"/>
      <c r="DV879" s="233"/>
      <c r="DW879" s="233"/>
      <c r="DX879" s="233"/>
      <c r="DY879" s="233"/>
      <c r="DZ879" s="233"/>
      <c r="EA879" s="233"/>
      <c r="EB879" s="233"/>
      <c r="EC879" s="233"/>
      <c r="ED879" s="233"/>
      <c r="EE879" s="233"/>
      <c r="EF879" s="233"/>
      <c r="EG879" s="233"/>
      <c r="EH879" s="233"/>
      <c r="EI879" s="233"/>
      <c r="EJ879" s="233"/>
      <c r="EK879" s="233"/>
      <c r="EL879" s="233"/>
      <c r="EM879" s="233"/>
      <c r="EN879" s="233"/>
      <c r="EO879" s="233"/>
      <c r="EP879" s="233"/>
    </row>
    <row r="880" spans="1:146" ht="14.25" x14ac:dyDescent="0.2">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c r="AW880" s="233"/>
      <c r="AX880" s="233"/>
      <c r="AY880" s="233"/>
      <c r="AZ880" s="233"/>
      <c r="BA880" s="233"/>
      <c r="BB880" s="233"/>
      <c r="BC880" s="233"/>
      <c r="BD880" s="233"/>
      <c r="BE880" s="233"/>
      <c r="BF880" s="233"/>
      <c r="BG880" s="233"/>
      <c r="BH880" s="233"/>
      <c r="BI880" s="233"/>
      <c r="BJ880" s="233"/>
      <c r="BK880" s="233"/>
      <c r="BL880" s="233"/>
      <c r="BM880" s="233"/>
      <c r="BN880" s="233"/>
      <c r="BO880" s="233"/>
      <c r="BP880" s="233"/>
      <c r="BQ880" s="233"/>
      <c r="BR880" s="233"/>
      <c r="BS880" s="233"/>
      <c r="BT880" s="233"/>
      <c r="BU880" s="233"/>
      <c r="BV880" s="233"/>
      <c r="BW880" s="233"/>
      <c r="BX880" s="233"/>
      <c r="BY880" s="233"/>
      <c r="BZ880" s="233"/>
      <c r="CA880" s="233"/>
      <c r="CB880" s="233"/>
      <c r="CC880" s="233"/>
      <c r="CD880" s="233"/>
      <c r="CE880" s="233"/>
      <c r="CF880" s="233"/>
      <c r="CG880" s="233"/>
      <c r="CH880" s="233"/>
      <c r="CI880" s="233"/>
      <c r="CJ880" s="233"/>
      <c r="CK880" s="233"/>
      <c r="CL880" s="233"/>
      <c r="CM880" s="233"/>
      <c r="CN880" s="233"/>
      <c r="CO880" s="233"/>
      <c r="CP880" s="233"/>
      <c r="CQ880" s="233"/>
      <c r="CR880" s="233"/>
      <c r="CS880" s="233"/>
      <c r="CT880" s="233"/>
      <c r="CU880" s="233"/>
      <c r="CV880" s="233"/>
      <c r="CW880" s="233"/>
      <c r="CX880" s="233"/>
      <c r="CY880" s="233"/>
      <c r="CZ880" s="233"/>
      <c r="DA880" s="233"/>
      <c r="DB880" s="233"/>
      <c r="DC880" s="233"/>
      <c r="DD880" s="233"/>
      <c r="DE880" s="233"/>
      <c r="DF880" s="233"/>
      <c r="DG880" s="233"/>
      <c r="DH880" s="233"/>
      <c r="DI880" s="233"/>
      <c r="DJ880" s="233"/>
      <c r="DK880" s="233"/>
      <c r="DL880" s="233"/>
      <c r="DM880" s="233"/>
      <c r="DN880" s="233"/>
      <c r="DO880" s="233"/>
      <c r="DP880" s="233"/>
      <c r="DQ880" s="233"/>
      <c r="DR880" s="233"/>
      <c r="DS880" s="233"/>
      <c r="DT880" s="233"/>
      <c r="DU880" s="233"/>
      <c r="DV880" s="233"/>
      <c r="DW880" s="233"/>
      <c r="DX880" s="233"/>
      <c r="DY880" s="233"/>
      <c r="DZ880" s="233"/>
      <c r="EA880" s="233"/>
      <c r="EB880" s="233"/>
      <c r="EC880" s="233"/>
      <c r="ED880" s="233"/>
      <c r="EE880" s="233"/>
      <c r="EF880" s="233"/>
      <c r="EG880" s="233"/>
      <c r="EH880" s="233"/>
      <c r="EI880" s="233"/>
      <c r="EJ880" s="233"/>
      <c r="EK880" s="233"/>
      <c r="EL880" s="233"/>
      <c r="EM880" s="233"/>
      <c r="EN880" s="233"/>
      <c r="EO880" s="233"/>
      <c r="EP880" s="233"/>
    </row>
    <row r="881" spans="1:146" ht="14.25" x14ac:dyDescent="0.2">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c r="AV881" s="233"/>
      <c r="AW881" s="233"/>
      <c r="AX881" s="233"/>
      <c r="AY881" s="233"/>
      <c r="AZ881" s="233"/>
      <c r="BA881" s="233"/>
      <c r="BB881" s="233"/>
      <c r="BC881" s="233"/>
      <c r="BD881" s="233"/>
      <c r="BE881" s="233"/>
      <c r="BF881" s="233"/>
      <c r="BG881" s="233"/>
      <c r="BH881" s="233"/>
      <c r="BI881" s="233"/>
      <c r="BJ881" s="233"/>
      <c r="BK881" s="233"/>
      <c r="BL881" s="233"/>
      <c r="BM881" s="233"/>
      <c r="BN881" s="233"/>
      <c r="BO881" s="233"/>
      <c r="BP881" s="233"/>
      <c r="BQ881" s="233"/>
      <c r="BR881" s="233"/>
      <c r="BS881" s="233"/>
      <c r="BT881" s="233"/>
      <c r="BU881" s="233"/>
      <c r="BV881" s="233"/>
      <c r="BW881" s="233"/>
      <c r="BX881" s="233"/>
      <c r="BY881" s="233"/>
      <c r="BZ881" s="233"/>
      <c r="CA881" s="233"/>
      <c r="CB881" s="233"/>
      <c r="CC881" s="233"/>
      <c r="CD881" s="233"/>
      <c r="CE881" s="233"/>
      <c r="CF881" s="233"/>
      <c r="CG881" s="233"/>
      <c r="CH881" s="233"/>
      <c r="CI881" s="233"/>
      <c r="CJ881" s="233"/>
      <c r="CK881" s="233"/>
      <c r="CL881" s="233"/>
      <c r="CM881" s="233"/>
      <c r="CN881" s="233"/>
      <c r="CO881" s="233"/>
      <c r="CP881" s="233"/>
      <c r="CQ881" s="233"/>
      <c r="CR881" s="233"/>
      <c r="CS881" s="233"/>
      <c r="CT881" s="233"/>
      <c r="CU881" s="233"/>
      <c r="CV881" s="233"/>
      <c r="CW881" s="233"/>
      <c r="CX881" s="233"/>
      <c r="CY881" s="233"/>
      <c r="CZ881" s="233"/>
      <c r="DA881" s="233"/>
      <c r="DB881" s="233"/>
      <c r="DC881" s="233"/>
      <c r="DD881" s="233"/>
      <c r="DE881" s="233"/>
      <c r="DF881" s="233"/>
      <c r="DG881" s="233"/>
      <c r="DH881" s="233"/>
      <c r="DI881" s="233"/>
      <c r="DJ881" s="233"/>
      <c r="DK881" s="233"/>
      <c r="DL881" s="233"/>
      <c r="DM881" s="233"/>
      <c r="DN881" s="233"/>
      <c r="DO881" s="233"/>
      <c r="DP881" s="233"/>
      <c r="DQ881" s="233"/>
      <c r="DR881" s="233"/>
      <c r="DS881" s="233"/>
      <c r="DT881" s="233"/>
      <c r="DU881" s="233"/>
      <c r="DV881" s="233"/>
      <c r="DW881" s="233"/>
      <c r="DX881" s="233"/>
      <c r="DY881" s="233"/>
      <c r="DZ881" s="233"/>
      <c r="EA881" s="233"/>
      <c r="EB881" s="233"/>
      <c r="EC881" s="233"/>
      <c r="ED881" s="233"/>
      <c r="EE881" s="233"/>
      <c r="EF881" s="233"/>
      <c r="EG881" s="233"/>
      <c r="EH881" s="233"/>
      <c r="EI881" s="233"/>
      <c r="EJ881" s="233"/>
      <c r="EK881" s="233"/>
      <c r="EL881" s="233"/>
      <c r="EM881" s="233"/>
      <c r="EN881" s="233"/>
      <c r="EO881" s="233"/>
      <c r="EP881" s="233"/>
    </row>
    <row r="882" spans="1:146" ht="14.25" x14ac:dyDescent="0.2">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c r="AV882" s="233"/>
      <c r="AW882" s="233"/>
      <c r="AX882" s="233"/>
      <c r="AY882" s="233"/>
      <c r="AZ882" s="233"/>
      <c r="BA882" s="233"/>
      <c r="BB882" s="233"/>
      <c r="BC882" s="233"/>
      <c r="BD882" s="233"/>
      <c r="BE882" s="233"/>
      <c r="BF882" s="233"/>
      <c r="BG882" s="233"/>
      <c r="BH882" s="233"/>
      <c r="BI882" s="233"/>
      <c r="BJ882" s="233"/>
      <c r="BK882" s="233"/>
      <c r="BL882" s="233"/>
      <c r="BM882" s="233"/>
      <c r="BN882" s="233"/>
      <c r="BO882" s="233"/>
      <c r="BP882" s="233"/>
      <c r="BQ882" s="233"/>
      <c r="BR882" s="233"/>
      <c r="BS882" s="233"/>
      <c r="BT882" s="233"/>
      <c r="BU882" s="233"/>
      <c r="BV882" s="233"/>
      <c r="BW882" s="233"/>
      <c r="BX882" s="233"/>
      <c r="BY882" s="233"/>
      <c r="BZ882" s="233"/>
      <c r="CA882" s="233"/>
      <c r="CB882" s="233"/>
      <c r="CC882" s="233"/>
      <c r="CD882" s="233"/>
      <c r="CE882" s="233"/>
      <c r="CF882" s="233"/>
      <c r="CG882" s="233"/>
      <c r="CH882" s="233"/>
      <c r="CI882" s="233"/>
      <c r="CJ882" s="233"/>
      <c r="CK882" s="233"/>
      <c r="CL882" s="233"/>
      <c r="CM882" s="233"/>
      <c r="CN882" s="233"/>
      <c r="CO882" s="233"/>
      <c r="CP882" s="233"/>
      <c r="CQ882" s="233"/>
      <c r="CR882" s="233"/>
      <c r="CS882" s="233"/>
      <c r="CT882" s="233"/>
      <c r="CU882" s="233"/>
      <c r="CV882" s="233"/>
      <c r="CW882" s="233"/>
      <c r="CX882" s="233"/>
      <c r="CY882" s="233"/>
      <c r="CZ882" s="233"/>
      <c r="DA882" s="233"/>
      <c r="DB882" s="233"/>
      <c r="DC882" s="233"/>
      <c r="DD882" s="233"/>
      <c r="DE882" s="233"/>
      <c r="DF882" s="233"/>
      <c r="DG882" s="233"/>
      <c r="DH882" s="233"/>
      <c r="DI882" s="233"/>
      <c r="DJ882" s="233"/>
      <c r="DK882" s="233"/>
      <c r="DL882" s="233"/>
      <c r="DM882" s="233"/>
      <c r="DN882" s="233"/>
      <c r="DO882" s="233"/>
      <c r="DP882" s="233"/>
      <c r="DQ882" s="233"/>
      <c r="DR882" s="233"/>
      <c r="DS882" s="233"/>
      <c r="DT882" s="233"/>
      <c r="DU882" s="233"/>
      <c r="DV882" s="233"/>
      <c r="DW882" s="233"/>
      <c r="DX882" s="233"/>
      <c r="DY882" s="233"/>
      <c r="DZ882" s="233"/>
      <c r="EA882" s="233"/>
      <c r="EB882" s="233"/>
      <c r="EC882" s="233"/>
      <c r="ED882" s="233"/>
      <c r="EE882" s="233"/>
      <c r="EF882" s="233"/>
      <c r="EG882" s="233"/>
      <c r="EH882" s="233"/>
      <c r="EI882" s="233"/>
      <c r="EJ882" s="233"/>
      <c r="EK882" s="233"/>
      <c r="EL882" s="233"/>
      <c r="EM882" s="233"/>
      <c r="EN882" s="233"/>
      <c r="EO882" s="233"/>
      <c r="EP882" s="233"/>
    </row>
    <row r="883" spans="1:146" ht="14.25" x14ac:dyDescent="0.2">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c r="AV883" s="233"/>
      <c r="AW883" s="233"/>
      <c r="AX883" s="233"/>
      <c r="AY883" s="233"/>
      <c r="AZ883" s="233"/>
      <c r="BA883" s="233"/>
      <c r="BB883" s="233"/>
      <c r="BC883" s="233"/>
      <c r="BD883" s="233"/>
      <c r="BE883" s="233"/>
      <c r="BF883" s="233"/>
      <c r="BG883" s="233"/>
      <c r="BH883" s="233"/>
      <c r="BI883" s="233"/>
      <c r="BJ883" s="233"/>
      <c r="BK883" s="233"/>
      <c r="BL883" s="233"/>
      <c r="BM883" s="233"/>
      <c r="BN883" s="233"/>
      <c r="BO883" s="233"/>
      <c r="BP883" s="233"/>
      <c r="BQ883" s="233"/>
      <c r="BR883" s="233"/>
      <c r="BS883" s="233"/>
      <c r="BT883" s="233"/>
      <c r="BU883" s="233"/>
      <c r="BV883" s="233"/>
      <c r="BW883" s="233"/>
      <c r="BX883" s="233"/>
      <c r="BY883" s="233"/>
      <c r="BZ883" s="233"/>
      <c r="CA883" s="233"/>
      <c r="CB883" s="233"/>
      <c r="CC883" s="233"/>
      <c r="CD883" s="233"/>
      <c r="CE883" s="233"/>
      <c r="CF883" s="233"/>
      <c r="CG883" s="233"/>
      <c r="CH883" s="233"/>
      <c r="CI883" s="233"/>
      <c r="CJ883" s="233"/>
      <c r="CK883" s="233"/>
      <c r="CL883" s="233"/>
      <c r="CM883" s="233"/>
      <c r="CN883" s="233"/>
      <c r="CO883" s="233"/>
      <c r="CP883" s="233"/>
      <c r="CQ883" s="233"/>
      <c r="CR883" s="233"/>
      <c r="CS883" s="233"/>
      <c r="CT883" s="233"/>
      <c r="CU883" s="233"/>
      <c r="CV883" s="233"/>
      <c r="CW883" s="233"/>
      <c r="CX883" s="233"/>
      <c r="CY883" s="233"/>
      <c r="CZ883" s="233"/>
      <c r="DA883" s="233"/>
      <c r="DB883" s="233"/>
      <c r="DC883" s="233"/>
      <c r="DD883" s="233"/>
      <c r="DE883" s="233"/>
      <c r="DF883" s="233"/>
      <c r="DG883" s="233"/>
      <c r="DH883" s="233"/>
      <c r="DI883" s="233"/>
      <c r="DJ883" s="233"/>
      <c r="DK883" s="233"/>
      <c r="DL883" s="233"/>
      <c r="DM883" s="233"/>
      <c r="DN883" s="233"/>
      <c r="DO883" s="233"/>
      <c r="DP883" s="233"/>
      <c r="DQ883" s="233"/>
      <c r="DR883" s="233"/>
      <c r="DS883" s="233"/>
      <c r="DT883" s="233"/>
      <c r="DU883" s="233"/>
      <c r="DV883" s="233"/>
      <c r="DW883" s="233"/>
      <c r="DX883" s="233"/>
      <c r="DY883" s="233"/>
      <c r="DZ883" s="233"/>
      <c r="EA883" s="233"/>
      <c r="EB883" s="233"/>
      <c r="EC883" s="233"/>
      <c r="ED883" s="233"/>
      <c r="EE883" s="233"/>
      <c r="EF883" s="233"/>
      <c r="EG883" s="233"/>
      <c r="EH883" s="233"/>
      <c r="EI883" s="233"/>
      <c r="EJ883" s="233"/>
      <c r="EK883" s="233"/>
      <c r="EL883" s="233"/>
      <c r="EM883" s="233"/>
      <c r="EN883" s="233"/>
      <c r="EO883" s="233"/>
      <c r="EP883" s="233"/>
    </row>
    <row r="884" spans="1:146" ht="14.25" x14ac:dyDescent="0.2">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c r="AV884" s="233"/>
      <c r="AW884" s="233"/>
      <c r="AX884" s="233"/>
      <c r="AY884" s="233"/>
      <c r="AZ884" s="233"/>
      <c r="BA884" s="233"/>
      <c r="BB884" s="233"/>
      <c r="BC884" s="233"/>
      <c r="BD884" s="233"/>
      <c r="BE884" s="233"/>
      <c r="BF884" s="233"/>
      <c r="BG884" s="233"/>
      <c r="BH884" s="233"/>
      <c r="BI884" s="233"/>
      <c r="BJ884" s="233"/>
      <c r="BK884" s="233"/>
      <c r="BL884" s="233"/>
      <c r="BM884" s="233"/>
      <c r="BN884" s="233"/>
      <c r="BO884" s="233"/>
      <c r="BP884" s="233"/>
      <c r="BQ884" s="233"/>
      <c r="BR884" s="233"/>
      <c r="BS884" s="233"/>
      <c r="BT884" s="233"/>
      <c r="BU884" s="233"/>
      <c r="BV884" s="233"/>
      <c r="BW884" s="233"/>
      <c r="BX884" s="233"/>
      <c r="BY884" s="233"/>
      <c r="BZ884" s="233"/>
      <c r="CA884" s="233"/>
      <c r="CB884" s="233"/>
      <c r="CC884" s="233"/>
      <c r="CD884" s="233"/>
      <c r="CE884" s="233"/>
      <c r="CF884" s="233"/>
      <c r="CG884" s="233"/>
      <c r="CH884" s="233"/>
      <c r="CI884" s="233"/>
      <c r="CJ884" s="233"/>
      <c r="CK884" s="233"/>
      <c r="CL884" s="233"/>
      <c r="CM884" s="233"/>
      <c r="CN884" s="233"/>
      <c r="CO884" s="233"/>
      <c r="CP884" s="233"/>
      <c r="CQ884" s="233"/>
      <c r="CR884" s="233"/>
      <c r="CS884" s="233"/>
      <c r="CT884" s="233"/>
      <c r="CU884" s="233"/>
      <c r="CV884" s="233"/>
      <c r="CW884" s="233"/>
      <c r="CX884" s="233"/>
      <c r="CY884" s="233"/>
      <c r="CZ884" s="233"/>
      <c r="DA884" s="233"/>
      <c r="DB884" s="233"/>
      <c r="DC884" s="233"/>
      <c r="DD884" s="233"/>
      <c r="DE884" s="233"/>
      <c r="DF884" s="233"/>
      <c r="DG884" s="233"/>
      <c r="DH884" s="233"/>
      <c r="DI884" s="233"/>
      <c r="DJ884" s="233"/>
      <c r="DK884" s="233"/>
      <c r="DL884" s="233"/>
      <c r="DM884" s="233"/>
      <c r="DN884" s="233"/>
      <c r="DO884" s="233"/>
      <c r="DP884" s="233"/>
      <c r="DQ884" s="233"/>
      <c r="DR884" s="233"/>
      <c r="DS884" s="233"/>
      <c r="DT884" s="233"/>
      <c r="DU884" s="233"/>
      <c r="DV884" s="233"/>
      <c r="DW884" s="233"/>
      <c r="DX884" s="233"/>
      <c r="DY884" s="233"/>
      <c r="DZ884" s="233"/>
      <c r="EA884" s="233"/>
      <c r="EB884" s="233"/>
      <c r="EC884" s="233"/>
      <c r="ED884" s="233"/>
      <c r="EE884" s="233"/>
      <c r="EF884" s="233"/>
      <c r="EG884" s="233"/>
      <c r="EH884" s="233"/>
      <c r="EI884" s="233"/>
      <c r="EJ884" s="233"/>
      <c r="EK884" s="233"/>
      <c r="EL884" s="233"/>
      <c r="EM884" s="233"/>
      <c r="EN884" s="233"/>
      <c r="EO884" s="233"/>
      <c r="EP884" s="233"/>
    </row>
    <row r="885" spans="1:146" ht="14.25" x14ac:dyDescent="0.2">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c r="AV885" s="233"/>
      <c r="AW885" s="233"/>
      <c r="AX885" s="233"/>
      <c r="AY885" s="233"/>
      <c r="AZ885" s="233"/>
      <c r="BA885" s="233"/>
      <c r="BB885" s="233"/>
      <c r="BC885" s="233"/>
      <c r="BD885" s="233"/>
      <c r="BE885" s="233"/>
      <c r="BF885" s="233"/>
      <c r="BG885" s="233"/>
      <c r="BH885" s="233"/>
      <c r="BI885" s="233"/>
      <c r="BJ885" s="233"/>
      <c r="BK885" s="233"/>
      <c r="BL885" s="233"/>
      <c r="BM885" s="233"/>
      <c r="BN885" s="233"/>
      <c r="BO885" s="233"/>
      <c r="BP885" s="233"/>
      <c r="BQ885" s="233"/>
      <c r="BR885" s="233"/>
      <c r="BS885" s="233"/>
      <c r="BT885" s="233"/>
      <c r="BU885" s="233"/>
      <c r="BV885" s="233"/>
      <c r="BW885" s="233"/>
      <c r="BX885" s="233"/>
      <c r="BY885" s="233"/>
      <c r="BZ885" s="233"/>
      <c r="CA885" s="233"/>
      <c r="CB885" s="233"/>
      <c r="CC885" s="233"/>
      <c r="CD885" s="233"/>
      <c r="CE885" s="233"/>
      <c r="CF885" s="233"/>
      <c r="CG885" s="233"/>
      <c r="CH885" s="233"/>
      <c r="CI885" s="233"/>
      <c r="CJ885" s="233"/>
      <c r="CK885" s="233"/>
      <c r="CL885" s="233"/>
      <c r="CM885" s="233"/>
      <c r="CN885" s="233"/>
      <c r="CO885" s="233"/>
      <c r="CP885" s="233"/>
      <c r="CQ885" s="233"/>
      <c r="CR885" s="233"/>
      <c r="CS885" s="233"/>
      <c r="CT885" s="233"/>
      <c r="CU885" s="233"/>
      <c r="CV885" s="233"/>
      <c r="CW885" s="233"/>
      <c r="CX885" s="233"/>
      <c r="CY885" s="233"/>
      <c r="CZ885" s="233"/>
      <c r="DA885" s="233"/>
      <c r="DB885" s="233"/>
      <c r="DC885" s="233"/>
      <c r="DD885" s="233"/>
      <c r="DE885" s="233"/>
      <c r="DF885" s="233"/>
      <c r="DG885" s="233"/>
      <c r="DH885" s="233"/>
      <c r="DI885" s="233"/>
      <c r="DJ885" s="233"/>
      <c r="DK885" s="233"/>
      <c r="DL885" s="233"/>
      <c r="DM885" s="233"/>
      <c r="DN885" s="233"/>
      <c r="DO885" s="233"/>
      <c r="DP885" s="233"/>
      <c r="DQ885" s="233"/>
      <c r="DR885" s="233"/>
      <c r="DS885" s="233"/>
      <c r="DT885" s="233"/>
      <c r="DU885" s="233"/>
      <c r="DV885" s="233"/>
      <c r="DW885" s="233"/>
      <c r="DX885" s="233"/>
      <c r="DY885" s="233"/>
      <c r="DZ885" s="233"/>
      <c r="EA885" s="233"/>
      <c r="EB885" s="233"/>
      <c r="EC885" s="233"/>
      <c r="ED885" s="233"/>
      <c r="EE885" s="233"/>
      <c r="EF885" s="233"/>
      <c r="EG885" s="233"/>
      <c r="EH885" s="233"/>
      <c r="EI885" s="233"/>
      <c r="EJ885" s="233"/>
      <c r="EK885" s="233"/>
      <c r="EL885" s="233"/>
      <c r="EM885" s="233"/>
      <c r="EN885" s="233"/>
      <c r="EO885" s="233"/>
      <c r="EP885" s="233"/>
    </row>
    <row r="886" spans="1:146" ht="14.25" x14ac:dyDescent="0.2">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c r="AV886" s="233"/>
      <c r="AW886" s="233"/>
      <c r="AX886" s="233"/>
      <c r="AY886" s="233"/>
      <c r="AZ886" s="233"/>
      <c r="BA886" s="233"/>
      <c r="BB886" s="233"/>
      <c r="BC886" s="233"/>
      <c r="BD886" s="233"/>
      <c r="BE886" s="233"/>
      <c r="BF886" s="233"/>
      <c r="BG886" s="233"/>
      <c r="BH886" s="233"/>
      <c r="BI886" s="233"/>
      <c r="BJ886" s="233"/>
      <c r="BK886" s="233"/>
      <c r="BL886" s="233"/>
      <c r="BM886" s="233"/>
      <c r="BN886" s="233"/>
      <c r="BO886" s="233"/>
      <c r="BP886" s="233"/>
      <c r="BQ886" s="233"/>
      <c r="BR886" s="233"/>
      <c r="BS886" s="233"/>
      <c r="BT886" s="233"/>
      <c r="BU886" s="233"/>
      <c r="BV886" s="233"/>
      <c r="BW886" s="233"/>
      <c r="BX886" s="233"/>
      <c r="BY886" s="233"/>
      <c r="BZ886" s="233"/>
      <c r="CA886" s="233"/>
      <c r="CB886" s="233"/>
      <c r="CC886" s="233"/>
      <c r="CD886" s="233"/>
      <c r="CE886" s="233"/>
      <c r="CF886" s="233"/>
      <c r="CG886" s="233"/>
      <c r="CH886" s="233"/>
      <c r="CI886" s="233"/>
      <c r="CJ886" s="233"/>
      <c r="CK886" s="233"/>
      <c r="CL886" s="233"/>
      <c r="CM886" s="233"/>
      <c r="CN886" s="233"/>
      <c r="CO886" s="233"/>
      <c r="CP886" s="233"/>
      <c r="CQ886" s="233"/>
      <c r="CR886" s="233"/>
      <c r="CS886" s="233"/>
      <c r="CT886" s="233"/>
      <c r="CU886" s="233"/>
      <c r="CV886" s="233"/>
      <c r="CW886" s="233"/>
      <c r="CX886" s="233"/>
      <c r="CY886" s="233"/>
      <c r="CZ886" s="233"/>
      <c r="DA886" s="233"/>
      <c r="DB886" s="233"/>
      <c r="DC886" s="233"/>
      <c r="DD886" s="233"/>
      <c r="DE886" s="233"/>
      <c r="DF886" s="233"/>
      <c r="DG886" s="233"/>
      <c r="DH886" s="233"/>
      <c r="DI886" s="233"/>
      <c r="DJ886" s="233"/>
      <c r="DK886" s="233"/>
      <c r="DL886" s="233"/>
      <c r="DM886" s="233"/>
      <c r="DN886" s="233"/>
      <c r="DO886" s="233"/>
      <c r="DP886" s="233"/>
      <c r="DQ886" s="233"/>
      <c r="DR886" s="233"/>
      <c r="DS886" s="233"/>
      <c r="DT886" s="233"/>
      <c r="DU886" s="233"/>
      <c r="DV886" s="233"/>
      <c r="DW886" s="233"/>
      <c r="DX886" s="233"/>
      <c r="DY886" s="233"/>
      <c r="DZ886" s="233"/>
      <c r="EA886" s="233"/>
      <c r="EB886" s="233"/>
      <c r="EC886" s="233"/>
      <c r="ED886" s="233"/>
      <c r="EE886" s="233"/>
      <c r="EF886" s="233"/>
      <c r="EG886" s="233"/>
      <c r="EH886" s="233"/>
      <c r="EI886" s="233"/>
      <c r="EJ886" s="233"/>
      <c r="EK886" s="233"/>
      <c r="EL886" s="233"/>
      <c r="EM886" s="233"/>
      <c r="EN886" s="233"/>
      <c r="EO886" s="233"/>
      <c r="EP886" s="233"/>
    </row>
    <row r="887" spans="1:146" ht="14.25" x14ac:dyDescent="0.2">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c r="AV887" s="233"/>
      <c r="AW887" s="233"/>
      <c r="AX887" s="233"/>
      <c r="AY887" s="233"/>
      <c r="AZ887" s="233"/>
      <c r="BA887" s="233"/>
      <c r="BB887" s="233"/>
      <c r="BC887" s="233"/>
      <c r="BD887" s="233"/>
      <c r="BE887" s="233"/>
      <c r="BF887" s="233"/>
      <c r="BG887" s="233"/>
      <c r="BH887" s="233"/>
      <c r="BI887" s="233"/>
      <c r="BJ887" s="233"/>
      <c r="BK887" s="233"/>
      <c r="BL887" s="233"/>
      <c r="BM887" s="233"/>
      <c r="BN887" s="233"/>
      <c r="BO887" s="233"/>
      <c r="BP887" s="233"/>
      <c r="BQ887" s="233"/>
      <c r="BR887" s="233"/>
      <c r="BS887" s="233"/>
      <c r="BT887" s="233"/>
      <c r="BU887" s="233"/>
      <c r="BV887" s="233"/>
      <c r="BW887" s="233"/>
      <c r="BX887" s="233"/>
      <c r="BY887" s="233"/>
      <c r="BZ887" s="233"/>
      <c r="CA887" s="233"/>
      <c r="CB887" s="233"/>
      <c r="CC887" s="233"/>
      <c r="CD887" s="233"/>
      <c r="CE887" s="233"/>
      <c r="CF887" s="233"/>
      <c r="CG887" s="233"/>
      <c r="CH887" s="233"/>
      <c r="CI887" s="233"/>
      <c r="CJ887" s="233"/>
      <c r="CK887" s="233"/>
      <c r="CL887" s="233"/>
      <c r="CM887" s="233"/>
      <c r="CN887" s="233"/>
      <c r="CO887" s="233"/>
      <c r="CP887" s="233"/>
      <c r="CQ887" s="233"/>
      <c r="CR887" s="233"/>
      <c r="CS887" s="233"/>
      <c r="CT887" s="233"/>
      <c r="CU887" s="233"/>
      <c r="CV887" s="233"/>
      <c r="CW887" s="233"/>
      <c r="CX887" s="233"/>
      <c r="CY887" s="233"/>
      <c r="CZ887" s="233"/>
      <c r="DA887" s="233"/>
      <c r="DB887" s="233"/>
      <c r="DC887" s="233"/>
      <c r="DD887" s="233"/>
      <c r="DE887" s="233"/>
      <c r="DF887" s="233"/>
      <c r="DG887" s="233"/>
      <c r="DH887" s="233"/>
      <c r="DI887" s="233"/>
      <c r="DJ887" s="233"/>
      <c r="DK887" s="233"/>
      <c r="DL887" s="233"/>
      <c r="DM887" s="233"/>
      <c r="DN887" s="233"/>
      <c r="DO887" s="233"/>
      <c r="DP887" s="233"/>
      <c r="DQ887" s="233"/>
      <c r="DR887" s="233"/>
      <c r="DS887" s="233"/>
      <c r="DT887" s="233"/>
      <c r="DU887" s="233"/>
      <c r="DV887" s="233"/>
      <c r="DW887" s="233"/>
      <c r="DX887" s="233"/>
      <c r="DY887" s="233"/>
      <c r="DZ887" s="233"/>
      <c r="EA887" s="233"/>
      <c r="EB887" s="233"/>
      <c r="EC887" s="233"/>
      <c r="ED887" s="233"/>
      <c r="EE887" s="233"/>
      <c r="EF887" s="233"/>
      <c r="EG887" s="233"/>
      <c r="EH887" s="233"/>
      <c r="EI887" s="233"/>
      <c r="EJ887" s="233"/>
      <c r="EK887" s="233"/>
      <c r="EL887" s="233"/>
      <c r="EM887" s="233"/>
      <c r="EN887" s="233"/>
      <c r="EO887" s="233"/>
      <c r="EP887" s="233"/>
    </row>
    <row r="888" spans="1:146" ht="14.25" x14ac:dyDescent="0.2">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c r="AV888" s="233"/>
      <c r="AW888" s="233"/>
      <c r="AX888" s="233"/>
      <c r="AY888" s="233"/>
      <c r="AZ888" s="233"/>
      <c r="BA888" s="233"/>
      <c r="BB888" s="233"/>
      <c r="BC888" s="233"/>
      <c r="BD888" s="233"/>
      <c r="BE888" s="233"/>
      <c r="BF888" s="233"/>
      <c r="BG888" s="233"/>
      <c r="BH888" s="233"/>
      <c r="BI888" s="233"/>
      <c r="BJ888" s="233"/>
      <c r="BK888" s="233"/>
      <c r="BL888" s="233"/>
      <c r="BM888" s="233"/>
      <c r="BN888" s="233"/>
      <c r="BO888" s="233"/>
      <c r="BP888" s="233"/>
      <c r="BQ888" s="233"/>
      <c r="BR888" s="233"/>
      <c r="BS888" s="233"/>
      <c r="BT888" s="233"/>
      <c r="BU888" s="233"/>
      <c r="BV888" s="233"/>
      <c r="BW888" s="233"/>
      <c r="BX888" s="233"/>
      <c r="BY888" s="233"/>
      <c r="BZ888" s="233"/>
      <c r="CA888" s="233"/>
      <c r="CB888" s="233"/>
      <c r="CC888" s="233"/>
      <c r="CD888" s="233"/>
      <c r="CE888" s="233"/>
      <c r="CF888" s="233"/>
      <c r="CG888" s="233"/>
      <c r="CH888" s="233"/>
      <c r="CI888" s="233"/>
      <c r="CJ888" s="233"/>
      <c r="CK888" s="233"/>
      <c r="CL888" s="233"/>
      <c r="CM888" s="233"/>
      <c r="CN888" s="233"/>
      <c r="CO888" s="233"/>
      <c r="CP888" s="233"/>
      <c r="CQ888" s="233"/>
      <c r="CR888" s="233"/>
      <c r="CS888" s="233"/>
      <c r="CT888" s="233"/>
      <c r="CU888" s="233"/>
      <c r="CV888" s="233"/>
      <c r="CW888" s="233"/>
      <c r="CX888" s="233"/>
      <c r="CY888" s="233"/>
      <c r="CZ888" s="233"/>
      <c r="DA888" s="233"/>
      <c r="DB888" s="233"/>
      <c r="DC888" s="233"/>
      <c r="DD888" s="233"/>
      <c r="DE888" s="233"/>
      <c r="DF888" s="233"/>
      <c r="DG888" s="233"/>
      <c r="DH888" s="233"/>
      <c r="DI888" s="233"/>
      <c r="DJ888" s="233"/>
      <c r="DK888" s="233"/>
      <c r="DL888" s="233"/>
      <c r="DM888" s="233"/>
      <c r="DN888" s="233"/>
      <c r="DO888" s="233"/>
      <c r="DP888" s="233"/>
      <c r="DQ888" s="233"/>
      <c r="DR888" s="233"/>
      <c r="DS888" s="233"/>
      <c r="DT888" s="233"/>
      <c r="DU888" s="233"/>
      <c r="DV888" s="233"/>
      <c r="DW888" s="233"/>
      <c r="DX888" s="233"/>
      <c r="DY888" s="233"/>
      <c r="DZ888" s="233"/>
      <c r="EA888" s="233"/>
      <c r="EB888" s="233"/>
      <c r="EC888" s="233"/>
      <c r="ED888" s="233"/>
      <c r="EE888" s="233"/>
      <c r="EF888" s="233"/>
      <c r="EG888" s="233"/>
      <c r="EH888" s="233"/>
      <c r="EI888" s="233"/>
      <c r="EJ888" s="233"/>
      <c r="EK888" s="233"/>
      <c r="EL888" s="233"/>
      <c r="EM888" s="233"/>
      <c r="EN888" s="233"/>
      <c r="EO888" s="233"/>
      <c r="EP888" s="233"/>
    </row>
    <row r="889" spans="1:146" ht="14.25" x14ac:dyDescent="0.2">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c r="AV889" s="233"/>
      <c r="AW889" s="233"/>
      <c r="AX889" s="233"/>
      <c r="AY889" s="233"/>
      <c r="AZ889" s="233"/>
      <c r="BA889" s="233"/>
      <c r="BB889" s="233"/>
      <c r="BC889" s="233"/>
      <c r="BD889" s="233"/>
      <c r="BE889" s="233"/>
      <c r="BF889" s="233"/>
      <c r="BG889" s="233"/>
      <c r="BH889" s="233"/>
      <c r="BI889" s="233"/>
      <c r="BJ889" s="233"/>
      <c r="BK889" s="233"/>
      <c r="BL889" s="233"/>
      <c r="BM889" s="233"/>
      <c r="BN889" s="233"/>
      <c r="BO889" s="233"/>
      <c r="BP889" s="233"/>
      <c r="BQ889" s="233"/>
      <c r="BR889" s="233"/>
      <c r="BS889" s="233"/>
      <c r="BT889" s="233"/>
      <c r="BU889" s="233"/>
      <c r="BV889" s="233"/>
      <c r="BW889" s="233"/>
      <c r="BX889" s="233"/>
      <c r="BY889" s="233"/>
      <c r="BZ889" s="233"/>
      <c r="CA889" s="233"/>
      <c r="CB889" s="233"/>
      <c r="CC889" s="233"/>
      <c r="CD889" s="233"/>
      <c r="CE889" s="233"/>
      <c r="CF889" s="233"/>
      <c r="CG889" s="233"/>
      <c r="CH889" s="233"/>
      <c r="CI889" s="233"/>
      <c r="CJ889" s="233"/>
      <c r="CK889" s="233"/>
      <c r="CL889" s="233"/>
      <c r="CM889" s="233"/>
      <c r="CN889" s="233"/>
      <c r="CO889" s="233"/>
      <c r="CP889" s="233"/>
      <c r="CQ889" s="233"/>
      <c r="CR889" s="233"/>
      <c r="CS889" s="233"/>
      <c r="CT889" s="233"/>
      <c r="CU889" s="233"/>
      <c r="CV889" s="233"/>
      <c r="CW889" s="233"/>
      <c r="CX889" s="233"/>
      <c r="CY889" s="233"/>
      <c r="CZ889" s="233"/>
      <c r="DA889" s="233"/>
      <c r="DB889" s="233"/>
      <c r="DC889" s="233"/>
      <c r="DD889" s="233"/>
      <c r="DE889" s="233"/>
      <c r="DF889" s="233"/>
      <c r="DG889" s="233"/>
      <c r="DH889" s="233"/>
      <c r="DI889" s="233"/>
      <c r="DJ889" s="233"/>
      <c r="DK889" s="233"/>
      <c r="DL889" s="233"/>
      <c r="DM889" s="233"/>
      <c r="DN889" s="233"/>
      <c r="DO889" s="233"/>
      <c r="DP889" s="233"/>
      <c r="DQ889" s="233"/>
      <c r="DR889" s="233"/>
      <c r="DS889" s="233"/>
      <c r="DT889" s="233"/>
      <c r="DU889" s="233"/>
      <c r="DV889" s="233"/>
      <c r="DW889" s="233"/>
      <c r="DX889" s="233"/>
      <c r="DY889" s="233"/>
      <c r="DZ889" s="233"/>
      <c r="EA889" s="233"/>
      <c r="EB889" s="233"/>
      <c r="EC889" s="233"/>
      <c r="ED889" s="233"/>
      <c r="EE889" s="233"/>
      <c r="EF889" s="233"/>
      <c r="EG889" s="233"/>
      <c r="EH889" s="233"/>
      <c r="EI889" s="233"/>
      <c r="EJ889" s="233"/>
      <c r="EK889" s="233"/>
      <c r="EL889" s="233"/>
      <c r="EM889" s="233"/>
      <c r="EN889" s="233"/>
      <c r="EO889" s="233"/>
      <c r="EP889" s="233"/>
    </row>
    <row r="890" spans="1:146" ht="14.25" x14ac:dyDescent="0.2">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c r="AW890" s="233"/>
      <c r="AX890" s="233"/>
      <c r="AY890" s="233"/>
      <c r="AZ890" s="233"/>
      <c r="BA890" s="233"/>
      <c r="BB890" s="233"/>
      <c r="BC890" s="233"/>
      <c r="BD890" s="233"/>
      <c r="BE890" s="233"/>
      <c r="BF890" s="233"/>
      <c r="BG890" s="233"/>
      <c r="BH890" s="233"/>
      <c r="BI890" s="233"/>
      <c r="BJ890" s="233"/>
      <c r="BK890" s="233"/>
      <c r="BL890" s="233"/>
      <c r="BM890" s="233"/>
      <c r="BN890" s="233"/>
      <c r="BO890" s="233"/>
      <c r="BP890" s="233"/>
      <c r="BQ890" s="233"/>
      <c r="BR890" s="233"/>
      <c r="BS890" s="233"/>
      <c r="BT890" s="233"/>
      <c r="BU890" s="233"/>
      <c r="BV890" s="233"/>
      <c r="BW890" s="233"/>
      <c r="BX890" s="233"/>
      <c r="BY890" s="233"/>
      <c r="BZ890" s="233"/>
      <c r="CA890" s="233"/>
      <c r="CB890" s="233"/>
      <c r="CC890" s="233"/>
      <c r="CD890" s="233"/>
      <c r="CE890" s="233"/>
      <c r="CF890" s="233"/>
      <c r="CG890" s="233"/>
      <c r="CH890" s="233"/>
      <c r="CI890" s="233"/>
      <c r="CJ890" s="233"/>
      <c r="CK890" s="233"/>
      <c r="CL890" s="233"/>
      <c r="CM890" s="233"/>
      <c r="CN890" s="233"/>
      <c r="CO890" s="233"/>
      <c r="CP890" s="233"/>
      <c r="CQ890" s="233"/>
      <c r="CR890" s="233"/>
      <c r="CS890" s="233"/>
      <c r="CT890" s="233"/>
      <c r="CU890" s="233"/>
      <c r="CV890" s="233"/>
      <c r="CW890" s="233"/>
      <c r="CX890" s="233"/>
      <c r="CY890" s="233"/>
      <c r="CZ890" s="233"/>
      <c r="DA890" s="233"/>
      <c r="DB890" s="233"/>
      <c r="DC890" s="233"/>
      <c r="DD890" s="233"/>
      <c r="DE890" s="233"/>
      <c r="DF890" s="233"/>
      <c r="DG890" s="233"/>
      <c r="DH890" s="233"/>
      <c r="DI890" s="233"/>
      <c r="DJ890" s="233"/>
      <c r="DK890" s="233"/>
      <c r="DL890" s="233"/>
      <c r="DM890" s="233"/>
      <c r="DN890" s="233"/>
      <c r="DO890" s="233"/>
      <c r="DP890" s="233"/>
      <c r="DQ890" s="233"/>
      <c r="DR890" s="233"/>
      <c r="DS890" s="233"/>
      <c r="DT890" s="233"/>
      <c r="DU890" s="233"/>
      <c r="DV890" s="233"/>
      <c r="DW890" s="233"/>
      <c r="DX890" s="233"/>
      <c r="DY890" s="233"/>
      <c r="DZ890" s="233"/>
      <c r="EA890" s="233"/>
      <c r="EB890" s="233"/>
      <c r="EC890" s="233"/>
      <c r="ED890" s="233"/>
      <c r="EE890" s="233"/>
      <c r="EF890" s="233"/>
      <c r="EG890" s="233"/>
      <c r="EH890" s="233"/>
      <c r="EI890" s="233"/>
      <c r="EJ890" s="233"/>
      <c r="EK890" s="233"/>
      <c r="EL890" s="233"/>
      <c r="EM890" s="233"/>
      <c r="EN890" s="233"/>
      <c r="EO890" s="233"/>
      <c r="EP890" s="233"/>
    </row>
    <row r="891" spans="1:146" ht="14.25" x14ac:dyDescent="0.2">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c r="AV891" s="233"/>
      <c r="AW891" s="233"/>
      <c r="AX891" s="233"/>
      <c r="AY891" s="233"/>
      <c r="AZ891" s="233"/>
      <c r="BA891" s="233"/>
      <c r="BB891" s="233"/>
      <c r="BC891" s="233"/>
      <c r="BD891" s="233"/>
      <c r="BE891" s="233"/>
      <c r="BF891" s="233"/>
      <c r="BG891" s="233"/>
      <c r="BH891" s="233"/>
      <c r="BI891" s="233"/>
      <c r="BJ891" s="233"/>
      <c r="BK891" s="233"/>
      <c r="BL891" s="233"/>
      <c r="BM891" s="233"/>
      <c r="BN891" s="233"/>
      <c r="BO891" s="233"/>
      <c r="BP891" s="233"/>
      <c r="BQ891" s="233"/>
      <c r="BR891" s="233"/>
      <c r="BS891" s="233"/>
      <c r="BT891" s="233"/>
      <c r="BU891" s="233"/>
      <c r="BV891" s="233"/>
      <c r="BW891" s="233"/>
      <c r="BX891" s="233"/>
      <c r="BY891" s="233"/>
      <c r="BZ891" s="233"/>
      <c r="CA891" s="233"/>
      <c r="CB891" s="233"/>
      <c r="CC891" s="233"/>
      <c r="CD891" s="233"/>
      <c r="CE891" s="233"/>
      <c r="CF891" s="233"/>
      <c r="CG891" s="233"/>
      <c r="CH891" s="233"/>
      <c r="CI891" s="233"/>
      <c r="CJ891" s="233"/>
      <c r="CK891" s="233"/>
      <c r="CL891" s="233"/>
      <c r="CM891" s="233"/>
      <c r="CN891" s="233"/>
      <c r="CO891" s="233"/>
      <c r="CP891" s="233"/>
      <c r="CQ891" s="233"/>
      <c r="CR891" s="233"/>
      <c r="CS891" s="233"/>
      <c r="CT891" s="233"/>
      <c r="CU891" s="233"/>
      <c r="CV891" s="233"/>
      <c r="CW891" s="233"/>
      <c r="CX891" s="233"/>
      <c r="CY891" s="233"/>
      <c r="CZ891" s="233"/>
      <c r="DA891" s="233"/>
      <c r="DB891" s="233"/>
      <c r="DC891" s="233"/>
      <c r="DD891" s="233"/>
      <c r="DE891" s="233"/>
      <c r="DF891" s="233"/>
      <c r="DG891" s="233"/>
      <c r="DH891" s="233"/>
      <c r="DI891" s="233"/>
      <c r="DJ891" s="233"/>
      <c r="DK891" s="233"/>
      <c r="DL891" s="233"/>
      <c r="DM891" s="233"/>
      <c r="DN891" s="233"/>
      <c r="DO891" s="233"/>
      <c r="DP891" s="233"/>
      <c r="DQ891" s="233"/>
      <c r="DR891" s="233"/>
      <c r="DS891" s="233"/>
      <c r="DT891" s="233"/>
      <c r="DU891" s="233"/>
      <c r="DV891" s="233"/>
      <c r="DW891" s="233"/>
      <c r="DX891" s="233"/>
      <c r="DY891" s="233"/>
      <c r="DZ891" s="233"/>
      <c r="EA891" s="233"/>
      <c r="EB891" s="233"/>
      <c r="EC891" s="233"/>
      <c r="ED891" s="233"/>
      <c r="EE891" s="233"/>
      <c r="EF891" s="233"/>
      <c r="EG891" s="233"/>
      <c r="EH891" s="233"/>
      <c r="EI891" s="233"/>
      <c r="EJ891" s="233"/>
      <c r="EK891" s="233"/>
      <c r="EL891" s="233"/>
      <c r="EM891" s="233"/>
      <c r="EN891" s="233"/>
      <c r="EO891" s="233"/>
      <c r="EP891" s="233"/>
    </row>
    <row r="892" spans="1:146" ht="14.25" x14ac:dyDescent="0.2">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c r="AV892" s="233"/>
      <c r="AW892" s="233"/>
      <c r="AX892" s="233"/>
      <c r="AY892" s="233"/>
      <c r="AZ892" s="233"/>
      <c r="BA892" s="233"/>
      <c r="BB892" s="233"/>
      <c r="BC892" s="233"/>
      <c r="BD892" s="233"/>
      <c r="BE892" s="233"/>
      <c r="BF892" s="233"/>
      <c r="BG892" s="233"/>
      <c r="BH892" s="233"/>
      <c r="BI892" s="233"/>
      <c r="BJ892" s="233"/>
      <c r="BK892" s="233"/>
      <c r="BL892" s="233"/>
      <c r="BM892" s="233"/>
      <c r="BN892" s="233"/>
      <c r="BO892" s="233"/>
      <c r="BP892" s="233"/>
      <c r="BQ892" s="233"/>
      <c r="BR892" s="233"/>
      <c r="BS892" s="233"/>
      <c r="BT892" s="233"/>
      <c r="BU892" s="233"/>
      <c r="BV892" s="233"/>
      <c r="BW892" s="233"/>
      <c r="BX892" s="233"/>
      <c r="BY892" s="233"/>
      <c r="BZ892" s="233"/>
      <c r="CA892" s="233"/>
      <c r="CB892" s="233"/>
      <c r="CC892" s="233"/>
      <c r="CD892" s="233"/>
      <c r="CE892" s="233"/>
      <c r="CF892" s="233"/>
      <c r="CG892" s="233"/>
      <c r="CH892" s="233"/>
      <c r="CI892" s="233"/>
      <c r="CJ892" s="233"/>
      <c r="CK892" s="233"/>
      <c r="CL892" s="233"/>
      <c r="CM892" s="233"/>
      <c r="CN892" s="233"/>
      <c r="CO892" s="233"/>
      <c r="CP892" s="233"/>
      <c r="CQ892" s="233"/>
      <c r="CR892" s="233"/>
      <c r="CS892" s="233"/>
      <c r="CT892" s="233"/>
      <c r="CU892" s="233"/>
      <c r="CV892" s="233"/>
      <c r="CW892" s="233"/>
      <c r="CX892" s="233"/>
      <c r="CY892" s="233"/>
      <c r="CZ892" s="233"/>
      <c r="DA892" s="233"/>
      <c r="DB892" s="233"/>
      <c r="DC892" s="233"/>
      <c r="DD892" s="233"/>
      <c r="DE892" s="233"/>
      <c r="DF892" s="233"/>
      <c r="DG892" s="233"/>
      <c r="DH892" s="233"/>
      <c r="DI892" s="233"/>
      <c r="DJ892" s="233"/>
      <c r="DK892" s="233"/>
      <c r="DL892" s="233"/>
      <c r="DM892" s="233"/>
      <c r="DN892" s="233"/>
      <c r="DO892" s="233"/>
      <c r="DP892" s="233"/>
      <c r="DQ892" s="233"/>
      <c r="DR892" s="233"/>
      <c r="DS892" s="233"/>
      <c r="DT892" s="233"/>
      <c r="DU892" s="233"/>
      <c r="DV892" s="233"/>
      <c r="DW892" s="233"/>
      <c r="DX892" s="233"/>
      <c r="DY892" s="233"/>
      <c r="DZ892" s="233"/>
      <c r="EA892" s="233"/>
      <c r="EB892" s="233"/>
      <c r="EC892" s="233"/>
      <c r="ED892" s="233"/>
      <c r="EE892" s="233"/>
      <c r="EF892" s="233"/>
      <c r="EG892" s="233"/>
      <c r="EH892" s="233"/>
      <c r="EI892" s="233"/>
      <c r="EJ892" s="233"/>
      <c r="EK892" s="233"/>
      <c r="EL892" s="233"/>
      <c r="EM892" s="233"/>
      <c r="EN892" s="233"/>
      <c r="EO892" s="233"/>
      <c r="EP892" s="233"/>
    </row>
    <row r="893" spans="1:146" ht="14.25" x14ac:dyDescent="0.2">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c r="AV893" s="233"/>
      <c r="AW893" s="233"/>
      <c r="AX893" s="233"/>
      <c r="AY893" s="233"/>
      <c r="AZ893" s="233"/>
      <c r="BA893" s="233"/>
      <c r="BB893" s="233"/>
      <c r="BC893" s="233"/>
      <c r="BD893" s="233"/>
      <c r="BE893" s="233"/>
      <c r="BF893" s="233"/>
      <c r="BG893" s="233"/>
      <c r="BH893" s="233"/>
      <c r="BI893" s="233"/>
      <c r="BJ893" s="233"/>
      <c r="BK893" s="233"/>
      <c r="BL893" s="233"/>
      <c r="BM893" s="233"/>
      <c r="BN893" s="233"/>
      <c r="BO893" s="233"/>
      <c r="BP893" s="233"/>
      <c r="BQ893" s="233"/>
      <c r="BR893" s="233"/>
      <c r="BS893" s="233"/>
      <c r="BT893" s="233"/>
      <c r="BU893" s="233"/>
      <c r="BV893" s="233"/>
      <c r="BW893" s="233"/>
      <c r="BX893" s="233"/>
      <c r="BY893" s="233"/>
      <c r="BZ893" s="233"/>
      <c r="CA893" s="233"/>
      <c r="CB893" s="233"/>
      <c r="CC893" s="233"/>
      <c r="CD893" s="233"/>
      <c r="CE893" s="233"/>
      <c r="CF893" s="233"/>
      <c r="CG893" s="233"/>
      <c r="CH893" s="233"/>
      <c r="CI893" s="233"/>
      <c r="CJ893" s="233"/>
      <c r="CK893" s="233"/>
      <c r="CL893" s="233"/>
      <c r="CM893" s="233"/>
      <c r="CN893" s="233"/>
      <c r="CO893" s="233"/>
      <c r="CP893" s="233"/>
      <c r="CQ893" s="233"/>
      <c r="CR893" s="233"/>
      <c r="CS893" s="233"/>
      <c r="CT893" s="233"/>
      <c r="CU893" s="233"/>
      <c r="CV893" s="233"/>
      <c r="CW893" s="233"/>
      <c r="CX893" s="233"/>
      <c r="CY893" s="233"/>
      <c r="CZ893" s="233"/>
      <c r="DA893" s="233"/>
      <c r="DB893" s="233"/>
      <c r="DC893" s="233"/>
      <c r="DD893" s="233"/>
      <c r="DE893" s="233"/>
      <c r="DF893" s="233"/>
      <c r="DG893" s="233"/>
      <c r="DH893" s="233"/>
      <c r="DI893" s="233"/>
      <c r="DJ893" s="233"/>
      <c r="DK893" s="233"/>
      <c r="DL893" s="233"/>
      <c r="DM893" s="233"/>
      <c r="DN893" s="233"/>
      <c r="DO893" s="233"/>
      <c r="DP893" s="233"/>
      <c r="DQ893" s="233"/>
      <c r="DR893" s="233"/>
      <c r="DS893" s="233"/>
      <c r="DT893" s="233"/>
      <c r="DU893" s="233"/>
      <c r="DV893" s="233"/>
      <c r="DW893" s="233"/>
      <c r="DX893" s="233"/>
      <c r="DY893" s="233"/>
      <c r="DZ893" s="233"/>
      <c r="EA893" s="233"/>
      <c r="EB893" s="233"/>
      <c r="EC893" s="233"/>
      <c r="ED893" s="233"/>
      <c r="EE893" s="233"/>
      <c r="EF893" s="233"/>
      <c r="EG893" s="233"/>
      <c r="EH893" s="233"/>
      <c r="EI893" s="233"/>
      <c r="EJ893" s="233"/>
      <c r="EK893" s="233"/>
      <c r="EL893" s="233"/>
      <c r="EM893" s="233"/>
      <c r="EN893" s="233"/>
      <c r="EO893" s="233"/>
      <c r="EP893" s="233"/>
    </row>
    <row r="894" spans="1:146" ht="14.25" x14ac:dyDescent="0.2">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c r="AV894" s="233"/>
      <c r="AW894" s="233"/>
      <c r="AX894" s="233"/>
      <c r="AY894" s="233"/>
      <c r="AZ894" s="233"/>
      <c r="BA894" s="233"/>
      <c r="BB894" s="233"/>
      <c r="BC894" s="233"/>
      <c r="BD894" s="233"/>
      <c r="BE894" s="233"/>
      <c r="BF894" s="233"/>
      <c r="BG894" s="233"/>
      <c r="BH894" s="233"/>
      <c r="BI894" s="233"/>
      <c r="BJ894" s="233"/>
      <c r="BK894" s="233"/>
      <c r="BL894" s="233"/>
      <c r="BM894" s="233"/>
      <c r="BN894" s="233"/>
      <c r="BO894" s="233"/>
      <c r="BP894" s="233"/>
      <c r="BQ894" s="233"/>
      <c r="BR894" s="233"/>
      <c r="BS894" s="233"/>
      <c r="BT894" s="233"/>
      <c r="BU894" s="233"/>
      <c r="BV894" s="233"/>
      <c r="BW894" s="233"/>
      <c r="BX894" s="233"/>
      <c r="BY894" s="233"/>
      <c r="BZ894" s="233"/>
      <c r="CA894" s="233"/>
      <c r="CB894" s="233"/>
      <c r="CC894" s="233"/>
      <c r="CD894" s="233"/>
      <c r="CE894" s="233"/>
      <c r="CF894" s="233"/>
      <c r="CG894" s="233"/>
      <c r="CH894" s="233"/>
      <c r="CI894" s="233"/>
      <c r="CJ894" s="233"/>
      <c r="CK894" s="233"/>
      <c r="CL894" s="233"/>
      <c r="CM894" s="233"/>
      <c r="CN894" s="233"/>
      <c r="CO894" s="233"/>
      <c r="CP894" s="233"/>
      <c r="CQ894" s="233"/>
      <c r="CR894" s="233"/>
      <c r="CS894" s="233"/>
      <c r="CT894" s="233"/>
      <c r="CU894" s="233"/>
      <c r="CV894" s="233"/>
      <c r="CW894" s="233"/>
      <c r="CX894" s="233"/>
      <c r="CY894" s="233"/>
      <c r="CZ894" s="233"/>
      <c r="DA894" s="233"/>
      <c r="DB894" s="233"/>
      <c r="DC894" s="233"/>
      <c r="DD894" s="233"/>
      <c r="DE894" s="233"/>
      <c r="DF894" s="233"/>
      <c r="DG894" s="233"/>
      <c r="DH894" s="233"/>
      <c r="DI894" s="233"/>
      <c r="DJ894" s="233"/>
      <c r="DK894" s="233"/>
      <c r="DL894" s="233"/>
      <c r="DM894" s="233"/>
      <c r="DN894" s="233"/>
      <c r="DO894" s="233"/>
      <c r="DP894" s="233"/>
      <c r="DQ894" s="233"/>
      <c r="DR894" s="233"/>
      <c r="DS894" s="233"/>
      <c r="DT894" s="233"/>
      <c r="DU894" s="233"/>
      <c r="DV894" s="233"/>
      <c r="DW894" s="233"/>
      <c r="DX894" s="233"/>
      <c r="DY894" s="233"/>
      <c r="DZ894" s="233"/>
      <c r="EA894" s="233"/>
      <c r="EB894" s="233"/>
      <c r="EC894" s="233"/>
      <c r="ED894" s="233"/>
      <c r="EE894" s="233"/>
      <c r="EF894" s="233"/>
      <c r="EG894" s="233"/>
      <c r="EH894" s="233"/>
      <c r="EI894" s="233"/>
      <c r="EJ894" s="233"/>
      <c r="EK894" s="233"/>
      <c r="EL894" s="233"/>
      <c r="EM894" s="233"/>
      <c r="EN894" s="233"/>
      <c r="EO894" s="233"/>
      <c r="EP894" s="233"/>
    </row>
    <row r="895" spans="1:146" ht="14.25" x14ac:dyDescent="0.2">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c r="AV895" s="233"/>
      <c r="AW895" s="233"/>
      <c r="AX895" s="233"/>
      <c r="AY895" s="233"/>
      <c r="AZ895" s="233"/>
      <c r="BA895" s="233"/>
      <c r="BB895" s="233"/>
      <c r="BC895" s="233"/>
      <c r="BD895" s="233"/>
      <c r="BE895" s="233"/>
      <c r="BF895" s="233"/>
      <c r="BG895" s="233"/>
      <c r="BH895" s="233"/>
      <c r="BI895" s="233"/>
      <c r="BJ895" s="233"/>
      <c r="BK895" s="233"/>
      <c r="BL895" s="233"/>
      <c r="BM895" s="233"/>
      <c r="BN895" s="233"/>
      <c r="BO895" s="233"/>
      <c r="BP895" s="233"/>
      <c r="BQ895" s="233"/>
      <c r="BR895" s="233"/>
      <c r="BS895" s="233"/>
      <c r="BT895" s="233"/>
      <c r="BU895" s="233"/>
      <c r="BV895" s="233"/>
      <c r="BW895" s="233"/>
      <c r="BX895" s="233"/>
      <c r="BY895" s="233"/>
      <c r="BZ895" s="233"/>
      <c r="CA895" s="233"/>
      <c r="CB895" s="233"/>
      <c r="CC895" s="233"/>
      <c r="CD895" s="233"/>
      <c r="CE895" s="233"/>
      <c r="CF895" s="233"/>
      <c r="CG895" s="233"/>
      <c r="CH895" s="233"/>
      <c r="CI895" s="233"/>
      <c r="CJ895" s="233"/>
      <c r="CK895" s="233"/>
      <c r="CL895" s="233"/>
      <c r="CM895" s="233"/>
      <c r="CN895" s="233"/>
      <c r="CO895" s="233"/>
      <c r="CP895" s="233"/>
      <c r="CQ895" s="233"/>
      <c r="CR895" s="233"/>
      <c r="CS895" s="233"/>
      <c r="CT895" s="233"/>
      <c r="CU895" s="233"/>
      <c r="CV895" s="233"/>
      <c r="CW895" s="233"/>
      <c r="CX895" s="233"/>
      <c r="CY895" s="233"/>
      <c r="CZ895" s="233"/>
      <c r="DA895" s="233"/>
      <c r="DB895" s="233"/>
      <c r="DC895" s="233"/>
      <c r="DD895" s="233"/>
      <c r="DE895" s="233"/>
      <c r="DF895" s="233"/>
      <c r="DG895" s="233"/>
      <c r="DH895" s="233"/>
      <c r="DI895" s="233"/>
      <c r="DJ895" s="233"/>
      <c r="DK895" s="233"/>
      <c r="DL895" s="233"/>
      <c r="DM895" s="233"/>
      <c r="DN895" s="233"/>
      <c r="DO895" s="233"/>
      <c r="DP895" s="233"/>
      <c r="DQ895" s="233"/>
      <c r="DR895" s="233"/>
      <c r="DS895" s="233"/>
      <c r="DT895" s="233"/>
      <c r="DU895" s="233"/>
      <c r="DV895" s="233"/>
      <c r="DW895" s="233"/>
      <c r="DX895" s="233"/>
      <c r="DY895" s="233"/>
      <c r="DZ895" s="233"/>
      <c r="EA895" s="233"/>
      <c r="EB895" s="233"/>
      <c r="EC895" s="233"/>
      <c r="ED895" s="233"/>
      <c r="EE895" s="233"/>
      <c r="EF895" s="233"/>
      <c r="EG895" s="233"/>
      <c r="EH895" s="233"/>
      <c r="EI895" s="233"/>
      <c r="EJ895" s="233"/>
      <c r="EK895" s="233"/>
      <c r="EL895" s="233"/>
      <c r="EM895" s="233"/>
      <c r="EN895" s="233"/>
      <c r="EO895" s="233"/>
      <c r="EP895" s="233"/>
    </row>
    <row r="896" spans="1:146" ht="14.25" x14ac:dyDescent="0.2">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c r="AV896" s="233"/>
      <c r="AW896" s="233"/>
      <c r="AX896" s="233"/>
      <c r="AY896" s="233"/>
      <c r="AZ896" s="233"/>
      <c r="BA896" s="233"/>
      <c r="BB896" s="233"/>
      <c r="BC896" s="233"/>
      <c r="BD896" s="233"/>
      <c r="BE896" s="233"/>
      <c r="BF896" s="233"/>
      <c r="BG896" s="233"/>
      <c r="BH896" s="233"/>
      <c r="BI896" s="233"/>
      <c r="BJ896" s="233"/>
      <c r="BK896" s="233"/>
      <c r="BL896" s="233"/>
      <c r="BM896" s="233"/>
      <c r="BN896" s="233"/>
      <c r="BO896" s="233"/>
      <c r="BP896" s="233"/>
      <c r="BQ896" s="233"/>
      <c r="BR896" s="233"/>
      <c r="BS896" s="233"/>
      <c r="BT896" s="233"/>
      <c r="BU896" s="233"/>
      <c r="BV896" s="233"/>
      <c r="BW896" s="233"/>
      <c r="BX896" s="233"/>
      <c r="BY896" s="233"/>
      <c r="BZ896" s="233"/>
      <c r="CA896" s="233"/>
      <c r="CB896" s="233"/>
      <c r="CC896" s="233"/>
      <c r="CD896" s="233"/>
      <c r="CE896" s="233"/>
      <c r="CF896" s="233"/>
      <c r="CG896" s="233"/>
      <c r="CH896" s="233"/>
      <c r="CI896" s="233"/>
      <c r="CJ896" s="233"/>
      <c r="CK896" s="233"/>
      <c r="CL896" s="233"/>
      <c r="CM896" s="233"/>
      <c r="CN896" s="233"/>
      <c r="CO896" s="233"/>
      <c r="CP896" s="233"/>
      <c r="CQ896" s="233"/>
      <c r="CR896" s="233"/>
      <c r="CS896" s="233"/>
      <c r="CT896" s="233"/>
      <c r="CU896" s="233"/>
      <c r="CV896" s="233"/>
      <c r="CW896" s="233"/>
      <c r="CX896" s="233"/>
      <c r="CY896" s="233"/>
      <c r="CZ896" s="233"/>
      <c r="DA896" s="233"/>
      <c r="DB896" s="233"/>
      <c r="DC896" s="233"/>
      <c r="DD896" s="233"/>
      <c r="DE896" s="233"/>
      <c r="DF896" s="233"/>
      <c r="DG896" s="233"/>
      <c r="DH896" s="233"/>
      <c r="DI896" s="233"/>
      <c r="DJ896" s="233"/>
      <c r="DK896" s="233"/>
      <c r="DL896" s="233"/>
      <c r="DM896" s="233"/>
      <c r="DN896" s="233"/>
      <c r="DO896" s="233"/>
      <c r="DP896" s="233"/>
      <c r="DQ896" s="233"/>
      <c r="DR896" s="233"/>
      <c r="DS896" s="233"/>
      <c r="DT896" s="233"/>
      <c r="DU896" s="233"/>
      <c r="DV896" s="233"/>
      <c r="DW896" s="233"/>
      <c r="DX896" s="233"/>
      <c r="DY896" s="233"/>
      <c r="DZ896" s="233"/>
      <c r="EA896" s="233"/>
      <c r="EB896" s="233"/>
      <c r="EC896" s="233"/>
      <c r="ED896" s="233"/>
      <c r="EE896" s="233"/>
      <c r="EF896" s="233"/>
      <c r="EG896" s="233"/>
      <c r="EH896" s="233"/>
      <c r="EI896" s="233"/>
      <c r="EJ896" s="233"/>
      <c r="EK896" s="233"/>
      <c r="EL896" s="233"/>
      <c r="EM896" s="233"/>
      <c r="EN896" s="233"/>
      <c r="EO896" s="233"/>
      <c r="EP896" s="233"/>
    </row>
    <row r="897" spans="1:146" ht="14.25" x14ac:dyDescent="0.2">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c r="AV897" s="233"/>
      <c r="AW897" s="233"/>
      <c r="AX897" s="233"/>
      <c r="AY897" s="233"/>
      <c r="AZ897" s="233"/>
      <c r="BA897" s="233"/>
      <c r="BB897" s="233"/>
      <c r="BC897" s="233"/>
      <c r="BD897" s="233"/>
      <c r="BE897" s="233"/>
      <c r="BF897" s="233"/>
      <c r="BG897" s="233"/>
      <c r="BH897" s="233"/>
      <c r="BI897" s="233"/>
      <c r="BJ897" s="233"/>
      <c r="BK897" s="233"/>
      <c r="BL897" s="233"/>
      <c r="BM897" s="233"/>
      <c r="BN897" s="233"/>
      <c r="BO897" s="233"/>
      <c r="BP897" s="233"/>
      <c r="BQ897" s="233"/>
      <c r="BR897" s="233"/>
      <c r="BS897" s="233"/>
      <c r="BT897" s="233"/>
      <c r="BU897" s="233"/>
      <c r="BV897" s="233"/>
      <c r="BW897" s="233"/>
      <c r="BX897" s="233"/>
      <c r="BY897" s="233"/>
      <c r="BZ897" s="233"/>
      <c r="CA897" s="233"/>
      <c r="CB897" s="233"/>
      <c r="CC897" s="233"/>
      <c r="CD897" s="233"/>
      <c r="CE897" s="233"/>
      <c r="CF897" s="233"/>
      <c r="CG897" s="233"/>
      <c r="CH897" s="233"/>
      <c r="CI897" s="233"/>
      <c r="CJ897" s="233"/>
      <c r="CK897" s="233"/>
      <c r="CL897" s="233"/>
      <c r="CM897" s="233"/>
      <c r="CN897" s="233"/>
      <c r="CO897" s="233"/>
      <c r="CP897" s="233"/>
      <c r="CQ897" s="233"/>
      <c r="CR897" s="233"/>
      <c r="CS897" s="233"/>
      <c r="CT897" s="233"/>
      <c r="CU897" s="233"/>
      <c r="CV897" s="233"/>
      <c r="CW897" s="233"/>
      <c r="CX897" s="233"/>
      <c r="CY897" s="233"/>
      <c r="CZ897" s="233"/>
      <c r="DA897" s="233"/>
      <c r="DB897" s="233"/>
      <c r="DC897" s="233"/>
      <c r="DD897" s="233"/>
      <c r="DE897" s="233"/>
      <c r="DF897" s="233"/>
      <c r="DG897" s="233"/>
      <c r="DH897" s="233"/>
      <c r="DI897" s="233"/>
      <c r="DJ897" s="233"/>
      <c r="DK897" s="233"/>
      <c r="DL897" s="233"/>
      <c r="DM897" s="233"/>
      <c r="DN897" s="233"/>
      <c r="DO897" s="233"/>
      <c r="DP897" s="233"/>
      <c r="DQ897" s="233"/>
      <c r="DR897" s="233"/>
      <c r="DS897" s="233"/>
      <c r="DT897" s="233"/>
      <c r="DU897" s="233"/>
      <c r="DV897" s="233"/>
      <c r="DW897" s="233"/>
      <c r="DX897" s="233"/>
      <c r="DY897" s="233"/>
      <c r="DZ897" s="233"/>
      <c r="EA897" s="233"/>
      <c r="EB897" s="233"/>
      <c r="EC897" s="233"/>
      <c r="ED897" s="233"/>
      <c r="EE897" s="233"/>
      <c r="EF897" s="233"/>
      <c r="EG897" s="233"/>
      <c r="EH897" s="233"/>
      <c r="EI897" s="233"/>
      <c r="EJ897" s="233"/>
      <c r="EK897" s="233"/>
      <c r="EL897" s="233"/>
      <c r="EM897" s="233"/>
      <c r="EN897" s="233"/>
      <c r="EO897" s="233"/>
      <c r="EP897" s="233"/>
    </row>
    <row r="898" spans="1:146" ht="14.25" x14ac:dyDescent="0.2">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row>
    <row r="899" spans="1:146" ht="14.25" x14ac:dyDescent="0.2">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row>
    <row r="900" spans="1:146" ht="14.25" x14ac:dyDescent="0.2">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row>
    <row r="901" spans="1:146" ht="14.25" x14ac:dyDescent="0.2">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c r="AV901" s="233"/>
      <c r="AW901" s="233"/>
      <c r="AX901" s="233"/>
      <c r="AY901" s="233"/>
      <c r="AZ901" s="233"/>
      <c r="BA901" s="233"/>
      <c r="BB901" s="233"/>
      <c r="BC901" s="233"/>
      <c r="BD901" s="233"/>
      <c r="BE901" s="233"/>
      <c r="BF901" s="233"/>
      <c r="BG901" s="233"/>
      <c r="BH901" s="233"/>
      <c r="BI901" s="233"/>
      <c r="BJ901" s="233"/>
      <c r="BK901" s="233"/>
      <c r="BL901" s="233"/>
      <c r="BM901" s="233"/>
      <c r="BN901" s="233"/>
      <c r="BO901" s="233"/>
      <c r="BP901" s="233"/>
      <c r="BQ901" s="233"/>
      <c r="BR901" s="233"/>
      <c r="BS901" s="233"/>
      <c r="BT901" s="233"/>
      <c r="BU901" s="233"/>
      <c r="BV901" s="233"/>
      <c r="BW901" s="233"/>
      <c r="BX901" s="233"/>
      <c r="BY901" s="233"/>
      <c r="BZ901" s="233"/>
      <c r="CA901" s="233"/>
      <c r="CB901" s="233"/>
      <c r="CC901" s="233"/>
      <c r="CD901" s="233"/>
      <c r="CE901" s="233"/>
      <c r="CF901" s="233"/>
      <c r="CG901" s="233"/>
      <c r="CH901" s="233"/>
      <c r="CI901" s="233"/>
      <c r="CJ901" s="233"/>
      <c r="CK901" s="233"/>
      <c r="CL901" s="233"/>
      <c r="CM901" s="233"/>
      <c r="CN901" s="233"/>
      <c r="CO901" s="233"/>
      <c r="CP901" s="233"/>
      <c r="CQ901" s="233"/>
      <c r="CR901" s="233"/>
      <c r="CS901" s="233"/>
      <c r="CT901" s="233"/>
      <c r="CU901" s="233"/>
      <c r="CV901" s="233"/>
      <c r="CW901" s="233"/>
      <c r="CX901" s="233"/>
      <c r="CY901" s="233"/>
      <c r="CZ901" s="233"/>
      <c r="DA901" s="233"/>
      <c r="DB901" s="233"/>
      <c r="DC901" s="233"/>
      <c r="DD901" s="233"/>
      <c r="DE901" s="233"/>
      <c r="DF901" s="233"/>
      <c r="DG901" s="233"/>
      <c r="DH901" s="233"/>
      <c r="DI901" s="233"/>
      <c r="DJ901" s="233"/>
      <c r="DK901" s="233"/>
      <c r="DL901" s="233"/>
      <c r="DM901" s="233"/>
      <c r="DN901" s="233"/>
      <c r="DO901" s="233"/>
      <c r="DP901" s="233"/>
      <c r="DQ901" s="233"/>
      <c r="DR901" s="233"/>
      <c r="DS901" s="233"/>
      <c r="DT901" s="233"/>
      <c r="DU901" s="233"/>
      <c r="DV901" s="233"/>
      <c r="DW901" s="233"/>
      <c r="DX901" s="233"/>
      <c r="DY901" s="233"/>
      <c r="DZ901" s="233"/>
      <c r="EA901" s="233"/>
      <c r="EB901" s="233"/>
      <c r="EC901" s="233"/>
      <c r="ED901" s="233"/>
      <c r="EE901" s="233"/>
      <c r="EF901" s="233"/>
      <c r="EG901" s="233"/>
      <c r="EH901" s="233"/>
      <c r="EI901" s="233"/>
      <c r="EJ901" s="233"/>
      <c r="EK901" s="233"/>
      <c r="EL901" s="233"/>
      <c r="EM901" s="233"/>
      <c r="EN901" s="233"/>
      <c r="EO901" s="233"/>
      <c r="EP901" s="233"/>
    </row>
    <row r="902" spans="1:146" ht="14.25" x14ac:dyDescent="0.2">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233"/>
      <c r="CD902" s="233"/>
      <c r="CE902" s="233"/>
      <c r="CF902" s="233"/>
      <c r="CG902" s="233"/>
      <c r="CH902" s="233"/>
      <c r="CI902" s="233"/>
      <c r="CJ902" s="233"/>
      <c r="CK902" s="233"/>
      <c r="CL902" s="233"/>
      <c r="CM902" s="233"/>
      <c r="CN902" s="233"/>
      <c r="CO902" s="233"/>
      <c r="CP902" s="233"/>
      <c r="CQ902" s="233"/>
      <c r="CR902" s="233"/>
      <c r="CS902" s="233"/>
      <c r="CT902" s="233"/>
      <c r="CU902" s="233"/>
      <c r="CV902" s="233"/>
      <c r="CW902" s="233"/>
      <c r="CX902" s="233"/>
      <c r="CY902" s="233"/>
      <c r="CZ902" s="233"/>
      <c r="DA902" s="233"/>
      <c r="DB902" s="233"/>
      <c r="DC902" s="233"/>
      <c r="DD902" s="233"/>
      <c r="DE902" s="233"/>
      <c r="DF902" s="233"/>
      <c r="DG902" s="233"/>
      <c r="DH902" s="233"/>
      <c r="DI902" s="233"/>
      <c r="DJ902" s="233"/>
      <c r="DK902" s="233"/>
      <c r="DL902" s="233"/>
      <c r="DM902" s="233"/>
      <c r="DN902" s="233"/>
      <c r="DO902" s="233"/>
      <c r="DP902" s="233"/>
      <c r="DQ902" s="233"/>
      <c r="DR902" s="233"/>
      <c r="DS902" s="233"/>
      <c r="DT902" s="233"/>
      <c r="DU902" s="233"/>
      <c r="DV902" s="233"/>
      <c r="DW902" s="233"/>
      <c r="DX902" s="233"/>
      <c r="DY902" s="233"/>
      <c r="DZ902" s="233"/>
      <c r="EA902" s="233"/>
      <c r="EB902" s="233"/>
      <c r="EC902" s="233"/>
      <c r="ED902" s="233"/>
      <c r="EE902" s="233"/>
      <c r="EF902" s="233"/>
      <c r="EG902" s="233"/>
      <c r="EH902" s="233"/>
      <c r="EI902" s="233"/>
      <c r="EJ902" s="233"/>
      <c r="EK902" s="233"/>
      <c r="EL902" s="233"/>
      <c r="EM902" s="233"/>
      <c r="EN902" s="233"/>
      <c r="EO902" s="233"/>
      <c r="EP902" s="233"/>
    </row>
    <row r="903" spans="1:146" ht="14.25" x14ac:dyDescent="0.2">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c r="AV903" s="233"/>
      <c r="AW903" s="233"/>
      <c r="AX903" s="233"/>
      <c r="AY903" s="233"/>
      <c r="AZ903" s="233"/>
      <c r="BA903" s="233"/>
      <c r="BB903" s="233"/>
      <c r="BC903" s="233"/>
      <c r="BD903" s="233"/>
      <c r="BE903" s="233"/>
      <c r="BF903" s="233"/>
      <c r="BG903" s="233"/>
      <c r="BH903" s="233"/>
      <c r="BI903" s="233"/>
      <c r="BJ903" s="233"/>
      <c r="BK903" s="233"/>
      <c r="BL903" s="233"/>
      <c r="BM903" s="233"/>
      <c r="BN903" s="233"/>
      <c r="BO903" s="233"/>
      <c r="BP903" s="233"/>
      <c r="BQ903" s="233"/>
      <c r="BR903" s="233"/>
      <c r="BS903" s="233"/>
      <c r="BT903" s="233"/>
      <c r="BU903" s="233"/>
      <c r="BV903" s="233"/>
      <c r="BW903" s="233"/>
      <c r="BX903" s="233"/>
      <c r="BY903" s="233"/>
      <c r="BZ903" s="233"/>
      <c r="CA903" s="233"/>
      <c r="CB903" s="233"/>
      <c r="CC903" s="233"/>
      <c r="CD903" s="233"/>
      <c r="CE903" s="233"/>
      <c r="CF903" s="233"/>
      <c r="CG903" s="233"/>
      <c r="CH903" s="233"/>
      <c r="CI903" s="233"/>
      <c r="CJ903" s="233"/>
      <c r="CK903" s="233"/>
      <c r="CL903" s="233"/>
      <c r="CM903" s="233"/>
      <c r="CN903" s="233"/>
      <c r="CO903" s="233"/>
      <c r="CP903" s="233"/>
      <c r="CQ903" s="233"/>
      <c r="CR903" s="233"/>
      <c r="CS903" s="233"/>
      <c r="CT903" s="233"/>
      <c r="CU903" s="233"/>
      <c r="CV903" s="233"/>
      <c r="CW903" s="233"/>
      <c r="CX903" s="233"/>
      <c r="CY903" s="233"/>
      <c r="CZ903" s="233"/>
      <c r="DA903" s="233"/>
      <c r="DB903" s="233"/>
      <c r="DC903" s="233"/>
      <c r="DD903" s="233"/>
      <c r="DE903" s="233"/>
      <c r="DF903" s="233"/>
      <c r="DG903" s="233"/>
      <c r="DH903" s="233"/>
      <c r="DI903" s="233"/>
      <c r="DJ903" s="233"/>
      <c r="DK903" s="233"/>
      <c r="DL903" s="233"/>
      <c r="DM903" s="233"/>
      <c r="DN903" s="233"/>
      <c r="DO903" s="233"/>
      <c r="DP903" s="233"/>
      <c r="DQ903" s="233"/>
      <c r="DR903" s="233"/>
      <c r="DS903" s="233"/>
      <c r="DT903" s="233"/>
      <c r="DU903" s="233"/>
      <c r="DV903" s="233"/>
      <c r="DW903" s="233"/>
      <c r="DX903" s="233"/>
      <c r="DY903" s="233"/>
      <c r="DZ903" s="233"/>
      <c r="EA903" s="233"/>
      <c r="EB903" s="233"/>
      <c r="EC903" s="233"/>
      <c r="ED903" s="233"/>
      <c r="EE903" s="233"/>
      <c r="EF903" s="233"/>
      <c r="EG903" s="233"/>
      <c r="EH903" s="233"/>
      <c r="EI903" s="233"/>
      <c r="EJ903" s="233"/>
      <c r="EK903" s="233"/>
      <c r="EL903" s="233"/>
      <c r="EM903" s="233"/>
      <c r="EN903" s="233"/>
      <c r="EO903" s="233"/>
      <c r="EP903" s="233"/>
    </row>
    <row r="904" spans="1:146" ht="14.25" x14ac:dyDescent="0.2">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c r="AV904" s="233"/>
      <c r="AW904" s="233"/>
      <c r="AX904" s="233"/>
      <c r="AY904" s="233"/>
      <c r="AZ904" s="233"/>
      <c r="BA904" s="233"/>
      <c r="BB904" s="233"/>
      <c r="BC904" s="233"/>
      <c r="BD904" s="233"/>
      <c r="BE904" s="233"/>
      <c r="BF904" s="233"/>
      <c r="BG904" s="233"/>
      <c r="BH904" s="233"/>
      <c r="BI904" s="233"/>
      <c r="BJ904" s="233"/>
      <c r="BK904" s="233"/>
      <c r="BL904" s="233"/>
      <c r="BM904" s="233"/>
      <c r="BN904" s="233"/>
      <c r="BO904" s="233"/>
      <c r="BP904" s="233"/>
      <c r="BQ904" s="233"/>
      <c r="BR904" s="233"/>
      <c r="BS904" s="233"/>
      <c r="BT904" s="233"/>
      <c r="BU904" s="233"/>
      <c r="BV904" s="233"/>
      <c r="BW904" s="233"/>
      <c r="BX904" s="233"/>
      <c r="BY904" s="233"/>
      <c r="BZ904" s="233"/>
      <c r="CA904" s="233"/>
      <c r="CB904" s="233"/>
      <c r="CC904" s="233"/>
      <c r="CD904" s="233"/>
      <c r="CE904" s="233"/>
      <c r="CF904" s="233"/>
      <c r="CG904" s="233"/>
      <c r="CH904" s="233"/>
      <c r="CI904" s="233"/>
      <c r="CJ904" s="233"/>
      <c r="CK904" s="233"/>
      <c r="CL904" s="233"/>
      <c r="CM904" s="233"/>
      <c r="CN904" s="233"/>
      <c r="CO904" s="233"/>
      <c r="CP904" s="233"/>
      <c r="CQ904" s="233"/>
      <c r="CR904" s="233"/>
      <c r="CS904" s="233"/>
      <c r="CT904" s="233"/>
      <c r="CU904" s="233"/>
      <c r="CV904" s="233"/>
      <c r="CW904" s="233"/>
      <c r="CX904" s="233"/>
      <c r="CY904" s="233"/>
      <c r="CZ904" s="233"/>
      <c r="DA904" s="233"/>
      <c r="DB904" s="233"/>
      <c r="DC904" s="233"/>
      <c r="DD904" s="233"/>
      <c r="DE904" s="233"/>
      <c r="DF904" s="233"/>
      <c r="DG904" s="233"/>
      <c r="DH904" s="233"/>
      <c r="DI904" s="233"/>
      <c r="DJ904" s="233"/>
      <c r="DK904" s="233"/>
      <c r="DL904" s="233"/>
      <c r="DM904" s="233"/>
      <c r="DN904" s="233"/>
      <c r="DO904" s="233"/>
      <c r="DP904" s="233"/>
      <c r="DQ904" s="233"/>
      <c r="DR904" s="233"/>
      <c r="DS904" s="233"/>
      <c r="DT904" s="233"/>
      <c r="DU904" s="233"/>
      <c r="DV904" s="233"/>
      <c r="DW904" s="233"/>
      <c r="DX904" s="233"/>
      <c r="DY904" s="233"/>
      <c r="DZ904" s="233"/>
      <c r="EA904" s="233"/>
      <c r="EB904" s="233"/>
      <c r="EC904" s="233"/>
      <c r="ED904" s="233"/>
      <c r="EE904" s="233"/>
      <c r="EF904" s="233"/>
      <c r="EG904" s="233"/>
      <c r="EH904" s="233"/>
      <c r="EI904" s="233"/>
      <c r="EJ904" s="233"/>
      <c r="EK904" s="233"/>
      <c r="EL904" s="233"/>
      <c r="EM904" s="233"/>
      <c r="EN904" s="233"/>
      <c r="EO904" s="233"/>
      <c r="EP904" s="233"/>
    </row>
    <row r="905" spans="1:146" ht="14.25" x14ac:dyDescent="0.2">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233"/>
      <c r="CD905" s="233"/>
      <c r="CE905" s="233"/>
      <c r="CF905" s="233"/>
      <c r="CG905" s="233"/>
      <c r="CH905" s="233"/>
      <c r="CI905" s="233"/>
      <c r="CJ905" s="233"/>
      <c r="CK905" s="233"/>
      <c r="CL905" s="233"/>
      <c r="CM905" s="233"/>
      <c r="CN905" s="233"/>
      <c r="CO905" s="233"/>
      <c r="CP905" s="233"/>
      <c r="CQ905" s="233"/>
      <c r="CR905" s="233"/>
      <c r="CS905" s="233"/>
      <c r="CT905" s="233"/>
      <c r="CU905" s="233"/>
      <c r="CV905" s="233"/>
      <c r="CW905" s="233"/>
      <c r="CX905" s="233"/>
      <c r="CY905" s="233"/>
      <c r="CZ905" s="233"/>
      <c r="DA905" s="233"/>
      <c r="DB905" s="233"/>
      <c r="DC905" s="233"/>
      <c r="DD905" s="233"/>
      <c r="DE905" s="233"/>
      <c r="DF905" s="233"/>
      <c r="DG905" s="233"/>
      <c r="DH905" s="233"/>
      <c r="DI905" s="233"/>
      <c r="DJ905" s="233"/>
      <c r="DK905" s="233"/>
      <c r="DL905" s="233"/>
      <c r="DM905" s="233"/>
      <c r="DN905" s="233"/>
      <c r="DO905" s="233"/>
      <c r="DP905" s="233"/>
      <c r="DQ905" s="233"/>
      <c r="DR905" s="233"/>
      <c r="DS905" s="233"/>
      <c r="DT905" s="233"/>
      <c r="DU905" s="233"/>
      <c r="DV905" s="233"/>
      <c r="DW905" s="233"/>
      <c r="DX905" s="233"/>
      <c r="DY905" s="233"/>
      <c r="DZ905" s="233"/>
      <c r="EA905" s="233"/>
      <c r="EB905" s="233"/>
      <c r="EC905" s="233"/>
      <c r="ED905" s="233"/>
      <c r="EE905" s="233"/>
      <c r="EF905" s="233"/>
      <c r="EG905" s="233"/>
      <c r="EH905" s="233"/>
      <c r="EI905" s="233"/>
      <c r="EJ905" s="233"/>
      <c r="EK905" s="233"/>
      <c r="EL905" s="233"/>
      <c r="EM905" s="233"/>
      <c r="EN905" s="233"/>
      <c r="EO905" s="233"/>
      <c r="EP905" s="233"/>
    </row>
    <row r="906" spans="1:146" ht="14.25" x14ac:dyDescent="0.2">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c r="AS906" s="233"/>
      <c r="AT906" s="233"/>
      <c r="AU906" s="233"/>
      <c r="AV906" s="233"/>
      <c r="AW906" s="233"/>
      <c r="AX906" s="233"/>
      <c r="AY906" s="233"/>
      <c r="AZ906" s="233"/>
      <c r="BA906" s="233"/>
      <c r="BB906" s="233"/>
      <c r="BC906" s="233"/>
      <c r="BD906" s="233"/>
      <c r="BE906" s="233"/>
      <c r="BF906" s="233"/>
      <c r="BG906" s="233"/>
      <c r="BH906" s="233"/>
      <c r="BI906" s="233"/>
      <c r="BJ906" s="233"/>
      <c r="BK906" s="233"/>
      <c r="BL906" s="233"/>
      <c r="BM906" s="233"/>
      <c r="BN906" s="233"/>
      <c r="BO906" s="233"/>
      <c r="BP906" s="233"/>
      <c r="BQ906" s="233"/>
      <c r="BR906" s="233"/>
      <c r="BS906" s="233"/>
      <c r="BT906" s="233"/>
      <c r="BU906" s="233"/>
      <c r="BV906" s="233"/>
      <c r="BW906" s="233"/>
      <c r="BX906" s="233"/>
      <c r="BY906" s="233"/>
      <c r="BZ906" s="233"/>
      <c r="CA906" s="233"/>
      <c r="CB906" s="233"/>
      <c r="CC906" s="233"/>
      <c r="CD906" s="233"/>
      <c r="CE906" s="233"/>
      <c r="CF906" s="233"/>
      <c r="CG906" s="233"/>
      <c r="CH906" s="233"/>
      <c r="CI906" s="233"/>
      <c r="CJ906" s="233"/>
      <c r="CK906" s="233"/>
      <c r="CL906" s="233"/>
      <c r="CM906" s="233"/>
      <c r="CN906" s="233"/>
      <c r="CO906" s="233"/>
      <c r="CP906" s="233"/>
      <c r="CQ906" s="233"/>
      <c r="CR906" s="233"/>
      <c r="CS906" s="233"/>
      <c r="CT906" s="233"/>
      <c r="CU906" s="233"/>
      <c r="CV906" s="233"/>
      <c r="CW906" s="233"/>
      <c r="CX906" s="233"/>
      <c r="CY906" s="233"/>
      <c r="CZ906" s="233"/>
      <c r="DA906" s="233"/>
      <c r="DB906" s="233"/>
      <c r="DC906" s="233"/>
      <c r="DD906" s="233"/>
      <c r="DE906" s="233"/>
      <c r="DF906" s="233"/>
      <c r="DG906" s="233"/>
      <c r="DH906" s="233"/>
      <c r="DI906" s="233"/>
      <c r="DJ906" s="233"/>
      <c r="DK906" s="233"/>
      <c r="DL906" s="233"/>
      <c r="DM906" s="233"/>
      <c r="DN906" s="233"/>
      <c r="DO906" s="233"/>
      <c r="DP906" s="233"/>
      <c r="DQ906" s="233"/>
      <c r="DR906" s="233"/>
      <c r="DS906" s="233"/>
      <c r="DT906" s="233"/>
      <c r="DU906" s="233"/>
      <c r="DV906" s="233"/>
      <c r="DW906" s="233"/>
      <c r="DX906" s="233"/>
      <c r="DY906" s="233"/>
      <c r="DZ906" s="233"/>
      <c r="EA906" s="233"/>
      <c r="EB906" s="233"/>
      <c r="EC906" s="233"/>
      <c r="ED906" s="233"/>
      <c r="EE906" s="233"/>
      <c r="EF906" s="233"/>
      <c r="EG906" s="233"/>
      <c r="EH906" s="233"/>
      <c r="EI906" s="233"/>
      <c r="EJ906" s="233"/>
      <c r="EK906" s="233"/>
      <c r="EL906" s="233"/>
      <c r="EM906" s="233"/>
      <c r="EN906" s="233"/>
      <c r="EO906" s="233"/>
      <c r="EP906" s="233"/>
    </row>
    <row r="907" spans="1:146" ht="14.25" x14ac:dyDescent="0.2">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c r="AV907" s="233"/>
      <c r="AW907" s="233"/>
      <c r="AX907" s="233"/>
      <c r="AY907" s="233"/>
      <c r="AZ907" s="233"/>
      <c r="BA907" s="233"/>
      <c r="BB907" s="233"/>
      <c r="BC907" s="233"/>
      <c r="BD907" s="233"/>
      <c r="BE907" s="233"/>
      <c r="BF907" s="233"/>
      <c r="BG907" s="233"/>
      <c r="BH907" s="233"/>
      <c r="BI907" s="233"/>
      <c r="BJ907" s="233"/>
      <c r="BK907" s="233"/>
      <c r="BL907" s="233"/>
      <c r="BM907" s="233"/>
      <c r="BN907" s="233"/>
      <c r="BO907" s="233"/>
      <c r="BP907" s="233"/>
      <c r="BQ907" s="233"/>
      <c r="BR907" s="233"/>
      <c r="BS907" s="233"/>
      <c r="BT907" s="233"/>
      <c r="BU907" s="233"/>
      <c r="BV907" s="233"/>
      <c r="BW907" s="233"/>
      <c r="BX907" s="233"/>
      <c r="BY907" s="233"/>
      <c r="BZ907" s="233"/>
      <c r="CA907" s="233"/>
      <c r="CB907" s="233"/>
      <c r="CC907" s="233"/>
      <c r="CD907" s="233"/>
      <c r="CE907" s="233"/>
      <c r="CF907" s="233"/>
      <c r="CG907" s="233"/>
      <c r="CH907" s="233"/>
      <c r="CI907" s="233"/>
      <c r="CJ907" s="233"/>
      <c r="CK907" s="233"/>
      <c r="CL907" s="233"/>
      <c r="CM907" s="233"/>
      <c r="CN907" s="233"/>
      <c r="CO907" s="233"/>
      <c r="CP907" s="233"/>
      <c r="CQ907" s="233"/>
      <c r="CR907" s="233"/>
      <c r="CS907" s="233"/>
      <c r="CT907" s="233"/>
      <c r="CU907" s="233"/>
      <c r="CV907" s="233"/>
      <c r="CW907" s="233"/>
      <c r="CX907" s="233"/>
      <c r="CY907" s="233"/>
      <c r="CZ907" s="233"/>
      <c r="DA907" s="233"/>
      <c r="DB907" s="233"/>
      <c r="DC907" s="233"/>
      <c r="DD907" s="233"/>
      <c r="DE907" s="233"/>
      <c r="DF907" s="233"/>
      <c r="DG907" s="233"/>
      <c r="DH907" s="233"/>
      <c r="DI907" s="233"/>
      <c r="DJ907" s="233"/>
      <c r="DK907" s="233"/>
      <c r="DL907" s="233"/>
      <c r="DM907" s="233"/>
      <c r="DN907" s="233"/>
      <c r="DO907" s="233"/>
      <c r="DP907" s="233"/>
      <c r="DQ907" s="233"/>
      <c r="DR907" s="233"/>
      <c r="DS907" s="233"/>
      <c r="DT907" s="233"/>
      <c r="DU907" s="233"/>
      <c r="DV907" s="233"/>
      <c r="DW907" s="233"/>
      <c r="DX907" s="233"/>
      <c r="DY907" s="233"/>
      <c r="DZ907" s="233"/>
      <c r="EA907" s="233"/>
      <c r="EB907" s="233"/>
      <c r="EC907" s="233"/>
      <c r="ED907" s="233"/>
      <c r="EE907" s="233"/>
      <c r="EF907" s="233"/>
      <c r="EG907" s="233"/>
      <c r="EH907" s="233"/>
      <c r="EI907" s="233"/>
      <c r="EJ907" s="233"/>
      <c r="EK907" s="233"/>
      <c r="EL907" s="233"/>
      <c r="EM907" s="233"/>
      <c r="EN907" s="233"/>
      <c r="EO907" s="233"/>
      <c r="EP907" s="233"/>
    </row>
    <row r="908" spans="1:146" ht="14.25" x14ac:dyDescent="0.2">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33"/>
      <c r="CI908" s="233"/>
      <c r="CJ908" s="233"/>
      <c r="CK908" s="233"/>
      <c r="CL908" s="233"/>
      <c r="CM908" s="233"/>
      <c r="CN908" s="233"/>
      <c r="CO908" s="233"/>
      <c r="CP908" s="233"/>
      <c r="CQ908" s="233"/>
      <c r="CR908" s="233"/>
      <c r="CS908" s="233"/>
      <c r="CT908" s="233"/>
      <c r="CU908" s="233"/>
      <c r="CV908" s="233"/>
      <c r="CW908" s="233"/>
      <c r="CX908" s="233"/>
      <c r="CY908" s="233"/>
      <c r="CZ908" s="233"/>
      <c r="DA908" s="233"/>
      <c r="DB908" s="233"/>
      <c r="DC908" s="233"/>
      <c r="DD908" s="233"/>
      <c r="DE908" s="233"/>
      <c r="DF908" s="233"/>
      <c r="DG908" s="233"/>
      <c r="DH908" s="233"/>
      <c r="DI908" s="233"/>
      <c r="DJ908" s="233"/>
      <c r="DK908" s="233"/>
      <c r="DL908" s="233"/>
      <c r="DM908" s="233"/>
      <c r="DN908" s="233"/>
      <c r="DO908" s="233"/>
      <c r="DP908" s="233"/>
      <c r="DQ908" s="233"/>
      <c r="DR908" s="233"/>
      <c r="DS908" s="233"/>
      <c r="DT908" s="233"/>
      <c r="DU908" s="233"/>
      <c r="DV908" s="233"/>
      <c r="DW908" s="233"/>
      <c r="DX908" s="233"/>
      <c r="DY908" s="233"/>
      <c r="DZ908" s="233"/>
      <c r="EA908" s="233"/>
      <c r="EB908" s="233"/>
      <c r="EC908" s="233"/>
      <c r="ED908" s="233"/>
      <c r="EE908" s="233"/>
      <c r="EF908" s="233"/>
      <c r="EG908" s="233"/>
      <c r="EH908" s="233"/>
      <c r="EI908" s="233"/>
      <c r="EJ908" s="233"/>
      <c r="EK908" s="233"/>
      <c r="EL908" s="233"/>
      <c r="EM908" s="233"/>
      <c r="EN908" s="233"/>
      <c r="EO908" s="233"/>
      <c r="EP908" s="233"/>
    </row>
    <row r="909" spans="1:146" ht="14.25" x14ac:dyDescent="0.2">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row>
    <row r="910" spans="1:146" ht="14.25" x14ac:dyDescent="0.2">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row>
    <row r="911" spans="1:146" ht="14.25" x14ac:dyDescent="0.2">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33"/>
      <c r="CI911" s="233"/>
      <c r="CJ911" s="233"/>
      <c r="CK911" s="233"/>
      <c r="CL911" s="233"/>
      <c r="CM911" s="233"/>
      <c r="CN911" s="233"/>
      <c r="CO911" s="233"/>
      <c r="CP911" s="233"/>
      <c r="CQ911" s="233"/>
      <c r="CR911" s="233"/>
      <c r="CS911" s="233"/>
      <c r="CT911" s="233"/>
      <c r="CU911" s="233"/>
      <c r="CV911" s="233"/>
      <c r="CW911" s="233"/>
      <c r="CX911" s="233"/>
      <c r="CY911" s="233"/>
      <c r="CZ911" s="233"/>
      <c r="DA911" s="233"/>
      <c r="DB911" s="233"/>
      <c r="DC911" s="233"/>
      <c r="DD911" s="233"/>
      <c r="DE911" s="233"/>
      <c r="DF911" s="233"/>
      <c r="DG911" s="233"/>
      <c r="DH911" s="233"/>
      <c r="DI911" s="233"/>
      <c r="DJ911" s="233"/>
      <c r="DK911" s="233"/>
      <c r="DL911" s="233"/>
      <c r="DM911" s="233"/>
      <c r="DN911" s="233"/>
      <c r="DO911" s="233"/>
      <c r="DP911" s="233"/>
      <c r="DQ911" s="233"/>
      <c r="DR911" s="233"/>
      <c r="DS911" s="233"/>
      <c r="DT911" s="233"/>
      <c r="DU911" s="233"/>
      <c r="DV911" s="233"/>
      <c r="DW911" s="233"/>
      <c r="DX911" s="233"/>
      <c r="DY911" s="233"/>
      <c r="DZ911" s="233"/>
      <c r="EA911" s="233"/>
      <c r="EB911" s="233"/>
      <c r="EC911" s="233"/>
      <c r="ED911" s="233"/>
      <c r="EE911" s="233"/>
      <c r="EF911" s="233"/>
      <c r="EG911" s="233"/>
      <c r="EH911" s="233"/>
      <c r="EI911" s="233"/>
      <c r="EJ911" s="233"/>
      <c r="EK911" s="233"/>
      <c r="EL911" s="233"/>
      <c r="EM911" s="233"/>
      <c r="EN911" s="233"/>
      <c r="EO911" s="233"/>
      <c r="EP911" s="233"/>
    </row>
    <row r="912" spans="1:146" ht="14.25" x14ac:dyDescent="0.2">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c r="AV912" s="233"/>
      <c r="AW912" s="233"/>
      <c r="AX912" s="233"/>
      <c r="AY912" s="233"/>
      <c r="AZ912" s="233"/>
      <c r="BA912" s="233"/>
      <c r="BB912" s="233"/>
      <c r="BC912" s="233"/>
      <c r="BD912" s="233"/>
      <c r="BE912" s="233"/>
      <c r="BF912" s="233"/>
      <c r="BG912" s="233"/>
      <c r="BH912" s="233"/>
      <c r="BI912" s="233"/>
      <c r="BJ912" s="233"/>
      <c r="BK912" s="233"/>
      <c r="BL912" s="233"/>
      <c r="BM912" s="233"/>
      <c r="BN912" s="233"/>
      <c r="BO912" s="233"/>
      <c r="BP912" s="233"/>
      <c r="BQ912" s="233"/>
      <c r="BR912" s="233"/>
      <c r="BS912" s="233"/>
      <c r="BT912" s="233"/>
      <c r="BU912" s="233"/>
      <c r="BV912" s="233"/>
      <c r="BW912" s="233"/>
      <c r="BX912" s="233"/>
      <c r="BY912" s="233"/>
      <c r="BZ912" s="233"/>
      <c r="CA912" s="233"/>
      <c r="CB912" s="233"/>
      <c r="CC912" s="233"/>
      <c r="CD912" s="233"/>
      <c r="CE912" s="233"/>
      <c r="CF912" s="233"/>
      <c r="CG912" s="233"/>
      <c r="CH912" s="233"/>
      <c r="CI912" s="233"/>
      <c r="CJ912" s="233"/>
      <c r="CK912" s="233"/>
      <c r="CL912" s="233"/>
      <c r="CM912" s="233"/>
      <c r="CN912" s="233"/>
      <c r="CO912" s="233"/>
      <c r="CP912" s="233"/>
      <c r="CQ912" s="233"/>
      <c r="CR912" s="233"/>
      <c r="CS912" s="233"/>
      <c r="CT912" s="233"/>
      <c r="CU912" s="233"/>
      <c r="CV912" s="233"/>
      <c r="CW912" s="233"/>
      <c r="CX912" s="233"/>
      <c r="CY912" s="233"/>
      <c r="CZ912" s="233"/>
      <c r="DA912" s="233"/>
      <c r="DB912" s="233"/>
      <c r="DC912" s="233"/>
      <c r="DD912" s="233"/>
      <c r="DE912" s="233"/>
      <c r="DF912" s="233"/>
      <c r="DG912" s="233"/>
      <c r="DH912" s="233"/>
      <c r="DI912" s="233"/>
      <c r="DJ912" s="233"/>
      <c r="DK912" s="233"/>
      <c r="DL912" s="233"/>
      <c r="DM912" s="233"/>
      <c r="DN912" s="233"/>
      <c r="DO912" s="233"/>
      <c r="DP912" s="233"/>
      <c r="DQ912" s="233"/>
      <c r="DR912" s="233"/>
      <c r="DS912" s="233"/>
      <c r="DT912" s="233"/>
      <c r="DU912" s="233"/>
      <c r="DV912" s="233"/>
      <c r="DW912" s="233"/>
      <c r="DX912" s="233"/>
      <c r="DY912" s="233"/>
      <c r="DZ912" s="233"/>
      <c r="EA912" s="233"/>
      <c r="EB912" s="233"/>
      <c r="EC912" s="233"/>
      <c r="ED912" s="233"/>
      <c r="EE912" s="233"/>
      <c r="EF912" s="233"/>
      <c r="EG912" s="233"/>
      <c r="EH912" s="233"/>
      <c r="EI912" s="233"/>
      <c r="EJ912" s="233"/>
      <c r="EK912" s="233"/>
      <c r="EL912" s="233"/>
      <c r="EM912" s="233"/>
      <c r="EN912" s="233"/>
      <c r="EO912" s="233"/>
      <c r="EP912" s="233"/>
    </row>
    <row r="913" spans="1:146" ht="14.25" x14ac:dyDescent="0.2">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c r="AV913" s="233"/>
      <c r="AW913" s="233"/>
      <c r="AX913" s="233"/>
      <c r="AY913" s="233"/>
      <c r="AZ913" s="233"/>
      <c r="BA913" s="233"/>
      <c r="BB913" s="233"/>
      <c r="BC913" s="233"/>
      <c r="BD913" s="233"/>
      <c r="BE913" s="233"/>
      <c r="BF913" s="233"/>
      <c r="BG913" s="233"/>
      <c r="BH913" s="233"/>
      <c r="BI913" s="233"/>
      <c r="BJ913" s="233"/>
      <c r="BK913" s="233"/>
      <c r="BL913" s="233"/>
      <c r="BM913" s="233"/>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33"/>
      <c r="CI913" s="233"/>
      <c r="CJ913" s="233"/>
      <c r="CK913" s="233"/>
      <c r="CL913" s="233"/>
      <c r="CM913" s="233"/>
      <c r="CN913" s="233"/>
      <c r="CO913" s="233"/>
      <c r="CP913" s="233"/>
      <c r="CQ913" s="233"/>
      <c r="CR913" s="233"/>
      <c r="CS913" s="233"/>
      <c r="CT913" s="233"/>
      <c r="CU913" s="233"/>
      <c r="CV913" s="233"/>
      <c r="CW913" s="233"/>
      <c r="CX913" s="233"/>
      <c r="CY913" s="233"/>
      <c r="CZ913" s="233"/>
      <c r="DA913" s="233"/>
      <c r="DB913" s="233"/>
      <c r="DC913" s="233"/>
      <c r="DD913" s="233"/>
      <c r="DE913" s="233"/>
      <c r="DF913" s="233"/>
      <c r="DG913" s="233"/>
      <c r="DH913" s="233"/>
      <c r="DI913" s="233"/>
      <c r="DJ913" s="233"/>
      <c r="DK913" s="233"/>
      <c r="DL913" s="233"/>
      <c r="DM913" s="233"/>
      <c r="DN913" s="233"/>
      <c r="DO913" s="233"/>
      <c r="DP913" s="233"/>
      <c r="DQ913" s="233"/>
      <c r="DR913" s="233"/>
      <c r="DS913" s="233"/>
      <c r="DT913" s="233"/>
      <c r="DU913" s="233"/>
      <c r="DV913" s="233"/>
      <c r="DW913" s="233"/>
      <c r="DX913" s="233"/>
      <c r="DY913" s="233"/>
      <c r="DZ913" s="233"/>
      <c r="EA913" s="233"/>
      <c r="EB913" s="233"/>
      <c r="EC913" s="233"/>
      <c r="ED913" s="233"/>
      <c r="EE913" s="233"/>
      <c r="EF913" s="233"/>
      <c r="EG913" s="233"/>
      <c r="EH913" s="233"/>
      <c r="EI913" s="233"/>
      <c r="EJ913" s="233"/>
      <c r="EK913" s="233"/>
      <c r="EL913" s="233"/>
      <c r="EM913" s="233"/>
      <c r="EN913" s="233"/>
      <c r="EO913" s="233"/>
      <c r="EP913" s="233"/>
    </row>
    <row r="914" spans="1:146" ht="14.25" x14ac:dyDescent="0.2">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233"/>
      <c r="CD914" s="233"/>
      <c r="CE914" s="233"/>
      <c r="CF914" s="233"/>
      <c r="CG914" s="233"/>
      <c r="CH914" s="233"/>
      <c r="CI914" s="233"/>
      <c r="CJ914" s="233"/>
      <c r="CK914" s="233"/>
      <c r="CL914" s="233"/>
      <c r="CM914" s="233"/>
      <c r="CN914" s="233"/>
      <c r="CO914" s="233"/>
      <c r="CP914" s="233"/>
      <c r="CQ914" s="233"/>
      <c r="CR914" s="233"/>
      <c r="CS914" s="233"/>
      <c r="CT914" s="233"/>
      <c r="CU914" s="233"/>
      <c r="CV914" s="233"/>
      <c r="CW914" s="233"/>
      <c r="CX914" s="233"/>
      <c r="CY914" s="233"/>
      <c r="CZ914" s="233"/>
      <c r="DA914" s="233"/>
      <c r="DB914" s="233"/>
      <c r="DC914" s="233"/>
      <c r="DD914" s="233"/>
      <c r="DE914" s="233"/>
      <c r="DF914" s="233"/>
      <c r="DG914" s="233"/>
      <c r="DH914" s="233"/>
      <c r="DI914" s="233"/>
      <c r="DJ914" s="233"/>
      <c r="DK914" s="233"/>
      <c r="DL914" s="233"/>
      <c r="DM914" s="233"/>
      <c r="DN914" s="233"/>
      <c r="DO914" s="233"/>
      <c r="DP914" s="233"/>
      <c r="DQ914" s="233"/>
      <c r="DR914" s="233"/>
      <c r="DS914" s="233"/>
      <c r="DT914" s="233"/>
      <c r="DU914" s="233"/>
      <c r="DV914" s="233"/>
      <c r="DW914" s="233"/>
      <c r="DX914" s="233"/>
      <c r="DY914" s="233"/>
      <c r="DZ914" s="233"/>
      <c r="EA914" s="233"/>
      <c r="EB914" s="233"/>
      <c r="EC914" s="233"/>
      <c r="ED914" s="233"/>
      <c r="EE914" s="233"/>
      <c r="EF914" s="233"/>
      <c r="EG914" s="233"/>
      <c r="EH914" s="233"/>
      <c r="EI914" s="233"/>
      <c r="EJ914" s="233"/>
      <c r="EK914" s="233"/>
      <c r="EL914" s="233"/>
      <c r="EM914" s="233"/>
      <c r="EN914" s="233"/>
      <c r="EO914" s="233"/>
      <c r="EP914" s="233"/>
    </row>
    <row r="915" spans="1:146" ht="14.25" x14ac:dyDescent="0.2">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233"/>
      <c r="CD915" s="233"/>
      <c r="CE915" s="233"/>
      <c r="CF915" s="233"/>
      <c r="CG915" s="233"/>
      <c r="CH915" s="233"/>
      <c r="CI915" s="233"/>
      <c r="CJ915" s="233"/>
      <c r="CK915" s="233"/>
      <c r="CL915" s="233"/>
      <c r="CM915" s="233"/>
      <c r="CN915" s="233"/>
      <c r="CO915" s="233"/>
      <c r="CP915" s="233"/>
      <c r="CQ915" s="233"/>
      <c r="CR915" s="233"/>
      <c r="CS915" s="233"/>
      <c r="CT915" s="233"/>
      <c r="CU915" s="233"/>
      <c r="CV915" s="233"/>
      <c r="CW915" s="233"/>
      <c r="CX915" s="233"/>
      <c r="CY915" s="233"/>
      <c r="CZ915" s="233"/>
      <c r="DA915" s="233"/>
      <c r="DB915" s="233"/>
      <c r="DC915" s="233"/>
      <c r="DD915" s="233"/>
      <c r="DE915" s="233"/>
      <c r="DF915" s="233"/>
      <c r="DG915" s="233"/>
      <c r="DH915" s="233"/>
      <c r="DI915" s="233"/>
      <c r="DJ915" s="233"/>
      <c r="DK915" s="233"/>
      <c r="DL915" s="233"/>
      <c r="DM915" s="233"/>
      <c r="DN915" s="233"/>
      <c r="DO915" s="233"/>
      <c r="DP915" s="233"/>
      <c r="DQ915" s="233"/>
      <c r="DR915" s="233"/>
      <c r="DS915" s="233"/>
      <c r="DT915" s="233"/>
      <c r="DU915" s="233"/>
      <c r="DV915" s="233"/>
      <c r="DW915" s="233"/>
      <c r="DX915" s="233"/>
      <c r="DY915" s="233"/>
      <c r="DZ915" s="233"/>
      <c r="EA915" s="233"/>
      <c r="EB915" s="233"/>
      <c r="EC915" s="233"/>
      <c r="ED915" s="233"/>
      <c r="EE915" s="233"/>
      <c r="EF915" s="233"/>
      <c r="EG915" s="233"/>
      <c r="EH915" s="233"/>
      <c r="EI915" s="233"/>
      <c r="EJ915" s="233"/>
      <c r="EK915" s="233"/>
      <c r="EL915" s="233"/>
      <c r="EM915" s="233"/>
      <c r="EN915" s="233"/>
      <c r="EO915" s="233"/>
      <c r="EP915" s="233"/>
    </row>
    <row r="916" spans="1:146" ht="14.25" x14ac:dyDescent="0.2">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33"/>
      <c r="CI916" s="233"/>
      <c r="CJ916" s="233"/>
      <c r="CK916" s="233"/>
      <c r="CL916" s="233"/>
      <c r="CM916" s="233"/>
      <c r="CN916" s="233"/>
      <c r="CO916" s="233"/>
      <c r="CP916" s="233"/>
      <c r="CQ916" s="233"/>
      <c r="CR916" s="233"/>
      <c r="CS916" s="233"/>
      <c r="CT916" s="233"/>
      <c r="CU916" s="233"/>
      <c r="CV916" s="233"/>
      <c r="CW916" s="233"/>
      <c r="CX916" s="233"/>
      <c r="CY916" s="233"/>
      <c r="CZ916" s="233"/>
      <c r="DA916" s="233"/>
      <c r="DB916" s="233"/>
      <c r="DC916" s="233"/>
      <c r="DD916" s="233"/>
      <c r="DE916" s="233"/>
      <c r="DF916" s="233"/>
      <c r="DG916" s="233"/>
      <c r="DH916" s="233"/>
      <c r="DI916" s="233"/>
      <c r="DJ916" s="233"/>
      <c r="DK916" s="233"/>
      <c r="DL916" s="233"/>
      <c r="DM916" s="233"/>
      <c r="DN916" s="233"/>
      <c r="DO916" s="233"/>
      <c r="DP916" s="233"/>
      <c r="DQ916" s="233"/>
      <c r="DR916" s="233"/>
      <c r="DS916" s="233"/>
      <c r="DT916" s="233"/>
      <c r="DU916" s="233"/>
      <c r="DV916" s="233"/>
      <c r="DW916" s="233"/>
      <c r="DX916" s="233"/>
      <c r="DY916" s="233"/>
      <c r="DZ916" s="233"/>
      <c r="EA916" s="233"/>
      <c r="EB916" s="233"/>
      <c r="EC916" s="233"/>
      <c r="ED916" s="233"/>
      <c r="EE916" s="233"/>
      <c r="EF916" s="233"/>
      <c r="EG916" s="233"/>
      <c r="EH916" s="233"/>
      <c r="EI916" s="233"/>
      <c r="EJ916" s="233"/>
      <c r="EK916" s="233"/>
      <c r="EL916" s="233"/>
      <c r="EM916" s="233"/>
      <c r="EN916" s="233"/>
      <c r="EO916" s="233"/>
      <c r="EP916" s="233"/>
    </row>
    <row r="917" spans="1:146" ht="14.25" x14ac:dyDescent="0.2">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c r="AV917" s="233"/>
      <c r="AW917" s="233"/>
      <c r="AX917" s="233"/>
      <c r="AY917" s="233"/>
      <c r="AZ917" s="233"/>
      <c r="BA917" s="233"/>
      <c r="BB917" s="233"/>
      <c r="BC917" s="233"/>
      <c r="BD917" s="233"/>
      <c r="BE917" s="233"/>
      <c r="BF917" s="233"/>
      <c r="BG917" s="233"/>
      <c r="BH917" s="233"/>
      <c r="BI917" s="233"/>
      <c r="BJ917" s="233"/>
      <c r="BK917" s="233"/>
      <c r="BL917" s="233"/>
      <c r="BM917" s="233"/>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33"/>
      <c r="CI917" s="233"/>
      <c r="CJ917" s="233"/>
      <c r="CK917" s="233"/>
      <c r="CL917" s="233"/>
      <c r="CM917" s="233"/>
      <c r="CN917" s="233"/>
      <c r="CO917" s="233"/>
      <c r="CP917" s="233"/>
      <c r="CQ917" s="233"/>
      <c r="CR917" s="233"/>
      <c r="CS917" s="233"/>
      <c r="CT917" s="233"/>
      <c r="CU917" s="233"/>
      <c r="CV917" s="233"/>
      <c r="CW917" s="233"/>
      <c r="CX917" s="233"/>
      <c r="CY917" s="233"/>
      <c r="CZ917" s="233"/>
      <c r="DA917" s="233"/>
      <c r="DB917" s="233"/>
      <c r="DC917" s="233"/>
      <c r="DD917" s="233"/>
      <c r="DE917" s="233"/>
      <c r="DF917" s="233"/>
      <c r="DG917" s="233"/>
      <c r="DH917" s="233"/>
      <c r="DI917" s="233"/>
      <c r="DJ917" s="233"/>
      <c r="DK917" s="233"/>
      <c r="DL917" s="233"/>
      <c r="DM917" s="233"/>
      <c r="DN917" s="233"/>
      <c r="DO917" s="233"/>
      <c r="DP917" s="233"/>
      <c r="DQ917" s="233"/>
      <c r="DR917" s="233"/>
      <c r="DS917" s="233"/>
      <c r="DT917" s="233"/>
      <c r="DU917" s="233"/>
      <c r="DV917" s="233"/>
      <c r="DW917" s="233"/>
      <c r="DX917" s="233"/>
      <c r="DY917" s="233"/>
      <c r="DZ917" s="233"/>
      <c r="EA917" s="233"/>
      <c r="EB917" s="233"/>
      <c r="EC917" s="233"/>
      <c r="ED917" s="233"/>
      <c r="EE917" s="233"/>
      <c r="EF917" s="233"/>
      <c r="EG917" s="233"/>
      <c r="EH917" s="233"/>
      <c r="EI917" s="233"/>
      <c r="EJ917" s="233"/>
      <c r="EK917" s="233"/>
      <c r="EL917" s="233"/>
      <c r="EM917" s="233"/>
      <c r="EN917" s="233"/>
      <c r="EO917" s="233"/>
      <c r="EP917" s="233"/>
    </row>
    <row r="918" spans="1:146" ht="14.25" x14ac:dyDescent="0.2">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33"/>
      <c r="CI918" s="233"/>
      <c r="CJ918" s="233"/>
      <c r="CK918" s="233"/>
      <c r="CL918" s="233"/>
      <c r="CM918" s="233"/>
      <c r="CN918" s="233"/>
      <c r="CO918" s="233"/>
      <c r="CP918" s="233"/>
      <c r="CQ918" s="233"/>
      <c r="CR918" s="233"/>
      <c r="CS918" s="233"/>
      <c r="CT918" s="233"/>
      <c r="CU918" s="233"/>
      <c r="CV918" s="233"/>
      <c r="CW918" s="233"/>
      <c r="CX918" s="233"/>
      <c r="CY918" s="233"/>
      <c r="CZ918" s="233"/>
      <c r="DA918" s="233"/>
      <c r="DB918" s="233"/>
      <c r="DC918" s="233"/>
      <c r="DD918" s="233"/>
      <c r="DE918" s="233"/>
      <c r="DF918" s="233"/>
      <c r="DG918" s="233"/>
      <c r="DH918" s="233"/>
      <c r="DI918" s="233"/>
      <c r="DJ918" s="233"/>
      <c r="DK918" s="233"/>
      <c r="DL918" s="233"/>
      <c r="DM918" s="233"/>
      <c r="DN918" s="233"/>
      <c r="DO918" s="233"/>
      <c r="DP918" s="233"/>
      <c r="DQ918" s="233"/>
      <c r="DR918" s="233"/>
      <c r="DS918" s="233"/>
      <c r="DT918" s="233"/>
      <c r="DU918" s="233"/>
      <c r="DV918" s="233"/>
      <c r="DW918" s="233"/>
      <c r="DX918" s="233"/>
      <c r="DY918" s="233"/>
      <c r="DZ918" s="233"/>
      <c r="EA918" s="233"/>
      <c r="EB918" s="233"/>
      <c r="EC918" s="233"/>
      <c r="ED918" s="233"/>
      <c r="EE918" s="233"/>
      <c r="EF918" s="233"/>
      <c r="EG918" s="233"/>
      <c r="EH918" s="233"/>
      <c r="EI918" s="233"/>
      <c r="EJ918" s="233"/>
      <c r="EK918" s="233"/>
      <c r="EL918" s="233"/>
      <c r="EM918" s="233"/>
      <c r="EN918" s="233"/>
      <c r="EO918" s="233"/>
      <c r="EP918" s="233"/>
    </row>
    <row r="919" spans="1:146" ht="14.25" x14ac:dyDescent="0.2">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3"/>
      <c r="CD919" s="233"/>
      <c r="CE919" s="233"/>
      <c r="CF919" s="233"/>
      <c r="CG919" s="233"/>
      <c r="CH919" s="233"/>
      <c r="CI919" s="233"/>
      <c r="CJ919" s="233"/>
      <c r="CK919" s="233"/>
      <c r="CL919" s="233"/>
      <c r="CM919" s="233"/>
      <c r="CN919" s="233"/>
      <c r="CO919" s="233"/>
      <c r="CP919" s="233"/>
      <c r="CQ919" s="233"/>
      <c r="CR919" s="233"/>
      <c r="CS919" s="233"/>
      <c r="CT919" s="233"/>
      <c r="CU919" s="233"/>
      <c r="CV919" s="233"/>
      <c r="CW919" s="233"/>
      <c r="CX919" s="233"/>
      <c r="CY919" s="233"/>
      <c r="CZ919" s="233"/>
      <c r="DA919" s="233"/>
      <c r="DB919" s="233"/>
      <c r="DC919" s="233"/>
      <c r="DD919" s="233"/>
      <c r="DE919" s="233"/>
      <c r="DF919" s="233"/>
      <c r="DG919" s="233"/>
      <c r="DH919" s="233"/>
      <c r="DI919" s="233"/>
      <c r="DJ919" s="233"/>
      <c r="DK919" s="233"/>
      <c r="DL919" s="233"/>
      <c r="DM919" s="233"/>
      <c r="DN919" s="233"/>
      <c r="DO919" s="233"/>
      <c r="DP919" s="233"/>
      <c r="DQ919" s="233"/>
      <c r="DR919" s="233"/>
      <c r="DS919" s="233"/>
      <c r="DT919" s="233"/>
      <c r="DU919" s="233"/>
      <c r="DV919" s="233"/>
      <c r="DW919" s="233"/>
      <c r="DX919" s="233"/>
      <c r="DY919" s="233"/>
      <c r="DZ919" s="233"/>
      <c r="EA919" s="233"/>
      <c r="EB919" s="233"/>
      <c r="EC919" s="233"/>
      <c r="ED919" s="233"/>
      <c r="EE919" s="233"/>
      <c r="EF919" s="233"/>
      <c r="EG919" s="233"/>
      <c r="EH919" s="233"/>
      <c r="EI919" s="233"/>
      <c r="EJ919" s="233"/>
      <c r="EK919" s="233"/>
      <c r="EL919" s="233"/>
      <c r="EM919" s="233"/>
      <c r="EN919" s="233"/>
      <c r="EO919" s="233"/>
      <c r="EP919" s="233"/>
    </row>
    <row r="920" spans="1:146" ht="14.25" x14ac:dyDescent="0.2">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c r="AZ920" s="233"/>
      <c r="BA920" s="233"/>
      <c r="BB920" s="233"/>
      <c r="BC920" s="233"/>
      <c r="BD920" s="233"/>
      <c r="BE920" s="233"/>
      <c r="BF920" s="233"/>
      <c r="BG920" s="233"/>
      <c r="BH920" s="233"/>
      <c r="BI920" s="233"/>
      <c r="BJ920" s="233"/>
      <c r="BK920" s="233"/>
      <c r="BL920" s="233"/>
      <c r="BM920" s="233"/>
      <c r="BN920" s="233"/>
      <c r="BO920" s="233"/>
      <c r="BP920" s="233"/>
      <c r="BQ920" s="233"/>
      <c r="BR920" s="233"/>
      <c r="BS920" s="233"/>
      <c r="BT920" s="233"/>
      <c r="BU920" s="233"/>
      <c r="BV920" s="233"/>
      <c r="BW920" s="233"/>
      <c r="BX920" s="233"/>
      <c r="BY920" s="233"/>
      <c r="BZ920" s="233"/>
      <c r="CA920" s="233"/>
      <c r="CB920" s="233"/>
      <c r="CC920" s="233"/>
      <c r="CD920" s="233"/>
      <c r="CE920" s="233"/>
      <c r="CF920" s="233"/>
      <c r="CG920" s="233"/>
      <c r="CH920" s="233"/>
      <c r="CI920" s="233"/>
      <c r="CJ920" s="233"/>
      <c r="CK920" s="233"/>
      <c r="CL920" s="233"/>
      <c r="CM920" s="233"/>
      <c r="CN920" s="233"/>
      <c r="CO920" s="233"/>
      <c r="CP920" s="233"/>
      <c r="CQ920" s="233"/>
      <c r="CR920" s="233"/>
      <c r="CS920" s="233"/>
      <c r="CT920" s="233"/>
      <c r="CU920" s="233"/>
      <c r="CV920" s="233"/>
      <c r="CW920" s="233"/>
      <c r="CX920" s="233"/>
      <c r="CY920" s="233"/>
      <c r="CZ920" s="233"/>
      <c r="DA920" s="233"/>
      <c r="DB920" s="233"/>
      <c r="DC920" s="233"/>
      <c r="DD920" s="233"/>
      <c r="DE920" s="233"/>
      <c r="DF920" s="233"/>
      <c r="DG920" s="233"/>
      <c r="DH920" s="233"/>
      <c r="DI920" s="233"/>
      <c r="DJ920" s="233"/>
      <c r="DK920" s="233"/>
      <c r="DL920" s="233"/>
      <c r="DM920" s="233"/>
      <c r="DN920" s="233"/>
      <c r="DO920" s="233"/>
      <c r="DP920" s="233"/>
      <c r="DQ920" s="233"/>
      <c r="DR920" s="233"/>
      <c r="DS920" s="233"/>
      <c r="DT920" s="233"/>
      <c r="DU920" s="233"/>
      <c r="DV920" s="233"/>
      <c r="DW920" s="233"/>
      <c r="DX920" s="233"/>
      <c r="DY920" s="233"/>
      <c r="DZ920" s="233"/>
      <c r="EA920" s="233"/>
      <c r="EB920" s="233"/>
      <c r="EC920" s="233"/>
      <c r="ED920" s="233"/>
      <c r="EE920" s="233"/>
      <c r="EF920" s="233"/>
      <c r="EG920" s="233"/>
      <c r="EH920" s="233"/>
      <c r="EI920" s="233"/>
      <c r="EJ920" s="233"/>
      <c r="EK920" s="233"/>
      <c r="EL920" s="233"/>
      <c r="EM920" s="233"/>
      <c r="EN920" s="233"/>
      <c r="EO920" s="233"/>
      <c r="EP920" s="233"/>
    </row>
    <row r="921" spans="1:146" ht="14.25" x14ac:dyDescent="0.2">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33"/>
      <c r="CI921" s="233"/>
      <c r="CJ921" s="233"/>
      <c r="CK921" s="233"/>
      <c r="CL921" s="233"/>
      <c r="CM921" s="233"/>
      <c r="CN921" s="233"/>
      <c r="CO921" s="233"/>
      <c r="CP921" s="233"/>
      <c r="CQ921" s="233"/>
      <c r="CR921" s="233"/>
      <c r="CS921" s="233"/>
      <c r="CT921" s="233"/>
      <c r="CU921" s="233"/>
      <c r="CV921" s="233"/>
      <c r="CW921" s="233"/>
      <c r="CX921" s="233"/>
      <c r="CY921" s="233"/>
      <c r="CZ921" s="233"/>
      <c r="DA921" s="233"/>
      <c r="DB921" s="233"/>
      <c r="DC921" s="233"/>
      <c r="DD921" s="233"/>
      <c r="DE921" s="233"/>
      <c r="DF921" s="233"/>
      <c r="DG921" s="233"/>
      <c r="DH921" s="233"/>
      <c r="DI921" s="233"/>
      <c r="DJ921" s="233"/>
      <c r="DK921" s="233"/>
      <c r="DL921" s="233"/>
      <c r="DM921" s="233"/>
      <c r="DN921" s="233"/>
      <c r="DO921" s="233"/>
      <c r="DP921" s="233"/>
      <c r="DQ921" s="233"/>
      <c r="DR921" s="233"/>
      <c r="DS921" s="233"/>
      <c r="DT921" s="233"/>
      <c r="DU921" s="233"/>
      <c r="DV921" s="233"/>
      <c r="DW921" s="233"/>
      <c r="DX921" s="233"/>
      <c r="DY921" s="233"/>
      <c r="DZ921" s="233"/>
      <c r="EA921" s="233"/>
      <c r="EB921" s="233"/>
      <c r="EC921" s="233"/>
      <c r="ED921" s="233"/>
      <c r="EE921" s="233"/>
      <c r="EF921" s="233"/>
      <c r="EG921" s="233"/>
      <c r="EH921" s="233"/>
      <c r="EI921" s="233"/>
      <c r="EJ921" s="233"/>
      <c r="EK921" s="233"/>
      <c r="EL921" s="233"/>
      <c r="EM921" s="233"/>
      <c r="EN921" s="233"/>
      <c r="EO921" s="233"/>
      <c r="EP921" s="233"/>
    </row>
    <row r="922" spans="1:146" ht="14.25" x14ac:dyDescent="0.2">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c r="AV922" s="233"/>
      <c r="AW922" s="233"/>
      <c r="AX922" s="233"/>
      <c r="AY922" s="233"/>
      <c r="AZ922" s="233"/>
      <c r="BA922" s="233"/>
      <c r="BB922" s="233"/>
      <c r="BC922" s="233"/>
      <c r="BD922" s="233"/>
      <c r="BE922" s="233"/>
      <c r="BF922" s="233"/>
      <c r="BG922" s="233"/>
      <c r="BH922" s="233"/>
      <c r="BI922" s="233"/>
      <c r="BJ922" s="233"/>
      <c r="BK922" s="233"/>
      <c r="BL922" s="233"/>
      <c r="BM922" s="233"/>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33"/>
      <c r="CI922" s="233"/>
      <c r="CJ922" s="233"/>
      <c r="CK922" s="233"/>
      <c r="CL922" s="233"/>
      <c r="CM922" s="233"/>
      <c r="CN922" s="233"/>
      <c r="CO922" s="233"/>
      <c r="CP922" s="233"/>
      <c r="CQ922" s="233"/>
      <c r="CR922" s="233"/>
      <c r="CS922" s="233"/>
      <c r="CT922" s="233"/>
      <c r="CU922" s="233"/>
      <c r="CV922" s="233"/>
      <c r="CW922" s="233"/>
      <c r="CX922" s="233"/>
      <c r="CY922" s="233"/>
      <c r="CZ922" s="233"/>
      <c r="DA922" s="233"/>
      <c r="DB922" s="233"/>
      <c r="DC922" s="233"/>
      <c r="DD922" s="233"/>
      <c r="DE922" s="233"/>
      <c r="DF922" s="233"/>
      <c r="DG922" s="233"/>
      <c r="DH922" s="233"/>
      <c r="DI922" s="233"/>
      <c r="DJ922" s="233"/>
      <c r="DK922" s="233"/>
      <c r="DL922" s="233"/>
      <c r="DM922" s="233"/>
      <c r="DN922" s="233"/>
      <c r="DO922" s="233"/>
      <c r="DP922" s="233"/>
      <c r="DQ922" s="233"/>
      <c r="DR922" s="233"/>
      <c r="DS922" s="233"/>
      <c r="DT922" s="233"/>
      <c r="DU922" s="233"/>
      <c r="DV922" s="233"/>
      <c r="DW922" s="233"/>
      <c r="DX922" s="233"/>
      <c r="DY922" s="233"/>
      <c r="DZ922" s="233"/>
      <c r="EA922" s="233"/>
      <c r="EB922" s="233"/>
      <c r="EC922" s="233"/>
      <c r="ED922" s="233"/>
      <c r="EE922" s="233"/>
      <c r="EF922" s="233"/>
      <c r="EG922" s="233"/>
      <c r="EH922" s="233"/>
      <c r="EI922" s="233"/>
      <c r="EJ922" s="233"/>
      <c r="EK922" s="233"/>
      <c r="EL922" s="233"/>
      <c r="EM922" s="233"/>
      <c r="EN922" s="233"/>
      <c r="EO922" s="233"/>
      <c r="EP922" s="233"/>
    </row>
    <row r="923" spans="1:146" ht="14.25" x14ac:dyDescent="0.2">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c r="AV923" s="233"/>
      <c r="AW923" s="233"/>
      <c r="AX923" s="233"/>
      <c r="AY923" s="233"/>
      <c r="AZ923" s="233"/>
      <c r="BA923" s="233"/>
      <c r="BB923" s="233"/>
      <c r="BC923" s="233"/>
      <c r="BD923" s="233"/>
      <c r="BE923" s="233"/>
      <c r="BF923" s="233"/>
      <c r="BG923" s="233"/>
      <c r="BH923" s="233"/>
      <c r="BI923" s="233"/>
      <c r="BJ923" s="233"/>
      <c r="BK923" s="233"/>
      <c r="BL923" s="233"/>
      <c r="BM923" s="233"/>
      <c r="BN923" s="233"/>
      <c r="BO923" s="233"/>
      <c r="BP923" s="233"/>
      <c r="BQ923" s="233"/>
      <c r="BR923" s="233"/>
      <c r="BS923" s="233"/>
      <c r="BT923" s="233"/>
      <c r="BU923" s="233"/>
      <c r="BV923" s="233"/>
      <c r="BW923" s="233"/>
      <c r="BX923" s="233"/>
      <c r="BY923" s="233"/>
      <c r="BZ923" s="233"/>
      <c r="CA923" s="233"/>
      <c r="CB923" s="233"/>
      <c r="CC923" s="233"/>
      <c r="CD923" s="233"/>
      <c r="CE923" s="233"/>
      <c r="CF923" s="233"/>
      <c r="CG923" s="233"/>
      <c r="CH923" s="233"/>
      <c r="CI923" s="233"/>
      <c r="CJ923" s="233"/>
      <c r="CK923" s="233"/>
      <c r="CL923" s="233"/>
      <c r="CM923" s="233"/>
      <c r="CN923" s="233"/>
      <c r="CO923" s="233"/>
      <c r="CP923" s="233"/>
      <c r="CQ923" s="233"/>
      <c r="CR923" s="233"/>
      <c r="CS923" s="233"/>
      <c r="CT923" s="233"/>
      <c r="CU923" s="233"/>
      <c r="CV923" s="233"/>
      <c r="CW923" s="233"/>
      <c r="CX923" s="233"/>
      <c r="CY923" s="233"/>
      <c r="CZ923" s="233"/>
      <c r="DA923" s="233"/>
      <c r="DB923" s="233"/>
      <c r="DC923" s="233"/>
      <c r="DD923" s="233"/>
      <c r="DE923" s="233"/>
      <c r="DF923" s="233"/>
      <c r="DG923" s="233"/>
      <c r="DH923" s="233"/>
      <c r="DI923" s="233"/>
      <c r="DJ923" s="233"/>
      <c r="DK923" s="233"/>
      <c r="DL923" s="233"/>
      <c r="DM923" s="233"/>
      <c r="DN923" s="233"/>
      <c r="DO923" s="233"/>
      <c r="DP923" s="233"/>
      <c r="DQ923" s="233"/>
      <c r="DR923" s="233"/>
      <c r="DS923" s="233"/>
      <c r="DT923" s="233"/>
      <c r="DU923" s="233"/>
      <c r="DV923" s="233"/>
      <c r="DW923" s="233"/>
      <c r="DX923" s="233"/>
      <c r="DY923" s="233"/>
      <c r="DZ923" s="233"/>
      <c r="EA923" s="233"/>
      <c r="EB923" s="233"/>
      <c r="EC923" s="233"/>
      <c r="ED923" s="233"/>
      <c r="EE923" s="233"/>
      <c r="EF923" s="233"/>
      <c r="EG923" s="233"/>
      <c r="EH923" s="233"/>
      <c r="EI923" s="233"/>
      <c r="EJ923" s="233"/>
      <c r="EK923" s="233"/>
      <c r="EL923" s="233"/>
      <c r="EM923" s="233"/>
      <c r="EN923" s="233"/>
      <c r="EO923" s="233"/>
      <c r="EP923" s="233"/>
    </row>
    <row r="924" spans="1:146" ht="14.25" x14ac:dyDescent="0.2">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c r="AV924" s="233"/>
      <c r="AW924" s="233"/>
      <c r="AX924" s="233"/>
      <c r="AY924" s="233"/>
      <c r="AZ924" s="233"/>
      <c r="BA924" s="233"/>
      <c r="BB924" s="233"/>
      <c r="BC924" s="233"/>
      <c r="BD924" s="233"/>
      <c r="BE924" s="233"/>
      <c r="BF924" s="233"/>
      <c r="BG924" s="233"/>
      <c r="BH924" s="233"/>
      <c r="BI924" s="233"/>
      <c r="BJ924" s="233"/>
      <c r="BK924" s="233"/>
      <c r="BL924" s="233"/>
      <c r="BM924" s="233"/>
      <c r="BN924" s="233"/>
      <c r="BO924" s="233"/>
      <c r="BP924" s="233"/>
      <c r="BQ924" s="233"/>
      <c r="BR924" s="233"/>
      <c r="BS924" s="233"/>
      <c r="BT924" s="233"/>
      <c r="BU924" s="233"/>
      <c r="BV924" s="233"/>
      <c r="BW924" s="233"/>
      <c r="BX924" s="233"/>
      <c r="BY924" s="233"/>
      <c r="BZ924" s="233"/>
      <c r="CA924" s="233"/>
      <c r="CB924" s="233"/>
      <c r="CC924" s="233"/>
      <c r="CD924" s="233"/>
      <c r="CE924" s="233"/>
      <c r="CF924" s="233"/>
      <c r="CG924" s="233"/>
      <c r="CH924" s="233"/>
      <c r="CI924" s="233"/>
      <c r="CJ924" s="233"/>
      <c r="CK924" s="233"/>
      <c r="CL924" s="233"/>
      <c r="CM924" s="233"/>
      <c r="CN924" s="233"/>
      <c r="CO924" s="233"/>
      <c r="CP924" s="233"/>
      <c r="CQ924" s="233"/>
      <c r="CR924" s="233"/>
      <c r="CS924" s="233"/>
      <c r="CT924" s="233"/>
      <c r="CU924" s="233"/>
      <c r="CV924" s="233"/>
      <c r="CW924" s="233"/>
      <c r="CX924" s="233"/>
      <c r="CY924" s="233"/>
      <c r="CZ924" s="233"/>
      <c r="DA924" s="233"/>
      <c r="DB924" s="233"/>
      <c r="DC924" s="233"/>
      <c r="DD924" s="233"/>
      <c r="DE924" s="233"/>
      <c r="DF924" s="233"/>
      <c r="DG924" s="233"/>
      <c r="DH924" s="233"/>
      <c r="DI924" s="233"/>
      <c r="DJ924" s="233"/>
      <c r="DK924" s="233"/>
      <c r="DL924" s="233"/>
      <c r="DM924" s="233"/>
      <c r="DN924" s="233"/>
      <c r="DO924" s="233"/>
      <c r="DP924" s="233"/>
      <c r="DQ924" s="233"/>
      <c r="DR924" s="233"/>
      <c r="DS924" s="233"/>
      <c r="DT924" s="233"/>
      <c r="DU924" s="233"/>
      <c r="DV924" s="233"/>
      <c r="DW924" s="233"/>
      <c r="DX924" s="233"/>
      <c r="DY924" s="233"/>
      <c r="DZ924" s="233"/>
      <c r="EA924" s="233"/>
      <c r="EB924" s="233"/>
      <c r="EC924" s="233"/>
      <c r="ED924" s="233"/>
      <c r="EE924" s="233"/>
      <c r="EF924" s="233"/>
      <c r="EG924" s="233"/>
      <c r="EH924" s="233"/>
      <c r="EI924" s="233"/>
      <c r="EJ924" s="233"/>
      <c r="EK924" s="233"/>
      <c r="EL924" s="233"/>
      <c r="EM924" s="233"/>
      <c r="EN924" s="233"/>
      <c r="EO924" s="233"/>
      <c r="EP924" s="233"/>
    </row>
    <row r="925" spans="1:146" ht="14.25" x14ac:dyDescent="0.2">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c r="AV925" s="233"/>
      <c r="AW925" s="233"/>
      <c r="AX925" s="233"/>
      <c r="AY925" s="233"/>
      <c r="AZ925" s="233"/>
      <c r="BA925" s="233"/>
      <c r="BB925" s="233"/>
      <c r="BC925" s="233"/>
      <c r="BD925" s="233"/>
      <c r="BE925" s="233"/>
      <c r="BF925" s="233"/>
      <c r="BG925" s="233"/>
      <c r="BH925" s="233"/>
      <c r="BI925" s="233"/>
      <c r="BJ925" s="233"/>
      <c r="BK925" s="233"/>
      <c r="BL925" s="233"/>
      <c r="BM925" s="233"/>
      <c r="BN925" s="233"/>
      <c r="BO925" s="233"/>
      <c r="BP925" s="233"/>
      <c r="BQ925" s="233"/>
      <c r="BR925" s="233"/>
      <c r="BS925" s="233"/>
      <c r="BT925" s="233"/>
      <c r="BU925" s="233"/>
      <c r="BV925" s="233"/>
      <c r="BW925" s="233"/>
      <c r="BX925" s="233"/>
      <c r="BY925" s="233"/>
      <c r="BZ925" s="233"/>
      <c r="CA925" s="233"/>
      <c r="CB925" s="233"/>
      <c r="CC925" s="233"/>
      <c r="CD925" s="233"/>
      <c r="CE925" s="233"/>
      <c r="CF925" s="233"/>
      <c r="CG925" s="233"/>
      <c r="CH925" s="233"/>
      <c r="CI925" s="233"/>
      <c r="CJ925" s="233"/>
      <c r="CK925" s="233"/>
      <c r="CL925" s="233"/>
      <c r="CM925" s="233"/>
      <c r="CN925" s="233"/>
      <c r="CO925" s="233"/>
      <c r="CP925" s="233"/>
      <c r="CQ925" s="233"/>
      <c r="CR925" s="233"/>
      <c r="CS925" s="233"/>
      <c r="CT925" s="233"/>
      <c r="CU925" s="233"/>
      <c r="CV925" s="233"/>
      <c r="CW925" s="233"/>
      <c r="CX925" s="233"/>
      <c r="CY925" s="233"/>
      <c r="CZ925" s="233"/>
      <c r="DA925" s="233"/>
      <c r="DB925" s="233"/>
      <c r="DC925" s="233"/>
      <c r="DD925" s="233"/>
      <c r="DE925" s="233"/>
      <c r="DF925" s="233"/>
      <c r="DG925" s="233"/>
      <c r="DH925" s="233"/>
      <c r="DI925" s="233"/>
      <c r="DJ925" s="233"/>
      <c r="DK925" s="233"/>
      <c r="DL925" s="233"/>
      <c r="DM925" s="233"/>
      <c r="DN925" s="233"/>
      <c r="DO925" s="233"/>
      <c r="DP925" s="233"/>
      <c r="DQ925" s="233"/>
      <c r="DR925" s="233"/>
      <c r="DS925" s="233"/>
      <c r="DT925" s="233"/>
      <c r="DU925" s="233"/>
      <c r="DV925" s="233"/>
      <c r="DW925" s="233"/>
      <c r="DX925" s="233"/>
      <c r="DY925" s="233"/>
      <c r="DZ925" s="233"/>
      <c r="EA925" s="233"/>
      <c r="EB925" s="233"/>
      <c r="EC925" s="233"/>
      <c r="ED925" s="233"/>
      <c r="EE925" s="233"/>
      <c r="EF925" s="233"/>
      <c r="EG925" s="233"/>
      <c r="EH925" s="233"/>
      <c r="EI925" s="233"/>
      <c r="EJ925" s="233"/>
      <c r="EK925" s="233"/>
      <c r="EL925" s="233"/>
      <c r="EM925" s="233"/>
      <c r="EN925" s="233"/>
      <c r="EO925" s="233"/>
      <c r="EP925" s="233"/>
    </row>
    <row r="926" spans="1:146" ht="14.25" x14ac:dyDescent="0.2">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c r="AV926" s="233"/>
      <c r="AW926" s="233"/>
      <c r="AX926" s="233"/>
      <c r="AY926" s="233"/>
      <c r="AZ926" s="233"/>
      <c r="BA926" s="233"/>
      <c r="BB926" s="233"/>
      <c r="BC926" s="233"/>
      <c r="BD926" s="233"/>
      <c r="BE926" s="233"/>
      <c r="BF926" s="233"/>
      <c r="BG926" s="233"/>
      <c r="BH926" s="233"/>
      <c r="BI926" s="233"/>
      <c r="BJ926" s="233"/>
      <c r="BK926" s="233"/>
      <c r="BL926" s="233"/>
      <c r="BM926" s="233"/>
      <c r="BN926" s="233"/>
      <c r="BO926" s="233"/>
      <c r="BP926" s="233"/>
      <c r="BQ926" s="233"/>
      <c r="BR926" s="233"/>
      <c r="BS926" s="233"/>
      <c r="BT926" s="233"/>
      <c r="BU926" s="233"/>
      <c r="BV926" s="233"/>
      <c r="BW926" s="233"/>
      <c r="BX926" s="233"/>
      <c r="BY926" s="233"/>
      <c r="BZ926" s="233"/>
      <c r="CA926" s="233"/>
      <c r="CB926" s="233"/>
      <c r="CC926" s="233"/>
      <c r="CD926" s="233"/>
      <c r="CE926" s="233"/>
      <c r="CF926" s="233"/>
      <c r="CG926" s="233"/>
      <c r="CH926" s="233"/>
      <c r="CI926" s="233"/>
      <c r="CJ926" s="233"/>
      <c r="CK926" s="233"/>
      <c r="CL926" s="233"/>
      <c r="CM926" s="233"/>
      <c r="CN926" s="233"/>
      <c r="CO926" s="233"/>
      <c r="CP926" s="233"/>
      <c r="CQ926" s="233"/>
      <c r="CR926" s="233"/>
      <c r="CS926" s="233"/>
      <c r="CT926" s="233"/>
      <c r="CU926" s="233"/>
      <c r="CV926" s="233"/>
      <c r="CW926" s="233"/>
      <c r="CX926" s="233"/>
      <c r="CY926" s="233"/>
      <c r="CZ926" s="233"/>
      <c r="DA926" s="233"/>
      <c r="DB926" s="233"/>
      <c r="DC926" s="233"/>
      <c r="DD926" s="233"/>
      <c r="DE926" s="233"/>
      <c r="DF926" s="233"/>
      <c r="DG926" s="233"/>
      <c r="DH926" s="233"/>
      <c r="DI926" s="233"/>
      <c r="DJ926" s="233"/>
      <c r="DK926" s="233"/>
      <c r="DL926" s="233"/>
      <c r="DM926" s="233"/>
      <c r="DN926" s="233"/>
      <c r="DO926" s="233"/>
      <c r="DP926" s="233"/>
      <c r="DQ926" s="233"/>
      <c r="DR926" s="233"/>
      <c r="DS926" s="233"/>
      <c r="DT926" s="233"/>
      <c r="DU926" s="233"/>
      <c r="DV926" s="233"/>
      <c r="DW926" s="233"/>
      <c r="DX926" s="233"/>
      <c r="DY926" s="233"/>
      <c r="DZ926" s="233"/>
      <c r="EA926" s="233"/>
      <c r="EB926" s="233"/>
      <c r="EC926" s="233"/>
      <c r="ED926" s="233"/>
      <c r="EE926" s="233"/>
      <c r="EF926" s="233"/>
      <c r="EG926" s="233"/>
      <c r="EH926" s="233"/>
      <c r="EI926" s="233"/>
      <c r="EJ926" s="233"/>
      <c r="EK926" s="233"/>
      <c r="EL926" s="233"/>
      <c r="EM926" s="233"/>
      <c r="EN926" s="233"/>
      <c r="EO926" s="233"/>
      <c r="EP926" s="233"/>
    </row>
    <row r="927" spans="1:146" ht="14.25" x14ac:dyDescent="0.2">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c r="AV927" s="233"/>
      <c r="AW927" s="233"/>
      <c r="AX927" s="233"/>
      <c r="AY927" s="233"/>
      <c r="AZ927" s="233"/>
      <c r="BA927" s="233"/>
      <c r="BB927" s="233"/>
      <c r="BC927" s="233"/>
      <c r="BD927" s="233"/>
      <c r="BE927" s="233"/>
      <c r="BF927" s="233"/>
      <c r="BG927" s="233"/>
      <c r="BH927" s="233"/>
      <c r="BI927" s="233"/>
      <c r="BJ927" s="233"/>
      <c r="BK927" s="233"/>
      <c r="BL927" s="233"/>
      <c r="BM927" s="233"/>
      <c r="BN927" s="233"/>
      <c r="BO927" s="233"/>
      <c r="BP927" s="233"/>
      <c r="BQ927" s="233"/>
      <c r="BR927" s="233"/>
      <c r="BS927" s="233"/>
      <c r="BT927" s="233"/>
      <c r="BU927" s="233"/>
      <c r="BV927" s="233"/>
      <c r="BW927" s="233"/>
      <c r="BX927" s="233"/>
      <c r="BY927" s="233"/>
      <c r="BZ927" s="233"/>
      <c r="CA927" s="233"/>
      <c r="CB927" s="233"/>
      <c r="CC927" s="233"/>
      <c r="CD927" s="233"/>
      <c r="CE927" s="233"/>
      <c r="CF927" s="233"/>
      <c r="CG927" s="233"/>
      <c r="CH927" s="233"/>
      <c r="CI927" s="233"/>
      <c r="CJ927" s="233"/>
      <c r="CK927" s="233"/>
      <c r="CL927" s="233"/>
      <c r="CM927" s="233"/>
      <c r="CN927" s="233"/>
      <c r="CO927" s="233"/>
      <c r="CP927" s="233"/>
      <c r="CQ927" s="233"/>
      <c r="CR927" s="233"/>
      <c r="CS927" s="233"/>
      <c r="CT927" s="233"/>
      <c r="CU927" s="233"/>
      <c r="CV927" s="233"/>
      <c r="CW927" s="233"/>
      <c r="CX927" s="233"/>
      <c r="CY927" s="233"/>
      <c r="CZ927" s="233"/>
      <c r="DA927" s="233"/>
      <c r="DB927" s="233"/>
      <c r="DC927" s="233"/>
      <c r="DD927" s="233"/>
      <c r="DE927" s="233"/>
      <c r="DF927" s="233"/>
      <c r="DG927" s="233"/>
      <c r="DH927" s="233"/>
      <c r="DI927" s="233"/>
      <c r="DJ927" s="233"/>
      <c r="DK927" s="233"/>
      <c r="DL927" s="233"/>
      <c r="DM927" s="233"/>
      <c r="DN927" s="233"/>
      <c r="DO927" s="233"/>
      <c r="DP927" s="233"/>
      <c r="DQ927" s="233"/>
      <c r="DR927" s="233"/>
      <c r="DS927" s="233"/>
      <c r="DT927" s="233"/>
      <c r="DU927" s="233"/>
      <c r="DV927" s="233"/>
      <c r="DW927" s="233"/>
      <c r="DX927" s="233"/>
      <c r="DY927" s="233"/>
      <c r="DZ927" s="233"/>
      <c r="EA927" s="233"/>
      <c r="EB927" s="233"/>
      <c r="EC927" s="233"/>
      <c r="ED927" s="233"/>
      <c r="EE927" s="233"/>
      <c r="EF927" s="233"/>
      <c r="EG927" s="233"/>
      <c r="EH927" s="233"/>
      <c r="EI927" s="233"/>
      <c r="EJ927" s="233"/>
      <c r="EK927" s="233"/>
      <c r="EL927" s="233"/>
      <c r="EM927" s="233"/>
      <c r="EN927" s="233"/>
      <c r="EO927" s="233"/>
      <c r="EP927" s="233"/>
    </row>
    <row r="928" spans="1:146" ht="14.25" x14ac:dyDescent="0.2">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c r="AV928" s="233"/>
      <c r="AW928" s="233"/>
      <c r="AX928" s="233"/>
      <c r="AY928" s="233"/>
      <c r="AZ928" s="233"/>
      <c r="BA928" s="233"/>
      <c r="BB928" s="233"/>
      <c r="BC928" s="233"/>
      <c r="BD928" s="233"/>
      <c r="BE928" s="233"/>
      <c r="BF928" s="233"/>
      <c r="BG928" s="233"/>
      <c r="BH928" s="233"/>
      <c r="BI928" s="233"/>
      <c r="BJ928" s="233"/>
      <c r="BK928" s="233"/>
      <c r="BL928" s="233"/>
      <c r="BM928" s="233"/>
      <c r="BN928" s="233"/>
      <c r="BO928" s="233"/>
      <c r="BP928" s="233"/>
      <c r="BQ928" s="233"/>
      <c r="BR928" s="233"/>
      <c r="BS928" s="233"/>
      <c r="BT928" s="233"/>
      <c r="BU928" s="233"/>
      <c r="BV928" s="233"/>
      <c r="BW928" s="233"/>
      <c r="BX928" s="233"/>
      <c r="BY928" s="233"/>
      <c r="BZ928" s="233"/>
      <c r="CA928" s="233"/>
      <c r="CB928" s="233"/>
      <c r="CC928" s="233"/>
      <c r="CD928" s="233"/>
      <c r="CE928" s="233"/>
      <c r="CF928" s="233"/>
      <c r="CG928" s="233"/>
      <c r="CH928" s="233"/>
      <c r="CI928" s="233"/>
      <c r="CJ928" s="233"/>
      <c r="CK928" s="233"/>
      <c r="CL928" s="233"/>
      <c r="CM928" s="233"/>
      <c r="CN928" s="233"/>
      <c r="CO928" s="233"/>
      <c r="CP928" s="233"/>
      <c r="CQ928" s="233"/>
      <c r="CR928" s="233"/>
      <c r="CS928" s="233"/>
      <c r="CT928" s="233"/>
      <c r="CU928" s="233"/>
      <c r="CV928" s="233"/>
      <c r="CW928" s="233"/>
      <c r="CX928" s="233"/>
      <c r="CY928" s="233"/>
      <c r="CZ928" s="233"/>
      <c r="DA928" s="233"/>
      <c r="DB928" s="233"/>
      <c r="DC928" s="233"/>
      <c r="DD928" s="233"/>
      <c r="DE928" s="233"/>
      <c r="DF928" s="233"/>
      <c r="DG928" s="233"/>
      <c r="DH928" s="233"/>
      <c r="DI928" s="233"/>
      <c r="DJ928" s="233"/>
      <c r="DK928" s="233"/>
      <c r="DL928" s="233"/>
      <c r="DM928" s="233"/>
      <c r="DN928" s="233"/>
      <c r="DO928" s="233"/>
      <c r="DP928" s="233"/>
      <c r="DQ928" s="233"/>
      <c r="DR928" s="233"/>
      <c r="DS928" s="233"/>
      <c r="DT928" s="233"/>
      <c r="DU928" s="233"/>
      <c r="DV928" s="233"/>
      <c r="DW928" s="233"/>
      <c r="DX928" s="233"/>
      <c r="DY928" s="233"/>
      <c r="DZ928" s="233"/>
      <c r="EA928" s="233"/>
      <c r="EB928" s="233"/>
      <c r="EC928" s="233"/>
      <c r="ED928" s="233"/>
      <c r="EE928" s="233"/>
      <c r="EF928" s="233"/>
      <c r="EG928" s="233"/>
      <c r="EH928" s="233"/>
      <c r="EI928" s="233"/>
      <c r="EJ928" s="233"/>
      <c r="EK928" s="233"/>
      <c r="EL928" s="233"/>
      <c r="EM928" s="233"/>
      <c r="EN928" s="233"/>
      <c r="EO928" s="233"/>
      <c r="EP928" s="233"/>
    </row>
    <row r="929" spans="1:146" ht="14.25" x14ac:dyDescent="0.2">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c r="AV929" s="233"/>
      <c r="AW929" s="233"/>
      <c r="AX929" s="233"/>
      <c r="AY929" s="233"/>
      <c r="AZ929" s="233"/>
      <c r="BA929" s="233"/>
      <c r="BB929" s="233"/>
      <c r="BC929" s="233"/>
      <c r="BD929" s="233"/>
      <c r="BE929" s="233"/>
      <c r="BF929" s="233"/>
      <c r="BG929" s="233"/>
      <c r="BH929" s="233"/>
      <c r="BI929" s="233"/>
      <c r="BJ929" s="233"/>
      <c r="BK929" s="233"/>
      <c r="BL929" s="233"/>
      <c r="BM929" s="233"/>
      <c r="BN929" s="233"/>
      <c r="BO929" s="233"/>
      <c r="BP929" s="233"/>
      <c r="BQ929" s="233"/>
      <c r="BR929" s="233"/>
      <c r="BS929" s="233"/>
      <c r="BT929" s="233"/>
      <c r="BU929" s="233"/>
      <c r="BV929" s="233"/>
      <c r="BW929" s="233"/>
      <c r="BX929" s="233"/>
      <c r="BY929" s="233"/>
      <c r="BZ929" s="233"/>
      <c r="CA929" s="233"/>
      <c r="CB929" s="233"/>
      <c r="CC929" s="233"/>
      <c r="CD929" s="233"/>
      <c r="CE929" s="233"/>
      <c r="CF929" s="233"/>
      <c r="CG929" s="233"/>
      <c r="CH929" s="233"/>
      <c r="CI929" s="233"/>
      <c r="CJ929" s="233"/>
      <c r="CK929" s="233"/>
      <c r="CL929" s="233"/>
      <c r="CM929" s="233"/>
      <c r="CN929" s="233"/>
      <c r="CO929" s="233"/>
      <c r="CP929" s="233"/>
      <c r="CQ929" s="233"/>
      <c r="CR929" s="233"/>
      <c r="CS929" s="233"/>
      <c r="CT929" s="233"/>
      <c r="CU929" s="233"/>
      <c r="CV929" s="233"/>
      <c r="CW929" s="233"/>
      <c r="CX929" s="233"/>
      <c r="CY929" s="233"/>
      <c r="CZ929" s="233"/>
      <c r="DA929" s="233"/>
      <c r="DB929" s="233"/>
      <c r="DC929" s="233"/>
      <c r="DD929" s="233"/>
      <c r="DE929" s="233"/>
      <c r="DF929" s="233"/>
      <c r="DG929" s="233"/>
      <c r="DH929" s="233"/>
      <c r="DI929" s="233"/>
      <c r="DJ929" s="233"/>
      <c r="DK929" s="233"/>
      <c r="DL929" s="233"/>
      <c r="DM929" s="233"/>
      <c r="DN929" s="233"/>
      <c r="DO929" s="233"/>
      <c r="DP929" s="233"/>
      <c r="DQ929" s="233"/>
      <c r="DR929" s="233"/>
      <c r="DS929" s="233"/>
      <c r="DT929" s="233"/>
      <c r="DU929" s="233"/>
      <c r="DV929" s="233"/>
      <c r="DW929" s="233"/>
      <c r="DX929" s="233"/>
      <c r="DY929" s="233"/>
      <c r="DZ929" s="233"/>
      <c r="EA929" s="233"/>
      <c r="EB929" s="233"/>
      <c r="EC929" s="233"/>
      <c r="ED929" s="233"/>
      <c r="EE929" s="233"/>
      <c r="EF929" s="233"/>
      <c r="EG929" s="233"/>
      <c r="EH929" s="233"/>
      <c r="EI929" s="233"/>
      <c r="EJ929" s="233"/>
      <c r="EK929" s="233"/>
      <c r="EL929" s="233"/>
      <c r="EM929" s="233"/>
      <c r="EN929" s="233"/>
      <c r="EO929" s="233"/>
      <c r="EP929" s="233"/>
    </row>
    <row r="930" spans="1:146" ht="14.25" x14ac:dyDescent="0.2">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c r="AW930" s="233"/>
      <c r="AX930" s="233"/>
      <c r="AY930" s="233"/>
      <c r="AZ930" s="233"/>
      <c r="BA930" s="233"/>
      <c r="BB930" s="233"/>
      <c r="BC930" s="233"/>
      <c r="BD930" s="233"/>
      <c r="BE930" s="233"/>
      <c r="BF930" s="233"/>
      <c r="BG930" s="233"/>
      <c r="BH930" s="233"/>
      <c r="BI930" s="233"/>
      <c r="BJ930" s="233"/>
      <c r="BK930" s="233"/>
      <c r="BL930" s="233"/>
      <c r="BM930" s="233"/>
      <c r="BN930" s="233"/>
      <c r="BO930" s="233"/>
      <c r="BP930" s="233"/>
      <c r="BQ930" s="233"/>
      <c r="BR930" s="233"/>
      <c r="BS930" s="233"/>
      <c r="BT930" s="233"/>
      <c r="BU930" s="233"/>
      <c r="BV930" s="233"/>
      <c r="BW930" s="233"/>
      <c r="BX930" s="233"/>
      <c r="BY930" s="233"/>
      <c r="BZ930" s="233"/>
      <c r="CA930" s="233"/>
      <c r="CB930" s="233"/>
      <c r="CC930" s="233"/>
      <c r="CD930" s="233"/>
      <c r="CE930" s="233"/>
      <c r="CF930" s="233"/>
      <c r="CG930" s="233"/>
      <c r="CH930" s="233"/>
      <c r="CI930" s="233"/>
      <c r="CJ930" s="233"/>
      <c r="CK930" s="233"/>
      <c r="CL930" s="233"/>
      <c r="CM930" s="233"/>
      <c r="CN930" s="233"/>
      <c r="CO930" s="233"/>
      <c r="CP930" s="233"/>
      <c r="CQ930" s="233"/>
      <c r="CR930" s="233"/>
      <c r="CS930" s="233"/>
      <c r="CT930" s="233"/>
      <c r="CU930" s="233"/>
      <c r="CV930" s="233"/>
      <c r="CW930" s="233"/>
      <c r="CX930" s="233"/>
      <c r="CY930" s="233"/>
      <c r="CZ930" s="233"/>
      <c r="DA930" s="233"/>
      <c r="DB930" s="233"/>
      <c r="DC930" s="233"/>
      <c r="DD930" s="233"/>
      <c r="DE930" s="233"/>
      <c r="DF930" s="233"/>
      <c r="DG930" s="233"/>
      <c r="DH930" s="233"/>
      <c r="DI930" s="233"/>
      <c r="DJ930" s="233"/>
      <c r="DK930" s="233"/>
      <c r="DL930" s="233"/>
      <c r="DM930" s="233"/>
      <c r="DN930" s="233"/>
      <c r="DO930" s="233"/>
      <c r="DP930" s="233"/>
      <c r="DQ930" s="233"/>
      <c r="DR930" s="233"/>
      <c r="DS930" s="233"/>
      <c r="DT930" s="233"/>
      <c r="DU930" s="233"/>
      <c r="DV930" s="233"/>
      <c r="DW930" s="233"/>
      <c r="DX930" s="233"/>
      <c r="DY930" s="233"/>
      <c r="DZ930" s="233"/>
      <c r="EA930" s="233"/>
      <c r="EB930" s="233"/>
      <c r="EC930" s="233"/>
      <c r="ED930" s="233"/>
      <c r="EE930" s="233"/>
      <c r="EF930" s="233"/>
      <c r="EG930" s="233"/>
      <c r="EH930" s="233"/>
      <c r="EI930" s="233"/>
      <c r="EJ930" s="233"/>
      <c r="EK930" s="233"/>
      <c r="EL930" s="233"/>
      <c r="EM930" s="233"/>
      <c r="EN930" s="233"/>
      <c r="EO930" s="233"/>
      <c r="EP930" s="233"/>
    </row>
    <row r="931" spans="1:146" ht="14.25" x14ac:dyDescent="0.2">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c r="AV931" s="233"/>
      <c r="AW931" s="233"/>
      <c r="AX931" s="233"/>
      <c r="AY931" s="233"/>
      <c r="AZ931" s="233"/>
      <c r="BA931" s="233"/>
      <c r="BB931" s="233"/>
      <c r="BC931" s="233"/>
      <c r="BD931" s="233"/>
      <c r="BE931" s="233"/>
      <c r="BF931" s="233"/>
      <c r="BG931" s="233"/>
      <c r="BH931" s="233"/>
      <c r="BI931" s="233"/>
      <c r="BJ931" s="233"/>
      <c r="BK931" s="233"/>
      <c r="BL931" s="233"/>
      <c r="BM931" s="233"/>
      <c r="BN931" s="233"/>
      <c r="BO931" s="233"/>
      <c r="BP931" s="233"/>
      <c r="BQ931" s="233"/>
      <c r="BR931" s="233"/>
      <c r="BS931" s="233"/>
      <c r="BT931" s="233"/>
      <c r="BU931" s="233"/>
      <c r="BV931" s="233"/>
      <c r="BW931" s="233"/>
      <c r="BX931" s="233"/>
      <c r="BY931" s="233"/>
      <c r="BZ931" s="233"/>
      <c r="CA931" s="233"/>
      <c r="CB931" s="233"/>
      <c r="CC931" s="233"/>
      <c r="CD931" s="233"/>
      <c r="CE931" s="233"/>
      <c r="CF931" s="233"/>
      <c r="CG931" s="233"/>
      <c r="CH931" s="233"/>
      <c r="CI931" s="233"/>
      <c r="CJ931" s="233"/>
      <c r="CK931" s="233"/>
      <c r="CL931" s="233"/>
      <c r="CM931" s="233"/>
      <c r="CN931" s="233"/>
      <c r="CO931" s="233"/>
      <c r="CP931" s="233"/>
      <c r="CQ931" s="233"/>
      <c r="CR931" s="233"/>
      <c r="CS931" s="233"/>
      <c r="CT931" s="233"/>
      <c r="CU931" s="233"/>
      <c r="CV931" s="233"/>
      <c r="CW931" s="233"/>
      <c r="CX931" s="233"/>
      <c r="CY931" s="233"/>
      <c r="CZ931" s="233"/>
      <c r="DA931" s="233"/>
      <c r="DB931" s="233"/>
      <c r="DC931" s="233"/>
      <c r="DD931" s="233"/>
      <c r="DE931" s="233"/>
      <c r="DF931" s="233"/>
      <c r="DG931" s="233"/>
      <c r="DH931" s="233"/>
      <c r="DI931" s="233"/>
      <c r="DJ931" s="233"/>
      <c r="DK931" s="233"/>
      <c r="DL931" s="233"/>
      <c r="DM931" s="233"/>
      <c r="DN931" s="233"/>
      <c r="DO931" s="233"/>
      <c r="DP931" s="233"/>
      <c r="DQ931" s="233"/>
      <c r="DR931" s="233"/>
      <c r="DS931" s="233"/>
      <c r="DT931" s="233"/>
      <c r="DU931" s="233"/>
      <c r="DV931" s="233"/>
      <c r="DW931" s="233"/>
      <c r="DX931" s="233"/>
      <c r="DY931" s="233"/>
      <c r="DZ931" s="233"/>
      <c r="EA931" s="233"/>
      <c r="EB931" s="233"/>
      <c r="EC931" s="233"/>
      <c r="ED931" s="233"/>
      <c r="EE931" s="233"/>
      <c r="EF931" s="233"/>
      <c r="EG931" s="233"/>
      <c r="EH931" s="233"/>
      <c r="EI931" s="233"/>
      <c r="EJ931" s="233"/>
      <c r="EK931" s="233"/>
      <c r="EL931" s="233"/>
      <c r="EM931" s="233"/>
      <c r="EN931" s="233"/>
      <c r="EO931" s="233"/>
      <c r="EP931" s="233"/>
    </row>
    <row r="932" spans="1:146" ht="14.25" x14ac:dyDescent="0.2">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c r="AV932" s="233"/>
      <c r="AW932" s="233"/>
      <c r="AX932" s="233"/>
      <c r="AY932" s="233"/>
      <c r="AZ932" s="233"/>
      <c r="BA932" s="233"/>
      <c r="BB932" s="233"/>
      <c r="BC932" s="233"/>
      <c r="BD932" s="233"/>
      <c r="BE932" s="233"/>
      <c r="BF932" s="233"/>
      <c r="BG932" s="233"/>
      <c r="BH932" s="233"/>
      <c r="BI932" s="233"/>
      <c r="BJ932" s="233"/>
      <c r="BK932" s="233"/>
      <c r="BL932" s="233"/>
      <c r="BM932" s="233"/>
      <c r="BN932" s="233"/>
      <c r="BO932" s="233"/>
      <c r="BP932" s="233"/>
      <c r="BQ932" s="233"/>
      <c r="BR932" s="233"/>
      <c r="BS932" s="233"/>
      <c r="BT932" s="233"/>
      <c r="BU932" s="233"/>
      <c r="BV932" s="233"/>
      <c r="BW932" s="233"/>
      <c r="BX932" s="233"/>
      <c r="BY932" s="233"/>
      <c r="BZ932" s="233"/>
      <c r="CA932" s="233"/>
      <c r="CB932" s="233"/>
      <c r="CC932" s="233"/>
      <c r="CD932" s="233"/>
      <c r="CE932" s="233"/>
      <c r="CF932" s="233"/>
      <c r="CG932" s="233"/>
      <c r="CH932" s="233"/>
      <c r="CI932" s="233"/>
      <c r="CJ932" s="233"/>
      <c r="CK932" s="233"/>
      <c r="CL932" s="233"/>
      <c r="CM932" s="233"/>
      <c r="CN932" s="233"/>
      <c r="CO932" s="233"/>
      <c r="CP932" s="233"/>
      <c r="CQ932" s="233"/>
      <c r="CR932" s="233"/>
      <c r="CS932" s="233"/>
      <c r="CT932" s="233"/>
      <c r="CU932" s="233"/>
      <c r="CV932" s="233"/>
      <c r="CW932" s="233"/>
      <c r="CX932" s="233"/>
      <c r="CY932" s="233"/>
      <c r="CZ932" s="233"/>
      <c r="DA932" s="233"/>
      <c r="DB932" s="233"/>
      <c r="DC932" s="233"/>
      <c r="DD932" s="233"/>
      <c r="DE932" s="233"/>
      <c r="DF932" s="233"/>
      <c r="DG932" s="233"/>
      <c r="DH932" s="233"/>
      <c r="DI932" s="233"/>
      <c r="DJ932" s="233"/>
      <c r="DK932" s="233"/>
      <c r="DL932" s="233"/>
      <c r="DM932" s="233"/>
      <c r="DN932" s="233"/>
      <c r="DO932" s="233"/>
      <c r="DP932" s="233"/>
      <c r="DQ932" s="233"/>
      <c r="DR932" s="233"/>
      <c r="DS932" s="233"/>
      <c r="DT932" s="233"/>
      <c r="DU932" s="233"/>
      <c r="DV932" s="233"/>
      <c r="DW932" s="233"/>
      <c r="DX932" s="233"/>
      <c r="DY932" s="233"/>
      <c r="DZ932" s="233"/>
      <c r="EA932" s="233"/>
      <c r="EB932" s="233"/>
      <c r="EC932" s="233"/>
      <c r="ED932" s="233"/>
      <c r="EE932" s="233"/>
      <c r="EF932" s="233"/>
      <c r="EG932" s="233"/>
      <c r="EH932" s="233"/>
      <c r="EI932" s="233"/>
      <c r="EJ932" s="233"/>
      <c r="EK932" s="233"/>
      <c r="EL932" s="233"/>
      <c r="EM932" s="233"/>
      <c r="EN932" s="233"/>
      <c r="EO932" s="233"/>
      <c r="EP932" s="233"/>
    </row>
    <row r="933" spans="1:146" ht="14.25" x14ac:dyDescent="0.2">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c r="AV933" s="233"/>
      <c r="AW933" s="233"/>
      <c r="AX933" s="233"/>
      <c r="AY933" s="233"/>
      <c r="AZ933" s="233"/>
      <c r="BA933" s="233"/>
      <c r="BB933" s="233"/>
      <c r="BC933" s="233"/>
      <c r="BD933" s="233"/>
      <c r="BE933" s="233"/>
      <c r="BF933" s="233"/>
      <c r="BG933" s="233"/>
      <c r="BH933" s="233"/>
      <c r="BI933" s="233"/>
      <c r="BJ933" s="233"/>
      <c r="BK933" s="233"/>
      <c r="BL933" s="233"/>
      <c r="BM933" s="233"/>
      <c r="BN933" s="233"/>
      <c r="BO933" s="233"/>
      <c r="BP933" s="233"/>
      <c r="BQ933" s="233"/>
      <c r="BR933" s="233"/>
      <c r="BS933" s="233"/>
      <c r="BT933" s="233"/>
      <c r="BU933" s="233"/>
      <c r="BV933" s="233"/>
      <c r="BW933" s="233"/>
      <c r="BX933" s="233"/>
      <c r="BY933" s="233"/>
      <c r="BZ933" s="233"/>
      <c r="CA933" s="233"/>
      <c r="CB933" s="233"/>
      <c r="CC933" s="233"/>
      <c r="CD933" s="233"/>
      <c r="CE933" s="233"/>
      <c r="CF933" s="233"/>
      <c r="CG933" s="233"/>
      <c r="CH933" s="233"/>
      <c r="CI933" s="233"/>
      <c r="CJ933" s="233"/>
      <c r="CK933" s="233"/>
      <c r="CL933" s="233"/>
      <c r="CM933" s="233"/>
      <c r="CN933" s="233"/>
      <c r="CO933" s="233"/>
      <c r="CP933" s="233"/>
      <c r="CQ933" s="233"/>
      <c r="CR933" s="233"/>
      <c r="CS933" s="233"/>
      <c r="CT933" s="233"/>
      <c r="CU933" s="233"/>
      <c r="CV933" s="233"/>
      <c r="CW933" s="233"/>
      <c r="CX933" s="233"/>
      <c r="CY933" s="233"/>
      <c r="CZ933" s="233"/>
      <c r="DA933" s="233"/>
      <c r="DB933" s="233"/>
      <c r="DC933" s="233"/>
      <c r="DD933" s="233"/>
      <c r="DE933" s="233"/>
      <c r="DF933" s="233"/>
      <c r="DG933" s="233"/>
      <c r="DH933" s="233"/>
      <c r="DI933" s="233"/>
      <c r="DJ933" s="233"/>
      <c r="DK933" s="233"/>
      <c r="DL933" s="233"/>
      <c r="DM933" s="233"/>
      <c r="DN933" s="233"/>
      <c r="DO933" s="233"/>
      <c r="DP933" s="233"/>
      <c r="DQ933" s="233"/>
      <c r="DR933" s="233"/>
      <c r="DS933" s="233"/>
      <c r="DT933" s="233"/>
      <c r="DU933" s="233"/>
      <c r="DV933" s="233"/>
      <c r="DW933" s="233"/>
      <c r="DX933" s="233"/>
      <c r="DY933" s="233"/>
      <c r="DZ933" s="233"/>
      <c r="EA933" s="233"/>
      <c r="EB933" s="233"/>
      <c r="EC933" s="233"/>
      <c r="ED933" s="233"/>
      <c r="EE933" s="233"/>
      <c r="EF933" s="233"/>
      <c r="EG933" s="233"/>
      <c r="EH933" s="233"/>
      <c r="EI933" s="233"/>
      <c r="EJ933" s="233"/>
      <c r="EK933" s="233"/>
      <c r="EL933" s="233"/>
      <c r="EM933" s="233"/>
      <c r="EN933" s="233"/>
      <c r="EO933" s="233"/>
      <c r="EP933" s="233"/>
    </row>
    <row r="934" spans="1:146" ht="14.25" x14ac:dyDescent="0.2">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row>
    <row r="935" spans="1:146" ht="14.25" x14ac:dyDescent="0.2">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c r="AV935" s="233"/>
      <c r="AW935" s="233"/>
      <c r="AX935" s="233"/>
      <c r="AY935" s="233"/>
      <c r="AZ935" s="233"/>
      <c r="BA935" s="233"/>
      <c r="BB935" s="233"/>
      <c r="BC935" s="233"/>
      <c r="BD935" s="233"/>
      <c r="BE935" s="233"/>
      <c r="BF935" s="233"/>
      <c r="BG935" s="233"/>
      <c r="BH935" s="233"/>
      <c r="BI935" s="233"/>
      <c r="BJ935" s="233"/>
      <c r="BK935" s="233"/>
      <c r="BL935" s="233"/>
      <c r="BM935" s="233"/>
      <c r="BN935" s="233"/>
      <c r="BO935" s="233"/>
      <c r="BP935" s="233"/>
      <c r="BQ935" s="233"/>
      <c r="BR935" s="233"/>
      <c r="BS935" s="233"/>
      <c r="BT935" s="233"/>
      <c r="BU935" s="233"/>
      <c r="BV935" s="233"/>
      <c r="BW935" s="233"/>
      <c r="BX935" s="233"/>
      <c r="BY935" s="233"/>
      <c r="BZ935" s="233"/>
      <c r="CA935" s="233"/>
      <c r="CB935" s="233"/>
      <c r="CC935" s="233"/>
      <c r="CD935" s="233"/>
      <c r="CE935" s="233"/>
      <c r="CF935" s="233"/>
      <c r="CG935" s="233"/>
      <c r="CH935" s="233"/>
      <c r="CI935" s="233"/>
      <c r="CJ935" s="233"/>
      <c r="CK935" s="233"/>
      <c r="CL935" s="233"/>
      <c r="CM935" s="233"/>
      <c r="CN935" s="233"/>
      <c r="CO935" s="233"/>
      <c r="CP935" s="233"/>
      <c r="CQ935" s="233"/>
      <c r="CR935" s="233"/>
      <c r="CS935" s="233"/>
      <c r="CT935" s="233"/>
      <c r="CU935" s="233"/>
      <c r="CV935" s="233"/>
      <c r="CW935" s="233"/>
      <c r="CX935" s="233"/>
      <c r="CY935" s="233"/>
      <c r="CZ935" s="233"/>
      <c r="DA935" s="233"/>
      <c r="DB935" s="233"/>
      <c r="DC935" s="233"/>
      <c r="DD935" s="233"/>
      <c r="DE935" s="233"/>
      <c r="DF935" s="233"/>
      <c r="DG935" s="233"/>
      <c r="DH935" s="233"/>
      <c r="DI935" s="233"/>
      <c r="DJ935" s="233"/>
      <c r="DK935" s="233"/>
      <c r="DL935" s="233"/>
      <c r="DM935" s="233"/>
      <c r="DN935" s="233"/>
      <c r="DO935" s="233"/>
      <c r="DP935" s="233"/>
      <c r="DQ935" s="233"/>
      <c r="DR935" s="233"/>
      <c r="DS935" s="233"/>
      <c r="DT935" s="233"/>
      <c r="DU935" s="233"/>
      <c r="DV935" s="233"/>
      <c r="DW935" s="233"/>
      <c r="DX935" s="233"/>
      <c r="DY935" s="233"/>
      <c r="DZ935" s="233"/>
      <c r="EA935" s="233"/>
      <c r="EB935" s="233"/>
      <c r="EC935" s="233"/>
      <c r="ED935" s="233"/>
      <c r="EE935" s="233"/>
      <c r="EF935" s="233"/>
      <c r="EG935" s="233"/>
      <c r="EH935" s="233"/>
      <c r="EI935" s="233"/>
      <c r="EJ935" s="233"/>
      <c r="EK935" s="233"/>
      <c r="EL935" s="233"/>
      <c r="EM935" s="233"/>
      <c r="EN935" s="233"/>
      <c r="EO935" s="233"/>
      <c r="EP935" s="233"/>
    </row>
    <row r="936" spans="1:146" ht="14.25" x14ac:dyDescent="0.2">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c r="AV936" s="233"/>
      <c r="AW936" s="233"/>
      <c r="AX936" s="233"/>
      <c r="AY936" s="233"/>
      <c r="AZ936" s="233"/>
      <c r="BA936" s="233"/>
      <c r="BB936" s="233"/>
      <c r="BC936" s="233"/>
      <c r="BD936" s="233"/>
      <c r="BE936" s="233"/>
      <c r="BF936" s="233"/>
      <c r="BG936" s="233"/>
      <c r="BH936" s="233"/>
      <c r="BI936" s="233"/>
      <c r="BJ936" s="233"/>
      <c r="BK936" s="233"/>
      <c r="BL936" s="233"/>
      <c r="BM936" s="233"/>
      <c r="BN936" s="233"/>
      <c r="BO936" s="233"/>
      <c r="BP936" s="233"/>
      <c r="BQ936" s="233"/>
      <c r="BR936" s="233"/>
      <c r="BS936" s="233"/>
      <c r="BT936" s="233"/>
      <c r="BU936" s="233"/>
      <c r="BV936" s="233"/>
      <c r="BW936" s="233"/>
      <c r="BX936" s="233"/>
      <c r="BY936" s="233"/>
      <c r="BZ936" s="233"/>
      <c r="CA936" s="233"/>
      <c r="CB936" s="233"/>
      <c r="CC936" s="233"/>
      <c r="CD936" s="233"/>
      <c r="CE936" s="233"/>
      <c r="CF936" s="233"/>
      <c r="CG936" s="233"/>
      <c r="CH936" s="233"/>
      <c r="CI936" s="233"/>
      <c r="CJ936" s="233"/>
      <c r="CK936" s="233"/>
      <c r="CL936" s="233"/>
      <c r="CM936" s="233"/>
      <c r="CN936" s="233"/>
      <c r="CO936" s="233"/>
      <c r="CP936" s="233"/>
      <c r="CQ936" s="233"/>
      <c r="CR936" s="233"/>
      <c r="CS936" s="233"/>
      <c r="CT936" s="233"/>
      <c r="CU936" s="233"/>
      <c r="CV936" s="233"/>
      <c r="CW936" s="233"/>
      <c r="CX936" s="233"/>
      <c r="CY936" s="233"/>
      <c r="CZ936" s="233"/>
      <c r="DA936" s="233"/>
      <c r="DB936" s="233"/>
      <c r="DC936" s="233"/>
      <c r="DD936" s="233"/>
      <c r="DE936" s="233"/>
      <c r="DF936" s="233"/>
      <c r="DG936" s="233"/>
      <c r="DH936" s="233"/>
      <c r="DI936" s="233"/>
      <c r="DJ936" s="233"/>
      <c r="DK936" s="233"/>
      <c r="DL936" s="233"/>
      <c r="DM936" s="233"/>
      <c r="DN936" s="233"/>
      <c r="DO936" s="233"/>
      <c r="DP936" s="233"/>
      <c r="DQ936" s="233"/>
      <c r="DR936" s="233"/>
      <c r="DS936" s="233"/>
      <c r="DT936" s="233"/>
      <c r="DU936" s="233"/>
      <c r="DV936" s="233"/>
      <c r="DW936" s="233"/>
      <c r="DX936" s="233"/>
      <c r="DY936" s="233"/>
      <c r="DZ936" s="233"/>
      <c r="EA936" s="233"/>
      <c r="EB936" s="233"/>
      <c r="EC936" s="233"/>
      <c r="ED936" s="233"/>
      <c r="EE936" s="233"/>
      <c r="EF936" s="233"/>
      <c r="EG936" s="233"/>
      <c r="EH936" s="233"/>
      <c r="EI936" s="233"/>
      <c r="EJ936" s="233"/>
      <c r="EK936" s="233"/>
      <c r="EL936" s="233"/>
      <c r="EM936" s="233"/>
      <c r="EN936" s="233"/>
      <c r="EO936" s="233"/>
      <c r="EP936" s="233"/>
    </row>
    <row r="937" spans="1:146" ht="14.25" x14ac:dyDescent="0.2">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c r="AV937" s="233"/>
      <c r="AW937" s="233"/>
      <c r="AX937" s="233"/>
      <c r="AY937" s="233"/>
      <c r="AZ937" s="233"/>
      <c r="BA937" s="233"/>
      <c r="BB937" s="233"/>
      <c r="BC937" s="233"/>
      <c r="BD937" s="233"/>
      <c r="BE937" s="233"/>
      <c r="BF937" s="233"/>
      <c r="BG937" s="233"/>
      <c r="BH937" s="233"/>
      <c r="BI937" s="233"/>
      <c r="BJ937" s="233"/>
      <c r="BK937" s="233"/>
      <c r="BL937" s="233"/>
      <c r="BM937" s="233"/>
      <c r="BN937" s="233"/>
      <c r="BO937" s="233"/>
      <c r="BP937" s="233"/>
      <c r="BQ937" s="233"/>
      <c r="BR937" s="233"/>
      <c r="BS937" s="233"/>
      <c r="BT937" s="233"/>
      <c r="BU937" s="233"/>
      <c r="BV937" s="233"/>
      <c r="BW937" s="233"/>
      <c r="BX937" s="233"/>
      <c r="BY937" s="233"/>
      <c r="BZ937" s="233"/>
      <c r="CA937" s="233"/>
      <c r="CB937" s="233"/>
      <c r="CC937" s="233"/>
      <c r="CD937" s="233"/>
      <c r="CE937" s="233"/>
      <c r="CF937" s="233"/>
      <c r="CG937" s="233"/>
      <c r="CH937" s="233"/>
      <c r="CI937" s="233"/>
      <c r="CJ937" s="233"/>
      <c r="CK937" s="233"/>
      <c r="CL937" s="233"/>
      <c r="CM937" s="233"/>
      <c r="CN937" s="233"/>
      <c r="CO937" s="233"/>
      <c r="CP937" s="233"/>
      <c r="CQ937" s="233"/>
      <c r="CR937" s="233"/>
      <c r="CS937" s="233"/>
      <c r="CT937" s="233"/>
      <c r="CU937" s="233"/>
      <c r="CV937" s="233"/>
      <c r="CW937" s="233"/>
      <c r="CX937" s="233"/>
      <c r="CY937" s="233"/>
      <c r="CZ937" s="233"/>
      <c r="DA937" s="233"/>
      <c r="DB937" s="233"/>
      <c r="DC937" s="233"/>
      <c r="DD937" s="233"/>
      <c r="DE937" s="233"/>
      <c r="DF937" s="233"/>
      <c r="DG937" s="233"/>
      <c r="DH937" s="233"/>
      <c r="DI937" s="233"/>
      <c r="DJ937" s="233"/>
      <c r="DK937" s="233"/>
      <c r="DL937" s="233"/>
      <c r="DM937" s="233"/>
      <c r="DN937" s="233"/>
      <c r="DO937" s="233"/>
      <c r="DP937" s="233"/>
      <c r="DQ937" s="233"/>
      <c r="DR937" s="233"/>
      <c r="DS937" s="233"/>
      <c r="DT937" s="233"/>
      <c r="DU937" s="233"/>
      <c r="DV937" s="233"/>
      <c r="DW937" s="233"/>
      <c r="DX937" s="233"/>
      <c r="DY937" s="233"/>
      <c r="DZ937" s="233"/>
      <c r="EA937" s="233"/>
      <c r="EB937" s="233"/>
      <c r="EC937" s="233"/>
      <c r="ED937" s="233"/>
      <c r="EE937" s="233"/>
      <c r="EF937" s="233"/>
      <c r="EG937" s="233"/>
      <c r="EH937" s="233"/>
      <c r="EI937" s="233"/>
      <c r="EJ937" s="233"/>
      <c r="EK937" s="233"/>
      <c r="EL937" s="233"/>
      <c r="EM937" s="233"/>
      <c r="EN937" s="233"/>
      <c r="EO937" s="233"/>
      <c r="EP937" s="233"/>
    </row>
    <row r="938" spans="1:146" ht="14.25" x14ac:dyDescent="0.2">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c r="AV938" s="233"/>
      <c r="AW938" s="233"/>
      <c r="AX938" s="233"/>
      <c r="AY938" s="233"/>
      <c r="AZ938" s="233"/>
      <c r="BA938" s="233"/>
      <c r="BB938" s="233"/>
      <c r="BC938" s="233"/>
      <c r="BD938" s="233"/>
      <c r="BE938" s="233"/>
      <c r="BF938" s="233"/>
      <c r="BG938" s="233"/>
      <c r="BH938" s="233"/>
      <c r="BI938" s="233"/>
      <c r="BJ938" s="233"/>
      <c r="BK938" s="233"/>
      <c r="BL938" s="233"/>
      <c r="BM938" s="233"/>
      <c r="BN938" s="233"/>
      <c r="BO938" s="233"/>
      <c r="BP938" s="233"/>
      <c r="BQ938" s="233"/>
      <c r="BR938" s="233"/>
      <c r="BS938" s="233"/>
      <c r="BT938" s="233"/>
      <c r="BU938" s="233"/>
      <c r="BV938" s="233"/>
      <c r="BW938" s="233"/>
      <c r="BX938" s="233"/>
      <c r="BY938" s="233"/>
      <c r="BZ938" s="233"/>
      <c r="CA938" s="233"/>
      <c r="CB938" s="233"/>
      <c r="CC938" s="233"/>
      <c r="CD938" s="233"/>
      <c r="CE938" s="233"/>
      <c r="CF938" s="233"/>
      <c r="CG938" s="233"/>
      <c r="CH938" s="233"/>
      <c r="CI938" s="233"/>
      <c r="CJ938" s="233"/>
      <c r="CK938" s="233"/>
      <c r="CL938" s="233"/>
      <c r="CM938" s="233"/>
      <c r="CN938" s="233"/>
      <c r="CO938" s="233"/>
      <c r="CP938" s="233"/>
      <c r="CQ938" s="233"/>
      <c r="CR938" s="233"/>
      <c r="CS938" s="233"/>
      <c r="CT938" s="233"/>
      <c r="CU938" s="233"/>
      <c r="CV938" s="233"/>
      <c r="CW938" s="233"/>
      <c r="CX938" s="233"/>
      <c r="CY938" s="233"/>
      <c r="CZ938" s="233"/>
      <c r="DA938" s="233"/>
      <c r="DB938" s="233"/>
      <c r="DC938" s="233"/>
      <c r="DD938" s="233"/>
      <c r="DE938" s="233"/>
      <c r="DF938" s="233"/>
      <c r="DG938" s="233"/>
      <c r="DH938" s="233"/>
      <c r="DI938" s="233"/>
      <c r="DJ938" s="233"/>
      <c r="DK938" s="233"/>
      <c r="DL938" s="233"/>
      <c r="DM938" s="233"/>
      <c r="DN938" s="233"/>
      <c r="DO938" s="233"/>
      <c r="DP938" s="233"/>
      <c r="DQ938" s="233"/>
      <c r="DR938" s="233"/>
      <c r="DS938" s="233"/>
      <c r="DT938" s="233"/>
      <c r="DU938" s="233"/>
      <c r="DV938" s="233"/>
      <c r="DW938" s="233"/>
      <c r="DX938" s="233"/>
      <c r="DY938" s="233"/>
      <c r="DZ938" s="233"/>
      <c r="EA938" s="233"/>
      <c r="EB938" s="233"/>
      <c r="EC938" s="233"/>
      <c r="ED938" s="233"/>
      <c r="EE938" s="233"/>
      <c r="EF938" s="233"/>
      <c r="EG938" s="233"/>
      <c r="EH938" s="233"/>
      <c r="EI938" s="233"/>
      <c r="EJ938" s="233"/>
      <c r="EK938" s="233"/>
      <c r="EL938" s="233"/>
      <c r="EM938" s="233"/>
      <c r="EN938" s="233"/>
      <c r="EO938" s="233"/>
      <c r="EP938" s="233"/>
    </row>
    <row r="939" spans="1:146" ht="14.25" x14ac:dyDescent="0.2">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c r="AV939" s="233"/>
      <c r="AW939" s="233"/>
      <c r="AX939" s="233"/>
      <c r="AY939" s="233"/>
      <c r="AZ939" s="233"/>
      <c r="BA939" s="233"/>
      <c r="BB939" s="233"/>
      <c r="BC939" s="233"/>
      <c r="BD939" s="233"/>
      <c r="BE939" s="233"/>
      <c r="BF939" s="233"/>
      <c r="BG939" s="233"/>
      <c r="BH939" s="233"/>
      <c r="BI939" s="233"/>
      <c r="BJ939" s="233"/>
      <c r="BK939" s="233"/>
      <c r="BL939" s="233"/>
      <c r="BM939" s="233"/>
      <c r="BN939" s="233"/>
      <c r="BO939" s="233"/>
      <c r="BP939" s="233"/>
      <c r="BQ939" s="233"/>
      <c r="BR939" s="233"/>
      <c r="BS939" s="233"/>
      <c r="BT939" s="233"/>
      <c r="BU939" s="233"/>
      <c r="BV939" s="233"/>
      <c r="BW939" s="233"/>
      <c r="BX939" s="233"/>
      <c r="BY939" s="233"/>
      <c r="BZ939" s="233"/>
      <c r="CA939" s="233"/>
      <c r="CB939" s="233"/>
      <c r="CC939" s="233"/>
      <c r="CD939" s="233"/>
      <c r="CE939" s="233"/>
      <c r="CF939" s="233"/>
      <c r="CG939" s="233"/>
      <c r="CH939" s="233"/>
      <c r="CI939" s="233"/>
      <c r="CJ939" s="233"/>
      <c r="CK939" s="233"/>
      <c r="CL939" s="233"/>
      <c r="CM939" s="233"/>
      <c r="CN939" s="233"/>
      <c r="CO939" s="233"/>
      <c r="CP939" s="233"/>
      <c r="CQ939" s="233"/>
      <c r="CR939" s="233"/>
      <c r="CS939" s="233"/>
      <c r="CT939" s="233"/>
      <c r="CU939" s="233"/>
      <c r="CV939" s="233"/>
      <c r="CW939" s="233"/>
      <c r="CX939" s="233"/>
      <c r="CY939" s="233"/>
      <c r="CZ939" s="233"/>
      <c r="DA939" s="233"/>
      <c r="DB939" s="233"/>
      <c r="DC939" s="233"/>
      <c r="DD939" s="233"/>
      <c r="DE939" s="233"/>
      <c r="DF939" s="233"/>
      <c r="DG939" s="233"/>
      <c r="DH939" s="233"/>
      <c r="DI939" s="233"/>
      <c r="DJ939" s="233"/>
      <c r="DK939" s="233"/>
      <c r="DL939" s="233"/>
      <c r="DM939" s="233"/>
      <c r="DN939" s="233"/>
      <c r="DO939" s="233"/>
      <c r="DP939" s="233"/>
      <c r="DQ939" s="233"/>
      <c r="DR939" s="233"/>
      <c r="DS939" s="233"/>
      <c r="DT939" s="233"/>
      <c r="DU939" s="233"/>
      <c r="DV939" s="233"/>
      <c r="DW939" s="233"/>
      <c r="DX939" s="233"/>
      <c r="DY939" s="233"/>
      <c r="DZ939" s="233"/>
      <c r="EA939" s="233"/>
      <c r="EB939" s="233"/>
      <c r="EC939" s="233"/>
      <c r="ED939" s="233"/>
      <c r="EE939" s="233"/>
      <c r="EF939" s="233"/>
      <c r="EG939" s="233"/>
      <c r="EH939" s="233"/>
      <c r="EI939" s="233"/>
      <c r="EJ939" s="233"/>
      <c r="EK939" s="233"/>
      <c r="EL939" s="233"/>
      <c r="EM939" s="233"/>
      <c r="EN939" s="233"/>
      <c r="EO939" s="233"/>
      <c r="EP939" s="233"/>
    </row>
    <row r="940" spans="1:146" ht="14.25" x14ac:dyDescent="0.2">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c r="AW940" s="233"/>
      <c r="AX940" s="233"/>
      <c r="AY940" s="233"/>
      <c r="AZ940" s="233"/>
      <c r="BA940" s="233"/>
      <c r="BB940" s="233"/>
      <c r="BC940" s="233"/>
      <c r="BD940" s="233"/>
      <c r="BE940" s="233"/>
      <c r="BF940" s="233"/>
      <c r="BG940" s="233"/>
      <c r="BH940" s="233"/>
      <c r="BI940" s="233"/>
      <c r="BJ940" s="233"/>
      <c r="BK940" s="233"/>
      <c r="BL940" s="233"/>
      <c r="BM940" s="233"/>
      <c r="BN940" s="233"/>
      <c r="BO940" s="233"/>
      <c r="BP940" s="233"/>
      <c r="BQ940" s="233"/>
      <c r="BR940" s="233"/>
      <c r="BS940" s="233"/>
      <c r="BT940" s="233"/>
      <c r="BU940" s="233"/>
      <c r="BV940" s="233"/>
      <c r="BW940" s="233"/>
      <c r="BX940" s="233"/>
      <c r="BY940" s="233"/>
      <c r="BZ940" s="233"/>
      <c r="CA940" s="233"/>
      <c r="CB940" s="233"/>
      <c r="CC940" s="233"/>
      <c r="CD940" s="233"/>
      <c r="CE940" s="233"/>
      <c r="CF940" s="233"/>
      <c r="CG940" s="233"/>
      <c r="CH940" s="233"/>
      <c r="CI940" s="233"/>
      <c r="CJ940" s="233"/>
      <c r="CK940" s="233"/>
      <c r="CL940" s="233"/>
      <c r="CM940" s="233"/>
      <c r="CN940" s="233"/>
      <c r="CO940" s="233"/>
      <c r="CP940" s="233"/>
      <c r="CQ940" s="233"/>
      <c r="CR940" s="233"/>
      <c r="CS940" s="233"/>
      <c r="CT940" s="233"/>
      <c r="CU940" s="233"/>
      <c r="CV940" s="233"/>
      <c r="CW940" s="233"/>
      <c r="CX940" s="233"/>
      <c r="CY940" s="233"/>
      <c r="CZ940" s="233"/>
      <c r="DA940" s="233"/>
      <c r="DB940" s="233"/>
      <c r="DC940" s="233"/>
      <c r="DD940" s="233"/>
      <c r="DE940" s="233"/>
      <c r="DF940" s="233"/>
      <c r="DG940" s="233"/>
      <c r="DH940" s="233"/>
      <c r="DI940" s="233"/>
      <c r="DJ940" s="233"/>
      <c r="DK940" s="233"/>
      <c r="DL940" s="233"/>
      <c r="DM940" s="233"/>
      <c r="DN940" s="233"/>
      <c r="DO940" s="233"/>
      <c r="DP940" s="233"/>
      <c r="DQ940" s="233"/>
      <c r="DR940" s="233"/>
      <c r="DS940" s="233"/>
      <c r="DT940" s="233"/>
      <c r="DU940" s="233"/>
      <c r="DV940" s="233"/>
      <c r="DW940" s="233"/>
      <c r="DX940" s="233"/>
      <c r="DY940" s="233"/>
      <c r="DZ940" s="233"/>
      <c r="EA940" s="233"/>
      <c r="EB940" s="233"/>
      <c r="EC940" s="233"/>
      <c r="ED940" s="233"/>
      <c r="EE940" s="233"/>
      <c r="EF940" s="233"/>
      <c r="EG940" s="233"/>
      <c r="EH940" s="233"/>
      <c r="EI940" s="233"/>
      <c r="EJ940" s="233"/>
      <c r="EK940" s="233"/>
      <c r="EL940" s="233"/>
      <c r="EM940" s="233"/>
      <c r="EN940" s="233"/>
      <c r="EO940" s="233"/>
      <c r="EP940" s="233"/>
    </row>
    <row r="941" spans="1:146" ht="14.25" x14ac:dyDescent="0.2">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c r="AV941" s="233"/>
      <c r="AW941" s="233"/>
      <c r="AX941" s="233"/>
      <c r="AY941" s="233"/>
      <c r="AZ941" s="233"/>
      <c r="BA941" s="233"/>
      <c r="BB941" s="233"/>
      <c r="BC941" s="233"/>
      <c r="BD941" s="233"/>
      <c r="BE941" s="233"/>
      <c r="BF941" s="233"/>
      <c r="BG941" s="233"/>
      <c r="BH941" s="233"/>
      <c r="BI941" s="233"/>
      <c r="BJ941" s="233"/>
      <c r="BK941" s="233"/>
      <c r="BL941" s="233"/>
      <c r="BM941" s="233"/>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33"/>
      <c r="CI941" s="233"/>
      <c r="CJ941" s="233"/>
      <c r="CK941" s="233"/>
      <c r="CL941" s="233"/>
      <c r="CM941" s="233"/>
      <c r="CN941" s="233"/>
      <c r="CO941" s="233"/>
      <c r="CP941" s="233"/>
      <c r="CQ941" s="233"/>
      <c r="CR941" s="233"/>
      <c r="CS941" s="233"/>
      <c r="CT941" s="233"/>
      <c r="CU941" s="233"/>
      <c r="CV941" s="233"/>
      <c r="CW941" s="233"/>
      <c r="CX941" s="233"/>
      <c r="CY941" s="233"/>
      <c r="CZ941" s="233"/>
      <c r="DA941" s="233"/>
      <c r="DB941" s="233"/>
      <c r="DC941" s="233"/>
      <c r="DD941" s="233"/>
      <c r="DE941" s="233"/>
      <c r="DF941" s="233"/>
      <c r="DG941" s="233"/>
      <c r="DH941" s="233"/>
      <c r="DI941" s="233"/>
      <c r="DJ941" s="233"/>
      <c r="DK941" s="233"/>
      <c r="DL941" s="233"/>
      <c r="DM941" s="233"/>
      <c r="DN941" s="233"/>
      <c r="DO941" s="233"/>
      <c r="DP941" s="233"/>
      <c r="DQ941" s="233"/>
      <c r="DR941" s="233"/>
      <c r="DS941" s="233"/>
      <c r="DT941" s="233"/>
      <c r="DU941" s="233"/>
      <c r="DV941" s="233"/>
      <c r="DW941" s="233"/>
      <c r="DX941" s="233"/>
      <c r="DY941" s="233"/>
      <c r="DZ941" s="233"/>
      <c r="EA941" s="233"/>
      <c r="EB941" s="233"/>
      <c r="EC941" s="233"/>
      <c r="ED941" s="233"/>
      <c r="EE941" s="233"/>
      <c r="EF941" s="233"/>
      <c r="EG941" s="233"/>
      <c r="EH941" s="233"/>
      <c r="EI941" s="233"/>
      <c r="EJ941" s="233"/>
      <c r="EK941" s="233"/>
      <c r="EL941" s="233"/>
      <c r="EM941" s="233"/>
      <c r="EN941" s="233"/>
      <c r="EO941" s="233"/>
      <c r="EP941" s="233"/>
    </row>
    <row r="942" spans="1:146" ht="14.25" x14ac:dyDescent="0.2">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c r="AV942" s="233"/>
      <c r="AW942" s="233"/>
      <c r="AX942" s="233"/>
      <c r="AY942" s="233"/>
      <c r="AZ942" s="233"/>
      <c r="BA942" s="233"/>
      <c r="BB942" s="233"/>
      <c r="BC942" s="233"/>
      <c r="BD942" s="233"/>
      <c r="BE942" s="233"/>
      <c r="BF942" s="233"/>
      <c r="BG942" s="233"/>
      <c r="BH942" s="233"/>
      <c r="BI942" s="233"/>
      <c r="BJ942" s="233"/>
      <c r="BK942" s="233"/>
      <c r="BL942" s="233"/>
      <c r="BM942" s="233"/>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33"/>
      <c r="CI942" s="233"/>
      <c r="CJ942" s="233"/>
      <c r="CK942" s="233"/>
      <c r="CL942" s="233"/>
      <c r="CM942" s="233"/>
      <c r="CN942" s="233"/>
      <c r="CO942" s="233"/>
      <c r="CP942" s="233"/>
      <c r="CQ942" s="233"/>
      <c r="CR942" s="233"/>
      <c r="CS942" s="233"/>
      <c r="CT942" s="233"/>
      <c r="CU942" s="233"/>
      <c r="CV942" s="233"/>
      <c r="CW942" s="233"/>
      <c r="CX942" s="233"/>
      <c r="CY942" s="233"/>
      <c r="CZ942" s="233"/>
      <c r="DA942" s="233"/>
      <c r="DB942" s="233"/>
      <c r="DC942" s="233"/>
      <c r="DD942" s="233"/>
      <c r="DE942" s="233"/>
      <c r="DF942" s="233"/>
      <c r="DG942" s="233"/>
      <c r="DH942" s="233"/>
      <c r="DI942" s="233"/>
      <c r="DJ942" s="233"/>
      <c r="DK942" s="233"/>
      <c r="DL942" s="233"/>
      <c r="DM942" s="233"/>
      <c r="DN942" s="233"/>
      <c r="DO942" s="233"/>
      <c r="DP942" s="233"/>
      <c r="DQ942" s="233"/>
      <c r="DR942" s="233"/>
      <c r="DS942" s="233"/>
      <c r="DT942" s="233"/>
      <c r="DU942" s="233"/>
      <c r="DV942" s="233"/>
      <c r="DW942" s="233"/>
      <c r="DX942" s="233"/>
      <c r="DY942" s="233"/>
      <c r="DZ942" s="233"/>
      <c r="EA942" s="233"/>
      <c r="EB942" s="233"/>
      <c r="EC942" s="233"/>
      <c r="ED942" s="233"/>
      <c r="EE942" s="233"/>
      <c r="EF942" s="233"/>
      <c r="EG942" s="233"/>
      <c r="EH942" s="233"/>
      <c r="EI942" s="233"/>
      <c r="EJ942" s="233"/>
      <c r="EK942" s="233"/>
      <c r="EL942" s="233"/>
      <c r="EM942" s="233"/>
      <c r="EN942" s="233"/>
      <c r="EO942" s="233"/>
      <c r="EP942" s="233"/>
    </row>
    <row r="943" spans="1:146" ht="14.25" x14ac:dyDescent="0.2">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c r="AS943" s="233"/>
      <c r="AT943" s="233"/>
      <c r="AU943" s="233"/>
      <c r="AV943" s="233"/>
      <c r="AW943" s="233"/>
      <c r="AX943" s="233"/>
      <c r="AY943" s="233"/>
      <c r="AZ943" s="233"/>
      <c r="BA943" s="233"/>
      <c r="BB943" s="233"/>
      <c r="BC943" s="233"/>
      <c r="BD943" s="233"/>
      <c r="BE943" s="233"/>
      <c r="BF943" s="233"/>
      <c r="BG943" s="233"/>
      <c r="BH943" s="233"/>
      <c r="BI943" s="233"/>
      <c r="BJ943" s="233"/>
      <c r="BK943" s="233"/>
      <c r="BL943" s="233"/>
      <c r="BM943" s="233"/>
      <c r="BN943" s="233"/>
      <c r="BO943" s="233"/>
      <c r="BP943" s="233"/>
      <c r="BQ943" s="233"/>
      <c r="BR943" s="233"/>
      <c r="BS943" s="233"/>
      <c r="BT943" s="233"/>
      <c r="BU943" s="233"/>
      <c r="BV943" s="233"/>
      <c r="BW943" s="233"/>
      <c r="BX943" s="233"/>
      <c r="BY943" s="233"/>
      <c r="BZ943" s="233"/>
      <c r="CA943" s="233"/>
      <c r="CB943" s="233"/>
      <c r="CC943" s="233"/>
      <c r="CD943" s="233"/>
      <c r="CE943" s="233"/>
      <c r="CF943" s="233"/>
      <c r="CG943" s="233"/>
      <c r="CH943" s="233"/>
      <c r="CI943" s="233"/>
      <c r="CJ943" s="233"/>
      <c r="CK943" s="233"/>
      <c r="CL943" s="233"/>
      <c r="CM943" s="233"/>
      <c r="CN943" s="233"/>
      <c r="CO943" s="233"/>
      <c r="CP943" s="233"/>
      <c r="CQ943" s="233"/>
      <c r="CR943" s="233"/>
      <c r="CS943" s="233"/>
      <c r="CT943" s="233"/>
      <c r="CU943" s="233"/>
      <c r="CV943" s="233"/>
      <c r="CW943" s="233"/>
      <c r="CX943" s="233"/>
      <c r="CY943" s="233"/>
      <c r="CZ943" s="233"/>
      <c r="DA943" s="233"/>
      <c r="DB943" s="233"/>
      <c r="DC943" s="233"/>
      <c r="DD943" s="233"/>
      <c r="DE943" s="233"/>
      <c r="DF943" s="233"/>
      <c r="DG943" s="233"/>
      <c r="DH943" s="233"/>
      <c r="DI943" s="233"/>
      <c r="DJ943" s="233"/>
      <c r="DK943" s="233"/>
      <c r="DL943" s="233"/>
      <c r="DM943" s="233"/>
      <c r="DN943" s="233"/>
      <c r="DO943" s="233"/>
      <c r="DP943" s="233"/>
      <c r="DQ943" s="233"/>
      <c r="DR943" s="233"/>
      <c r="DS943" s="233"/>
      <c r="DT943" s="233"/>
      <c r="DU943" s="233"/>
      <c r="DV943" s="233"/>
      <c r="DW943" s="233"/>
      <c r="DX943" s="233"/>
      <c r="DY943" s="233"/>
      <c r="DZ943" s="233"/>
      <c r="EA943" s="233"/>
      <c r="EB943" s="233"/>
      <c r="EC943" s="233"/>
      <c r="ED943" s="233"/>
      <c r="EE943" s="233"/>
      <c r="EF943" s="233"/>
      <c r="EG943" s="233"/>
      <c r="EH943" s="233"/>
      <c r="EI943" s="233"/>
      <c r="EJ943" s="233"/>
      <c r="EK943" s="233"/>
      <c r="EL943" s="233"/>
      <c r="EM943" s="233"/>
      <c r="EN943" s="233"/>
      <c r="EO943" s="233"/>
      <c r="EP943" s="233"/>
    </row>
    <row r="944" spans="1:146" ht="14.25" x14ac:dyDescent="0.2">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row>
    <row r="945" spans="1:146" ht="14.25" x14ac:dyDescent="0.2">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row>
    <row r="946" spans="1:146" ht="14.25" x14ac:dyDescent="0.2">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c r="AV946" s="233"/>
      <c r="AW946" s="233"/>
      <c r="AX946" s="233"/>
      <c r="AY946" s="233"/>
      <c r="AZ946" s="233"/>
      <c r="BA946" s="233"/>
      <c r="BB946" s="233"/>
      <c r="BC946" s="233"/>
      <c r="BD946" s="233"/>
      <c r="BE946" s="233"/>
      <c r="BF946" s="233"/>
      <c r="BG946" s="233"/>
      <c r="BH946" s="233"/>
      <c r="BI946" s="233"/>
      <c r="BJ946" s="233"/>
      <c r="BK946" s="233"/>
      <c r="BL946" s="233"/>
      <c r="BM946" s="233"/>
      <c r="BN946" s="233"/>
      <c r="BO946" s="233"/>
      <c r="BP946" s="233"/>
      <c r="BQ946" s="233"/>
      <c r="BR946" s="233"/>
      <c r="BS946" s="233"/>
      <c r="BT946" s="233"/>
      <c r="BU946" s="233"/>
      <c r="BV946" s="233"/>
      <c r="BW946" s="233"/>
      <c r="BX946" s="233"/>
      <c r="BY946" s="233"/>
      <c r="BZ946" s="233"/>
      <c r="CA946" s="233"/>
      <c r="CB946" s="233"/>
      <c r="CC946" s="233"/>
      <c r="CD946" s="233"/>
      <c r="CE946" s="233"/>
      <c r="CF946" s="233"/>
      <c r="CG946" s="233"/>
      <c r="CH946" s="233"/>
      <c r="CI946" s="233"/>
      <c r="CJ946" s="233"/>
      <c r="CK946" s="233"/>
      <c r="CL946" s="233"/>
      <c r="CM946" s="233"/>
      <c r="CN946" s="233"/>
      <c r="CO946" s="233"/>
      <c r="CP946" s="233"/>
      <c r="CQ946" s="233"/>
      <c r="CR946" s="233"/>
      <c r="CS946" s="233"/>
      <c r="CT946" s="233"/>
      <c r="CU946" s="233"/>
      <c r="CV946" s="233"/>
      <c r="CW946" s="233"/>
      <c r="CX946" s="233"/>
      <c r="CY946" s="233"/>
      <c r="CZ946" s="233"/>
      <c r="DA946" s="233"/>
      <c r="DB946" s="233"/>
      <c r="DC946" s="233"/>
      <c r="DD946" s="233"/>
      <c r="DE946" s="233"/>
      <c r="DF946" s="233"/>
      <c r="DG946" s="233"/>
      <c r="DH946" s="233"/>
      <c r="DI946" s="233"/>
      <c r="DJ946" s="233"/>
      <c r="DK946" s="233"/>
      <c r="DL946" s="233"/>
      <c r="DM946" s="233"/>
      <c r="DN946" s="233"/>
      <c r="DO946" s="233"/>
      <c r="DP946" s="233"/>
      <c r="DQ946" s="233"/>
      <c r="DR946" s="233"/>
      <c r="DS946" s="233"/>
      <c r="DT946" s="233"/>
      <c r="DU946" s="233"/>
      <c r="DV946" s="233"/>
      <c r="DW946" s="233"/>
      <c r="DX946" s="233"/>
      <c r="DY946" s="233"/>
      <c r="DZ946" s="233"/>
      <c r="EA946" s="233"/>
      <c r="EB946" s="233"/>
      <c r="EC946" s="233"/>
      <c r="ED946" s="233"/>
      <c r="EE946" s="233"/>
      <c r="EF946" s="233"/>
      <c r="EG946" s="233"/>
      <c r="EH946" s="233"/>
      <c r="EI946" s="233"/>
      <c r="EJ946" s="233"/>
      <c r="EK946" s="233"/>
      <c r="EL946" s="233"/>
      <c r="EM946" s="233"/>
      <c r="EN946" s="233"/>
      <c r="EO946" s="233"/>
      <c r="EP946" s="233"/>
    </row>
    <row r="947" spans="1:146" ht="14.25" x14ac:dyDescent="0.2">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c r="AV947" s="233"/>
      <c r="AW947" s="233"/>
      <c r="AX947" s="233"/>
      <c r="AY947" s="233"/>
      <c r="AZ947" s="233"/>
      <c r="BA947" s="233"/>
      <c r="BB947" s="233"/>
      <c r="BC947" s="233"/>
      <c r="BD947" s="233"/>
      <c r="BE947" s="233"/>
      <c r="BF947" s="233"/>
      <c r="BG947" s="233"/>
      <c r="BH947" s="233"/>
      <c r="BI947" s="233"/>
      <c r="BJ947" s="233"/>
      <c r="BK947" s="233"/>
      <c r="BL947" s="233"/>
      <c r="BM947" s="233"/>
      <c r="BN947" s="233"/>
      <c r="BO947" s="233"/>
      <c r="BP947" s="233"/>
      <c r="BQ947" s="233"/>
      <c r="BR947" s="233"/>
      <c r="BS947" s="233"/>
      <c r="BT947" s="233"/>
      <c r="BU947" s="233"/>
      <c r="BV947" s="233"/>
      <c r="BW947" s="233"/>
      <c r="BX947" s="233"/>
      <c r="BY947" s="233"/>
      <c r="BZ947" s="233"/>
      <c r="CA947" s="233"/>
      <c r="CB947" s="233"/>
      <c r="CC947" s="233"/>
      <c r="CD947" s="233"/>
      <c r="CE947" s="233"/>
      <c r="CF947" s="233"/>
      <c r="CG947" s="233"/>
      <c r="CH947" s="233"/>
      <c r="CI947" s="233"/>
      <c r="CJ947" s="233"/>
      <c r="CK947" s="233"/>
      <c r="CL947" s="233"/>
      <c r="CM947" s="233"/>
      <c r="CN947" s="233"/>
      <c r="CO947" s="233"/>
      <c r="CP947" s="233"/>
      <c r="CQ947" s="233"/>
      <c r="CR947" s="233"/>
      <c r="CS947" s="233"/>
      <c r="CT947" s="233"/>
      <c r="CU947" s="233"/>
      <c r="CV947" s="233"/>
      <c r="CW947" s="233"/>
      <c r="CX947" s="233"/>
      <c r="CY947" s="233"/>
      <c r="CZ947" s="233"/>
      <c r="DA947" s="233"/>
      <c r="DB947" s="233"/>
      <c r="DC947" s="233"/>
      <c r="DD947" s="233"/>
      <c r="DE947" s="233"/>
      <c r="DF947" s="233"/>
      <c r="DG947" s="233"/>
      <c r="DH947" s="233"/>
      <c r="DI947" s="233"/>
      <c r="DJ947" s="233"/>
      <c r="DK947" s="233"/>
      <c r="DL947" s="233"/>
      <c r="DM947" s="233"/>
      <c r="DN947" s="233"/>
      <c r="DO947" s="233"/>
      <c r="DP947" s="233"/>
      <c r="DQ947" s="233"/>
      <c r="DR947" s="233"/>
      <c r="DS947" s="233"/>
      <c r="DT947" s="233"/>
      <c r="DU947" s="233"/>
      <c r="DV947" s="233"/>
      <c r="DW947" s="233"/>
      <c r="DX947" s="233"/>
      <c r="DY947" s="233"/>
      <c r="DZ947" s="233"/>
      <c r="EA947" s="233"/>
      <c r="EB947" s="233"/>
      <c r="EC947" s="233"/>
      <c r="ED947" s="233"/>
      <c r="EE947" s="233"/>
      <c r="EF947" s="233"/>
      <c r="EG947" s="233"/>
      <c r="EH947" s="233"/>
      <c r="EI947" s="233"/>
      <c r="EJ947" s="233"/>
      <c r="EK947" s="233"/>
      <c r="EL947" s="233"/>
      <c r="EM947" s="233"/>
      <c r="EN947" s="233"/>
      <c r="EO947" s="233"/>
      <c r="EP947" s="233"/>
    </row>
    <row r="948" spans="1:146" ht="14.25" x14ac:dyDescent="0.2">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row>
    <row r="949" spans="1:146" ht="14.25" x14ac:dyDescent="0.2">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row>
    <row r="950" spans="1:146" ht="14.25" x14ac:dyDescent="0.2">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c r="AW950" s="233"/>
      <c r="AX950" s="233"/>
      <c r="AY950" s="233"/>
      <c r="AZ950" s="233"/>
      <c r="BA950" s="233"/>
      <c r="BB950" s="233"/>
      <c r="BC950" s="233"/>
      <c r="BD950" s="233"/>
      <c r="BE950" s="233"/>
      <c r="BF950" s="233"/>
      <c r="BG950" s="233"/>
      <c r="BH950" s="233"/>
      <c r="BI950" s="233"/>
      <c r="BJ950" s="233"/>
      <c r="BK950" s="233"/>
      <c r="BL950" s="233"/>
      <c r="BM950" s="233"/>
      <c r="BN950" s="233"/>
      <c r="BO950" s="233"/>
      <c r="BP950" s="233"/>
      <c r="BQ950" s="233"/>
      <c r="BR950" s="233"/>
      <c r="BS950" s="233"/>
      <c r="BT950" s="233"/>
      <c r="BU950" s="233"/>
      <c r="BV950" s="233"/>
      <c r="BW950" s="233"/>
      <c r="BX950" s="233"/>
      <c r="BY950" s="233"/>
      <c r="BZ950" s="233"/>
      <c r="CA950" s="233"/>
      <c r="CB950" s="233"/>
      <c r="CC950" s="233"/>
      <c r="CD950" s="233"/>
      <c r="CE950" s="233"/>
      <c r="CF950" s="233"/>
      <c r="CG950" s="233"/>
      <c r="CH950" s="233"/>
      <c r="CI950" s="233"/>
      <c r="CJ950" s="233"/>
      <c r="CK950" s="233"/>
      <c r="CL950" s="233"/>
      <c r="CM950" s="233"/>
      <c r="CN950" s="233"/>
      <c r="CO950" s="233"/>
      <c r="CP950" s="233"/>
      <c r="CQ950" s="233"/>
      <c r="CR950" s="233"/>
      <c r="CS950" s="233"/>
      <c r="CT950" s="233"/>
      <c r="CU950" s="233"/>
      <c r="CV950" s="233"/>
      <c r="CW950" s="233"/>
      <c r="CX950" s="233"/>
      <c r="CY950" s="233"/>
      <c r="CZ950" s="233"/>
      <c r="DA950" s="233"/>
      <c r="DB950" s="233"/>
      <c r="DC950" s="233"/>
      <c r="DD950" s="233"/>
      <c r="DE950" s="233"/>
      <c r="DF950" s="233"/>
      <c r="DG950" s="233"/>
      <c r="DH950" s="233"/>
      <c r="DI950" s="233"/>
      <c r="DJ950" s="233"/>
      <c r="DK950" s="233"/>
      <c r="DL950" s="233"/>
      <c r="DM950" s="233"/>
      <c r="DN950" s="233"/>
      <c r="DO950" s="233"/>
      <c r="DP950" s="233"/>
      <c r="DQ950" s="233"/>
      <c r="DR950" s="233"/>
      <c r="DS950" s="233"/>
      <c r="DT950" s="233"/>
      <c r="DU950" s="233"/>
      <c r="DV950" s="233"/>
      <c r="DW950" s="233"/>
      <c r="DX950" s="233"/>
      <c r="DY950" s="233"/>
      <c r="DZ950" s="233"/>
      <c r="EA950" s="233"/>
      <c r="EB950" s="233"/>
      <c r="EC950" s="233"/>
      <c r="ED950" s="233"/>
      <c r="EE950" s="233"/>
      <c r="EF950" s="233"/>
      <c r="EG950" s="233"/>
      <c r="EH950" s="233"/>
      <c r="EI950" s="233"/>
      <c r="EJ950" s="233"/>
      <c r="EK950" s="233"/>
      <c r="EL950" s="233"/>
      <c r="EM950" s="233"/>
      <c r="EN950" s="233"/>
      <c r="EO950" s="233"/>
      <c r="EP950" s="233"/>
    </row>
    <row r="951" spans="1:146" ht="14.25" x14ac:dyDescent="0.2">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c r="AS951" s="233"/>
      <c r="AT951" s="233"/>
      <c r="AU951" s="233"/>
      <c r="AV951" s="233"/>
      <c r="AW951" s="233"/>
      <c r="AX951" s="233"/>
      <c r="AY951" s="233"/>
      <c r="AZ951" s="233"/>
      <c r="BA951" s="233"/>
      <c r="BB951" s="233"/>
      <c r="BC951" s="233"/>
      <c r="BD951" s="233"/>
      <c r="BE951" s="233"/>
      <c r="BF951" s="233"/>
      <c r="BG951" s="233"/>
      <c r="BH951" s="233"/>
      <c r="BI951" s="233"/>
      <c r="BJ951" s="233"/>
      <c r="BK951" s="233"/>
      <c r="BL951" s="233"/>
      <c r="BM951" s="233"/>
      <c r="BN951" s="233"/>
      <c r="BO951" s="233"/>
      <c r="BP951" s="233"/>
      <c r="BQ951" s="233"/>
      <c r="BR951" s="233"/>
      <c r="BS951" s="233"/>
      <c r="BT951" s="233"/>
      <c r="BU951" s="233"/>
      <c r="BV951" s="233"/>
      <c r="BW951" s="233"/>
      <c r="BX951" s="233"/>
      <c r="BY951" s="233"/>
      <c r="BZ951" s="233"/>
      <c r="CA951" s="233"/>
      <c r="CB951" s="233"/>
      <c r="CC951" s="233"/>
      <c r="CD951" s="233"/>
      <c r="CE951" s="233"/>
      <c r="CF951" s="233"/>
      <c r="CG951" s="233"/>
      <c r="CH951" s="233"/>
      <c r="CI951" s="233"/>
      <c r="CJ951" s="233"/>
      <c r="CK951" s="233"/>
      <c r="CL951" s="233"/>
      <c r="CM951" s="233"/>
      <c r="CN951" s="233"/>
      <c r="CO951" s="233"/>
      <c r="CP951" s="233"/>
      <c r="CQ951" s="233"/>
      <c r="CR951" s="233"/>
      <c r="CS951" s="233"/>
      <c r="CT951" s="233"/>
      <c r="CU951" s="233"/>
      <c r="CV951" s="233"/>
      <c r="CW951" s="233"/>
      <c r="CX951" s="233"/>
      <c r="CY951" s="233"/>
      <c r="CZ951" s="233"/>
      <c r="DA951" s="233"/>
      <c r="DB951" s="233"/>
      <c r="DC951" s="233"/>
      <c r="DD951" s="233"/>
      <c r="DE951" s="233"/>
      <c r="DF951" s="233"/>
      <c r="DG951" s="233"/>
      <c r="DH951" s="233"/>
      <c r="DI951" s="233"/>
      <c r="DJ951" s="233"/>
      <c r="DK951" s="233"/>
      <c r="DL951" s="233"/>
      <c r="DM951" s="233"/>
      <c r="DN951" s="233"/>
      <c r="DO951" s="233"/>
      <c r="DP951" s="233"/>
      <c r="DQ951" s="233"/>
      <c r="DR951" s="233"/>
      <c r="DS951" s="233"/>
      <c r="DT951" s="233"/>
      <c r="DU951" s="233"/>
      <c r="DV951" s="233"/>
      <c r="DW951" s="233"/>
      <c r="DX951" s="233"/>
      <c r="DY951" s="233"/>
      <c r="DZ951" s="233"/>
      <c r="EA951" s="233"/>
      <c r="EB951" s="233"/>
      <c r="EC951" s="233"/>
      <c r="ED951" s="233"/>
      <c r="EE951" s="233"/>
      <c r="EF951" s="233"/>
      <c r="EG951" s="233"/>
      <c r="EH951" s="233"/>
      <c r="EI951" s="233"/>
      <c r="EJ951" s="233"/>
      <c r="EK951" s="233"/>
      <c r="EL951" s="233"/>
      <c r="EM951" s="233"/>
      <c r="EN951" s="233"/>
      <c r="EO951" s="233"/>
      <c r="EP951" s="233"/>
    </row>
    <row r="952" spans="1:146" ht="14.25" x14ac:dyDescent="0.2">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row>
    <row r="953" spans="1:146" ht="14.25" x14ac:dyDescent="0.2">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row>
    <row r="954" spans="1:146" ht="14.25" x14ac:dyDescent="0.2">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row>
    <row r="955" spans="1:146" ht="14.25" x14ac:dyDescent="0.2">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c r="AV955" s="233"/>
      <c r="AW955" s="233"/>
      <c r="AX955" s="233"/>
      <c r="AY955" s="233"/>
      <c r="AZ955" s="233"/>
      <c r="BA955" s="233"/>
      <c r="BB955" s="233"/>
      <c r="BC955" s="233"/>
      <c r="BD955" s="233"/>
      <c r="BE955" s="233"/>
      <c r="BF955" s="233"/>
      <c r="BG955" s="233"/>
      <c r="BH955" s="233"/>
      <c r="BI955" s="233"/>
      <c r="BJ955" s="233"/>
      <c r="BK955" s="233"/>
      <c r="BL955" s="233"/>
      <c r="BM955" s="233"/>
      <c r="BN955" s="233"/>
      <c r="BO955" s="233"/>
      <c r="BP955" s="233"/>
      <c r="BQ955" s="233"/>
      <c r="BR955" s="233"/>
      <c r="BS955" s="233"/>
      <c r="BT955" s="233"/>
      <c r="BU955" s="233"/>
      <c r="BV955" s="233"/>
      <c r="BW955" s="233"/>
      <c r="BX955" s="233"/>
      <c r="BY955" s="233"/>
      <c r="BZ955" s="233"/>
      <c r="CA955" s="233"/>
      <c r="CB955" s="233"/>
      <c r="CC955" s="233"/>
      <c r="CD955" s="233"/>
      <c r="CE955" s="233"/>
      <c r="CF955" s="233"/>
      <c r="CG955" s="233"/>
      <c r="CH955" s="233"/>
      <c r="CI955" s="233"/>
      <c r="CJ955" s="233"/>
      <c r="CK955" s="233"/>
      <c r="CL955" s="233"/>
      <c r="CM955" s="233"/>
      <c r="CN955" s="233"/>
      <c r="CO955" s="233"/>
      <c r="CP955" s="233"/>
      <c r="CQ955" s="233"/>
      <c r="CR955" s="233"/>
      <c r="CS955" s="233"/>
      <c r="CT955" s="233"/>
      <c r="CU955" s="233"/>
      <c r="CV955" s="233"/>
      <c r="CW955" s="233"/>
      <c r="CX955" s="233"/>
      <c r="CY955" s="233"/>
      <c r="CZ955" s="233"/>
      <c r="DA955" s="233"/>
      <c r="DB955" s="233"/>
      <c r="DC955" s="233"/>
      <c r="DD955" s="233"/>
      <c r="DE955" s="233"/>
      <c r="DF955" s="233"/>
      <c r="DG955" s="233"/>
      <c r="DH955" s="233"/>
      <c r="DI955" s="233"/>
      <c r="DJ955" s="233"/>
      <c r="DK955" s="233"/>
      <c r="DL955" s="233"/>
      <c r="DM955" s="233"/>
      <c r="DN955" s="233"/>
      <c r="DO955" s="233"/>
      <c r="DP955" s="233"/>
      <c r="DQ955" s="233"/>
      <c r="DR955" s="233"/>
      <c r="DS955" s="233"/>
      <c r="DT955" s="233"/>
      <c r="DU955" s="233"/>
      <c r="DV955" s="233"/>
      <c r="DW955" s="233"/>
      <c r="DX955" s="233"/>
      <c r="DY955" s="233"/>
      <c r="DZ955" s="233"/>
      <c r="EA955" s="233"/>
      <c r="EB955" s="233"/>
      <c r="EC955" s="233"/>
      <c r="ED955" s="233"/>
      <c r="EE955" s="233"/>
      <c r="EF955" s="233"/>
      <c r="EG955" s="233"/>
      <c r="EH955" s="233"/>
      <c r="EI955" s="233"/>
      <c r="EJ955" s="233"/>
      <c r="EK955" s="233"/>
      <c r="EL955" s="233"/>
      <c r="EM955" s="233"/>
      <c r="EN955" s="233"/>
      <c r="EO955" s="233"/>
      <c r="EP955" s="233"/>
    </row>
    <row r="956" spans="1:146" ht="14.25" x14ac:dyDescent="0.2">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c r="AV956" s="233"/>
      <c r="AW956" s="233"/>
      <c r="AX956" s="233"/>
      <c r="AY956" s="233"/>
      <c r="AZ956" s="233"/>
      <c r="BA956" s="233"/>
      <c r="BB956" s="233"/>
      <c r="BC956" s="233"/>
      <c r="BD956" s="233"/>
      <c r="BE956" s="233"/>
      <c r="BF956" s="233"/>
      <c r="BG956" s="233"/>
      <c r="BH956" s="233"/>
      <c r="BI956" s="233"/>
      <c r="BJ956" s="233"/>
      <c r="BK956" s="233"/>
      <c r="BL956" s="233"/>
      <c r="BM956" s="233"/>
      <c r="BN956" s="233"/>
      <c r="BO956" s="233"/>
      <c r="BP956" s="233"/>
      <c r="BQ956" s="233"/>
      <c r="BR956" s="233"/>
      <c r="BS956" s="233"/>
      <c r="BT956" s="233"/>
      <c r="BU956" s="233"/>
      <c r="BV956" s="233"/>
      <c r="BW956" s="233"/>
      <c r="BX956" s="233"/>
      <c r="BY956" s="233"/>
      <c r="BZ956" s="233"/>
      <c r="CA956" s="233"/>
      <c r="CB956" s="233"/>
      <c r="CC956" s="233"/>
      <c r="CD956" s="233"/>
      <c r="CE956" s="233"/>
      <c r="CF956" s="233"/>
      <c r="CG956" s="233"/>
      <c r="CH956" s="233"/>
      <c r="CI956" s="233"/>
      <c r="CJ956" s="233"/>
      <c r="CK956" s="233"/>
      <c r="CL956" s="233"/>
      <c r="CM956" s="233"/>
      <c r="CN956" s="233"/>
      <c r="CO956" s="233"/>
      <c r="CP956" s="233"/>
      <c r="CQ956" s="233"/>
      <c r="CR956" s="233"/>
      <c r="CS956" s="233"/>
      <c r="CT956" s="233"/>
      <c r="CU956" s="233"/>
      <c r="CV956" s="233"/>
      <c r="CW956" s="233"/>
      <c r="CX956" s="233"/>
      <c r="CY956" s="233"/>
      <c r="CZ956" s="233"/>
      <c r="DA956" s="233"/>
      <c r="DB956" s="233"/>
      <c r="DC956" s="233"/>
      <c r="DD956" s="233"/>
      <c r="DE956" s="233"/>
      <c r="DF956" s="233"/>
      <c r="DG956" s="233"/>
      <c r="DH956" s="233"/>
      <c r="DI956" s="233"/>
      <c r="DJ956" s="233"/>
      <c r="DK956" s="233"/>
      <c r="DL956" s="233"/>
      <c r="DM956" s="233"/>
      <c r="DN956" s="233"/>
      <c r="DO956" s="233"/>
      <c r="DP956" s="233"/>
      <c r="DQ956" s="233"/>
      <c r="DR956" s="233"/>
      <c r="DS956" s="233"/>
      <c r="DT956" s="233"/>
      <c r="DU956" s="233"/>
      <c r="DV956" s="233"/>
      <c r="DW956" s="233"/>
      <c r="DX956" s="233"/>
      <c r="DY956" s="233"/>
      <c r="DZ956" s="233"/>
      <c r="EA956" s="233"/>
      <c r="EB956" s="233"/>
      <c r="EC956" s="233"/>
      <c r="ED956" s="233"/>
      <c r="EE956" s="233"/>
      <c r="EF956" s="233"/>
      <c r="EG956" s="233"/>
      <c r="EH956" s="233"/>
      <c r="EI956" s="233"/>
      <c r="EJ956" s="233"/>
      <c r="EK956" s="233"/>
      <c r="EL956" s="233"/>
      <c r="EM956" s="233"/>
      <c r="EN956" s="233"/>
      <c r="EO956" s="233"/>
      <c r="EP956" s="233"/>
    </row>
    <row r="957" spans="1:146" ht="14.25" x14ac:dyDescent="0.2">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row>
    <row r="958" spans="1:146" ht="14.25" x14ac:dyDescent="0.2">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row>
    <row r="959" spans="1:146" ht="14.25" x14ac:dyDescent="0.2">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row>
    <row r="960" spans="1:146" ht="14.25" x14ac:dyDescent="0.2">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row>
    <row r="961" spans="1:146" ht="14.25" x14ac:dyDescent="0.2">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row>
    <row r="962" spans="1:146" ht="14.25" x14ac:dyDescent="0.2">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row>
    <row r="963" spans="1:146" ht="14.25" x14ac:dyDescent="0.2">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row>
    <row r="964" spans="1:146" ht="14.25" x14ac:dyDescent="0.2">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c r="AV964" s="233"/>
      <c r="AW964" s="233"/>
      <c r="AX964" s="233"/>
      <c r="AY964" s="233"/>
      <c r="AZ964" s="233"/>
      <c r="BA964" s="233"/>
      <c r="BB964" s="233"/>
      <c r="BC964" s="233"/>
      <c r="BD964" s="233"/>
      <c r="BE964" s="233"/>
      <c r="BF964" s="233"/>
      <c r="BG964" s="233"/>
      <c r="BH964" s="233"/>
      <c r="BI964" s="233"/>
      <c r="BJ964" s="233"/>
      <c r="BK964" s="233"/>
      <c r="BL964" s="233"/>
      <c r="BM964" s="233"/>
      <c r="BN964" s="233"/>
      <c r="BO964" s="233"/>
      <c r="BP964" s="233"/>
      <c r="BQ964" s="233"/>
      <c r="BR964" s="233"/>
      <c r="BS964" s="233"/>
      <c r="BT964" s="233"/>
      <c r="BU964" s="233"/>
      <c r="BV964" s="233"/>
      <c r="BW964" s="233"/>
      <c r="BX964" s="233"/>
      <c r="BY964" s="233"/>
      <c r="BZ964" s="233"/>
      <c r="CA964" s="233"/>
      <c r="CB964" s="233"/>
      <c r="CC964" s="233"/>
      <c r="CD964" s="233"/>
      <c r="CE964" s="233"/>
      <c r="CF964" s="233"/>
      <c r="CG964" s="233"/>
      <c r="CH964" s="233"/>
      <c r="CI964" s="233"/>
      <c r="CJ964" s="233"/>
      <c r="CK964" s="233"/>
      <c r="CL964" s="233"/>
      <c r="CM964" s="233"/>
      <c r="CN964" s="233"/>
      <c r="CO964" s="233"/>
      <c r="CP964" s="233"/>
      <c r="CQ964" s="233"/>
      <c r="CR964" s="233"/>
      <c r="CS964" s="233"/>
      <c r="CT964" s="233"/>
      <c r="CU964" s="233"/>
      <c r="CV964" s="233"/>
      <c r="CW964" s="233"/>
      <c r="CX964" s="233"/>
      <c r="CY964" s="233"/>
      <c r="CZ964" s="233"/>
      <c r="DA964" s="233"/>
      <c r="DB964" s="233"/>
      <c r="DC964" s="233"/>
      <c r="DD964" s="233"/>
      <c r="DE964" s="233"/>
      <c r="DF964" s="233"/>
      <c r="DG964" s="233"/>
      <c r="DH964" s="233"/>
      <c r="DI964" s="233"/>
      <c r="DJ964" s="233"/>
      <c r="DK964" s="233"/>
      <c r="DL964" s="233"/>
      <c r="DM964" s="233"/>
      <c r="DN964" s="233"/>
      <c r="DO964" s="233"/>
      <c r="DP964" s="233"/>
      <c r="DQ964" s="233"/>
      <c r="DR964" s="233"/>
      <c r="DS964" s="233"/>
      <c r="DT964" s="233"/>
      <c r="DU964" s="233"/>
      <c r="DV964" s="233"/>
      <c r="DW964" s="233"/>
      <c r="DX964" s="233"/>
      <c r="DY964" s="233"/>
      <c r="DZ964" s="233"/>
      <c r="EA964" s="233"/>
      <c r="EB964" s="233"/>
      <c r="EC964" s="233"/>
      <c r="ED964" s="233"/>
      <c r="EE964" s="233"/>
      <c r="EF964" s="233"/>
      <c r="EG964" s="233"/>
      <c r="EH964" s="233"/>
      <c r="EI964" s="233"/>
      <c r="EJ964" s="233"/>
      <c r="EK964" s="233"/>
      <c r="EL964" s="233"/>
      <c r="EM964" s="233"/>
      <c r="EN964" s="233"/>
      <c r="EO964" s="233"/>
      <c r="EP964" s="233"/>
    </row>
    <row r="965" spans="1:146" ht="14.25" x14ac:dyDescent="0.2">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c r="AV965" s="233"/>
      <c r="AW965" s="233"/>
      <c r="AX965" s="233"/>
      <c r="AY965" s="233"/>
      <c r="AZ965" s="233"/>
      <c r="BA965" s="233"/>
      <c r="BB965" s="233"/>
      <c r="BC965" s="233"/>
      <c r="BD965" s="233"/>
      <c r="BE965" s="233"/>
      <c r="BF965" s="233"/>
      <c r="BG965" s="233"/>
      <c r="BH965" s="233"/>
      <c r="BI965" s="233"/>
      <c r="BJ965" s="233"/>
      <c r="BK965" s="233"/>
      <c r="BL965" s="233"/>
      <c r="BM965" s="233"/>
      <c r="BN965" s="233"/>
      <c r="BO965" s="233"/>
      <c r="BP965" s="233"/>
      <c r="BQ965" s="233"/>
      <c r="BR965" s="233"/>
      <c r="BS965" s="233"/>
      <c r="BT965" s="233"/>
      <c r="BU965" s="233"/>
      <c r="BV965" s="233"/>
      <c r="BW965" s="233"/>
      <c r="BX965" s="233"/>
      <c r="BY965" s="233"/>
      <c r="BZ965" s="233"/>
      <c r="CA965" s="233"/>
      <c r="CB965" s="233"/>
      <c r="CC965" s="233"/>
      <c r="CD965" s="233"/>
      <c r="CE965" s="233"/>
      <c r="CF965" s="233"/>
      <c r="CG965" s="233"/>
      <c r="CH965" s="233"/>
      <c r="CI965" s="233"/>
      <c r="CJ965" s="233"/>
      <c r="CK965" s="233"/>
      <c r="CL965" s="233"/>
      <c r="CM965" s="233"/>
      <c r="CN965" s="233"/>
      <c r="CO965" s="233"/>
      <c r="CP965" s="233"/>
      <c r="CQ965" s="233"/>
      <c r="CR965" s="233"/>
      <c r="CS965" s="233"/>
      <c r="CT965" s="233"/>
      <c r="CU965" s="233"/>
      <c r="CV965" s="233"/>
      <c r="CW965" s="233"/>
      <c r="CX965" s="233"/>
      <c r="CY965" s="233"/>
      <c r="CZ965" s="233"/>
      <c r="DA965" s="233"/>
      <c r="DB965" s="233"/>
      <c r="DC965" s="233"/>
      <c r="DD965" s="233"/>
      <c r="DE965" s="233"/>
      <c r="DF965" s="233"/>
      <c r="DG965" s="233"/>
      <c r="DH965" s="233"/>
      <c r="DI965" s="233"/>
      <c r="DJ965" s="233"/>
      <c r="DK965" s="233"/>
      <c r="DL965" s="233"/>
      <c r="DM965" s="233"/>
      <c r="DN965" s="233"/>
      <c r="DO965" s="233"/>
      <c r="DP965" s="233"/>
      <c r="DQ965" s="233"/>
      <c r="DR965" s="233"/>
      <c r="DS965" s="233"/>
      <c r="DT965" s="233"/>
      <c r="DU965" s="233"/>
      <c r="DV965" s="233"/>
      <c r="DW965" s="233"/>
      <c r="DX965" s="233"/>
      <c r="DY965" s="233"/>
      <c r="DZ965" s="233"/>
      <c r="EA965" s="233"/>
      <c r="EB965" s="233"/>
      <c r="EC965" s="233"/>
      <c r="ED965" s="233"/>
      <c r="EE965" s="233"/>
      <c r="EF965" s="233"/>
      <c r="EG965" s="233"/>
      <c r="EH965" s="233"/>
      <c r="EI965" s="233"/>
      <c r="EJ965" s="233"/>
      <c r="EK965" s="233"/>
      <c r="EL965" s="233"/>
      <c r="EM965" s="233"/>
      <c r="EN965" s="233"/>
      <c r="EO965" s="233"/>
      <c r="EP965" s="233"/>
    </row>
    <row r="966" spans="1:146" ht="14.25" x14ac:dyDescent="0.2">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c r="AV966" s="233"/>
      <c r="AW966" s="233"/>
      <c r="AX966" s="233"/>
      <c r="AY966" s="233"/>
      <c r="AZ966" s="233"/>
      <c r="BA966" s="233"/>
      <c r="BB966" s="233"/>
      <c r="BC966" s="233"/>
      <c r="BD966" s="233"/>
      <c r="BE966" s="233"/>
      <c r="BF966" s="233"/>
      <c r="BG966" s="233"/>
      <c r="BH966" s="233"/>
      <c r="BI966" s="233"/>
      <c r="BJ966" s="233"/>
      <c r="BK966" s="233"/>
      <c r="BL966" s="233"/>
      <c r="BM966" s="233"/>
      <c r="BN966" s="233"/>
      <c r="BO966" s="233"/>
      <c r="BP966" s="233"/>
      <c r="BQ966" s="233"/>
      <c r="BR966" s="233"/>
      <c r="BS966" s="233"/>
      <c r="BT966" s="233"/>
      <c r="BU966" s="233"/>
      <c r="BV966" s="233"/>
      <c r="BW966" s="233"/>
      <c r="BX966" s="233"/>
      <c r="BY966" s="233"/>
      <c r="BZ966" s="233"/>
      <c r="CA966" s="233"/>
      <c r="CB966" s="233"/>
      <c r="CC966" s="233"/>
      <c r="CD966" s="233"/>
      <c r="CE966" s="233"/>
      <c r="CF966" s="233"/>
      <c r="CG966" s="233"/>
      <c r="CH966" s="233"/>
      <c r="CI966" s="233"/>
      <c r="CJ966" s="233"/>
      <c r="CK966" s="233"/>
      <c r="CL966" s="233"/>
      <c r="CM966" s="233"/>
      <c r="CN966" s="233"/>
      <c r="CO966" s="233"/>
      <c r="CP966" s="233"/>
      <c r="CQ966" s="233"/>
      <c r="CR966" s="233"/>
      <c r="CS966" s="233"/>
      <c r="CT966" s="233"/>
      <c r="CU966" s="233"/>
      <c r="CV966" s="233"/>
      <c r="CW966" s="233"/>
      <c r="CX966" s="233"/>
      <c r="CY966" s="233"/>
      <c r="CZ966" s="233"/>
      <c r="DA966" s="233"/>
      <c r="DB966" s="233"/>
      <c r="DC966" s="233"/>
      <c r="DD966" s="233"/>
      <c r="DE966" s="233"/>
      <c r="DF966" s="233"/>
      <c r="DG966" s="233"/>
      <c r="DH966" s="233"/>
      <c r="DI966" s="233"/>
      <c r="DJ966" s="233"/>
      <c r="DK966" s="233"/>
      <c r="DL966" s="233"/>
      <c r="DM966" s="233"/>
      <c r="DN966" s="233"/>
      <c r="DO966" s="233"/>
      <c r="DP966" s="233"/>
      <c r="DQ966" s="233"/>
      <c r="DR966" s="233"/>
      <c r="DS966" s="233"/>
      <c r="DT966" s="233"/>
      <c r="DU966" s="233"/>
      <c r="DV966" s="233"/>
      <c r="DW966" s="233"/>
      <c r="DX966" s="233"/>
      <c r="DY966" s="233"/>
      <c r="DZ966" s="233"/>
      <c r="EA966" s="233"/>
      <c r="EB966" s="233"/>
      <c r="EC966" s="233"/>
      <c r="ED966" s="233"/>
      <c r="EE966" s="233"/>
      <c r="EF966" s="233"/>
      <c r="EG966" s="233"/>
      <c r="EH966" s="233"/>
      <c r="EI966" s="233"/>
      <c r="EJ966" s="233"/>
      <c r="EK966" s="233"/>
      <c r="EL966" s="233"/>
      <c r="EM966" s="233"/>
      <c r="EN966" s="233"/>
      <c r="EO966" s="233"/>
      <c r="EP966" s="233"/>
    </row>
    <row r="967" spans="1:146" ht="14.25" x14ac:dyDescent="0.2">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c r="AW967" s="233"/>
      <c r="AX967" s="233"/>
      <c r="AY967" s="233"/>
      <c r="AZ967" s="233"/>
      <c r="BA967" s="233"/>
      <c r="BB967" s="233"/>
      <c r="BC967" s="233"/>
      <c r="BD967" s="233"/>
      <c r="BE967" s="233"/>
      <c r="BF967" s="233"/>
      <c r="BG967" s="233"/>
      <c r="BH967" s="233"/>
      <c r="BI967" s="233"/>
      <c r="BJ967" s="233"/>
      <c r="BK967" s="233"/>
      <c r="BL967" s="233"/>
      <c r="BM967" s="233"/>
      <c r="BN967" s="233"/>
      <c r="BO967" s="233"/>
      <c r="BP967" s="233"/>
      <c r="BQ967" s="233"/>
      <c r="BR967" s="233"/>
      <c r="BS967" s="233"/>
      <c r="BT967" s="233"/>
      <c r="BU967" s="233"/>
      <c r="BV967" s="233"/>
      <c r="BW967" s="233"/>
      <c r="BX967" s="233"/>
      <c r="BY967" s="233"/>
      <c r="BZ967" s="233"/>
      <c r="CA967" s="233"/>
      <c r="CB967" s="233"/>
      <c r="CC967" s="233"/>
      <c r="CD967" s="233"/>
      <c r="CE967" s="233"/>
      <c r="CF967" s="233"/>
      <c r="CG967" s="233"/>
      <c r="CH967" s="233"/>
      <c r="CI967" s="233"/>
      <c r="CJ967" s="233"/>
      <c r="CK967" s="233"/>
      <c r="CL967" s="233"/>
      <c r="CM967" s="233"/>
      <c r="CN967" s="233"/>
      <c r="CO967" s="233"/>
      <c r="CP967" s="233"/>
      <c r="CQ967" s="233"/>
      <c r="CR967" s="233"/>
      <c r="CS967" s="233"/>
      <c r="CT967" s="233"/>
      <c r="CU967" s="233"/>
      <c r="CV967" s="233"/>
      <c r="CW967" s="233"/>
      <c r="CX967" s="233"/>
      <c r="CY967" s="233"/>
      <c r="CZ967" s="233"/>
      <c r="DA967" s="233"/>
      <c r="DB967" s="233"/>
      <c r="DC967" s="233"/>
      <c r="DD967" s="233"/>
      <c r="DE967" s="233"/>
      <c r="DF967" s="233"/>
      <c r="DG967" s="233"/>
      <c r="DH967" s="233"/>
      <c r="DI967" s="233"/>
      <c r="DJ967" s="233"/>
      <c r="DK967" s="233"/>
      <c r="DL967" s="233"/>
      <c r="DM967" s="233"/>
      <c r="DN967" s="233"/>
      <c r="DO967" s="233"/>
      <c r="DP967" s="233"/>
      <c r="DQ967" s="233"/>
      <c r="DR967" s="233"/>
      <c r="DS967" s="233"/>
      <c r="DT967" s="233"/>
      <c r="DU967" s="233"/>
      <c r="DV967" s="233"/>
      <c r="DW967" s="233"/>
      <c r="DX967" s="233"/>
      <c r="DY967" s="233"/>
      <c r="DZ967" s="233"/>
      <c r="EA967" s="233"/>
      <c r="EB967" s="233"/>
      <c r="EC967" s="233"/>
      <c r="ED967" s="233"/>
      <c r="EE967" s="233"/>
      <c r="EF967" s="233"/>
      <c r="EG967" s="233"/>
      <c r="EH967" s="233"/>
      <c r="EI967" s="233"/>
      <c r="EJ967" s="233"/>
      <c r="EK967" s="233"/>
      <c r="EL967" s="233"/>
      <c r="EM967" s="233"/>
      <c r="EN967" s="233"/>
      <c r="EO967" s="233"/>
      <c r="EP967" s="233"/>
    </row>
    <row r="968" spans="1:146" ht="14.25" x14ac:dyDescent="0.2">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c r="AV968" s="233"/>
      <c r="AW968" s="233"/>
      <c r="AX968" s="233"/>
      <c r="AY968" s="233"/>
      <c r="AZ968" s="233"/>
      <c r="BA968" s="233"/>
      <c r="BB968" s="233"/>
      <c r="BC968" s="233"/>
      <c r="BD968" s="233"/>
      <c r="BE968" s="233"/>
      <c r="BF968" s="233"/>
      <c r="BG968" s="233"/>
      <c r="BH968" s="233"/>
      <c r="BI968" s="233"/>
      <c r="BJ968" s="233"/>
      <c r="BK968" s="233"/>
      <c r="BL968" s="233"/>
      <c r="BM968" s="233"/>
      <c r="BN968" s="233"/>
      <c r="BO968" s="233"/>
      <c r="BP968" s="233"/>
      <c r="BQ968" s="233"/>
      <c r="BR968" s="233"/>
      <c r="BS968" s="233"/>
      <c r="BT968" s="233"/>
      <c r="BU968" s="233"/>
      <c r="BV968" s="233"/>
      <c r="BW968" s="233"/>
      <c r="BX968" s="233"/>
      <c r="BY968" s="233"/>
      <c r="BZ968" s="233"/>
      <c r="CA968" s="233"/>
      <c r="CB968" s="233"/>
      <c r="CC968" s="233"/>
      <c r="CD968" s="233"/>
      <c r="CE968" s="233"/>
      <c r="CF968" s="233"/>
      <c r="CG968" s="233"/>
      <c r="CH968" s="233"/>
      <c r="CI968" s="233"/>
      <c r="CJ968" s="233"/>
      <c r="CK968" s="233"/>
      <c r="CL968" s="233"/>
      <c r="CM968" s="233"/>
      <c r="CN968" s="233"/>
      <c r="CO968" s="233"/>
      <c r="CP968" s="233"/>
      <c r="CQ968" s="233"/>
      <c r="CR968" s="233"/>
      <c r="CS968" s="233"/>
      <c r="CT968" s="233"/>
      <c r="CU968" s="233"/>
      <c r="CV968" s="233"/>
      <c r="CW968" s="233"/>
      <c r="CX968" s="233"/>
      <c r="CY968" s="233"/>
      <c r="CZ968" s="233"/>
      <c r="DA968" s="233"/>
      <c r="DB968" s="233"/>
      <c r="DC968" s="233"/>
      <c r="DD968" s="233"/>
      <c r="DE968" s="233"/>
      <c r="DF968" s="233"/>
      <c r="DG968" s="233"/>
      <c r="DH968" s="233"/>
      <c r="DI968" s="233"/>
      <c r="DJ968" s="233"/>
      <c r="DK968" s="233"/>
      <c r="DL968" s="233"/>
      <c r="DM968" s="233"/>
      <c r="DN968" s="233"/>
      <c r="DO968" s="233"/>
      <c r="DP968" s="233"/>
      <c r="DQ968" s="233"/>
      <c r="DR968" s="233"/>
      <c r="DS968" s="233"/>
      <c r="DT968" s="233"/>
      <c r="DU968" s="233"/>
      <c r="DV968" s="233"/>
      <c r="DW968" s="233"/>
      <c r="DX968" s="233"/>
      <c r="DY968" s="233"/>
      <c r="DZ968" s="233"/>
      <c r="EA968" s="233"/>
      <c r="EB968" s="233"/>
      <c r="EC968" s="233"/>
      <c r="ED968" s="233"/>
      <c r="EE968" s="233"/>
      <c r="EF968" s="233"/>
      <c r="EG968" s="233"/>
      <c r="EH968" s="233"/>
      <c r="EI968" s="233"/>
      <c r="EJ968" s="233"/>
      <c r="EK968" s="233"/>
      <c r="EL968" s="233"/>
      <c r="EM968" s="233"/>
      <c r="EN968" s="233"/>
      <c r="EO968" s="233"/>
      <c r="EP968" s="233"/>
    </row>
    <row r="969" spans="1:146" ht="14.25" x14ac:dyDescent="0.2">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c r="AV969" s="233"/>
      <c r="AW969" s="233"/>
      <c r="AX969" s="233"/>
      <c r="AY969" s="233"/>
      <c r="AZ969" s="233"/>
      <c r="BA969" s="233"/>
      <c r="BB969" s="233"/>
      <c r="BC969" s="233"/>
      <c r="BD969" s="233"/>
      <c r="BE969" s="233"/>
      <c r="BF969" s="233"/>
      <c r="BG969" s="233"/>
      <c r="BH969" s="233"/>
      <c r="BI969" s="233"/>
      <c r="BJ969" s="233"/>
      <c r="BK969" s="233"/>
      <c r="BL969" s="233"/>
      <c r="BM969" s="233"/>
      <c r="BN969" s="233"/>
      <c r="BO969" s="233"/>
      <c r="BP969" s="233"/>
      <c r="BQ969" s="233"/>
      <c r="BR969" s="233"/>
      <c r="BS969" s="233"/>
      <c r="BT969" s="233"/>
      <c r="BU969" s="233"/>
      <c r="BV969" s="233"/>
      <c r="BW969" s="233"/>
      <c r="BX969" s="233"/>
      <c r="BY969" s="233"/>
      <c r="BZ969" s="233"/>
      <c r="CA969" s="233"/>
      <c r="CB969" s="233"/>
      <c r="CC969" s="233"/>
      <c r="CD969" s="233"/>
      <c r="CE969" s="233"/>
      <c r="CF969" s="233"/>
      <c r="CG969" s="233"/>
      <c r="CH969" s="233"/>
      <c r="CI969" s="233"/>
      <c r="CJ969" s="233"/>
      <c r="CK969" s="233"/>
      <c r="CL969" s="233"/>
      <c r="CM969" s="233"/>
      <c r="CN969" s="233"/>
      <c r="CO969" s="233"/>
      <c r="CP969" s="233"/>
      <c r="CQ969" s="233"/>
      <c r="CR969" s="233"/>
      <c r="CS969" s="233"/>
      <c r="CT969" s="233"/>
      <c r="CU969" s="233"/>
      <c r="CV969" s="233"/>
      <c r="CW969" s="233"/>
      <c r="CX969" s="233"/>
      <c r="CY969" s="233"/>
      <c r="CZ969" s="233"/>
      <c r="DA969" s="233"/>
      <c r="DB969" s="233"/>
      <c r="DC969" s="233"/>
      <c r="DD969" s="233"/>
      <c r="DE969" s="233"/>
      <c r="DF969" s="233"/>
      <c r="DG969" s="233"/>
      <c r="DH969" s="233"/>
      <c r="DI969" s="233"/>
      <c r="DJ969" s="233"/>
      <c r="DK969" s="233"/>
      <c r="DL969" s="233"/>
      <c r="DM969" s="233"/>
      <c r="DN969" s="233"/>
      <c r="DO969" s="233"/>
      <c r="DP969" s="233"/>
      <c r="DQ969" s="233"/>
      <c r="DR969" s="233"/>
      <c r="DS969" s="233"/>
      <c r="DT969" s="233"/>
      <c r="DU969" s="233"/>
      <c r="DV969" s="233"/>
      <c r="DW969" s="233"/>
      <c r="DX969" s="233"/>
      <c r="DY969" s="233"/>
      <c r="DZ969" s="233"/>
      <c r="EA969" s="233"/>
      <c r="EB969" s="233"/>
      <c r="EC969" s="233"/>
      <c r="ED969" s="233"/>
      <c r="EE969" s="233"/>
      <c r="EF969" s="233"/>
      <c r="EG969" s="233"/>
      <c r="EH969" s="233"/>
      <c r="EI969" s="233"/>
      <c r="EJ969" s="233"/>
      <c r="EK969" s="233"/>
      <c r="EL969" s="233"/>
      <c r="EM969" s="233"/>
      <c r="EN969" s="233"/>
      <c r="EO969" s="233"/>
      <c r="EP969" s="233"/>
    </row>
    <row r="970" spans="1:146" ht="14.25" x14ac:dyDescent="0.2">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c r="AW970" s="233"/>
      <c r="AX970" s="233"/>
      <c r="AY970" s="233"/>
      <c r="AZ970" s="233"/>
      <c r="BA970" s="233"/>
      <c r="BB970" s="233"/>
      <c r="BC970" s="233"/>
      <c r="BD970" s="233"/>
      <c r="BE970" s="233"/>
      <c r="BF970" s="233"/>
      <c r="BG970" s="233"/>
      <c r="BH970" s="233"/>
      <c r="BI970" s="233"/>
      <c r="BJ970" s="233"/>
      <c r="BK970" s="233"/>
      <c r="BL970" s="233"/>
      <c r="BM970" s="233"/>
      <c r="BN970" s="233"/>
      <c r="BO970" s="233"/>
      <c r="BP970" s="233"/>
      <c r="BQ970" s="233"/>
      <c r="BR970" s="233"/>
      <c r="BS970" s="233"/>
      <c r="BT970" s="233"/>
      <c r="BU970" s="233"/>
      <c r="BV970" s="233"/>
      <c r="BW970" s="233"/>
      <c r="BX970" s="233"/>
      <c r="BY970" s="233"/>
      <c r="BZ970" s="233"/>
      <c r="CA970" s="233"/>
      <c r="CB970" s="233"/>
      <c r="CC970" s="233"/>
      <c r="CD970" s="233"/>
      <c r="CE970" s="233"/>
      <c r="CF970" s="233"/>
      <c r="CG970" s="233"/>
      <c r="CH970" s="233"/>
      <c r="CI970" s="233"/>
      <c r="CJ970" s="233"/>
      <c r="CK970" s="233"/>
      <c r="CL970" s="233"/>
      <c r="CM970" s="233"/>
      <c r="CN970" s="233"/>
      <c r="CO970" s="233"/>
      <c r="CP970" s="233"/>
      <c r="CQ970" s="233"/>
      <c r="CR970" s="233"/>
      <c r="CS970" s="233"/>
      <c r="CT970" s="233"/>
      <c r="CU970" s="233"/>
      <c r="CV970" s="233"/>
      <c r="CW970" s="233"/>
      <c r="CX970" s="233"/>
      <c r="CY970" s="233"/>
      <c r="CZ970" s="233"/>
      <c r="DA970" s="233"/>
      <c r="DB970" s="233"/>
      <c r="DC970" s="233"/>
      <c r="DD970" s="233"/>
      <c r="DE970" s="233"/>
      <c r="DF970" s="233"/>
      <c r="DG970" s="233"/>
      <c r="DH970" s="233"/>
      <c r="DI970" s="233"/>
      <c r="DJ970" s="233"/>
      <c r="DK970" s="233"/>
      <c r="DL970" s="233"/>
      <c r="DM970" s="233"/>
      <c r="DN970" s="233"/>
      <c r="DO970" s="233"/>
      <c r="DP970" s="233"/>
      <c r="DQ970" s="233"/>
      <c r="DR970" s="233"/>
      <c r="DS970" s="233"/>
      <c r="DT970" s="233"/>
      <c r="DU970" s="233"/>
      <c r="DV970" s="233"/>
      <c r="DW970" s="233"/>
      <c r="DX970" s="233"/>
      <c r="DY970" s="233"/>
      <c r="DZ970" s="233"/>
      <c r="EA970" s="233"/>
      <c r="EB970" s="233"/>
      <c r="EC970" s="233"/>
      <c r="ED970" s="233"/>
      <c r="EE970" s="233"/>
      <c r="EF970" s="233"/>
      <c r="EG970" s="233"/>
      <c r="EH970" s="233"/>
      <c r="EI970" s="233"/>
      <c r="EJ970" s="233"/>
      <c r="EK970" s="233"/>
      <c r="EL970" s="233"/>
      <c r="EM970" s="233"/>
      <c r="EN970" s="233"/>
      <c r="EO970" s="233"/>
      <c r="EP970" s="233"/>
    </row>
    <row r="971" spans="1:146" ht="14.25" x14ac:dyDescent="0.2">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c r="AV971" s="233"/>
      <c r="AW971" s="233"/>
      <c r="AX971" s="233"/>
      <c r="AY971" s="233"/>
      <c r="AZ971" s="233"/>
      <c r="BA971" s="233"/>
      <c r="BB971" s="233"/>
      <c r="BC971" s="233"/>
      <c r="BD971" s="233"/>
      <c r="BE971" s="233"/>
      <c r="BF971" s="233"/>
      <c r="BG971" s="233"/>
      <c r="BH971" s="233"/>
      <c r="BI971" s="233"/>
      <c r="BJ971" s="233"/>
      <c r="BK971" s="233"/>
      <c r="BL971" s="233"/>
      <c r="BM971" s="233"/>
      <c r="BN971" s="233"/>
      <c r="BO971" s="233"/>
      <c r="BP971" s="233"/>
      <c r="BQ971" s="233"/>
      <c r="BR971" s="233"/>
      <c r="BS971" s="233"/>
      <c r="BT971" s="233"/>
      <c r="BU971" s="233"/>
      <c r="BV971" s="233"/>
      <c r="BW971" s="233"/>
      <c r="BX971" s="233"/>
      <c r="BY971" s="233"/>
      <c r="BZ971" s="233"/>
      <c r="CA971" s="233"/>
      <c r="CB971" s="233"/>
      <c r="CC971" s="233"/>
      <c r="CD971" s="233"/>
      <c r="CE971" s="233"/>
      <c r="CF971" s="233"/>
      <c r="CG971" s="233"/>
      <c r="CH971" s="233"/>
      <c r="CI971" s="233"/>
      <c r="CJ971" s="233"/>
      <c r="CK971" s="233"/>
      <c r="CL971" s="233"/>
      <c r="CM971" s="233"/>
      <c r="CN971" s="233"/>
      <c r="CO971" s="233"/>
      <c r="CP971" s="233"/>
      <c r="CQ971" s="233"/>
      <c r="CR971" s="233"/>
      <c r="CS971" s="233"/>
      <c r="CT971" s="233"/>
      <c r="CU971" s="233"/>
      <c r="CV971" s="233"/>
      <c r="CW971" s="233"/>
      <c r="CX971" s="233"/>
      <c r="CY971" s="233"/>
      <c r="CZ971" s="233"/>
      <c r="DA971" s="233"/>
      <c r="DB971" s="233"/>
      <c r="DC971" s="233"/>
      <c r="DD971" s="233"/>
      <c r="DE971" s="233"/>
      <c r="DF971" s="233"/>
      <c r="DG971" s="233"/>
      <c r="DH971" s="233"/>
      <c r="DI971" s="233"/>
      <c r="DJ971" s="233"/>
      <c r="DK971" s="233"/>
      <c r="DL971" s="233"/>
      <c r="DM971" s="233"/>
      <c r="DN971" s="233"/>
      <c r="DO971" s="233"/>
      <c r="DP971" s="233"/>
      <c r="DQ971" s="233"/>
      <c r="DR971" s="233"/>
      <c r="DS971" s="233"/>
      <c r="DT971" s="233"/>
      <c r="DU971" s="233"/>
      <c r="DV971" s="233"/>
      <c r="DW971" s="233"/>
      <c r="DX971" s="233"/>
      <c r="DY971" s="233"/>
      <c r="DZ971" s="233"/>
      <c r="EA971" s="233"/>
      <c r="EB971" s="233"/>
      <c r="EC971" s="233"/>
      <c r="ED971" s="233"/>
      <c r="EE971" s="233"/>
      <c r="EF971" s="233"/>
      <c r="EG971" s="233"/>
      <c r="EH971" s="233"/>
      <c r="EI971" s="233"/>
      <c r="EJ971" s="233"/>
      <c r="EK971" s="233"/>
      <c r="EL971" s="233"/>
      <c r="EM971" s="233"/>
      <c r="EN971" s="233"/>
      <c r="EO971" s="233"/>
      <c r="EP971" s="233"/>
    </row>
    <row r="972" spans="1:146" ht="14.25" x14ac:dyDescent="0.2">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c r="AV972" s="233"/>
      <c r="AW972" s="233"/>
      <c r="AX972" s="233"/>
      <c r="AY972" s="233"/>
      <c r="AZ972" s="233"/>
      <c r="BA972" s="233"/>
      <c r="BB972" s="233"/>
      <c r="BC972" s="233"/>
      <c r="BD972" s="233"/>
      <c r="BE972" s="233"/>
      <c r="BF972" s="233"/>
      <c r="BG972" s="233"/>
      <c r="BH972" s="233"/>
      <c r="BI972" s="233"/>
      <c r="BJ972" s="233"/>
      <c r="BK972" s="233"/>
      <c r="BL972" s="233"/>
      <c r="BM972" s="233"/>
      <c r="BN972" s="233"/>
      <c r="BO972" s="233"/>
      <c r="BP972" s="233"/>
      <c r="BQ972" s="233"/>
      <c r="BR972" s="233"/>
      <c r="BS972" s="233"/>
      <c r="BT972" s="233"/>
      <c r="BU972" s="233"/>
      <c r="BV972" s="233"/>
      <c r="BW972" s="233"/>
      <c r="BX972" s="233"/>
      <c r="BY972" s="233"/>
      <c r="BZ972" s="233"/>
      <c r="CA972" s="233"/>
      <c r="CB972" s="233"/>
      <c r="CC972" s="233"/>
      <c r="CD972" s="233"/>
      <c r="CE972" s="233"/>
      <c r="CF972" s="233"/>
      <c r="CG972" s="233"/>
      <c r="CH972" s="233"/>
      <c r="CI972" s="233"/>
      <c r="CJ972" s="233"/>
      <c r="CK972" s="233"/>
      <c r="CL972" s="233"/>
      <c r="CM972" s="233"/>
      <c r="CN972" s="233"/>
      <c r="CO972" s="233"/>
      <c r="CP972" s="233"/>
      <c r="CQ972" s="233"/>
      <c r="CR972" s="233"/>
      <c r="CS972" s="233"/>
      <c r="CT972" s="233"/>
      <c r="CU972" s="233"/>
      <c r="CV972" s="233"/>
      <c r="CW972" s="233"/>
      <c r="CX972" s="233"/>
      <c r="CY972" s="233"/>
      <c r="CZ972" s="233"/>
      <c r="DA972" s="233"/>
      <c r="DB972" s="233"/>
      <c r="DC972" s="233"/>
      <c r="DD972" s="233"/>
      <c r="DE972" s="233"/>
      <c r="DF972" s="233"/>
      <c r="DG972" s="233"/>
      <c r="DH972" s="233"/>
      <c r="DI972" s="233"/>
      <c r="DJ972" s="233"/>
      <c r="DK972" s="233"/>
      <c r="DL972" s="233"/>
      <c r="DM972" s="233"/>
      <c r="DN972" s="233"/>
      <c r="DO972" s="233"/>
      <c r="DP972" s="233"/>
      <c r="DQ972" s="233"/>
      <c r="DR972" s="233"/>
      <c r="DS972" s="233"/>
      <c r="DT972" s="233"/>
      <c r="DU972" s="233"/>
      <c r="DV972" s="233"/>
      <c r="DW972" s="233"/>
      <c r="DX972" s="233"/>
      <c r="DY972" s="233"/>
      <c r="DZ972" s="233"/>
      <c r="EA972" s="233"/>
      <c r="EB972" s="233"/>
      <c r="EC972" s="233"/>
      <c r="ED972" s="233"/>
      <c r="EE972" s="233"/>
      <c r="EF972" s="233"/>
      <c r="EG972" s="233"/>
      <c r="EH972" s="233"/>
      <c r="EI972" s="233"/>
      <c r="EJ972" s="233"/>
      <c r="EK972" s="233"/>
      <c r="EL972" s="233"/>
      <c r="EM972" s="233"/>
      <c r="EN972" s="233"/>
      <c r="EO972" s="233"/>
      <c r="EP972" s="233"/>
    </row>
    <row r="973" spans="1:146" ht="14.25" x14ac:dyDescent="0.2">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c r="AV973" s="233"/>
      <c r="AW973" s="233"/>
      <c r="AX973" s="233"/>
      <c r="AY973" s="233"/>
      <c r="AZ973" s="233"/>
      <c r="BA973" s="233"/>
      <c r="BB973" s="233"/>
      <c r="BC973" s="233"/>
      <c r="BD973" s="233"/>
      <c r="BE973" s="233"/>
      <c r="BF973" s="233"/>
      <c r="BG973" s="233"/>
      <c r="BH973" s="233"/>
      <c r="BI973" s="233"/>
      <c r="BJ973" s="233"/>
      <c r="BK973" s="233"/>
      <c r="BL973" s="233"/>
      <c r="BM973" s="233"/>
      <c r="BN973" s="233"/>
      <c r="BO973" s="233"/>
      <c r="BP973" s="233"/>
      <c r="BQ973" s="233"/>
      <c r="BR973" s="233"/>
      <c r="BS973" s="233"/>
      <c r="BT973" s="233"/>
      <c r="BU973" s="233"/>
      <c r="BV973" s="233"/>
      <c r="BW973" s="233"/>
      <c r="BX973" s="233"/>
      <c r="BY973" s="233"/>
      <c r="BZ973" s="233"/>
      <c r="CA973" s="233"/>
      <c r="CB973" s="233"/>
      <c r="CC973" s="233"/>
      <c r="CD973" s="233"/>
      <c r="CE973" s="233"/>
      <c r="CF973" s="233"/>
      <c r="CG973" s="233"/>
      <c r="CH973" s="233"/>
      <c r="CI973" s="233"/>
      <c r="CJ973" s="233"/>
      <c r="CK973" s="233"/>
      <c r="CL973" s="233"/>
      <c r="CM973" s="233"/>
      <c r="CN973" s="233"/>
      <c r="CO973" s="233"/>
      <c r="CP973" s="233"/>
      <c r="CQ973" s="233"/>
      <c r="CR973" s="233"/>
      <c r="CS973" s="233"/>
      <c r="CT973" s="233"/>
      <c r="CU973" s="233"/>
      <c r="CV973" s="233"/>
      <c r="CW973" s="233"/>
      <c r="CX973" s="233"/>
      <c r="CY973" s="233"/>
      <c r="CZ973" s="233"/>
      <c r="DA973" s="233"/>
      <c r="DB973" s="233"/>
      <c r="DC973" s="233"/>
      <c r="DD973" s="233"/>
      <c r="DE973" s="233"/>
      <c r="DF973" s="233"/>
      <c r="DG973" s="233"/>
      <c r="DH973" s="233"/>
      <c r="DI973" s="233"/>
      <c r="DJ973" s="233"/>
      <c r="DK973" s="233"/>
      <c r="DL973" s="233"/>
      <c r="DM973" s="233"/>
      <c r="DN973" s="233"/>
      <c r="DO973" s="233"/>
      <c r="DP973" s="233"/>
      <c r="DQ973" s="233"/>
      <c r="DR973" s="233"/>
      <c r="DS973" s="233"/>
      <c r="DT973" s="233"/>
      <c r="DU973" s="233"/>
      <c r="DV973" s="233"/>
      <c r="DW973" s="233"/>
      <c r="DX973" s="233"/>
      <c r="DY973" s="233"/>
      <c r="DZ973" s="233"/>
      <c r="EA973" s="233"/>
      <c r="EB973" s="233"/>
      <c r="EC973" s="233"/>
      <c r="ED973" s="233"/>
      <c r="EE973" s="233"/>
      <c r="EF973" s="233"/>
      <c r="EG973" s="233"/>
      <c r="EH973" s="233"/>
      <c r="EI973" s="233"/>
      <c r="EJ973" s="233"/>
      <c r="EK973" s="233"/>
      <c r="EL973" s="233"/>
      <c r="EM973" s="233"/>
      <c r="EN973" s="233"/>
      <c r="EO973" s="233"/>
      <c r="EP973" s="233"/>
    </row>
    <row r="974" spans="1:146" ht="14.25" x14ac:dyDescent="0.2">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c r="AS974" s="233"/>
      <c r="AT974" s="233"/>
      <c r="AU974" s="233"/>
      <c r="AV974" s="233"/>
      <c r="AW974" s="233"/>
      <c r="AX974" s="233"/>
      <c r="AY974" s="233"/>
      <c r="AZ974" s="233"/>
      <c r="BA974" s="233"/>
      <c r="BB974" s="233"/>
      <c r="BC974" s="233"/>
      <c r="BD974" s="233"/>
      <c r="BE974" s="233"/>
      <c r="BF974" s="233"/>
      <c r="BG974" s="233"/>
      <c r="BH974" s="233"/>
      <c r="BI974" s="233"/>
      <c r="BJ974" s="233"/>
      <c r="BK974" s="233"/>
      <c r="BL974" s="233"/>
      <c r="BM974" s="233"/>
      <c r="BN974" s="233"/>
      <c r="BO974" s="233"/>
      <c r="BP974" s="233"/>
      <c r="BQ974" s="233"/>
      <c r="BR974" s="233"/>
      <c r="BS974" s="233"/>
      <c r="BT974" s="233"/>
      <c r="BU974" s="233"/>
      <c r="BV974" s="233"/>
      <c r="BW974" s="233"/>
      <c r="BX974" s="233"/>
      <c r="BY974" s="233"/>
      <c r="BZ974" s="233"/>
      <c r="CA974" s="233"/>
      <c r="CB974" s="233"/>
      <c r="CC974" s="233"/>
      <c r="CD974" s="233"/>
      <c r="CE974" s="233"/>
      <c r="CF974" s="233"/>
      <c r="CG974" s="233"/>
      <c r="CH974" s="233"/>
      <c r="CI974" s="233"/>
      <c r="CJ974" s="233"/>
      <c r="CK974" s="233"/>
      <c r="CL974" s="233"/>
      <c r="CM974" s="233"/>
      <c r="CN974" s="233"/>
      <c r="CO974" s="233"/>
      <c r="CP974" s="233"/>
      <c r="CQ974" s="233"/>
      <c r="CR974" s="233"/>
      <c r="CS974" s="233"/>
      <c r="CT974" s="233"/>
      <c r="CU974" s="233"/>
      <c r="CV974" s="233"/>
      <c r="CW974" s="233"/>
      <c r="CX974" s="233"/>
      <c r="CY974" s="233"/>
      <c r="CZ974" s="233"/>
      <c r="DA974" s="233"/>
      <c r="DB974" s="233"/>
      <c r="DC974" s="233"/>
      <c r="DD974" s="233"/>
      <c r="DE974" s="233"/>
      <c r="DF974" s="233"/>
      <c r="DG974" s="233"/>
      <c r="DH974" s="233"/>
      <c r="DI974" s="233"/>
      <c r="DJ974" s="233"/>
      <c r="DK974" s="233"/>
      <c r="DL974" s="233"/>
      <c r="DM974" s="233"/>
      <c r="DN974" s="233"/>
      <c r="DO974" s="233"/>
      <c r="DP974" s="233"/>
      <c r="DQ974" s="233"/>
      <c r="DR974" s="233"/>
      <c r="DS974" s="233"/>
      <c r="DT974" s="233"/>
      <c r="DU974" s="233"/>
      <c r="DV974" s="233"/>
      <c r="DW974" s="233"/>
      <c r="DX974" s="233"/>
      <c r="DY974" s="233"/>
      <c r="DZ974" s="233"/>
      <c r="EA974" s="233"/>
      <c r="EB974" s="233"/>
      <c r="EC974" s="233"/>
      <c r="ED974" s="233"/>
      <c r="EE974" s="233"/>
      <c r="EF974" s="233"/>
      <c r="EG974" s="233"/>
      <c r="EH974" s="233"/>
      <c r="EI974" s="233"/>
      <c r="EJ974" s="233"/>
      <c r="EK974" s="233"/>
      <c r="EL974" s="233"/>
      <c r="EM974" s="233"/>
      <c r="EN974" s="233"/>
      <c r="EO974" s="233"/>
      <c r="EP974" s="233"/>
    </row>
    <row r="975" spans="1:146" ht="14.25" x14ac:dyDescent="0.2">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c r="AV975" s="233"/>
      <c r="AW975" s="233"/>
      <c r="AX975" s="233"/>
      <c r="AY975" s="233"/>
      <c r="AZ975" s="233"/>
      <c r="BA975" s="233"/>
      <c r="BB975" s="233"/>
      <c r="BC975" s="233"/>
      <c r="BD975" s="233"/>
      <c r="BE975" s="233"/>
      <c r="BF975" s="233"/>
      <c r="BG975" s="233"/>
      <c r="BH975" s="233"/>
      <c r="BI975" s="233"/>
      <c r="BJ975" s="233"/>
      <c r="BK975" s="233"/>
      <c r="BL975" s="233"/>
      <c r="BM975" s="233"/>
      <c r="BN975" s="233"/>
      <c r="BO975" s="233"/>
      <c r="BP975" s="233"/>
      <c r="BQ975" s="233"/>
      <c r="BR975" s="233"/>
      <c r="BS975" s="233"/>
      <c r="BT975" s="233"/>
      <c r="BU975" s="233"/>
      <c r="BV975" s="233"/>
      <c r="BW975" s="233"/>
      <c r="BX975" s="233"/>
      <c r="BY975" s="233"/>
      <c r="BZ975" s="233"/>
      <c r="CA975" s="233"/>
      <c r="CB975" s="233"/>
      <c r="CC975" s="233"/>
      <c r="CD975" s="233"/>
      <c r="CE975" s="233"/>
      <c r="CF975" s="233"/>
      <c r="CG975" s="233"/>
      <c r="CH975" s="233"/>
      <c r="CI975" s="233"/>
      <c r="CJ975" s="233"/>
      <c r="CK975" s="233"/>
      <c r="CL975" s="233"/>
      <c r="CM975" s="233"/>
      <c r="CN975" s="233"/>
      <c r="CO975" s="233"/>
      <c r="CP975" s="233"/>
      <c r="CQ975" s="233"/>
      <c r="CR975" s="233"/>
      <c r="CS975" s="233"/>
      <c r="CT975" s="233"/>
      <c r="CU975" s="233"/>
      <c r="CV975" s="233"/>
      <c r="CW975" s="233"/>
      <c r="CX975" s="233"/>
      <c r="CY975" s="233"/>
      <c r="CZ975" s="233"/>
      <c r="DA975" s="233"/>
      <c r="DB975" s="233"/>
      <c r="DC975" s="233"/>
      <c r="DD975" s="233"/>
      <c r="DE975" s="233"/>
      <c r="DF975" s="233"/>
      <c r="DG975" s="233"/>
      <c r="DH975" s="233"/>
      <c r="DI975" s="233"/>
      <c r="DJ975" s="233"/>
      <c r="DK975" s="233"/>
      <c r="DL975" s="233"/>
      <c r="DM975" s="233"/>
      <c r="DN975" s="233"/>
      <c r="DO975" s="233"/>
      <c r="DP975" s="233"/>
      <c r="DQ975" s="233"/>
      <c r="DR975" s="233"/>
      <c r="DS975" s="233"/>
      <c r="DT975" s="233"/>
      <c r="DU975" s="233"/>
      <c r="DV975" s="233"/>
      <c r="DW975" s="233"/>
      <c r="DX975" s="233"/>
      <c r="DY975" s="233"/>
      <c r="DZ975" s="233"/>
      <c r="EA975" s="233"/>
      <c r="EB975" s="233"/>
      <c r="EC975" s="233"/>
      <c r="ED975" s="233"/>
      <c r="EE975" s="233"/>
      <c r="EF975" s="233"/>
      <c r="EG975" s="233"/>
      <c r="EH975" s="233"/>
      <c r="EI975" s="233"/>
      <c r="EJ975" s="233"/>
      <c r="EK975" s="233"/>
      <c r="EL975" s="233"/>
      <c r="EM975" s="233"/>
      <c r="EN975" s="233"/>
      <c r="EO975" s="233"/>
      <c r="EP975" s="233"/>
    </row>
    <row r="976" spans="1:146" ht="14.25" x14ac:dyDescent="0.2">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c r="AV976" s="233"/>
      <c r="AW976" s="233"/>
      <c r="AX976" s="233"/>
      <c r="AY976" s="233"/>
      <c r="AZ976" s="233"/>
      <c r="BA976" s="233"/>
      <c r="BB976" s="233"/>
      <c r="BC976" s="233"/>
      <c r="BD976" s="233"/>
      <c r="BE976" s="233"/>
      <c r="BF976" s="233"/>
      <c r="BG976" s="233"/>
      <c r="BH976" s="233"/>
      <c r="BI976" s="233"/>
      <c r="BJ976" s="233"/>
      <c r="BK976" s="233"/>
      <c r="BL976" s="233"/>
      <c r="BM976" s="233"/>
      <c r="BN976" s="233"/>
      <c r="BO976" s="233"/>
      <c r="BP976" s="233"/>
      <c r="BQ976" s="233"/>
      <c r="BR976" s="233"/>
      <c r="BS976" s="233"/>
      <c r="BT976" s="233"/>
      <c r="BU976" s="233"/>
      <c r="BV976" s="233"/>
      <c r="BW976" s="233"/>
      <c r="BX976" s="233"/>
      <c r="BY976" s="233"/>
      <c r="BZ976" s="233"/>
      <c r="CA976" s="233"/>
      <c r="CB976" s="233"/>
      <c r="CC976" s="233"/>
      <c r="CD976" s="233"/>
      <c r="CE976" s="233"/>
      <c r="CF976" s="233"/>
      <c r="CG976" s="233"/>
      <c r="CH976" s="233"/>
      <c r="CI976" s="233"/>
      <c r="CJ976" s="233"/>
      <c r="CK976" s="233"/>
      <c r="CL976" s="233"/>
      <c r="CM976" s="233"/>
      <c r="CN976" s="233"/>
      <c r="CO976" s="233"/>
      <c r="CP976" s="233"/>
      <c r="CQ976" s="233"/>
      <c r="CR976" s="233"/>
      <c r="CS976" s="233"/>
      <c r="CT976" s="233"/>
      <c r="CU976" s="233"/>
      <c r="CV976" s="233"/>
      <c r="CW976" s="233"/>
      <c r="CX976" s="233"/>
      <c r="CY976" s="233"/>
      <c r="CZ976" s="233"/>
      <c r="DA976" s="233"/>
      <c r="DB976" s="233"/>
      <c r="DC976" s="233"/>
      <c r="DD976" s="233"/>
      <c r="DE976" s="233"/>
      <c r="DF976" s="233"/>
      <c r="DG976" s="233"/>
      <c r="DH976" s="233"/>
      <c r="DI976" s="233"/>
      <c r="DJ976" s="233"/>
      <c r="DK976" s="233"/>
      <c r="DL976" s="233"/>
      <c r="DM976" s="233"/>
      <c r="DN976" s="233"/>
      <c r="DO976" s="233"/>
      <c r="DP976" s="233"/>
      <c r="DQ976" s="233"/>
      <c r="DR976" s="233"/>
      <c r="DS976" s="233"/>
      <c r="DT976" s="233"/>
      <c r="DU976" s="233"/>
      <c r="DV976" s="233"/>
      <c r="DW976" s="233"/>
      <c r="DX976" s="233"/>
      <c r="DY976" s="233"/>
      <c r="DZ976" s="233"/>
      <c r="EA976" s="233"/>
      <c r="EB976" s="233"/>
      <c r="EC976" s="233"/>
      <c r="ED976" s="233"/>
      <c r="EE976" s="233"/>
      <c r="EF976" s="233"/>
      <c r="EG976" s="233"/>
      <c r="EH976" s="233"/>
      <c r="EI976" s="233"/>
      <c r="EJ976" s="233"/>
      <c r="EK976" s="233"/>
      <c r="EL976" s="233"/>
      <c r="EM976" s="233"/>
      <c r="EN976" s="233"/>
      <c r="EO976" s="233"/>
      <c r="EP976" s="233"/>
    </row>
    <row r="977" spans="1:146" ht="14.25" x14ac:dyDescent="0.2">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c r="AV977" s="233"/>
      <c r="AW977" s="233"/>
      <c r="AX977" s="233"/>
      <c r="AY977" s="233"/>
      <c r="AZ977" s="233"/>
      <c r="BA977" s="233"/>
      <c r="BB977" s="233"/>
      <c r="BC977" s="233"/>
      <c r="BD977" s="233"/>
      <c r="BE977" s="233"/>
      <c r="BF977" s="233"/>
      <c r="BG977" s="233"/>
      <c r="BH977" s="233"/>
      <c r="BI977" s="233"/>
      <c r="BJ977" s="233"/>
      <c r="BK977" s="233"/>
      <c r="BL977" s="233"/>
      <c r="BM977" s="233"/>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33"/>
      <c r="CI977" s="233"/>
      <c r="CJ977" s="233"/>
      <c r="CK977" s="233"/>
      <c r="CL977" s="233"/>
      <c r="CM977" s="233"/>
      <c r="CN977" s="233"/>
      <c r="CO977" s="233"/>
      <c r="CP977" s="233"/>
      <c r="CQ977" s="233"/>
      <c r="CR977" s="233"/>
      <c r="CS977" s="233"/>
      <c r="CT977" s="233"/>
      <c r="CU977" s="233"/>
      <c r="CV977" s="233"/>
      <c r="CW977" s="233"/>
      <c r="CX977" s="233"/>
      <c r="CY977" s="233"/>
      <c r="CZ977" s="233"/>
      <c r="DA977" s="233"/>
      <c r="DB977" s="233"/>
      <c r="DC977" s="233"/>
      <c r="DD977" s="233"/>
      <c r="DE977" s="233"/>
      <c r="DF977" s="233"/>
      <c r="DG977" s="233"/>
      <c r="DH977" s="233"/>
      <c r="DI977" s="233"/>
      <c r="DJ977" s="233"/>
      <c r="DK977" s="233"/>
      <c r="DL977" s="233"/>
      <c r="DM977" s="233"/>
      <c r="DN977" s="233"/>
      <c r="DO977" s="233"/>
      <c r="DP977" s="233"/>
      <c r="DQ977" s="233"/>
      <c r="DR977" s="233"/>
      <c r="DS977" s="233"/>
      <c r="DT977" s="233"/>
      <c r="DU977" s="233"/>
      <c r="DV977" s="233"/>
      <c r="DW977" s="233"/>
      <c r="DX977" s="233"/>
      <c r="DY977" s="233"/>
      <c r="DZ977" s="233"/>
      <c r="EA977" s="233"/>
      <c r="EB977" s="233"/>
      <c r="EC977" s="233"/>
      <c r="ED977" s="233"/>
      <c r="EE977" s="233"/>
      <c r="EF977" s="233"/>
      <c r="EG977" s="233"/>
      <c r="EH977" s="233"/>
      <c r="EI977" s="233"/>
      <c r="EJ977" s="233"/>
      <c r="EK977" s="233"/>
      <c r="EL977" s="233"/>
      <c r="EM977" s="233"/>
      <c r="EN977" s="233"/>
      <c r="EO977" s="233"/>
      <c r="EP977" s="233"/>
    </row>
    <row r="978" spans="1:146" ht="14.25" x14ac:dyDescent="0.2">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c r="AV978" s="233"/>
      <c r="AW978" s="233"/>
      <c r="AX978" s="233"/>
      <c r="AY978" s="233"/>
      <c r="AZ978" s="233"/>
      <c r="BA978" s="233"/>
      <c r="BB978" s="233"/>
      <c r="BC978" s="233"/>
      <c r="BD978" s="233"/>
      <c r="BE978" s="233"/>
      <c r="BF978" s="233"/>
      <c r="BG978" s="233"/>
      <c r="BH978" s="233"/>
      <c r="BI978" s="233"/>
      <c r="BJ978" s="233"/>
      <c r="BK978" s="233"/>
      <c r="BL978" s="233"/>
      <c r="BM978" s="233"/>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33"/>
      <c r="CI978" s="233"/>
      <c r="CJ978" s="233"/>
      <c r="CK978" s="233"/>
      <c r="CL978" s="233"/>
      <c r="CM978" s="233"/>
      <c r="CN978" s="233"/>
      <c r="CO978" s="233"/>
      <c r="CP978" s="233"/>
      <c r="CQ978" s="233"/>
      <c r="CR978" s="233"/>
      <c r="CS978" s="233"/>
      <c r="CT978" s="233"/>
      <c r="CU978" s="233"/>
      <c r="CV978" s="233"/>
      <c r="CW978" s="233"/>
      <c r="CX978" s="233"/>
      <c r="CY978" s="233"/>
      <c r="CZ978" s="233"/>
      <c r="DA978" s="233"/>
      <c r="DB978" s="233"/>
      <c r="DC978" s="233"/>
      <c r="DD978" s="233"/>
      <c r="DE978" s="233"/>
      <c r="DF978" s="233"/>
      <c r="DG978" s="233"/>
      <c r="DH978" s="233"/>
      <c r="DI978" s="233"/>
      <c r="DJ978" s="233"/>
      <c r="DK978" s="233"/>
      <c r="DL978" s="233"/>
      <c r="DM978" s="233"/>
      <c r="DN978" s="233"/>
      <c r="DO978" s="233"/>
      <c r="DP978" s="233"/>
      <c r="DQ978" s="233"/>
      <c r="DR978" s="233"/>
      <c r="DS978" s="233"/>
      <c r="DT978" s="233"/>
      <c r="DU978" s="233"/>
      <c r="DV978" s="233"/>
      <c r="DW978" s="233"/>
      <c r="DX978" s="233"/>
      <c r="DY978" s="233"/>
      <c r="DZ978" s="233"/>
      <c r="EA978" s="233"/>
      <c r="EB978" s="233"/>
      <c r="EC978" s="233"/>
      <c r="ED978" s="233"/>
      <c r="EE978" s="233"/>
      <c r="EF978" s="233"/>
      <c r="EG978" s="233"/>
      <c r="EH978" s="233"/>
      <c r="EI978" s="233"/>
      <c r="EJ978" s="233"/>
      <c r="EK978" s="233"/>
      <c r="EL978" s="233"/>
      <c r="EM978" s="233"/>
      <c r="EN978" s="233"/>
      <c r="EO978" s="233"/>
      <c r="EP978" s="233"/>
    </row>
    <row r="979" spans="1:146" ht="14.25" x14ac:dyDescent="0.2">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c r="AV979" s="233"/>
      <c r="AW979" s="233"/>
      <c r="AX979" s="233"/>
      <c r="AY979" s="233"/>
      <c r="AZ979" s="233"/>
      <c r="BA979" s="233"/>
      <c r="BB979" s="233"/>
      <c r="BC979" s="233"/>
      <c r="BD979" s="233"/>
      <c r="BE979" s="233"/>
      <c r="BF979" s="233"/>
      <c r="BG979" s="233"/>
      <c r="BH979" s="233"/>
      <c r="BI979" s="233"/>
      <c r="BJ979" s="233"/>
      <c r="BK979" s="233"/>
      <c r="BL979" s="233"/>
      <c r="BM979" s="233"/>
      <c r="BN979" s="233"/>
      <c r="BO979" s="233"/>
      <c r="BP979" s="233"/>
      <c r="BQ979" s="233"/>
      <c r="BR979" s="233"/>
      <c r="BS979" s="233"/>
      <c r="BT979" s="233"/>
      <c r="BU979" s="233"/>
      <c r="BV979" s="233"/>
      <c r="BW979" s="233"/>
      <c r="BX979" s="233"/>
      <c r="BY979" s="233"/>
      <c r="BZ979" s="233"/>
      <c r="CA979" s="233"/>
      <c r="CB979" s="233"/>
      <c r="CC979" s="233"/>
      <c r="CD979" s="233"/>
      <c r="CE979" s="233"/>
      <c r="CF979" s="233"/>
      <c r="CG979" s="233"/>
      <c r="CH979" s="233"/>
      <c r="CI979" s="233"/>
      <c r="CJ979" s="233"/>
      <c r="CK979" s="233"/>
      <c r="CL979" s="233"/>
      <c r="CM979" s="233"/>
      <c r="CN979" s="233"/>
      <c r="CO979" s="233"/>
      <c r="CP979" s="233"/>
      <c r="CQ979" s="233"/>
      <c r="CR979" s="233"/>
      <c r="CS979" s="233"/>
      <c r="CT979" s="233"/>
      <c r="CU979" s="233"/>
      <c r="CV979" s="233"/>
      <c r="CW979" s="233"/>
      <c r="CX979" s="233"/>
      <c r="CY979" s="233"/>
      <c r="CZ979" s="233"/>
      <c r="DA979" s="233"/>
      <c r="DB979" s="233"/>
      <c r="DC979" s="233"/>
      <c r="DD979" s="233"/>
      <c r="DE979" s="233"/>
      <c r="DF979" s="233"/>
      <c r="DG979" s="233"/>
      <c r="DH979" s="233"/>
      <c r="DI979" s="233"/>
      <c r="DJ979" s="233"/>
      <c r="DK979" s="233"/>
      <c r="DL979" s="233"/>
      <c r="DM979" s="233"/>
      <c r="DN979" s="233"/>
      <c r="DO979" s="233"/>
      <c r="DP979" s="233"/>
      <c r="DQ979" s="233"/>
      <c r="DR979" s="233"/>
      <c r="DS979" s="233"/>
      <c r="DT979" s="233"/>
      <c r="DU979" s="233"/>
      <c r="DV979" s="233"/>
      <c r="DW979" s="233"/>
      <c r="DX979" s="233"/>
      <c r="DY979" s="233"/>
      <c r="DZ979" s="233"/>
      <c r="EA979" s="233"/>
      <c r="EB979" s="233"/>
      <c r="EC979" s="233"/>
      <c r="ED979" s="233"/>
      <c r="EE979" s="233"/>
      <c r="EF979" s="233"/>
      <c r="EG979" s="233"/>
      <c r="EH979" s="233"/>
      <c r="EI979" s="233"/>
      <c r="EJ979" s="233"/>
      <c r="EK979" s="233"/>
      <c r="EL979" s="233"/>
      <c r="EM979" s="233"/>
      <c r="EN979" s="233"/>
      <c r="EO979" s="233"/>
      <c r="EP979" s="233"/>
    </row>
    <row r="980" spans="1:146" ht="14.25" x14ac:dyDescent="0.2">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c r="AW980" s="233"/>
      <c r="AX980" s="233"/>
      <c r="AY980" s="233"/>
      <c r="AZ980" s="233"/>
      <c r="BA980" s="233"/>
      <c r="BB980" s="233"/>
      <c r="BC980" s="233"/>
      <c r="BD980" s="233"/>
      <c r="BE980" s="233"/>
      <c r="BF980" s="233"/>
      <c r="BG980" s="233"/>
      <c r="BH980" s="233"/>
      <c r="BI980" s="233"/>
      <c r="BJ980" s="233"/>
      <c r="BK980" s="233"/>
      <c r="BL980" s="233"/>
      <c r="BM980" s="233"/>
      <c r="BN980" s="233"/>
      <c r="BO980" s="233"/>
      <c r="BP980" s="233"/>
      <c r="BQ980" s="233"/>
      <c r="BR980" s="233"/>
      <c r="BS980" s="233"/>
      <c r="BT980" s="233"/>
      <c r="BU980" s="233"/>
      <c r="BV980" s="233"/>
      <c r="BW980" s="233"/>
      <c r="BX980" s="233"/>
      <c r="BY980" s="233"/>
      <c r="BZ980" s="233"/>
      <c r="CA980" s="233"/>
      <c r="CB980" s="233"/>
      <c r="CC980" s="233"/>
      <c r="CD980" s="233"/>
      <c r="CE980" s="233"/>
      <c r="CF980" s="233"/>
      <c r="CG980" s="233"/>
      <c r="CH980" s="233"/>
      <c r="CI980" s="233"/>
      <c r="CJ980" s="233"/>
      <c r="CK980" s="233"/>
      <c r="CL980" s="233"/>
      <c r="CM980" s="233"/>
      <c r="CN980" s="233"/>
      <c r="CO980" s="233"/>
      <c r="CP980" s="233"/>
      <c r="CQ980" s="233"/>
      <c r="CR980" s="233"/>
      <c r="CS980" s="233"/>
      <c r="CT980" s="233"/>
      <c r="CU980" s="233"/>
      <c r="CV980" s="233"/>
      <c r="CW980" s="233"/>
      <c r="CX980" s="233"/>
      <c r="CY980" s="233"/>
      <c r="CZ980" s="233"/>
      <c r="DA980" s="233"/>
      <c r="DB980" s="233"/>
      <c r="DC980" s="233"/>
      <c r="DD980" s="233"/>
      <c r="DE980" s="233"/>
      <c r="DF980" s="233"/>
      <c r="DG980" s="233"/>
      <c r="DH980" s="233"/>
      <c r="DI980" s="233"/>
      <c r="DJ980" s="233"/>
      <c r="DK980" s="233"/>
      <c r="DL980" s="233"/>
      <c r="DM980" s="233"/>
      <c r="DN980" s="233"/>
      <c r="DO980" s="233"/>
      <c r="DP980" s="233"/>
      <c r="DQ980" s="233"/>
      <c r="DR980" s="233"/>
      <c r="DS980" s="233"/>
      <c r="DT980" s="233"/>
      <c r="DU980" s="233"/>
      <c r="DV980" s="233"/>
      <c r="DW980" s="233"/>
      <c r="DX980" s="233"/>
      <c r="DY980" s="233"/>
      <c r="DZ980" s="233"/>
      <c r="EA980" s="233"/>
      <c r="EB980" s="233"/>
      <c r="EC980" s="233"/>
      <c r="ED980" s="233"/>
      <c r="EE980" s="233"/>
      <c r="EF980" s="233"/>
      <c r="EG980" s="233"/>
      <c r="EH980" s="233"/>
      <c r="EI980" s="233"/>
      <c r="EJ980" s="233"/>
      <c r="EK980" s="233"/>
      <c r="EL980" s="233"/>
      <c r="EM980" s="233"/>
      <c r="EN980" s="233"/>
      <c r="EO980" s="233"/>
      <c r="EP980" s="233"/>
    </row>
    <row r="981" spans="1:146" ht="14.25" x14ac:dyDescent="0.2">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c r="AV981" s="233"/>
      <c r="AW981" s="233"/>
      <c r="AX981" s="233"/>
      <c r="AY981" s="233"/>
      <c r="AZ981" s="233"/>
      <c r="BA981" s="233"/>
      <c r="BB981" s="233"/>
      <c r="BC981" s="233"/>
      <c r="BD981" s="233"/>
      <c r="BE981" s="233"/>
      <c r="BF981" s="233"/>
      <c r="BG981" s="233"/>
      <c r="BH981" s="233"/>
      <c r="BI981" s="233"/>
      <c r="BJ981" s="233"/>
      <c r="BK981" s="233"/>
      <c r="BL981" s="233"/>
      <c r="BM981" s="233"/>
      <c r="BN981" s="233"/>
      <c r="BO981" s="233"/>
      <c r="BP981" s="233"/>
      <c r="BQ981" s="233"/>
      <c r="BR981" s="233"/>
      <c r="BS981" s="233"/>
      <c r="BT981" s="233"/>
      <c r="BU981" s="233"/>
      <c r="BV981" s="233"/>
      <c r="BW981" s="233"/>
      <c r="BX981" s="233"/>
      <c r="BY981" s="233"/>
      <c r="BZ981" s="233"/>
      <c r="CA981" s="233"/>
      <c r="CB981" s="233"/>
      <c r="CC981" s="233"/>
      <c r="CD981" s="233"/>
      <c r="CE981" s="233"/>
      <c r="CF981" s="233"/>
      <c r="CG981" s="233"/>
      <c r="CH981" s="233"/>
      <c r="CI981" s="233"/>
      <c r="CJ981" s="233"/>
      <c r="CK981" s="233"/>
      <c r="CL981" s="233"/>
      <c r="CM981" s="233"/>
      <c r="CN981" s="233"/>
      <c r="CO981" s="233"/>
      <c r="CP981" s="233"/>
      <c r="CQ981" s="233"/>
      <c r="CR981" s="233"/>
      <c r="CS981" s="233"/>
      <c r="CT981" s="233"/>
      <c r="CU981" s="233"/>
      <c r="CV981" s="233"/>
      <c r="CW981" s="233"/>
      <c r="CX981" s="233"/>
      <c r="CY981" s="233"/>
      <c r="CZ981" s="233"/>
      <c r="DA981" s="233"/>
      <c r="DB981" s="233"/>
      <c r="DC981" s="233"/>
      <c r="DD981" s="233"/>
      <c r="DE981" s="233"/>
      <c r="DF981" s="233"/>
      <c r="DG981" s="233"/>
      <c r="DH981" s="233"/>
      <c r="DI981" s="233"/>
      <c r="DJ981" s="233"/>
      <c r="DK981" s="233"/>
      <c r="DL981" s="233"/>
      <c r="DM981" s="233"/>
      <c r="DN981" s="233"/>
      <c r="DO981" s="233"/>
      <c r="DP981" s="233"/>
      <c r="DQ981" s="233"/>
      <c r="DR981" s="233"/>
      <c r="DS981" s="233"/>
      <c r="DT981" s="233"/>
      <c r="DU981" s="233"/>
      <c r="DV981" s="233"/>
      <c r="DW981" s="233"/>
      <c r="DX981" s="233"/>
      <c r="DY981" s="233"/>
      <c r="DZ981" s="233"/>
      <c r="EA981" s="233"/>
      <c r="EB981" s="233"/>
      <c r="EC981" s="233"/>
      <c r="ED981" s="233"/>
      <c r="EE981" s="233"/>
      <c r="EF981" s="233"/>
      <c r="EG981" s="233"/>
      <c r="EH981" s="233"/>
      <c r="EI981" s="233"/>
      <c r="EJ981" s="233"/>
      <c r="EK981" s="233"/>
      <c r="EL981" s="233"/>
      <c r="EM981" s="233"/>
      <c r="EN981" s="233"/>
      <c r="EO981" s="233"/>
      <c r="EP981" s="233"/>
    </row>
    <row r="982" spans="1:146" ht="14.25" x14ac:dyDescent="0.2">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c r="AV982" s="233"/>
      <c r="AW982" s="233"/>
      <c r="AX982" s="233"/>
      <c r="AY982" s="233"/>
      <c r="AZ982" s="233"/>
      <c r="BA982" s="233"/>
      <c r="BB982" s="233"/>
      <c r="BC982" s="233"/>
      <c r="BD982" s="233"/>
      <c r="BE982" s="233"/>
      <c r="BF982" s="233"/>
      <c r="BG982" s="233"/>
      <c r="BH982" s="233"/>
      <c r="BI982" s="233"/>
      <c r="BJ982" s="233"/>
      <c r="BK982" s="233"/>
      <c r="BL982" s="233"/>
      <c r="BM982" s="233"/>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33"/>
      <c r="CI982" s="233"/>
      <c r="CJ982" s="233"/>
      <c r="CK982" s="233"/>
      <c r="CL982" s="233"/>
      <c r="CM982" s="233"/>
      <c r="CN982" s="233"/>
      <c r="CO982" s="233"/>
      <c r="CP982" s="233"/>
      <c r="CQ982" s="233"/>
      <c r="CR982" s="233"/>
      <c r="CS982" s="233"/>
      <c r="CT982" s="233"/>
      <c r="CU982" s="233"/>
      <c r="CV982" s="233"/>
      <c r="CW982" s="233"/>
      <c r="CX982" s="233"/>
      <c r="CY982" s="233"/>
      <c r="CZ982" s="233"/>
      <c r="DA982" s="233"/>
      <c r="DB982" s="233"/>
      <c r="DC982" s="233"/>
      <c r="DD982" s="233"/>
      <c r="DE982" s="233"/>
      <c r="DF982" s="233"/>
      <c r="DG982" s="233"/>
      <c r="DH982" s="233"/>
      <c r="DI982" s="233"/>
      <c r="DJ982" s="233"/>
      <c r="DK982" s="233"/>
      <c r="DL982" s="233"/>
      <c r="DM982" s="233"/>
      <c r="DN982" s="233"/>
      <c r="DO982" s="233"/>
      <c r="DP982" s="233"/>
      <c r="DQ982" s="233"/>
      <c r="DR982" s="233"/>
      <c r="DS982" s="233"/>
      <c r="DT982" s="233"/>
      <c r="DU982" s="233"/>
      <c r="DV982" s="233"/>
      <c r="DW982" s="233"/>
      <c r="DX982" s="233"/>
      <c r="DY982" s="233"/>
      <c r="DZ982" s="233"/>
      <c r="EA982" s="233"/>
      <c r="EB982" s="233"/>
      <c r="EC982" s="233"/>
      <c r="ED982" s="233"/>
      <c r="EE982" s="233"/>
      <c r="EF982" s="233"/>
      <c r="EG982" s="233"/>
      <c r="EH982" s="233"/>
      <c r="EI982" s="233"/>
      <c r="EJ982" s="233"/>
      <c r="EK982" s="233"/>
      <c r="EL982" s="233"/>
      <c r="EM982" s="233"/>
      <c r="EN982" s="233"/>
      <c r="EO982" s="233"/>
      <c r="EP982" s="233"/>
    </row>
    <row r="983" spans="1:146" ht="14.25" x14ac:dyDescent="0.2">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c r="AV983" s="233"/>
      <c r="AW983" s="233"/>
      <c r="AX983" s="233"/>
      <c r="AY983" s="233"/>
      <c r="AZ983" s="233"/>
      <c r="BA983" s="233"/>
      <c r="BB983" s="233"/>
      <c r="BC983" s="233"/>
      <c r="BD983" s="233"/>
      <c r="BE983" s="233"/>
      <c r="BF983" s="233"/>
      <c r="BG983" s="233"/>
      <c r="BH983" s="233"/>
      <c r="BI983" s="233"/>
      <c r="BJ983" s="233"/>
      <c r="BK983" s="233"/>
      <c r="BL983" s="233"/>
      <c r="BM983" s="233"/>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33"/>
      <c r="CI983" s="233"/>
      <c r="CJ983" s="233"/>
      <c r="CK983" s="233"/>
      <c r="CL983" s="233"/>
      <c r="CM983" s="233"/>
      <c r="CN983" s="233"/>
      <c r="CO983" s="233"/>
      <c r="CP983" s="233"/>
      <c r="CQ983" s="233"/>
      <c r="CR983" s="233"/>
      <c r="CS983" s="233"/>
      <c r="CT983" s="233"/>
      <c r="CU983" s="233"/>
      <c r="CV983" s="233"/>
      <c r="CW983" s="233"/>
      <c r="CX983" s="233"/>
      <c r="CY983" s="233"/>
      <c r="CZ983" s="233"/>
      <c r="DA983" s="233"/>
      <c r="DB983" s="233"/>
      <c r="DC983" s="233"/>
      <c r="DD983" s="233"/>
      <c r="DE983" s="233"/>
      <c r="DF983" s="233"/>
      <c r="DG983" s="233"/>
      <c r="DH983" s="233"/>
      <c r="DI983" s="233"/>
      <c r="DJ983" s="233"/>
      <c r="DK983" s="233"/>
      <c r="DL983" s="233"/>
      <c r="DM983" s="233"/>
      <c r="DN983" s="233"/>
      <c r="DO983" s="233"/>
      <c r="DP983" s="233"/>
      <c r="DQ983" s="233"/>
      <c r="DR983" s="233"/>
      <c r="DS983" s="233"/>
      <c r="DT983" s="233"/>
      <c r="DU983" s="233"/>
      <c r="DV983" s="233"/>
      <c r="DW983" s="233"/>
      <c r="DX983" s="233"/>
      <c r="DY983" s="233"/>
      <c r="DZ983" s="233"/>
      <c r="EA983" s="233"/>
      <c r="EB983" s="233"/>
      <c r="EC983" s="233"/>
      <c r="ED983" s="233"/>
      <c r="EE983" s="233"/>
      <c r="EF983" s="233"/>
      <c r="EG983" s="233"/>
      <c r="EH983" s="233"/>
      <c r="EI983" s="233"/>
      <c r="EJ983" s="233"/>
      <c r="EK983" s="233"/>
      <c r="EL983" s="233"/>
      <c r="EM983" s="233"/>
      <c r="EN983" s="233"/>
      <c r="EO983" s="233"/>
      <c r="EP983" s="233"/>
    </row>
    <row r="984" spans="1:146" ht="14.25" x14ac:dyDescent="0.2">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c r="AV984" s="233"/>
      <c r="AW984" s="233"/>
      <c r="AX984" s="233"/>
      <c r="AY984" s="233"/>
      <c r="AZ984" s="233"/>
      <c r="BA984" s="233"/>
      <c r="BB984" s="233"/>
      <c r="BC984" s="233"/>
      <c r="BD984" s="233"/>
      <c r="BE984" s="233"/>
      <c r="BF984" s="233"/>
      <c r="BG984" s="233"/>
      <c r="BH984" s="233"/>
      <c r="BI984" s="233"/>
      <c r="BJ984" s="233"/>
      <c r="BK984" s="233"/>
      <c r="BL984" s="233"/>
      <c r="BM984" s="233"/>
      <c r="BN984" s="233"/>
      <c r="BO984" s="233"/>
      <c r="BP984" s="233"/>
      <c r="BQ984" s="233"/>
      <c r="BR984" s="233"/>
      <c r="BS984" s="233"/>
      <c r="BT984" s="233"/>
      <c r="BU984" s="233"/>
      <c r="BV984" s="233"/>
      <c r="BW984" s="233"/>
      <c r="BX984" s="233"/>
      <c r="BY984" s="233"/>
      <c r="BZ984" s="233"/>
      <c r="CA984" s="233"/>
      <c r="CB984" s="233"/>
      <c r="CC984" s="233"/>
      <c r="CD984" s="233"/>
      <c r="CE984" s="233"/>
      <c r="CF984" s="233"/>
      <c r="CG984" s="233"/>
      <c r="CH984" s="233"/>
      <c r="CI984" s="233"/>
      <c r="CJ984" s="233"/>
      <c r="CK984" s="233"/>
      <c r="CL984" s="233"/>
      <c r="CM984" s="233"/>
      <c r="CN984" s="233"/>
      <c r="CO984" s="233"/>
      <c r="CP984" s="233"/>
      <c r="CQ984" s="233"/>
      <c r="CR984" s="233"/>
      <c r="CS984" s="233"/>
      <c r="CT984" s="233"/>
      <c r="CU984" s="233"/>
      <c r="CV984" s="233"/>
      <c r="CW984" s="233"/>
      <c r="CX984" s="233"/>
      <c r="CY984" s="233"/>
      <c r="CZ984" s="233"/>
      <c r="DA984" s="233"/>
      <c r="DB984" s="233"/>
      <c r="DC984" s="233"/>
      <c r="DD984" s="233"/>
      <c r="DE984" s="233"/>
      <c r="DF984" s="233"/>
      <c r="DG984" s="233"/>
      <c r="DH984" s="233"/>
      <c r="DI984" s="233"/>
      <c r="DJ984" s="233"/>
      <c r="DK984" s="233"/>
      <c r="DL984" s="233"/>
      <c r="DM984" s="233"/>
      <c r="DN984" s="233"/>
      <c r="DO984" s="233"/>
      <c r="DP984" s="233"/>
      <c r="DQ984" s="233"/>
      <c r="DR984" s="233"/>
      <c r="DS984" s="233"/>
      <c r="DT984" s="233"/>
      <c r="DU984" s="233"/>
      <c r="DV984" s="233"/>
      <c r="DW984" s="233"/>
      <c r="DX984" s="233"/>
      <c r="DY984" s="233"/>
      <c r="DZ984" s="233"/>
      <c r="EA984" s="233"/>
      <c r="EB984" s="233"/>
      <c r="EC984" s="233"/>
      <c r="ED984" s="233"/>
      <c r="EE984" s="233"/>
      <c r="EF984" s="233"/>
      <c r="EG984" s="233"/>
      <c r="EH984" s="233"/>
      <c r="EI984" s="233"/>
      <c r="EJ984" s="233"/>
      <c r="EK984" s="233"/>
      <c r="EL984" s="233"/>
      <c r="EM984" s="233"/>
      <c r="EN984" s="233"/>
      <c r="EO984" s="233"/>
      <c r="EP984" s="233"/>
    </row>
    <row r="985" spans="1:146" ht="14.25" x14ac:dyDescent="0.2">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c r="AV985" s="233"/>
      <c r="AW985" s="233"/>
      <c r="AX985" s="233"/>
      <c r="AY985" s="233"/>
      <c r="AZ985" s="233"/>
      <c r="BA985" s="233"/>
      <c r="BB985" s="233"/>
      <c r="BC985" s="233"/>
      <c r="BD985" s="233"/>
      <c r="BE985" s="233"/>
      <c r="BF985" s="233"/>
      <c r="BG985" s="233"/>
      <c r="BH985" s="233"/>
      <c r="BI985" s="233"/>
      <c r="BJ985" s="233"/>
      <c r="BK985" s="233"/>
      <c r="BL985" s="233"/>
      <c r="BM985" s="233"/>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33"/>
      <c r="CI985" s="233"/>
      <c r="CJ985" s="233"/>
      <c r="CK985" s="233"/>
      <c r="CL985" s="233"/>
      <c r="CM985" s="233"/>
      <c r="CN985" s="233"/>
      <c r="CO985" s="233"/>
      <c r="CP985" s="233"/>
      <c r="CQ985" s="233"/>
      <c r="CR985" s="233"/>
      <c r="CS985" s="233"/>
      <c r="CT985" s="233"/>
      <c r="CU985" s="233"/>
      <c r="CV985" s="233"/>
      <c r="CW985" s="233"/>
      <c r="CX985" s="233"/>
      <c r="CY985" s="233"/>
      <c r="CZ985" s="233"/>
      <c r="DA985" s="233"/>
      <c r="DB985" s="233"/>
      <c r="DC985" s="233"/>
      <c r="DD985" s="233"/>
      <c r="DE985" s="233"/>
      <c r="DF985" s="233"/>
      <c r="DG985" s="233"/>
      <c r="DH985" s="233"/>
      <c r="DI985" s="233"/>
      <c r="DJ985" s="233"/>
      <c r="DK985" s="233"/>
      <c r="DL985" s="233"/>
      <c r="DM985" s="233"/>
      <c r="DN985" s="233"/>
      <c r="DO985" s="233"/>
      <c r="DP985" s="233"/>
      <c r="DQ985" s="233"/>
      <c r="DR985" s="233"/>
      <c r="DS985" s="233"/>
      <c r="DT985" s="233"/>
      <c r="DU985" s="233"/>
      <c r="DV985" s="233"/>
      <c r="DW985" s="233"/>
      <c r="DX985" s="233"/>
      <c r="DY985" s="233"/>
      <c r="DZ985" s="233"/>
      <c r="EA985" s="233"/>
      <c r="EB985" s="233"/>
      <c r="EC985" s="233"/>
      <c r="ED985" s="233"/>
      <c r="EE985" s="233"/>
      <c r="EF985" s="233"/>
      <c r="EG985" s="233"/>
      <c r="EH985" s="233"/>
      <c r="EI985" s="233"/>
      <c r="EJ985" s="233"/>
      <c r="EK985" s="233"/>
      <c r="EL985" s="233"/>
      <c r="EM985" s="233"/>
      <c r="EN985" s="233"/>
      <c r="EO985" s="233"/>
      <c r="EP985" s="233"/>
    </row>
    <row r="986" spans="1:146" ht="14.25" x14ac:dyDescent="0.2">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c r="AV986" s="233"/>
      <c r="AW986" s="233"/>
      <c r="AX986" s="233"/>
      <c r="AY986" s="233"/>
      <c r="AZ986" s="233"/>
      <c r="BA986" s="233"/>
      <c r="BB986" s="233"/>
      <c r="BC986" s="233"/>
      <c r="BD986" s="233"/>
      <c r="BE986" s="233"/>
      <c r="BF986" s="233"/>
      <c r="BG986" s="233"/>
      <c r="BH986" s="233"/>
      <c r="BI986" s="233"/>
      <c r="BJ986" s="233"/>
      <c r="BK986" s="233"/>
      <c r="BL986" s="233"/>
      <c r="BM986" s="233"/>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33"/>
      <c r="CI986" s="233"/>
      <c r="CJ986" s="233"/>
      <c r="CK986" s="233"/>
      <c r="CL986" s="233"/>
      <c r="CM986" s="233"/>
      <c r="CN986" s="233"/>
      <c r="CO986" s="233"/>
      <c r="CP986" s="233"/>
      <c r="CQ986" s="233"/>
      <c r="CR986" s="233"/>
      <c r="CS986" s="233"/>
      <c r="CT986" s="233"/>
      <c r="CU986" s="233"/>
      <c r="CV986" s="233"/>
      <c r="CW986" s="233"/>
      <c r="CX986" s="233"/>
      <c r="CY986" s="233"/>
      <c r="CZ986" s="233"/>
      <c r="DA986" s="233"/>
      <c r="DB986" s="233"/>
      <c r="DC986" s="233"/>
      <c r="DD986" s="233"/>
      <c r="DE986" s="233"/>
      <c r="DF986" s="233"/>
      <c r="DG986" s="233"/>
      <c r="DH986" s="233"/>
      <c r="DI986" s="233"/>
      <c r="DJ986" s="233"/>
      <c r="DK986" s="233"/>
      <c r="DL986" s="233"/>
      <c r="DM986" s="233"/>
      <c r="DN986" s="233"/>
      <c r="DO986" s="233"/>
      <c r="DP986" s="233"/>
      <c r="DQ986" s="233"/>
      <c r="DR986" s="233"/>
      <c r="DS986" s="233"/>
      <c r="DT986" s="233"/>
      <c r="DU986" s="233"/>
      <c r="DV986" s="233"/>
      <c r="DW986" s="233"/>
      <c r="DX986" s="233"/>
      <c r="DY986" s="233"/>
      <c r="DZ986" s="233"/>
      <c r="EA986" s="233"/>
      <c r="EB986" s="233"/>
      <c r="EC986" s="233"/>
      <c r="ED986" s="233"/>
      <c r="EE986" s="233"/>
      <c r="EF986" s="233"/>
      <c r="EG986" s="233"/>
      <c r="EH986" s="233"/>
      <c r="EI986" s="233"/>
      <c r="EJ986" s="233"/>
      <c r="EK986" s="233"/>
      <c r="EL986" s="233"/>
      <c r="EM986" s="233"/>
      <c r="EN986" s="233"/>
      <c r="EO986" s="233"/>
      <c r="EP986" s="233"/>
    </row>
    <row r="987" spans="1:146" ht="14.25" x14ac:dyDescent="0.2">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233"/>
      <c r="AV987" s="233"/>
      <c r="AW987" s="233"/>
      <c r="AX987" s="233"/>
      <c r="AY987" s="233"/>
      <c r="AZ987" s="233"/>
      <c r="BA987" s="233"/>
      <c r="BB987" s="233"/>
      <c r="BC987" s="233"/>
      <c r="BD987" s="233"/>
      <c r="BE987" s="233"/>
      <c r="BF987" s="233"/>
      <c r="BG987" s="233"/>
      <c r="BH987" s="233"/>
      <c r="BI987" s="233"/>
      <c r="BJ987" s="233"/>
      <c r="BK987" s="233"/>
      <c r="BL987" s="233"/>
      <c r="BM987" s="233"/>
      <c r="BN987" s="233"/>
      <c r="BO987" s="233"/>
      <c r="BP987" s="233"/>
      <c r="BQ987" s="233"/>
      <c r="BR987" s="233"/>
      <c r="BS987" s="233"/>
      <c r="BT987" s="233"/>
      <c r="BU987" s="233"/>
      <c r="BV987" s="233"/>
      <c r="BW987" s="233"/>
      <c r="BX987" s="233"/>
      <c r="BY987" s="233"/>
      <c r="BZ987" s="233"/>
      <c r="CA987" s="233"/>
      <c r="CB987" s="233"/>
      <c r="CC987" s="233"/>
      <c r="CD987" s="233"/>
      <c r="CE987" s="233"/>
      <c r="CF987" s="233"/>
      <c r="CG987" s="233"/>
      <c r="CH987" s="233"/>
      <c r="CI987" s="233"/>
      <c r="CJ987" s="233"/>
      <c r="CK987" s="233"/>
      <c r="CL987" s="233"/>
      <c r="CM987" s="233"/>
      <c r="CN987" s="233"/>
      <c r="CO987" s="233"/>
      <c r="CP987" s="233"/>
      <c r="CQ987" s="233"/>
      <c r="CR987" s="233"/>
      <c r="CS987" s="233"/>
      <c r="CT987" s="233"/>
      <c r="CU987" s="233"/>
      <c r="CV987" s="233"/>
      <c r="CW987" s="233"/>
      <c r="CX987" s="233"/>
      <c r="CY987" s="233"/>
      <c r="CZ987" s="233"/>
      <c r="DA987" s="233"/>
      <c r="DB987" s="233"/>
      <c r="DC987" s="233"/>
      <c r="DD987" s="233"/>
      <c r="DE987" s="233"/>
      <c r="DF987" s="233"/>
      <c r="DG987" s="233"/>
      <c r="DH987" s="233"/>
      <c r="DI987" s="233"/>
      <c r="DJ987" s="233"/>
      <c r="DK987" s="233"/>
      <c r="DL987" s="233"/>
      <c r="DM987" s="233"/>
      <c r="DN987" s="233"/>
      <c r="DO987" s="233"/>
      <c r="DP987" s="233"/>
      <c r="DQ987" s="233"/>
      <c r="DR987" s="233"/>
      <c r="DS987" s="233"/>
      <c r="DT987" s="233"/>
      <c r="DU987" s="233"/>
      <c r="DV987" s="233"/>
      <c r="DW987" s="233"/>
      <c r="DX987" s="233"/>
      <c r="DY987" s="233"/>
      <c r="DZ987" s="233"/>
      <c r="EA987" s="233"/>
      <c r="EB987" s="233"/>
      <c r="EC987" s="233"/>
      <c r="ED987" s="233"/>
      <c r="EE987" s="233"/>
      <c r="EF987" s="233"/>
      <c r="EG987" s="233"/>
      <c r="EH987" s="233"/>
      <c r="EI987" s="233"/>
      <c r="EJ987" s="233"/>
      <c r="EK987" s="233"/>
      <c r="EL987" s="233"/>
      <c r="EM987" s="233"/>
      <c r="EN987" s="233"/>
      <c r="EO987" s="233"/>
      <c r="EP987" s="233"/>
    </row>
    <row r="988" spans="1:146" ht="14.25" x14ac:dyDescent="0.2">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c r="AV988" s="233"/>
      <c r="AW988" s="233"/>
      <c r="AX988" s="233"/>
      <c r="AY988" s="233"/>
      <c r="AZ988" s="233"/>
      <c r="BA988" s="233"/>
      <c r="BB988" s="233"/>
      <c r="BC988" s="233"/>
      <c r="BD988" s="233"/>
      <c r="BE988" s="233"/>
      <c r="BF988" s="233"/>
      <c r="BG988" s="233"/>
      <c r="BH988" s="233"/>
      <c r="BI988" s="233"/>
      <c r="BJ988" s="233"/>
      <c r="BK988" s="233"/>
      <c r="BL988" s="233"/>
      <c r="BM988" s="233"/>
      <c r="BN988" s="233"/>
      <c r="BO988" s="233"/>
      <c r="BP988" s="233"/>
      <c r="BQ988" s="233"/>
      <c r="BR988" s="233"/>
      <c r="BS988" s="233"/>
      <c r="BT988" s="233"/>
      <c r="BU988" s="233"/>
      <c r="BV988" s="233"/>
      <c r="BW988" s="233"/>
      <c r="BX988" s="233"/>
      <c r="BY988" s="233"/>
      <c r="BZ988" s="233"/>
      <c r="CA988" s="233"/>
      <c r="CB988" s="233"/>
      <c r="CC988" s="233"/>
      <c r="CD988" s="233"/>
      <c r="CE988" s="233"/>
      <c r="CF988" s="233"/>
      <c r="CG988" s="233"/>
      <c r="CH988" s="233"/>
      <c r="CI988" s="233"/>
      <c r="CJ988" s="233"/>
      <c r="CK988" s="233"/>
      <c r="CL988" s="233"/>
      <c r="CM988" s="233"/>
      <c r="CN988" s="233"/>
      <c r="CO988" s="233"/>
      <c r="CP988" s="233"/>
      <c r="CQ988" s="233"/>
      <c r="CR988" s="233"/>
      <c r="CS988" s="233"/>
      <c r="CT988" s="233"/>
      <c r="CU988" s="233"/>
      <c r="CV988" s="233"/>
      <c r="CW988" s="233"/>
      <c r="CX988" s="233"/>
      <c r="CY988" s="233"/>
      <c r="CZ988" s="233"/>
      <c r="DA988" s="233"/>
      <c r="DB988" s="233"/>
      <c r="DC988" s="233"/>
      <c r="DD988" s="233"/>
      <c r="DE988" s="233"/>
      <c r="DF988" s="233"/>
      <c r="DG988" s="233"/>
      <c r="DH988" s="233"/>
      <c r="DI988" s="233"/>
      <c r="DJ988" s="233"/>
      <c r="DK988" s="233"/>
      <c r="DL988" s="233"/>
      <c r="DM988" s="233"/>
      <c r="DN988" s="233"/>
      <c r="DO988" s="233"/>
      <c r="DP988" s="233"/>
      <c r="DQ988" s="233"/>
      <c r="DR988" s="233"/>
      <c r="DS988" s="233"/>
      <c r="DT988" s="233"/>
      <c r="DU988" s="233"/>
      <c r="DV988" s="233"/>
      <c r="DW988" s="233"/>
      <c r="DX988" s="233"/>
      <c r="DY988" s="233"/>
      <c r="DZ988" s="233"/>
      <c r="EA988" s="233"/>
      <c r="EB988" s="233"/>
      <c r="EC988" s="233"/>
      <c r="ED988" s="233"/>
      <c r="EE988" s="233"/>
      <c r="EF988" s="233"/>
      <c r="EG988" s="233"/>
      <c r="EH988" s="233"/>
      <c r="EI988" s="233"/>
      <c r="EJ988" s="233"/>
      <c r="EK988" s="233"/>
      <c r="EL988" s="233"/>
      <c r="EM988" s="233"/>
      <c r="EN988" s="233"/>
      <c r="EO988" s="233"/>
      <c r="EP988" s="233"/>
    </row>
    <row r="989" spans="1:146" ht="14.25" x14ac:dyDescent="0.2">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c r="AV989" s="233"/>
      <c r="AW989" s="233"/>
      <c r="AX989" s="233"/>
      <c r="AY989" s="233"/>
      <c r="AZ989" s="233"/>
      <c r="BA989" s="233"/>
      <c r="BB989" s="233"/>
      <c r="BC989" s="233"/>
      <c r="BD989" s="233"/>
      <c r="BE989" s="233"/>
      <c r="BF989" s="233"/>
      <c r="BG989" s="233"/>
      <c r="BH989" s="233"/>
      <c r="BI989" s="233"/>
      <c r="BJ989" s="233"/>
      <c r="BK989" s="233"/>
      <c r="BL989" s="233"/>
      <c r="BM989" s="233"/>
      <c r="BN989" s="233"/>
      <c r="BO989" s="233"/>
      <c r="BP989" s="233"/>
      <c r="BQ989" s="233"/>
      <c r="BR989" s="233"/>
      <c r="BS989" s="233"/>
      <c r="BT989" s="233"/>
      <c r="BU989" s="233"/>
      <c r="BV989" s="233"/>
      <c r="BW989" s="233"/>
      <c r="BX989" s="233"/>
      <c r="BY989" s="233"/>
      <c r="BZ989" s="233"/>
      <c r="CA989" s="233"/>
      <c r="CB989" s="233"/>
      <c r="CC989" s="233"/>
      <c r="CD989" s="233"/>
      <c r="CE989" s="233"/>
      <c r="CF989" s="233"/>
      <c r="CG989" s="233"/>
      <c r="CH989" s="233"/>
      <c r="CI989" s="233"/>
      <c r="CJ989" s="233"/>
      <c r="CK989" s="233"/>
      <c r="CL989" s="233"/>
      <c r="CM989" s="233"/>
      <c r="CN989" s="233"/>
      <c r="CO989" s="233"/>
      <c r="CP989" s="233"/>
      <c r="CQ989" s="233"/>
      <c r="CR989" s="233"/>
      <c r="CS989" s="233"/>
      <c r="CT989" s="233"/>
      <c r="CU989" s="233"/>
      <c r="CV989" s="233"/>
      <c r="CW989" s="233"/>
      <c r="CX989" s="233"/>
      <c r="CY989" s="233"/>
      <c r="CZ989" s="233"/>
      <c r="DA989" s="233"/>
      <c r="DB989" s="233"/>
      <c r="DC989" s="233"/>
      <c r="DD989" s="233"/>
      <c r="DE989" s="233"/>
      <c r="DF989" s="233"/>
      <c r="DG989" s="233"/>
      <c r="DH989" s="233"/>
      <c r="DI989" s="233"/>
      <c r="DJ989" s="233"/>
      <c r="DK989" s="233"/>
      <c r="DL989" s="233"/>
      <c r="DM989" s="233"/>
      <c r="DN989" s="233"/>
      <c r="DO989" s="233"/>
      <c r="DP989" s="233"/>
      <c r="DQ989" s="233"/>
      <c r="DR989" s="233"/>
      <c r="DS989" s="233"/>
      <c r="DT989" s="233"/>
      <c r="DU989" s="233"/>
      <c r="DV989" s="233"/>
      <c r="DW989" s="233"/>
      <c r="DX989" s="233"/>
      <c r="DY989" s="233"/>
      <c r="DZ989" s="233"/>
      <c r="EA989" s="233"/>
      <c r="EB989" s="233"/>
      <c r="EC989" s="233"/>
      <c r="ED989" s="233"/>
      <c r="EE989" s="233"/>
      <c r="EF989" s="233"/>
      <c r="EG989" s="233"/>
      <c r="EH989" s="233"/>
      <c r="EI989" s="233"/>
      <c r="EJ989" s="233"/>
      <c r="EK989" s="233"/>
      <c r="EL989" s="233"/>
      <c r="EM989" s="233"/>
      <c r="EN989" s="233"/>
      <c r="EO989" s="233"/>
      <c r="EP989" s="233"/>
    </row>
    <row r="990" spans="1:146" ht="14.25" x14ac:dyDescent="0.2">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c r="AW990" s="233"/>
      <c r="AX990" s="233"/>
      <c r="AY990" s="233"/>
      <c r="AZ990" s="233"/>
      <c r="BA990" s="233"/>
      <c r="BB990" s="233"/>
      <c r="BC990" s="233"/>
      <c r="BD990" s="233"/>
      <c r="BE990" s="233"/>
      <c r="BF990" s="233"/>
      <c r="BG990" s="233"/>
      <c r="BH990" s="233"/>
      <c r="BI990" s="233"/>
      <c r="BJ990" s="233"/>
      <c r="BK990" s="233"/>
      <c r="BL990" s="233"/>
      <c r="BM990" s="233"/>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33"/>
      <c r="CI990" s="233"/>
      <c r="CJ990" s="233"/>
      <c r="CK990" s="233"/>
      <c r="CL990" s="233"/>
      <c r="CM990" s="233"/>
      <c r="CN990" s="233"/>
      <c r="CO990" s="233"/>
      <c r="CP990" s="233"/>
      <c r="CQ990" s="233"/>
      <c r="CR990" s="233"/>
      <c r="CS990" s="233"/>
      <c r="CT990" s="233"/>
      <c r="CU990" s="233"/>
      <c r="CV990" s="233"/>
      <c r="CW990" s="233"/>
      <c r="CX990" s="233"/>
      <c r="CY990" s="233"/>
      <c r="CZ990" s="233"/>
      <c r="DA990" s="233"/>
      <c r="DB990" s="233"/>
      <c r="DC990" s="233"/>
      <c r="DD990" s="233"/>
      <c r="DE990" s="233"/>
      <c r="DF990" s="233"/>
      <c r="DG990" s="233"/>
      <c r="DH990" s="233"/>
      <c r="DI990" s="233"/>
      <c r="DJ990" s="233"/>
      <c r="DK990" s="233"/>
      <c r="DL990" s="233"/>
      <c r="DM990" s="233"/>
      <c r="DN990" s="233"/>
      <c r="DO990" s="233"/>
      <c r="DP990" s="233"/>
      <c r="DQ990" s="233"/>
      <c r="DR990" s="233"/>
      <c r="DS990" s="233"/>
      <c r="DT990" s="233"/>
      <c r="DU990" s="233"/>
      <c r="DV990" s="233"/>
      <c r="DW990" s="233"/>
      <c r="DX990" s="233"/>
      <c r="DY990" s="233"/>
      <c r="DZ990" s="233"/>
      <c r="EA990" s="233"/>
      <c r="EB990" s="233"/>
      <c r="EC990" s="233"/>
      <c r="ED990" s="233"/>
      <c r="EE990" s="233"/>
      <c r="EF990" s="233"/>
      <c r="EG990" s="233"/>
      <c r="EH990" s="233"/>
      <c r="EI990" s="233"/>
      <c r="EJ990" s="233"/>
      <c r="EK990" s="233"/>
      <c r="EL990" s="233"/>
      <c r="EM990" s="233"/>
      <c r="EN990" s="233"/>
      <c r="EO990" s="233"/>
      <c r="EP990" s="233"/>
    </row>
    <row r="991" spans="1:146" ht="14.25" x14ac:dyDescent="0.2">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c r="AV991" s="233"/>
      <c r="AW991" s="233"/>
      <c r="AX991" s="233"/>
      <c r="AY991" s="233"/>
      <c r="AZ991" s="233"/>
      <c r="BA991" s="233"/>
      <c r="BB991" s="233"/>
      <c r="BC991" s="233"/>
      <c r="BD991" s="233"/>
      <c r="BE991" s="233"/>
      <c r="BF991" s="233"/>
      <c r="BG991" s="233"/>
      <c r="BH991" s="233"/>
      <c r="BI991" s="233"/>
      <c r="BJ991" s="233"/>
      <c r="BK991" s="233"/>
      <c r="BL991" s="233"/>
      <c r="BM991" s="233"/>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33"/>
      <c r="CI991" s="233"/>
      <c r="CJ991" s="233"/>
      <c r="CK991" s="233"/>
      <c r="CL991" s="233"/>
      <c r="CM991" s="233"/>
      <c r="CN991" s="233"/>
      <c r="CO991" s="233"/>
      <c r="CP991" s="233"/>
      <c r="CQ991" s="233"/>
      <c r="CR991" s="233"/>
      <c r="CS991" s="233"/>
      <c r="CT991" s="233"/>
      <c r="CU991" s="233"/>
      <c r="CV991" s="233"/>
      <c r="CW991" s="233"/>
      <c r="CX991" s="233"/>
      <c r="CY991" s="233"/>
      <c r="CZ991" s="233"/>
      <c r="DA991" s="233"/>
      <c r="DB991" s="233"/>
      <c r="DC991" s="233"/>
      <c r="DD991" s="233"/>
      <c r="DE991" s="233"/>
      <c r="DF991" s="233"/>
      <c r="DG991" s="233"/>
      <c r="DH991" s="233"/>
      <c r="DI991" s="233"/>
      <c r="DJ991" s="233"/>
      <c r="DK991" s="233"/>
      <c r="DL991" s="233"/>
      <c r="DM991" s="233"/>
      <c r="DN991" s="233"/>
      <c r="DO991" s="233"/>
      <c r="DP991" s="233"/>
      <c r="DQ991" s="233"/>
      <c r="DR991" s="233"/>
      <c r="DS991" s="233"/>
      <c r="DT991" s="233"/>
      <c r="DU991" s="233"/>
      <c r="DV991" s="233"/>
      <c r="DW991" s="233"/>
      <c r="DX991" s="233"/>
      <c r="DY991" s="233"/>
      <c r="DZ991" s="233"/>
      <c r="EA991" s="233"/>
      <c r="EB991" s="233"/>
      <c r="EC991" s="233"/>
      <c r="ED991" s="233"/>
      <c r="EE991" s="233"/>
      <c r="EF991" s="233"/>
      <c r="EG991" s="233"/>
      <c r="EH991" s="233"/>
      <c r="EI991" s="233"/>
      <c r="EJ991" s="233"/>
      <c r="EK991" s="233"/>
      <c r="EL991" s="233"/>
      <c r="EM991" s="233"/>
      <c r="EN991" s="233"/>
      <c r="EO991" s="233"/>
      <c r="EP991" s="233"/>
    </row>
    <row r="992" spans="1:146" ht="14.25" x14ac:dyDescent="0.2">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c r="AV992" s="233"/>
      <c r="AW992" s="233"/>
      <c r="AX992" s="233"/>
      <c r="AY992" s="233"/>
      <c r="AZ992" s="233"/>
      <c r="BA992" s="233"/>
      <c r="BB992" s="233"/>
      <c r="BC992" s="233"/>
      <c r="BD992" s="233"/>
      <c r="BE992" s="233"/>
      <c r="BF992" s="233"/>
      <c r="BG992" s="233"/>
      <c r="BH992" s="233"/>
      <c r="BI992" s="233"/>
      <c r="BJ992" s="233"/>
      <c r="BK992" s="233"/>
      <c r="BL992" s="233"/>
      <c r="BM992" s="233"/>
      <c r="BN992" s="233"/>
      <c r="BO992" s="233"/>
      <c r="BP992" s="233"/>
      <c r="BQ992" s="233"/>
      <c r="BR992" s="233"/>
      <c r="BS992" s="233"/>
      <c r="BT992" s="233"/>
      <c r="BU992" s="233"/>
      <c r="BV992" s="233"/>
      <c r="BW992" s="233"/>
      <c r="BX992" s="233"/>
      <c r="BY992" s="233"/>
      <c r="BZ992" s="233"/>
      <c r="CA992" s="233"/>
      <c r="CB992" s="233"/>
      <c r="CC992" s="233"/>
      <c r="CD992" s="233"/>
      <c r="CE992" s="233"/>
      <c r="CF992" s="233"/>
      <c r="CG992" s="233"/>
      <c r="CH992" s="233"/>
      <c r="CI992" s="233"/>
      <c r="CJ992" s="233"/>
      <c r="CK992" s="233"/>
      <c r="CL992" s="233"/>
      <c r="CM992" s="233"/>
      <c r="CN992" s="233"/>
      <c r="CO992" s="233"/>
      <c r="CP992" s="233"/>
      <c r="CQ992" s="233"/>
      <c r="CR992" s="233"/>
      <c r="CS992" s="233"/>
      <c r="CT992" s="233"/>
      <c r="CU992" s="233"/>
      <c r="CV992" s="233"/>
      <c r="CW992" s="233"/>
      <c r="CX992" s="233"/>
      <c r="CY992" s="233"/>
      <c r="CZ992" s="233"/>
      <c r="DA992" s="233"/>
      <c r="DB992" s="233"/>
      <c r="DC992" s="233"/>
      <c r="DD992" s="233"/>
      <c r="DE992" s="233"/>
      <c r="DF992" s="233"/>
      <c r="DG992" s="233"/>
      <c r="DH992" s="233"/>
      <c r="DI992" s="233"/>
      <c r="DJ992" s="233"/>
      <c r="DK992" s="233"/>
      <c r="DL992" s="233"/>
      <c r="DM992" s="233"/>
      <c r="DN992" s="233"/>
      <c r="DO992" s="233"/>
      <c r="DP992" s="233"/>
      <c r="DQ992" s="233"/>
      <c r="DR992" s="233"/>
      <c r="DS992" s="233"/>
      <c r="DT992" s="233"/>
      <c r="DU992" s="233"/>
      <c r="DV992" s="233"/>
      <c r="DW992" s="233"/>
      <c r="DX992" s="233"/>
      <c r="DY992" s="233"/>
      <c r="DZ992" s="233"/>
      <c r="EA992" s="233"/>
      <c r="EB992" s="233"/>
      <c r="EC992" s="233"/>
      <c r="ED992" s="233"/>
      <c r="EE992" s="233"/>
      <c r="EF992" s="233"/>
      <c r="EG992" s="233"/>
      <c r="EH992" s="233"/>
      <c r="EI992" s="233"/>
      <c r="EJ992" s="233"/>
      <c r="EK992" s="233"/>
      <c r="EL992" s="233"/>
      <c r="EM992" s="233"/>
      <c r="EN992" s="233"/>
      <c r="EO992" s="233"/>
      <c r="EP992" s="233"/>
    </row>
    <row r="993" spans="1:146" ht="14.25" x14ac:dyDescent="0.2">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c r="AS993" s="233"/>
      <c r="AT993" s="233"/>
      <c r="AU993" s="233"/>
      <c r="AV993" s="233"/>
      <c r="AW993" s="233"/>
      <c r="AX993" s="233"/>
      <c r="AY993" s="233"/>
      <c r="AZ993" s="233"/>
      <c r="BA993" s="233"/>
      <c r="BB993" s="233"/>
      <c r="BC993" s="233"/>
      <c r="BD993" s="233"/>
      <c r="BE993" s="233"/>
      <c r="BF993" s="233"/>
      <c r="BG993" s="233"/>
      <c r="BH993" s="233"/>
      <c r="BI993" s="233"/>
      <c r="BJ993" s="233"/>
      <c r="BK993" s="233"/>
      <c r="BL993" s="233"/>
      <c r="BM993" s="233"/>
      <c r="BN993" s="233"/>
      <c r="BO993" s="233"/>
      <c r="BP993" s="233"/>
      <c r="BQ993" s="233"/>
      <c r="BR993" s="233"/>
      <c r="BS993" s="233"/>
      <c r="BT993" s="233"/>
      <c r="BU993" s="233"/>
      <c r="BV993" s="233"/>
      <c r="BW993" s="233"/>
      <c r="BX993" s="233"/>
      <c r="BY993" s="233"/>
      <c r="BZ993" s="233"/>
      <c r="CA993" s="233"/>
      <c r="CB993" s="233"/>
      <c r="CC993" s="233"/>
      <c r="CD993" s="233"/>
      <c r="CE993" s="233"/>
      <c r="CF993" s="233"/>
      <c r="CG993" s="233"/>
      <c r="CH993" s="233"/>
      <c r="CI993" s="233"/>
      <c r="CJ993" s="233"/>
      <c r="CK993" s="233"/>
      <c r="CL993" s="233"/>
      <c r="CM993" s="233"/>
      <c r="CN993" s="233"/>
      <c r="CO993" s="233"/>
      <c r="CP993" s="233"/>
      <c r="CQ993" s="233"/>
      <c r="CR993" s="233"/>
      <c r="CS993" s="233"/>
      <c r="CT993" s="233"/>
      <c r="CU993" s="233"/>
      <c r="CV993" s="233"/>
      <c r="CW993" s="233"/>
      <c r="CX993" s="233"/>
      <c r="CY993" s="233"/>
      <c r="CZ993" s="233"/>
      <c r="DA993" s="233"/>
      <c r="DB993" s="233"/>
      <c r="DC993" s="233"/>
      <c r="DD993" s="233"/>
      <c r="DE993" s="233"/>
      <c r="DF993" s="233"/>
      <c r="DG993" s="233"/>
      <c r="DH993" s="233"/>
      <c r="DI993" s="233"/>
      <c r="DJ993" s="233"/>
      <c r="DK993" s="233"/>
      <c r="DL993" s="233"/>
      <c r="DM993" s="233"/>
      <c r="DN993" s="233"/>
      <c r="DO993" s="233"/>
      <c r="DP993" s="233"/>
      <c r="DQ993" s="233"/>
      <c r="DR993" s="233"/>
      <c r="DS993" s="233"/>
      <c r="DT993" s="233"/>
      <c r="DU993" s="233"/>
      <c r="DV993" s="233"/>
      <c r="DW993" s="233"/>
      <c r="DX993" s="233"/>
      <c r="DY993" s="233"/>
      <c r="DZ993" s="233"/>
      <c r="EA993" s="233"/>
      <c r="EB993" s="233"/>
      <c r="EC993" s="233"/>
      <c r="ED993" s="233"/>
      <c r="EE993" s="233"/>
      <c r="EF993" s="233"/>
      <c r="EG993" s="233"/>
      <c r="EH993" s="233"/>
      <c r="EI993" s="233"/>
      <c r="EJ993" s="233"/>
      <c r="EK993" s="233"/>
      <c r="EL993" s="233"/>
      <c r="EM993" s="233"/>
      <c r="EN993" s="233"/>
      <c r="EO993" s="233"/>
      <c r="EP993" s="233"/>
    </row>
    <row r="994" spans="1:146" ht="14.25" x14ac:dyDescent="0.2">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c r="AV994" s="233"/>
      <c r="AW994" s="233"/>
      <c r="AX994" s="233"/>
      <c r="AY994" s="233"/>
      <c r="AZ994" s="233"/>
      <c r="BA994" s="233"/>
      <c r="BB994" s="233"/>
      <c r="BC994" s="233"/>
      <c r="BD994" s="233"/>
      <c r="BE994" s="233"/>
      <c r="BF994" s="233"/>
      <c r="BG994" s="233"/>
      <c r="BH994" s="233"/>
      <c r="BI994" s="233"/>
      <c r="BJ994" s="233"/>
      <c r="BK994" s="233"/>
      <c r="BL994" s="233"/>
      <c r="BM994" s="233"/>
      <c r="BN994" s="233"/>
      <c r="BO994" s="233"/>
      <c r="BP994" s="233"/>
      <c r="BQ994" s="233"/>
      <c r="BR994" s="233"/>
      <c r="BS994" s="233"/>
      <c r="BT994" s="233"/>
      <c r="BU994" s="233"/>
      <c r="BV994" s="233"/>
      <c r="BW994" s="233"/>
      <c r="BX994" s="233"/>
      <c r="BY994" s="233"/>
      <c r="BZ994" s="233"/>
      <c r="CA994" s="233"/>
      <c r="CB994" s="233"/>
      <c r="CC994" s="233"/>
      <c r="CD994" s="233"/>
      <c r="CE994" s="233"/>
      <c r="CF994" s="233"/>
      <c r="CG994" s="233"/>
      <c r="CH994" s="233"/>
      <c r="CI994" s="233"/>
      <c r="CJ994" s="233"/>
      <c r="CK994" s="233"/>
      <c r="CL994" s="233"/>
      <c r="CM994" s="233"/>
      <c r="CN994" s="233"/>
      <c r="CO994" s="233"/>
      <c r="CP994" s="233"/>
      <c r="CQ994" s="233"/>
      <c r="CR994" s="233"/>
      <c r="CS994" s="233"/>
      <c r="CT994" s="233"/>
      <c r="CU994" s="233"/>
      <c r="CV994" s="233"/>
      <c r="CW994" s="233"/>
      <c r="CX994" s="233"/>
      <c r="CY994" s="233"/>
      <c r="CZ994" s="233"/>
      <c r="DA994" s="233"/>
      <c r="DB994" s="233"/>
      <c r="DC994" s="233"/>
      <c r="DD994" s="233"/>
      <c r="DE994" s="233"/>
      <c r="DF994" s="233"/>
      <c r="DG994" s="233"/>
      <c r="DH994" s="233"/>
      <c r="DI994" s="233"/>
      <c r="DJ994" s="233"/>
      <c r="DK994" s="233"/>
      <c r="DL994" s="233"/>
      <c r="DM994" s="233"/>
      <c r="DN994" s="233"/>
      <c r="DO994" s="233"/>
      <c r="DP994" s="233"/>
      <c r="DQ994" s="233"/>
      <c r="DR994" s="233"/>
      <c r="DS994" s="233"/>
      <c r="DT994" s="233"/>
      <c r="DU994" s="233"/>
      <c r="DV994" s="233"/>
      <c r="DW994" s="233"/>
      <c r="DX994" s="233"/>
      <c r="DY994" s="233"/>
      <c r="DZ994" s="233"/>
      <c r="EA994" s="233"/>
      <c r="EB994" s="233"/>
      <c r="EC994" s="233"/>
      <c r="ED994" s="233"/>
      <c r="EE994" s="233"/>
      <c r="EF994" s="233"/>
      <c r="EG994" s="233"/>
      <c r="EH994" s="233"/>
      <c r="EI994" s="233"/>
      <c r="EJ994" s="233"/>
      <c r="EK994" s="233"/>
      <c r="EL994" s="233"/>
      <c r="EM994" s="233"/>
      <c r="EN994" s="233"/>
      <c r="EO994" s="233"/>
      <c r="EP994" s="233"/>
    </row>
    <row r="995" spans="1:146" ht="14.25" x14ac:dyDescent="0.2">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c r="AV995" s="233"/>
      <c r="AW995" s="233"/>
      <c r="AX995" s="233"/>
      <c r="AY995" s="233"/>
      <c r="AZ995" s="233"/>
      <c r="BA995" s="233"/>
      <c r="BB995" s="233"/>
      <c r="BC995" s="233"/>
      <c r="BD995" s="233"/>
      <c r="BE995" s="233"/>
      <c r="BF995" s="233"/>
      <c r="BG995" s="233"/>
      <c r="BH995" s="233"/>
      <c r="BI995" s="233"/>
      <c r="BJ995" s="233"/>
      <c r="BK995" s="233"/>
      <c r="BL995" s="233"/>
      <c r="BM995" s="233"/>
      <c r="BN995" s="233"/>
      <c r="BO995" s="233"/>
      <c r="BP995" s="233"/>
      <c r="BQ995" s="233"/>
      <c r="BR995" s="233"/>
      <c r="BS995" s="233"/>
      <c r="BT995" s="233"/>
      <c r="BU995" s="233"/>
      <c r="BV995" s="233"/>
      <c r="BW995" s="233"/>
      <c r="BX995" s="233"/>
      <c r="BY995" s="233"/>
      <c r="BZ995" s="233"/>
      <c r="CA995" s="233"/>
      <c r="CB995" s="233"/>
      <c r="CC995" s="233"/>
      <c r="CD995" s="233"/>
      <c r="CE995" s="233"/>
      <c r="CF995" s="233"/>
      <c r="CG995" s="233"/>
      <c r="CH995" s="233"/>
      <c r="CI995" s="233"/>
      <c r="CJ995" s="233"/>
      <c r="CK995" s="233"/>
      <c r="CL995" s="233"/>
      <c r="CM995" s="233"/>
      <c r="CN995" s="233"/>
      <c r="CO995" s="233"/>
      <c r="CP995" s="233"/>
      <c r="CQ995" s="233"/>
      <c r="CR995" s="233"/>
      <c r="CS995" s="233"/>
      <c r="CT995" s="233"/>
      <c r="CU995" s="233"/>
      <c r="CV995" s="233"/>
      <c r="CW995" s="233"/>
      <c r="CX995" s="233"/>
      <c r="CY995" s="233"/>
      <c r="CZ995" s="233"/>
      <c r="DA995" s="233"/>
      <c r="DB995" s="233"/>
      <c r="DC995" s="233"/>
      <c r="DD995" s="233"/>
      <c r="DE995" s="233"/>
      <c r="DF995" s="233"/>
      <c r="DG995" s="233"/>
      <c r="DH995" s="233"/>
      <c r="DI995" s="233"/>
      <c r="DJ995" s="233"/>
      <c r="DK995" s="233"/>
      <c r="DL995" s="233"/>
      <c r="DM995" s="233"/>
      <c r="DN995" s="233"/>
      <c r="DO995" s="233"/>
      <c r="DP995" s="233"/>
      <c r="DQ995" s="233"/>
      <c r="DR995" s="233"/>
      <c r="DS995" s="233"/>
      <c r="DT995" s="233"/>
      <c r="DU995" s="233"/>
      <c r="DV995" s="233"/>
      <c r="DW995" s="233"/>
      <c r="DX995" s="233"/>
      <c r="DY995" s="233"/>
      <c r="DZ995" s="233"/>
      <c r="EA995" s="233"/>
      <c r="EB995" s="233"/>
      <c r="EC995" s="233"/>
      <c r="ED995" s="233"/>
      <c r="EE995" s="233"/>
      <c r="EF995" s="233"/>
      <c r="EG995" s="233"/>
      <c r="EH995" s="233"/>
      <c r="EI995" s="233"/>
      <c r="EJ995" s="233"/>
      <c r="EK995" s="233"/>
      <c r="EL995" s="233"/>
      <c r="EM995" s="233"/>
      <c r="EN995" s="233"/>
      <c r="EO995" s="233"/>
      <c r="EP995" s="233"/>
    </row>
    <row r="996" spans="1:146" ht="14.25" x14ac:dyDescent="0.2">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c r="AV996" s="233"/>
      <c r="AW996" s="233"/>
      <c r="AX996" s="233"/>
      <c r="AY996" s="233"/>
      <c r="AZ996" s="233"/>
      <c r="BA996" s="233"/>
      <c r="BB996" s="233"/>
      <c r="BC996" s="233"/>
      <c r="BD996" s="233"/>
      <c r="BE996" s="233"/>
      <c r="BF996" s="233"/>
      <c r="BG996" s="233"/>
      <c r="BH996" s="233"/>
      <c r="BI996" s="233"/>
      <c r="BJ996" s="233"/>
      <c r="BK996" s="233"/>
      <c r="BL996" s="233"/>
      <c r="BM996" s="233"/>
      <c r="BN996" s="233"/>
      <c r="BO996" s="233"/>
      <c r="BP996" s="233"/>
      <c r="BQ996" s="233"/>
      <c r="BR996" s="233"/>
      <c r="BS996" s="233"/>
      <c r="BT996" s="233"/>
      <c r="BU996" s="233"/>
      <c r="BV996" s="233"/>
      <c r="BW996" s="233"/>
      <c r="BX996" s="233"/>
      <c r="BY996" s="233"/>
      <c r="BZ996" s="233"/>
      <c r="CA996" s="233"/>
      <c r="CB996" s="233"/>
      <c r="CC996" s="233"/>
      <c r="CD996" s="233"/>
      <c r="CE996" s="233"/>
      <c r="CF996" s="233"/>
      <c r="CG996" s="233"/>
      <c r="CH996" s="233"/>
      <c r="CI996" s="233"/>
      <c r="CJ996" s="233"/>
      <c r="CK996" s="233"/>
      <c r="CL996" s="233"/>
      <c r="CM996" s="233"/>
      <c r="CN996" s="233"/>
      <c r="CO996" s="233"/>
      <c r="CP996" s="233"/>
      <c r="CQ996" s="233"/>
      <c r="CR996" s="233"/>
      <c r="CS996" s="233"/>
      <c r="CT996" s="233"/>
      <c r="CU996" s="233"/>
      <c r="CV996" s="233"/>
      <c r="CW996" s="233"/>
      <c r="CX996" s="233"/>
      <c r="CY996" s="233"/>
      <c r="CZ996" s="233"/>
      <c r="DA996" s="233"/>
      <c r="DB996" s="233"/>
      <c r="DC996" s="233"/>
      <c r="DD996" s="233"/>
      <c r="DE996" s="233"/>
      <c r="DF996" s="233"/>
      <c r="DG996" s="233"/>
      <c r="DH996" s="233"/>
      <c r="DI996" s="233"/>
      <c r="DJ996" s="233"/>
      <c r="DK996" s="233"/>
      <c r="DL996" s="233"/>
      <c r="DM996" s="233"/>
      <c r="DN996" s="233"/>
      <c r="DO996" s="233"/>
      <c r="DP996" s="233"/>
      <c r="DQ996" s="233"/>
      <c r="DR996" s="233"/>
      <c r="DS996" s="233"/>
      <c r="DT996" s="233"/>
      <c r="DU996" s="233"/>
      <c r="DV996" s="233"/>
      <c r="DW996" s="233"/>
      <c r="DX996" s="233"/>
      <c r="DY996" s="233"/>
      <c r="DZ996" s="233"/>
      <c r="EA996" s="233"/>
      <c r="EB996" s="233"/>
      <c r="EC996" s="233"/>
      <c r="ED996" s="233"/>
      <c r="EE996" s="233"/>
      <c r="EF996" s="233"/>
      <c r="EG996" s="233"/>
      <c r="EH996" s="233"/>
      <c r="EI996" s="233"/>
      <c r="EJ996" s="233"/>
      <c r="EK996" s="233"/>
      <c r="EL996" s="233"/>
      <c r="EM996" s="233"/>
      <c r="EN996" s="233"/>
      <c r="EO996" s="233"/>
      <c r="EP996" s="233"/>
    </row>
    <row r="997" spans="1:146" ht="14.25" x14ac:dyDescent="0.2">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c r="AS997" s="233"/>
      <c r="AT997" s="233"/>
      <c r="AU997" s="233"/>
      <c r="AV997" s="233"/>
      <c r="AW997" s="233"/>
      <c r="AX997" s="233"/>
      <c r="AY997" s="233"/>
      <c r="AZ997" s="233"/>
      <c r="BA997" s="233"/>
      <c r="BB997" s="233"/>
      <c r="BC997" s="233"/>
      <c r="BD997" s="233"/>
      <c r="BE997" s="233"/>
      <c r="BF997" s="233"/>
      <c r="BG997" s="233"/>
      <c r="BH997" s="233"/>
      <c r="BI997" s="233"/>
      <c r="BJ997" s="233"/>
      <c r="BK997" s="233"/>
      <c r="BL997" s="233"/>
      <c r="BM997" s="233"/>
      <c r="BN997" s="233"/>
      <c r="BO997" s="233"/>
      <c r="BP997" s="233"/>
      <c r="BQ997" s="233"/>
      <c r="BR997" s="233"/>
      <c r="BS997" s="233"/>
      <c r="BT997" s="233"/>
      <c r="BU997" s="233"/>
      <c r="BV997" s="233"/>
      <c r="BW997" s="233"/>
      <c r="BX997" s="233"/>
      <c r="BY997" s="233"/>
      <c r="BZ997" s="233"/>
      <c r="CA997" s="233"/>
      <c r="CB997" s="233"/>
      <c r="CC997" s="233"/>
      <c r="CD997" s="233"/>
      <c r="CE997" s="233"/>
      <c r="CF997" s="233"/>
      <c r="CG997" s="233"/>
      <c r="CH997" s="233"/>
      <c r="CI997" s="233"/>
      <c r="CJ997" s="233"/>
      <c r="CK997" s="233"/>
      <c r="CL997" s="233"/>
      <c r="CM997" s="233"/>
      <c r="CN997" s="233"/>
      <c r="CO997" s="233"/>
      <c r="CP997" s="233"/>
      <c r="CQ997" s="233"/>
      <c r="CR997" s="233"/>
      <c r="CS997" s="233"/>
      <c r="CT997" s="233"/>
      <c r="CU997" s="233"/>
      <c r="CV997" s="233"/>
      <c r="CW997" s="233"/>
      <c r="CX997" s="233"/>
      <c r="CY997" s="233"/>
      <c r="CZ997" s="233"/>
      <c r="DA997" s="233"/>
      <c r="DB997" s="233"/>
      <c r="DC997" s="233"/>
      <c r="DD997" s="233"/>
      <c r="DE997" s="233"/>
      <c r="DF997" s="233"/>
      <c r="DG997" s="233"/>
      <c r="DH997" s="233"/>
      <c r="DI997" s="233"/>
      <c r="DJ997" s="233"/>
      <c r="DK997" s="233"/>
      <c r="DL997" s="233"/>
      <c r="DM997" s="233"/>
      <c r="DN997" s="233"/>
      <c r="DO997" s="233"/>
      <c r="DP997" s="233"/>
      <c r="DQ997" s="233"/>
      <c r="DR997" s="233"/>
      <c r="DS997" s="233"/>
      <c r="DT997" s="233"/>
      <c r="DU997" s="233"/>
      <c r="DV997" s="233"/>
      <c r="DW997" s="233"/>
      <c r="DX997" s="233"/>
      <c r="DY997" s="233"/>
      <c r="DZ997" s="233"/>
      <c r="EA997" s="233"/>
      <c r="EB997" s="233"/>
      <c r="EC997" s="233"/>
      <c r="ED997" s="233"/>
      <c r="EE997" s="233"/>
      <c r="EF997" s="233"/>
      <c r="EG997" s="233"/>
      <c r="EH997" s="233"/>
      <c r="EI997" s="233"/>
      <c r="EJ997" s="233"/>
      <c r="EK997" s="233"/>
      <c r="EL997" s="233"/>
      <c r="EM997" s="233"/>
      <c r="EN997" s="233"/>
      <c r="EO997" s="233"/>
      <c r="EP997" s="233"/>
    </row>
    <row r="998" spans="1:146" ht="14.25" x14ac:dyDescent="0.2">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233"/>
      <c r="AV998" s="233"/>
      <c r="AW998" s="233"/>
      <c r="AX998" s="233"/>
      <c r="AY998" s="233"/>
      <c r="AZ998" s="233"/>
      <c r="BA998" s="233"/>
      <c r="BB998" s="233"/>
      <c r="BC998" s="233"/>
      <c r="BD998" s="233"/>
      <c r="BE998" s="233"/>
      <c r="BF998" s="233"/>
      <c r="BG998" s="233"/>
      <c r="BH998" s="233"/>
      <c r="BI998" s="233"/>
      <c r="BJ998" s="233"/>
      <c r="BK998" s="233"/>
      <c r="BL998" s="233"/>
      <c r="BM998" s="233"/>
      <c r="BN998" s="233"/>
      <c r="BO998" s="233"/>
      <c r="BP998" s="233"/>
      <c r="BQ998" s="233"/>
      <c r="BR998" s="233"/>
      <c r="BS998" s="233"/>
      <c r="BT998" s="233"/>
      <c r="BU998" s="233"/>
      <c r="BV998" s="233"/>
      <c r="BW998" s="233"/>
      <c r="BX998" s="233"/>
      <c r="BY998" s="233"/>
      <c r="BZ998" s="233"/>
      <c r="CA998" s="233"/>
      <c r="CB998" s="233"/>
      <c r="CC998" s="233"/>
      <c r="CD998" s="233"/>
      <c r="CE998" s="233"/>
      <c r="CF998" s="233"/>
      <c r="CG998" s="233"/>
      <c r="CH998" s="233"/>
      <c r="CI998" s="233"/>
      <c r="CJ998" s="233"/>
      <c r="CK998" s="233"/>
      <c r="CL998" s="233"/>
      <c r="CM998" s="233"/>
      <c r="CN998" s="233"/>
      <c r="CO998" s="233"/>
      <c r="CP998" s="233"/>
      <c r="CQ998" s="233"/>
      <c r="CR998" s="233"/>
      <c r="CS998" s="233"/>
      <c r="CT998" s="233"/>
      <c r="CU998" s="233"/>
      <c r="CV998" s="233"/>
      <c r="CW998" s="233"/>
      <c r="CX998" s="233"/>
      <c r="CY998" s="233"/>
      <c r="CZ998" s="233"/>
      <c r="DA998" s="233"/>
      <c r="DB998" s="233"/>
      <c r="DC998" s="233"/>
      <c r="DD998" s="233"/>
      <c r="DE998" s="233"/>
      <c r="DF998" s="233"/>
      <c r="DG998" s="233"/>
      <c r="DH998" s="233"/>
      <c r="DI998" s="233"/>
      <c r="DJ998" s="233"/>
      <c r="DK998" s="233"/>
      <c r="DL998" s="233"/>
      <c r="DM998" s="233"/>
      <c r="DN998" s="233"/>
      <c r="DO998" s="233"/>
      <c r="DP998" s="233"/>
      <c r="DQ998" s="233"/>
      <c r="DR998" s="233"/>
      <c r="DS998" s="233"/>
      <c r="DT998" s="233"/>
      <c r="DU998" s="233"/>
      <c r="DV998" s="233"/>
      <c r="DW998" s="233"/>
      <c r="DX998" s="233"/>
      <c r="DY998" s="233"/>
      <c r="DZ998" s="233"/>
      <c r="EA998" s="233"/>
      <c r="EB998" s="233"/>
      <c r="EC998" s="233"/>
      <c r="ED998" s="233"/>
      <c r="EE998" s="233"/>
      <c r="EF998" s="233"/>
      <c r="EG998" s="233"/>
      <c r="EH998" s="233"/>
      <c r="EI998" s="233"/>
      <c r="EJ998" s="233"/>
      <c r="EK998" s="233"/>
      <c r="EL998" s="233"/>
      <c r="EM998" s="233"/>
      <c r="EN998" s="233"/>
      <c r="EO998" s="233"/>
      <c r="EP998" s="233"/>
    </row>
    <row r="999" spans="1:146" ht="14.25" x14ac:dyDescent="0.2">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c r="AS999" s="233"/>
      <c r="AT999" s="233"/>
      <c r="AU999" s="233"/>
      <c r="AV999" s="233"/>
      <c r="AW999" s="233"/>
      <c r="AX999" s="233"/>
      <c r="AY999" s="233"/>
      <c r="AZ999" s="233"/>
      <c r="BA999" s="233"/>
      <c r="BB999" s="233"/>
      <c r="BC999" s="233"/>
      <c r="BD999" s="233"/>
      <c r="BE999" s="233"/>
      <c r="BF999" s="233"/>
      <c r="BG999" s="233"/>
      <c r="BH999" s="233"/>
      <c r="BI999" s="233"/>
      <c r="BJ999" s="233"/>
      <c r="BK999" s="233"/>
      <c r="BL999" s="233"/>
      <c r="BM999" s="233"/>
      <c r="BN999" s="233"/>
      <c r="BO999" s="233"/>
      <c r="BP999" s="233"/>
      <c r="BQ999" s="233"/>
      <c r="BR999" s="233"/>
      <c r="BS999" s="233"/>
      <c r="BT999" s="233"/>
      <c r="BU999" s="233"/>
      <c r="BV999" s="233"/>
      <c r="BW999" s="233"/>
      <c r="BX999" s="233"/>
      <c r="BY999" s="233"/>
      <c r="BZ999" s="233"/>
      <c r="CA999" s="233"/>
      <c r="CB999" s="233"/>
      <c r="CC999" s="233"/>
      <c r="CD999" s="233"/>
      <c r="CE999" s="233"/>
      <c r="CF999" s="233"/>
      <c r="CG999" s="233"/>
      <c r="CH999" s="233"/>
      <c r="CI999" s="233"/>
      <c r="CJ999" s="233"/>
      <c r="CK999" s="233"/>
      <c r="CL999" s="233"/>
      <c r="CM999" s="233"/>
      <c r="CN999" s="233"/>
      <c r="CO999" s="233"/>
      <c r="CP999" s="233"/>
      <c r="CQ999" s="233"/>
      <c r="CR999" s="233"/>
      <c r="CS999" s="233"/>
      <c r="CT999" s="233"/>
      <c r="CU999" s="233"/>
      <c r="CV999" s="233"/>
      <c r="CW999" s="233"/>
      <c r="CX999" s="233"/>
      <c r="CY999" s="233"/>
      <c r="CZ999" s="233"/>
      <c r="DA999" s="233"/>
      <c r="DB999" s="233"/>
      <c r="DC999" s="233"/>
      <c r="DD999" s="233"/>
      <c r="DE999" s="233"/>
      <c r="DF999" s="233"/>
      <c r="DG999" s="233"/>
      <c r="DH999" s="233"/>
      <c r="DI999" s="233"/>
      <c r="DJ999" s="233"/>
      <c r="DK999" s="233"/>
      <c r="DL999" s="233"/>
      <c r="DM999" s="233"/>
      <c r="DN999" s="233"/>
      <c r="DO999" s="233"/>
      <c r="DP999" s="233"/>
      <c r="DQ999" s="233"/>
      <c r="DR999" s="233"/>
      <c r="DS999" s="233"/>
      <c r="DT999" s="233"/>
      <c r="DU999" s="233"/>
      <c r="DV999" s="233"/>
      <c r="DW999" s="233"/>
      <c r="DX999" s="233"/>
      <c r="DY999" s="233"/>
      <c r="DZ999" s="233"/>
      <c r="EA999" s="233"/>
      <c r="EB999" s="233"/>
      <c r="EC999" s="233"/>
      <c r="ED999" s="233"/>
      <c r="EE999" s="233"/>
      <c r="EF999" s="233"/>
      <c r="EG999" s="233"/>
      <c r="EH999" s="233"/>
      <c r="EI999" s="233"/>
      <c r="EJ999" s="233"/>
      <c r="EK999" s="233"/>
      <c r="EL999" s="233"/>
      <c r="EM999" s="233"/>
      <c r="EN999" s="233"/>
      <c r="EO999" s="233"/>
      <c r="EP999" s="233"/>
    </row>
    <row r="1000" spans="1:146" ht="14.25" x14ac:dyDescent="0.2">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U1000" s="233"/>
      <c r="AV1000" s="233"/>
      <c r="AW1000" s="233"/>
      <c r="AX1000" s="233"/>
      <c r="AY1000" s="233"/>
      <c r="AZ1000" s="233"/>
      <c r="BA1000" s="233"/>
      <c r="BB1000" s="233"/>
      <c r="BC1000" s="233"/>
      <c r="BD1000" s="233"/>
      <c r="BE1000" s="233"/>
      <c r="BF1000" s="233"/>
      <c r="BG1000" s="233"/>
      <c r="BH1000" s="233"/>
      <c r="BI1000" s="233"/>
      <c r="BJ1000" s="233"/>
      <c r="BK1000" s="233"/>
      <c r="BL1000" s="233"/>
      <c r="BM1000" s="233"/>
      <c r="BN1000" s="233"/>
      <c r="BO1000" s="233"/>
      <c r="BP1000" s="233"/>
      <c r="BQ1000" s="233"/>
      <c r="BR1000" s="233"/>
      <c r="BS1000" s="233"/>
      <c r="BT1000" s="233"/>
      <c r="BU1000" s="233"/>
      <c r="BV1000" s="233"/>
      <c r="BW1000" s="233"/>
      <c r="BX1000" s="233"/>
      <c r="BY1000" s="233"/>
      <c r="BZ1000" s="233"/>
      <c r="CA1000" s="233"/>
      <c r="CB1000" s="233"/>
      <c r="CC1000" s="233"/>
      <c r="CD1000" s="233"/>
      <c r="CE1000" s="233"/>
      <c r="CF1000" s="233"/>
      <c r="CG1000" s="233"/>
      <c r="CH1000" s="233"/>
      <c r="CI1000" s="233"/>
      <c r="CJ1000" s="233"/>
      <c r="CK1000" s="233"/>
      <c r="CL1000" s="233"/>
      <c r="CM1000" s="233"/>
      <c r="CN1000" s="233"/>
      <c r="CO1000" s="233"/>
      <c r="CP1000" s="233"/>
      <c r="CQ1000" s="233"/>
      <c r="CR1000" s="233"/>
      <c r="CS1000" s="233"/>
      <c r="CT1000" s="233"/>
      <c r="CU1000" s="233"/>
      <c r="CV1000" s="233"/>
      <c r="CW1000" s="233"/>
      <c r="CX1000" s="233"/>
      <c r="CY1000" s="233"/>
      <c r="CZ1000" s="233"/>
      <c r="DA1000" s="233"/>
      <c r="DB1000" s="233"/>
      <c r="DC1000" s="233"/>
      <c r="DD1000" s="233"/>
      <c r="DE1000" s="233"/>
      <c r="DF1000" s="233"/>
      <c r="DG1000" s="233"/>
      <c r="DH1000" s="233"/>
      <c r="DI1000" s="233"/>
      <c r="DJ1000" s="233"/>
      <c r="DK1000" s="233"/>
      <c r="DL1000" s="233"/>
      <c r="DM1000" s="233"/>
      <c r="DN1000" s="233"/>
      <c r="DO1000" s="233"/>
      <c r="DP1000" s="233"/>
      <c r="DQ1000" s="233"/>
      <c r="DR1000" s="233"/>
      <c r="DS1000" s="233"/>
      <c r="DT1000" s="233"/>
      <c r="DU1000" s="233"/>
      <c r="DV1000" s="233"/>
      <c r="DW1000" s="233"/>
      <c r="DX1000" s="233"/>
      <c r="DY1000" s="233"/>
      <c r="DZ1000" s="233"/>
      <c r="EA1000" s="233"/>
      <c r="EB1000" s="233"/>
      <c r="EC1000" s="233"/>
      <c r="ED1000" s="233"/>
      <c r="EE1000" s="233"/>
      <c r="EF1000" s="233"/>
      <c r="EG1000" s="233"/>
      <c r="EH1000" s="233"/>
      <c r="EI1000" s="233"/>
      <c r="EJ1000" s="233"/>
      <c r="EK1000" s="233"/>
      <c r="EL1000" s="233"/>
      <c r="EM1000" s="233"/>
      <c r="EN1000" s="233"/>
      <c r="EO1000" s="233"/>
      <c r="EP1000" s="233"/>
    </row>
    <row r="1001" spans="1:146" ht="14.25" x14ac:dyDescent="0.2">
      <c r="A1001" s="233"/>
      <c r="B1001" s="233"/>
      <c r="C1001" s="233"/>
      <c r="D1001" s="233"/>
      <c r="E1001" s="233"/>
      <c r="F1001" s="233"/>
      <c r="G1001" s="233"/>
      <c r="H1001" s="233"/>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c r="AS1001" s="233"/>
      <c r="AT1001" s="233"/>
      <c r="AU1001" s="233"/>
      <c r="AV1001" s="233"/>
      <c r="AW1001" s="233"/>
      <c r="AX1001" s="233"/>
      <c r="AY1001" s="233"/>
      <c r="AZ1001" s="233"/>
      <c r="BA1001" s="233"/>
      <c r="BB1001" s="233"/>
      <c r="BC1001" s="233"/>
      <c r="BD1001" s="233"/>
      <c r="BE1001" s="233"/>
      <c r="BF1001" s="233"/>
      <c r="BG1001" s="233"/>
      <c r="BH1001" s="233"/>
      <c r="BI1001" s="233"/>
      <c r="BJ1001" s="233"/>
      <c r="BK1001" s="233"/>
      <c r="BL1001" s="233"/>
      <c r="BM1001" s="233"/>
      <c r="BN1001" s="233"/>
      <c r="BO1001" s="233"/>
      <c r="BP1001" s="233"/>
      <c r="BQ1001" s="233"/>
      <c r="BR1001" s="233"/>
      <c r="BS1001" s="233"/>
      <c r="BT1001" s="233"/>
      <c r="BU1001" s="233"/>
      <c r="BV1001" s="233"/>
      <c r="BW1001" s="233"/>
      <c r="BX1001" s="233"/>
      <c r="BY1001" s="233"/>
      <c r="BZ1001" s="233"/>
      <c r="CA1001" s="233"/>
      <c r="CB1001" s="233"/>
      <c r="CC1001" s="233"/>
      <c r="CD1001" s="233"/>
      <c r="CE1001" s="233"/>
      <c r="CF1001" s="233"/>
      <c r="CG1001" s="233"/>
      <c r="CH1001" s="233"/>
      <c r="CI1001" s="233"/>
      <c r="CJ1001" s="233"/>
      <c r="CK1001" s="233"/>
      <c r="CL1001" s="233"/>
      <c r="CM1001" s="233"/>
      <c r="CN1001" s="233"/>
      <c r="CO1001" s="233"/>
      <c r="CP1001" s="233"/>
      <c r="CQ1001" s="233"/>
      <c r="CR1001" s="233"/>
      <c r="CS1001" s="233"/>
      <c r="CT1001" s="233"/>
      <c r="CU1001" s="233"/>
      <c r="CV1001" s="233"/>
      <c r="CW1001" s="233"/>
      <c r="CX1001" s="233"/>
      <c r="CY1001" s="233"/>
      <c r="CZ1001" s="233"/>
      <c r="DA1001" s="233"/>
      <c r="DB1001" s="233"/>
      <c r="DC1001" s="233"/>
      <c r="DD1001" s="233"/>
      <c r="DE1001" s="233"/>
      <c r="DF1001" s="233"/>
      <c r="DG1001" s="233"/>
      <c r="DH1001" s="233"/>
      <c r="DI1001" s="233"/>
      <c r="DJ1001" s="233"/>
      <c r="DK1001" s="233"/>
      <c r="DL1001" s="233"/>
      <c r="DM1001" s="233"/>
      <c r="DN1001" s="233"/>
      <c r="DO1001" s="233"/>
      <c r="DP1001" s="233"/>
      <c r="DQ1001" s="233"/>
      <c r="DR1001" s="233"/>
      <c r="DS1001" s="233"/>
      <c r="DT1001" s="233"/>
      <c r="DU1001" s="233"/>
      <c r="DV1001" s="233"/>
      <c r="DW1001" s="233"/>
      <c r="DX1001" s="233"/>
      <c r="DY1001" s="233"/>
      <c r="DZ1001" s="233"/>
      <c r="EA1001" s="233"/>
      <c r="EB1001" s="233"/>
      <c r="EC1001" s="233"/>
      <c r="ED1001" s="233"/>
      <c r="EE1001" s="233"/>
      <c r="EF1001" s="233"/>
      <c r="EG1001" s="233"/>
      <c r="EH1001" s="233"/>
      <c r="EI1001" s="233"/>
      <c r="EJ1001" s="233"/>
      <c r="EK1001" s="233"/>
      <c r="EL1001" s="233"/>
      <c r="EM1001" s="233"/>
      <c r="EN1001" s="233"/>
      <c r="EO1001" s="233"/>
      <c r="EP1001" s="233"/>
    </row>
    <row r="1002" spans="1:146" ht="14.25" x14ac:dyDescent="0.2">
      <c r="A1002" s="233"/>
      <c r="B1002" s="233"/>
      <c r="C1002" s="233"/>
      <c r="D1002" s="233"/>
      <c r="E1002" s="233"/>
      <c r="F1002" s="233"/>
      <c r="G1002" s="233"/>
      <c r="H1002" s="233"/>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c r="AS1002" s="233"/>
      <c r="AT1002" s="233"/>
      <c r="AU1002" s="233"/>
      <c r="AV1002" s="233"/>
      <c r="AW1002" s="233"/>
      <c r="AX1002" s="233"/>
      <c r="AY1002" s="233"/>
      <c r="AZ1002" s="233"/>
      <c r="BA1002" s="233"/>
      <c r="BB1002" s="233"/>
      <c r="BC1002" s="233"/>
      <c r="BD1002" s="233"/>
      <c r="BE1002" s="233"/>
      <c r="BF1002" s="233"/>
      <c r="BG1002" s="233"/>
      <c r="BH1002" s="233"/>
      <c r="BI1002" s="233"/>
      <c r="BJ1002" s="233"/>
      <c r="BK1002" s="233"/>
      <c r="BL1002" s="233"/>
      <c r="BM1002" s="233"/>
      <c r="BN1002" s="233"/>
      <c r="BO1002" s="233"/>
      <c r="BP1002" s="233"/>
      <c r="BQ1002" s="233"/>
      <c r="BR1002" s="233"/>
      <c r="BS1002" s="233"/>
      <c r="BT1002" s="233"/>
      <c r="BU1002" s="233"/>
      <c r="BV1002" s="233"/>
      <c r="BW1002" s="233"/>
      <c r="BX1002" s="233"/>
      <c r="BY1002" s="233"/>
      <c r="BZ1002" s="233"/>
      <c r="CA1002" s="233"/>
      <c r="CB1002" s="233"/>
      <c r="CC1002" s="233"/>
      <c r="CD1002" s="233"/>
      <c r="CE1002" s="233"/>
      <c r="CF1002" s="233"/>
      <c r="CG1002" s="233"/>
      <c r="CH1002" s="233"/>
      <c r="CI1002" s="233"/>
      <c r="CJ1002" s="233"/>
      <c r="CK1002" s="233"/>
      <c r="CL1002" s="233"/>
      <c r="CM1002" s="233"/>
      <c r="CN1002" s="233"/>
      <c r="CO1002" s="233"/>
      <c r="CP1002" s="233"/>
      <c r="CQ1002" s="233"/>
      <c r="CR1002" s="233"/>
      <c r="CS1002" s="233"/>
      <c r="CT1002" s="233"/>
      <c r="CU1002" s="233"/>
      <c r="CV1002" s="233"/>
      <c r="CW1002" s="233"/>
      <c r="CX1002" s="233"/>
      <c r="CY1002" s="233"/>
      <c r="CZ1002" s="233"/>
      <c r="DA1002" s="233"/>
      <c r="DB1002" s="233"/>
      <c r="DC1002" s="233"/>
      <c r="DD1002" s="233"/>
      <c r="DE1002" s="233"/>
      <c r="DF1002" s="233"/>
      <c r="DG1002" s="233"/>
      <c r="DH1002" s="233"/>
      <c r="DI1002" s="233"/>
      <c r="DJ1002" s="233"/>
      <c r="DK1002" s="233"/>
      <c r="DL1002" s="233"/>
      <c r="DM1002" s="233"/>
      <c r="DN1002" s="233"/>
      <c r="DO1002" s="233"/>
      <c r="DP1002" s="233"/>
      <c r="DQ1002" s="233"/>
      <c r="DR1002" s="233"/>
      <c r="DS1002" s="233"/>
      <c r="DT1002" s="233"/>
      <c r="DU1002" s="233"/>
      <c r="DV1002" s="233"/>
      <c r="DW1002" s="233"/>
      <c r="DX1002" s="233"/>
      <c r="DY1002" s="233"/>
      <c r="DZ1002" s="233"/>
      <c r="EA1002" s="233"/>
      <c r="EB1002" s="233"/>
      <c r="EC1002" s="233"/>
      <c r="ED1002" s="233"/>
      <c r="EE1002" s="233"/>
      <c r="EF1002" s="233"/>
      <c r="EG1002" s="233"/>
      <c r="EH1002" s="233"/>
      <c r="EI1002" s="233"/>
      <c r="EJ1002" s="233"/>
      <c r="EK1002" s="233"/>
      <c r="EL1002" s="233"/>
      <c r="EM1002" s="233"/>
      <c r="EN1002" s="233"/>
      <c r="EO1002" s="233"/>
      <c r="EP1002" s="233"/>
    </row>
    <row r="1003" spans="1:146" ht="14.25" x14ac:dyDescent="0.2">
      <c r="A1003" s="233"/>
      <c r="B1003" s="233"/>
      <c r="C1003" s="233"/>
      <c r="D1003" s="233"/>
      <c r="E1003" s="233"/>
      <c r="F1003" s="233"/>
      <c r="G1003" s="233"/>
      <c r="H1003" s="233"/>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c r="AS1003" s="233"/>
      <c r="AT1003" s="233"/>
      <c r="AU1003" s="233"/>
      <c r="AV1003" s="233"/>
      <c r="AW1003" s="233"/>
      <c r="AX1003" s="233"/>
      <c r="AY1003" s="233"/>
      <c r="AZ1003" s="233"/>
      <c r="BA1003" s="233"/>
      <c r="BB1003" s="233"/>
      <c r="BC1003" s="233"/>
      <c r="BD1003" s="233"/>
      <c r="BE1003" s="233"/>
      <c r="BF1003" s="233"/>
      <c r="BG1003" s="233"/>
      <c r="BH1003" s="233"/>
      <c r="BI1003" s="233"/>
      <c r="BJ1003" s="233"/>
      <c r="BK1003" s="233"/>
      <c r="BL1003" s="233"/>
      <c r="BM1003" s="233"/>
      <c r="BN1003" s="233"/>
      <c r="BO1003" s="233"/>
      <c r="BP1003" s="233"/>
      <c r="BQ1003" s="233"/>
      <c r="BR1003" s="233"/>
      <c r="BS1003" s="233"/>
      <c r="BT1003" s="233"/>
      <c r="BU1003" s="233"/>
      <c r="BV1003" s="233"/>
      <c r="BW1003" s="233"/>
      <c r="BX1003" s="233"/>
      <c r="BY1003" s="233"/>
      <c r="BZ1003" s="233"/>
      <c r="CA1003" s="233"/>
      <c r="CB1003" s="233"/>
      <c r="CC1003" s="233"/>
      <c r="CD1003" s="233"/>
      <c r="CE1003" s="233"/>
      <c r="CF1003" s="233"/>
      <c r="CG1003" s="233"/>
      <c r="CH1003" s="233"/>
      <c r="CI1003" s="233"/>
      <c r="CJ1003" s="233"/>
      <c r="CK1003" s="233"/>
      <c r="CL1003" s="233"/>
      <c r="CM1003" s="233"/>
      <c r="CN1003" s="233"/>
      <c r="CO1003" s="233"/>
      <c r="CP1003" s="233"/>
      <c r="CQ1003" s="233"/>
      <c r="CR1003" s="233"/>
      <c r="CS1003" s="233"/>
      <c r="CT1003" s="233"/>
      <c r="CU1003" s="233"/>
      <c r="CV1003" s="233"/>
      <c r="CW1003" s="233"/>
      <c r="CX1003" s="233"/>
      <c r="CY1003" s="233"/>
      <c r="CZ1003" s="233"/>
      <c r="DA1003" s="233"/>
      <c r="DB1003" s="233"/>
      <c r="DC1003" s="233"/>
      <c r="DD1003" s="233"/>
      <c r="DE1003" s="233"/>
      <c r="DF1003" s="233"/>
      <c r="DG1003" s="233"/>
      <c r="DH1003" s="233"/>
      <c r="DI1003" s="233"/>
      <c r="DJ1003" s="233"/>
      <c r="DK1003" s="233"/>
      <c r="DL1003" s="233"/>
      <c r="DM1003" s="233"/>
      <c r="DN1003" s="233"/>
      <c r="DO1003" s="233"/>
      <c r="DP1003" s="233"/>
      <c r="DQ1003" s="233"/>
      <c r="DR1003" s="233"/>
      <c r="DS1003" s="233"/>
      <c r="DT1003" s="233"/>
      <c r="DU1003" s="233"/>
      <c r="DV1003" s="233"/>
      <c r="DW1003" s="233"/>
      <c r="DX1003" s="233"/>
      <c r="DY1003" s="233"/>
      <c r="DZ1003" s="233"/>
      <c r="EA1003" s="233"/>
      <c r="EB1003" s="233"/>
      <c r="EC1003" s="233"/>
      <c r="ED1003" s="233"/>
      <c r="EE1003" s="233"/>
      <c r="EF1003" s="233"/>
      <c r="EG1003" s="233"/>
      <c r="EH1003" s="233"/>
      <c r="EI1003" s="233"/>
      <c r="EJ1003" s="233"/>
      <c r="EK1003" s="233"/>
      <c r="EL1003" s="233"/>
      <c r="EM1003" s="233"/>
      <c r="EN1003" s="233"/>
      <c r="EO1003" s="233"/>
      <c r="EP1003" s="233"/>
    </row>
    <row r="1004" spans="1:146" ht="14.25" x14ac:dyDescent="0.2">
      <c r="A1004" s="233"/>
      <c r="B1004" s="233"/>
      <c r="C1004" s="233"/>
      <c r="D1004" s="233"/>
      <c r="E1004" s="233"/>
      <c r="F1004" s="233"/>
      <c r="G1004" s="233"/>
      <c r="H1004" s="233"/>
      <c r="I1004" s="233"/>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c r="AS1004" s="233"/>
      <c r="AT1004" s="233"/>
      <c r="AU1004" s="233"/>
      <c r="AV1004" s="233"/>
      <c r="AW1004" s="233"/>
      <c r="AX1004" s="233"/>
      <c r="AY1004" s="233"/>
      <c r="AZ1004" s="233"/>
      <c r="BA1004" s="233"/>
      <c r="BB1004" s="233"/>
      <c r="BC1004" s="233"/>
      <c r="BD1004" s="233"/>
      <c r="BE1004" s="233"/>
      <c r="BF1004" s="233"/>
      <c r="BG1004" s="233"/>
      <c r="BH1004" s="233"/>
      <c r="BI1004" s="233"/>
      <c r="BJ1004" s="233"/>
      <c r="BK1004" s="233"/>
      <c r="BL1004" s="233"/>
      <c r="BM1004" s="233"/>
      <c r="BN1004" s="233"/>
      <c r="BO1004" s="233"/>
      <c r="BP1004" s="233"/>
      <c r="BQ1004" s="233"/>
      <c r="BR1004" s="233"/>
      <c r="BS1004" s="233"/>
      <c r="BT1004" s="233"/>
      <c r="BU1004" s="233"/>
      <c r="BV1004" s="233"/>
      <c r="BW1004" s="233"/>
      <c r="BX1004" s="233"/>
      <c r="BY1004" s="233"/>
      <c r="BZ1004" s="233"/>
      <c r="CA1004" s="233"/>
      <c r="CB1004" s="233"/>
      <c r="CC1004" s="233"/>
      <c r="CD1004" s="233"/>
      <c r="CE1004" s="233"/>
      <c r="CF1004" s="233"/>
      <c r="CG1004" s="233"/>
      <c r="CH1004" s="233"/>
      <c r="CI1004" s="233"/>
      <c r="CJ1004" s="233"/>
      <c r="CK1004" s="233"/>
      <c r="CL1004" s="233"/>
      <c r="CM1004" s="233"/>
      <c r="CN1004" s="233"/>
      <c r="CO1004" s="233"/>
      <c r="CP1004" s="233"/>
      <c r="CQ1004" s="233"/>
      <c r="CR1004" s="233"/>
      <c r="CS1004" s="233"/>
      <c r="CT1004" s="233"/>
      <c r="CU1004" s="233"/>
      <c r="CV1004" s="233"/>
      <c r="CW1004" s="233"/>
      <c r="CX1004" s="233"/>
      <c r="CY1004" s="233"/>
      <c r="CZ1004" s="233"/>
      <c r="DA1004" s="233"/>
      <c r="DB1004" s="233"/>
      <c r="DC1004" s="233"/>
      <c r="DD1004" s="233"/>
      <c r="DE1004" s="233"/>
      <c r="DF1004" s="233"/>
      <c r="DG1004" s="233"/>
      <c r="DH1004" s="233"/>
      <c r="DI1004" s="233"/>
      <c r="DJ1004" s="233"/>
      <c r="DK1004" s="233"/>
      <c r="DL1004" s="233"/>
      <c r="DM1004" s="233"/>
      <c r="DN1004" s="233"/>
      <c r="DO1004" s="233"/>
      <c r="DP1004" s="233"/>
      <c r="DQ1004" s="233"/>
      <c r="DR1004" s="233"/>
      <c r="DS1004" s="233"/>
      <c r="DT1004" s="233"/>
      <c r="DU1004" s="233"/>
      <c r="DV1004" s="233"/>
      <c r="DW1004" s="233"/>
      <c r="DX1004" s="233"/>
      <c r="DY1004" s="233"/>
      <c r="DZ1004" s="233"/>
      <c r="EA1004" s="233"/>
      <c r="EB1004" s="233"/>
      <c r="EC1004" s="233"/>
      <c r="ED1004" s="233"/>
      <c r="EE1004" s="233"/>
      <c r="EF1004" s="233"/>
      <c r="EG1004" s="233"/>
      <c r="EH1004" s="233"/>
      <c r="EI1004" s="233"/>
      <c r="EJ1004" s="233"/>
      <c r="EK1004" s="233"/>
      <c r="EL1004" s="233"/>
      <c r="EM1004" s="233"/>
      <c r="EN1004" s="233"/>
      <c r="EO1004" s="233"/>
      <c r="EP1004" s="2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Y1108"/>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67.140625" customWidth="1"/>
    <col min="3" max="3" width="2.5703125" customWidth="1"/>
  </cols>
  <sheetData>
    <row r="1" spans="1:51" ht="22.5" customHeight="1" x14ac:dyDescent="0.2">
      <c r="A1" s="5" t="s">
        <v>330</v>
      </c>
      <c r="B1" s="184" t="s">
        <v>237</v>
      </c>
      <c r="C1" s="184"/>
      <c r="D1" s="20">
        <v>43101</v>
      </c>
      <c r="E1" s="20">
        <v>43132</v>
      </c>
      <c r="F1" s="20">
        <v>43160</v>
      </c>
      <c r="G1" s="20">
        <v>43191</v>
      </c>
      <c r="H1" s="20">
        <v>43221</v>
      </c>
      <c r="I1" s="20">
        <v>43252</v>
      </c>
      <c r="J1" s="20">
        <v>43282</v>
      </c>
      <c r="K1" s="20">
        <v>43313</v>
      </c>
      <c r="L1" s="20">
        <v>43344</v>
      </c>
      <c r="M1" s="20">
        <v>43374</v>
      </c>
      <c r="N1" s="20">
        <v>43405</v>
      </c>
      <c r="O1" s="20">
        <v>43435</v>
      </c>
      <c r="P1" s="20">
        <v>43466</v>
      </c>
      <c r="Q1" s="20">
        <v>43497</v>
      </c>
      <c r="R1" s="20">
        <v>43525</v>
      </c>
      <c r="S1" s="20">
        <v>43556</v>
      </c>
      <c r="T1" s="20">
        <v>43586</v>
      </c>
      <c r="U1" s="20">
        <v>43617</v>
      </c>
      <c r="V1" s="20">
        <v>43647</v>
      </c>
      <c r="W1" s="20">
        <v>43678</v>
      </c>
      <c r="X1" s="20">
        <v>43709</v>
      </c>
      <c r="Y1" s="20">
        <v>43739</v>
      </c>
      <c r="Z1" s="20">
        <v>43770</v>
      </c>
      <c r="AA1" s="20">
        <v>43800</v>
      </c>
      <c r="AB1" s="20">
        <v>43831</v>
      </c>
      <c r="AC1" s="20">
        <v>43862</v>
      </c>
      <c r="AD1" s="20">
        <v>43891</v>
      </c>
      <c r="AE1" s="20">
        <v>43922</v>
      </c>
      <c r="AF1" s="20">
        <v>43952</v>
      </c>
      <c r="AG1" s="20">
        <v>43983</v>
      </c>
      <c r="AH1" s="20">
        <v>44013</v>
      </c>
      <c r="AI1" s="20">
        <v>44044</v>
      </c>
      <c r="AJ1" s="20">
        <v>44075</v>
      </c>
      <c r="AK1" s="20">
        <v>44105</v>
      </c>
      <c r="AL1" s="20">
        <v>44136</v>
      </c>
      <c r="AM1" s="20">
        <v>44166</v>
      </c>
      <c r="AN1" s="20">
        <v>44197</v>
      </c>
      <c r="AO1" s="20">
        <v>44228</v>
      </c>
      <c r="AP1" s="20">
        <v>44256</v>
      </c>
      <c r="AQ1" s="20">
        <v>44287</v>
      </c>
      <c r="AR1" s="20">
        <v>44317</v>
      </c>
      <c r="AS1" s="20">
        <v>44348</v>
      </c>
      <c r="AT1" s="20">
        <v>44378</v>
      </c>
      <c r="AU1" s="20">
        <v>44409</v>
      </c>
      <c r="AV1" s="20">
        <v>44440</v>
      </c>
      <c r="AW1" s="20">
        <v>44470</v>
      </c>
      <c r="AX1" s="20">
        <v>44501</v>
      </c>
      <c r="AY1" s="20">
        <v>44531</v>
      </c>
    </row>
    <row r="2" spans="1:51" ht="12.75" x14ac:dyDescent="0.2">
      <c r="A2" s="21" t="s">
        <v>238</v>
      </c>
      <c r="B2" s="221"/>
    </row>
    <row r="3" spans="1:51" ht="12.75" x14ac:dyDescent="0.2">
      <c r="A3" s="69" t="s">
        <v>240</v>
      </c>
      <c r="B3" s="221"/>
    </row>
    <row r="4" spans="1:51" ht="12.75" x14ac:dyDescent="0.2">
      <c r="A4" s="23" t="s">
        <v>241</v>
      </c>
      <c r="B4" s="224">
        <v>686204.66666666663</v>
      </c>
      <c r="D4" s="115">
        <v>303373</v>
      </c>
      <c r="E4" s="115">
        <v>321057</v>
      </c>
      <c r="F4" s="115">
        <v>340521</v>
      </c>
      <c r="G4" s="115">
        <v>360770</v>
      </c>
      <c r="H4" s="115">
        <v>386024</v>
      </c>
      <c r="I4" s="115">
        <v>401465</v>
      </c>
      <c r="J4" s="115">
        <v>424939</v>
      </c>
      <c r="K4" s="115">
        <v>438925</v>
      </c>
      <c r="L4" s="115">
        <v>452768</v>
      </c>
      <c r="M4" s="115">
        <v>465957</v>
      </c>
      <c r="N4" s="115">
        <v>479118</v>
      </c>
      <c r="O4" s="115">
        <v>491501</v>
      </c>
      <c r="P4" s="115">
        <v>505058</v>
      </c>
      <c r="Q4" s="115">
        <v>525437</v>
      </c>
      <c r="R4" s="115">
        <v>542733</v>
      </c>
      <c r="S4" s="115">
        <v>598887</v>
      </c>
      <c r="T4" s="115">
        <v>614053</v>
      </c>
      <c r="U4" s="115">
        <v>637488</v>
      </c>
      <c r="V4" s="115">
        <v>657516</v>
      </c>
      <c r="W4" s="115">
        <v>685483</v>
      </c>
      <c r="X4" s="115">
        <v>715615</v>
      </c>
      <c r="Y4" s="25">
        <v>733085.8550515509</v>
      </c>
      <c r="Z4" s="25">
        <v>755452.36338210583</v>
      </c>
      <c r="AA4" s="25">
        <v>777089.13770884497</v>
      </c>
      <c r="AB4" s="25">
        <v>798842.74764285074</v>
      </c>
      <c r="AC4" s="25">
        <v>820160.99294899986</v>
      </c>
      <c r="AD4" s="25">
        <v>841306.60327318718</v>
      </c>
      <c r="AE4" s="25">
        <v>862039.19919513853</v>
      </c>
      <c r="AF4" s="25">
        <v>882494.27705282357</v>
      </c>
      <c r="AG4" s="25">
        <v>904725.08850157424</v>
      </c>
      <c r="AH4" s="25">
        <v>926611.53405971685</v>
      </c>
      <c r="AI4" s="25">
        <v>948189.38694579178</v>
      </c>
      <c r="AJ4" s="25">
        <v>969459.11163982737</v>
      </c>
      <c r="AK4" s="25">
        <v>990420.05015114299</v>
      </c>
      <c r="AL4" s="25">
        <v>1011084.1739220829</v>
      </c>
      <c r="AM4" s="25">
        <v>1031455.1092876518</v>
      </c>
      <c r="AN4" s="25">
        <v>1053588.1505530975</v>
      </c>
      <c r="AO4" s="25">
        <v>1075406.7487353184</v>
      </c>
      <c r="AP4" s="25">
        <v>1096916.2734738451</v>
      </c>
      <c r="AQ4" s="25">
        <v>1118122.4848676606</v>
      </c>
      <c r="AR4" s="25">
        <v>1139031.2972662568</v>
      </c>
      <c r="AS4" s="25">
        <v>1159648.1697537834</v>
      </c>
      <c r="AT4" s="25">
        <v>1182029.1804724927</v>
      </c>
      <c r="AU4" s="25">
        <v>1204096.5761548781</v>
      </c>
      <c r="AV4" s="25">
        <v>1225856.2213891607</v>
      </c>
      <c r="AW4" s="25">
        <v>1247313.9055127318</v>
      </c>
      <c r="AX4" s="25">
        <v>1268475.3069442825</v>
      </c>
      <c r="AY4" s="25">
        <v>1291396.5664590835</v>
      </c>
    </row>
    <row r="5" spans="1:51" ht="12.75" x14ac:dyDescent="0.2">
      <c r="A5" s="60" t="s">
        <v>242</v>
      </c>
      <c r="B5" s="225"/>
      <c r="C5" s="226"/>
      <c r="D5" s="226">
        <v>303373</v>
      </c>
      <c r="E5" s="226">
        <v>321057</v>
      </c>
      <c r="F5" s="226">
        <v>340521</v>
      </c>
      <c r="G5" s="226">
        <v>360770</v>
      </c>
      <c r="H5" s="226">
        <v>386024</v>
      </c>
      <c r="I5" s="226">
        <v>401465</v>
      </c>
      <c r="J5" s="226">
        <v>424939</v>
      </c>
      <c r="K5" s="226">
        <v>438925</v>
      </c>
      <c r="L5" s="226">
        <v>452768</v>
      </c>
      <c r="M5" s="226">
        <v>465957</v>
      </c>
      <c r="N5" s="226">
        <v>479118</v>
      </c>
      <c r="O5" s="226">
        <v>491501</v>
      </c>
      <c r="P5" s="226">
        <v>505058</v>
      </c>
      <c r="Q5" s="226">
        <v>525437</v>
      </c>
      <c r="R5" s="226">
        <v>542733</v>
      </c>
      <c r="S5" s="226">
        <v>598887</v>
      </c>
      <c r="T5" s="226">
        <v>614053</v>
      </c>
      <c r="U5" s="226">
        <v>637488</v>
      </c>
      <c r="V5" s="226">
        <v>657516</v>
      </c>
      <c r="W5" s="226">
        <v>685483</v>
      </c>
      <c r="X5" s="226">
        <v>715615</v>
      </c>
      <c r="Y5" s="226">
        <v>733085.8550515509</v>
      </c>
      <c r="Z5" s="226">
        <v>755452.36338210583</v>
      </c>
      <c r="AA5" s="226">
        <v>777089.13770884497</v>
      </c>
      <c r="AB5" s="226">
        <v>798842.74764285074</v>
      </c>
      <c r="AC5" s="226">
        <v>820160.99294899986</v>
      </c>
      <c r="AD5" s="226">
        <v>841306.60327318718</v>
      </c>
      <c r="AE5" s="226">
        <v>862039.19919513853</v>
      </c>
      <c r="AF5" s="226">
        <v>882494.27705282357</v>
      </c>
      <c r="AG5" s="226">
        <v>904725.08850157424</v>
      </c>
      <c r="AH5" s="226">
        <v>926611.53405971685</v>
      </c>
      <c r="AI5" s="226">
        <v>948189.38694579178</v>
      </c>
      <c r="AJ5" s="226">
        <v>969459.11163982737</v>
      </c>
      <c r="AK5" s="226">
        <v>990420.05015114299</v>
      </c>
      <c r="AL5" s="226">
        <v>1011084.1739220829</v>
      </c>
      <c r="AM5" s="226">
        <v>1031455.1092876518</v>
      </c>
      <c r="AN5" s="226">
        <v>1053588.1505530975</v>
      </c>
      <c r="AO5" s="226">
        <v>1075406.7487353184</v>
      </c>
      <c r="AP5" s="226">
        <v>1096916.2734738451</v>
      </c>
      <c r="AQ5" s="226">
        <v>1118122.4848676606</v>
      </c>
      <c r="AR5" s="226">
        <v>1139031.2972662568</v>
      </c>
      <c r="AS5" s="226">
        <v>1159648.1697537834</v>
      </c>
      <c r="AT5" s="226">
        <v>1182029.1804724927</v>
      </c>
      <c r="AU5" s="226">
        <v>1204096.5761548781</v>
      </c>
      <c r="AV5" s="226">
        <v>1225856.2213891607</v>
      </c>
      <c r="AW5" s="226">
        <v>1247313.9055127318</v>
      </c>
      <c r="AX5" s="226">
        <v>1268475.3069442825</v>
      </c>
      <c r="AY5" s="226">
        <v>1291396.5664590835</v>
      </c>
    </row>
    <row r="6" spans="1:51" ht="12.75" x14ac:dyDescent="0.2">
      <c r="A6" s="69" t="s">
        <v>244</v>
      </c>
      <c r="B6" s="221"/>
      <c r="D6" s="115">
        <v>0</v>
      </c>
      <c r="E6" s="115">
        <v>0</v>
      </c>
      <c r="F6" s="115">
        <v>0</v>
      </c>
      <c r="G6" s="115">
        <v>0</v>
      </c>
      <c r="H6" s="115">
        <v>0</v>
      </c>
      <c r="I6" s="115">
        <v>0</v>
      </c>
      <c r="J6" s="115">
        <v>0</v>
      </c>
      <c r="K6" s="115">
        <v>0</v>
      </c>
      <c r="L6" s="115">
        <v>0</v>
      </c>
      <c r="M6" s="115">
        <v>0</v>
      </c>
      <c r="N6" s="115">
        <v>0</v>
      </c>
      <c r="O6" s="115">
        <v>0</v>
      </c>
      <c r="P6" s="115">
        <v>0</v>
      </c>
      <c r="Q6" s="115">
        <v>0</v>
      </c>
      <c r="R6" s="115">
        <v>0</v>
      </c>
      <c r="S6" s="115">
        <v>0</v>
      </c>
      <c r="T6" s="115">
        <v>0</v>
      </c>
      <c r="U6" s="115">
        <v>0</v>
      </c>
      <c r="V6" s="115">
        <v>0</v>
      </c>
      <c r="W6" s="115">
        <v>0</v>
      </c>
      <c r="X6" s="115">
        <v>0</v>
      </c>
    </row>
    <row r="7" spans="1:51" ht="12.75" x14ac:dyDescent="0.2">
      <c r="A7" s="69" t="s">
        <v>245</v>
      </c>
      <c r="B7" s="221"/>
    </row>
    <row r="8" spans="1:51" ht="12.75" x14ac:dyDescent="0.2">
      <c r="A8" s="23" t="s">
        <v>246</v>
      </c>
      <c r="B8" s="221"/>
      <c r="D8" s="115"/>
      <c r="E8" s="115"/>
      <c r="F8" s="115"/>
      <c r="G8" s="115"/>
      <c r="H8" s="115"/>
      <c r="I8" s="115"/>
      <c r="J8" s="115"/>
      <c r="K8" s="115"/>
      <c r="L8" s="115"/>
      <c r="M8" s="115"/>
      <c r="N8" s="115"/>
      <c r="O8" s="115"/>
      <c r="P8" s="115"/>
      <c r="Q8" s="115"/>
      <c r="R8" s="115"/>
      <c r="S8" s="115"/>
      <c r="T8" s="115"/>
      <c r="U8" s="115"/>
      <c r="V8" s="115"/>
      <c r="W8" s="115"/>
      <c r="X8" s="115"/>
    </row>
    <row r="9" spans="1:51" ht="12.75" x14ac:dyDescent="0.2">
      <c r="A9" s="23" t="s">
        <v>247</v>
      </c>
      <c r="B9" s="221"/>
      <c r="D9" s="115"/>
      <c r="E9" s="115"/>
      <c r="F9" s="115"/>
      <c r="G9" s="115"/>
      <c r="H9" s="115"/>
      <c r="I9" s="115"/>
      <c r="J9" s="115"/>
      <c r="K9" s="115"/>
      <c r="L9" s="115"/>
      <c r="M9" s="115"/>
      <c r="N9" s="115"/>
      <c r="O9" s="115"/>
      <c r="P9" s="115"/>
      <c r="Q9" s="115"/>
      <c r="R9" s="115"/>
      <c r="S9" s="115"/>
      <c r="T9" s="115"/>
      <c r="U9" s="115"/>
      <c r="V9" s="115"/>
      <c r="W9" s="115"/>
      <c r="X9" s="115"/>
    </row>
    <row r="10" spans="1:51" ht="12.75" x14ac:dyDescent="0.2">
      <c r="A10" s="23" t="s">
        <v>248</v>
      </c>
      <c r="B10" s="224">
        <v>2973</v>
      </c>
      <c r="D10" s="115">
        <v>985</v>
      </c>
      <c r="E10" s="115">
        <v>985</v>
      </c>
      <c r="F10" s="115">
        <v>985</v>
      </c>
      <c r="G10" s="115">
        <v>1182</v>
      </c>
      <c r="H10" s="115">
        <v>1182</v>
      </c>
      <c r="I10" s="115">
        <v>1182</v>
      </c>
      <c r="J10" s="115">
        <v>1379</v>
      </c>
      <c r="K10" s="115">
        <v>1379</v>
      </c>
      <c r="L10" s="115">
        <v>1576</v>
      </c>
      <c r="M10" s="115">
        <v>1576</v>
      </c>
      <c r="N10" s="115">
        <v>1576</v>
      </c>
      <c r="O10" s="115">
        <v>1773</v>
      </c>
      <c r="P10" s="115">
        <v>1773</v>
      </c>
      <c r="Q10" s="115">
        <v>1773</v>
      </c>
      <c r="R10" s="115">
        <v>1773</v>
      </c>
      <c r="S10" s="115">
        <v>2773</v>
      </c>
      <c r="T10" s="115">
        <v>2973</v>
      </c>
      <c r="U10" s="115">
        <v>2973</v>
      </c>
      <c r="V10" s="115">
        <v>2973</v>
      </c>
      <c r="W10" s="115">
        <v>2973</v>
      </c>
      <c r="X10" s="115">
        <v>2973</v>
      </c>
      <c r="Y10" s="25">
        <v>6914.666666666667</v>
      </c>
      <c r="Z10" s="25">
        <v>8464.6666666666661</v>
      </c>
      <c r="AA10" s="25">
        <v>9231.3333333333339</v>
      </c>
      <c r="AB10" s="25">
        <v>9231.3333333333339</v>
      </c>
      <c r="AC10" s="25">
        <v>9231.3333333333339</v>
      </c>
      <c r="AD10" s="25">
        <v>9231.3333333333339</v>
      </c>
      <c r="AE10" s="25">
        <v>9231.3333333333339</v>
      </c>
      <c r="AF10" s="25">
        <v>9231.3333333333339</v>
      </c>
      <c r="AG10" s="25">
        <v>9231.3333333333339</v>
      </c>
      <c r="AH10" s="25">
        <v>9231.3333333333339</v>
      </c>
      <c r="AI10" s="25">
        <v>9231.3333333333339</v>
      </c>
      <c r="AJ10" s="25">
        <v>9231.3333333333339</v>
      </c>
      <c r="AK10" s="25">
        <v>9231.3333333333339</v>
      </c>
      <c r="AL10" s="25">
        <v>9231.3333333333339</v>
      </c>
      <c r="AM10" s="25">
        <v>9231.3333333333339</v>
      </c>
      <c r="AN10" s="25">
        <v>9231.3333333333339</v>
      </c>
      <c r="AO10" s="25">
        <v>9231.3333333333339</v>
      </c>
      <c r="AP10" s="25">
        <v>9231.3333333333339</v>
      </c>
      <c r="AQ10" s="25">
        <v>9231.3333333333339</v>
      </c>
      <c r="AR10" s="25">
        <v>9231.3333333333339</v>
      </c>
      <c r="AS10" s="25">
        <v>9231.3333333333339</v>
      </c>
      <c r="AT10" s="25">
        <v>9231.3333333333339</v>
      </c>
      <c r="AU10" s="25">
        <v>9231.3333333333339</v>
      </c>
      <c r="AV10" s="25">
        <v>9231.3333333333339</v>
      </c>
      <c r="AW10" s="25">
        <v>9231.3333333333339</v>
      </c>
      <c r="AX10" s="25">
        <v>9231.3333333333339</v>
      </c>
      <c r="AY10" s="25">
        <v>9231.3333333333339</v>
      </c>
    </row>
    <row r="11" spans="1:51" ht="12.75" x14ac:dyDescent="0.2">
      <c r="A11" s="23" t="s">
        <v>249</v>
      </c>
      <c r="B11" s="224">
        <v>5567</v>
      </c>
      <c r="D11" s="115">
        <v>2340</v>
      </c>
      <c r="E11" s="115">
        <v>2340</v>
      </c>
      <c r="F11" s="115">
        <v>2340</v>
      </c>
      <c r="G11" s="115">
        <v>2808</v>
      </c>
      <c r="H11" s="115">
        <v>2808</v>
      </c>
      <c r="I11" s="115">
        <v>2808</v>
      </c>
      <c r="J11" s="115">
        <v>3258</v>
      </c>
      <c r="K11" s="115">
        <v>3258</v>
      </c>
      <c r="L11" s="115">
        <v>3699</v>
      </c>
      <c r="M11" s="115">
        <v>3699</v>
      </c>
      <c r="N11" s="115">
        <v>3699</v>
      </c>
      <c r="O11" s="115">
        <v>5067</v>
      </c>
      <c r="P11" s="115">
        <v>5067</v>
      </c>
      <c r="Q11" s="115">
        <v>5067</v>
      </c>
      <c r="R11" s="115">
        <v>5067</v>
      </c>
      <c r="S11" s="115">
        <v>5067</v>
      </c>
      <c r="T11" s="115">
        <v>5567</v>
      </c>
      <c r="U11" s="115">
        <v>5567</v>
      </c>
      <c r="V11" s="115">
        <v>5567</v>
      </c>
      <c r="W11" s="115">
        <v>5567</v>
      </c>
      <c r="X11" s="115">
        <v>5567</v>
      </c>
      <c r="Y11" s="25">
        <v>5433</v>
      </c>
      <c r="Z11" s="25">
        <v>6670.5</v>
      </c>
      <c r="AA11" s="25">
        <v>7270.5</v>
      </c>
      <c r="AB11" s="25">
        <v>7270.5</v>
      </c>
      <c r="AC11" s="25">
        <v>7270.5</v>
      </c>
      <c r="AD11" s="25">
        <v>7270.5</v>
      </c>
      <c r="AE11" s="25">
        <v>7270.5</v>
      </c>
      <c r="AF11" s="25">
        <v>7270.5</v>
      </c>
      <c r="AG11" s="25">
        <v>7270.5</v>
      </c>
      <c r="AH11" s="25">
        <v>7270.5</v>
      </c>
      <c r="AI11" s="25">
        <v>7270.5</v>
      </c>
      <c r="AJ11" s="25">
        <v>7270.5</v>
      </c>
      <c r="AK11" s="25">
        <v>7270.5</v>
      </c>
      <c r="AL11" s="25">
        <v>7270.5</v>
      </c>
      <c r="AM11" s="25">
        <v>7270.5</v>
      </c>
      <c r="AN11" s="25">
        <v>7270.5</v>
      </c>
      <c r="AO11" s="25">
        <v>7270.5</v>
      </c>
      <c r="AP11" s="25">
        <v>7270.5</v>
      </c>
      <c r="AQ11" s="25">
        <v>7270.5</v>
      </c>
      <c r="AR11" s="25">
        <v>7270.5</v>
      </c>
      <c r="AS11" s="25">
        <v>7270.5</v>
      </c>
      <c r="AT11" s="25">
        <v>7270.5</v>
      </c>
      <c r="AU11" s="25">
        <v>7270.5</v>
      </c>
      <c r="AV11" s="25">
        <v>7270.5</v>
      </c>
      <c r="AW11" s="25">
        <v>7270.5</v>
      </c>
      <c r="AX11" s="25">
        <v>7270.5</v>
      </c>
      <c r="AY11" s="25">
        <v>7270.5</v>
      </c>
    </row>
    <row r="12" spans="1:51" ht="12.75" x14ac:dyDescent="0.2">
      <c r="A12" s="23" t="s">
        <v>254</v>
      </c>
      <c r="B12" s="224">
        <v>59501</v>
      </c>
      <c r="D12" s="115">
        <v>26000</v>
      </c>
      <c r="E12" s="115">
        <v>26000</v>
      </c>
      <c r="F12" s="115">
        <v>26000</v>
      </c>
      <c r="G12" s="115">
        <v>31200</v>
      </c>
      <c r="H12" s="115">
        <v>31200</v>
      </c>
      <c r="I12" s="115">
        <v>31200</v>
      </c>
      <c r="J12" s="115">
        <v>36200</v>
      </c>
      <c r="K12" s="115">
        <v>36200</v>
      </c>
      <c r="L12" s="115">
        <v>41100</v>
      </c>
      <c r="M12" s="115">
        <v>41100</v>
      </c>
      <c r="N12" s="115">
        <v>41100</v>
      </c>
      <c r="O12" s="115">
        <v>56300</v>
      </c>
      <c r="P12" s="115">
        <v>56300</v>
      </c>
      <c r="Q12" s="115">
        <v>56500</v>
      </c>
      <c r="R12" s="115">
        <v>56500</v>
      </c>
      <c r="S12" s="115">
        <v>56500</v>
      </c>
      <c r="T12" s="115">
        <v>59501</v>
      </c>
      <c r="U12" s="115">
        <v>59501</v>
      </c>
      <c r="V12" s="115">
        <v>59501</v>
      </c>
      <c r="W12" s="115">
        <v>59501</v>
      </c>
      <c r="X12" s="115">
        <v>59501</v>
      </c>
      <c r="Y12" s="25">
        <v>60366.666666666664</v>
      </c>
      <c r="Z12" s="25">
        <v>74116.666666666672</v>
      </c>
      <c r="AA12" s="25">
        <v>80783.333333333328</v>
      </c>
      <c r="AB12" s="25">
        <v>80783.333333333328</v>
      </c>
      <c r="AC12" s="25">
        <v>80783.333333333328</v>
      </c>
      <c r="AD12" s="25">
        <v>80783.333333333328</v>
      </c>
      <c r="AE12" s="25">
        <v>80783.333333333328</v>
      </c>
      <c r="AF12" s="25">
        <v>80783.333333333328</v>
      </c>
      <c r="AG12" s="25">
        <v>80783.333333333328</v>
      </c>
      <c r="AH12" s="25">
        <v>80783.333333333328</v>
      </c>
      <c r="AI12" s="25">
        <v>80783.333333333328</v>
      </c>
      <c r="AJ12" s="25">
        <v>80783.333333333328</v>
      </c>
      <c r="AK12" s="25">
        <v>80783.333333333328</v>
      </c>
      <c r="AL12" s="25">
        <v>80783.333333333328</v>
      </c>
      <c r="AM12" s="25">
        <v>80783.333333333328</v>
      </c>
      <c r="AN12" s="25">
        <v>80783.333333333328</v>
      </c>
      <c r="AO12" s="25">
        <v>80783.333333333328</v>
      </c>
      <c r="AP12" s="25">
        <v>80783.333333333328</v>
      </c>
      <c r="AQ12" s="25">
        <v>80783.333333333328</v>
      </c>
      <c r="AR12" s="25">
        <v>80783.333333333328</v>
      </c>
      <c r="AS12" s="25">
        <v>80783.333333333328</v>
      </c>
      <c r="AT12" s="25">
        <v>80783.333333333328</v>
      </c>
      <c r="AU12" s="25">
        <v>80783.333333333328</v>
      </c>
      <c r="AV12" s="25">
        <v>80783.333333333328</v>
      </c>
      <c r="AW12" s="25">
        <v>80783.333333333328</v>
      </c>
      <c r="AX12" s="25">
        <v>80783.333333333328</v>
      </c>
      <c r="AY12" s="25">
        <v>80783.333333333328</v>
      </c>
    </row>
    <row r="13" spans="1:51" ht="12.75" x14ac:dyDescent="0.2">
      <c r="A13" s="60" t="s">
        <v>257</v>
      </c>
      <c r="B13" s="238"/>
      <c r="C13" s="212"/>
      <c r="D13" s="226">
        <v>29325</v>
      </c>
      <c r="E13" s="226">
        <v>29325</v>
      </c>
      <c r="F13" s="226">
        <v>29325</v>
      </c>
      <c r="G13" s="226">
        <v>35190</v>
      </c>
      <c r="H13" s="226">
        <v>35190</v>
      </c>
      <c r="I13" s="226">
        <v>35190</v>
      </c>
      <c r="J13" s="226">
        <v>40837</v>
      </c>
      <c r="K13" s="226">
        <v>40837</v>
      </c>
      <c r="L13" s="226">
        <v>46375</v>
      </c>
      <c r="M13" s="226">
        <v>46375</v>
      </c>
      <c r="N13" s="226">
        <v>46375</v>
      </c>
      <c r="O13" s="226">
        <v>63140</v>
      </c>
      <c r="P13" s="226">
        <v>63140</v>
      </c>
      <c r="Q13" s="226">
        <v>63340</v>
      </c>
      <c r="R13" s="226">
        <v>63340</v>
      </c>
      <c r="S13" s="226">
        <v>64340</v>
      </c>
      <c r="T13" s="226">
        <v>68041</v>
      </c>
      <c r="U13" s="226">
        <v>68041</v>
      </c>
      <c r="V13" s="226">
        <v>68041</v>
      </c>
      <c r="W13" s="226">
        <v>68041</v>
      </c>
      <c r="X13" s="226">
        <v>68041</v>
      </c>
      <c r="Y13" s="226">
        <v>72714.333333333328</v>
      </c>
      <c r="Z13" s="226">
        <v>89251.833333333343</v>
      </c>
      <c r="AA13" s="226">
        <v>97285.166666666657</v>
      </c>
      <c r="AB13" s="226">
        <v>97285.166666666657</v>
      </c>
      <c r="AC13" s="226">
        <v>97285.166666666657</v>
      </c>
      <c r="AD13" s="226">
        <v>97285.166666666657</v>
      </c>
      <c r="AE13" s="226">
        <v>97285.166666666657</v>
      </c>
      <c r="AF13" s="226">
        <v>97285.166666666657</v>
      </c>
      <c r="AG13" s="226">
        <v>97285.166666666657</v>
      </c>
      <c r="AH13" s="226">
        <v>97285.166666666657</v>
      </c>
      <c r="AI13" s="226">
        <v>97285.166666666657</v>
      </c>
      <c r="AJ13" s="226">
        <v>97285.166666666657</v>
      </c>
      <c r="AK13" s="226">
        <v>97285.166666666657</v>
      </c>
      <c r="AL13" s="226">
        <v>97285.166666666657</v>
      </c>
      <c r="AM13" s="226">
        <v>97285.166666666657</v>
      </c>
      <c r="AN13" s="226">
        <v>97285.166666666657</v>
      </c>
      <c r="AO13" s="226">
        <v>97285.166666666657</v>
      </c>
      <c r="AP13" s="226">
        <v>97285.166666666657</v>
      </c>
      <c r="AQ13" s="226">
        <v>97285.166666666657</v>
      </c>
      <c r="AR13" s="226">
        <v>97285.166666666657</v>
      </c>
      <c r="AS13" s="226">
        <v>97285.166666666657</v>
      </c>
      <c r="AT13" s="226">
        <v>97285.166666666657</v>
      </c>
      <c r="AU13" s="226">
        <v>97285.166666666657</v>
      </c>
      <c r="AV13" s="226">
        <v>97285.166666666657</v>
      </c>
      <c r="AW13" s="226">
        <v>97285.166666666657</v>
      </c>
      <c r="AX13" s="226">
        <v>97285.166666666657</v>
      </c>
      <c r="AY13" s="226">
        <v>97285.166666666657</v>
      </c>
    </row>
    <row r="14" spans="1:51" ht="12.75" x14ac:dyDescent="0.2">
      <c r="A14" s="23" t="s">
        <v>259</v>
      </c>
      <c r="B14" s="240">
        <v>1.0850990035042996E-2</v>
      </c>
      <c r="D14" s="115">
        <v>4958</v>
      </c>
      <c r="E14" s="115">
        <v>5068</v>
      </c>
      <c r="F14" s="115">
        <v>5152</v>
      </c>
      <c r="G14" s="115">
        <v>5195</v>
      </c>
      <c r="H14" s="115">
        <v>5317</v>
      </c>
      <c r="I14" s="115">
        <v>5443</v>
      </c>
      <c r="J14" s="115">
        <v>5525</v>
      </c>
      <c r="K14" s="115">
        <v>5460</v>
      </c>
      <c r="L14" s="115">
        <v>5320</v>
      </c>
      <c r="M14" s="115">
        <v>5497</v>
      </c>
      <c r="N14" s="115">
        <v>5687</v>
      </c>
      <c r="O14" s="115">
        <v>5824</v>
      </c>
      <c r="P14" s="115">
        <v>4830</v>
      </c>
      <c r="Q14" s="115">
        <v>6476</v>
      </c>
      <c r="R14" s="115">
        <v>6788</v>
      </c>
      <c r="S14" s="115">
        <v>6788</v>
      </c>
      <c r="T14" s="115">
        <v>7214</v>
      </c>
      <c r="U14" s="115">
        <v>7433</v>
      </c>
      <c r="V14" s="115">
        <v>7296</v>
      </c>
      <c r="W14" s="115">
        <v>7521</v>
      </c>
      <c r="X14" s="115">
        <v>7521</v>
      </c>
      <c r="Y14" s="115">
        <v>7954.7073079953525</v>
      </c>
      <c r="Z14" s="115">
        <v>8197.4060670089111</v>
      </c>
      <c r="AA14" s="115">
        <v>8432.1864896188308</v>
      </c>
      <c r="AB14" s="115">
        <v>8668.2346942389395</v>
      </c>
      <c r="AC14" s="115">
        <v>8899.5587616205667</v>
      </c>
      <c r="AD14" s="115">
        <v>9129.0095685332253</v>
      </c>
      <c r="AE14" s="115">
        <v>9353.9787602828928</v>
      </c>
      <c r="AF14" s="115">
        <v>9575.9366062826612</v>
      </c>
      <c r="AG14" s="115">
        <v>9817.1629197839738</v>
      </c>
      <c r="AH14" s="115">
        <v>10054.652522437891</v>
      </c>
      <c r="AI14" s="115">
        <v>10288.793589082314</v>
      </c>
      <c r="AJ14" s="115">
        <v>10519.591159785403</v>
      </c>
      <c r="AK14" s="115">
        <v>10747.038094696836</v>
      </c>
      <c r="AL14" s="115">
        <v>10971.2642958182</v>
      </c>
      <c r="AM14" s="115">
        <v>11192.309112474495</v>
      </c>
      <c r="AN14" s="115">
        <v>11432.47452269104</v>
      </c>
      <c r="AO14" s="115">
        <v>11669.227914144927</v>
      </c>
      <c r="AP14" s="115">
        <v>11902.627552741191</v>
      </c>
      <c r="AQ14" s="115">
        <v>12132.735941256498</v>
      </c>
      <c r="AR14" s="115">
        <v>12359.617256238249</v>
      </c>
      <c r="AS14" s="115">
        <v>12583.330734154151</v>
      </c>
      <c r="AT14" s="115">
        <v>12826.186858437057</v>
      </c>
      <c r="AU14" s="115">
        <v>13065.639949085973</v>
      </c>
      <c r="AV14" s="115">
        <v>13301.753642689244</v>
      </c>
      <c r="AW14" s="115">
        <v>13534.590759289213</v>
      </c>
      <c r="AX14" s="115">
        <v>13764.212915350516</v>
      </c>
      <c r="AY14" s="115">
        <v>14012.931273936254</v>
      </c>
    </row>
    <row r="15" spans="1:51" ht="12.75" x14ac:dyDescent="0.2">
      <c r="A15" s="60" t="s">
        <v>262</v>
      </c>
      <c r="B15" s="238"/>
      <c r="C15" s="212"/>
      <c r="D15" s="226">
        <v>34283</v>
      </c>
      <c r="E15" s="226">
        <v>34393</v>
      </c>
      <c r="F15" s="226">
        <v>34477</v>
      </c>
      <c r="G15" s="226">
        <v>40385</v>
      </c>
      <c r="H15" s="226">
        <v>40507</v>
      </c>
      <c r="I15" s="226">
        <v>40633</v>
      </c>
      <c r="J15" s="226">
        <v>46362</v>
      </c>
      <c r="K15" s="226">
        <v>46297</v>
      </c>
      <c r="L15" s="226">
        <v>51695</v>
      </c>
      <c r="M15" s="226">
        <v>51872</v>
      </c>
      <c r="N15" s="226">
        <v>52062</v>
      </c>
      <c r="O15" s="226">
        <v>68964</v>
      </c>
      <c r="P15" s="226">
        <v>67970</v>
      </c>
      <c r="Q15" s="226">
        <v>69816</v>
      </c>
      <c r="R15" s="226">
        <v>70128</v>
      </c>
      <c r="S15" s="226">
        <v>71128</v>
      </c>
      <c r="T15" s="226">
        <v>75255</v>
      </c>
      <c r="U15" s="226">
        <v>75474</v>
      </c>
      <c r="V15" s="226">
        <v>75337</v>
      </c>
      <c r="W15" s="226">
        <v>75562</v>
      </c>
      <c r="X15" s="226">
        <v>75562</v>
      </c>
      <c r="Y15" s="226">
        <v>80669.040641328684</v>
      </c>
      <c r="Z15" s="226">
        <v>97449.239400342252</v>
      </c>
      <c r="AA15" s="226">
        <v>105717.35315628549</v>
      </c>
      <c r="AB15" s="226">
        <v>105953.4013609056</v>
      </c>
      <c r="AC15" s="226">
        <v>106184.72542828723</v>
      </c>
      <c r="AD15" s="226">
        <v>106414.17623519988</v>
      </c>
      <c r="AE15" s="226">
        <v>106639.14542694954</v>
      </c>
      <c r="AF15" s="226">
        <v>106861.10327294932</v>
      </c>
      <c r="AG15" s="226">
        <v>107102.32958645064</v>
      </c>
      <c r="AH15" s="226">
        <v>107339.81918910454</v>
      </c>
      <c r="AI15" s="226">
        <v>107573.96025574897</v>
      </c>
      <c r="AJ15" s="226">
        <v>107804.75782645206</v>
      </c>
      <c r="AK15" s="226">
        <v>108032.20476136349</v>
      </c>
      <c r="AL15" s="226">
        <v>108256.43096248485</v>
      </c>
      <c r="AM15" s="226">
        <v>108477.47577914115</v>
      </c>
      <c r="AN15" s="226">
        <v>108717.6411893577</v>
      </c>
      <c r="AO15" s="226">
        <v>108954.39458081158</v>
      </c>
      <c r="AP15" s="226">
        <v>109187.79421940785</v>
      </c>
      <c r="AQ15" s="226">
        <v>109417.90260792316</v>
      </c>
      <c r="AR15" s="226">
        <v>109644.7839229049</v>
      </c>
      <c r="AS15" s="226">
        <v>109868.49740082081</v>
      </c>
      <c r="AT15" s="226">
        <v>110111.35352510371</v>
      </c>
      <c r="AU15" s="226">
        <v>110350.80661575263</v>
      </c>
      <c r="AV15" s="226">
        <v>110586.9203093559</v>
      </c>
      <c r="AW15" s="226">
        <v>110819.75742595588</v>
      </c>
      <c r="AX15" s="226">
        <v>111049.37958201717</v>
      </c>
      <c r="AY15" s="226">
        <v>111298.09794060291</v>
      </c>
    </row>
    <row r="16" spans="1:51" ht="12.75" x14ac:dyDescent="0.2">
      <c r="A16" s="23" t="s">
        <v>263</v>
      </c>
      <c r="B16" s="221"/>
      <c r="D16" s="115"/>
      <c r="E16" s="115"/>
      <c r="F16" s="115"/>
      <c r="G16" s="115"/>
      <c r="H16" s="115"/>
      <c r="I16" s="115"/>
      <c r="J16" s="115"/>
      <c r="K16" s="115"/>
      <c r="L16" s="115"/>
      <c r="M16" s="115"/>
      <c r="N16" s="115"/>
      <c r="O16" s="115"/>
      <c r="P16" s="115"/>
      <c r="Q16" s="115"/>
      <c r="R16" s="115"/>
      <c r="S16" s="115"/>
      <c r="T16" s="115"/>
      <c r="U16" s="115"/>
      <c r="V16" s="115"/>
      <c r="W16" s="115"/>
      <c r="X16" s="115"/>
    </row>
    <row r="17" spans="1:51" ht="12.75" x14ac:dyDescent="0.2">
      <c r="A17" s="23" t="s">
        <v>273</v>
      </c>
      <c r="B17" s="240">
        <v>7.1127953079110517E-2</v>
      </c>
      <c r="D17" s="115">
        <v>30337</v>
      </c>
      <c r="E17" s="115">
        <v>32106</v>
      </c>
      <c r="F17" s="115">
        <v>35755</v>
      </c>
      <c r="G17" s="115">
        <v>36077</v>
      </c>
      <c r="H17" s="115">
        <v>37830</v>
      </c>
      <c r="I17" s="115">
        <v>38139</v>
      </c>
      <c r="J17" s="115">
        <v>38985</v>
      </c>
      <c r="K17" s="115">
        <v>40200</v>
      </c>
      <c r="L17" s="115">
        <v>38500</v>
      </c>
      <c r="M17" s="115">
        <v>43793</v>
      </c>
      <c r="N17" s="115">
        <v>43976</v>
      </c>
      <c r="O17" s="115">
        <v>44112</v>
      </c>
      <c r="P17" s="115">
        <v>43582</v>
      </c>
      <c r="Q17" s="115">
        <v>41175</v>
      </c>
      <c r="R17" s="115">
        <v>44454</v>
      </c>
      <c r="S17" s="115">
        <v>44454</v>
      </c>
      <c r="T17" s="115">
        <v>47850</v>
      </c>
      <c r="U17" s="115">
        <v>45979</v>
      </c>
      <c r="V17" s="115">
        <v>47228</v>
      </c>
      <c r="W17" s="115">
        <v>48972</v>
      </c>
      <c r="X17" s="115">
        <v>50225</v>
      </c>
      <c r="Y17" s="115">
        <v>52142.896301066328</v>
      </c>
      <c r="Z17" s="115">
        <v>53733.780256145576</v>
      </c>
      <c r="AA17" s="115">
        <v>55272.75972524118</v>
      </c>
      <c r="AB17" s="115">
        <v>56820.049471928411</v>
      </c>
      <c r="AC17" s="115">
        <v>58336.372623793155</v>
      </c>
      <c r="AD17" s="115">
        <v>59840.416602761106</v>
      </c>
      <c r="AE17" s="115">
        <v>61315.083712705818</v>
      </c>
      <c r="AF17" s="115">
        <v>62770.011530796794</v>
      </c>
      <c r="AG17" s="115">
        <v>64351.243644434086</v>
      </c>
      <c r="AH17" s="115">
        <v>65907.981717162154</v>
      </c>
      <c r="AI17" s="115">
        <v>67442.770224790846</v>
      </c>
      <c r="AJ17" s="115">
        <v>68955.642204833814</v>
      </c>
      <c r="AK17" s="115">
        <v>70446.550855760783</v>
      </c>
      <c r="AL17" s="115">
        <v>71916.347681761123</v>
      </c>
      <c r="AM17" s="115">
        <v>73365.290616620914</v>
      </c>
      <c r="AN17" s="115">
        <v>74939.568537247542</v>
      </c>
      <c r="AO17" s="115">
        <v>76491.480765004526</v>
      </c>
      <c r="AP17" s="115">
        <v>78021.40923136042</v>
      </c>
      <c r="AQ17" s="115">
        <v>79529.763640365418</v>
      </c>
      <c r="AR17" s="115">
        <v>81016.964667592692</v>
      </c>
      <c r="AS17" s="115">
        <v>82483.400606523486</v>
      </c>
      <c r="AT17" s="115">
        <v>84075.316086786916</v>
      </c>
      <c r="AU17" s="115">
        <v>85644.924771461796</v>
      </c>
      <c r="AV17" s="115">
        <v>87192.643796703938</v>
      </c>
      <c r="AW17" s="115">
        <v>88718.884946231672</v>
      </c>
      <c r="AX17" s="115">
        <v>90224.052114343242</v>
      </c>
      <c r="AY17" s="115">
        <v>91854.394385626118</v>
      </c>
    </row>
    <row r="18" spans="1:51" ht="12.75" x14ac:dyDescent="0.2">
      <c r="A18" s="60" t="s">
        <v>276</v>
      </c>
      <c r="B18" s="238"/>
      <c r="C18" s="212"/>
      <c r="D18" s="226">
        <v>30337</v>
      </c>
      <c r="E18" s="226">
        <v>32106</v>
      </c>
      <c r="F18" s="226">
        <v>35755</v>
      </c>
      <c r="G18" s="226">
        <v>36077</v>
      </c>
      <c r="H18" s="226">
        <v>37830</v>
      </c>
      <c r="I18" s="226">
        <v>38139</v>
      </c>
      <c r="J18" s="226">
        <v>38985</v>
      </c>
      <c r="K18" s="226">
        <v>40200</v>
      </c>
      <c r="L18" s="226">
        <v>38500</v>
      </c>
      <c r="M18" s="226">
        <v>43793</v>
      </c>
      <c r="N18" s="226">
        <v>43976</v>
      </c>
      <c r="O18" s="226">
        <v>44112</v>
      </c>
      <c r="P18" s="226">
        <v>43582</v>
      </c>
      <c r="Q18" s="226">
        <v>41175</v>
      </c>
      <c r="R18" s="226">
        <v>44454</v>
      </c>
      <c r="S18" s="226">
        <v>44454</v>
      </c>
      <c r="T18" s="226">
        <v>47850</v>
      </c>
      <c r="U18" s="226">
        <v>45979</v>
      </c>
      <c r="V18" s="226">
        <v>47228</v>
      </c>
      <c r="W18" s="226">
        <v>48972</v>
      </c>
      <c r="X18" s="226">
        <v>50225</v>
      </c>
      <c r="Y18" s="226">
        <v>52142.896301066328</v>
      </c>
      <c r="Z18" s="226">
        <v>53733.780256145576</v>
      </c>
      <c r="AA18" s="226">
        <v>55272.75972524118</v>
      </c>
      <c r="AB18" s="226">
        <v>56820.049471928411</v>
      </c>
      <c r="AC18" s="226">
        <v>58336.372623793155</v>
      </c>
      <c r="AD18" s="226">
        <v>59840.416602761106</v>
      </c>
      <c r="AE18" s="226">
        <v>61315.083712705818</v>
      </c>
      <c r="AF18" s="226">
        <v>62770.011530796794</v>
      </c>
      <c r="AG18" s="226">
        <v>64351.243644434086</v>
      </c>
      <c r="AH18" s="226">
        <v>65907.981717162154</v>
      </c>
      <c r="AI18" s="226">
        <v>67442.770224790846</v>
      </c>
      <c r="AJ18" s="226">
        <v>68955.642204833814</v>
      </c>
      <c r="AK18" s="226">
        <v>70446.550855760783</v>
      </c>
      <c r="AL18" s="226">
        <v>71916.347681761123</v>
      </c>
      <c r="AM18" s="226">
        <v>73365.290616620914</v>
      </c>
      <c r="AN18" s="226">
        <v>74939.568537247542</v>
      </c>
      <c r="AO18" s="226">
        <v>76491.480765004526</v>
      </c>
      <c r="AP18" s="226">
        <v>78021.40923136042</v>
      </c>
      <c r="AQ18" s="226">
        <v>79529.763640365418</v>
      </c>
      <c r="AR18" s="226">
        <v>81016.964667592692</v>
      </c>
      <c r="AS18" s="226">
        <v>82483.400606523486</v>
      </c>
      <c r="AT18" s="226">
        <v>84075.316086786916</v>
      </c>
      <c r="AU18" s="226">
        <v>85644.924771461796</v>
      </c>
      <c r="AV18" s="226">
        <v>87192.643796703938</v>
      </c>
      <c r="AW18" s="226">
        <v>88718.884946231672</v>
      </c>
      <c r="AX18" s="226">
        <v>90224.052114343242</v>
      </c>
      <c r="AY18" s="226">
        <v>91854.394385626118</v>
      </c>
    </row>
    <row r="19" spans="1:51" ht="12.75" x14ac:dyDescent="0.2">
      <c r="A19" s="60" t="s">
        <v>277</v>
      </c>
      <c r="B19" s="225"/>
      <c r="C19" s="226"/>
      <c r="D19" s="226">
        <v>64620</v>
      </c>
      <c r="E19" s="226">
        <v>66499</v>
      </c>
      <c r="F19" s="226">
        <v>70232</v>
      </c>
      <c r="G19" s="226">
        <v>76462</v>
      </c>
      <c r="H19" s="226">
        <v>78337</v>
      </c>
      <c r="I19" s="226">
        <v>78772</v>
      </c>
      <c r="J19" s="226">
        <v>85347</v>
      </c>
      <c r="K19" s="226">
        <v>86497</v>
      </c>
      <c r="L19" s="226">
        <v>90195</v>
      </c>
      <c r="M19" s="226">
        <v>95665</v>
      </c>
      <c r="N19" s="226">
        <v>96038</v>
      </c>
      <c r="O19" s="226">
        <v>113076</v>
      </c>
      <c r="P19" s="226">
        <v>111552</v>
      </c>
      <c r="Q19" s="226">
        <v>110991</v>
      </c>
      <c r="R19" s="226">
        <v>114582</v>
      </c>
      <c r="S19" s="226">
        <v>115582</v>
      </c>
      <c r="T19" s="226">
        <v>123105</v>
      </c>
      <c r="U19" s="226">
        <v>121453</v>
      </c>
      <c r="V19" s="226">
        <v>122565</v>
      </c>
      <c r="W19" s="226">
        <v>124534</v>
      </c>
      <c r="X19" s="226">
        <v>125787</v>
      </c>
      <c r="Y19" s="226">
        <v>132811.936942395</v>
      </c>
      <c r="Z19" s="226">
        <v>151183.01965648783</v>
      </c>
      <c r="AA19" s="226">
        <v>160990.11288152667</v>
      </c>
      <c r="AB19" s="226">
        <v>162773.450832834</v>
      </c>
      <c r="AC19" s="226">
        <v>164521.09805208037</v>
      </c>
      <c r="AD19" s="226">
        <v>166254.59283796098</v>
      </c>
      <c r="AE19" s="226">
        <v>167954.22913965536</v>
      </c>
      <c r="AF19" s="226">
        <v>169631.11480374611</v>
      </c>
      <c r="AG19" s="226">
        <v>171453.57323088474</v>
      </c>
      <c r="AH19" s="226">
        <v>173247.8009062667</v>
      </c>
      <c r="AI19" s="226">
        <v>175016.73048053982</v>
      </c>
      <c r="AJ19" s="226">
        <v>176760.40003128588</v>
      </c>
      <c r="AK19" s="226">
        <v>178478.75561712426</v>
      </c>
      <c r="AL19" s="226">
        <v>180172.77864424599</v>
      </c>
      <c r="AM19" s="226">
        <v>181842.76639576207</v>
      </c>
      <c r="AN19" s="226">
        <v>183657.20972660524</v>
      </c>
      <c r="AO19" s="226">
        <v>185445.87534581611</v>
      </c>
      <c r="AP19" s="226">
        <v>187209.20345076825</v>
      </c>
      <c r="AQ19" s="226">
        <v>188947.66624828859</v>
      </c>
      <c r="AR19" s="226">
        <v>190661.74859049759</v>
      </c>
      <c r="AS19" s="226">
        <v>192351.89800734428</v>
      </c>
      <c r="AT19" s="226">
        <v>194186.66961189063</v>
      </c>
      <c r="AU19" s="226">
        <v>195995.73138721444</v>
      </c>
      <c r="AV19" s="226">
        <v>197779.56410605984</v>
      </c>
      <c r="AW19" s="226">
        <v>199538.64237218755</v>
      </c>
      <c r="AX19" s="226">
        <v>201273.43169636041</v>
      </c>
      <c r="AY19" s="226">
        <v>203152.49232622902</v>
      </c>
    </row>
    <row r="20" spans="1:51" ht="12.75" x14ac:dyDescent="0.2">
      <c r="A20" s="60" t="s">
        <v>16</v>
      </c>
      <c r="B20" s="225"/>
      <c r="C20" s="226"/>
      <c r="D20" s="226">
        <v>238753</v>
      </c>
      <c r="E20" s="226">
        <v>254558</v>
      </c>
      <c r="F20" s="226">
        <v>270289</v>
      </c>
      <c r="G20" s="226">
        <v>284308</v>
      </c>
      <c r="H20" s="226">
        <v>307687</v>
      </c>
      <c r="I20" s="226">
        <v>322693</v>
      </c>
      <c r="J20" s="226">
        <v>339592</v>
      </c>
      <c r="K20" s="226">
        <v>352428</v>
      </c>
      <c r="L20" s="226">
        <v>362573</v>
      </c>
      <c r="M20" s="226">
        <v>370292</v>
      </c>
      <c r="N20" s="226">
        <v>383080</v>
      </c>
      <c r="O20" s="226">
        <v>378425</v>
      </c>
      <c r="P20" s="226">
        <v>393506</v>
      </c>
      <c r="Q20" s="226">
        <v>414446</v>
      </c>
      <c r="R20" s="226">
        <v>428151</v>
      </c>
      <c r="S20" s="226">
        <v>483305</v>
      </c>
      <c r="T20" s="226">
        <v>490948</v>
      </c>
      <c r="U20" s="226">
        <v>516035</v>
      </c>
      <c r="V20" s="226">
        <v>534951</v>
      </c>
      <c r="W20" s="226">
        <v>560949</v>
      </c>
      <c r="X20" s="226">
        <v>589828</v>
      </c>
      <c r="Y20" s="226">
        <v>600273.91810915596</v>
      </c>
      <c r="Z20" s="226">
        <v>604269.34372561797</v>
      </c>
      <c r="AA20" s="226">
        <v>616099.02482731827</v>
      </c>
      <c r="AB20" s="226">
        <v>636069.29681001673</v>
      </c>
      <c r="AC20" s="226">
        <v>655639.89489691949</v>
      </c>
      <c r="AD20" s="226">
        <v>675052.01043522614</v>
      </c>
      <c r="AE20" s="226">
        <v>694084.97005548317</v>
      </c>
      <c r="AF20" s="226">
        <v>712863.16224907746</v>
      </c>
      <c r="AG20" s="226">
        <v>733271.5152706895</v>
      </c>
      <c r="AH20" s="226">
        <v>753363.73315345019</v>
      </c>
      <c r="AI20" s="226">
        <v>773172.65646525193</v>
      </c>
      <c r="AJ20" s="226">
        <v>792698.71160854143</v>
      </c>
      <c r="AK20" s="226">
        <v>811941.29453401873</v>
      </c>
      <c r="AL20" s="226">
        <v>830911.39527783683</v>
      </c>
      <c r="AM20" s="226">
        <v>849612.34289188974</v>
      </c>
      <c r="AN20" s="226">
        <v>869930.94082649227</v>
      </c>
      <c r="AO20" s="226">
        <v>889960.87338950229</v>
      </c>
      <c r="AP20" s="226">
        <v>909707.07002307684</v>
      </c>
      <c r="AQ20" s="226">
        <v>929174.81861937197</v>
      </c>
      <c r="AR20" s="226">
        <v>948369.54867575923</v>
      </c>
      <c r="AS20" s="226">
        <v>967296.27174643916</v>
      </c>
      <c r="AT20" s="226">
        <v>987842.51086060214</v>
      </c>
      <c r="AU20" s="226">
        <v>1008100.8447676636</v>
      </c>
      <c r="AV20" s="226">
        <v>1028076.6572831009</v>
      </c>
      <c r="AW20" s="226">
        <v>1047775.2631405442</v>
      </c>
      <c r="AX20" s="226">
        <v>1067201.875247922</v>
      </c>
      <c r="AY20" s="226">
        <v>1088244.0741328544</v>
      </c>
    </row>
    <row r="21" spans="1:51" ht="12.75" x14ac:dyDescent="0.2">
      <c r="A21" s="69" t="s">
        <v>244</v>
      </c>
      <c r="B21" s="221"/>
      <c r="D21" s="115">
        <v>0</v>
      </c>
      <c r="E21" s="115">
        <v>0</v>
      </c>
      <c r="F21" s="115">
        <v>0</v>
      </c>
      <c r="G21" s="115">
        <v>0</v>
      </c>
      <c r="H21" s="115">
        <v>0</v>
      </c>
      <c r="I21" s="115">
        <v>0</v>
      </c>
      <c r="J21" s="115">
        <v>0</v>
      </c>
      <c r="K21" s="115">
        <v>0</v>
      </c>
      <c r="L21" s="115">
        <v>0</v>
      </c>
      <c r="M21" s="115">
        <v>0</v>
      </c>
      <c r="N21" s="115">
        <v>0</v>
      </c>
      <c r="O21" s="115">
        <v>0</v>
      </c>
      <c r="P21" s="115">
        <v>0</v>
      </c>
      <c r="Q21" s="115">
        <v>0</v>
      </c>
      <c r="R21" s="115">
        <v>0</v>
      </c>
      <c r="S21" s="115">
        <v>0</v>
      </c>
      <c r="T21" s="115">
        <v>0</v>
      </c>
      <c r="U21" s="115">
        <v>0</v>
      </c>
      <c r="V21" s="115">
        <v>0</v>
      </c>
      <c r="W21" s="115">
        <v>0</v>
      </c>
      <c r="X21" s="115">
        <v>0</v>
      </c>
    </row>
    <row r="22" spans="1:51" ht="12.75" x14ac:dyDescent="0.2">
      <c r="A22" s="69" t="s">
        <v>18</v>
      </c>
      <c r="B22" s="221"/>
    </row>
    <row r="23" spans="1:51" ht="12.75" x14ac:dyDescent="0.2">
      <c r="A23" s="23" t="s">
        <v>19</v>
      </c>
      <c r="B23" s="221"/>
    </row>
    <row r="24" spans="1:51" ht="12.75" x14ac:dyDescent="0.2">
      <c r="A24" s="23" t="s">
        <v>279</v>
      </c>
      <c r="B24" s="224">
        <v>28977</v>
      </c>
      <c r="D24" s="251">
        <v>20800</v>
      </c>
      <c r="E24" s="251">
        <v>21162</v>
      </c>
      <c r="F24" s="251">
        <v>24016</v>
      </c>
      <c r="G24" s="251">
        <v>24060</v>
      </c>
      <c r="H24" s="251">
        <v>23821</v>
      </c>
      <c r="I24" s="251">
        <v>23226</v>
      </c>
      <c r="J24" s="251">
        <v>24060</v>
      </c>
      <c r="K24" s="251">
        <v>26430</v>
      </c>
      <c r="L24" s="251">
        <v>23500</v>
      </c>
      <c r="M24" s="251">
        <v>27820</v>
      </c>
      <c r="N24" s="251">
        <v>29340</v>
      </c>
      <c r="O24" s="251">
        <v>27420</v>
      </c>
      <c r="P24" s="251">
        <v>26920</v>
      </c>
      <c r="Q24" s="251">
        <v>27893</v>
      </c>
      <c r="R24" s="251">
        <v>27893</v>
      </c>
      <c r="S24" s="251">
        <v>29881</v>
      </c>
      <c r="T24" s="251">
        <v>28893</v>
      </c>
      <c r="U24" s="251">
        <v>27658</v>
      </c>
      <c r="V24" s="251">
        <v>27287</v>
      </c>
      <c r="W24" s="251">
        <v>29822</v>
      </c>
      <c r="X24" s="251">
        <v>29822</v>
      </c>
      <c r="Y24" s="25">
        <v>10000</v>
      </c>
      <c r="Z24" s="25">
        <v>0</v>
      </c>
      <c r="AA24" s="25">
        <v>0</v>
      </c>
      <c r="AB24" s="25">
        <v>0</v>
      </c>
      <c r="AC24" s="25">
        <v>0</v>
      </c>
      <c r="AD24" s="25">
        <v>0</v>
      </c>
      <c r="AE24" s="25">
        <v>0</v>
      </c>
      <c r="AF24" s="25">
        <v>0</v>
      </c>
      <c r="AG24" s="25">
        <v>0</v>
      </c>
      <c r="AH24" s="25">
        <v>0</v>
      </c>
      <c r="AI24" s="25">
        <v>0</v>
      </c>
      <c r="AJ24" s="25">
        <v>0</v>
      </c>
      <c r="AK24" s="25">
        <v>0</v>
      </c>
      <c r="AL24" s="25">
        <v>0</v>
      </c>
      <c r="AM24" s="25">
        <v>0</v>
      </c>
      <c r="AN24" s="25">
        <v>0</v>
      </c>
      <c r="AO24" s="25">
        <v>0</v>
      </c>
      <c r="AP24" s="25">
        <v>0</v>
      </c>
      <c r="AQ24" s="25">
        <v>0</v>
      </c>
      <c r="AR24" s="25">
        <v>0</v>
      </c>
      <c r="AS24" s="25">
        <v>0</v>
      </c>
      <c r="AT24" s="25">
        <v>0</v>
      </c>
      <c r="AU24" s="25">
        <v>0</v>
      </c>
      <c r="AV24" s="25">
        <v>0</v>
      </c>
      <c r="AW24" s="25">
        <v>0</v>
      </c>
      <c r="AX24" s="25">
        <v>0</v>
      </c>
      <c r="AY24" s="25">
        <v>0</v>
      </c>
    </row>
    <row r="25" spans="1:51" ht="12.75" x14ac:dyDescent="0.2">
      <c r="A25" s="23" t="s">
        <v>281</v>
      </c>
      <c r="B25" s="221"/>
      <c r="D25" s="115"/>
      <c r="E25" s="115"/>
      <c r="F25" s="115"/>
      <c r="G25" s="115"/>
      <c r="H25" s="115"/>
      <c r="I25" s="115"/>
      <c r="J25" s="115"/>
      <c r="K25" s="115"/>
      <c r="L25" s="115"/>
      <c r="M25" s="115"/>
      <c r="N25" s="115"/>
      <c r="O25" s="115"/>
      <c r="P25" s="115"/>
      <c r="Q25" s="115"/>
      <c r="R25" s="115"/>
      <c r="S25" s="115"/>
      <c r="T25" s="115"/>
      <c r="U25" s="115"/>
      <c r="V25" s="115"/>
      <c r="W25" s="115"/>
      <c r="X25" s="115"/>
    </row>
    <row r="26" spans="1:51" ht="12.75" x14ac:dyDescent="0.2">
      <c r="A26" s="23" t="s">
        <v>282</v>
      </c>
      <c r="B26" s="224">
        <v>4450</v>
      </c>
      <c r="D26" s="115">
        <v>2966</v>
      </c>
      <c r="E26" s="115">
        <v>3164</v>
      </c>
      <c r="F26" s="115">
        <v>3361</v>
      </c>
      <c r="G26" s="115">
        <v>3361</v>
      </c>
      <c r="H26" s="115">
        <v>3361</v>
      </c>
      <c r="I26" s="115">
        <v>3559</v>
      </c>
      <c r="J26" s="115">
        <v>3559</v>
      </c>
      <c r="K26" s="115">
        <v>3559</v>
      </c>
      <c r="L26" s="115">
        <v>3756</v>
      </c>
      <c r="M26" s="115">
        <v>3756</v>
      </c>
      <c r="N26" s="115">
        <v>3756</v>
      </c>
      <c r="O26" s="115">
        <v>4150</v>
      </c>
      <c r="P26" s="115">
        <v>4150</v>
      </c>
      <c r="Q26" s="115">
        <v>4150</v>
      </c>
      <c r="R26" s="115">
        <v>4150</v>
      </c>
      <c r="S26" s="115">
        <v>4150</v>
      </c>
      <c r="T26" s="115">
        <v>4450</v>
      </c>
      <c r="U26" s="115">
        <v>4450</v>
      </c>
      <c r="V26" s="115">
        <v>4450</v>
      </c>
      <c r="W26" s="115">
        <v>4450</v>
      </c>
      <c r="X26" s="115">
        <v>4450</v>
      </c>
      <c r="Y26" s="25">
        <v>18243.333333333336</v>
      </c>
      <c r="Z26" s="25">
        <v>18243.333333333336</v>
      </c>
      <c r="AA26" s="25">
        <v>19176.666666666668</v>
      </c>
      <c r="AB26" s="25">
        <v>19176.666666666668</v>
      </c>
      <c r="AC26" s="25">
        <v>19176.666666666668</v>
      </c>
      <c r="AD26" s="25">
        <v>19176.666666666668</v>
      </c>
      <c r="AE26" s="25">
        <v>19176.666666666668</v>
      </c>
      <c r="AF26" s="25">
        <v>19176.666666666668</v>
      </c>
      <c r="AG26" s="25">
        <v>19176.666666666668</v>
      </c>
      <c r="AH26" s="25">
        <v>19176.666666666668</v>
      </c>
      <c r="AI26" s="25">
        <v>19176.666666666668</v>
      </c>
      <c r="AJ26" s="25">
        <v>19176.666666666668</v>
      </c>
      <c r="AK26" s="25">
        <v>19176.666666666668</v>
      </c>
      <c r="AL26" s="25">
        <v>19176.666666666668</v>
      </c>
      <c r="AM26" s="25">
        <v>19176.666666666668</v>
      </c>
      <c r="AN26" s="25">
        <v>19176.666666666668</v>
      </c>
      <c r="AO26" s="25">
        <v>19176.666666666668</v>
      </c>
      <c r="AP26" s="25">
        <v>19176.666666666668</v>
      </c>
      <c r="AQ26" s="25">
        <v>19176.666666666668</v>
      </c>
      <c r="AR26" s="25">
        <v>19176.666666666668</v>
      </c>
      <c r="AS26" s="25">
        <v>19176.666666666668</v>
      </c>
      <c r="AT26" s="25">
        <v>19176.666666666668</v>
      </c>
      <c r="AU26" s="25">
        <v>19176.666666666668</v>
      </c>
      <c r="AV26" s="25">
        <v>19176.666666666668</v>
      </c>
      <c r="AW26" s="25">
        <v>19176.666666666668</v>
      </c>
      <c r="AX26" s="25">
        <v>19176.666666666668</v>
      </c>
      <c r="AY26" s="25">
        <v>19176.666666666668</v>
      </c>
    </row>
    <row r="27" spans="1:51" ht="12.75" x14ac:dyDescent="0.2">
      <c r="A27" s="23" t="s">
        <v>283</v>
      </c>
      <c r="B27" s="224">
        <v>19450</v>
      </c>
      <c r="D27" s="115">
        <v>14850</v>
      </c>
      <c r="E27" s="115">
        <v>15600</v>
      </c>
      <c r="F27" s="115">
        <v>16574</v>
      </c>
      <c r="G27" s="115">
        <v>16574</v>
      </c>
      <c r="H27" s="115">
        <v>16574</v>
      </c>
      <c r="I27" s="115">
        <v>17549</v>
      </c>
      <c r="J27" s="115">
        <v>17549</v>
      </c>
      <c r="K27" s="115">
        <v>17549</v>
      </c>
      <c r="L27" s="115">
        <v>18017</v>
      </c>
      <c r="M27" s="115">
        <v>18017</v>
      </c>
      <c r="N27" s="115">
        <v>18017</v>
      </c>
      <c r="O27" s="115">
        <v>18962</v>
      </c>
      <c r="P27" s="115">
        <v>18962</v>
      </c>
      <c r="Q27" s="115">
        <v>18962</v>
      </c>
      <c r="R27" s="115">
        <v>18962</v>
      </c>
      <c r="S27" s="115">
        <v>18962</v>
      </c>
      <c r="T27" s="115">
        <v>19450</v>
      </c>
      <c r="U27" s="115">
        <v>19450</v>
      </c>
      <c r="V27" s="115">
        <v>19450</v>
      </c>
      <c r="W27" s="115">
        <v>19450</v>
      </c>
      <c r="X27" s="115">
        <v>19450</v>
      </c>
      <c r="Y27" s="25">
        <v>19897.5</v>
      </c>
      <c r="Z27" s="25">
        <v>20797.5</v>
      </c>
      <c r="AA27" s="25">
        <v>21772.5</v>
      </c>
      <c r="AB27" s="25">
        <v>21772.5</v>
      </c>
      <c r="AC27" s="25">
        <v>21772.5</v>
      </c>
      <c r="AD27" s="25">
        <v>21772.5</v>
      </c>
      <c r="AE27" s="25">
        <v>21772.5</v>
      </c>
      <c r="AF27" s="25">
        <v>21772.5</v>
      </c>
      <c r="AG27" s="25">
        <v>21772.5</v>
      </c>
      <c r="AH27" s="25">
        <v>21772.5</v>
      </c>
      <c r="AI27" s="25">
        <v>21772.5</v>
      </c>
      <c r="AJ27" s="25">
        <v>21772.5</v>
      </c>
      <c r="AK27" s="25">
        <v>21772.5</v>
      </c>
      <c r="AL27" s="25">
        <v>21772.5</v>
      </c>
      <c r="AM27" s="25">
        <v>21772.5</v>
      </c>
      <c r="AN27" s="25">
        <v>21772.5</v>
      </c>
      <c r="AO27" s="25">
        <v>21772.5</v>
      </c>
      <c r="AP27" s="25">
        <v>21772.5</v>
      </c>
      <c r="AQ27" s="25">
        <v>21772.5</v>
      </c>
      <c r="AR27" s="25">
        <v>21772.5</v>
      </c>
      <c r="AS27" s="25">
        <v>21772.5</v>
      </c>
      <c r="AT27" s="25">
        <v>21772.5</v>
      </c>
      <c r="AU27" s="25">
        <v>21772.5</v>
      </c>
      <c r="AV27" s="25">
        <v>21772.5</v>
      </c>
      <c r="AW27" s="25">
        <v>21772.5</v>
      </c>
      <c r="AX27" s="25">
        <v>21772.5</v>
      </c>
      <c r="AY27" s="25">
        <v>21772.5</v>
      </c>
    </row>
    <row r="28" spans="1:51" ht="12.75" x14ac:dyDescent="0.2">
      <c r="A28" s="23" t="s">
        <v>284</v>
      </c>
      <c r="B28" s="224">
        <v>215694</v>
      </c>
      <c r="D28" s="115">
        <v>165000</v>
      </c>
      <c r="E28" s="115">
        <v>173328</v>
      </c>
      <c r="F28" s="115">
        <v>184161</v>
      </c>
      <c r="G28" s="115">
        <v>184161</v>
      </c>
      <c r="H28" s="115">
        <v>184161</v>
      </c>
      <c r="I28" s="115">
        <v>194994</v>
      </c>
      <c r="J28" s="115">
        <v>194994</v>
      </c>
      <c r="K28" s="115">
        <v>194994</v>
      </c>
      <c r="L28" s="115">
        <v>200194</v>
      </c>
      <c r="M28" s="115">
        <v>200194</v>
      </c>
      <c r="N28" s="115">
        <v>200194</v>
      </c>
      <c r="O28" s="115">
        <v>210694</v>
      </c>
      <c r="P28" s="115">
        <v>210694</v>
      </c>
      <c r="Q28" s="115">
        <v>210694</v>
      </c>
      <c r="R28" s="115">
        <v>210694</v>
      </c>
      <c r="S28" s="115">
        <v>210694</v>
      </c>
      <c r="T28" s="115">
        <v>215694</v>
      </c>
      <c r="U28" s="115">
        <v>215694</v>
      </c>
      <c r="V28" s="115">
        <v>215694</v>
      </c>
      <c r="W28" s="115">
        <v>215694</v>
      </c>
      <c r="X28" s="115">
        <v>215694</v>
      </c>
      <c r="Y28" s="25">
        <v>231083.33333333334</v>
      </c>
      <c r="Z28" s="25">
        <v>231083.33333333334</v>
      </c>
      <c r="AA28" s="25">
        <v>241916.66666666669</v>
      </c>
      <c r="AB28" s="25">
        <v>241916.66666666669</v>
      </c>
      <c r="AC28" s="25">
        <v>241916.66666666669</v>
      </c>
      <c r="AD28" s="25">
        <v>241916.66666666669</v>
      </c>
      <c r="AE28" s="25">
        <v>241916.66666666669</v>
      </c>
      <c r="AF28" s="25">
        <v>241916.66666666669</v>
      </c>
      <c r="AG28" s="25">
        <v>241916.66666666669</v>
      </c>
      <c r="AH28" s="25">
        <v>241916.66666666669</v>
      </c>
      <c r="AI28" s="25">
        <v>241916.66666666669</v>
      </c>
      <c r="AJ28" s="25">
        <v>241916.66666666669</v>
      </c>
      <c r="AK28" s="25">
        <v>241916.66666666669</v>
      </c>
      <c r="AL28" s="25">
        <v>241916.66666666669</v>
      </c>
      <c r="AM28" s="25">
        <v>241916.66666666669</v>
      </c>
      <c r="AN28" s="25">
        <v>241916.66666666669</v>
      </c>
      <c r="AO28" s="25">
        <v>241916.66666666669</v>
      </c>
      <c r="AP28" s="25">
        <v>241916.66666666669</v>
      </c>
      <c r="AQ28" s="25">
        <v>241916.66666666669</v>
      </c>
      <c r="AR28" s="25">
        <v>241916.66666666669</v>
      </c>
      <c r="AS28" s="25">
        <v>241916.66666666669</v>
      </c>
      <c r="AT28" s="25">
        <v>241916.66666666669</v>
      </c>
      <c r="AU28" s="25">
        <v>241916.66666666669</v>
      </c>
      <c r="AV28" s="25">
        <v>241916.66666666669</v>
      </c>
      <c r="AW28" s="25">
        <v>241916.66666666669</v>
      </c>
      <c r="AX28" s="25">
        <v>241916.66666666669</v>
      </c>
      <c r="AY28" s="25">
        <v>241916.66666666669</v>
      </c>
    </row>
    <row r="29" spans="1:51" ht="12.75" x14ac:dyDescent="0.2">
      <c r="A29" s="60" t="s">
        <v>285</v>
      </c>
      <c r="B29" s="238"/>
      <c r="C29" s="212"/>
      <c r="D29" s="226">
        <v>182816</v>
      </c>
      <c r="E29" s="226">
        <v>192092</v>
      </c>
      <c r="F29" s="226">
        <v>204096</v>
      </c>
      <c r="G29" s="226">
        <v>204096</v>
      </c>
      <c r="H29" s="226">
        <v>204096</v>
      </c>
      <c r="I29" s="226">
        <v>216102</v>
      </c>
      <c r="J29" s="226">
        <v>216102</v>
      </c>
      <c r="K29" s="226">
        <v>216102</v>
      </c>
      <c r="L29" s="226">
        <v>221967</v>
      </c>
      <c r="M29" s="226">
        <v>221967</v>
      </c>
      <c r="N29" s="226">
        <v>221967</v>
      </c>
      <c r="O29" s="226">
        <v>233806</v>
      </c>
      <c r="P29" s="226">
        <v>233806</v>
      </c>
      <c r="Q29" s="226">
        <v>233806</v>
      </c>
      <c r="R29" s="226">
        <v>233806</v>
      </c>
      <c r="S29" s="226">
        <v>233806</v>
      </c>
      <c r="T29" s="226">
        <v>239594</v>
      </c>
      <c r="U29" s="226">
        <v>239594</v>
      </c>
      <c r="V29" s="226">
        <v>239594</v>
      </c>
      <c r="W29" s="226">
        <v>239594</v>
      </c>
      <c r="X29" s="226">
        <v>239594</v>
      </c>
      <c r="Y29" s="226">
        <v>269224.16666666669</v>
      </c>
      <c r="Z29" s="226">
        <v>270124.16666666669</v>
      </c>
      <c r="AA29" s="226">
        <v>282865.83333333337</v>
      </c>
      <c r="AB29" s="226">
        <v>282865.83333333337</v>
      </c>
      <c r="AC29" s="226">
        <v>282865.83333333337</v>
      </c>
      <c r="AD29" s="226">
        <v>282865.83333333337</v>
      </c>
      <c r="AE29" s="226">
        <v>282865.83333333337</v>
      </c>
      <c r="AF29" s="226">
        <v>282865.83333333337</v>
      </c>
      <c r="AG29" s="226">
        <v>282865.83333333337</v>
      </c>
      <c r="AH29" s="226">
        <v>282865.83333333337</v>
      </c>
      <c r="AI29" s="226">
        <v>282865.83333333337</v>
      </c>
      <c r="AJ29" s="226">
        <v>282865.83333333337</v>
      </c>
      <c r="AK29" s="226">
        <v>282865.83333333337</v>
      </c>
      <c r="AL29" s="226">
        <v>282865.83333333337</v>
      </c>
      <c r="AM29" s="226">
        <v>282865.83333333337</v>
      </c>
      <c r="AN29" s="226">
        <v>282865.83333333337</v>
      </c>
      <c r="AO29" s="226">
        <v>282865.83333333337</v>
      </c>
      <c r="AP29" s="226">
        <v>282865.83333333337</v>
      </c>
      <c r="AQ29" s="226">
        <v>282865.83333333337</v>
      </c>
      <c r="AR29" s="226">
        <v>282865.83333333337</v>
      </c>
      <c r="AS29" s="226">
        <v>282865.83333333337</v>
      </c>
      <c r="AT29" s="226">
        <v>282865.83333333337</v>
      </c>
      <c r="AU29" s="226">
        <v>282865.83333333337</v>
      </c>
      <c r="AV29" s="226">
        <v>282865.83333333337</v>
      </c>
      <c r="AW29" s="226">
        <v>282865.83333333337</v>
      </c>
      <c r="AX29" s="226">
        <v>282865.83333333337</v>
      </c>
      <c r="AY29" s="226">
        <v>282865.83333333337</v>
      </c>
    </row>
    <row r="30" spans="1:51" ht="12.75" x14ac:dyDescent="0.2">
      <c r="A30" s="60" t="s">
        <v>331</v>
      </c>
      <c r="B30" s="238"/>
      <c r="C30" s="212"/>
      <c r="D30" s="226">
        <v>203616</v>
      </c>
      <c r="E30" s="226">
        <v>213254</v>
      </c>
      <c r="F30" s="226">
        <v>228112</v>
      </c>
      <c r="G30" s="226">
        <v>228156</v>
      </c>
      <c r="H30" s="226">
        <v>227917</v>
      </c>
      <c r="I30" s="226">
        <v>239328</v>
      </c>
      <c r="J30" s="226">
        <v>240162</v>
      </c>
      <c r="K30" s="226">
        <v>242532</v>
      </c>
      <c r="L30" s="226">
        <v>245467</v>
      </c>
      <c r="M30" s="226">
        <v>249787</v>
      </c>
      <c r="N30" s="226">
        <v>251307</v>
      </c>
      <c r="O30" s="226">
        <v>261226</v>
      </c>
      <c r="P30" s="226">
        <v>260726</v>
      </c>
      <c r="Q30" s="226">
        <v>261699</v>
      </c>
      <c r="R30" s="226">
        <v>261699</v>
      </c>
      <c r="S30" s="226">
        <v>263687</v>
      </c>
      <c r="T30" s="226">
        <v>268487</v>
      </c>
      <c r="U30" s="226">
        <v>267252</v>
      </c>
      <c r="V30" s="226">
        <v>266881</v>
      </c>
      <c r="W30" s="226">
        <v>269416</v>
      </c>
      <c r="X30" s="226">
        <v>269416</v>
      </c>
      <c r="Y30" s="226">
        <v>279224.16666666669</v>
      </c>
      <c r="Z30" s="226">
        <v>270124.16666666669</v>
      </c>
      <c r="AA30" s="226">
        <v>282865.83333333337</v>
      </c>
      <c r="AB30" s="226">
        <v>282865.83333333337</v>
      </c>
      <c r="AC30" s="226">
        <v>282865.83333333337</v>
      </c>
      <c r="AD30" s="226">
        <v>282865.83333333337</v>
      </c>
      <c r="AE30" s="226">
        <v>282865.83333333337</v>
      </c>
      <c r="AF30" s="226">
        <v>282865.83333333337</v>
      </c>
      <c r="AG30" s="226">
        <v>282865.83333333337</v>
      </c>
      <c r="AH30" s="226">
        <v>282865.83333333337</v>
      </c>
      <c r="AI30" s="226">
        <v>282865.83333333337</v>
      </c>
      <c r="AJ30" s="226">
        <v>282865.83333333337</v>
      </c>
      <c r="AK30" s="226">
        <v>282865.83333333337</v>
      </c>
      <c r="AL30" s="226">
        <v>282865.83333333337</v>
      </c>
      <c r="AM30" s="226">
        <v>282865.83333333337</v>
      </c>
      <c r="AN30" s="226">
        <v>282865.83333333337</v>
      </c>
      <c r="AO30" s="226">
        <v>282865.83333333337</v>
      </c>
      <c r="AP30" s="226">
        <v>282865.83333333337</v>
      </c>
      <c r="AQ30" s="226">
        <v>282865.83333333337</v>
      </c>
      <c r="AR30" s="226">
        <v>282865.83333333337</v>
      </c>
      <c r="AS30" s="226">
        <v>282865.83333333337</v>
      </c>
      <c r="AT30" s="226">
        <v>282865.83333333337</v>
      </c>
      <c r="AU30" s="226">
        <v>282865.83333333337</v>
      </c>
      <c r="AV30" s="226">
        <v>282865.83333333337</v>
      </c>
      <c r="AW30" s="226">
        <v>282865.83333333337</v>
      </c>
      <c r="AX30" s="226">
        <v>282865.83333333337</v>
      </c>
      <c r="AY30" s="226">
        <v>282865.83333333337</v>
      </c>
    </row>
    <row r="31" spans="1:51" ht="12.75" x14ac:dyDescent="0.2">
      <c r="A31" s="69" t="s">
        <v>244</v>
      </c>
      <c r="B31" s="221"/>
      <c r="D31" s="115">
        <v>0</v>
      </c>
      <c r="E31" s="115">
        <v>0</v>
      </c>
      <c r="F31" s="115">
        <v>0</v>
      </c>
      <c r="G31" s="115">
        <v>0</v>
      </c>
      <c r="H31" s="115">
        <v>0</v>
      </c>
      <c r="I31" s="115">
        <v>0</v>
      </c>
      <c r="J31" s="115">
        <v>0</v>
      </c>
      <c r="K31" s="115">
        <v>0</v>
      </c>
      <c r="L31" s="115">
        <v>0</v>
      </c>
      <c r="M31" s="115">
        <v>0</v>
      </c>
      <c r="N31" s="115">
        <v>0</v>
      </c>
      <c r="O31" s="115">
        <v>0</v>
      </c>
      <c r="P31" s="115">
        <v>0</v>
      </c>
      <c r="Q31" s="115">
        <v>0</v>
      </c>
      <c r="R31" s="115">
        <v>0</v>
      </c>
      <c r="S31" s="115">
        <v>0</v>
      </c>
      <c r="T31" s="115">
        <v>0</v>
      </c>
      <c r="U31" s="115">
        <v>0</v>
      </c>
      <c r="V31" s="115">
        <v>0</v>
      </c>
      <c r="W31" s="115">
        <v>0</v>
      </c>
      <c r="X31" s="115">
        <v>0</v>
      </c>
    </row>
    <row r="32" spans="1:51" ht="12.75" x14ac:dyDescent="0.2">
      <c r="A32" s="23" t="s">
        <v>21</v>
      </c>
      <c r="B32" s="221"/>
    </row>
    <row r="33" spans="1:51" ht="12.75" x14ac:dyDescent="0.2">
      <c r="A33" s="23" t="s">
        <v>287</v>
      </c>
      <c r="B33" s="224">
        <v>272.33333333333331</v>
      </c>
      <c r="D33" s="115">
        <v>180</v>
      </c>
      <c r="E33" s="115">
        <v>178</v>
      </c>
      <c r="F33" s="115">
        <v>208</v>
      </c>
      <c r="G33" s="115">
        <v>210</v>
      </c>
      <c r="H33" s="115">
        <v>183</v>
      </c>
      <c r="I33" s="115">
        <v>197</v>
      </c>
      <c r="J33" s="115">
        <v>192</v>
      </c>
      <c r="K33" s="115">
        <v>208</v>
      </c>
      <c r="L33" s="115">
        <v>239</v>
      </c>
      <c r="M33" s="115">
        <v>212</v>
      </c>
      <c r="N33" s="115">
        <v>251</v>
      </c>
      <c r="O33" s="115">
        <v>293</v>
      </c>
      <c r="P33" s="115">
        <v>312</v>
      </c>
      <c r="Q33" s="115">
        <v>342</v>
      </c>
      <c r="R33" s="115">
        <v>224</v>
      </c>
      <c r="S33" s="115">
        <v>231</v>
      </c>
      <c r="T33" s="115">
        <v>211</v>
      </c>
      <c r="U33" s="115">
        <v>239</v>
      </c>
      <c r="V33" s="115">
        <v>249</v>
      </c>
      <c r="W33" s="115">
        <v>261</v>
      </c>
      <c r="X33" s="115">
        <v>307</v>
      </c>
      <c r="Y33" s="165">
        <v>272.33333333333331</v>
      </c>
      <c r="Z33" s="165">
        <v>272.33333333333331</v>
      </c>
      <c r="AA33" s="165">
        <v>272.33333333333331</v>
      </c>
      <c r="AB33" s="165">
        <v>272.33333333333331</v>
      </c>
      <c r="AC33" s="165">
        <v>272.33333333333331</v>
      </c>
      <c r="AD33" s="165">
        <v>272.33333333333331</v>
      </c>
      <c r="AE33" s="165">
        <v>272.33333333333331</v>
      </c>
      <c r="AF33" s="165">
        <v>272.33333333333331</v>
      </c>
      <c r="AG33" s="165">
        <v>272.33333333333331</v>
      </c>
      <c r="AH33" s="165">
        <v>272.33333333333331</v>
      </c>
      <c r="AI33" s="165">
        <v>272.33333333333331</v>
      </c>
      <c r="AJ33" s="165">
        <v>272.33333333333331</v>
      </c>
      <c r="AK33" s="165">
        <v>272.33333333333331</v>
      </c>
      <c r="AL33" s="165">
        <v>272.33333333333331</v>
      </c>
      <c r="AM33" s="165">
        <v>272.33333333333331</v>
      </c>
      <c r="AN33" s="165">
        <v>272.33333333333331</v>
      </c>
      <c r="AO33" s="165">
        <v>272.33333333333331</v>
      </c>
      <c r="AP33" s="165">
        <v>272.33333333333331</v>
      </c>
      <c r="AQ33" s="165">
        <v>272.33333333333331</v>
      </c>
      <c r="AR33" s="165">
        <v>272.33333333333331</v>
      </c>
      <c r="AS33" s="165">
        <v>272.33333333333331</v>
      </c>
      <c r="AT33" s="165">
        <v>272.33333333333331</v>
      </c>
      <c r="AU33" s="165">
        <v>272.33333333333331</v>
      </c>
      <c r="AV33" s="165">
        <v>272.33333333333331</v>
      </c>
      <c r="AW33" s="165">
        <v>272.33333333333331</v>
      </c>
      <c r="AX33" s="165">
        <v>272.33333333333331</v>
      </c>
      <c r="AY33" s="165">
        <v>272.33333333333331</v>
      </c>
    </row>
    <row r="34" spans="1:51" ht="12.75" x14ac:dyDescent="0.2">
      <c r="A34" s="23" t="s">
        <v>288</v>
      </c>
      <c r="B34" s="224">
        <v>731.66666666666663</v>
      </c>
      <c r="D34" s="115">
        <v>770</v>
      </c>
      <c r="E34" s="115">
        <v>947</v>
      </c>
      <c r="F34" s="115">
        <v>574</v>
      </c>
      <c r="G34" s="115">
        <v>761</v>
      </c>
      <c r="H34" s="115">
        <v>823</v>
      </c>
      <c r="I34" s="115">
        <v>712</v>
      </c>
      <c r="J34" s="115">
        <v>788</v>
      </c>
      <c r="K34" s="115">
        <v>830</v>
      </c>
      <c r="L34" s="115">
        <v>893</v>
      </c>
      <c r="M34" s="115">
        <v>840</v>
      </c>
      <c r="N34" s="115">
        <v>815</v>
      </c>
      <c r="O34" s="115">
        <v>924</v>
      </c>
      <c r="P34" s="115">
        <v>871</v>
      </c>
      <c r="Q34" s="115">
        <v>445</v>
      </c>
      <c r="R34" s="115">
        <v>755</v>
      </c>
      <c r="S34" s="115">
        <v>730</v>
      </c>
      <c r="T34" s="115">
        <v>655</v>
      </c>
      <c r="U34" s="115">
        <v>680</v>
      </c>
      <c r="V34" s="115">
        <v>709</v>
      </c>
      <c r="W34" s="115">
        <v>731</v>
      </c>
      <c r="X34" s="115">
        <v>755</v>
      </c>
      <c r="Y34" s="165">
        <v>731.66666666666663</v>
      </c>
      <c r="Z34" s="165">
        <v>731.66666666666663</v>
      </c>
      <c r="AA34" s="165">
        <v>731.66666666666663</v>
      </c>
      <c r="AB34" s="165">
        <v>731.66666666666663</v>
      </c>
      <c r="AC34" s="165">
        <v>731.66666666666663</v>
      </c>
      <c r="AD34" s="165">
        <v>731.66666666666663</v>
      </c>
      <c r="AE34" s="165">
        <v>731.66666666666663</v>
      </c>
      <c r="AF34" s="165">
        <v>731.66666666666663</v>
      </c>
      <c r="AG34" s="165">
        <v>731.66666666666663</v>
      </c>
      <c r="AH34" s="165">
        <v>731.66666666666663</v>
      </c>
      <c r="AI34" s="165">
        <v>731.66666666666663</v>
      </c>
      <c r="AJ34" s="165">
        <v>731.66666666666663</v>
      </c>
      <c r="AK34" s="165">
        <v>731.66666666666663</v>
      </c>
      <c r="AL34" s="165">
        <v>731.66666666666663</v>
      </c>
      <c r="AM34" s="165">
        <v>731.66666666666663</v>
      </c>
      <c r="AN34" s="165">
        <v>731.66666666666663</v>
      </c>
      <c r="AO34" s="165">
        <v>731.66666666666663</v>
      </c>
      <c r="AP34" s="165">
        <v>731.66666666666663</v>
      </c>
      <c r="AQ34" s="165">
        <v>731.66666666666663</v>
      </c>
      <c r="AR34" s="165">
        <v>731.66666666666663</v>
      </c>
      <c r="AS34" s="165">
        <v>731.66666666666663</v>
      </c>
      <c r="AT34" s="165">
        <v>731.66666666666663</v>
      </c>
      <c r="AU34" s="165">
        <v>731.66666666666663</v>
      </c>
      <c r="AV34" s="165">
        <v>731.66666666666663</v>
      </c>
      <c r="AW34" s="165">
        <v>731.66666666666663</v>
      </c>
      <c r="AX34" s="165">
        <v>731.66666666666663</v>
      </c>
      <c r="AY34" s="165">
        <v>731.66666666666663</v>
      </c>
    </row>
    <row r="35" spans="1:51" ht="12.75" x14ac:dyDescent="0.2">
      <c r="A35" s="23" t="s">
        <v>289</v>
      </c>
      <c r="B35" s="224">
        <v>3123.3333333333335</v>
      </c>
      <c r="D35" s="115">
        <v>1774</v>
      </c>
      <c r="E35" s="115">
        <v>1642</v>
      </c>
      <c r="F35" s="115">
        <v>1544</v>
      </c>
      <c r="G35" s="115">
        <v>1737</v>
      </c>
      <c r="H35" s="115">
        <v>1912</v>
      </c>
      <c r="I35" s="115">
        <v>1989</v>
      </c>
      <c r="J35" s="115">
        <v>2153</v>
      </c>
      <c r="K35" s="115">
        <v>1890</v>
      </c>
      <c r="L35" s="115">
        <v>2040</v>
      </c>
      <c r="M35" s="115">
        <v>2285</v>
      </c>
      <c r="N35" s="115">
        <v>2327</v>
      </c>
      <c r="O35" s="115">
        <v>2358</v>
      </c>
      <c r="P35" s="115">
        <v>2288</v>
      </c>
      <c r="Q35" s="115">
        <v>3455</v>
      </c>
      <c r="R35" s="115">
        <v>3571</v>
      </c>
      <c r="S35" s="115">
        <v>3571</v>
      </c>
      <c r="T35" s="115">
        <v>2910</v>
      </c>
      <c r="U35" s="115">
        <v>3387</v>
      </c>
      <c r="V35" s="115">
        <v>3266</v>
      </c>
      <c r="W35" s="115">
        <v>3197</v>
      </c>
      <c r="X35" s="115">
        <v>2907</v>
      </c>
      <c r="Y35" s="165">
        <v>3123.3333333333335</v>
      </c>
      <c r="Z35" s="165">
        <v>3123.3333333333335</v>
      </c>
      <c r="AA35" s="165">
        <v>3123.3333333333335</v>
      </c>
      <c r="AB35" s="165">
        <v>3123.3333333333335</v>
      </c>
      <c r="AC35" s="165">
        <v>3123.3333333333335</v>
      </c>
      <c r="AD35" s="165">
        <v>3123.3333333333335</v>
      </c>
      <c r="AE35" s="165">
        <v>3123.3333333333335</v>
      </c>
      <c r="AF35" s="165">
        <v>3123.3333333333335</v>
      </c>
      <c r="AG35" s="165">
        <v>3123.3333333333335</v>
      </c>
      <c r="AH35" s="165">
        <v>3123.3333333333335</v>
      </c>
      <c r="AI35" s="165">
        <v>3123.3333333333335</v>
      </c>
      <c r="AJ35" s="165">
        <v>3123.3333333333335</v>
      </c>
      <c r="AK35" s="165">
        <v>3123.3333333333335</v>
      </c>
      <c r="AL35" s="165">
        <v>3123.3333333333335</v>
      </c>
      <c r="AM35" s="165">
        <v>3123.3333333333335</v>
      </c>
      <c r="AN35" s="165">
        <v>3123.3333333333335</v>
      </c>
      <c r="AO35" s="165">
        <v>3123.3333333333335</v>
      </c>
      <c r="AP35" s="165">
        <v>3123.3333333333335</v>
      </c>
      <c r="AQ35" s="165">
        <v>3123.3333333333335</v>
      </c>
      <c r="AR35" s="165">
        <v>3123.3333333333335</v>
      </c>
      <c r="AS35" s="165">
        <v>3123.3333333333335</v>
      </c>
      <c r="AT35" s="165">
        <v>3123.3333333333335</v>
      </c>
      <c r="AU35" s="165">
        <v>3123.3333333333335</v>
      </c>
      <c r="AV35" s="165">
        <v>3123.3333333333335</v>
      </c>
      <c r="AW35" s="165">
        <v>3123.3333333333335</v>
      </c>
      <c r="AX35" s="165">
        <v>3123.3333333333335</v>
      </c>
      <c r="AY35" s="165">
        <v>3123.3333333333335</v>
      </c>
    </row>
    <row r="36" spans="1:51" ht="12.75" x14ac:dyDescent="0.2">
      <c r="A36" s="23" t="s">
        <v>332</v>
      </c>
      <c r="B36" s="224">
        <v>783.33333333333337</v>
      </c>
      <c r="D36" s="115">
        <v>663</v>
      </c>
      <c r="E36" s="115">
        <v>663</v>
      </c>
      <c r="F36" s="115">
        <v>663</v>
      </c>
      <c r="G36" s="115">
        <v>663</v>
      </c>
      <c r="H36" s="115">
        <v>663</v>
      </c>
      <c r="I36" s="115">
        <v>663</v>
      </c>
      <c r="J36" s="115">
        <v>663</v>
      </c>
      <c r="K36" s="115">
        <v>700</v>
      </c>
      <c r="L36" s="115">
        <v>700</v>
      </c>
      <c r="M36" s="115">
        <v>700</v>
      </c>
      <c r="N36" s="115">
        <v>700</v>
      </c>
      <c r="O36" s="115">
        <v>700</v>
      </c>
      <c r="P36" s="115">
        <v>750</v>
      </c>
      <c r="Q36" s="115">
        <v>750</v>
      </c>
      <c r="R36" s="115">
        <v>750</v>
      </c>
      <c r="S36" s="115">
        <v>750</v>
      </c>
      <c r="T36" s="115">
        <v>750</v>
      </c>
      <c r="U36" s="115">
        <v>750</v>
      </c>
      <c r="V36" s="115">
        <v>750</v>
      </c>
      <c r="W36" s="115">
        <v>800</v>
      </c>
      <c r="X36" s="115">
        <v>800</v>
      </c>
      <c r="Y36" s="165">
        <v>783.33333333333337</v>
      </c>
      <c r="Z36" s="165">
        <v>783.33333333333337</v>
      </c>
      <c r="AA36" s="165">
        <v>783.33333333333337</v>
      </c>
      <c r="AB36" s="165">
        <v>783.33333333333337</v>
      </c>
      <c r="AC36" s="165">
        <v>783.33333333333337</v>
      </c>
      <c r="AD36" s="165">
        <v>783.33333333333337</v>
      </c>
      <c r="AE36" s="165">
        <v>783.33333333333337</v>
      </c>
      <c r="AF36" s="165">
        <v>783.33333333333337</v>
      </c>
      <c r="AG36" s="165">
        <v>783.33333333333337</v>
      </c>
      <c r="AH36" s="165">
        <v>783.33333333333337</v>
      </c>
      <c r="AI36" s="165">
        <v>783.33333333333337</v>
      </c>
      <c r="AJ36" s="165">
        <v>783.33333333333337</v>
      </c>
      <c r="AK36" s="165">
        <v>783.33333333333337</v>
      </c>
      <c r="AL36" s="165">
        <v>783.33333333333337</v>
      </c>
      <c r="AM36" s="165">
        <v>783.33333333333337</v>
      </c>
      <c r="AN36" s="165">
        <v>783.33333333333337</v>
      </c>
      <c r="AO36" s="165">
        <v>783.33333333333337</v>
      </c>
      <c r="AP36" s="165">
        <v>783.33333333333337</v>
      </c>
      <c r="AQ36" s="165">
        <v>783.33333333333337</v>
      </c>
      <c r="AR36" s="165">
        <v>783.33333333333337</v>
      </c>
      <c r="AS36" s="165">
        <v>783.33333333333337</v>
      </c>
      <c r="AT36" s="165">
        <v>783.33333333333337</v>
      </c>
      <c r="AU36" s="165">
        <v>783.33333333333337</v>
      </c>
      <c r="AV36" s="165">
        <v>783.33333333333337</v>
      </c>
      <c r="AW36" s="165">
        <v>783.33333333333337</v>
      </c>
      <c r="AX36" s="165">
        <v>783.33333333333337</v>
      </c>
      <c r="AY36" s="165">
        <v>783.33333333333337</v>
      </c>
    </row>
    <row r="37" spans="1:51" ht="12.75" x14ac:dyDescent="0.2">
      <c r="A37" s="23" t="s">
        <v>291</v>
      </c>
      <c r="B37" s="221"/>
      <c r="D37" s="115"/>
      <c r="E37" s="115"/>
      <c r="F37" s="115"/>
      <c r="G37" s="115"/>
      <c r="H37" s="115"/>
      <c r="I37" s="115"/>
      <c r="J37" s="115"/>
      <c r="K37" s="115"/>
      <c r="L37" s="115"/>
      <c r="M37" s="115"/>
      <c r="N37" s="115"/>
      <c r="O37" s="115"/>
      <c r="P37" s="115"/>
      <c r="Q37" s="115"/>
      <c r="R37" s="115"/>
      <c r="S37" s="115"/>
      <c r="T37" s="115"/>
      <c r="U37" s="115"/>
      <c r="V37" s="115"/>
      <c r="W37" s="115"/>
      <c r="X37" s="115"/>
    </row>
    <row r="38" spans="1:51" ht="12.75" x14ac:dyDescent="0.2">
      <c r="A38" s="23" t="s">
        <v>292</v>
      </c>
      <c r="B38" s="224">
        <v>6878</v>
      </c>
      <c r="D38" s="115">
        <v>2250</v>
      </c>
      <c r="E38" s="115">
        <v>2346</v>
      </c>
      <c r="F38" s="115">
        <v>2806</v>
      </c>
      <c r="G38" s="115">
        <v>3195</v>
      </c>
      <c r="H38" s="115">
        <v>3233</v>
      </c>
      <c r="I38" s="115">
        <v>3592</v>
      </c>
      <c r="J38" s="115">
        <v>3621</v>
      </c>
      <c r="K38" s="115">
        <v>3689</v>
      </c>
      <c r="L38" s="115">
        <v>3772</v>
      </c>
      <c r="M38" s="115">
        <v>4011</v>
      </c>
      <c r="N38" s="115">
        <v>3922</v>
      </c>
      <c r="O38" s="115">
        <v>4271</v>
      </c>
      <c r="P38" s="115">
        <v>4129</v>
      </c>
      <c r="Q38" s="115">
        <v>4500</v>
      </c>
      <c r="R38" s="115">
        <v>5667</v>
      </c>
      <c r="S38" s="115">
        <v>5667</v>
      </c>
      <c r="T38" s="115">
        <v>6500</v>
      </c>
      <c r="U38" s="115">
        <v>6738</v>
      </c>
      <c r="V38" s="115">
        <v>6481</v>
      </c>
      <c r="W38" s="115">
        <v>6576</v>
      </c>
      <c r="X38" s="115">
        <v>7577</v>
      </c>
      <c r="Y38" s="165">
        <v>6878</v>
      </c>
      <c r="Z38" s="165">
        <v>6878</v>
      </c>
      <c r="AA38" s="165">
        <v>6878</v>
      </c>
      <c r="AB38" s="165">
        <v>6878</v>
      </c>
      <c r="AC38" s="165">
        <v>6878</v>
      </c>
      <c r="AD38" s="165">
        <v>6878</v>
      </c>
      <c r="AE38" s="165">
        <v>6878</v>
      </c>
      <c r="AF38" s="165">
        <v>6878</v>
      </c>
      <c r="AG38" s="165">
        <v>6878</v>
      </c>
      <c r="AH38" s="165">
        <v>6878</v>
      </c>
      <c r="AI38" s="165">
        <v>6878</v>
      </c>
      <c r="AJ38" s="165">
        <v>6878</v>
      </c>
      <c r="AK38" s="165">
        <v>6878</v>
      </c>
      <c r="AL38" s="165">
        <v>6878</v>
      </c>
      <c r="AM38" s="165">
        <v>6878</v>
      </c>
      <c r="AN38" s="165">
        <v>6878</v>
      </c>
      <c r="AO38" s="165">
        <v>6878</v>
      </c>
      <c r="AP38" s="165">
        <v>6878</v>
      </c>
      <c r="AQ38" s="165">
        <v>6878</v>
      </c>
      <c r="AR38" s="165">
        <v>6878</v>
      </c>
      <c r="AS38" s="165">
        <v>6878</v>
      </c>
      <c r="AT38" s="165">
        <v>6878</v>
      </c>
      <c r="AU38" s="165">
        <v>6878</v>
      </c>
      <c r="AV38" s="165">
        <v>6878</v>
      </c>
      <c r="AW38" s="165">
        <v>6878</v>
      </c>
      <c r="AX38" s="165">
        <v>6878</v>
      </c>
      <c r="AY38" s="165">
        <v>6878</v>
      </c>
    </row>
    <row r="39" spans="1:51" ht="12.75" x14ac:dyDescent="0.2">
      <c r="A39" s="60" t="s">
        <v>293</v>
      </c>
      <c r="B39" s="238"/>
      <c r="C39" s="212"/>
      <c r="D39" s="226">
        <v>2250</v>
      </c>
      <c r="E39" s="226">
        <v>2346</v>
      </c>
      <c r="F39" s="226">
        <v>2806</v>
      </c>
      <c r="G39" s="226">
        <v>3195</v>
      </c>
      <c r="H39" s="226">
        <v>3233</v>
      </c>
      <c r="I39" s="226">
        <v>3592</v>
      </c>
      <c r="J39" s="226">
        <v>3621</v>
      </c>
      <c r="K39" s="226">
        <v>3689</v>
      </c>
      <c r="L39" s="226">
        <v>3772</v>
      </c>
      <c r="M39" s="226">
        <v>4011</v>
      </c>
      <c r="N39" s="226">
        <v>3922</v>
      </c>
      <c r="O39" s="226">
        <v>4271</v>
      </c>
      <c r="P39" s="226">
        <v>4129</v>
      </c>
      <c r="Q39" s="226">
        <v>4500</v>
      </c>
      <c r="R39" s="226">
        <v>5667</v>
      </c>
      <c r="S39" s="226">
        <v>5667</v>
      </c>
      <c r="T39" s="226">
        <v>6500</v>
      </c>
      <c r="U39" s="226">
        <v>6738</v>
      </c>
      <c r="V39" s="226">
        <v>6481</v>
      </c>
      <c r="W39" s="226">
        <v>6576</v>
      </c>
      <c r="X39" s="226">
        <v>7577</v>
      </c>
      <c r="Y39" s="226">
        <v>6878</v>
      </c>
      <c r="Z39" s="226">
        <v>6878</v>
      </c>
      <c r="AA39" s="226">
        <v>6878</v>
      </c>
      <c r="AB39" s="226">
        <v>6878</v>
      </c>
      <c r="AC39" s="226">
        <v>6878</v>
      </c>
      <c r="AD39" s="226">
        <v>6878</v>
      </c>
      <c r="AE39" s="226">
        <v>6878</v>
      </c>
      <c r="AF39" s="226">
        <v>6878</v>
      </c>
      <c r="AG39" s="226">
        <v>6878</v>
      </c>
      <c r="AH39" s="226">
        <v>6878</v>
      </c>
      <c r="AI39" s="226">
        <v>6878</v>
      </c>
      <c r="AJ39" s="226">
        <v>6878</v>
      </c>
      <c r="AK39" s="226">
        <v>6878</v>
      </c>
      <c r="AL39" s="226">
        <v>6878</v>
      </c>
      <c r="AM39" s="226">
        <v>6878</v>
      </c>
      <c r="AN39" s="226">
        <v>6878</v>
      </c>
      <c r="AO39" s="226">
        <v>6878</v>
      </c>
      <c r="AP39" s="226">
        <v>6878</v>
      </c>
      <c r="AQ39" s="226">
        <v>6878</v>
      </c>
      <c r="AR39" s="226">
        <v>6878</v>
      </c>
      <c r="AS39" s="226">
        <v>6878</v>
      </c>
      <c r="AT39" s="226">
        <v>6878</v>
      </c>
      <c r="AU39" s="226">
        <v>6878</v>
      </c>
      <c r="AV39" s="226">
        <v>6878</v>
      </c>
      <c r="AW39" s="226">
        <v>6878</v>
      </c>
      <c r="AX39" s="226">
        <v>6878</v>
      </c>
      <c r="AY39" s="226">
        <v>6878</v>
      </c>
    </row>
    <row r="40" spans="1:51" ht="12.75" x14ac:dyDescent="0.2">
      <c r="A40" s="23" t="s">
        <v>294</v>
      </c>
      <c r="B40" s="221"/>
      <c r="D40" s="115"/>
      <c r="E40" s="115"/>
      <c r="F40" s="115"/>
      <c r="G40" s="115"/>
      <c r="H40" s="115"/>
      <c r="I40" s="115"/>
      <c r="J40" s="115"/>
      <c r="K40" s="115"/>
      <c r="L40" s="115"/>
      <c r="M40" s="115"/>
      <c r="N40" s="115"/>
      <c r="O40" s="115"/>
      <c r="P40" s="115"/>
      <c r="Q40" s="115"/>
      <c r="R40" s="115"/>
      <c r="S40" s="115"/>
      <c r="T40" s="115"/>
      <c r="U40" s="115"/>
      <c r="V40" s="115"/>
      <c r="W40" s="115"/>
      <c r="X40" s="115"/>
    </row>
    <row r="41" spans="1:51" ht="12.75" x14ac:dyDescent="0.2">
      <c r="A41" s="23" t="s">
        <v>295</v>
      </c>
      <c r="B41" s="224">
        <v>5188</v>
      </c>
      <c r="D41" s="115">
        <v>5751</v>
      </c>
      <c r="E41" s="115">
        <v>6018</v>
      </c>
      <c r="F41" s="115">
        <v>6036</v>
      </c>
      <c r="G41" s="115">
        <v>5888</v>
      </c>
      <c r="H41" s="115">
        <v>6181</v>
      </c>
      <c r="I41" s="115">
        <v>6414</v>
      </c>
      <c r="J41" s="115">
        <v>6719</v>
      </c>
      <c r="K41" s="115">
        <v>6191</v>
      </c>
      <c r="L41" s="115">
        <v>6563</v>
      </c>
      <c r="M41" s="115">
        <v>6897</v>
      </c>
      <c r="N41" s="115">
        <v>6459</v>
      </c>
      <c r="O41" s="115">
        <v>6719</v>
      </c>
      <c r="P41" s="115">
        <v>6691</v>
      </c>
      <c r="Q41" s="115">
        <v>4245</v>
      </c>
      <c r="R41" s="115">
        <v>5237</v>
      </c>
      <c r="S41" s="115">
        <v>4988</v>
      </c>
      <c r="T41" s="115">
        <v>5237</v>
      </c>
      <c r="U41" s="115">
        <v>5471</v>
      </c>
      <c r="V41" s="115">
        <v>5388</v>
      </c>
      <c r="W41" s="115">
        <v>5477</v>
      </c>
      <c r="X41" s="115">
        <v>4699</v>
      </c>
      <c r="Y41" s="165">
        <v>5188</v>
      </c>
      <c r="Z41" s="165">
        <v>5188</v>
      </c>
      <c r="AA41" s="165">
        <v>5188</v>
      </c>
      <c r="AB41" s="165">
        <v>5188</v>
      </c>
      <c r="AC41" s="165">
        <v>5188</v>
      </c>
      <c r="AD41" s="165">
        <v>5188</v>
      </c>
      <c r="AE41" s="165">
        <v>5188</v>
      </c>
      <c r="AF41" s="165">
        <v>5188</v>
      </c>
      <c r="AG41" s="165">
        <v>5188</v>
      </c>
      <c r="AH41" s="165">
        <v>5188</v>
      </c>
      <c r="AI41" s="165">
        <v>5188</v>
      </c>
      <c r="AJ41" s="165">
        <v>5188</v>
      </c>
      <c r="AK41" s="165">
        <v>5188</v>
      </c>
      <c r="AL41" s="165">
        <v>5188</v>
      </c>
      <c r="AM41" s="165">
        <v>5188</v>
      </c>
      <c r="AN41" s="165">
        <v>5188</v>
      </c>
      <c r="AO41" s="165">
        <v>5188</v>
      </c>
      <c r="AP41" s="165">
        <v>5188</v>
      </c>
      <c r="AQ41" s="165">
        <v>5188</v>
      </c>
      <c r="AR41" s="165">
        <v>5188</v>
      </c>
      <c r="AS41" s="165">
        <v>5188</v>
      </c>
      <c r="AT41" s="165">
        <v>5188</v>
      </c>
      <c r="AU41" s="165">
        <v>5188</v>
      </c>
      <c r="AV41" s="165">
        <v>5188</v>
      </c>
      <c r="AW41" s="165">
        <v>5188</v>
      </c>
      <c r="AX41" s="165">
        <v>5188</v>
      </c>
      <c r="AY41" s="165">
        <v>5188</v>
      </c>
    </row>
    <row r="42" spans="1:51" ht="12.75" x14ac:dyDescent="0.2">
      <c r="A42" s="60" t="s">
        <v>296</v>
      </c>
      <c r="B42" s="238"/>
      <c r="C42" s="212"/>
      <c r="D42" s="226">
        <v>5751</v>
      </c>
      <c r="E42" s="226">
        <v>6018</v>
      </c>
      <c r="F42" s="226">
        <v>6036</v>
      </c>
      <c r="G42" s="226">
        <v>5888</v>
      </c>
      <c r="H42" s="226">
        <v>6181</v>
      </c>
      <c r="I42" s="226">
        <v>6414</v>
      </c>
      <c r="J42" s="226">
        <v>6719</v>
      </c>
      <c r="K42" s="226">
        <v>6191</v>
      </c>
      <c r="L42" s="226">
        <v>6563</v>
      </c>
      <c r="M42" s="226">
        <v>6897</v>
      </c>
      <c r="N42" s="226">
        <v>6459</v>
      </c>
      <c r="O42" s="226">
        <v>6719</v>
      </c>
      <c r="P42" s="226">
        <v>6691</v>
      </c>
      <c r="Q42" s="226">
        <v>4245</v>
      </c>
      <c r="R42" s="226">
        <v>5237</v>
      </c>
      <c r="S42" s="226">
        <v>4988</v>
      </c>
      <c r="T42" s="226">
        <v>5237</v>
      </c>
      <c r="U42" s="226">
        <v>5471</v>
      </c>
      <c r="V42" s="226">
        <v>5388</v>
      </c>
      <c r="W42" s="226">
        <v>5477</v>
      </c>
      <c r="X42" s="226">
        <v>4699</v>
      </c>
      <c r="Y42" s="226">
        <v>5188</v>
      </c>
      <c r="Z42" s="226">
        <v>5188</v>
      </c>
      <c r="AA42" s="226">
        <v>5188</v>
      </c>
      <c r="AB42" s="226">
        <v>5188</v>
      </c>
      <c r="AC42" s="226">
        <v>5188</v>
      </c>
      <c r="AD42" s="226">
        <v>5188</v>
      </c>
      <c r="AE42" s="226">
        <v>5188</v>
      </c>
      <c r="AF42" s="226">
        <v>5188</v>
      </c>
      <c r="AG42" s="226">
        <v>5188</v>
      </c>
      <c r="AH42" s="226">
        <v>5188</v>
      </c>
      <c r="AI42" s="226">
        <v>5188</v>
      </c>
      <c r="AJ42" s="226">
        <v>5188</v>
      </c>
      <c r="AK42" s="226">
        <v>5188</v>
      </c>
      <c r="AL42" s="226">
        <v>5188</v>
      </c>
      <c r="AM42" s="226">
        <v>5188</v>
      </c>
      <c r="AN42" s="226">
        <v>5188</v>
      </c>
      <c r="AO42" s="226">
        <v>5188</v>
      </c>
      <c r="AP42" s="226">
        <v>5188</v>
      </c>
      <c r="AQ42" s="226">
        <v>5188</v>
      </c>
      <c r="AR42" s="226">
        <v>5188</v>
      </c>
      <c r="AS42" s="226">
        <v>5188</v>
      </c>
      <c r="AT42" s="226">
        <v>5188</v>
      </c>
      <c r="AU42" s="226">
        <v>5188</v>
      </c>
      <c r="AV42" s="226">
        <v>5188</v>
      </c>
      <c r="AW42" s="226">
        <v>5188</v>
      </c>
      <c r="AX42" s="226">
        <v>5188</v>
      </c>
      <c r="AY42" s="226">
        <v>5188</v>
      </c>
    </row>
    <row r="43" spans="1:51" ht="12.75" x14ac:dyDescent="0.2">
      <c r="A43" s="23" t="s">
        <v>297</v>
      </c>
      <c r="B43" s="221"/>
      <c r="D43" s="115"/>
      <c r="E43" s="115"/>
      <c r="F43" s="115"/>
      <c r="G43" s="115"/>
      <c r="H43" s="115"/>
      <c r="I43" s="115"/>
      <c r="J43" s="115"/>
      <c r="K43" s="115"/>
      <c r="L43" s="115"/>
      <c r="M43" s="115"/>
      <c r="N43" s="115"/>
      <c r="O43" s="115"/>
      <c r="P43" s="115"/>
      <c r="Q43" s="115"/>
      <c r="R43" s="115"/>
      <c r="S43" s="115"/>
      <c r="T43" s="115"/>
      <c r="U43" s="115"/>
      <c r="V43" s="115"/>
      <c r="W43" s="115"/>
      <c r="X43" s="115"/>
    </row>
    <row r="44" spans="1:51" ht="12.75" x14ac:dyDescent="0.2">
      <c r="A44" s="23" t="s">
        <v>298</v>
      </c>
      <c r="B44" s="224">
        <v>5185.333333333333</v>
      </c>
      <c r="D44" s="115">
        <v>2500</v>
      </c>
      <c r="E44" s="115">
        <v>2500</v>
      </c>
      <c r="F44" s="115">
        <v>2500</v>
      </c>
      <c r="G44" s="115">
        <v>2500</v>
      </c>
      <c r="H44" s="115">
        <v>3400</v>
      </c>
      <c r="I44" s="115">
        <v>5000</v>
      </c>
      <c r="J44" s="115">
        <v>6500</v>
      </c>
      <c r="K44" s="115">
        <v>6300</v>
      </c>
      <c r="L44" s="115">
        <v>6700</v>
      </c>
      <c r="M44" s="115">
        <v>6200</v>
      </c>
      <c r="N44" s="115">
        <v>6300</v>
      </c>
      <c r="O44" s="115">
        <v>6600</v>
      </c>
      <c r="P44" s="115">
        <v>6800</v>
      </c>
      <c r="Q44" s="115">
        <v>4100</v>
      </c>
      <c r="R44" s="115">
        <v>5800</v>
      </c>
      <c r="S44" s="115">
        <v>5376</v>
      </c>
      <c r="T44" s="115">
        <v>4831</v>
      </c>
      <c r="U44" s="115">
        <v>5229</v>
      </c>
      <c r="V44" s="115">
        <v>5462</v>
      </c>
      <c r="W44" s="115">
        <v>5519</v>
      </c>
      <c r="X44" s="115">
        <v>4575</v>
      </c>
      <c r="Y44" s="165">
        <v>5185.333333333333</v>
      </c>
      <c r="Z44" s="165">
        <v>5185.333333333333</v>
      </c>
      <c r="AA44" s="165">
        <v>5185.333333333333</v>
      </c>
      <c r="AB44" s="165">
        <v>5185.333333333333</v>
      </c>
      <c r="AC44" s="165">
        <v>5185.333333333333</v>
      </c>
      <c r="AD44" s="165">
        <v>5185.333333333333</v>
      </c>
      <c r="AE44" s="165">
        <v>5185.333333333333</v>
      </c>
      <c r="AF44" s="165">
        <v>5185.333333333333</v>
      </c>
      <c r="AG44" s="165">
        <v>5185.333333333333</v>
      </c>
      <c r="AH44" s="165">
        <v>5185.333333333333</v>
      </c>
      <c r="AI44" s="165">
        <v>5185.333333333333</v>
      </c>
      <c r="AJ44" s="165">
        <v>5185.333333333333</v>
      </c>
      <c r="AK44" s="165">
        <v>5185.333333333333</v>
      </c>
      <c r="AL44" s="165">
        <v>5185.333333333333</v>
      </c>
      <c r="AM44" s="165">
        <v>5185.333333333333</v>
      </c>
      <c r="AN44" s="165">
        <v>5185.333333333333</v>
      </c>
      <c r="AO44" s="165">
        <v>5185.333333333333</v>
      </c>
      <c r="AP44" s="165">
        <v>5185.333333333333</v>
      </c>
      <c r="AQ44" s="165">
        <v>5185.333333333333</v>
      </c>
      <c r="AR44" s="165">
        <v>5185.333333333333</v>
      </c>
      <c r="AS44" s="165">
        <v>5185.333333333333</v>
      </c>
      <c r="AT44" s="165">
        <v>5185.333333333333</v>
      </c>
      <c r="AU44" s="165">
        <v>5185.333333333333</v>
      </c>
      <c r="AV44" s="165">
        <v>5185.333333333333</v>
      </c>
      <c r="AW44" s="165">
        <v>5185.333333333333</v>
      </c>
      <c r="AX44" s="165">
        <v>5185.333333333333</v>
      </c>
      <c r="AY44" s="165">
        <v>5185.333333333333</v>
      </c>
    </row>
    <row r="45" spans="1:51" ht="12.75" x14ac:dyDescent="0.2">
      <c r="A45" s="23" t="s">
        <v>299</v>
      </c>
      <c r="B45" s="224">
        <v>3093</v>
      </c>
      <c r="D45" s="115">
        <v>1323</v>
      </c>
      <c r="E45" s="115">
        <v>1581</v>
      </c>
      <c r="F45" s="115">
        <v>1755</v>
      </c>
      <c r="G45" s="115">
        <v>1781</v>
      </c>
      <c r="H45" s="115">
        <v>1869</v>
      </c>
      <c r="I45" s="115">
        <v>2253</v>
      </c>
      <c r="J45" s="115">
        <v>2374</v>
      </c>
      <c r="K45" s="115">
        <v>2542</v>
      </c>
      <c r="L45" s="115">
        <v>2621</v>
      </c>
      <c r="M45" s="115">
        <v>2877</v>
      </c>
      <c r="N45" s="115">
        <v>2951</v>
      </c>
      <c r="O45" s="115">
        <v>3241</v>
      </c>
      <c r="P45" s="115">
        <v>3050</v>
      </c>
      <c r="Q45" s="115">
        <v>3457</v>
      </c>
      <c r="R45" s="115">
        <v>3492</v>
      </c>
      <c r="S45" s="115">
        <v>3781</v>
      </c>
      <c r="T45" s="115">
        <v>2492</v>
      </c>
      <c r="U45" s="115">
        <v>2632</v>
      </c>
      <c r="V45" s="115">
        <v>2717</v>
      </c>
      <c r="W45" s="115">
        <v>2782</v>
      </c>
      <c r="X45" s="115">
        <v>3780</v>
      </c>
      <c r="Y45" s="165">
        <v>3093</v>
      </c>
      <c r="Z45" s="165">
        <v>3093</v>
      </c>
      <c r="AA45" s="165">
        <v>3093</v>
      </c>
      <c r="AB45" s="165">
        <v>3093</v>
      </c>
      <c r="AC45" s="165">
        <v>3093</v>
      </c>
      <c r="AD45" s="165">
        <v>3093</v>
      </c>
      <c r="AE45" s="165">
        <v>3093</v>
      </c>
      <c r="AF45" s="165">
        <v>3093</v>
      </c>
      <c r="AG45" s="165">
        <v>3093</v>
      </c>
      <c r="AH45" s="165">
        <v>3093</v>
      </c>
      <c r="AI45" s="165">
        <v>3093</v>
      </c>
      <c r="AJ45" s="165">
        <v>3093</v>
      </c>
      <c r="AK45" s="165">
        <v>3093</v>
      </c>
      <c r="AL45" s="165">
        <v>3093</v>
      </c>
      <c r="AM45" s="165">
        <v>3093</v>
      </c>
      <c r="AN45" s="165">
        <v>3093</v>
      </c>
      <c r="AO45" s="165">
        <v>3093</v>
      </c>
      <c r="AP45" s="165">
        <v>3093</v>
      </c>
      <c r="AQ45" s="165">
        <v>3093</v>
      </c>
      <c r="AR45" s="165">
        <v>3093</v>
      </c>
      <c r="AS45" s="165">
        <v>3093</v>
      </c>
      <c r="AT45" s="165">
        <v>3093</v>
      </c>
      <c r="AU45" s="165">
        <v>3093</v>
      </c>
      <c r="AV45" s="165">
        <v>3093</v>
      </c>
      <c r="AW45" s="165">
        <v>3093</v>
      </c>
      <c r="AX45" s="165">
        <v>3093</v>
      </c>
      <c r="AY45" s="165">
        <v>3093</v>
      </c>
    </row>
    <row r="46" spans="1:51" ht="12.75" x14ac:dyDescent="0.2">
      <c r="A46" s="60" t="s">
        <v>300</v>
      </c>
      <c r="B46" s="238"/>
      <c r="C46" s="212"/>
      <c r="D46" s="226">
        <v>3823</v>
      </c>
      <c r="E46" s="226">
        <v>4081</v>
      </c>
      <c r="F46" s="226">
        <v>4255</v>
      </c>
      <c r="G46" s="226">
        <v>4281</v>
      </c>
      <c r="H46" s="226">
        <v>5269</v>
      </c>
      <c r="I46" s="226">
        <v>7253</v>
      </c>
      <c r="J46" s="226">
        <v>8874</v>
      </c>
      <c r="K46" s="226">
        <v>8842</v>
      </c>
      <c r="L46" s="226">
        <v>9321</v>
      </c>
      <c r="M46" s="226">
        <v>9077</v>
      </c>
      <c r="N46" s="226">
        <v>9251</v>
      </c>
      <c r="O46" s="226">
        <v>9841</v>
      </c>
      <c r="P46" s="226">
        <v>9850</v>
      </c>
      <c r="Q46" s="226">
        <v>7557</v>
      </c>
      <c r="R46" s="226">
        <v>9292</v>
      </c>
      <c r="S46" s="226">
        <v>9157</v>
      </c>
      <c r="T46" s="226">
        <v>7323</v>
      </c>
      <c r="U46" s="226">
        <v>7861</v>
      </c>
      <c r="V46" s="226">
        <v>8179</v>
      </c>
      <c r="W46" s="226">
        <v>8301</v>
      </c>
      <c r="X46" s="226">
        <v>8355</v>
      </c>
      <c r="Y46" s="226">
        <v>8278.3333333333321</v>
      </c>
      <c r="Z46" s="226">
        <v>8278.3333333333321</v>
      </c>
      <c r="AA46" s="226">
        <v>8278.3333333333321</v>
      </c>
      <c r="AB46" s="226">
        <v>8278.3333333333321</v>
      </c>
      <c r="AC46" s="226">
        <v>8278.3333333333321</v>
      </c>
      <c r="AD46" s="226">
        <v>8278.3333333333321</v>
      </c>
      <c r="AE46" s="226">
        <v>8278.3333333333321</v>
      </c>
      <c r="AF46" s="226">
        <v>8278.3333333333321</v>
      </c>
      <c r="AG46" s="226">
        <v>8278.3333333333321</v>
      </c>
      <c r="AH46" s="226">
        <v>8278.3333333333321</v>
      </c>
      <c r="AI46" s="226">
        <v>8278.3333333333321</v>
      </c>
      <c r="AJ46" s="226">
        <v>8278.3333333333321</v>
      </c>
      <c r="AK46" s="226">
        <v>8278.3333333333321</v>
      </c>
      <c r="AL46" s="226">
        <v>8278.3333333333321</v>
      </c>
      <c r="AM46" s="226">
        <v>8278.3333333333321</v>
      </c>
      <c r="AN46" s="226">
        <v>8278.3333333333321</v>
      </c>
      <c r="AO46" s="226">
        <v>8278.3333333333321</v>
      </c>
      <c r="AP46" s="226">
        <v>8278.3333333333321</v>
      </c>
      <c r="AQ46" s="226">
        <v>8278.3333333333321</v>
      </c>
      <c r="AR46" s="226">
        <v>8278.3333333333321</v>
      </c>
      <c r="AS46" s="226">
        <v>8278.3333333333321</v>
      </c>
      <c r="AT46" s="226">
        <v>8278.3333333333321</v>
      </c>
      <c r="AU46" s="226">
        <v>8278.3333333333321</v>
      </c>
      <c r="AV46" s="226">
        <v>8278.3333333333321</v>
      </c>
      <c r="AW46" s="226">
        <v>8278.3333333333321</v>
      </c>
      <c r="AX46" s="226">
        <v>8278.3333333333321</v>
      </c>
      <c r="AY46" s="226">
        <v>8278.3333333333321</v>
      </c>
    </row>
    <row r="47" spans="1:51" ht="12.75" x14ac:dyDescent="0.2">
      <c r="A47" s="23" t="s">
        <v>301</v>
      </c>
      <c r="B47" s="221"/>
      <c r="D47" s="115"/>
      <c r="E47" s="115"/>
      <c r="F47" s="115"/>
      <c r="G47" s="115"/>
      <c r="H47" s="115"/>
      <c r="I47" s="115"/>
      <c r="J47" s="115"/>
      <c r="K47" s="115"/>
      <c r="L47" s="115"/>
      <c r="M47" s="115"/>
      <c r="N47" s="115"/>
      <c r="O47" s="115"/>
      <c r="P47" s="115"/>
      <c r="Q47" s="115"/>
      <c r="R47" s="115"/>
      <c r="S47" s="115"/>
      <c r="T47" s="115"/>
      <c r="U47" s="115"/>
      <c r="V47" s="115"/>
      <c r="W47" s="115"/>
      <c r="X47" s="115"/>
    </row>
    <row r="48" spans="1:51" ht="12.75" x14ac:dyDescent="0.2">
      <c r="A48" s="23" t="s">
        <v>302</v>
      </c>
      <c r="B48" s="224">
        <v>1794</v>
      </c>
      <c r="D48" s="115">
        <v>900</v>
      </c>
      <c r="E48" s="115">
        <v>900</v>
      </c>
      <c r="F48" s="115">
        <v>900</v>
      </c>
      <c r="G48" s="115">
        <v>900</v>
      </c>
      <c r="H48" s="115">
        <v>900</v>
      </c>
      <c r="I48" s="115">
        <v>900</v>
      </c>
      <c r="J48" s="115">
        <v>900</v>
      </c>
      <c r="K48" s="115">
        <v>900</v>
      </c>
      <c r="L48" s="115">
        <v>1097</v>
      </c>
      <c r="M48" s="115">
        <v>1097</v>
      </c>
      <c r="N48" s="115">
        <v>1097</v>
      </c>
      <c r="O48" s="115">
        <v>1097</v>
      </c>
      <c r="P48" s="115">
        <v>1097</v>
      </c>
      <c r="Q48" s="115">
        <v>1294</v>
      </c>
      <c r="R48" s="115">
        <v>1294</v>
      </c>
      <c r="S48" s="115">
        <v>1294</v>
      </c>
      <c r="T48" s="115">
        <v>1794</v>
      </c>
      <c r="U48" s="115">
        <v>1794</v>
      </c>
      <c r="V48" s="115">
        <v>1794</v>
      </c>
      <c r="W48" s="115">
        <v>1794</v>
      </c>
      <c r="X48" s="115">
        <v>1794</v>
      </c>
      <c r="Y48" s="25">
        <v>1900</v>
      </c>
      <c r="Z48" s="25">
        <v>1900</v>
      </c>
      <c r="AA48" s="25">
        <v>1900</v>
      </c>
      <c r="AB48" s="25">
        <v>1900</v>
      </c>
      <c r="AC48" s="25">
        <v>1900</v>
      </c>
      <c r="AD48" s="25">
        <v>1900</v>
      </c>
      <c r="AE48" s="25">
        <v>1900</v>
      </c>
      <c r="AF48" s="25">
        <v>1900</v>
      </c>
      <c r="AG48" s="25">
        <v>1900</v>
      </c>
      <c r="AH48" s="25">
        <v>1900</v>
      </c>
      <c r="AI48" s="25">
        <v>1900</v>
      </c>
      <c r="AJ48" s="25">
        <v>1900</v>
      </c>
      <c r="AK48" s="25">
        <v>1900</v>
      </c>
      <c r="AL48" s="25">
        <v>1900</v>
      </c>
      <c r="AM48" s="25">
        <v>1900</v>
      </c>
      <c r="AN48" s="25">
        <v>1900</v>
      </c>
      <c r="AO48" s="25">
        <v>1900</v>
      </c>
      <c r="AP48" s="25">
        <v>1900</v>
      </c>
      <c r="AQ48" s="25">
        <v>1900</v>
      </c>
      <c r="AR48" s="25">
        <v>1900</v>
      </c>
      <c r="AS48" s="25">
        <v>1900</v>
      </c>
      <c r="AT48" s="25">
        <v>1900</v>
      </c>
      <c r="AU48" s="25">
        <v>1900</v>
      </c>
      <c r="AV48" s="25">
        <v>1900</v>
      </c>
      <c r="AW48" s="25">
        <v>1900</v>
      </c>
      <c r="AX48" s="25">
        <v>1900</v>
      </c>
      <c r="AY48" s="25">
        <v>1900</v>
      </c>
    </row>
    <row r="49" spans="1:51" ht="12.75" x14ac:dyDescent="0.2">
      <c r="A49" s="23" t="s">
        <v>303</v>
      </c>
      <c r="B49" s="224">
        <v>2383</v>
      </c>
      <c r="D49" s="115">
        <v>1500</v>
      </c>
      <c r="E49" s="115">
        <v>1500</v>
      </c>
      <c r="F49" s="115">
        <v>1500</v>
      </c>
      <c r="G49" s="115">
        <v>1500</v>
      </c>
      <c r="H49" s="115">
        <v>1500</v>
      </c>
      <c r="I49" s="115">
        <v>1500</v>
      </c>
      <c r="J49" s="115">
        <v>1500</v>
      </c>
      <c r="K49" s="115">
        <v>1500</v>
      </c>
      <c r="L49" s="115">
        <v>1908</v>
      </c>
      <c r="M49" s="115">
        <v>1908</v>
      </c>
      <c r="N49" s="115">
        <v>1908</v>
      </c>
      <c r="O49" s="115">
        <v>1908</v>
      </c>
      <c r="P49" s="115">
        <v>1908</v>
      </c>
      <c r="Q49" s="115">
        <v>2313</v>
      </c>
      <c r="R49" s="115">
        <v>2313</v>
      </c>
      <c r="S49" s="115">
        <v>2313</v>
      </c>
      <c r="T49" s="115">
        <v>2383</v>
      </c>
      <c r="U49" s="115">
        <v>2383</v>
      </c>
      <c r="V49" s="115">
        <v>2383</v>
      </c>
      <c r="W49" s="115">
        <v>2383</v>
      </c>
      <c r="X49" s="115">
        <v>2383</v>
      </c>
      <c r="Y49" s="25">
        <v>2025</v>
      </c>
      <c r="Z49" s="25">
        <v>2025</v>
      </c>
      <c r="AA49" s="25">
        <v>2025</v>
      </c>
      <c r="AB49" s="25">
        <v>2025</v>
      </c>
      <c r="AC49" s="25">
        <v>2025</v>
      </c>
      <c r="AD49" s="25">
        <v>2025</v>
      </c>
      <c r="AE49" s="25">
        <v>2025</v>
      </c>
      <c r="AF49" s="25">
        <v>2025</v>
      </c>
      <c r="AG49" s="25">
        <v>2025</v>
      </c>
      <c r="AH49" s="25">
        <v>2025</v>
      </c>
      <c r="AI49" s="25">
        <v>2025</v>
      </c>
      <c r="AJ49" s="25">
        <v>2025</v>
      </c>
      <c r="AK49" s="25">
        <v>2025</v>
      </c>
      <c r="AL49" s="25">
        <v>2025</v>
      </c>
      <c r="AM49" s="25">
        <v>2025</v>
      </c>
      <c r="AN49" s="25">
        <v>2025</v>
      </c>
      <c r="AO49" s="25">
        <v>2025</v>
      </c>
      <c r="AP49" s="25">
        <v>2025</v>
      </c>
      <c r="AQ49" s="25">
        <v>2025</v>
      </c>
      <c r="AR49" s="25">
        <v>2025</v>
      </c>
      <c r="AS49" s="25">
        <v>2025</v>
      </c>
      <c r="AT49" s="25">
        <v>2025</v>
      </c>
      <c r="AU49" s="25">
        <v>2025</v>
      </c>
      <c r="AV49" s="25">
        <v>2025</v>
      </c>
      <c r="AW49" s="25">
        <v>2025</v>
      </c>
      <c r="AX49" s="25">
        <v>2025</v>
      </c>
      <c r="AY49" s="25">
        <v>2025</v>
      </c>
    </row>
    <row r="50" spans="1:51" ht="12.75" x14ac:dyDescent="0.2">
      <c r="A50" s="23" t="s">
        <v>304</v>
      </c>
      <c r="B50" s="224">
        <v>28700</v>
      </c>
      <c r="D50" s="115">
        <v>16666</v>
      </c>
      <c r="E50" s="115">
        <v>16666</v>
      </c>
      <c r="F50" s="115">
        <v>16666</v>
      </c>
      <c r="G50" s="115">
        <v>16666</v>
      </c>
      <c r="H50" s="115">
        <v>16666</v>
      </c>
      <c r="I50" s="115">
        <v>16666</v>
      </c>
      <c r="J50" s="115">
        <v>16666</v>
      </c>
      <c r="K50" s="115">
        <v>16666</v>
      </c>
      <c r="L50" s="115">
        <v>21200</v>
      </c>
      <c r="M50" s="115">
        <v>21200</v>
      </c>
      <c r="N50" s="115">
        <v>21200</v>
      </c>
      <c r="O50" s="115">
        <v>21200</v>
      </c>
      <c r="P50" s="115">
        <v>21200</v>
      </c>
      <c r="Q50" s="115">
        <v>25700</v>
      </c>
      <c r="R50" s="115">
        <v>25700</v>
      </c>
      <c r="S50" s="115">
        <v>25700</v>
      </c>
      <c r="T50" s="115">
        <v>28700</v>
      </c>
      <c r="U50" s="115">
        <v>28700</v>
      </c>
      <c r="V50" s="115">
        <v>28700</v>
      </c>
      <c r="W50" s="115">
        <v>28700</v>
      </c>
      <c r="X50" s="115">
        <v>28700</v>
      </c>
      <c r="Y50" s="25">
        <v>22500</v>
      </c>
      <c r="Z50" s="25">
        <v>22500</v>
      </c>
      <c r="AA50" s="25">
        <v>22500</v>
      </c>
      <c r="AB50" s="25">
        <v>22500</v>
      </c>
      <c r="AC50" s="25">
        <v>22500</v>
      </c>
      <c r="AD50" s="25">
        <v>22500</v>
      </c>
      <c r="AE50" s="25">
        <v>22500</v>
      </c>
      <c r="AF50" s="25">
        <v>22500</v>
      </c>
      <c r="AG50" s="25">
        <v>22500</v>
      </c>
      <c r="AH50" s="25">
        <v>22500</v>
      </c>
      <c r="AI50" s="25">
        <v>22500</v>
      </c>
      <c r="AJ50" s="25">
        <v>22500</v>
      </c>
      <c r="AK50" s="25">
        <v>22500</v>
      </c>
      <c r="AL50" s="25">
        <v>22500</v>
      </c>
      <c r="AM50" s="25">
        <v>22500</v>
      </c>
      <c r="AN50" s="25">
        <v>22500</v>
      </c>
      <c r="AO50" s="25">
        <v>22500</v>
      </c>
      <c r="AP50" s="25">
        <v>22500</v>
      </c>
      <c r="AQ50" s="25">
        <v>22500</v>
      </c>
      <c r="AR50" s="25">
        <v>22500</v>
      </c>
      <c r="AS50" s="25">
        <v>22500</v>
      </c>
      <c r="AT50" s="25">
        <v>22500</v>
      </c>
      <c r="AU50" s="25">
        <v>22500</v>
      </c>
      <c r="AV50" s="25">
        <v>22500</v>
      </c>
      <c r="AW50" s="25">
        <v>22500</v>
      </c>
      <c r="AX50" s="25">
        <v>22500</v>
      </c>
      <c r="AY50" s="25">
        <v>22500</v>
      </c>
    </row>
    <row r="51" spans="1:51" ht="12.75" x14ac:dyDescent="0.2">
      <c r="A51" s="60" t="s">
        <v>305</v>
      </c>
      <c r="B51" s="238"/>
      <c r="C51" s="212"/>
      <c r="D51" s="226">
        <v>19066</v>
      </c>
      <c r="E51" s="226">
        <v>19066</v>
      </c>
      <c r="F51" s="226">
        <v>19066</v>
      </c>
      <c r="G51" s="226">
        <v>19066</v>
      </c>
      <c r="H51" s="226">
        <v>19066</v>
      </c>
      <c r="I51" s="226">
        <v>19066</v>
      </c>
      <c r="J51" s="226">
        <v>19066</v>
      </c>
      <c r="K51" s="226">
        <v>19066</v>
      </c>
      <c r="L51" s="226">
        <v>24205</v>
      </c>
      <c r="M51" s="226">
        <v>24205</v>
      </c>
      <c r="N51" s="226">
        <v>24205</v>
      </c>
      <c r="O51" s="226">
        <v>24205</v>
      </c>
      <c r="P51" s="226">
        <v>24205</v>
      </c>
      <c r="Q51" s="226">
        <v>29307</v>
      </c>
      <c r="R51" s="226">
        <v>29307</v>
      </c>
      <c r="S51" s="226">
        <v>29307</v>
      </c>
      <c r="T51" s="226">
        <v>32877</v>
      </c>
      <c r="U51" s="226">
        <v>32877</v>
      </c>
      <c r="V51" s="226">
        <v>32877</v>
      </c>
      <c r="W51" s="226">
        <v>32877</v>
      </c>
      <c r="X51" s="226">
        <v>32877</v>
      </c>
      <c r="Y51" s="226">
        <v>26425</v>
      </c>
      <c r="Z51" s="226">
        <v>26425</v>
      </c>
      <c r="AA51" s="226">
        <v>26425</v>
      </c>
      <c r="AB51" s="226">
        <v>26425</v>
      </c>
      <c r="AC51" s="226">
        <v>26425</v>
      </c>
      <c r="AD51" s="226">
        <v>26425</v>
      </c>
      <c r="AE51" s="226">
        <v>26425</v>
      </c>
      <c r="AF51" s="226">
        <v>26425</v>
      </c>
      <c r="AG51" s="226">
        <v>26425</v>
      </c>
      <c r="AH51" s="226">
        <v>26425</v>
      </c>
      <c r="AI51" s="226">
        <v>26425</v>
      </c>
      <c r="AJ51" s="226">
        <v>26425</v>
      </c>
      <c r="AK51" s="226">
        <v>26425</v>
      </c>
      <c r="AL51" s="226">
        <v>26425</v>
      </c>
      <c r="AM51" s="226">
        <v>26425</v>
      </c>
      <c r="AN51" s="226">
        <v>26425</v>
      </c>
      <c r="AO51" s="226">
        <v>26425</v>
      </c>
      <c r="AP51" s="226">
        <v>26425</v>
      </c>
      <c r="AQ51" s="226">
        <v>26425</v>
      </c>
      <c r="AR51" s="226">
        <v>26425</v>
      </c>
      <c r="AS51" s="226">
        <v>26425</v>
      </c>
      <c r="AT51" s="226">
        <v>26425</v>
      </c>
      <c r="AU51" s="226">
        <v>26425</v>
      </c>
      <c r="AV51" s="226">
        <v>26425</v>
      </c>
      <c r="AW51" s="226">
        <v>26425</v>
      </c>
      <c r="AX51" s="226">
        <v>26425</v>
      </c>
      <c r="AY51" s="226">
        <v>26425</v>
      </c>
    </row>
    <row r="52" spans="1:51" ht="12.75" x14ac:dyDescent="0.2">
      <c r="A52" s="23" t="s">
        <v>306</v>
      </c>
      <c r="B52" s="224">
        <v>25000</v>
      </c>
      <c r="D52" s="115">
        <v>6790</v>
      </c>
      <c r="E52" s="115">
        <v>6790</v>
      </c>
      <c r="F52" s="115">
        <v>6790</v>
      </c>
      <c r="G52" s="115">
        <v>6790</v>
      </c>
      <c r="H52" s="115">
        <v>6790</v>
      </c>
      <c r="I52" s="115">
        <v>6790</v>
      </c>
      <c r="J52" s="115">
        <v>6790</v>
      </c>
      <c r="K52" s="115">
        <v>6930</v>
      </c>
      <c r="L52" s="115">
        <v>6930</v>
      </c>
      <c r="M52" s="115">
        <v>7380</v>
      </c>
      <c r="N52" s="115">
        <v>7236</v>
      </c>
      <c r="O52" s="115">
        <v>7563</v>
      </c>
      <c r="P52" s="115">
        <v>7255</v>
      </c>
      <c r="Q52" s="115">
        <v>7188</v>
      </c>
      <c r="R52" s="115">
        <v>7188</v>
      </c>
      <c r="S52" s="115">
        <v>7188</v>
      </c>
      <c r="T52" s="115">
        <v>6919</v>
      </c>
      <c r="U52" s="115">
        <v>7340</v>
      </c>
      <c r="V52" s="115">
        <v>7282</v>
      </c>
      <c r="W52" s="115">
        <v>7319</v>
      </c>
      <c r="X52" s="115">
        <v>7319</v>
      </c>
      <c r="Y52" s="165">
        <v>25000</v>
      </c>
      <c r="Z52" s="165">
        <v>25000</v>
      </c>
      <c r="AA52" s="165">
        <v>25000</v>
      </c>
      <c r="AB52" s="165">
        <v>25000</v>
      </c>
      <c r="AC52" s="165">
        <v>25000</v>
      </c>
      <c r="AD52" s="165">
        <v>25000</v>
      </c>
      <c r="AE52" s="165">
        <v>25000</v>
      </c>
      <c r="AF52" s="165">
        <v>25000</v>
      </c>
      <c r="AG52" s="165">
        <v>25000</v>
      </c>
      <c r="AH52" s="165">
        <v>25000</v>
      </c>
      <c r="AI52" s="165">
        <v>25000</v>
      </c>
      <c r="AJ52" s="165">
        <v>25000</v>
      </c>
      <c r="AK52" s="165">
        <v>25000</v>
      </c>
      <c r="AL52" s="165">
        <v>25000</v>
      </c>
      <c r="AM52" s="165">
        <v>25000</v>
      </c>
      <c r="AN52" s="165">
        <v>25000</v>
      </c>
      <c r="AO52" s="165">
        <v>25000</v>
      </c>
      <c r="AP52" s="165">
        <v>25000</v>
      </c>
      <c r="AQ52" s="165">
        <v>25000</v>
      </c>
      <c r="AR52" s="165">
        <v>25000</v>
      </c>
      <c r="AS52" s="165">
        <v>25000</v>
      </c>
      <c r="AT52" s="165">
        <v>25000</v>
      </c>
      <c r="AU52" s="165">
        <v>25000</v>
      </c>
      <c r="AV52" s="165">
        <v>25000</v>
      </c>
      <c r="AW52" s="165">
        <v>25000</v>
      </c>
      <c r="AX52" s="165">
        <v>25000</v>
      </c>
      <c r="AY52" s="165">
        <v>25000</v>
      </c>
    </row>
    <row r="53" spans="1:51" ht="12.75" x14ac:dyDescent="0.2">
      <c r="A53" s="23" t="s">
        <v>308</v>
      </c>
      <c r="B53" s="224">
        <v>266.66666666666669</v>
      </c>
      <c r="D53" s="115">
        <v>0</v>
      </c>
      <c r="E53" s="115">
        <v>0</v>
      </c>
      <c r="F53" s="115">
        <v>0</v>
      </c>
      <c r="G53" s="115">
        <v>0</v>
      </c>
      <c r="H53" s="115">
        <v>0</v>
      </c>
      <c r="I53" s="115">
        <v>0</v>
      </c>
      <c r="J53" s="115">
        <v>0</v>
      </c>
      <c r="K53" s="115">
        <v>0</v>
      </c>
      <c r="L53" s="115">
        <v>0</v>
      </c>
      <c r="M53" s="115">
        <v>0</v>
      </c>
      <c r="N53" s="115">
        <v>0</v>
      </c>
      <c r="O53" s="115">
        <v>0</v>
      </c>
      <c r="P53" s="115">
        <v>0</v>
      </c>
      <c r="Q53" s="115">
        <v>0</v>
      </c>
      <c r="R53" s="115">
        <v>0</v>
      </c>
      <c r="S53" s="115">
        <v>0</v>
      </c>
      <c r="T53" s="115">
        <v>0</v>
      </c>
      <c r="U53" s="115">
        <v>0</v>
      </c>
      <c r="V53" s="115">
        <v>0</v>
      </c>
      <c r="W53" s="115">
        <v>0</v>
      </c>
      <c r="X53" s="115">
        <v>800</v>
      </c>
      <c r="Y53" s="165">
        <v>266.66666666666669</v>
      </c>
      <c r="Z53" s="165">
        <v>266.66666666666669</v>
      </c>
      <c r="AA53" s="165">
        <v>266.66666666666669</v>
      </c>
      <c r="AB53" s="165">
        <v>266.66666666666669</v>
      </c>
      <c r="AC53" s="165">
        <v>266.66666666666669</v>
      </c>
      <c r="AD53" s="165">
        <v>266.66666666666669</v>
      </c>
      <c r="AE53" s="165">
        <v>266.66666666666669</v>
      </c>
      <c r="AF53" s="165">
        <v>266.66666666666669</v>
      </c>
      <c r="AG53" s="165">
        <v>266.66666666666669</v>
      </c>
      <c r="AH53" s="165">
        <v>266.66666666666669</v>
      </c>
      <c r="AI53" s="165">
        <v>266.66666666666669</v>
      </c>
      <c r="AJ53" s="165">
        <v>266.66666666666669</v>
      </c>
      <c r="AK53" s="165">
        <v>266.66666666666669</v>
      </c>
      <c r="AL53" s="165">
        <v>266.66666666666669</v>
      </c>
      <c r="AM53" s="165">
        <v>266.66666666666669</v>
      </c>
      <c r="AN53" s="165">
        <v>266.66666666666669</v>
      </c>
      <c r="AO53" s="165">
        <v>266.66666666666669</v>
      </c>
      <c r="AP53" s="165">
        <v>266.66666666666669</v>
      </c>
      <c r="AQ53" s="165">
        <v>266.66666666666669</v>
      </c>
      <c r="AR53" s="165">
        <v>266.66666666666669</v>
      </c>
      <c r="AS53" s="165">
        <v>266.66666666666669</v>
      </c>
      <c r="AT53" s="165">
        <v>266.66666666666669</v>
      </c>
      <c r="AU53" s="165">
        <v>266.66666666666669</v>
      </c>
      <c r="AV53" s="165">
        <v>266.66666666666669</v>
      </c>
      <c r="AW53" s="165">
        <v>266.66666666666669</v>
      </c>
      <c r="AX53" s="165">
        <v>266.66666666666669</v>
      </c>
      <c r="AY53" s="165">
        <v>266.66666666666669</v>
      </c>
    </row>
    <row r="54" spans="1:51" ht="12.75" x14ac:dyDescent="0.2">
      <c r="A54" s="23" t="s">
        <v>309</v>
      </c>
      <c r="B54" s="224">
        <v>2597.3333333333335</v>
      </c>
      <c r="D54" s="115">
        <v>1356</v>
      </c>
      <c r="E54" s="115">
        <v>1406</v>
      </c>
      <c r="F54" s="115">
        <v>1406</v>
      </c>
      <c r="G54" s="115">
        <v>1406</v>
      </c>
      <c r="H54" s="115">
        <v>1506</v>
      </c>
      <c r="I54" s="115">
        <v>1506</v>
      </c>
      <c r="J54" s="115">
        <v>1506</v>
      </c>
      <c r="K54" s="115">
        <v>1556</v>
      </c>
      <c r="L54" s="115">
        <v>1683</v>
      </c>
      <c r="M54" s="115">
        <v>1683</v>
      </c>
      <c r="N54" s="115">
        <v>1750</v>
      </c>
      <c r="O54" s="115">
        <v>1892</v>
      </c>
      <c r="P54" s="115">
        <v>1931</v>
      </c>
      <c r="Q54" s="115">
        <v>1907</v>
      </c>
      <c r="R54" s="115">
        <v>2007</v>
      </c>
      <c r="S54" s="115">
        <v>2276</v>
      </c>
      <c r="T54" s="115">
        <v>1983</v>
      </c>
      <c r="U54" s="115">
        <v>2451</v>
      </c>
      <c r="V54" s="115">
        <v>2550</v>
      </c>
      <c r="W54" s="115">
        <v>2621</v>
      </c>
      <c r="X54" s="115">
        <v>2621</v>
      </c>
      <c r="Y54" s="165">
        <v>2597.3333333333335</v>
      </c>
      <c r="Z54" s="165">
        <v>2597.3333333333335</v>
      </c>
      <c r="AA54" s="165">
        <v>2597.3333333333335</v>
      </c>
      <c r="AB54" s="165">
        <v>2597.3333333333335</v>
      </c>
      <c r="AC54" s="165">
        <v>2597.3333333333335</v>
      </c>
      <c r="AD54" s="165">
        <v>2597.3333333333335</v>
      </c>
      <c r="AE54" s="165">
        <v>2597.3333333333335</v>
      </c>
      <c r="AF54" s="165">
        <v>2597.3333333333335</v>
      </c>
      <c r="AG54" s="165">
        <v>2597.3333333333335</v>
      </c>
      <c r="AH54" s="165">
        <v>2597.3333333333335</v>
      </c>
      <c r="AI54" s="165">
        <v>2597.3333333333335</v>
      </c>
      <c r="AJ54" s="165">
        <v>2597.3333333333335</v>
      </c>
      <c r="AK54" s="165">
        <v>2597.3333333333335</v>
      </c>
      <c r="AL54" s="165">
        <v>2597.3333333333335</v>
      </c>
      <c r="AM54" s="165">
        <v>2597.3333333333335</v>
      </c>
      <c r="AN54" s="165">
        <v>2597.3333333333335</v>
      </c>
      <c r="AO54" s="165">
        <v>2597.3333333333335</v>
      </c>
      <c r="AP54" s="165">
        <v>2597.3333333333335</v>
      </c>
      <c r="AQ54" s="165">
        <v>2597.3333333333335</v>
      </c>
      <c r="AR54" s="165">
        <v>2597.3333333333335</v>
      </c>
      <c r="AS54" s="165">
        <v>2597.3333333333335</v>
      </c>
      <c r="AT54" s="165">
        <v>2597.3333333333335</v>
      </c>
      <c r="AU54" s="165">
        <v>2597.3333333333335</v>
      </c>
      <c r="AV54" s="165">
        <v>2597.3333333333335</v>
      </c>
      <c r="AW54" s="165">
        <v>2597.3333333333335</v>
      </c>
      <c r="AX54" s="165">
        <v>2597.3333333333335</v>
      </c>
      <c r="AY54" s="165">
        <v>2597.3333333333335</v>
      </c>
    </row>
    <row r="55" spans="1:51" ht="12.75" x14ac:dyDescent="0.2">
      <c r="A55" s="23" t="s">
        <v>310</v>
      </c>
      <c r="B55" s="221"/>
      <c r="D55" s="115"/>
      <c r="E55" s="115"/>
      <c r="F55" s="115"/>
      <c r="G55" s="115"/>
      <c r="H55" s="115"/>
      <c r="I55" s="115"/>
      <c r="J55" s="115"/>
      <c r="K55" s="115"/>
      <c r="L55" s="115"/>
      <c r="M55" s="115"/>
      <c r="N55" s="115"/>
      <c r="O55" s="115"/>
      <c r="P55" s="115"/>
      <c r="Q55" s="115"/>
      <c r="R55" s="115"/>
      <c r="S55" s="115"/>
      <c r="T55" s="115"/>
      <c r="U55" s="115"/>
      <c r="V55" s="115"/>
      <c r="W55" s="115"/>
      <c r="X55" s="115"/>
    </row>
    <row r="56" spans="1:51" ht="12.75" x14ac:dyDescent="0.2">
      <c r="A56" s="23" t="s">
        <v>311</v>
      </c>
      <c r="B56" s="224">
        <v>5870.333333333333</v>
      </c>
      <c r="D56" s="115">
        <v>3404</v>
      </c>
      <c r="E56" s="115">
        <v>3380</v>
      </c>
      <c r="F56" s="115">
        <v>3666</v>
      </c>
      <c r="G56" s="115">
        <v>3752</v>
      </c>
      <c r="H56" s="115">
        <v>3906</v>
      </c>
      <c r="I56" s="115">
        <v>4023</v>
      </c>
      <c r="J56" s="115">
        <v>4190</v>
      </c>
      <c r="K56" s="115">
        <v>4130</v>
      </c>
      <c r="L56" s="115">
        <v>4250</v>
      </c>
      <c r="M56" s="115">
        <v>3959</v>
      </c>
      <c r="N56" s="115">
        <v>4198</v>
      </c>
      <c r="O56" s="115">
        <v>4432</v>
      </c>
      <c r="P56" s="115">
        <v>4377</v>
      </c>
      <c r="Q56" s="115">
        <v>4577</v>
      </c>
      <c r="R56" s="115">
        <v>5005</v>
      </c>
      <c r="S56" s="115">
        <v>5233</v>
      </c>
      <c r="T56" s="115">
        <v>4572</v>
      </c>
      <c r="U56" s="115">
        <v>4871</v>
      </c>
      <c r="V56" s="115">
        <v>4938</v>
      </c>
      <c r="W56" s="115">
        <v>5121</v>
      </c>
      <c r="X56" s="115">
        <v>7552</v>
      </c>
      <c r="Y56" s="165">
        <v>5870.333333333333</v>
      </c>
      <c r="Z56" s="165">
        <v>5870.333333333333</v>
      </c>
      <c r="AA56" s="165">
        <v>5870.333333333333</v>
      </c>
      <c r="AB56" s="165">
        <v>5870.333333333333</v>
      </c>
      <c r="AC56" s="165">
        <v>5870.333333333333</v>
      </c>
      <c r="AD56" s="165">
        <v>5870.333333333333</v>
      </c>
      <c r="AE56" s="165">
        <v>5870.333333333333</v>
      </c>
      <c r="AF56" s="165">
        <v>5870.333333333333</v>
      </c>
      <c r="AG56" s="165">
        <v>5870.333333333333</v>
      </c>
      <c r="AH56" s="165">
        <v>5870.333333333333</v>
      </c>
      <c r="AI56" s="165">
        <v>5870.333333333333</v>
      </c>
      <c r="AJ56" s="165">
        <v>5870.333333333333</v>
      </c>
      <c r="AK56" s="165">
        <v>5870.333333333333</v>
      </c>
      <c r="AL56" s="165">
        <v>5870.333333333333</v>
      </c>
      <c r="AM56" s="165">
        <v>5870.333333333333</v>
      </c>
      <c r="AN56" s="165">
        <v>5870.333333333333</v>
      </c>
      <c r="AO56" s="165">
        <v>5870.333333333333</v>
      </c>
      <c r="AP56" s="165">
        <v>5870.333333333333</v>
      </c>
      <c r="AQ56" s="165">
        <v>5870.333333333333</v>
      </c>
      <c r="AR56" s="165">
        <v>5870.333333333333</v>
      </c>
      <c r="AS56" s="165">
        <v>5870.333333333333</v>
      </c>
      <c r="AT56" s="165">
        <v>5870.333333333333</v>
      </c>
      <c r="AU56" s="165">
        <v>5870.333333333333</v>
      </c>
      <c r="AV56" s="165">
        <v>5870.333333333333</v>
      </c>
      <c r="AW56" s="165">
        <v>5870.333333333333</v>
      </c>
      <c r="AX56" s="165">
        <v>5870.333333333333</v>
      </c>
      <c r="AY56" s="165">
        <v>5870.333333333333</v>
      </c>
    </row>
    <row r="57" spans="1:51" ht="12.75" x14ac:dyDescent="0.2">
      <c r="A57" s="23" t="s">
        <v>312</v>
      </c>
      <c r="B57" s="224">
        <v>5132.666666666667</v>
      </c>
      <c r="D57" s="115">
        <v>2487</v>
      </c>
      <c r="E57" s="115">
        <v>2849</v>
      </c>
      <c r="F57" s="115">
        <v>3138</v>
      </c>
      <c r="G57" s="115">
        <v>3532</v>
      </c>
      <c r="H57" s="115">
        <v>3337</v>
      </c>
      <c r="I57" s="115">
        <v>3267</v>
      </c>
      <c r="J57" s="115">
        <v>3451</v>
      </c>
      <c r="K57" s="115">
        <v>3510</v>
      </c>
      <c r="L57" s="115">
        <v>3714</v>
      </c>
      <c r="M57" s="115">
        <v>3628</v>
      </c>
      <c r="N57" s="115">
        <v>3766</v>
      </c>
      <c r="O57" s="115">
        <v>3916</v>
      </c>
      <c r="P57" s="115">
        <v>3839</v>
      </c>
      <c r="Q57" s="115">
        <v>4341</v>
      </c>
      <c r="R57" s="115">
        <v>4557</v>
      </c>
      <c r="S57" s="115">
        <v>4597</v>
      </c>
      <c r="T57" s="115">
        <v>6113</v>
      </c>
      <c r="U57" s="115">
        <v>5884</v>
      </c>
      <c r="V57" s="115">
        <v>6025</v>
      </c>
      <c r="W57" s="115">
        <v>5831</v>
      </c>
      <c r="X57" s="115">
        <v>3542</v>
      </c>
      <c r="Y57" s="165">
        <v>5132.666666666667</v>
      </c>
      <c r="Z57" s="165">
        <v>5132.666666666667</v>
      </c>
      <c r="AA57" s="165">
        <v>5132.666666666667</v>
      </c>
      <c r="AB57" s="165">
        <v>5132.666666666667</v>
      </c>
      <c r="AC57" s="165">
        <v>5132.666666666667</v>
      </c>
      <c r="AD57" s="165">
        <v>5132.666666666667</v>
      </c>
      <c r="AE57" s="165">
        <v>5132.666666666667</v>
      </c>
      <c r="AF57" s="165">
        <v>5132.666666666667</v>
      </c>
      <c r="AG57" s="165">
        <v>5132.666666666667</v>
      </c>
      <c r="AH57" s="165">
        <v>5132.666666666667</v>
      </c>
      <c r="AI57" s="165">
        <v>5132.666666666667</v>
      </c>
      <c r="AJ57" s="165">
        <v>5132.666666666667</v>
      </c>
      <c r="AK57" s="165">
        <v>5132.666666666667</v>
      </c>
      <c r="AL57" s="165">
        <v>5132.666666666667</v>
      </c>
      <c r="AM57" s="165">
        <v>5132.666666666667</v>
      </c>
      <c r="AN57" s="165">
        <v>5132.666666666667</v>
      </c>
      <c r="AO57" s="165">
        <v>5132.666666666667</v>
      </c>
      <c r="AP57" s="165">
        <v>5132.666666666667</v>
      </c>
      <c r="AQ57" s="165">
        <v>5132.666666666667</v>
      </c>
      <c r="AR57" s="165">
        <v>5132.666666666667</v>
      </c>
      <c r="AS57" s="165">
        <v>5132.666666666667</v>
      </c>
      <c r="AT57" s="165">
        <v>5132.666666666667</v>
      </c>
      <c r="AU57" s="165">
        <v>5132.666666666667</v>
      </c>
      <c r="AV57" s="165">
        <v>5132.666666666667</v>
      </c>
      <c r="AW57" s="165">
        <v>5132.666666666667</v>
      </c>
      <c r="AX57" s="165">
        <v>5132.666666666667</v>
      </c>
      <c r="AY57" s="165">
        <v>5132.666666666667</v>
      </c>
    </row>
    <row r="58" spans="1:51" ht="12.75" x14ac:dyDescent="0.2">
      <c r="A58" s="23" t="s">
        <v>313</v>
      </c>
      <c r="B58" s="224">
        <v>1084.6666666666667</v>
      </c>
      <c r="D58" s="115">
        <v>579</v>
      </c>
      <c r="E58" s="115">
        <v>498</v>
      </c>
      <c r="F58" s="115">
        <v>311</v>
      </c>
      <c r="G58" s="115">
        <v>706</v>
      </c>
      <c r="H58" s="115">
        <v>914</v>
      </c>
      <c r="I58" s="115">
        <v>855</v>
      </c>
      <c r="J58" s="115">
        <v>953</v>
      </c>
      <c r="K58" s="115">
        <v>985</v>
      </c>
      <c r="L58" s="115">
        <v>1730</v>
      </c>
      <c r="M58" s="115">
        <v>1073</v>
      </c>
      <c r="N58" s="115">
        <v>1205</v>
      </c>
      <c r="O58" s="115">
        <v>1436</v>
      </c>
      <c r="P58" s="115">
        <v>1489</v>
      </c>
      <c r="Q58" s="115">
        <v>1642</v>
      </c>
      <c r="R58" s="115">
        <v>1479</v>
      </c>
      <c r="S58" s="115">
        <v>1361</v>
      </c>
      <c r="T58" s="115">
        <v>1243</v>
      </c>
      <c r="U58" s="115">
        <v>1185</v>
      </c>
      <c r="V58" s="115">
        <v>1112</v>
      </c>
      <c r="W58" s="115">
        <v>1065</v>
      </c>
      <c r="X58" s="115">
        <v>1077</v>
      </c>
      <c r="Y58" s="165">
        <v>1084.6666666666667</v>
      </c>
      <c r="Z58" s="165">
        <v>1084.6666666666667</v>
      </c>
      <c r="AA58" s="165">
        <v>1084.6666666666667</v>
      </c>
      <c r="AB58" s="165">
        <v>1084.6666666666667</v>
      </c>
      <c r="AC58" s="165">
        <v>1084.6666666666667</v>
      </c>
      <c r="AD58" s="165">
        <v>1084.6666666666667</v>
      </c>
      <c r="AE58" s="165">
        <v>1084.6666666666667</v>
      </c>
      <c r="AF58" s="165">
        <v>1084.6666666666667</v>
      </c>
      <c r="AG58" s="165">
        <v>1084.6666666666667</v>
      </c>
      <c r="AH58" s="165">
        <v>1084.6666666666667</v>
      </c>
      <c r="AI58" s="165">
        <v>1084.6666666666667</v>
      </c>
      <c r="AJ58" s="165">
        <v>1084.6666666666667</v>
      </c>
      <c r="AK58" s="165">
        <v>1084.6666666666667</v>
      </c>
      <c r="AL58" s="165">
        <v>1084.6666666666667</v>
      </c>
      <c r="AM58" s="165">
        <v>1084.6666666666667</v>
      </c>
      <c r="AN58" s="165">
        <v>1084.6666666666667</v>
      </c>
      <c r="AO58" s="165">
        <v>1084.6666666666667</v>
      </c>
      <c r="AP58" s="165">
        <v>1084.6666666666667</v>
      </c>
      <c r="AQ58" s="165">
        <v>1084.6666666666667</v>
      </c>
      <c r="AR58" s="165">
        <v>1084.6666666666667</v>
      </c>
      <c r="AS58" s="165">
        <v>1084.6666666666667</v>
      </c>
      <c r="AT58" s="165">
        <v>1084.6666666666667</v>
      </c>
      <c r="AU58" s="165">
        <v>1084.6666666666667</v>
      </c>
      <c r="AV58" s="165">
        <v>1084.6666666666667</v>
      </c>
      <c r="AW58" s="165">
        <v>1084.6666666666667</v>
      </c>
      <c r="AX58" s="165">
        <v>1084.6666666666667</v>
      </c>
      <c r="AY58" s="165">
        <v>1084.6666666666667</v>
      </c>
    </row>
    <row r="59" spans="1:51" ht="12.75" x14ac:dyDescent="0.2">
      <c r="A59" s="23" t="s">
        <v>314</v>
      </c>
      <c r="B59" s="224">
        <v>2012.6666666666667</v>
      </c>
      <c r="D59" s="115">
        <v>671</v>
      </c>
      <c r="E59" s="115">
        <v>583</v>
      </c>
      <c r="F59" s="115">
        <v>888</v>
      </c>
      <c r="G59" s="115">
        <v>1219</v>
      </c>
      <c r="H59" s="115">
        <v>1474</v>
      </c>
      <c r="I59" s="115">
        <v>1322</v>
      </c>
      <c r="J59" s="115">
        <v>1588</v>
      </c>
      <c r="K59" s="115">
        <v>1625</v>
      </c>
      <c r="L59" s="115">
        <v>1730</v>
      </c>
      <c r="M59" s="115">
        <v>1633</v>
      </c>
      <c r="N59" s="115">
        <v>1781</v>
      </c>
      <c r="O59" s="115">
        <v>1826</v>
      </c>
      <c r="P59" s="115">
        <v>1750</v>
      </c>
      <c r="Q59" s="115">
        <v>2098</v>
      </c>
      <c r="R59" s="115">
        <v>1175</v>
      </c>
      <c r="S59" s="115">
        <v>1245</v>
      </c>
      <c r="T59" s="115">
        <v>4231</v>
      </c>
      <c r="U59" s="115">
        <v>1472</v>
      </c>
      <c r="V59" s="115">
        <v>1891</v>
      </c>
      <c r="W59" s="115">
        <v>1943</v>
      </c>
      <c r="X59" s="115">
        <v>2204</v>
      </c>
      <c r="Y59" s="165">
        <v>2012.6666666666667</v>
      </c>
      <c r="Z59" s="165">
        <v>2012.6666666666667</v>
      </c>
      <c r="AA59" s="165">
        <v>2012.6666666666667</v>
      </c>
      <c r="AB59" s="165">
        <v>2012.6666666666667</v>
      </c>
      <c r="AC59" s="165">
        <v>2012.6666666666667</v>
      </c>
      <c r="AD59" s="165">
        <v>2012.6666666666667</v>
      </c>
      <c r="AE59" s="165">
        <v>2012.6666666666667</v>
      </c>
      <c r="AF59" s="165">
        <v>2012.6666666666667</v>
      </c>
      <c r="AG59" s="165">
        <v>2012.6666666666667</v>
      </c>
      <c r="AH59" s="165">
        <v>2012.6666666666667</v>
      </c>
      <c r="AI59" s="165">
        <v>2012.6666666666667</v>
      </c>
      <c r="AJ59" s="165">
        <v>2012.6666666666667</v>
      </c>
      <c r="AK59" s="165">
        <v>2012.6666666666667</v>
      </c>
      <c r="AL59" s="165">
        <v>2012.6666666666667</v>
      </c>
      <c r="AM59" s="165">
        <v>2012.6666666666667</v>
      </c>
      <c r="AN59" s="165">
        <v>2012.6666666666667</v>
      </c>
      <c r="AO59" s="165">
        <v>2012.6666666666667</v>
      </c>
      <c r="AP59" s="165">
        <v>2012.6666666666667</v>
      </c>
      <c r="AQ59" s="165">
        <v>2012.6666666666667</v>
      </c>
      <c r="AR59" s="165">
        <v>2012.6666666666667</v>
      </c>
      <c r="AS59" s="165">
        <v>2012.6666666666667</v>
      </c>
      <c r="AT59" s="165">
        <v>2012.6666666666667</v>
      </c>
      <c r="AU59" s="165">
        <v>2012.6666666666667</v>
      </c>
      <c r="AV59" s="165">
        <v>2012.6666666666667</v>
      </c>
      <c r="AW59" s="165">
        <v>2012.6666666666667</v>
      </c>
      <c r="AX59" s="165">
        <v>2012.6666666666667</v>
      </c>
      <c r="AY59" s="165">
        <v>2012.6666666666667</v>
      </c>
    </row>
    <row r="60" spans="1:51" ht="12.75" x14ac:dyDescent="0.2">
      <c r="A60" s="60" t="s">
        <v>315</v>
      </c>
      <c r="B60" s="238"/>
      <c r="C60" s="212"/>
      <c r="D60" s="226">
        <v>7141</v>
      </c>
      <c r="E60" s="226">
        <v>7310</v>
      </c>
      <c r="F60" s="226">
        <v>8003</v>
      </c>
      <c r="G60" s="226">
        <v>9209</v>
      </c>
      <c r="H60" s="226">
        <v>9631</v>
      </c>
      <c r="I60" s="226">
        <v>9467</v>
      </c>
      <c r="J60" s="226">
        <v>10182</v>
      </c>
      <c r="K60" s="226">
        <v>10250</v>
      </c>
      <c r="L60" s="226">
        <v>11424</v>
      </c>
      <c r="M60" s="226">
        <v>10293</v>
      </c>
      <c r="N60" s="226">
        <v>10950</v>
      </c>
      <c r="O60" s="226">
        <v>11610</v>
      </c>
      <c r="P60" s="226">
        <v>11455</v>
      </c>
      <c r="Q60" s="226">
        <v>12658</v>
      </c>
      <c r="R60" s="226">
        <v>12216</v>
      </c>
      <c r="S60" s="226">
        <v>12436</v>
      </c>
      <c r="T60" s="226">
        <v>16159</v>
      </c>
      <c r="U60" s="226">
        <v>13412</v>
      </c>
      <c r="V60" s="226">
        <v>13966</v>
      </c>
      <c r="W60" s="226">
        <v>13960</v>
      </c>
      <c r="X60" s="226">
        <v>14375</v>
      </c>
      <c r="Y60" s="226">
        <v>14100.333333333332</v>
      </c>
      <c r="Z60" s="226">
        <v>14100.333333333332</v>
      </c>
      <c r="AA60" s="226">
        <v>14100.333333333332</v>
      </c>
      <c r="AB60" s="226">
        <v>14100.333333333332</v>
      </c>
      <c r="AC60" s="226">
        <v>14100.333333333332</v>
      </c>
      <c r="AD60" s="226">
        <v>14100.333333333332</v>
      </c>
      <c r="AE60" s="226">
        <v>14100.333333333332</v>
      </c>
      <c r="AF60" s="226">
        <v>14100.333333333332</v>
      </c>
      <c r="AG60" s="226">
        <v>14100.333333333332</v>
      </c>
      <c r="AH60" s="226">
        <v>14100.333333333332</v>
      </c>
      <c r="AI60" s="226">
        <v>14100.333333333332</v>
      </c>
      <c r="AJ60" s="226">
        <v>14100.333333333332</v>
      </c>
      <c r="AK60" s="226">
        <v>14100.333333333332</v>
      </c>
      <c r="AL60" s="226">
        <v>14100.333333333332</v>
      </c>
      <c r="AM60" s="226">
        <v>14100.333333333332</v>
      </c>
      <c r="AN60" s="226">
        <v>14100.333333333332</v>
      </c>
      <c r="AO60" s="226">
        <v>14100.333333333332</v>
      </c>
      <c r="AP60" s="226">
        <v>14100.333333333332</v>
      </c>
      <c r="AQ60" s="226">
        <v>14100.333333333332</v>
      </c>
      <c r="AR60" s="226">
        <v>14100.333333333332</v>
      </c>
      <c r="AS60" s="226">
        <v>14100.333333333332</v>
      </c>
      <c r="AT60" s="226">
        <v>14100.333333333332</v>
      </c>
      <c r="AU60" s="226">
        <v>14100.333333333332</v>
      </c>
      <c r="AV60" s="226">
        <v>14100.333333333332</v>
      </c>
      <c r="AW60" s="226">
        <v>14100.333333333332</v>
      </c>
      <c r="AX60" s="226">
        <v>14100.333333333332</v>
      </c>
      <c r="AY60" s="226">
        <v>14100.333333333332</v>
      </c>
    </row>
    <row r="61" spans="1:51" ht="12.75" x14ac:dyDescent="0.2">
      <c r="A61" s="60" t="s">
        <v>316</v>
      </c>
      <c r="B61" s="238"/>
      <c r="C61" s="212"/>
      <c r="D61" s="213">
        <v>49564</v>
      </c>
      <c r="E61" s="213">
        <v>50447</v>
      </c>
      <c r="F61" s="213">
        <v>51351</v>
      </c>
      <c r="G61" s="213">
        <v>53206</v>
      </c>
      <c r="H61" s="213">
        <v>55257</v>
      </c>
      <c r="I61" s="213">
        <v>57649</v>
      </c>
      <c r="J61" s="213">
        <v>60554</v>
      </c>
      <c r="K61" s="213">
        <v>60152</v>
      </c>
      <c r="L61" s="213">
        <v>67770</v>
      </c>
      <c r="M61" s="213">
        <v>67583</v>
      </c>
      <c r="N61" s="213">
        <v>67866</v>
      </c>
      <c r="O61" s="213">
        <v>70376</v>
      </c>
      <c r="P61" s="213">
        <v>69737</v>
      </c>
      <c r="Q61" s="213">
        <v>72354</v>
      </c>
      <c r="R61" s="213">
        <v>76214</v>
      </c>
      <c r="S61" s="213">
        <v>76301</v>
      </c>
      <c r="T61" s="213">
        <v>81524</v>
      </c>
      <c r="U61" s="213">
        <v>81206</v>
      </c>
      <c r="V61" s="213">
        <v>81697</v>
      </c>
      <c r="W61" s="213">
        <v>82120</v>
      </c>
      <c r="X61" s="213">
        <v>83392</v>
      </c>
      <c r="Y61" s="213">
        <v>93644.333333333328</v>
      </c>
      <c r="Z61" s="213">
        <v>93644.333333333328</v>
      </c>
      <c r="AA61" s="213">
        <v>93644.333333333328</v>
      </c>
      <c r="AB61" s="213">
        <v>93644.333333333328</v>
      </c>
      <c r="AC61" s="213">
        <v>93644.333333333328</v>
      </c>
      <c r="AD61" s="213">
        <v>93644.333333333328</v>
      </c>
      <c r="AE61" s="213">
        <v>93644.333333333328</v>
      </c>
      <c r="AF61" s="213">
        <v>93644.333333333328</v>
      </c>
      <c r="AG61" s="213">
        <v>93644.333333333328</v>
      </c>
      <c r="AH61" s="213">
        <v>93644.333333333328</v>
      </c>
      <c r="AI61" s="213">
        <v>93644.333333333328</v>
      </c>
      <c r="AJ61" s="213">
        <v>93644.333333333328</v>
      </c>
      <c r="AK61" s="213">
        <v>93644.333333333328</v>
      </c>
      <c r="AL61" s="213">
        <v>93644.333333333328</v>
      </c>
      <c r="AM61" s="213">
        <v>93644.333333333328</v>
      </c>
      <c r="AN61" s="213">
        <v>93644.333333333328</v>
      </c>
      <c r="AO61" s="213">
        <v>93644.333333333328</v>
      </c>
      <c r="AP61" s="213">
        <v>93644.333333333328</v>
      </c>
      <c r="AQ61" s="213">
        <v>93644.333333333328</v>
      </c>
      <c r="AR61" s="213">
        <v>93644.333333333328</v>
      </c>
      <c r="AS61" s="213">
        <v>93644.333333333328</v>
      </c>
      <c r="AT61" s="213">
        <v>93644.333333333328</v>
      </c>
      <c r="AU61" s="213">
        <v>93644.333333333328</v>
      </c>
      <c r="AV61" s="213">
        <v>93644.333333333328</v>
      </c>
      <c r="AW61" s="213">
        <v>93644.333333333328</v>
      </c>
      <c r="AX61" s="213">
        <v>93644.333333333328</v>
      </c>
      <c r="AY61" s="213">
        <v>93644.333333333328</v>
      </c>
    </row>
    <row r="62" spans="1:51" ht="12.75" x14ac:dyDescent="0.2">
      <c r="A62" s="69" t="s">
        <v>244</v>
      </c>
      <c r="B62" s="221"/>
      <c r="D62" s="115">
        <v>0</v>
      </c>
      <c r="E62" s="115">
        <v>0</v>
      </c>
      <c r="F62" s="115">
        <v>0</v>
      </c>
      <c r="G62" s="115">
        <v>0</v>
      </c>
      <c r="H62" s="115">
        <v>0</v>
      </c>
      <c r="I62" s="115">
        <v>0</v>
      </c>
      <c r="J62" s="115">
        <v>0</v>
      </c>
      <c r="K62" s="115">
        <v>0</v>
      </c>
      <c r="L62" s="115">
        <v>0</v>
      </c>
      <c r="M62" s="115">
        <v>0</v>
      </c>
      <c r="N62" s="115">
        <v>0</v>
      </c>
      <c r="O62" s="115">
        <v>0</v>
      </c>
      <c r="P62" s="115">
        <v>0</v>
      </c>
      <c r="Q62" s="115">
        <v>0</v>
      </c>
      <c r="R62" s="115">
        <v>0</v>
      </c>
      <c r="S62" s="115">
        <v>0</v>
      </c>
      <c r="T62" s="115">
        <v>0</v>
      </c>
      <c r="U62" s="115">
        <v>0</v>
      </c>
      <c r="V62" s="115">
        <v>0</v>
      </c>
      <c r="W62" s="115">
        <v>0</v>
      </c>
      <c r="X62" s="115">
        <v>0</v>
      </c>
    </row>
    <row r="63" spans="1:51" ht="12.75" x14ac:dyDescent="0.2">
      <c r="A63" s="23" t="s">
        <v>22</v>
      </c>
      <c r="B63" s="221"/>
    </row>
    <row r="64" spans="1:51" ht="12.75" x14ac:dyDescent="0.2">
      <c r="A64" s="23" t="s">
        <v>317</v>
      </c>
      <c r="B64" s="221"/>
      <c r="D64" s="115"/>
      <c r="E64" s="115"/>
      <c r="F64" s="115"/>
      <c r="G64" s="115"/>
      <c r="H64" s="115"/>
      <c r="I64" s="115"/>
      <c r="J64" s="115"/>
      <c r="K64" s="115"/>
      <c r="L64" s="115"/>
      <c r="M64" s="115"/>
      <c r="N64" s="115"/>
      <c r="O64" s="115"/>
      <c r="P64" s="115"/>
      <c r="Q64" s="115"/>
      <c r="R64" s="115"/>
      <c r="S64" s="115"/>
      <c r="T64" s="115"/>
      <c r="U64" s="115"/>
      <c r="V64" s="115"/>
      <c r="W64" s="115"/>
      <c r="X64" s="115"/>
    </row>
    <row r="65" spans="1:51" ht="12.75" x14ac:dyDescent="0.2">
      <c r="A65" s="23" t="s">
        <v>318</v>
      </c>
      <c r="B65" s="224">
        <v>168784.66666666666</v>
      </c>
      <c r="D65" s="115">
        <v>43624</v>
      </c>
      <c r="E65" s="115">
        <v>46167</v>
      </c>
      <c r="F65" s="115">
        <v>48966</v>
      </c>
      <c r="G65" s="115">
        <v>51878</v>
      </c>
      <c r="H65" s="115">
        <v>55509</v>
      </c>
      <c r="I65" s="115">
        <v>57730</v>
      </c>
      <c r="J65" s="115">
        <v>66678</v>
      </c>
      <c r="K65" s="115">
        <v>72175</v>
      </c>
      <c r="L65" s="115">
        <v>95583</v>
      </c>
      <c r="M65" s="115">
        <v>100753</v>
      </c>
      <c r="N65" s="115">
        <v>121866</v>
      </c>
      <c r="O65" s="115">
        <v>132194</v>
      </c>
      <c r="P65" s="115">
        <v>135234</v>
      </c>
      <c r="Q65" s="115">
        <v>156382</v>
      </c>
      <c r="R65" s="115">
        <v>158221</v>
      </c>
      <c r="S65" s="115">
        <v>156382</v>
      </c>
      <c r="T65" s="115">
        <v>171134</v>
      </c>
      <c r="U65" s="115">
        <v>168772</v>
      </c>
      <c r="V65" s="115">
        <v>166219</v>
      </c>
      <c r="W65" s="115">
        <v>168021</v>
      </c>
      <c r="X65" s="115">
        <v>172114</v>
      </c>
      <c r="Y65" s="165">
        <v>168784.66666666666</v>
      </c>
      <c r="Z65" s="165">
        <v>168784.66666666666</v>
      </c>
      <c r="AA65" s="165">
        <v>168784.66666666666</v>
      </c>
      <c r="AB65" s="165">
        <v>168784.66666666666</v>
      </c>
      <c r="AC65" s="165">
        <v>168784.66666666666</v>
      </c>
      <c r="AD65" s="165">
        <v>168784.66666666666</v>
      </c>
      <c r="AE65" s="165">
        <v>168784.66666666666</v>
      </c>
      <c r="AF65" s="165">
        <v>168784.66666666666</v>
      </c>
      <c r="AG65" s="165">
        <v>168784.66666666666</v>
      </c>
      <c r="AH65" s="165">
        <v>168784.66666666666</v>
      </c>
      <c r="AI65" s="165">
        <v>168784.66666666666</v>
      </c>
      <c r="AJ65" s="165">
        <v>168784.66666666666</v>
      </c>
      <c r="AK65" s="165">
        <v>168784.66666666666</v>
      </c>
      <c r="AL65" s="165">
        <v>168784.66666666666</v>
      </c>
      <c r="AM65" s="165">
        <v>168784.66666666666</v>
      </c>
      <c r="AN65" s="165">
        <v>168784.66666666666</v>
      </c>
      <c r="AO65" s="165">
        <v>168784.66666666666</v>
      </c>
      <c r="AP65" s="165">
        <v>168784.66666666666</v>
      </c>
      <c r="AQ65" s="165">
        <v>168784.66666666666</v>
      </c>
      <c r="AR65" s="165">
        <v>168784.66666666666</v>
      </c>
      <c r="AS65" s="165">
        <v>168784.66666666666</v>
      </c>
      <c r="AT65" s="165">
        <v>168784.66666666666</v>
      </c>
      <c r="AU65" s="165">
        <v>168784.66666666666</v>
      </c>
      <c r="AV65" s="165">
        <v>168784.66666666666</v>
      </c>
      <c r="AW65" s="165">
        <v>168784.66666666666</v>
      </c>
      <c r="AX65" s="165">
        <v>168784.66666666666</v>
      </c>
      <c r="AY65" s="165">
        <v>168784.66666666666</v>
      </c>
    </row>
    <row r="66" spans="1:51" ht="12.75" x14ac:dyDescent="0.2">
      <c r="A66" s="23" t="s">
        <v>319</v>
      </c>
      <c r="B66" s="221"/>
      <c r="D66" s="115"/>
      <c r="E66" s="115"/>
      <c r="F66" s="115"/>
      <c r="G66" s="115"/>
      <c r="H66" s="115"/>
      <c r="I66" s="115"/>
      <c r="J66" s="115"/>
      <c r="K66" s="115"/>
      <c r="L66" s="115"/>
      <c r="M66" s="115"/>
      <c r="N66" s="115"/>
      <c r="O66" s="115"/>
      <c r="P66" s="115"/>
      <c r="Q66" s="115"/>
      <c r="R66" s="115"/>
      <c r="S66" s="115"/>
      <c r="T66" s="115"/>
      <c r="U66" s="115"/>
      <c r="V66" s="115"/>
      <c r="W66" s="115"/>
      <c r="X66" s="115"/>
    </row>
    <row r="67" spans="1:51" ht="12.75" x14ac:dyDescent="0.2">
      <c r="A67" s="23" t="s">
        <v>320</v>
      </c>
      <c r="B67" s="224">
        <v>1800</v>
      </c>
      <c r="D67" s="115">
        <v>450</v>
      </c>
      <c r="E67" s="115">
        <v>450</v>
      </c>
      <c r="F67" s="115">
        <v>450</v>
      </c>
      <c r="G67" s="115">
        <v>450</v>
      </c>
      <c r="H67" s="115">
        <v>450</v>
      </c>
      <c r="I67" s="115">
        <v>450</v>
      </c>
      <c r="J67" s="115">
        <v>900</v>
      </c>
      <c r="K67" s="115">
        <v>900</v>
      </c>
      <c r="L67" s="115">
        <v>900</v>
      </c>
      <c r="M67" s="115">
        <v>1350</v>
      </c>
      <c r="N67" s="115">
        <v>1350</v>
      </c>
      <c r="O67" s="115">
        <v>1350</v>
      </c>
      <c r="P67" s="115">
        <v>1800</v>
      </c>
      <c r="Q67" s="115">
        <v>1800</v>
      </c>
      <c r="R67" s="115">
        <v>1800</v>
      </c>
      <c r="S67" s="115">
        <v>1800</v>
      </c>
      <c r="T67" s="115">
        <v>1800</v>
      </c>
      <c r="U67" s="115">
        <v>1800</v>
      </c>
      <c r="V67" s="115">
        <v>1800</v>
      </c>
      <c r="W67" s="115">
        <v>1800</v>
      </c>
      <c r="X67" s="115">
        <v>1800</v>
      </c>
      <c r="Y67" s="25">
        <v>2033.3333333333333</v>
      </c>
      <c r="Z67" s="25">
        <v>2033.3333333333333</v>
      </c>
      <c r="AA67" s="25">
        <v>2033.3333333333333</v>
      </c>
      <c r="AB67" s="25">
        <v>3700</v>
      </c>
      <c r="AC67" s="25">
        <v>3700</v>
      </c>
      <c r="AD67" s="25">
        <v>5366.6666666666661</v>
      </c>
      <c r="AE67" s="25">
        <v>5366.6666666666661</v>
      </c>
      <c r="AF67" s="25">
        <v>5366.6666666666661</v>
      </c>
      <c r="AG67" s="25">
        <v>5366.6666666666661</v>
      </c>
      <c r="AH67" s="25">
        <v>5366.6666666666661</v>
      </c>
      <c r="AI67" s="25">
        <v>5366.6666666666661</v>
      </c>
      <c r="AJ67" s="25">
        <v>5366.6666666666661</v>
      </c>
      <c r="AK67" s="25">
        <v>5366.6666666666661</v>
      </c>
      <c r="AL67" s="25">
        <v>5366.6666666666661</v>
      </c>
      <c r="AM67" s="25">
        <v>5366.6666666666661</v>
      </c>
      <c r="AN67" s="25">
        <v>5366.6666666666661</v>
      </c>
      <c r="AO67" s="25">
        <v>5366.6666666666661</v>
      </c>
      <c r="AP67" s="25">
        <v>5366.6666666666661</v>
      </c>
      <c r="AQ67" s="25">
        <v>5366.6666666666661</v>
      </c>
      <c r="AR67" s="25">
        <v>5366.6666666666661</v>
      </c>
      <c r="AS67" s="25">
        <v>5366.6666666666661</v>
      </c>
      <c r="AT67" s="25">
        <v>5366.6666666666661</v>
      </c>
      <c r="AU67" s="25">
        <v>5366.6666666666661</v>
      </c>
      <c r="AV67" s="25">
        <v>5366.6666666666661</v>
      </c>
      <c r="AW67" s="25">
        <v>5366.6666666666661</v>
      </c>
      <c r="AX67" s="25">
        <v>5366.6666666666661</v>
      </c>
      <c r="AY67" s="25">
        <v>5366.6666666666661</v>
      </c>
    </row>
    <row r="68" spans="1:51" ht="12.75" x14ac:dyDescent="0.2">
      <c r="A68" s="23" t="s">
        <v>321</v>
      </c>
      <c r="B68" s="224">
        <v>2115</v>
      </c>
      <c r="D68" s="115">
        <v>529</v>
      </c>
      <c r="E68" s="115">
        <v>529</v>
      </c>
      <c r="F68" s="115">
        <v>529</v>
      </c>
      <c r="G68" s="115">
        <v>529</v>
      </c>
      <c r="H68" s="115">
        <v>529</v>
      </c>
      <c r="I68" s="115">
        <v>529</v>
      </c>
      <c r="J68" s="115">
        <v>1058</v>
      </c>
      <c r="K68" s="115">
        <v>1058</v>
      </c>
      <c r="L68" s="115">
        <v>1058</v>
      </c>
      <c r="M68" s="115">
        <v>1586</v>
      </c>
      <c r="N68" s="115">
        <v>1586</v>
      </c>
      <c r="O68" s="115">
        <v>1586</v>
      </c>
      <c r="P68" s="115">
        <v>2115</v>
      </c>
      <c r="Q68" s="115">
        <v>2115</v>
      </c>
      <c r="R68" s="115">
        <v>2115</v>
      </c>
      <c r="S68" s="115">
        <v>2115</v>
      </c>
      <c r="T68" s="115">
        <v>2115</v>
      </c>
      <c r="U68" s="115">
        <v>2115</v>
      </c>
      <c r="V68" s="115">
        <v>2115</v>
      </c>
      <c r="W68" s="115">
        <v>2115</v>
      </c>
      <c r="X68" s="115">
        <v>2115</v>
      </c>
      <c r="Y68" s="25">
        <v>2325</v>
      </c>
      <c r="Z68" s="25">
        <v>2325</v>
      </c>
      <c r="AA68" s="25">
        <v>2325</v>
      </c>
      <c r="AB68" s="25">
        <v>3825</v>
      </c>
      <c r="AC68" s="25">
        <v>3825</v>
      </c>
      <c r="AD68" s="25">
        <v>5325</v>
      </c>
      <c r="AE68" s="25">
        <v>5325</v>
      </c>
      <c r="AF68" s="25">
        <v>5325</v>
      </c>
      <c r="AG68" s="25">
        <v>5325</v>
      </c>
      <c r="AH68" s="25">
        <v>5325</v>
      </c>
      <c r="AI68" s="25">
        <v>5325</v>
      </c>
      <c r="AJ68" s="25">
        <v>5325</v>
      </c>
      <c r="AK68" s="25">
        <v>5325</v>
      </c>
      <c r="AL68" s="25">
        <v>5325</v>
      </c>
      <c r="AM68" s="25">
        <v>5325</v>
      </c>
      <c r="AN68" s="25">
        <v>5325</v>
      </c>
      <c r="AO68" s="25">
        <v>5325</v>
      </c>
      <c r="AP68" s="25">
        <v>5325</v>
      </c>
      <c r="AQ68" s="25">
        <v>5325</v>
      </c>
      <c r="AR68" s="25">
        <v>5325</v>
      </c>
      <c r="AS68" s="25">
        <v>5325</v>
      </c>
      <c r="AT68" s="25">
        <v>5325</v>
      </c>
      <c r="AU68" s="25">
        <v>5325</v>
      </c>
      <c r="AV68" s="25">
        <v>5325</v>
      </c>
      <c r="AW68" s="25">
        <v>5325</v>
      </c>
      <c r="AX68" s="25">
        <v>5325</v>
      </c>
      <c r="AY68" s="25">
        <v>5325</v>
      </c>
    </row>
    <row r="69" spans="1:51" ht="12.75" x14ac:dyDescent="0.2">
      <c r="A69" s="23" t="s">
        <v>322</v>
      </c>
      <c r="B69" s="224">
        <v>23500</v>
      </c>
      <c r="D69" s="115">
        <v>5875</v>
      </c>
      <c r="E69" s="115">
        <v>5875</v>
      </c>
      <c r="F69" s="115">
        <v>5875</v>
      </c>
      <c r="G69" s="115">
        <v>5875</v>
      </c>
      <c r="H69" s="115">
        <v>5875</v>
      </c>
      <c r="I69" s="115">
        <v>5875</v>
      </c>
      <c r="J69" s="115">
        <v>11750</v>
      </c>
      <c r="K69" s="115">
        <v>11750</v>
      </c>
      <c r="L69" s="115">
        <v>11750</v>
      </c>
      <c r="M69" s="115">
        <v>17625</v>
      </c>
      <c r="N69" s="115">
        <v>17625</v>
      </c>
      <c r="O69" s="115">
        <v>17625</v>
      </c>
      <c r="P69" s="115">
        <v>23500</v>
      </c>
      <c r="Q69" s="115">
        <v>23500</v>
      </c>
      <c r="R69" s="115">
        <v>23500</v>
      </c>
      <c r="S69" s="115">
        <v>23500</v>
      </c>
      <c r="T69" s="115">
        <v>23500</v>
      </c>
      <c r="U69" s="115">
        <v>23500</v>
      </c>
      <c r="V69" s="115">
        <v>23500</v>
      </c>
      <c r="W69" s="115">
        <v>23500</v>
      </c>
      <c r="X69" s="115">
        <v>23500</v>
      </c>
      <c r="Y69" s="25">
        <v>25833.333333333336</v>
      </c>
      <c r="Z69" s="25">
        <v>25833.333333333336</v>
      </c>
      <c r="AA69" s="25">
        <v>25833.333333333336</v>
      </c>
      <c r="AB69" s="25">
        <v>42500.000000000007</v>
      </c>
      <c r="AC69" s="25">
        <v>42500.000000000007</v>
      </c>
      <c r="AD69" s="25">
        <v>59166.666666666679</v>
      </c>
      <c r="AE69" s="25">
        <v>59166.666666666679</v>
      </c>
      <c r="AF69" s="25">
        <v>59166.666666666679</v>
      </c>
      <c r="AG69" s="25">
        <v>59166.666666666679</v>
      </c>
      <c r="AH69" s="25">
        <v>59166.666666666679</v>
      </c>
      <c r="AI69" s="25">
        <v>59166.666666666679</v>
      </c>
      <c r="AJ69" s="25">
        <v>59166.666666666679</v>
      </c>
      <c r="AK69" s="25">
        <v>59166.666666666679</v>
      </c>
      <c r="AL69" s="25">
        <v>59166.666666666679</v>
      </c>
      <c r="AM69" s="25">
        <v>59166.666666666679</v>
      </c>
      <c r="AN69" s="25">
        <v>59166.666666666679</v>
      </c>
      <c r="AO69" s="25">
        <v>59166.666666666679</v>
      </c>
      <c r="AP69" s="25">
        <v>59166.666666666679</v>
      </c>
      <c r="AQ69" s="25">
        <v>59166.666666666679</v>
      </c>
      <c r="AR69" s="25">
        <v>59166.666666666679</v>
      </c>
      <c r="AS69" s="25">
        <v>59166.666666666679</v>
      </c>
      <c r="AT69" s="25">
        <v>59166.666666666679</v>
      </c>
      <c r="AU69" s="25">
        <v>59166.666666666679</v>
      </c>
      <c r="AV69" s="25">
        <v>59166.666666666679</v>
      </c>
      <c r="AW69" s="25">
        <v>59166.666666666679</v>
      </c>
      <c r="AX69" s="25">
        <v>59166.666666666679</v>
      </c>
      <c r="AY69" s="25">
        <v>59166.666666666679</v>
      </c>
    </row>
    <row r="70" spans="1:51" ht="12.75" x14ac:dyDescent="0.2">
      <c r="A70" s="60" t="s">
        <v>323</v>
      </c>
      <c r="B70" s="238"/>
      <c r="C70" s="212"/>
      <c r="D70" s="226">
        <v>6854</v>
      </c>
      <c r="E70" s="226">
        <v>6854</v>
      </c>
      <c r="F70" s="226">
        <v>6854</v>
      </c>
      <c r="G70" s="226">
        <v>6854</v>
      </c>
      <c r="H70" s="226">
        <v>6854</v>
      </c>
      <c r="I70" s="226">
        <v>6854</v>
      </c>
      <c r="J70" s="226">
        <v>13708</v>
      </c>
      <c r="K70" s="226">
        <v>13708</v>
      </c>
      <c r="L70" s="226">
        <v>13708</v>
      </c>
      <c r="M70" s="226">
        <v>20561</v>
      </c>
      <c r="N70" s="226">
        <v>20561</v>
      </c>
      <c r="O70" s="226">
        <v>20561</v>
      </c>
      <c r="P70" s="226">
        <v>27415</v>
      </c>
      <c r="Q70" s="226">
        <v>27415</v>
      </c>
      <c r="R70" s="226">
        <v>27415</v>
      </c>
      <c r="S70" s="226">
        <v>27415</v>
      </c>
      <c r="T70" s="226">
        <v>27415</v>
      </c>
      <c r="U70" s="226">
        <v>27415</v>
      </c>
      <c r="V70" s="226">
        <v>27415</v>
      </c>
      <c r="W70" s="226">
        <v>27415</v>
      </c>
      <c r="X70" s="226">
        <v>27415</v>
      </c>
      <c r="Y70" s="226">
        <v>30191.666666666668</v>
      </c>
      <c r="Z70" s="226">
        <v>30191.666666666668</v>
      </c>
      <c r="AA70" s="226">
        <v>30191.666666666668</v>
      </c>
      <c r="AB70" s="226">
        <v>50025.000000000007</v>
      </c>
      <c r="AC70" s="226">
        <v>50025.000000000007</v>
      </c>
      <c r="AD70" s="226">
        <v>69858.333333333343</v>
      </c>
      <c r="AE70" s="226">
        <v>69858.333333333343</v>
      </c>
      <c r="AF70" s="226">
        <v>69858.333333333343</v>
      </c>
      <c r="AG70" s="226">
        <v>69858.333333333343</v>
      </c>
      <c r="AH70" s="226">
        <v>69858.333333333343</v>
      </c>
      <c r="AI70" s="226">
        <v>69858.333333333343</v>
      </c>
      <c r="AJ70" s="226">
        <v>69858.333333333343</v>
      </c>
      <c r="AK70" s="226">
        <v>69858.333333333343</v>
      </c>
      <c r="AL70" s="226">
        <v>69858.333333333343</v>
      </c>
      <c r="AM70" s="226">
        <v>69858.333333333343</v>
      </c>
      <c r="AN70" s="226">
        <v>69858.333333333343</v>
      </c>
      <c r="AO70" s="226">
        <v>69858.333333333343</v>
      </c>
      <c r="AP70" s="226">
        <v>69858.333333333343</v>
      </c>
      <c r="AQ70" s="226">
        <v>69858.333333333343</v>
      </c>
      <c r="AR70" s="226">
        <v>69858.333333333343</v>
      </c>
      <c r="AS70" s="226">
        <v>69858.333333333343</v>
      </c>
      <c r="AT70" s="226">
        <v>69858.333333333343</v>
      </c>
      <c r="AU70" s="226">
        <v>69858.333333333343</v>
      </c>
      <c r="AV70" s="226">
        <v>69858.333333333343</v>
      </c>
      <c r="AW70" s="226">
        <v>69858.333333333343</v>
      </c>
      <c r="AX70" s="226">
        <v>69858.333333333343</v>
      </c>
      <c r="AY70" s="226">
        <v>69858.333333333343</v>
      </c>
    </row>
    <row r="71" spans="1:51" ht="12.75" x14ac:dyDescent="0.2">
      <c r="A71" s="23" t="s">
        <v>324</v>
      </c>
      <c r="B71" s="221"/>
      <c r="D71" s="115"/>
      <c r="E71" s="115">
        <v>500</v>
      </c>
      <c r="F71" s="115"/>
      <c r="G71" s="115"/>
      <c r="H71" s="115"/>
      <c r="I71" s="115"/>
      <c r="J71" s="115"/>
      <c r="K71" s="115"/>
      <c r="L71" s="115"/>
      <c r="M71" s="115"/>
      <c r="N71" s="115"/>
      <c r="O71" s="115"/>
      <c r="P71" s="115"/>
      <c r="Q71" s="115"/>
      <c r="R71" s="115"/>
      <c r="S71" s="115"/>
      <c r="T71" s="115"/>
      <c r="U71" s="115"/>
      <c r="V71" s="115"/>
      <c r="W71" s="115"/>
      <c r="X71" s="115"/>
    </row>
    <row r="72" spans="1:51" ht="12.75" x14ac:dyDescent="0.2">
      <c r="A72" s="60" t="s">
        <v>326</v>
      </c>
      <c r="B72" s="238"/>
      <c r="C72" s="212"/>
      <c r="D72" s="226">
        <v>50478</v>
      </c>
      <c r="E72" s="226">
        <v>53521</v>
      </c>
      <c r="F72" s="226">
        <v>55820</v>
      </c>
      <c r="G72" s="226">
        <v>58732</v>
      </c>
      <c r="H72" s="226">
        <v>62363</v>
      </c>
      <c r="I72" s="226">
        <v>64584</v>
      </c>
      <c r="J72" s="226">
        <v>80386</v>
      </c>
      <c r="K72" s="226">
        <v>85883</v>
      </c>
      <c r="L72" s="226">
        <v>109291</v>
      </c>
      <c r="M72" s="226">
        <v>121314</v>
      </c>
      <c r="N72" s="226">
        <v>142427</v>
      </c>
      <c r="O72" s="226">
        <v>152755</v>
      </c>
      <c r="P72" s="226">
        <v>162649</v>
      </c>
      <c r="Q72" s="226">
        <v>183797</v>
      </c>
      <c r="R72" s="226">
        <v>185636</v>
      </c>
      <c r="S72" s="226">
        <v>183797</v>
      </c>
      <c r="T72" s="226">
        <v>198549</v>
      </c>
      <c r="U72" s="226">
        <v>196187</v>
      </c>
      <c r="V72" s="226">
        <v>193634</v>
      </c>
      <c r="W72" s="226">
        <v>195436</v>
      </c>
      <c r="X72" s="226">
        <v>199529</v>
      </c>
      <c r="Y72" s="226">
        <v>198976.33333333331</v>
      </c>
      <c r="Z72" s="226">
        <v>198976.33333333331</v>
      </c>
      <c r="AA72" s="226">
        <v>198976.33333333331</v>
      </c>
      <c r="AB72" s="226">
        <v>218809.66666666666</v>
      </c>
      <c r="AC72" s="226">
        <v>218809.66666666666</v>
      </c>
      <c r="AD72" s="226">
        <v>238643</v>
      </c>
      <c r="AE72" s="226">
        <v>238643</v>
      </c>
      <c r="AF72" s="226">
        <v>238643</v>
      </c>
      <c r="AG72" s="226">
        <v>238643</v>
      </c>
      <c r="AH72" s="226">
        <v>238643</v>
      </c>
      <c r="AI72" s="226">
        <v>238643</v>
      </c>
      <c r="AJ72" s="226">
        <v>238643</v>
      </c>
      <c r="AK72" s="226">
        <v>238643</v>
      </c>
      <c r="AL72" s="226">
        <v>238643</v>
      </c>
      <c r="AM72" s="226">
        <v>238643</v>
      </c>
      <c r="AN72" s="226">
        <v>238643</v>
      </c>
      <c r="AO72" s="226">
        <v>238643</v>
      </c>
      <c r="AP72" s="226">
        <v>238643</v>
      </c>
      <c r="AQ72" s="226">
        <v>238643</v>
      </c>
      <c r="AR72" s="226">
        <v>238643</v>
      </c>
      <c r="AS72" s="226">
        <v>238643</v>
      </c>
      <c r="AT72" s="226">
        <v>238643</v>
      </c>
      <c r="AU72" s="226">
        <v>238643</v>
      </c>
      <c r="AV72" s="226">
        <v>238643</v>
      </c>
      <c r="AW72" s="226">
        <v>238643</v>
      </c>
      <c r="AX72" s="226">
        <v>238643</v>
      </c>
      <c r="AY72" s="226">
        <v>238643</v>
      </c>
    </row>
    <row r="73" spans="1:51" ht="12.75" x14ac:dyDescent="0.2">
      <c r="A73" s="23" t="s">
        <v>327</v>
      </c>
      <c r="B73" s="221"/>
      <c r="D73" s="115"/>
      <c r="E73" s="115"/>
      <c r="F73" s="115"/>
      <c r="G73" s="115"/>
      <c r="H73" s="115"/>
      <c r="I73" s="115"/>
      <c r="J73" s="115"/>
      <c r="K73" s="115"/>
      <c r="L73" s="115"/>
      <c r="M73" s="115"/>
      <c r="N73" s="115"/>
      <c r="O73" s="115"/>
      <c r="P73" s="115"/>
      <c r="Q73" s="115"/>
      <c r="R73" s="115"/>
      <c r="S73" s="115"/>
      <c r="T73" s="115"/>
      <c r="U73" s="115"/>
      <c r="V73" s="115"/>
      <c r="W73" s="115"/>
      <c r="X73" s="115"/>
    </row>
    <row r="74" spans="1:51" ht="12.75" x14ac:dyDescent="0.2">
      <c r="A74" s="23" t="s">
        <v>328</v>
      </c>
      <c r="B74" s="221"/>
      <c r="D74" s="115"/>
      <c r="E74" s="115"/>
      <c r="F74" s="115"/>
      <c r="G74" s="115"/>
      <c r="H74" s="115"/>
      <c r="I74" s="115"/>
      <c r="J74" s="115"/>
      <c r="K74" s="115"/>
      <c r="L74" s="115"/>
      <c r="M74" s="115"/>
      <c r="N74" s="115"/>
      <c r="O74" s="115"/>
      <c r="P74" s="115"/>
      <c r="Q74" s="115"/>
      <c r="R74" s="115"/>
      <c r="S74" s="115"/>
      <c r="T74" s="115"/>
      <c r="U74" s="115"/>
      <c r="V74" s="115"/>
      <c r="W74" s="115"/>
      <c r="X74" s="115"/>
    </row>
    <row r="75" spans="1:51" ht="12.75" x14ac:dyDescent="0.2">
      <c r="A75" s="23" t="s">
        <v>329</v>
      </c>
      <c r="B75" s="224">
        <v>1576</v>
      </c>
      <c r="D75" s="115">
        <v>394</v>
      </c>
      <c r="E75" s="115">
        <v>394</v>
      </c>
      <c r="F75" s="115">
        <v>591</v>
      </c>
      <c r="G75" s="115">
        <v>591</v>
      </c>
      <c r="H75" s="115">
        <v>591</v>
      </c>
      <c r="I75" s="115">
        <v>788</v>
      </c>
      <c r="J75" s="115">
        <v>985</v>
      </c>
      <c r="K75" s="115">
        <v>985</v>
      </c>
      <c r="L75" s="115">
        <v>985</v>
      </c>
      <c r="M75" s="115">
        <v>1182</v>
      </c>
      <c r="N75" s="115">
        <v>1182</v>
      </c>
      <c r="O75" s="115">
        <v>1379</v>
      </c>
      <c r="P75" s="115">
        <v>1379</v>
      </c>
      <c r="Q75" s="115">
        <v>1576</v>
      </c>
      <c r="R75" s="115">
        <v>1576</v>
      </c>
      <c r="S75" s="115">
        <v>1576</v>
      </c>
      <c r="T75" s="115">
        <v>1576</v>
      </c>
      <c r="U75" s="115">
        <v>1576</v>
      </c>
      <c r="V75" s="115">
        <v>1576</v>
      </c>
      <c r="W75" s="115">
        <v>1576</v>
      </c>
      <c r="X75" s="115">
        <v>1576</v>
      </c>
      <c r="Y75" s="25">
        <v>3166.666666666667</v>
      </c>
      <c r="Z75" s="25">
        <v>6633.3333333333339</v>
      </c>
      <c r="AA75" s="25">
        <v>6633.3333333333339</v>
      </c>
      <c r="AB75" s="25">
        <v>6633.3333333333339</v>
      </c>
      <c r="AC75" s="25">
        <v>6633.3333333333339</v>
      </c>
      <c r="AD75" s="25">
        <v>6633.3333333333339</v>
      </c>
      <c r="AE75" s="25">
        <v>10100.000000000002</v>
      </c>
      <c r="AF75" s="25">
        <v>10100.000000000002</v>
      </c>
      <c r="AG75" s="25">
        <v>10100.000000000002</v>
      </c>
      <c r="AH75" s="25">
        <v>10100.000000000002</v>
      </c>
      <c r="AI75" s="25">
        <v>10100.000000000002</v>
      </c>
      <c r="AJ75" s="25">
        <v>10100.000000000002</v>
      </c>
      <c r="AK75" s="25">
        <v>10100.000000000002</v>
      </c>
      <c r="AL75" s="25">
        <v>10100.000000000002</v>
      </c>
      <c r="AM75" s="25">
        <v>10100.000000000002</v>
      </c>
      <c r="AN75" s="25">
        <v>10100.000000000002</v>
      </c>
      <c r="AO75" s="25">
        <v>10100.000000000002</v>
      </c>
      <c r="AP75" s="25">
        <v>10100.000000000002</v>
      </c>
      <c r="AQ75" s="25">
        <v>10100.000000000002</v>
      </c>
      <c r="AR75" s="25">
        <v>10100.000000000002</v>
      </c>
      <c r="AS75" s="25">
        <v>10100.000000000002</v>
      </c>
      <c r="AT75" s="25">
        <v>10100.000000000002</v>
      </c>
      <c r="AU75" s="25">
        <v>10100.000000000002</v>
      </c>
      <c r="AV75" s="25">
        <v>10100.000000000002</v>
      </c>
      <c r="AW75" s="25">
        <v>10100.000000000002</v>
      </c>
      <c r="AX75" s="25">
        <v>10100.000000000002</v>
      </c>
      <c r="AY75" s="25">
        <v>10100.000000000002</v>
      </c>
    </row>
    <row r="76" spans="1:51" ht="12.75" x14ac:dyDescent="0.2">
      <c r="A76" s="23" t="s">
        <v>333</v>
      </c>
      <c r="B76" s="224">
        <v>3645</v>
      </c>
      <c r="D76" s="115">
        <v>900</v>
      </c>
      <c r="E76" s="115">
        <v>900</v>
      </c>
      <c r="F76" s="115">
        <v>1350</v>
      </c>
      <c r="G76" s="115">
        <v>1350</v>
      </c>
      <c r="H76" s="115">
        <v>1350</v>
      </c>
      <c r="I76" s="115">
        <v>1800</v>
      </c>
      <c r="J76" s="115">
        <v>2205</v>
      </c>
      <c r="K76" s="115">
        <v>2205</v>
      </c>
      <c r="L76" s="115">
        <v>2205</v>
      </c>
      <c r="M76" s="115">
        <v>2700</v>
      </c>
      <c r="N76" s="115">
        <v>2700</v>
      </c>
      <c r="O76" s="115">
        <v>3150</v>
      </c>
      <c r="P76" s="115">
        <v>3150</v>
      </c>
      <c r="Q76" s="115">
        <v>3645</v>
      </c>
      <c r="R76" s="115">
        <v>3645</v>
      </c>
      <c r="S76" s="115">
        <v>3645</v>
      </c>
      <c r="T76" s="115">
        <v>3645</v>
      </c>
      <c r="U76" s="115">
        <v>3645</v>
      </c>
      <c r="V76" s="115">
        <v>3645</v>
      </c>
      <c r="W76" s="115">
        <v>3645</v>
      </c>
      <c r="X76" s="115">
        <v>3645</v>
      </c>
      <c r="Y76" s="25">
        <v>2625</v>
      </c>
      <c r="Z76" s="25">
        <v>5925</v>
      </c>
      <c r="AA76" s="25">
        <v>5925</v>
      </c>
      <c r="AB76" s="25">
        <v>5925</v>
      </c>
      <c r="AC76" s="25">
        <v>5925</v>
      </c>
      <c r="AD76" s="25">
        <v>5925</v>
      </c>
      <c r="AE76" s="25">
        <v>9225</v>
      </c>
      <c r="AF76" s="25">
        <v>9225</v>
      </c>
      <c r="AG76" s="25">
        <v>9225</v>
      </c>
      <c r="AH76" s="25">
        <v>9225</v>
      </c>
      <c r="AI76" s="25">
        <v>9225</v>
      </c>
      <c r="AJ76" s="25">
        <v>9225</v>
      </c>
      <c r="AK76" s="25">
        <v>9225</v>
      </c>
      <c r="AL76" s="25">
        <v>9225</v>
      </c>
      <c r="AM76" s="25">
        <v>9225</v>
      </c>
      <c r="AN76" s="25">
        <v>9225</v>
      </c>
      <c r="AO76" s="25">
        <v>9225</v>
      </c>
      <c r="AP76" s="25">
        <v>9225</v>
      </c>
      <c r="AQ76" s="25">
        <v>9225</v>
      </c>
      <c r="AR76" s="25">
        <v>9225</v>
      </c>
      <c r="AS76" s="25">
        <v>9225</v>
      </c>
      <c r="AT76" s="25">
        <v>9225</v>
      </c>
      <c r="AU76" s="25">
        <v>9225</v>
      </c>
      <c r="AV76" s="25">
        <v>9225</v>
      </c>
      <c r="AW76" s="25">
        <v>9225</v>
      </c>
      <c r="AX76" s="25">
        <v>9225</v>
      </c>
      <c r="AY76" s="25">
        <v>9225</v>
      </c>
    </row>
    <row r="77" spans="1:51" ht="12.75" x14ac:dyDescent="0.2">
      <c r="A77" s="23" t="s">
        <v>334</v>
      </c>
      <c r="B77" s="224">
        <v>39490</v>
      </c>
      <c r="D77" s="115">
        <v>11652</v>
      </c>
      <c r="E77" s="115">
        <v>14166</v>
      </c>
      <c r="F77" s="115">
        <v>21021</v>
      </c>
      <c r="G77" s="115">
        <v>21868</v>
      </c>
      <c r="H77" s="115">
        <v>27274</v>
      </c>
      <c r="I77" s="115">
        <v>16676</v>
      </c>
      <c r="J77" s="115">
        <v>24845</v>
      </c>
      <c r="K77" s="115">
        <v>25937</v>
      </c>
      <c r="L77" s="115">
        <v>26800</v>
      </c>
      <c r="M77" s="115">
        <v>29607</v>
      </c>
      <c r="N77" s="115">
        <v>28195</v>
      </c>
      <c r="O77" s="115">
        <v>31733</v>
      </c>
      <c r="P77" s="115">
        <v>29875</v>
      </c>
      <c r="Q77" s="115">
        <v>31767</v>
      </c>
      <c r="R77" s="115">
        <v>33744</v>
      </c>
      <c r="S77" s="115">
        <v>32911</v>
      </c>
      <c r="T77" s="115">
        <v>38116</v>
      </c>
      <c r="U77" s="115">
        <v>37096</v>
      </c>
      <c r="V77" s="115">
        <v>37962</v>
      </c>
      <c r="W77" s="115">
        <v>38719</v>
      </c>
      <c r="X77" s="115">
        <v>41789</v>
      </c>
      <c r="Y77" s="165">
        <v>39490</v>
      </c>
      <c r="Z77" s="165">
        <v>39490</v>
      </c>
      <c r="AA77" s="165">
        <v>39490</v>
      </c>
      <c r="AB77" s="165">
        <v>39490</v>
      </c>
      <c r="AC77" s="165">
        <v>39490</v>
      </c>
      <c r="AD77" s="165">
        <v>39490</v>
      </c>
      <c r="AE77" s="165">
        <v>39490</v>
      </c>
      <c r="AF77" s="165">
        <v>39490</v>
      </c>
      <c r="AG77" s="165">
        <v>39490</v>
      </c>
      <c r="AH77" s="165">
        <v>39490</v>
      </c>
      <c r="AI77" s="165">
        <v>39490</v>
      </c>
      <c r="AJ77" s="165">
        <v>39490</v>
      </c>
      <c r="AK77" s="165">
        <v>39490</v>
      </c>
      <c r="AL77" s="165">
        <v>39490</v>
      </c>
      <c r="AM77" s="165">
        <v>39490</v>
      </c>
      <c r="AN77" s="165">
        <v>39490</v>
      </c>
      <c r="AO77" s="165">
        <v>39490</v>
      </c>
      <c r="AP77" s="165">
        <v>39490</v>
      </c>
      <c r="AQ77" s="165">
        <v>39490</v>
      </c>
      <c r="AR77" s="165">
        <v>39490</v>
      </c>
      <c r="AS77" s="165">
        <v>39490</v>
      </c>
      <c r="AT77" s="165">
        <v>39490</v>
      </c>
      <c r="AU77" s="165">
        <v>39490</v>
      </c>
      <c r="AV77" s="165">
        <v>39490</v>
      </c>
      <c r="AW77" s="165">
        <v>39490</v>
      </c>
      <c r="AX77" s="165">
        <v>39490</v>
      </c>
      <c r="AY77" s="165">
        <v>39490</v>
      </c>
    </row>
    <row r="78" spans="1:51" ht="12.75" x14ac:dyDescent="0.2">
      <c r="A78" s="23" t="s">
        <v>335</v>
      </c>
      <c r="B78" s="224">
        <v>40500</v>
      </c>
      <c r="D78" s="115">
        <v>10000</v>
      </c>
      <c r="E78" s="115">
        <v>10000</v>
      </c>
      <c r="F78" s="115">
        <v>15000</v>
      </c>
      <c r="G78" s="115">
        <v>15000</v>
      </c>
      <c r="H78" s="115">
        <v>15000</v>
      </c>
      <c r="I78" s="115">
        <v>20000</v>
      </c>
      <c r="J78" s="115">
        <v>24500</v>
      </c>
      <c r="K78" s="115">
        <v>24500</v>
      </c>
      <c r="L78" s="115">
        <v>24500</v>
      </c>
      <c r="M78" s="115">
        <v>30000</v>
      </c>
      <c r="N78" s="115">
        <v>30000</v>
      </c>
      <c r="O78" s="115">
        <v>35000</v>
      </c>
      <c r="P78" s="115">
        <v>35000</v>
      </c>
      <c r="Q78" s="115">
        <v>40500</v>
      </c>
      <c r="R78" s="115">
        <v>40500</v>
      </c>
      <c r="S78" s="115">
        <v>40500</v>
      </c>
      <c r="T78" s="115">
        <v>40500</v>
      </c>
      <c r="U78" s="115">
        <v>40500</v>
      </c>
      <c r="V78" s="115">
        <v>40500</v>
      </c>
      <c r="W78" s="115">
        <v>40500</v>
      </c>
      <c r="X78" s="115">
        <v>40500</v>
      </c>
      <c r="Y78" s="25">
        <v>29166.666666666668</v>
      </c>
      <c r="Z78" s="25">
        <v>65833.333333333343</v>
      </c>
      <c r="AA78" s="25">
        <v>65833.333333333343</v>
      </c>
      <c r="AB78" s="25">
        <v>65833.333333333343</v>
      </c>
      <c r="AC78" s="25">
        <v>65833.333333333343</v>
      </c>
      <c r="AD78" s="25">
        <v>65833.333333333343</v>
      </c>
      <c r="AE78" s="25">
        <v>102500</v>
      </c>
      <c r="AF78" s="25">
        <v>102500</v>
      </c>
      <c r="AG78" s="25">
        <v>102500</v>
      </c>
      <c r="AH78" s="25">
        <v>102500</v>
      </c>
      <c r="AI78" s="25">
        <v>102500</v>
      </c>
      <c r="AJ78" s="25">
        <v>102500</v>
      </c>
      <c r="AK78" s="25">
        <v>102500</v>
      </c>
      <c r="AL78" s="25">
        <v>102500</v>
      </c>
      <c r="AM78" s="25">
        <v>102500</v>
      </c>
      <c r="AN78" s="25">
        <v>102500</v>
      </c>
      <c r="AO78" s="25">
        <v>102500</v>
      </c>
      <c r="AP78" s="25">
        <v>102500</v>
      </c>
      <c r="AQ78" s="25">
        <v>102500</v>
      </c>
      <c r="AR78" s="25">
        <v>102500</v>
      </c>
      <c r="AS78" s="25">
        <v>102500</v>
      </c>
      <c r="AT78" s="25">
        <v>102500</v>
      </c>
      <c r="AU78" s="25">
        <v>102500</v>
      </c>
      <c r="AV78" s="25">
        <v>102500</v>
      </c>
      <c r="AW78" s="25">
        <v>102500</v>
      </c>
      <c r="AX78" s="25">
        <v>102500</v>
      </c>
      <c r="AY78" s="25">
        <v>102500</v>
      </c>
    </row>
    <row r="79" spans="1:51" ht="12.75" x14ac:dyDescent="0.2">
      <c r="A79" s="60" t="s">
        <v>336</v>
      </c>
      <c r="B79" s="238"/>
      <c r="C79" s="212"/>
      <c r="D79" s="226">
        <v>22946</v>
      </c>
      <c r="E79" s="226">
        <v>25460</v>
      </c>
      <c r="F79" s="226">
        <v>37962</v>
      </c>
      <c r="G79" s="226">
        <v>38809</v>
      </c>
      <c r="H79" s="226">
        <v>44215</v>
      </c>
      <c r="I79" s="226">
        <v>39264</v>
      </c>
      <c r="J79" s="226">
        <v>52535</v>
      </c>
      <c r="K79" s="226">
        <v>53627</v>
      </c>
      <c r="L79" s="226">
        <v>54490</v>
      </c>
      <c r="M79" s="226">
        <v>63489</v>
      </c>
      <c r="N79" s="226">
        <v>62077</v>
      </c>
      <c r="O79" s="226">
        <v>71262</v>
      </c>
      <c r="P79" s="226">
        <v>69404</v>
      </c>
      <c r="Q79" s="226">
        <v>77488</v>
      </c>
      <c r="R79" s="226">
        <v>79465</v>
      </c>
      <c r="S79" s="226">
        <v>78632</v>
      </c>
      <c r="T79" s="226">
        <v>83837</v>
      </c>
      <c r="U79" s="226">
        <v>82817</v>
      </c>
      <c r="V79" s="226">
        <v>83683</v>
      </c>
      <c r="W79" s="226">
        <v>84440</v>
      </c>
      <c r="X79" s="226">
        <v>87510</v>
      </c>
      <c r="Y79" s="226">
        <v>74448.333333333328</v>
      </c>
      <c r="Z79" s="226">
        <v>117881.66666666669</v>
      </c>
      <c r="AA79" s="226">
        <v>117881.66666666669</v>
      </c>
      <c r="AB79" s="226">
        <v>117881.66666666669</v>
      </c>
      <c r="AC79" s="226">
        <v>117881.66666666669</v>
      </c>
      <c r="AD79" s="226">
        <v>117881.66666666669</v>
      </c>
      <c r="AE79" s="226">
        <v>161315</v>
      </c>
      <c r="AF79" s="226">
        <v>161315</v>
      </c>
      <c r="AG79" s="226">
        <v>161315</v>
      </c>
      <c r="AH79" s="226">
        <v>161315</v>
      </c>
      <c r="AI79" s="226">
        <v>161315</v>
      </c>
      <c r="AJ79" s="226">
        <v>161315</v>
      </c>
      <c r="AK79" s="226">
        <v>161315</v>
      </c>
      <c r="AL79" s="226">
        <v>161315</v>
      </c>
      <c r="AM79" s="226">
        <v>161315</v>
      </c>
      <c r="AN79" s="226">
        <v>161315</v>
      </c>
      <c r="AO79" s="226">
        <v>161315</v>
      </c>
      <c r="AP79" s="226">
        <v>161315</v>
      </c>
      <c r="AQ79" s="226">
        <v>161315</v>
      </c>
      <c r="AR79" s="226">
        <v>161315</v>
      </c>
      <c r="AS79" s="226">
        <v>161315</v>
      </c>
      <c r="AT79" s="226">
        <v>161315</v>
      </c>
      <c r="AU79" s="226">
        <v>161315</v>
      </c>
      <c r="AV79" s="226">
        <v>161315</v>
      </c>
      <c r="AW79" s="226">
        <v>161315</v>
      </c>
      <c r="AX79" s="226">
        <v>161315</v>
      </c>
      <c r="AY79" s="226">
        <v>161315</v>
      </c>
    </row>
    <row r="80" spans="1:51" ht="12.75" x14ac:dyDescent="0.2">
      <c r="A80" s="60" t="s">
        <v>337</v>
      </c>
      <c r="B80" s="238"/>
      <c r="C80" s="212"/>
      <c r="D80" s="226">
        <v>22946</v>
      </c>
      <c r="E80" s="226">
        <v>25460</v>
      </c>
      <c r="F80" s="226">
        <v>37962</v>
      </c>
      <c r="G80" s="226">
        <v>38809</v>
      </c>
      <c r="H80" s="226">
        <v>44215</v>
      </c>
      <c r="I80" s="226">
        <v>39264</v>
      </c>
      <c r="J80" s="226">
        <v>52535</v>
      </c>
      <c r="K80" s="226">
        <v>53627</v>
      </c>
      <c r="L80" s="226">
        <v>54490</v>
      </c>
      <c r="M80" s="226">
        <v>63489</v>
      </c>
      <c r="N80" s="226">
        <v>62077</v>
      </c>
      <c r="O80" s="226">
        <v>71262</v>
      </c>
      <c r="P80" s="226">
        <v>69404</v>
      </c>
      <c r="Q80" s="226">
        <v>77488</v>
      </c>
      <c r="R80" s="226">
        <v>79465</v>
      </c>
      <c r="S80" s="226">
        <v>78632</v>
      </c>
      <c r="T80" s="226">
        <v>83837</v>
      </c>
      <c r="U80" s="226">
        <v>82817</v>
      </c>
      <c r="V80" s="226">
        <v>83683</v>
      </c>
      <c r="W80" s="226">
        <v>84440</v>
      </c>
      <c r="X80" s="226">
        <v>87510</v>
      </c>
      <c r="Y80" s="226">
        <v>74448.333333333328</v>
      </c>
      <c r="Z80" s="226">
        <v>117881.66666666669</v>
      </c>
      <c r="AA80" s="226">
        <v>117881.66666666669</v>
      </c>
      <c r="AB80" s="226">
        <v>117881.66666666669</v>
      </c>
      <c r="AC80" s="226">
        <v>117881.66666666669</v>
      </c>
      <c r="AD80" s="226">
        <v>117881.66666666669</v>
      </c>
      <c r="AE80" s="226">
        <v>161315</v>
      </c>
      <c r="AF80" s="226">
        <v>161315</v>
      </c>
      <c r="AG80" s="226">
        <v>161315</v>
      </c>
      <c r="AH80" s="226">
        <v>161315</v>
      </c>
      <c r="AI80" s="226">
        <v>161315</v>
      </c>
      <c r="AJ80" s="226">
        <v>161315</v>
      </c>
      <c r="AK80" s="226">
        <v>161315</v>
      </c>
      <c r="AL80" s="226">
        <v>161315</v>
      </c>
      <c r="AM80" s="226">
        <v>161315</v>
      </c>
      <c r="AN80" s="226">
        <v>161315</v>
      </c>
      <c r="AO80" s="226">
        <v>161315</v>
      </c>
      <c r="AP80" s="226">
        <v>161315</v>
      </c>
      <c r="AQ80" s="226">
        <v>161315</v>
      </c>
      <c r="AR80" s="226">
        <v>161315</v>
      </c>
      <c r="AS80" s="226">
        <v>161315</v>
      </c>
      <c r="AT80" s="226">
        <v>161315</v>
      </c>
      <c r="AU80" s="226">
        <v>161315</v>
      </c>
      <c r="AV80" s="226">
        <v>161315</v>
      </c>
      <c r="AW80" s="226">
        <v>161315</v>
      </c>
      <c r="AX80" s="226">
        <v>161315</v>
      </c>
      <c r="AY80" s="226">
        <v>161315</v>
      </c>
    </row>
    <row r="81" spans="1:51" ht="12.75" x14ac:dyDescent="0.2">
      <c r="A81" s="60" t="s">
        <v>338</v>
      </c>
      <c r="B81" s="238"/>
      <c r="C81" s="212"/>
      <c r="D81" s="213">
        <v>73424</v>
      </c>
      <c r="E81" s="213">
        <v>78981</v>
      </c>
      <c r="F81" s="213">
        <v>93782</v>
      </c>
      <c r="G81" s="213">
        <v>97541</v>
      </c>
      <c r="H81" s="213">
        <v>106578</v>
      </c>
      <c r="I81" s="213">
        <v>103848</v>
      </c>
      <c r="J81" s="213">
        <v>132921</v>
      </c>
      <c r="K81" s="213">
        <v>139510</v>
      </c>
      <c r="L81" s="213">
        <v>163781</v>
      </c>
      <c r="M81" s="213">
        <v>184803</v>
      </c>
      <c r="N81" s="213">
        <v>204504</v>
      </c>
      <c r="O81" s="213">
        <v>224017</v>
      </c>
      <c r="P81" s="213">
        <v>232053</v>
      </c>
      <c r="Q81" s="213">
        <v>261285</v>
      </c>
      <c r="R81" s="213">
        <v>265101</v>
      </c>
      <c r="S81" s="213">
        <v>262429</v>
      </c>
      <c r="T81" s="213">
        <v>282386</v>
      </c>
      <c r="U81" s="213">
        <v>279004</v>
      </c>
      <c r="V81" s="213">
        <v>277317</v>
      </c>
      <c r="W81" s="213">
        <v>279876</v>
      </c>
      <c r="X81" s="213">
        <v>287039</v>
      </c>
      <c r="Y81" s="213">
        <v>273424.66666666663</v>
      </c>
      <c r="Z81" s="213">
        <v>316858</v>
      </c>
      <c r="AA81" s="213">
        <v>316858</v>
      </c>
      <c r="AB81" s="213">
        <v>336691.33333333337</v>
      </c>
      <c r="AC81" s="213">
        <v>336691.33333333337</v>
      </c>
      <c r="AD81" s="213">
        <v>356524.66666666669</v>
      </c>
      <c r="AE81" s="213">
        <v>399958</v>
      </c>
      <c r="AF81" s="213">
        <v>399958</v>
      </c>
      <c r="AG81" s="213">
        <v>399958</v>
      </c>
      <c r="AH81" s="213">
        <v>399958</v>
      </c>
      <c r="AI81" s="213">
        <v>399958</v>
      </c>
      <c r="AJ81" s="213">
        <v>399958</v>
      </c>
      <c r="AK81" s="213">
        <v>399958</v>
      </c>
      <c r="AL81" s="213">
        <v>399958</v>
      </c>
      <c r="AM81" s="213">
        <v>399958</v>
      </c>
      <c r="AN81" s="213">
        <v>399958</v>
      </c>
      <c r="AO81" s="213">
        <v>399958</v>
      </c>
      <c r="AP81" s="213">
        <v>399958</v>
      </c>
      <c r="AQ81" s="213">
        <v>399958</v>
      </c>
      <c r="AR81" s="213">
        <v>399958</v>
      </c>
      <c r="AS81" s="213">
        <v>399958</v>
      </c>
      <c r="AT81" s="213">
        <v>399958</v>
      </c>
      <c r="AU81" s="213">
        <v>399958</v>
      </c>
      <c r="AV81" s="213">
        <v>399958</v>
      </c>
      <c r="AW81" s="213">
        <v>399958</v>
      </c>
      <c r="AX81" s="213">
        <v>399958</v>
      </c>
      <c r="AY81" s="213">
        <v>399958</v>
      </c>
    </row>
    <row r="82" spans="1:51" ht="12.75" x14ac:dyDescent="0.2">
      <c r="A82" s="69" t="s">
        <v>244</v>
      </c>
      <c r="B82" s="221"/>
      <c r="D82" s="115">
        <v>0</v>
      </c>
      <c r="E82" s="115">
        <v>0</v>
      </c>
      <c r="F82" s="115">
        <v>0</v>
      </c>
      <c r="G82" s="115">
        <v>0</v>
      </c>
      <c r="H82" s="115">
        <v>0</v>
      </c>
      <c r="I82" s="115">
        <v>0</v>
      </c>
      <c r="J82" s="115">
        <v>0</v>
      </c>
      <c r="K82" s="115">
        <v>0</v>
      </c>
      <c r="L82" s="115">
        <v>0</v>
      </c>
      <c r="M82" s="115">
        <v>0</v>
      </c>
      <c r="N82" s="115">
        <v>0</v>
      </c>
      <c r="O82" s="115">
        <v>0</v>
      </c>
      <c r="P82" s="115">
        <v>0</v>
      </c>
      <c r="Q82" s="115">
        <v>0</v>
      </c>
      <c r="R82" s="115">
        <v>0</v>
      </c>
      <c r="S82" s="115">
        <v>0</v>
      </c>
      <c r="T82" s="115">
        <v>0</v>
      </c>
      <c r="U82" s="115">
        <v>0</v>
      </c>
      <c r="V82" s="115">
        <v>0</v>
      </c>
      <c r="W82" s="115">
        <v>0</v>
      </c>
      <c r="X82" s="115">
        <v>0</v>
      </c>
    </row>
    <row r="83" spans="1:51" ht="12.75" x14ac:dyDescent="0.2">
      <c r="A83" s="60" t="s">
        <v>23</v>
      </c>
      <c r="B83" s="225"/>
      <c r="C83" s="226"/>
      <c r="D83" s="226">
        <v>326604</v>
      </c>
      <c r="E83" s="226">
        <v>342682</v>
      </c>
      <c r="F83" s="226">
        <v>373245</v>
      </c>
      <c r="G83" s="226">
        <v>378903</v>
      </c>
      <c r="H83" s="226">
        <v>389752</v>
      </c>
      <c r="I83" s="226">
        <v>400825</v>
      </c>
      <c r="J83" s="226">
        <v>433637</v>
      </c>
      <c r="K83" s="226">
        <v>442194</v>
      </c>
      <c r="L83" s="226">
        <v>477018</v>
      </c>
      <c r="M83" s="226">
        <v>502173</v>
      </c>
      <c r="N83" s="226">
        <v>523677</v>
      </c>
      <c r="O83" s="226">
        <v>555619</v>
      </c>
      <c r="P83" s="226">
        <v>562516</v>
      </c>
      <c r="Q83" s="226">
        <v>595338</v>
      </c>
      <c r="R83" s="226">
        <v>603014</v>
      </c>
      <c r="S83" s="226">
        <v>602417</v>
      </c>
      <c r="T83" s="226">
        <v>632397</v>
      </c>
      <c r="U83" s="226">
        <v>627462</v>
      </c>
      <c r="V83" s="226">
        <v>625895</v>
      </c>
      <c r="W83" s="226">
        <v>631412</v>
      </c>
      <c r="X83" s="226">
        <v>639847</v>
      </c>
      <c r="Y83" s="226">
        <v>646293.16666666663</v>
      </c>
      <c r="Z83" s="226">
        <v>680626.5</v>
      </c>
      <c r="AA83" s="226">
        <v>693368.16666666674</v>
      </c>
      <c r="AB83" s="226">
        <v>713201.5</v>
      </c>
      <c r="AC83" s="226">
        <v>713201.5</v>
      </c>
      <c r="AD83" s="226">
        <v>733034.83333333337</v>
      </c>
      <c r="AE83" s="226">
        <v>776468.16666666674</v>
      </c>
      <c r="AF83" s="226">
        <v>776468.16666666674</v>
      </c>
      <c r="AG83" s="226">
        <v>776468.16666666674</v>
      </c>
      <c r="AH83" s="226">
        <v>776468.16666666674</v>
      </c>
      <c r="AI83" s="226">
        <v>776468.16666666674</v>
      </c>
      <c r="AJ83" s="226">
        <v>776468.16666666674</v>
      </c>
      <c r="AK83" s="226">
        <v>776468.16666666674</v>
      </c>
      <c r="AL83" s="226">
        <v>776468.16666666674</v>
      </c>
      <c r="AM83" s="226">
        <v>776468.16666666674</v>
      </c>
      <c r="AN83" s="226">
        <v>776468.16666666674</v>
      </c>
      <c r="AO83" s="226">
        <v>776468.16666666674</v>
      </c>
      <c r="AP83" s="226">
        <v>776468.16666666674</v>
      </c>
      <c r="AQ83" s="226">
        <v>776468.16666666674</v>
      </c>
      <c r="AR83" s="226">
        <v>776468.16666666674</v>
      </c>
      <c r="AS83" s="226">
        <v>776468.16666666674</v>
      </c>
      <c r="AT83" s="226">
        <v>776468.16666666674</v>
      </c>
      <c r="AU83" s="226">
        <v>776468.16666666674</v>
      </c>
      <c r="AV83" s="226">
        <v>776468.16666666674</v>
      </c>
      <c r="AW83" s="226">
        <v>776468.16666666674</v>
      </c>
      <c r="AX83" s="226">
        <v>776468.16666666674</v>
      </c>
      <c r="AY83" s="226">
        <v>776468.16666666674</v>
      </c>
    </row>
    <row r="84" spans="1:51" ht="12.75" x14ac:dyDescent="0.2">
      <c r="A84" s="60" t="s">
        <v>339</v>
      </c>
      <c r="B84" s="238"/>
      <c r="C84" s="212"/>
      <c r="D84" s="213">
        <v>-87851</v>
      </c>
      <c r="E84" s="213">
        <v>-88124</v>
      </c>
      <c r="F84" s="213">
        <v>-102956</v>
      </c>
      <c r="G84" s="213">
        <v>-94595</v>
      </c>
      <c r="H84" s="213">
        <v>-82065</v>
      </c>
      <c r="I84" s="213">
        <v>-78132</v>
      </c>
      <c r="J84" s="213">
        <v>-94045</v>
      </c>
      <c r="K84" s="213">
        <v>-89766</v>
      </c>
      <c r="L84" s="213">
        <v>-114445</v>
      </c>
      <c r="M84" s="213">
        <v>-131881</v>
      </c>
      <c r="N84" s="213">
        <v>-140597</v>
      </c>
      <c r="O84" s="213">
        <v>-177194</v>
      </c>
      <c r="P84" s="213">
        <v>-169010</v>
      </c>
      <c r="Q84" s="213">
        <v>-180892</v>
      </c>
      <c r="R84" s="213">
        <v>-174863</v>
      </c>
      <c r="S84" s="213">
        <v>-119112</v>
      </c>
      <c r="T84" s="213">
        <v>-141449</v>
      </c>
      <c r="U84" s="213">
        <v>-111427</v>
      </c>
      <c r="V84" s="213">
        <v>-90944</v>
      </c>
      <c r="W84" s="213">
        <v>-70463</v>
      </c>
      <c r="X84" s="213">
        <v>-50019</v>
      </c>
      <c r="Y84" s="213">
        <v>-46019.248557510669</v>
      </c>
      <c r="Z84" s="213">
        <v>-76357.156274382025</v>
      </c>
      <c r="AA84" s="213">
        <v>-77269.141839348478</v>
      </c>
      <c r="AB84" s="213">
        <v>-77132.203189983265</v>
      </c>
      <c r="AC84" s="213">
        <v>-57561.60510308051</v>
      </c>
      <c r="AD84" s="213">
        <v>-57982.822898107232</v>
      </c>
      <c r="AE84" s="213">
        <v>-82383.196611183579</v>
      </c>
      <c r="AF84" s="213">
        <v>-63605.004417589284</v>
      </c>
      <c r="AG84" s="213">
        <v>-43196.651395977242</v>
      </c>
      <c r="AH84" s="213">
        <v>-23104.433513216558</v>
      </c>
      <c r="AI84" s="213">
        <v>-3295.5102014148142</v>
      </c>
      <c r="AJ84" s="213">
        <v>16230.544941874687</v>
      </c>
      <c r="AK84" s="213">
        <v>35473.127867351985</v>
      </c>
      <c r="AL84" s="213">
        <v>54443.228611170081</v>
      </c>
      <c r="AM84" s="213">
        <v>73144.176225222996</v>
      </c>
      <c r="AN84" s="213">
        <v>93462.774159825523</v>
      </c>
      <c r="AO84" s="213">
        <v>113492.70672283554</v>
      </c>
      <c r="AP84" s="213">
        <v>133238.9033564101</v>
      </c>
      <c r="AQ84" s="213">
        <v>152706.65195270523</v>
      </c>
      <c r="AR84" s="213">
        <v>171901.38200909249</v>
      </c>
      <c r="AS84" s="213">
        <v>190828.10507977242</v>
      </c>
      <c r="AT84" s="213">
        <v>211374.34419393539</v>
      </c>
      <c r="AU84" s="213">
        <v>231632.67810099688</v>
      </c>
      <c r="AV84" s="213">
        <v>251608.49061643414</v>
      </c>
      <c r="AW84" s="213">
        <v>271307.09647387743</v>
      </c>
      <c r="AX84" s="213">
        <v>290733.70858125528</v>
      </c>
      <c r="AY84" s="213">
        <v>311775.90746618761</v>
      </c>
    </row>
    <row r="85" spans="1:51" ht="12.75" x14ac:dyDescent="0.2">
      <c r="A85" s="69" t="s">
        <v>244</v>
      </c>
      <c r="B85" s="221"/>
      <c r="D85" s="115">
        <v>0</v>
      </c>
      <c r="E85" s="115">
        <v>0</v>
      </c>
      <c r="F85" s="115">
        <v>0</v>
      </c>
      <c r="G85" s="115">
        <v>0</v>
      </c>
      <c r="H85" s="115">
        <v>0</v>
      </c>
      <c r="I85" s="115">
        <v>0</v>
      </c>
      <c r="J85" s="115">
        <v>0</v>
      </c>
      <c r="K85" s="115">
        <v>0</v>
      </c>
      <c r="L85" s="115">
        <v>0</v>
      </c>
      <c r="M85" s="115">
        <v>0</v>
      </c>
      <c r="N85" s="115">
        <v>0</v>
      </c>
      <c r="O85" s="115">
        <v>0</v>
      </c>
      <c r="P85" s="115">
        <v>0</v>
      </c>
      <c r="Q85" s="115">
        <v>0</v>
      </c>
      <c r="R85" s="115">
        <v>0</v>
      </c>
      <c r="S85" s="115">
        <v>0</v>
      </c>
      <c r="T85" s="115">
        <v>0</v>
      </c>
      <c r="U85" s="115">
        <v>0</v>
      </c>
      <c r="V85" s="115">
        <v>0</v>
      </c>
      <c r="W85" s="115">
        <v>0</v>
      </c>
      <c r="X85" s="115">
        <v>0</v>
      </c>
    </row>
    <row r="86" spans="1:51" ht="12.75" x14ac:dyDescent="0.2">
      <c r="A86" s="69" t="s">
        <v>340</v>
      </c>
      <c r="B86" s="221"/>
    </row>
    <row r="87" spans="1:51" ht="12.75" hidden="1" x14ac:dyDescent="0.2">
      <c r="B87" s="221"/>
    </row>
    <row r="88" spans="1:51" ht="12.75" hidden="1" x14ac:dyDescent="0.2">
      <c r="B88" s="221"/>
    </row>
    <row r="89" spans="1:51" ht="12.75" x14ac:dyDescent="0.2">
      <c r="A89" s="60" t="s">
        <v>341</v>
      </c>
      <c r="B89" s="225"/>
      <c r="C89" s="226"/>
      <c r="D89" s="226">
        <v>0</v>
      </c>
      <c r="E89" s="226">
        <v>0</v>
      </c>
      <c r="F89" s="226">
        <v>0</v>
      </c>
      <c r="G89" s="226">
        <v>0</v>
      </c>
      <c r="H89" s="226">
        <v>0</v>
      </c>
      <c r="I89" s="226">
        <v>0</v>
      </c>
      <c r="J89" s="226">
        <v>0</v>
      </c>
      <c r="K89" s="226">
        <v>0</v>
      </c>
      <c r="L89" s="226">
        <v>0</v>
      </c>
      <c r="M89" s="226">
        <v>0</v>
      </c>
      <c r="N89" s="226">
        <v>0</v>
      </c>
      <c r="O89" s="226">
        <v>0</v>
      </c>
      <c r="P89" s="226">
        <v>0</v>
      </c>
      <c r="Q89" s="226">
        <v>0</v>
      </c>
      <c r="R89" s="226">
        <v>0</v>
      </c>
      <c r="S89" s="226">
        <v>0</v>
      </c>
      <c r="T89" s="226">
        <v>0</v>
      </c>
      <c r="U89" s="226">
        <v>0</v>
      </c>
      <c r="V89" s="226">
        <v>0</v>
      </c>
      <c r="W89" s="226">
        <v>0</v>
      </c>
      <c r="X89" s="226">
        <v>0</v>
      </c>
      <c r="Y89" s="226">
        <v>0</v>
      </c>
      <c r="Z89" s="226">
        <v>0</v>
      </c>
      <c r="AA89" s="226">
        <v>0</v>
      </c>
      <c r="AB89" s="226">
        <v>0</v>
      </c>
      <c r="AC89" s="226">
        <v>0</v>
      </c>
      <c r="AD89" s="226">
        <v>0</v>
      </c>
      <c r="AE89" s="226">
        <v>0</v>
      </c>
      <c r="AF89" s="226">
        <v>0</v>
      </c>
      <c r="AG89" s="226">
        <v>0</v>
      </c>
      <c r="AH89" s="226">
        <v>0</v>
      </c>
      <c r="AI89" s="226">
        <v>0</v>
      </c>
      <c r="AJ89" s="226">
        <v>0</v>
      </c>
      <c r="AK89" s="226">
        <v>0</v>
      </c>
      <c r="AL89" s="226">
        <v>0</v>
      </c>
      <c r="AM89" s="226">
        <v>0</v>
      </c>
      <c r="AN89" s="226">
        <v>0</v>
      </c>
      <c r="AO89" s="226">
        <v>0</v>
      </c>
      <c r="AP89" s="226">
        <v>0</v>
      </c>
      <c r="AQ89" s="226">
        <v>0</v>
      </c>
      <c r="AR89" s="226">
        <v>0</v>
      </c>
      <c r="AS89" s="226">
        <v>0</v>
      </c>
      <c r="AT89" s="226">
        <v>0</v>
      </c>
      <c r="AU89" s="226">
        <v>0</v>
      </c>
      <c r="AV89" s="226">
        <v>0</v>
      </c>
      <c r="AW89" s="226">
        <v>0</v>
      </c>
      <c r="AX89" s="226">
        <v>0</v>
      </c>
      <c r="AY89" s="226">
        <v>0</v>
      </c>
    </row>
    <row r="90" spans="1:51" ht="12.75" x14ac:dyDescent="0.2">
      <c r="A90" s="69" t="s">
        <v>342</v>
      </c>
      <c r="B90" s="221"/>
    </row>
    <row r="91" spans="1:51" ht="12.75" hidden="1" x14ac:dyDescent="0.2">
      <c r="B91" s="221"/>
    </row>
    <row r="92" spans="1:51" ht="12.75" hidden="1" x14ac:dyDescent="0.2">
      <c r="B92" s="221"/>
    </row>
    <row r="93" spans="1:51" ht="12.75" x14ac:dyDescent="0.2">
      <c r="A93" s="60" t="s">
        <v>343</v>
      </c>
      <c r="B93" s="225"/>
      <c r="C93" s="226"/>
      <c r="D93" s="226">
        <v>0</v>
      </c>
      <c r="E93" s="226">
        <v>0</v>
      </c>
      <c r="F93" s="226">
        <v>0</v>
      </c>
      <c r="G93" s="226">
        <v>0</v>
      </c>
      <c r="H93" s="226">
        <v>0</v>
      </c>
      <c r="I93" s="226">
        <v>0</v>
      </c>
      <c r="J93" s="226">
        <v>0</v>
      </c>
      <c r="K93" s="226">
        <v>0</v>
      </c>
      <c r="L93" s="226">
        <v>0</v>
      </c>
      <c r="M93" s="226">
        <v>0</v>
      </c>
      <c r="N93" s="226">
        <v>0</v>
      </c>
      <c r="O93" s="226">
        <v>0</v>
      </c>
      <c r="P93" s="226">
        <v>0</v>
      </c>
      <c r="Q93" s="226">
        <v>0</v>
      </c>
      <c r="R93" s="226">
        <v>0</v>
      </c>
      <c r="S93" s="226">
        <v>0</v>
      </c>
      <c r="T93" s="226">
        <v>0</v>
      </c>
      <c r="U93" s="226">
        <v>0</v>
      </c>
      <c r="V93" s="226">
        <v>0</v>
      </c>
      <c r="W93" s="226">
        <v>0</v>
      </c>
      <c r="X93" s="226">
        <v>0</v>
      </c>
      <c r="Y93" s="226">
        <v>0</v>
      </c>
      <c r="Z93" s="226">
        <v>0</v>
      </c>
      <c r="AA93" s="226">
        <v>0</v>
      </c>
      <c r="AB93" s="226">
        <v>0</v>
      </c>
      <c r="AC93" s="226">
        <v>0</v>
      </c>
      <c r="AD93" s="226">
        <v>0</v>
      </c>
      <c r="AE93" s="226">
        <v>0</v>
      </c>
      <c r="AF93" s="226">
        <v>0</v>
      </c>
      <c r="AG93" s="226">
        <v>0</v>
      </c>
      <c r="AH93" s="226">
        <v>0</v>
      </c>
      <c r="AI93" s="226">
        <v>0</v>
      </c>
      <c r="AJ93" s="226">
        <v>0</v>
      </c>
      <c r="AK93" s="226">
        <v>0</v>
      </c>
      <c r="AL93" s="226">
        <v>0</v>
      </c>
      <c r="AM93" s="226">
        <v>0</v>
      </c>
      <c r="AN93" s="226">
        <v>0</v>
      </c>
      <c r="AO93" s="226">
        <v>0</v>
      </c>
      <c r="AP93" s="226">
        <v>0</v>
      </c>
      <c r="AQ93" s="226">
        <v>0</v>
      </c>
      <c r="AR93" s="226">
        <v>0</v>
      </c>
      <c r="AS93" s="226">
        <v>0</v>
      </c>
      <c r="AT93" s="226">
        <v>0</v>
      </c>
      <c r="AU93" s="226">
        <v>0</v>
      </c>
      <c r="AV93" s="226">
        <v>0</v>
      </c>
      <c r="AW93" s="226">
        <v>0</v>
      </c>
      <c r="AX93" s="226">
        <v>0</v>
      </c>
      <c r="AY93" s="226">
        <v>0</v>
      </c>
    </row>
    <row r="94" spans="1:51" ht="12.75" x14ac:dyDescent="0.2">
      <c r="A94" s="60" t="s">
        <v>24</v>
      </c>
      <c r="B94" s="238"/>
      <c r="C94" s="212"/>
      <c r="D94" s="213">
        <v>-87851</v>
      </c>
      <c r="E94" s="213">
        <v>-88124</v>
      </c>
      <c r="F94" s="213">
        <v>-102956</v>
      </c>
      <c r="G94" s="213">
        <v>-94595</v>
      </c>
      <c r="H94" s="213">
        <v>-82065</v>
      </c>
      <c r="I94" s="213">
        <v>-78132</v>
      </c>
      <c r="J94" s="213">
        <v>-94045</v>
      </c>
      <c r="K94" s="213">
        <v>-89766</v>
      </c>
      <c r="L94" s="213">
        <v>-114445</v>
      </c>
      <c r="M94" s="213">
        <v>-131881</v>
      </c>
      <c r="N94" s="213">
        <v>-140597</v>
      </c>
      <c r="O94" s="213">
        <v>-177194</v>
      </c>
      <c r="P94" s="213">
        <v>-169010</v>
      </c>
      <c r="Q94" s="213">
        <v>-180892</v>
      </c>
      <c r="R94" s="213">
        <v>-174863</v>
      </c>
      <c r="S94" s="213">
        <v>-119112</v>
      </c>
      <c r="T94" s="213">
        <v>-141449</v>
      </c>
      <c r="U94" s="213">
        <v>-111427</v>
      </c>
      <c r="V94" s="213">
        <v>-90944</v>
      </c>
      <c r="W94" s="213">
        <v>-70463</v>
      </c>
      <c r="X94" s="213">
        <v>-50019</v>
      </c>
      <c r="Y94" s="213">
        <v>-46019.248557510669</v>
      </c>
      <c r="Z94" s="213">
        <v>-76357.156274382025</v>
      </c>
      <c r="AA94" s="213">
        <v>-77269.141839348478</v>
      </c>
      <c r="AB94" s="213">
        <v>-77132.203189983265</v>
      </c>
      <c r="AC94" s="213">
        <v>-57561.60510308051</v>
      </c>
      <c r="AD94" s="213">
        <v>-57982.822898107232</v>
      </c>
      <c r="AE94" s="213">
        <v>-82383.196611183579</v>
      </c>
      <c r="AF94" s="213">
        <v>-63605.004417589284</v>
      </c>
      <c r="AG94" s="213">
        <v>-43196.651395977242</v>
      </c>
      <c r="AH94" s="213">
        <v>-23104.433513216558</v>
      </c>
      <c r="AI94" s="213">
        <v>-3295.5102014148142</v>
      </c>
      <c r="AJ94" s="213">
        <v>16230.544941874687</v>
      </c>
      <c r="AK94" s="213">
        <v>35473.127867351985</v>
      </c>
      <c r="AL94" s="213">
        <v>54443.228611170081</v>
      </c>
      <c r="AM94" s="213">
        <v>73144.176225222996</v>
      </c>
      <c r="AN94" s="213">
        <v>93462.774159825523</v>
      </c>
      <c r="AO94" s="213">
        <v>113492.70672283554</v>
      </c>
      <c r="AP94" s="213">
        <v>133238.9033564101</v>
      </c>
      <c r="AQ94" s="213">
        <v>152706.65195270523</v>
      </c>
      <c r="AR94" s="213">
        <v>171901.38200909249</v>
      </c>
      <c r="AS94" s="213">
        <v>190828.10507977242</v>
      </c>
      <c r="AT94" s="213">
        <v>211374.34419393539</v>
      </c>
      <c r="AU94" s="213">
        <v>231632.67810099688</v>
      </c>
      <c r="AV94" s="213">
        <v>251608.49061643414</v>
      </c>
      <c r="AW94" s="213">
        <v>271307.09647387743</v>
      </c>
      <c r="AX94" s="213">
        <v>290733.70858125528</v>
      </c>
      <c r="AY94" s="213">
        <v>311775.90746618761</v>
      </c>
    </row>
    <row r="95" spans="1:51" ht="12.75" x14ac:dyDescent="0.2">
      <c r="A95" s="69" t="s">
        <v>244</v>
      </c>
      <c r="B95" s="221"/>
      <c r="D95" s="115">
        <v>0</v>
      </c>
      <c r="E95" s="115">
        <v>0</v>
      </c>
      <c r="F95" s="115">
        <v>0</v>
      </c>
      <c r="G95" s="115">
        <v>0</v>
      </c>
      <c r="H95" s="115">
        <v>0</v>
      </c>
      <c r="I95" s="115">
        <v>0</v>
      </c>
      <c r="J95" s="115">
        <v>0</v>
      </c>
      <c r="K95" s="115">
        <v>0</v>
      </c>
      <c r="L95" s="115">
        <v>0</v>
      </c>
      <c r="M95" s="115">
        <v>0</v>
      </c>
      <c r="N95" s="115">
        <v>0</v>
      </c>
      <c r="O95" s="115">
        <v>0</v>
      </c>
      <c r="P95" s="115">
        <v>0</v>
      </c>
      <c r="Q95" s="115">
        <v>0</v>
      </c>
      <c r="R95" s="115">
        <v>0</v>
      </c>
      <c r="S95" s="115">
        <v>0</v>
      </c>
      <c r="T95" s="115">
        <v>0</v>
      </c>
      <c r="U95" s="115">
        <v>0</v>
      </c>
      <c r="V95" s="115">
        <v>0</v>
      </c>
      <c r="W95" s="115">
        <v>0</v>
      </c>
      <c r="X95" s="115">
        <v>0</v>
      </c>
    </row>
    <row r="96" spans="1:51" ht="12.75" x14ac:dyDescent="0.2">
      <c r="B96" s="221"/>
    </row>
    <row r="97" spans="1:51" ht="12.75" x14ac:dyDescent="0.2">
      <c r="A97" s="21" t="s">
        <v>344</v>
      </c>
      <c r="B97" s="221"/>
    </row>
    <row r="98" spans="1:51" ht="12.75" x14ac:dyDescent="0.2">
      <c r="A98" s="23" t="s">
        <v>345</v>
      </c>
      <c r="B98" s="221"/>
    </row>
    <row r="99" spans="1:51" ht="12.75" x14ac:dyDescent="0.2">
      <c r="A99" s="23" t="s">
        <v>346</v>
      </c>
      <c r="B99" s="221"/>
    </row>
    <row r="100" spans="1:51" ht="12.75" x14ac:dyDescent="0.2">
      <c r="A100" s="23" t="s">
        <v>347</v>
      </c>
      <c r="B100" s="221"/>
      <c r="Y100" s="165">
        <v>145042.75144248933</v>
      </c>
      <c r="Z100" s="165">
        <v>131685.59516810731</v>
      </c>
      <c r="AA100" s="165">
        <v>144416.45332875883</v>
      </c>
      <c r="AB100" s="165">
        <v>181284.25013877556</v>
      </c>
      <c r="AC100" s="165">
        <v>258722.64503569505</v>
      </c>
      <c r="AD100" s="165">
        <v>220739.82213758782</v>
      </c>
      <c r="AE100" s="165">
        <v>243356.62552640424</v>
      </c>
      <c r="AF100" s="165">
        <v>269751.62110881496</v>
      </c>
      <c r="AG100" s="165">
        <v>312554.96971283772</v>
      </c>
      <c r="AH100" s="165">
        <v>359450.53619962116</v>
      </c>
      <c r="AI100" s="165">
        <v>410155.02599820634</v>
      </c>
      <c r="AJ100" s="165">
        <v>464385.57094008103</v>
      </c>
      <c r="AK100" s="165">
        <v>557858.69880743301</v>
      </c>
      <c r="AL100" s="165">
        <v>690301.9274186031</v>
      </c>
      <c r="AM100" s="165">
        <v>861446.10364382609</v>
      </c>
      <c r="AN100" s="165">
        <v>1083908.8778036516</v>
      </c>
      <c r="AO100" s="165">
        <v>1345401.5845264872</v>
      </c>
      <c r="AP100" s="165">
        <v>1609640.4878828973</v>
      </c>
      <c r="AQ100" s="165">
        <v>1876347.1398356026</v>
      </c>
      <c r="AR100" s="165">
        <v>2145248.5218446953</v>
      </c>
      <c r="AS100" s="165">
        <v>2428076.6269244677</v>
      </c>
      <c r="AT100" s="165">
        <v>2725450.9711184031</v>
      </c>
      <c r="AU100" s="165">
        <v>3025083.6492194002</v>
      </c>
      <c r="AV100" s="165">
        <v>3326692.1398358345</v>
      </c>
      <c r="AW100" s="165">
        <v>3665999.2363097118</v>
      </c>
      <c r="AX100" s="165">
        <v>4042732.9448909671</v>
      </c>
      <c r="AY100" s="165">
        <v>4469508.8523571547</v>
      </c>
    </row>
    <row r="101" spans="1:51" ht="12.75" x14ac:dyDescent="0.2">
      <c r="A101" s="23" t="s">
        <v>348</v>
      </c>
      <c r="B101" s="221"/>
      <c r="D101" s="115">
        <v>962267</v>
      </c>
      <c r="E101" s="115">
        <v>971917</v>
      </c>
      <c r="F101" s="115">
        <v>868961</v>
      </c>
      <c r="G101" s="115">
        <v>774366</v>
      </c>
      <c r="H101" s="115">
        <v>692301</v>
      </c>
      <c r="I101" s="115">
        <v>614169</v>
      </c>
      <c r="J101" s="115">
        <v>520124</v>
      </c>
      <c r="K101" s="115">
        <v>430358</v>
      </c>
      <c r="L101" s="115">
        <v>315913</v>
      </c>
      <c r="M101" s="115">
        <v>784032</v>
      </c>
      <c r="N101" s="115">
        <v>643435</v>
      </c>
      <c r="O101" s="115">
        <v>466241</v>
      </c>
      <c r="P101" s="115">
        <v>797231</v>
      </c>
      <c r="Q101" s="115">
        <v>616339</v>
      </c>
      <c r="R101" s="115">
        <v>441476</v>
      </c>
      <c r="S101" s="115">
        <v>322364</v>
      </c>
      <c r="T101" s="115">
        <v>480915</v>
      </c>
      <c r="U101" s="115">
        <v>369488</v>
      </c>
      <c r="V101" s="115">
        <v>278544</v>
      </c>
      <c r="W101" s="115">
        <v>208081</v>
      </c>
      <c r="X101" s="115">
        <v>158062</v>
      </c>
    </row>
    <row r="102" spans="1:51" ht="12.75" x14ac:dyDescent="0.2">
      <c r="A102" s="60" t="s">
        <v>349</v>
      </c>
      <c r="B102" s="238"/>
      <c r="C102" s="212"/>
      <c r="D102" s="226">
        <v>962267</v>
      </c>
      <c r="E102" s="226">
        <v>971917</v>
      </c>
      <c r="F102" s="226">
        <v>868961</v>
      </c>
      <c r="G102" s="226">
        <v>774366</v>
      </c>
      <c r="H102" s="226">
        <v>692301</v>
      </c>
      <c r="I102" s="226">
        <v>614169</v>
      </c>
      <c r="J102" s="226">
        <v>520124</v>
      </c>
      <c r="K102" s="226">
        <v>430358</v>
      </c>
      <c r="L102" s="226">
        <v>315913</v>
      </c>
      <c r="M102" s="226">
        <v>784032</v>
      </c>
      <c r="N102" s="226">
        <v>643435</v>
      </c>
      <c r="O102" s="226">
        <v>466241</v>
      </c>
      <c r="P102" s="226">
        <v>797231</v>
      </c>
      <c r="Q102" s="226">
        <v>616339</v>
      </c>
      <c r="R102" s="226">
        <v>441476</v>
      </c>
      <c r="S102" s="226">
        <v>322364</v>
      </c>
      <c r="T102" s="226">
        <v>480915</v>
      </c>
      <c r="U102" s="226">
        <v>369488</v>
      </c>
      <c r="V102" s="226">
        <v>278544</v>
      </c>
      <c r="W102" s="226">
        <v>208081</v>
      </c>
      <c r="X102" s="226">
        <v>158062</v>
      </c>
      <c r="Y102" s="226">
        <v>145042.75144248933</v>
      </c>
      <c r="Z102" s="226">
        <v>131685.59516810731</v>
      </c>
      <c r="AA102" s="226">
        <v>144416.45332875883</v>
      </c>
      <c r="AB102" s="226">
        <v>181284.25013877556</v>
      </c>
      <c r="AC102" s="226">
        <v>258722.64503569505</v>
      </c>
      <c r="AD102" s="226">
        <v>220739.82213758782</v>
      </c>
      <c r="AE102" s="226">
        <v>243356.62552640424</v>
      </c>
      <c r="AF102" s="226">
        <v>269751.62110881496</v>
      </c>
      <c r="AG102" s="226">
        <v>312554.96971283772</v>
      </c>
      <c r="AH102" s="226">
        <v>359450.53619962116</v>
      </c>
      <c r="AI102" s="226">
        <v>410155.02599820634</v>
      </c>
      <c r="AJ102" s="226">
        <v>464385.57094008103</v>
      </c>
      <c r="AK102" s="226">
        <v>557858.69880743301</v>
      </c>
      <c r="AL102" s="226">
        <v>690301.9274186031</v>
      </c>
      <c r="AM102" s="226">
        <v>861446.10364382609</v>
      </c>
      <c r="AN102" s="226">
        <v>1083908.8778036516</v>
      </c>
      <c r="AO102" s="226">
        <v>1345401.5845264872</v>
      </c>
      <c r="AP102" s="226">
        <v>1609640.4878828973</v>
      </c>
      <c r="AQ102" s="226">
        <v>1876347.1398356026</v>
      </c>
      <c r="AR102" s="226">
        <v>2145248.5218446953</v>
      </c>
      <c r="AS102" s="226">
        <v>2428076.6269244677</v>
      </c>
      <c r="AT102" s="226">
        <v>2725450.9711184031</v>
      </c>
      <c r="AU102" s="226">
        <v>3025083.6492194002</v>
      </c>
      <c r="AV102" s="226">
        <v>3326692.1398358345</v>
      </c>
      <c r="AW102" s="226">
        <v>3665999.2363097118</v>
      </c>
      <c r="AX102" s="226">
        <v>4042732.9448909671</v>
      </c>
      <c r="AY102" s="226">
        <v>4469508.8523571547</v>
      </c>
    </row>
    <row r="103" spans="1:51" ht="12.75" x14ac:dyDescent="0.2">
      <c r="A103" s="60" t="s">
        <v>350</v>
      </c>
      <c r="B103" s="238"/>
      <c r="C103" s="212"/>
      <c r="D103" s="226">
        <v>962267</v>
      </c>
      <c r="E103" s="226">
        <v>971917</v>
      </c>
      <c r="F103" s="226">
        <v>868961</v>
      </c>
      <c r="G103" s="226">
        <v>774366</v>
      </c>
      <c r="H103" s="226">
        <v>692301</v>
      </c>
      <c r="I103" s="226">
        <v>614169</v>
      </c>
      <c r="J103" s="226">
        <v>520124</v>
      </c>
      <c r="K103" s="226">
        <v>430358</v>
      </c>
      <c r="L103" s="226">
        <v>315913</v>
      </c>
      <c r="M103" s="226">
        <v>784032</v>
      </c>
      <c r="N103" s="226">
        <v>643435</v>
      </c>
      <c r="O103" s="226">
        <v>466241</v>
      </c>
      <c r="P103" s="226">
        <v>797231</v>
      </c>
      <c r="Q103" s="226">
        <v>616339</v>
      </c>
      <c r="R103" s="226">
        <v>441476</v>
      </c>
      <c r="S103" s="226">
        <v>322364</v>
      </c>
      <c r="T103" s="226">
        <v>480915</v>
      </c>
      <c r="U103" s="226">
        <v>369488</v>
      </c>
      <c r="V103" s="226">
        <v>278544</v>
      </c>
      <c r="W103" s="226">
        <v>208081</v>
      </c>
      <c r="X103" s="226">
        <v>158062</v>
      </c>
      <c r="Y103" s="226">
        <v>145042.75144248933</v>
      </c>
      <c r="Z103" s="226">
        <v>131685.59516810731</v>
      </c>
      <c r="AA103" s="226">
        <v>144416.45332875883</v>
      </c>
      <c r="AB103" s="226">
        <v>181284.25013877556</v>
      </c>
      <c r="AC103" s="226">
        <v>258722.64503569505</v>
      </c>
      <c r="AD103" s="226">
        <v>220739.82213758782</v>
      </c>
      <c r="AE103" s="226">
        <v>243356.62552640424</v>
      </c>
      <c r="AF103" s="226">
        <v>269751.62110881496</v>
      </c>
      <c r="AG103" s="226">
        <v>312554.96971283772</v>
      </c>
      <c r="AH103" s="226">
        <v>359450.53619962116</v>
      </c>
      <c r="AI103" s="226">
        <v>410155.02599820634</v>
      </c>
      <c r="AJ103" s="226">
        <v>464385.57094008103</v>
      </c>
      <c r="AK103" s="226">
        <v>557858.69880743301</v>
      </c>
      <c r="AL103" s="226">
        <v>690301.9274186031</v>
      </c>
      <c r="AM103" s="226">
        <v>861446.10364382609</v>
      </c>
      <c r="AN103" s="226">
        <v>1083908.8778036516</v>
      </c>
      <c r="AO103" s="226">
        <v>1345401.5845264872</v>
      </c>
      <c r="AP103" s="226">
        <v>1609640.4878828973</v>
      </c>
      <c r="AQ103" s="226">
        <v>1876347.1398356026</v>
      </c>
      <c r="AR103" s="226">
        <v>2145248.5218446953</v>
      </c>
      <c r="AS103" s="226">
        <v>2428076.6269244677</v>
      </c>
      <c r="AT103" s="226">
        <v>2725450.9711184031</v>
      </c>
      <c r="AU103" s="226">
        <v>3025083.6492194002</v>
      </c>
      <c r="AV103" s="226">
        <v>3326692.1398358345</v>
      </c>
      <c r="AW103" s="226">
        <v>3665999.2363097118</v>
      </c>
      <c r="AX103" s="226">
        <v>4042732.9448909671</v>
      </c>
      <c r="AY103" s="226">
        <v>4469508.8523571547</v>
      </c>
    </row>
    <row r="104" spans="1:51" ht="12.75" x14ac:dyDescent="0.2">
      <c r="A104" s="69" t="s">
        <v>244</v>
      </c>
      <c r="B104" s="221"/>
      <c r="D104" s="115">
        <v>0</v>
      </c>
      <c r="E104" s="115">
        <v>0</v>
      </c>
      <c r="F104" s="115">
        <v>0</v>
      </c>
      <c r="G104" s="115">
        <v>0</v>
      </c>
      <c r="H104" s="115">
        <v>0</v>
      </c>
      <c r="I104" s="115">
        <v>0</v>
      </c>
      <c r="J104" s="115">
        <v>0</v>
      </c>
      <c r="K104" s="115">
        <v>0</v>
      </c>
      <c r="L104" s="115">
        <v>0</v>
      </c>
      <c r="M104" s="115">
        <v>0</v>
      </c>
      <c r="N104" s="115">
        <v>0</v>
      </c>
      <c r="O104" s="115">
        <v>0</v>
      </c>
      <c r="P104" s="115">
        <v>0</v>
      </c>
      <c r="Q104" s="115">
        <v>0</v>
      </c>
      <c r="R104" s="115">
        <v>0</v>
      </c>
      <c r="S104" s="115">
        <v>0</v>
      </c>
      <c r="T104" s="115">
        <v>0</v>
      </c>
      <c r="U104" s="115">
        <v>0</v>
      </c>
      <c r="V104" s="115">
        <v>0</v>
      </c>
      <c r="W104" s="115">
        <v>0</v>
      </c>
      <c r="X104" s="115">
        <v>0</v>
      </c>
    </row>
    <row r="105" spans="1:51" ht="12.75" x14ac:dyDescent="0.2">
      <c r="A105" s="23" t="s">
        <v>351</v>
      </c>
      <c r="B105" s="221"/>
    </row>
    <row r="106" spans="1:51" ht="12.75" x14ac:dyDescent="0.2">
      <c r="A106" s="23" t="s">
        <v>352</v>
      </c>
      <c r="B106" s="224">
        <v>0</v>
      </c>
      <c r="D106" s="115">
        <v>0</v>
      </c>
      <c r="E106" s="115">
        <v>0</v>
      </c>
      <c r="F106" s="115">
        <v>0</v>
      </c>
      <c r="G106" s="115">
        <v>0</v>
      </c>
      <c r="H106" s="115">
        <v>0</v>
      </c>
      <c r="I106" s="115">
        <v>0</v>
      </c>
      <c r="J106" s="115">
        <v>0</v>
      </c>
      <c r="K106" s="115">
        <v>0</v>
      </c>
      <c r="L106" s="115">
        <v>0</v>
      </c>
      <c r="M106" s="115">
        <v>0</v>
      </c>
      <c r="N106" s="115">
        <v>0</v>
      </c>
      <c r="O106" s="115">
        <v>0</v>
      </c>
      <c r="P106" s="115">
        <v>0</v>
      </c>
      <c r="Q106" s="115">
        <v>0</v>
      </c>
      <c r="R106" s="115">
        <v>0</v>
      </c>
      <c r="S106" s="115">
        <v>0</v>
      </c>
      <c r="T106" s="115">
        <v>0</v>
      </c>
      <c r="U106" s="115">
        <v>0</v>
      </c>
      <c r="V106" s="115">
        <v>0</v>
      </c>
      <c r="W106" s="115">
        <v>0</v>
      </c>
      <c r="X106" s="115">
        <v>0</v>
      </c>
      <c r="Y106" s="165">
        <v>0</v>
      </c>
      <c r="Z106" s="165">
        <v>0</v>
      </c>
      <c r="AA106" s="165">
        <v>0</v>
      </c>
      <c r="AB106" s="165">
        <v>0</v>
      </c>
      <c r="AC106" s="165">
        <v>0</v>
      </c>
      <c r="AD106" s="165">
        <v>0</v>
      </c>
      <c r="AE106" s="165">
        <v>0</v>
      </c>
      <c r="AF106" s="165">
        <v>0</v>
      </c>
      <c r="AG106" s="165">
        <v>0</v>
      </c>
      <c r="AH106" s="165">
        <v>0</v>
      </c>
      <c r="AI106" s="165">
        <v>0</v>
      </c>
      <c r="AJ106" s="165">
        <v>0</v>
      </c>
      <c r="AK106" s="165">
        <v>0</v>
      </c>
      <c r="AL106" s="165">
        <v>0</v>
      </c>
      <c r="AM106" s="165">
        <v>0</v>
      </c>
      <c r="AN106" s="165">
        <v>0</v>
      </c>
      <c r="AO106" s="165">
        <v>0</v>
      </c>
      <c r="AP106" s="165">
        <v>0</v>
      </c>
      <c r="AQ106" s="165">
        <v>0</v>
      </c>
      <c r="AR106" s="165">
        <v>0</v>
      </c>
      <c r="AS106" s="165">
        <v>0</v>
      </c>
      <c r="AT106" s="165">
        <v>0</v>
      </c>
      <c r="AU106" s="165">
        <v>0</v>
      </c>
      <c r="AV106" s="165">
        <v>0</v>
      </c>
      <c r="AW106" s="165">
        <v>0</v>
      </c>
      <c r="AX106" s="165">
        <v>0</v>
      </c>
      <c r="AY106" s="165">
        <v>0</v>
      </c>
    </row>
    <row r="107" spans="1:51" ht="12.75" x14ac:dyDescent="0.2">
      <c r="A107" s="23" t="s">
        <v>353</v>
      </c>
      <c r="B107" s="224">
        <v>0</v>
      </c>
      <c r="D107" s="115">
        <v>0</v>
      </c>
      <c r="E107" s="115">
        <v>0</v>
      </c>
      <c r="F107" s="115">
        <v>0</v>
      </c>
      <c r="G107" s="115">
        <v>0</v>
      </c>
      <c r="H107" s="115">
        <v>0</v>
      </c>
      <c r="I107" s="115">
        <v>0</v>
      </c>
      <c r="J107" s="115">
        <v>0</v>
      </c>
      <c r="K107" s="115">
        <v>0</v>
      </c>
      <c r="L107" s="115">
        <v>0</v>
      </c>
      <c r="M107" s="115">
        <v>0</v>
      </c>
      <c r="N107" s="115">
        <v>0</v>
      </c>
      <c r="O107" s="115">
        <v>0</v>
      </c>
      <c r="P107" s="115">
        <v>0</v>
      </c>
      <c r="Q107" s="115">
        <v>0</v>
      </c>
      <c r="R107" s="115">
        <v>0</v>
      </c>
      <c r="S107" s="115">
        <v>0</v>
      </c>
      <c r="T107" s="115">
        <v>0</v>
      </c>
      <c r="U107" s="115">
        <v>0</v>
      </c>
      <c r="V107" s="115">
        <v>0</v>
      </c>
      <c r="W107" s="115">
        <v>0</v>
      </c>
      <c r="X107" s="115">
        <v>0</v>
      </c>
      <c r="Y107" s="165">
        <v>0</v>
      </c>
      <c r="Z107" s="165">
        <v>0</v>
      </c>
      <c r="AA107" s="165">
        <v>0</v>
      </c>
      <c r="AB107" s="165">
        <v>0</v>
      </c>
      <c r="AC107" s="165">
        <v>0</v>
      </c>
      <c r="AD107" s="165">
        <v>0</v>
      </c>
      <c r="AE107" s="165">
        <v>0</v>
      </c>
      <c r="AF107" s="165">
        <v>0</v>
      </c>
      <c r="AG107" s="165">
        <v>0</v>
      </c>
      <c r="AH107" s="165">
        <v>0</v>
      </c>
      <c r="AI107" s="165">
        <v>0</v>
      </c>
      <c r="AJ107" s="165">
        <v>0</v>
      </c>
      <c r="AK107" s="165">
        <v>0</v>
      </c>
      <c r="AL107" s="165">
        <v>0</v>
      </c>
      <c r="AM107" s="165">
        <v>0</v>
      </c>
      <c r="AN107" s="165">
        <v>0</v>
      </c>
      <c r="AO107" s="165">
        <v>0</v>
      </c>
      <c r="AP107" s="165">
        <v>0</v>
      </c>
      <c r="AQ107" s="165">
        <v>0</v>
      </c>
      <c r="AR107" s="165">
        <v>0</v>
      </c>
      <c r="AS107" s="165">
        <v>0</v>
      </c>
      <c r="AT107" s="165">
        <v>0</v>
      </c>
      <c r="AU107" s="165">
        <v>0</v>
      </c>
      <c r="AV107" s="165">
        <v>0</v>
      </c>
      <c r="AW107" s="165">
        <v>0</v>
      </c>
      <c r="AX107" s="165">
        <v>0</v>
      </c>
      <c r="AY107" s="165">
        <v>0</v>
      </c>
    </row>
    <row r="108" spans="1:51" ht="12.75" x14ac:dyDescent="0.2">
      <c r="A108" s="60" t="s">
        <v>354</v>
      </c>
      <c r="B108" s="238"/>
      <c r="C108" s="212"/>
      <c r="D108" s="226">
        <v>0</v>
      </c>
      <c r="E108" s="226">
        <v>0</v>
      </c>
      <c r="F108" s="226">
        <v>0</v>
      </c>
      <c r="G108" s="226">
        <v>0</v>
      </c>
      <c r="H108" s="226">
        <v>0</v>
      </c>
      <c r="I108" s="226">
        <v>0</v>
      </c>
      <c r="J108" s="226">
        <v>0</v>
      </c>
      <c r="K108" s="226">
        <v>0</v>
      </c>
      <c r="L108" s="226">
        <v>0</v>
      </c>
      <c r="M108" s="226">
        <v>0</v>
      </c>
      <c r="N108" s="226">
        <v>0</v>
      </c>
      <c r="O108" s="226">
        <v>0</v>
      </c>
      <c r="P108" s="226">
        <v>0</v>
      </c>
      <c r="Q108" s="226">
        <v>0</v>
      </c>
      <c r="R108" s="226">
        <v>0</v>
      </c>
      <c r="S108" s="226">
        <v>0</v>
      </c>
      <c r="T108" s="226">
        <v>0</v>
      </c>
      <c r="U108" s="226">
        <v>0</v>
      </c>
      <c r="V108" s="226">
        <v>0</v>
      </c>
      <c r="W108" s="226">
        <v>0</v>
      </c>
      <c r="X108" s="226">
        <v>0</v>
      </c>
      <c r="Y108" s="226">
        <v>0</v>
      </c>
      <c r="Z108" s="226">
        <v>0</v>
      </c>
      <c r="AA108" s="226">
        <v>0</v>
      </c>
      <c r="AB108" s="226">
        <v>0</v>
      </c>
      <c r="AC108" s="226">
        <v>0</v>
      </c>
      <c r="AD108" s="226">
        <v>0</v>
      </c>
      <c r="AE108" s="226">
        <v>0</v>
      </c>
      <c r="AF108" s="226">
        <v>0</v>
      </c>
      <c r="AG108" s="226">
        <v>0</v>
      </c>
      <c r="AH108" s="226">
        <v>0</v>
      </c>
      <c r="AI108" s="226">
        <v>0</v>
      </c>
      <c r="AJ108" s="226">
        <v>0</v>
      </c>
      <c r="AK108" s="226">
        <v>0</v>
      </c>
      <c r="AL108" s="226">
        <v>0</v>
      </c>
      <c r="AM108" s="226">
        <v>0</v>
      </c>
      <c r="AN108" s="226">
        <v>0</v>
      </c>
      <c r="AO108" s="226">
        <v>0</v>
      </c>
      <c r="AP108" s="226">
        <v>0</v>
      </c>
      <c r="AQ108" s="226">
        <v>0</v>
      </c>
      <c r="AR108" s="226">
        <v>0</v>
      </c>
      <c r="AS108" s="226">
        <v>0</v>
      </c>
      <c r="AT108" s="226">
        <v>0</v>
      </c>
      <c r="AU108" s="226">
        <v>0</v>
      </c>
      <c r="AV108" s="226">
        <v>0</v>
      </c>
      <c r="AW108" s="226">
        <v>0</v>
      </c>
      <c r="AX108" s="226">
        <v>0</v>
      </c>
      <c r="AY108" s="226">
        <v>0</v>
      </c>
    </row>
    <row r="109" spans="1:51" ht="12.75" x14ac:dyDescent="0.2">
      <c r="A109" s="69" t="s">
        <v>244</v>
      </c>
      <c r="B109" s="221"/>
      <c r="D109" s="115">
        <v>0</v>
      </c>
      <c r="E109" s="115">
        <v>0</v>
      </c>
      <c r="F109" s="115">
        <v>0</v>
      </c>
      <c r="G109" s="115">
        <v>0</v>
      </c>
      <c r="H109" s="115">
        <v>0</v>
      </c>
      <c r="I109" s="115">
        <v>0</v>
      </c>
      <c r="J109" s="115">
        <v>0</v>
      </c>
      <c r="K109" s="115">
        <v>0</v>
      </c>
      <c r="L109" s="115">
        <v>0</v>
      </c>
      <c r="M109" s="115">
        <v>0</v>
      </c>
      <c r="N109" s="115">
        <v>0</v>
      </c>
      <c r="O109" s="115">
        <v>0</v>
      </c>
      <c r="P109" s="115">
        <v>0</v>
      </c>
      <c r="Q109" s="115">
        <v>0</v>
      </c>
      <c r="R109" s="115">
        <v>0</v>
      </c>
      <c r="S109" s="115">
        <v>0</v>
      </c>
      <c r="T109" s="115">
        <v>0</v>
      </c>
      <c r="U109" s="115">
        <v>0</v>
      </c>
      <c r="V109" s="115">
        <v>0</v>
      </c>
      <c r="W109" s="115">
        <v>0</v>
      </c>
      <c r="X109" s="115">
        <v>0</v>
      </c>
    </row>
    <row r="110" spans="1:51" ht="12.75" x14ac:dyDescent="0.2">
      <c r="A110" s="23" t="s">
        <v>355</v>
      </c>
      <c r="B110" s="221"/>
    </row>
    <row r="111" spans="1:51" ht="12.75" x14ac:dyDescent="0.2">
      <c r="A111" s="23" t="s">
        <v>356</v>
      </c>
      <c r="B111" s="224">
        <v>0</v>
      </c>
      <c r="D111" s="115">
        <v>0</v>
      </c>
      <c r="E111" s="115">
        <v>0</v>
      </c>
      <c r="F111" s="115">
        <v>0</v>
      </c>
      <c r="G111" s="115">
        <v>0</v>
      </c>
      <c r="H111" s="115">
        <v>0</v>
      </c>
      <c r="I111" s="115">
        <v>0</v>
      </c>
      <c r="J111" s="115">
        <v>0</v>
      </c>
      <c r="K111" s="115">
        <v>0</v>
      </c>
      <c r="L111" s="115">
        <v>0</v>
      </c>
      <c r="M111" s="115">
        <v>0</v>
      </c>
      <c r="N111" s="115">
        <v>0</v>
      </c>
      <c r="O111" s="115">
        <v>0</v>
      </c>
      <c r="P111" s="115">
        <v>0</v>
      </c>
      <c r="Q111" s="115">
        <v>0</v>
      </c>
      <c r="R111" s="115">
        <v>0</v>
      </c>
      <c r="S111" s="115">
        <v>0</v>
      </c>
      <c r="T111" s="115">
        <v>0</v>
      </c>
      <c r="U111" s="115">
        <v>0</v>
      </c>
      <c r="V111" s="115">
        <v>0</v>
      </c>
      <c r="W111" s="115">
        <v>0</v>
      </c>
      <c r="X111" s="115">
        <v>0</v>
      </c>
      <c r="Y111" s="165">
        <v>0</v>
      </c>
      <c r="Z111" s="165">
        <v>0</v>
      </c>
      <c r="AA111" s="165">
        <v>0</v>
      </c>
      <c r="AB111" s="165">
        <v>0</v>
      </c>
      <c r="AC111" s="165">
        <v>0</v>
      </c>
      <c r="AD111" s="165">
        <v>0</v>
      </c>
      <c r="AE111" s="165">
        <v>0</v>
      </c>
      <c r="AF111" s="165">
        <v>0</v>
      </c>
      <c r="AG111" s="165">
        <v>0</v>
      </c>
      <c r="AH111" s="165">
        <v>0</v>
      </c>
      <c r="AI111" s="165">
        <v>0</v>
      </c>
      <c r="AJ111" s="165">
        <v>0</v>
      </c>
      <c r="AK111" s="165">
        <v>0</v>
      </c>
      <c r="AL111" s="165">
        <v>0</v>
      </c>
      <c r="AM111" s="165">
        <v>0</v>
      </c>
      <c r="AN111" s="165">
        <v>0</v>
      </c>
      <c r="AO111" s="165">
        <v>0</v>
      </c>
      <c r="AP111" s="165">
        <v>0</v>
      </c>
      <c r="AQ111" s="165">
        <v>0</v>
      </c>
      <c r="AR111" s="165">
        <v>0</v>
      </c>
      <c r="AS111" s="165">
        <v>0</v>
      </c>
      <c r="AT111" s="165">
        <v>0</v>
      </c>
      <c r="AU111" s="165">
        <v>0</v>
      </c>
      <c r="AV111" s="165">
        <v>0</v>
      </c>
      <c r="AW111" s="165">
        <v>0</v>
      </c>
      <c r="AX111" s="165">
        <v>0</v>
      </c>
      <c r="AY111" s="165">
        <v>0</v>
      </c>
    </row>
    <row r="112" spans="1:51" ht="12.75" x14ac:dyDescent="0.2">
      <c r="A112" s="23" t="s">
        <v>357</v>
      </c>
      <c r="B112" s="224">
        <v>0</v>
      </c>
      <c r="D112" s="115">
        <v>0</v>
      </c>
      <c r="E112" s="115">
        <v>0</v>
      </c>
      <c r="F112" s="115">
        <v>0</v>
      </c>
      <c r="G112" s="115">
        <v>0</v>
      </c>
      <c r="H112" s="115">
        <v>0</v>
      </c>
      <c r="I112" s="115">
        <v>0</v>
      </c>
      <c r="J112" s="115">
        <v>0</v>
      </c>
      <c r="K112" s="115">
        <v>0</v>
      </c>
      <c r="L112" s="115">
        <v>0</v>
      </c>
      <c r="M112" s="115">
        <v>0</v>
      </c>
      <c r="N112" s="115">
        <v>0</v>
      </c>
      <c r="O112" s="115">
        <v>0</v>
      </c>
      <c r="P112" s="115">
        <v>0</v>
      </c>
      <c r="Q112" s="115">
        <v>0</v>
      </c>
      <c r="R112" s="115">
        <v>0</v>
      </c>
      <c r="S112" s="115">
        <v>0</v>
      </c>
      <c r="T112" s="115">
        <v>0</v>
      </c>
      <c r="U112" s="115">
        <v>0</v>
      </c>
      <c r="V112" s="115">
        <v>0</v>
      </c>
      <c r="W112" s="115">
        <v>0</v>
      </c>
      <c r="X112" s="115">
        <v>0</v>
      </c>
      <c r="Y112" s="165">
        <v>0</v>
      </c>
      <c r="Z112" s="165">
        <v>0</v>
      </c>
      <c r="AA112" s="165">
        <v>0</v>
      </c>
      <c r="AB112" s="165">
        <v>0</v>
      </c>
      <c r="AC112" s="165">
        <v>0</v>
      </c>
      <c r="AD112" s="125">
        <v>100000</v>
      </c>
      <c r="AE112" s="125">
        <v>100000</v>
      </c>
      <c r="AF112" s="125">
        <v>100000</v>
      </c>
      <c r="AG112" s="125">
        <v>100000</v>
      </c>
      <c r="AH112" s="125">
        <v>100000</v>
      </c>
      <c r="AI112" s="125">
        <v>100000</v>
      </c>
      <c r="AJ112" s="125">
        <v>100000</v>
      </c>
      <c r="AK112" s="125">
        <v>100000</v>
      </c>
      <c r="AL112" s="125">
        <v>100000</v>
      </c>
      <c r="AM112" s="125">
        <v>100000</v>
      </c>
      <c r="AN112" s="125">
        <v>100000</v>
      </c>
      <c r="AO112" s="125">
        <v>100000</v>
      </c>
      <c r="AP112" s="125">
        <v>100000</v>
      </c>
      <c r="AQ112" s="125">
        <v>100000</v>
      </c>
      <c r="AR112" s="125">
        <v>100000</v>
      </c>
      <c r="AS112" s="125">
        <v>100000</v>
      </c>
      <c r="AT112" s="125">
        <v>100000</v>
      </c>
      <c r="AU112" s="125">
        <v>100000</v>
      </c>
      <c r="AV112" s="125">
        <v>100000</v>
      </c>
      <c r="AW112" s="125">
        <v>100000</v>
      </c>
      <c r="AX112" s="125">
        <v>100000</v>
      </c>
      <c r="AY112" s="125">
        <v>100000</v>
      </c>
    </row>
    <row r="113" spans="1:51" ht="12.75" x14ac:dyDescent="0.2">
      <c r="A113" s="23" t="s">
        <v>358</v>
      </c>
      <c r="B113" s="224">
        <v>0</v>
      </c>
      <c r="D113" s="115">
        <v>0</v>
      </c>
      <c r="E113" s="115">
        <v>0</v>
      </c>
      <c r="F113" s="115">
        <v>0</v>
      </c>
      <c r="G113" s="115">
        <v>0</v>
      </c>
      <c r="H113" s="115">
        <v>0</v>
      </c>
      <c r="I113" s="115">
        <v>0</v>
      </c>
      <c r="J113" s="115">
        <v>0</v>
      </c>
      <c r="K113" s="115">
        <v>0</v>
      </c>
      <c r="L113" s="115">
        <v>0</v>
      </c>
      <c r="M113" s="115">
        <v>0</v>
      </c>
      <c r="N113" s="115">
        <v>0</v>
      </c>
      <c r="O113" s="115">
        <v>0</v>
      </c>
      <c r="P113" s="115">
        <v>0</v>
      </c>
      <c r="Q113" s="115">
        <v>0</v>
      </c>
      <c r="R113" s="115">
        <v>0</v>
      </c>
      <c r="S113" s="115">
        <v>0</v>
      </c>
      <c r="T113" s="115">
        <v>0</v>
      </c>
      <c r="U113" s="115">
        <v>0</v>
      </c>
      <c r="V113" s="115">
        <v>0</v>
      </c>
      <c r="W113" s="115">
        <v>0</v>
      </c>
      <c r="X113" s="115">
        <v>0</v>
      </c>
      <c r="Y113" s="165">
        <v>0</v>
      </c>
      <c r="Z113" s="165">
        <v>0</v>
      </c>
      <c r="AA113" s="165">
        <v>0</v>
      </c>
      <c r="AB113" s="165">
        <v>0</v>
      </c>
      <c r="AC113" s="165">
        <v>0</v>
      </c>
      <c r="AD113" s="165">
        <v>0</v>
      </c>
      <c r="AE113" s="165">
        <v>0</v>
      </c>
      <c r="AF113" s="165">
        <v>0</v>
      </c>
      <c r="AG113" s="165">
        <v>0</v>
      </c>
      <c r="AH113" s="165">
        <v>0</v>
      </c>
      <c r="AI113" s="165">
        <v>0</v>
      </c>
      <c r="AJ113" s="165">
        <v>0</v>
      </c>
      <c r="AK113" s="165">
        <v>0</v>
      </c>
      <c r="AL113" s="165">
        <v>0</v>
      </c>
      <c r="AM113" s="165">
        <v>0</v>
      </c>
      <c r="AN113" s="165">
        <v>0</v>
      </c>
      <c r="AO113" s="165">
        <v>0</v>
      </c>
      <c r="AP113" s="165">
        <v>0</v>
      </c>
      <c r="AQ113" s="165">
        <v>0</v>
      </c>
      <c r="AR113" s="165">
        <v>0</v>
      </c>
      <c r="AS113" s="165">
        <v>0</v>
      </c>
      <c r="AT113" s="165">
        <v>0</v>
      </c>
      <c r="AU113" s="165">
        <v>0</v>
      </c>
      <c r="AV113" s="165">
        <v>0</v>
      </c>
      <c r="AW113" s="165">
        <v>0</v>
      </c>
      <c r="AX113" s="165">
        <v>0</v>
      </c>
      <c r="AY113" s="165">
        <v>0</v>
      </c>
    </row>
    <row r="114" spans="1:51" ht="12.75" x14ac:dyDescent="0.2">
      <c r="A114" s="60" t="s">
        <v>359</v>
      </c>
      <c r="B114" s="238"/>
      <c r="C114" s="212"/>
      <c r="D114" s="226">
        <v>0</v>
      </c>
      <c r="E114" s="226">
        <v>0</v>
      </c>
      <c r="F114" s="226">
        <v>0</v>
      </c>
      <c r="G114" s="226">
        <v>0</v>
      </c>
      <c r="H114" s="226">
        <v>0</v>
      </c>
      <c r="I114" s="226">
        <v>0</v>
      </c>
      <c r="J114" s="226">
        <v>0</v>
      </c>
      <c r="K114" s="226">
        <v>0</v>
      </c>
      <c r="L114" s="226">
        <v>0</v>
      </c>
      <c r="M114" s="226">
        <v>0</v>
      </c>
      <c r="N114" s="226">
        <v>0</v>
      </c>
      <c r="O114" s="226">
        <v>0</v>
      </c>
      <c r="P114" s="226">
        <v>0</v>
      </c>
      <c r="Q114" s="226">
        <v>0</v>
      </c>
      <c r="R114" s="226">
        <v>0</v>
      </c>
      <c r="S114" s="226">
        <v>0</v>
      </c>
      <c r="T114" s="226">
        <v>0</v>
      </c>
      <c r="U114" s="226">
        <v>0</v>
      </c>
      <c r="V114" s="226">
        <v>0</v>
      </c>
      <c r="W114" s="226">
        <v>0</v>
      </c>
      <c r="X114" s="226">
        <v>0</v>
      </c>
      <c r="Y114" s="226">
        <v>0</v>
      </c>
      <c r="Z114" s="226">
        <v>0</v>
      </c>
      <c r="AA114" s="226">
        <v>0</v>
      </c>
      <c r="AB114" s="226">
        <v>0</v>
      </c>
      <c r="AC114" s="226">
        <v>0</v>
      </c>
      <c r="AD114" s="226">
        <v>100000</v>
      </c>
      <c r="AE114" s="226">
        <v>100000</v>
      </c>
      <c r="AF114" s="226">
        <v>100000</v>
      </c>
      <c r="AG114" s="226">
        <v>100000</v>
      </c>
      <c r="AH114" s="226">
        <v>100000</v>
      </c>
      <c r="AI114" s="226">
        <v>100000</v>
      </c>
      <c r="AJ114" s="226">
        <v>100000</v>
      </c>
      <c r="AK114" s="226">
        <v>100000</v>
      </c>
      <c r="AL114" s="226">
        <v>100000</v>
      </c>
      <c r="AM114" s="226">
        <v>100000</v>
      </c>
      <c r="AN114" s="226">
        <v>100000</v>
      </c>
      <c r="AO114" s="226">
        <v>100000</v>
      </c>
      <c r="AP114" s="226">
        <v>100000</v>
      </c>
      <c r="AQ114" s="226">
        <v>100000</v>
      </c>
      <c r="AR114" s="226">
        <v>100000</v>
      </c>
      <c r="AS114" s="226">
        <v>100000</v>
      </c>
      <c r="AT114" s="226">
        <v>100000</v>
      </c>
      <c r="AU114" s="226">
        <v>100000</v>
      </c>
      <c r="AV114" s="226">
        <v>100000</v>
      </c>
      <c r="AW114" s="226">
        <v>100000</v>
      </c>
      <c r="AX114" s="226">
        <v>100000</v>
      </c>
      <c r="AY114" s="226">
        <v>100000</v>
      </c>
    </row>
    <row r="115" spans="1:51" ht="12.75" x14ac:dyDescent="0.2">
      <c r="A115" s="69" t="s">
        <v>244</v>
      </c>
      <c r="B115" s="221"/>
      <c r="D115" s="115">
        <v>0</v>
      </c>
      <c r="E115" s="115">
        <v>0</v>
      </c>
      <c r="F115" s="115">
        <v>0</v>
      </c>
      <c r="G115" s="115">
        <v>0</v>
      </c>
      <c r="H115" s="115">
        <v>0</v>
      </c>
      <c r="I115" s="115">
        <v>0</v>
      </c>
      <c r="J115" s="115">
        <v>0</v>
      </c>
      <c r="K115" s="115">
        <v>0</v>
      </c>
      <c r="L115" s="115">
        <v>0</v>
      </c>
      <c r="M115" s="115">
        <v>0</v>
      </c>
      <c r="N115" s="115">
        <v>0</v>
      </c>
      <c r="O115" s="115">
        <v>0</v>
      </c>
      <c r="P115" s="115">
        <v>0</v>
      </c>
      <c r="Q115" s="115">
        <v>0</v>
      </c>
      <c r="R115" s="115">
        <v>0</v>
      </c>
      <c r="S115" s="115">
        <v>0</v>
      </c>
      <c r="T115" s="115">
        <v>0</v>
      </c>
      <c r="U115" s="115">
        <v>0</v>
      </c>
      <c r="V115" s="115">
        <v>0</v>
      </c>
      <c r="W115" s="115">
        <v>0</v>
      </c>
      <c r="X115" s="115">
        <v>0</v>
      </c>
    </row>
    <row r="116" spans="1:51" ht="12.75" x14ac:dyDescent="0.2">
      <c r="A116" s="60" t="s">
        <v>360</v>
      </c>
      <c r="B116" s="238"/>
      <c r="C116" s="212"/>
      <c r="D116" s="213">
        <v>962267</v>
      </c>
      <c r="E116" s="213">
        <v>971917</v>
      </c>
      <c r="F116" s="213">
        <v>868961</v>
      </c>
      <c r="G116" s="213">
        <v>774366</v>
      </c>
      <c r="H116" s="213">
        <v>692301</v>
      </c>
      <c r="I116" s="213">
        <v>614169</v>
      </c>
      <c r="J116" s="213">
        <v>520124</v>
      </c>
      <c r="K116" s="213">
        <v>430358</v>
      </c>
      <c r="L116" s="213">
        <v>315913</v>
      </c>
      <c r="M116" s="213">
        <v>784032</v>
      </c>
      <c r="N116" s="213">
        <v>643435</v>
      </c>
      <c r="O116" s="213">
        <v>466241</v>
      </c>
      <c r="P116" s="213">
        <v>797231</v>
      </c>
      <c r="Q116" s="213">
        <v>616339</v>
      </c>
      <c r="R116" s="213">
        <v>441476</v>
      </c>
      <c r="S116" s="213">
        <v>322364</v>
      </c>
      <c r="T116" s="213">
        <v>480915</v>
      </c>
      <c r="U116" s="213">
        <v>369488</v>
      </c>
      <c r="V116" s="213">
        <v>278544</v>
      </c>
      <c r="W116" s="213">
        <v>208081</v>
      </c>
      <c r="X116" s="213">
        <v>158062</v>
      </c>
      <c r="Y116" s="213">
        <v>145042.75144248933</v>
      </c>
      <c r="Z116" s="213">
        <v>131685.59516810731</v>
      </c>
      <c r="AA116" s="213">
        <v>144416.45332875883</v>
      </c>
      <c r="AB116" s="213">
        <v>181284.25013877556</v>
      </c>
      <c r="AC116" s="213">
        <v>258722.64503569505</v>
      </c>
      <c r="AD116" s="213">
        <v>320739.82213758782</v>
      </c>
      <c r="AE116" s="213">
        <v>343356.62552640424</v>
      </c>
      <c r="AF116" s="213">
        <v>369751.62110881496</v>
      </c>
      <c r="AG116" s="213">
        <v>412554.96971283772</v>
      </c>
      <c r="AH116" s="213">
        <v>459450.53619962116</v>
      </c>
      <c r="AI116" s="213">
        <v>510155.02599820634</v>
      </c>
      <c r="AJ116" s="213">
        <v>564385.57094008103</v>
      </c>
      <c r="AK116" s="213">
        <v>657858.69880743301</v>
      </c>
      <c r="AL116" s="213">
        <v>790301.9274186031</v>
      </c>
      <c r="AM116" s="213">
        <v>961446.10364382609</v>
      </c>
      <c r="AN116" s="213">
        <v>1183908.8778036516</v>
      </c>
      <c r="AO116" s="213">
        <v>1445401.5845264872</v>
      </c>
      <c r="AP116" s="213">
        <v>1709640.4878828973</v>
      </c>
      <c r="AQ116" s="213">
        <v>1976347.1398356026</v>
      </c>
      <c r="AR116" s="213">
        <v>2245248.5218446953</v>
      </c>
      <c r="AS116" s="213">
        <v>2528076.6269244677</v>
      </c>
      <c r="AT116" s="213">
        <v>2825450.9711184031</v>
      </c>
      <c r="AU116" s="213">
        <v>3125083.6492194002</v>
      </c>
      <c r="AV116" s="213">
        <v>3426692.1398358345</v>
      </c>
      <c r="AW116" s="213">
        <v>3765999.2363097118</v>
      </c>
      <c r="AX116" s="213">
        <v>4142732.9448909671</v>
      </c>
      <c r="AY116" s="213">
        <v>4569508.8523571547</v>
      </c>
    </row>
    <row r="117" spans="1:51" ht="12.75" x14ac:dyDescent="0.2">
      <c r="A117" s="69" t="s">
        <v>244</v>
      </c>
      <c r="B117" s="221"/>
      <c r="D117" s="115">
        <v>0</v>
      </c>
      <c r="E117" s="115">
        <v>0</v>
      </c>
      <c r="F117" s="115">
        <v>0</v>
      </c>
      <c r="G117" s="115">
        <v>0</v>
      </c>
      <c r="H117" s="115">
        <v>0</v>
      </c>
      <c r="I117" s="115">
        <v>0</v>
      </c>
      <c r="J117" s="115">
        <v>0</v>
      </c>
      <c r="K117" s="115">
        <v>0</v>
      </c>
      <c r="L117" s="115">
        <v>0</v>
      </c>
      <c r="M117" s="115">
        <v>0</v>
      </c>
      <c r="N117" s="115">
        <v>0</v>
      </c>
      <c r="O117" s="115">
        <v>0</v>
      </c>
      <c r="P117" s="115">
        <v>0</v>
      </c>
      <c r="Q117" s="115">
        <v>0</v>
      </c>
      <c r="R117" s="115">
        <v>0</v>
      </c>
      <c r="S117" s="115">
        <v>0</v>
      </c>
      <c r="T117" s="115">
        <v>0</v>
      </c>
      <c r="U117" s="115">
        <v>0</v>
      </c>
      <c r="V117" s="115">
        <v>0</v>
      </c>
      <c r="W117" s="115">
        <v>0</v>
      </c>
      <c r="X117" s="115">
        <v>0</v>
      </c>
    </row>
    <row r="118" spans="1:51" ht="12.75" x14ac:dyDescent="0.2">
      <c r="A118" s="23" t="s">
        <v>361</v>
      </c>
      <c r="B118" s="221"/>
    </row>
    <row r="119" spans="1:51" ht="12.75" x14ac:dyDescent="0.2">
      <c r="A119" s="23" t="s">
        <v>362</v>
      </c>
      <c r="B119" s="221"/>
    </row>
    <row r="120" spans="1:51" ht="12.75" x14ac:dyDescent="0.2">
      <c r="A120" s="23" t="s">
        <v>363</v>
      </c>
      <c r="B120" s="221"/>
      <c r="D120" s="115"/>
      <c r="E120" s="115"/>
      <c r="F120" s="115"/>
      <c r="G120" s="115"/>
      <c r="H120" s="115"/>
      <c r="I120" s="115"/>
      <c r="J120" s="115"/>
      <c r="K120" s="115"/>
      <c r="L120" s="115"/>
      <c r="M120" s="115"/>
      <c r="N120" s="115"/>
      <c r="O120" s="115"/>
      <c r="P120" s="115"/>
      <c r="Q120" s="115"/>
      <c r="R120" s="115"/>
      <c r="S120" s="115"/>
      <c r="T120" s="115"/>
      <c r="U120" s="115"/>
      <c r="V120" s="115"/>
      <c r="W120" s="115"/>
      <c r="X120" s="115"/>
    </row>
    <row r="121" spans="1:51" ht="12.75" x14ac:dyDescent="0.2">
      <c r="A121" s="23" t="s">
        <v>364</v>
      </c>
      <c r="B121" s="221"/>
      <c r="D121" s="115"/>
      <c r="E121" s="115"/>
      <c r="F121" s="115"/>
      <c r="G121" s="115"/>
      <c r="H121" s="115"/>
      <c r="I121" s="115"/>
      <c r="J121" s="115"/>
      <c r="K121" s="115"/>
      <c r="L121" s="115"/>
      <c r="M121" s="115"/>
      <c r="N121" s="115"/>
      <c r="O121" s="115"/>
      <c r="P121" s="115"/>
      <c r="Q121" s="115"/>
      <c r="R121" s="115"/>
      <c r="S121" s="115"/>
      <c r="T121" s="115"/>
      <c r="U121" s="115"/>
      <c r="V121" s="115"/>
      <c r="W121" s="115"/>
      <c r="X121" s="115"/>
    </row>
    <row r="122" spans="1:51" ht="12.75" x14ac:dyDescent="0.2">
      <c r="A122" s="23" t="s">
        <v>365</v>
      </c>
      <c r="B122" s="224">
        <v>-1756</v>
      </c>
      <c r="D122" s="115">
        <v>357</v>
      </c>
      <c r="E122" s="115">
        <v>-1756</v>
      </c>
      <c r="F122" s="115">
        <v>-1756</v>
      </c>
      <c r="G122" s="115">
        <v>-1756</v>
      </c>
      <c r="H122" s="115">
        <v>-1756</v>
      </c>
      <c r="I122" s="115">
        <v>-1756</v>
      </c>
      <c r="J122" s="115">
        <v>-1756</v>
      </c>
      <c r="K122" s="115">
        <v>-1756</v>
      </c>
      <c r="L122" s="115">
        <v>-1756</v>
      </c>
      <c r="M122" s="115">
        <v>-1756</v>
      </c>
      <c r="N122" s="115">
        <v>-1756</v>
      </c>
      <c r="O122" s="115">
        <v>-1756</v>
      </c>
      <c r="P122" s="115">
        <v>-1756</v>
      </c>
      <c r="Q122" s="115">
        <v>-1756</v>
      </c>
      <c r="R122" s="115">
        <v>-1756</v>
      </c>
      <c r="S122" s="115">
        <v>-1756</v>
      </c>
      <c r="T122" s="115">
        <v>-1756</v>
      </c>
      <c r="U122" s="115">
        <v>-1756</v>
      </c>
      <c r="V122" s="115">
        <v>-1756</v>
      </c>
      <c r="W122" s="115">
        <v>-1756</v>
      </c>
      <c r="X122" s="115">
        <v>-1756</v>
      </c>
      <c r="Y122" s="165">
        <v>-1756</v>
      </c>
      <c r="Z122" s="165">
        <v>-1756</v>
      </c>
      <c r="AA122" s="165">
        <v>-1756</v>
      </c>
      <c r="AB122" s="165">
        <v>-1756</v>
      </c>
      <c r="AC122" s="165">
        <v>-1756</v>
      </c>
      <c r="AD122" s="165">
        <v>-1756</v>
      </c>
      <c r="AE122" s="165">
        <v>-1756</v>
      </c>
      <c r="AF122" s="165">
        <v>-1756</v>
      </c>
      <c r="AG122" s="165">
        <v>-1756</v>
      </c>
      <c r="AH122" s="165">
        <v>-1756</v>
      </c>
      <c r="AI122" s="165">
        <v>-1756</v>
      </c>
      <c r="AJ122" s="165">
        <v>-1756</v>
      </c>
      <c r="AK122" s="165">
        <v>-1756</v>
      </c>
      <c r="AL122" s="165">
        <v>-1756</v>
      </c>
      <c r="AM122" s="165">
        <v>-1756</v>
      </c>
      <c r="AN122" s="165">
        <v>-1756</v>
      </c>
      <c r="AO122" s="165">
        <v>-1756</v>
      </c>
      <c r="AP122" s="165">
        <v>-1756</v>
      </c>
      <c r="AQ122" s="165">
        <v>-1756</v>
      </c>
      <c r="AR122" s="165">
        <v>-1756</v>
      </c>
      <c r="AS122" s="165">
        <v>-1756</v>
      </c>
      <c r="AT122" s="165">
        <v>-1756</v>
      </c>
      <c r="AU122" s="165">
        <v>-1756</v>
      </c>
      <c r="AV122" s="165">
        <v>-1756</v>
      </c>
      <c r="AW122" s="165">
        <v>-1756</v>
      </c>
      <c r="AX122" s="165">
        <v>-1756</v>
      </c>
      <c r="AY122" s="165">
        <v>-1756</v>
      </c>
    </row>
    <row r="123" spans="1:51" ht="12.75" x14ac:dyDescent="0.2">
      <c r="A123" s="60" t="s">
        <v>366</v>
      </c>
      <c r="B123" s="238"/>
      <c r="C123" s="212"/>
      <c r="D123" s="226">
        <v>357</v>
      </c>
      <c r="E123" s="226">
        <v>-1756</v>
      </c>
      <c r="F123" s="226">
        <v>-1756</v>
      </c>
      <c r="G123" s="226">
        <v>-1756</v>
      </c>
      <c r="H123" s="226">
        <v>-1756</v>
      </c>
      <c r="I123" s="226">
        <v>-1756</v>
      </c>
      <c r="J123" s="226">
        <v>-1756</v>
      </c>
      <c r="K123" s="226">
        <v>-1756</v>
      </c>
      <c r="L123" s="226">
        <v>-1756</v>
      </c>
      <c r="M123" s="226">
        <v>-1756</v>
      </c>
      <c r="N123" s="226">
        <v>-1756</v>
      </c>
      <c r="O123" s="226">
        <v>-1756</v>
      </c>
      <c r="P123" s="226">
        <v>-1756</v>
      </c>
      <c r="Q123" s="226">
        <v>-1756</v>
      </c>
      <c r="R123" s="226">
        <v>-1756</v>
      </c>
      <c r="S123" s="226">
        <v>-1756</v>
      </c>
      <c r="T123" s="226">
        <v>-1756</v>
      </c>
      <c r="U123" s="226">
        <v>-1756</v>
      </c>
      <c r="V123" s="226">
        <v>-1756</v>
      </c>
      <c r="W123" s="226">
        <v>-1756</v>
      </c>
      <c r="X123" s="226">
        <v>-1756</v>
      </c>
      <c r="Y123" s="226">
        <v>-1756</v>
      </c>
      <c r="Z123" s="226">
        <v>-1756</v>
      </c>
      <c r="AA123" s="226">
        <v>-1756</v>
      </c>
      <c r="AB123" s="226">
        <v>-1756</v>
      </c>
      <c r="AC123" s="226">
        <v>-1756</v>
      </c>
      <c r="AD123" s="226">
        <v>-1756</v>
      </c>
      <c r="AE123" s="226">
        <v>-1756</v>
      </c>
      <c r="AF123" s="226">
        <v>-1756</v>
      </c>
      <c r="AG123" s="226">
        <v>-1756</v>
      </c>
      <c r="AH123" s="226">
        <v>-1756</v>
      </c>
      <c r="AI123" s="226">
        <v>-1756</v>
      </c>
      <c r="AJ123" s="226">
        <v>-1756</v>
      </c>
      <c r="AK123" s="226">
        <v>-1756</v>
      </c>
      <c r="AL123" s="226">
        <v>-1756</v>
      </c>
      <c r="AM123" s="226">
        <v>-1756</v>
      </c>
      <c r="AN123" s="226">
        <v>-1756</v>
      </c>
      <c r="AO123" s="226">
        <v>-1756</v>
      </c>
      <c r="AP123" s="226">
        <v>-1756</v>
      </c>
      <c r="AQ123" s="226">
        <v>-1756</v>
      </c>
      <c r="AR123" s="226">
        <v>-1756</v>
      </c>
      <c r="AS123" s="226">
        <v>-1756</v>
      </c>
      <c r="AT123" s="226">
        <v>-1756</v>
      </c>
      <c r="AU123" s="226">
        <v>-1756</v>
      </c>
      <c r="AV123" s="226">
        <v>-1756</v>
      </c>
      <c r="AW123" s="226">
        <v>-1756</v>
      </c>
      <c r="AX123" s="226">
        <v>-1756</v>
      </c>
      <c r="AY123" s="226">
        <v>-1756</v>
      </c>
    </row>
    <row r="124" spans="1:51" ht="12.75" x14ac:dyDescent="0.2">
      <c r="A124" s="23" t="s">
        <v>367</v>
      </c>
      <c r="B124" s="221"/>
      <c r="D124" s="115"/>
      <c r="E124" s="115"/>
      <c r="F124" s="115"/>
      <c r="G124" s="115"/>
      <c r="H124" s="115"/>
      <c r="I124" s="115"/>
      <c r="J124" s="115"/>
      <c r="K124" s="115"/>
      <c r="L124" s="115"/>
      <c r="M124" s="115"/>
      <c r="N124" s="115"/>
      <c r="O124" s="115"/>
      <c r="P124" s="115"/>
      <c r="Q124" s="115"/>
      <c r="R124" s="115"/>
      <c r="S124" s="115"/>
      <c r="T124" s="115"/>
      <c r="U124" s="115"/>
      <c r="V124" s="115"/>
      <c r="W124" s="115"/>
      <c r="X124" s="115"/>
    </row>
    <row r="125" spans="1:51" ht="12.75" x14ac:dyDescent="0.2">
      <c r="A125" s="23" t="s">
        <v>368</v>
      </c>
      <c r="B125" s="221"/>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25">
        <v>33000</v>
      </c>
      <c r="Z125" s="25">
        <v>96000</v>
      </c>
      <c r="AA125" s="25">
        <v>186000</v>
      </c>
      <c r="AB125" s="25">
        <v>300000</v>
      </c>
      <c r="AC125" s="25">
        <v>435000</v>
      </c>
      <c r="AD125" s="25">
        <v>555000</v>
      </c>
      <c r="AE125" s="25">
        <v>660000</v>
      </c>
      <c r="AF125" s="25">
        <v>750000</v>
      </c>
      <c r="AG125" s="25">
        <v>836000</v>
      </c>
      <c r="AH125" s="25">
        <v>906000</v>
      </c>
      <c r="AI125" s="25">
        <v>960000</v>
      </c>
      <c r="AJ125" s="25">
        <v>998000</v>
      </c>
      <c r="AK125" s="25">
        <v>1056000</v>
      </c>
      <c r="AL125" s="25">
        <v>1134000</v>
      </c>
      <c r="AM125" s="25">
        <v>1232000</v>
      </c>
      <c r="AN125" s="25">
        <v>1361000</v>
      </c>
      <c r="AO125" s="25">
        <v>1509000</v>
      </c>
      <c r="AP125" s="25">
        <v>1640000</v>
      </c>
      <c r="AQ125" s="25">
        <v>1754000</v>
      </c>
      <c r="AR125" s="25">
        <v>1851000</v>
      </c>
      <c r="AS125" s="25">
        <v>1943000</v>
      </c>
      <c r="AT125" s="25">
        <v>2029000</v>
      </c>
      <c r="AU125" s="25">
        <v>2097000</v>
      </c>
      <c r="AV125" s="25">
        <v>2147000</v>
      </c>
      <c r="AW125" s="25">
        <v>2215000</v>
      </c>
      <c r="AX125" s="25">
        <v>2301000</v>
      </c>
      <c r="AY125" s="25">
        <v>2416000</v>
      </c>
    </row>
    <row r="126" spans="1:51" ht="12.75" x14ac:dyDescent="0.2">
      <c r="A126" s="23" t="s">
        <v>369</v>
      </c>
      <c r="B126" s="224">
        <v>-352</v>
      </c>
      <c r="D126" s="115">
        <v>-239</v>
      </c>
      <c r="E126" s="115">
        <v>-352</v>
      </c>
      <c r="F126" s="115">
        <v>-352</v>
      </c>
      <c r="G126" s="115">
        <v>-352</v>
      </c>
      <c r="H126" s="115">
        <v>-352</v>
      </c>
      <c r="I126" s="115">
        <v>-352</v>
      </c>
      <c r="J126" s="115">
        <v>-352</v>
      </c>
      <c r="K126" s="115">
        <v>-352</v>
      </c>
      <c r="L126" s="115">
        <v>-352</v>
      </c>
      <c r="M126" s="115">
        <v>-352</v>
      </c>
      <c r="N126" s="115">
        <v>-352</v>
      </c>
      <c r="O126" s="115">
        <v>-352</v>
      </c>
      <c r="P126" s="115">
        <v>-352</v>
      </c>
      <c r="Q126" s="115">
        <v>-352</v>
      </c>
      <c r="R126" s="115">
        <v>-352</v>
      </c>
      <c r="S126" s="115">
        <v>-352</v>
      </c>
      <c r="T126" s="115">
        <v>-352</v>
      </c>
      <c r="U126" s="115">
        <v>-352</v>
      </c>
      <c r="V126" s="115">
        <v>-352</v>
      </c>
      <c r="W126" s="115">
        <v>-352</v>
      </c>
      <c r="X126" s="115">
        <v>-352</v>
      </c>
      <c r="Y126" s="165">
        <v>-352</v>
      </c>
      <c r="Z126" s="165">
        <v>-352</v>
      </c>
      <c r="AA126" s="165">
        <v>-352</v>
      </c>
      <c r="AB126" s="165">
        <v>-352</v>
      </c>
      <c r="AC126" s="165">
        <v>-352</v>
      </c>
      <c r="AD126" s="165">
        <v>-352</v>
      </c>
      <c r="AE126" s="165">
        <v>-352</v>
      </c>
      <c r="AF126" s="165">
        <v>-352</v>
      </c>
      <c r="AG126" s="165">
        <v>-352</v>
      </c>
      <c r="AH126" s="165">
        <v>-352</v>
      </c>
      <c r="AI126" s="165">
        <v>-352</v>
      </c>
      <c r="AJ126" s="165">
        <v>-352</v>
      </c>
      <c r="AK126" s="165">
        <v>-352</v>
      </c>
      <c r="AL126" s="165">
        <v>-352</v>
      </c>
      <c r="AM126" s="165">
        <v>-352</v>
      </c>
      <c r="AN126" s="165">
        <v>-352</v>
      </c>
      <c r="AO126" s="165">
        <v>-352</v>
      </c>
      <c r="AP126" s="165">
        <v>-352</v>
      </c>
      <c r="AQ126" s="165">
        <v>-352</v>
      </c>
      <c r="AR126" s="165">
        <v>-352</v>
      </c>
      <c r="AS126" s="165">
        <v>-352</v>
      </c>
      <c r="AT126" s="165">
        <v>-352</v>
      </c>
      <c r="AU126" s="165">
        <v>-352</v>
      </c>
      <c r="AV126" s="165">
        <v>-352</v>
      </c>
      <c r="AW126" s="165">
        <v>-352</v>
      </c>
      <c r="AX126" s="165">
        <v>-352</v>
      </c>
      <c r="AY126" s="165">
        <v>-352</v>
      </c>
    </row>
    <row r="127" spans="1:51" ht="12.75" x14ac:dyDescent="0.2">
      <c r="A127" s="60" t="s">
        <v>370</v>
      </c>
      <c r="B127" s="238"/>
      <c r="C127" s="212"/>
      <c r="D127" s="226">
        <v>-239</v>
      </c>
      <c r="E127" s="226">
        <v>-352</v>
      </c>
      <c r="F127" s="226">
        <v>-352</v>
      </c>
      <c r="G127" s="226">
        <v>-352</v>
      </c>
      <c r="H127" s="226">
        <v>-352</v>
      </c>
      <c r="I127" s="226">
        <v>-352</v>
      </c>
      <c r="J127" s="226">
        <v>-352</v>
      </c>
      <c r="K127" s="226">
        <v>-352</v>
      </c>
      <c r="L127" s="226">
        <v>-352</v>
      </c>
      <c r="M127" s="226">
        <v>-352</v>
      </c>
      <c r="N127" s="226">
        <v>-352</v>
      </c>
      <c r="O127" s="226">
        <v>-352</v>
      </c>
      <c r="P127" s="226">
        <v>-352</v>
      </c>
      <c r="Q127" s="226">
        <v>-352</v>
      </c>
      <c r="R127" s="226">
        <v>-352</v>
      </c>
      <c r="S127" s="226">
        <v>-352</v>
      </c>
      <c r="T127" s="226">
        <v>-352</v>
      </c>
      <c r="U127" s="226">
        <v>-352</v>
      </c>
      <c r="V127" s="226">
        <v>-352</v>
      </c>
      <c r="W127" s="226">
        <v>-352</v>
      </c>
      <c r="X127" s="226">
        <v>-352</v>
      </c>
      <c r="Y127" s="226">
        <v>32648</v>
      </c>
      <c r="Z127" s="226">
        <v>95648</v>
      </c>
      <c r="AA127" s="226">
        <v>185648</v>
      </c>
      <c r="AB127" s="226">
        <v>299648</v>
      </c>
      <c r="AC127" s="226">
        <v>434648</v>
      </c>
      <c r="AD127" s="226">
        <v>554648</v>
      </c>
      <c r="AE127" s="226">
        <v>659648</v>
      </c>
      <c r="AF127" s="226">
        <v>749648</v>
      </c>
      <c r="AG127" s="226">
        <v>835648</v>
      </c>
      <c r="AH127" s="226">
        <v>905648</v>
      </c>
      <c r="AI127" s="226">
        <v>959648</v>
      </c>
      <c r="AJ127" s="226">
        <v>997648</v>
      </c>
      <c r="AK127" s="226">
        <v>1055648</v>
      </c>
      <c r="AL127" s="226">
        <v>1133648</v>
      </c>
      <c r="AM127" s="226">
        <v>1231648</v>
      </c>
      <c r="AN127" s="226">
        <v>1360648</v>
      </c>
      <c r="AO127" s="226">
        <v>1508648</v>
      </c>
      <c r="AP127" s="226">
        <v>1639648</v>
      </c>
      <c r="AQ127" s="226">
        <v>1753648</v>
      </c>
      <c r="AR127" s="226">
        <v>1850648</v>
      </c>
      <c r="AS127" s="226">
        <v>1942648</v>
      </c>
      <c r="AT127" s="226">
        <v>2028648</v>
      </c>
      <c r="AU127" s="226">
        <v>2096648</v>
      </c>
      <c r="AV127" s="226">
        <v>2146648</v>
      </c>
      <c r="AW127" s="226">
        <v>2214648</v>
      </c>
      <c r="AX127" s="226">
        <v>2300648</v>
      </c>
      <c r="AY127" s="226">
        <v>2415648</v>
      </c>
    </row>
    <row r="128" spans="1:51" ht="12.75" x14ac:dyDescent="0.2">
      <c r="A128" s="60" t="s">
        <v>371</v>
      </c>
      <c r="B128" s="238"/>
      <c r="C128" s="212"/>
      <c r="D128" s="226">
        <v>118</v>
      </c>
      <c r="E128" s="226">
        <v>-2108</v>
      </c>
      <c r="F128" s="226">
        <v>-2108</v>
      </c>
      <c r="G128" s="226">
        <v>-2108</v>
      </c>
      <c r="H128" s="226">
        <v>-2108</v>
      </c>
      <c r="I128" s="226">
        <v>-2108</v>
      </c>
      <c r="J128" s="226">
        <v>-2108</v>
      </c>
      <c r="K128" s="226">
        <v>-2108</v>
      </c>
      <c r="L128" s="226">
        <v>-2108</v>
      </c>
      <c r="M128" s="226">
        <v>-2108</v>
      </c>
      <c r="N128" s="226">
        <v>-2108</v>
      </c>
      <c r="O128" s="226">
        <v>-2108</v>
      </c>
      <c r="P128" s="226">
        <v>-2108</v>
      </c>
      <c r="Q128" s="226">
        <v>-2108</v>
      </c>
      <c r="R128" s="226">
        <v>-2108</v>
      </c>
      <c r="S128" s="226">
        <v>-2108</v>
      </c>
      <c r="T128" s="226">
        <v>-2108</v>
      </c>
      <c r="U128" s="226">
        <v>-2108</v>
      </c>
      <c r="V128" s="226">
        <v>-2108</v>
      </c>
      <c r="W128" s="226">
        <v>-2108</v>
      </c>
      <c r="X128" s="226">
        <v>-2108</v>
      </c>
      <c r="Y128" s="226">
        <v>30892</v>
      </c>
      <c r="Z128" s="226">
        <v>93892</v>
      </c>
      <c r="AA128" s="226">
        <v>183892</v>
      </c>
      <c r="AB128" s="226">
        <v>297892</v>
      </c>
      <c r="AC128" s="226">
        <v>432892</v>
      </c>
      <c r="AD128" s="226">
        <v>552892</v>
      </c>
      <c r="AE128" s="226">
        <v>657892</v>
      </c>
      <c r="AF128" s="226">
        <v>747892</v>
      </c>
      <c r="AG128" s="226">
        <v>833892</v>
      </c>
      <c r="AH128" s="226">
        <v>903892</v>
      </c>
      <c r="AI128" s="226">
        <v>957892</v>
      </c>
      <c r="AJ128" s="226">
        <v>995892</v>
      </c>
      <c r="AK128" s="226">
        <v>1053892</v>
      </c>
      <c r="AL128" s="226">
        <v>1131892</v>
      </c>
      <c r="AM128" s="226">
        <v>1229892</v>
      </c>
      <c r="AN128" s="226">
        <v>1358892</v>
      </c>
      <c r="AO128" s="226">
        <v>1506892</v>
      </c>
      <c r="AP128" s="226">
        <v>1637892</v>
      </c>
      <c r="AQ128" s="226">
        <v>1751892</v>
      </c>
      <c r="AR128" s="226">
        <v>1848892</v>
      </c>
      <c r="AS128" s="226">
        <v>1940892</v>
      </c>
      <c r="AT128" s="226">
        <v>2026892</v>
      </c>
      <c r="AU128" s="226">
        <v>2094892</v>
      </c>
      <c r="AV128" s="226">
        <v>2144892</v>
      </c>
      <c r="AW128" s="226">
        <v>2212892</v>
      </c>
      <c r="AX128" s="226">
        <v>2298892</v>
      </c>
      <c r="AY128" s="226">
        <v>2413892</v>
      </c>
    </row>
    <row r="129" spans="1:51" ht="12.75" x14ac:dyDescent="0.2">
      <c r="A129" s="69" t="s">
        <v>244</v>
      </c>
      <c r="B129" s="221"/>
      <c r="D129" s="115">
        <v>0</v>
      </c>
      <c r="E129" s="115">
        <v>0</v>
      </c>
      <c r="F129" s="115">
        <v>0</v>
      </c>
      <c r="G129" s="115">
        <v>0</v>
      </c>
      <c r="H129" s="115">
        <v>0</v>
      </c>
      <c r="I129" s="115">
        <v>0</v>
      </c>
      <c r="J129" s="115">
        <v>0</v>
      </c>
      <c r="K129" s="115">
        <v>0</v>
      </c>
      <c r="L129" s="115">
        <v>0</v>
      </c>
      <c r="M129" s="115">
        <v>0</v>
      </c>
      <c r="N129" s="115">
        <v>0</v>
      </c>
      <c r="O129" s="115">
        <v>0</v>
      </c>
      <c r="P129" s="115">
        <v>0</v>
      </c>
      <c r="Q129" s="115">
        <v>0</v>
      </c>
      <c r="R129" s="115">
        <v>0</v>
      </c>
      <c r="S129" s="115">
        <v>0</v>
      </c>
      <c r="T129" s="115">
        <v>0</v>
      </c>
      <c r="U129" s="115">
        <v>0</v>
      </c>
      <c r="V129" s="115">
        <v>0</v>
      </c>
      <c r="W129" s="115">
        <v>0</v>
      </c>
      <c r="X129" s="115">
        <v>0</v>
      </c>
    </row>
    <row r="130" spans="1:51" ht="12.75" x14ac:dyDescent="0.2">
      <c r="A130" s="23" t="s">
        <v>372</v>
      </c>
      <c r="B130" s="221"/>
      <c r="D130" s="123"/>
      <c r="E130" s="123"/>
      <c r="F130" s="123"/>
      <c r="G130" s="123"/>
      <c r="H130" s="123"/>
      <c r="I130" s="123"/>
      <c r="J130" s="123"/>
      <c r="K130" s="123"/>
      <c r="L130" s="123"/>
      <c r="M130" s="123"/>
      <c r="N130" s="123"/>
      <c r="O130" s="123"/>
      <c r="P130" s="123"/>
      <c r="Q130" s="123"/>
      <c r="R130" s="123"/>
      <c r="S130" s="123"/>
      <c r="T130" s="123"/>
      <c r="U130" s="123"/>
      <c r="V130" s="123"/>
      <c r="W130" s="123"/>
      <c r="X130" s="123"/>
    </row>
    <row r="131" spans="1:51" ht="12.75" x14ac:dyDescent="0.2">
      <c r="A131" s="23" t="s">
        <v>373</v>
      </c>
      <c r="B131" s="224">
        <v>2050000</v>
      </c>
      <c r="D131" s="115">
        <v>550000</v>
      </c>
      <c r="E131" s="115">
        <v>650000</v>
      </c>
      <c r="F131" s="115">
        <v>650000</v>
      </c>
      <c r="G131" s="115">
        <v>650000</v>
      </c>
      <c r="H131" s="115">
        <v>650000</v>
      </c>
      <c r="I131" s="115">
        <v>650000</v>
      </c>
      <c r="J131" s="115">
        <v>650000</v>
      </c>
      <c r="K131" s="115">
        <v>650000</v>
      </c>
      <c r="L131" s="115">
        <v>650000</v>
      </c>
      <c r="M131" s="115">
        <v>1250000</v>
      </c>
      <c r="N131" s="115">
        <v>1250000</v>
      </c>
      <c r="O131" s="115">
        <v>1250000</v>
      </c>
      <c r="P131" s="115">
        <v>1750000</v>
      </c>
      <c r="Q131" s="115">
        <v>1750000</v>
      </c>
      <c r="R131" s="115">
        <v>1750000</v>
      </c>
      <c r="S131" s="115">
        <v>1750000</v>
      </c>
      <c r="T131" s="115">
        <v>2050000</v>
      </c>
      <c r="U131" s="115">
        <v>2050000</v>
      </c>
      <c r="V131" s="115">
        <v>2050000</v>
      </c>
      <c r="W131" s="115">
        <v>2050000</v>
      </c>
      <c r="X131" s="115">
        <v>2050000</v>
      </c>
      <c r="Y131" s="165">
        <v>2050000</v>
      </c>
      <c r="Z131" s="165">
        <v>2050000</v>
      </c>
      <c r="AA131" s="165">
        <v>2050000</v>
      </c>
      <c r="AB131" s="165">
        <v>2050000</v>
      </c>
      <c r="AC131" s="165">
        <v>2050000</v>
      </c>
      <c r="AD131" s="165">
        <v>2050000</v>
      </c>
      <c r="AE131" s="165">
        <v>2050000</v>
      </c>
      <c r="AF131" s="165">
        <v>2050000</v>
      </c>
      <c r="AG131" s="165">
        <v>2050000</v>
      </c>
      <c r="AH131" s="165">
        <v>2050000</v>
      </c>
      <c r="AI131" s="165">
        <v>2050000</v>
      </c>
      <c r="AJ131" s="165">
        <v>2050000</v>
      </c>
      <c r="AK131" s="165">
        <v>2050000</v>
      </c>
      <c r="AL131" s="165">
        <v>2050000</v>
      </c>
      <c r="AM131" s="165">
        <v>2050000</v>
      </c>
      <c r="AN131" s="165">
        <v>2050000</v>
      </c>
      <c r="AO131" s="165">
        <v>2050000</v>
      </c>
      <c r="AP131" s="165">
        <v>2050000</v>
      </c>
      <c r="AQ131" s="165">
        <v>2050000</v>
      </c>
      <c r="AR131" s="165">
        <v>2050000</v>
      </c>
      <c r="AS131" s="165">
        <v>2050000</v>
      </c>
      <c r="AT131" s="165">
        <v>2050000</v>
      </c>
      <c r="AU131" s="165">
        <v>2050000</v>
      </c>
      <c r="AV131" s="165">
        <v>2050000</v>
      </c>
      <c r="AW131" s="165">
        <v>2050000</v>
      </c>
      <c r="AX131" s="165">
        <v>2050000</v>
      </c>
      <c r="AY131" s="165">
        <v>2050000</v>
      </c>
    </row>
    <row r="132" spans="1:51" ht="12.75" x14ac:dyDescent="0.2">
      <c r="A132" s="23" t="s">
        <v>374</v>
      </c>
      <c r="B132" s="224">
        <v>500000</v>
      </c>
      <c r="D132" s="115">
        <v>500000</v>
      </c>
      <c r="E132" s="115">
        <v>500000</v>
      </c>
      <c r="F132" s="115">
        <v>500000</v>
      </c>
      <c r="G132" s="115">
        <v>500000</v>
      </c>
      <c r="H132" s="115">
        <v>500000</v>
      </c>
      <c r="I132" s="115">
        <v>500000</v>
      </c>
      <c r="J132" s="115">
        <v>500000</v>
      </c>
      <c r="K132" s="115">
        <v>500000</v>
      </c>
      <c r="L132" s="115">
        <v>500000</v>
      </c>
      <c r="M132" s="115">
        <v>500000</v>
      </c>
      <c r="N132" s="115">
        <v>500000</v>
      </c>
      <c r="O132" s="115">
        <v>500000</v>
      </c>
      <c r="P132" s="115">
        <v>500000</v>
      </c>
      <c r="Q132" s="115">
        <v>500000</v>
      </c>
      <c r="R132" s="115">
        <v>500000</v>
      </c>
      <c r="S132" s="115">
        <v>500000</v>
      </c>
      <c r="T132" s="115">
        <v>500000</v>
      </c>
      <c r="U132" s="115">
        <v>500000</v>
      </c>
      <c r="V132" s="115">
        <v>500000</v>
      </c>
      <c r="W132" s="115">
        <v>500000</v>
      </c>
      <c r="X132" s="115">
        <v>500000</v>
      </c>
      <c r="Y132" s="165">
        <v>500000</v>
      </c>
      <c r="Z132" s="165">
        <v>500000</v>
      </c>
      <c r="AA132" s="165">
        <v>500000</v>
      </c>
      <c r="AB132" s="165">
        <v>500000</v>
      </c>
      <c r="AC132" s="165">
        <v>500000</v>
      </c>
      <c r="AD132" s="165">
        <v>500000</v>
      </c>
      <c r="AE132" s="165">
        <v>500000</v>
      </c>
      <c r="AF132" s="165">
        <v>500000</v>
      </c>
      <c r="AG132" s="165">
        <v>500000</v>
      </c>
      <c r="AH132" s="165">
        <v>500000</v>
      </c>
      <c r="AI132" s="165">
        <v>500000</v>
      </c>
      <c r="AJ132" s="165">
        <v>500000</v>
      </c>
      <c r="AK132" s="165">
        <v>500000</v>
      </c>
      <c r="AL132" s="165">
        <v>500000</v>
      </c>
      <c r="AM132" s="165">
        <v>500000</v>
      </c>
      <c r="AN132" s="165">
        <v>500000</v>
      </c>
      <c r="AO132" s="165">
        <v>500000</v>
      </c>
      <c r="AP132" s="165">
        <v>500000</v>
      </c>
      <c r="AQ132" s="165">
        <v>500000</v>
      </c>
      <c r="AR132" s="165">
        <v>500000</v>
      </c>
      <c r="AS132" s="165">
        <v>500000</v>
      </c>
      <c r="AT132" s="165">
        <v>500000</v>
      </c>
      <c r="AU132" s="165">
        <v>500000</v>
      </c>
      <c r="AV132" s="165">
        <v>500000</v>
      </c>
      <c r="AW132" s="165">
        <v>500000</v>
      </c>
      <c r="AX132" s="165">
        <v>500000</v>
      </c>
      <c r="AY132" s="165">
        <v>500000</v>
      </c>
    </row>
    <row r="133" spans="1:51" ht="12.75" x14ac:dyDescent="0.2">
      <c r="A133" s="23" t="s">
        <v>375</v>
      </c>
      <c r="B133" s="224">
        <v>0</v>
      </c>
      <c r="D133" s="115">
        <v>0</v>
      </c>
      <c r="E133" s="115">
        <v>0</v>
      </c>
      <c r="F133" s="115">
        <v>0</v>
      </c>
      <c r="G133" s="115">
        <v>0</v>
      </c>
      <c r="H133" s="115">
        <v>0</v>
      </c>
      <c r="I133" s="115">
        <v>0</v>
      </c>
      <c r="J133" s="115">
        <v>0</v>
      </c>
      <c r="K133" s="115">
        <v>0</v>
      </c>
      <c r="L133" s="115">
        <v>0</v>
      </c>
      <c r="M133" s="115">
        <v>0</v>
      </c>
      <c r="N133" s="115">
        <v>0</v>
      </c>
      <c r="O133" s="115">
        <v>0</v>
      </c>
      <c r="P133" s="115">
        <v>0</v>
      </c>
      <c r="Q133" s="115">
        <v>0</v>
      </c>
      <c r="R133" s="115">
        <v>0</v>
      </c>
      <c r="S133" s="115">
        <v>0</v>
      </c>
      <c r="T133" s="115">
        <v>0</v>
      </c>
      <c r="U133" s="115">
        <v>0</v>
      </c>
      <c r="V133" s="115">
        <v>0</v>
      </c>
      <c r="W133" s="115">
        <v>0</v>
      </c>
      <c r="X133" s="115">
        <v>0</v>
      </c>
      <c r="Y133" s="165">
        <v>0</v>
      </c>
      <c r="Z133" s="165">
        <v>0</v>
      </c>
      <c r="AA133" s="165">
        <v>0</v>
      </c>
      <c r="AB133" s="165">
        <v>0</v>
      </c>
      <c r="AC133" s="165">
        <v>0</v>
      </c>
      <c r="AD133" s="165">
        <v>0</v>
      </c>
      <c r="AE133" s="165">
        <v>0</v>
      </c>
      <c r="AF133" s="165">
        <v>0</v>
      </c>
      <c r="AG133" s="165">
        <v>0</v>
      </c>
      <c r="AH133" s="165">
        <v>0</v>
      </c>
      <c r="AI133" s="165">
        <v>0</v>
      </c>
      <c r="AJ133" s="165">
        <v>0</v>
      </c>
      <c r="AK133" s="165">
        <v>0</v>
      </c>
      <c r="AL133" s="165">
        <v>0</v>
      </c>
      <c r="AM133" s="165">
        <v>0</v>
      </c>
      <c r="AN133" s="165">
        <v>0</v>
      </c>
      <c r="AO133" s="165">
        <v>0</v>
      </c>
      <c r="AP133" s="165">
        <v>0</v>
      </c>
      <c r="AQ133" s="165">
        <v>0</v>
      </c>
      <c r="AR133" s="165">
        <v>0</v>
      </c>
      <c r="AS133" s="165">
        <v>0</v>
      </c>
      <c r="AT133" s="165">
        <v>0</v>
      </c>
      <c r="AU133" s="165">
        <v>0</v>
      </c>
      <c r="AV133" s="165">
        <v>0</v>
      </c>
      <c r="AW133" s="165">
        <v>0</v>
      </c>
      <c r="AX133" s="165">
        <v>0</v>
      </c>
      <c r="AY133" s="165">
        <v>0</v>
      </c>
    </row>
    <row r="134" spans="1:51" ht="12.75" x14ac:dyDescent="0.2">
      <c r="A134" s="60" t="s">
        <v>376</v>
      </c>
      <c r="B134" s="238"/>
      <c r="C134" s="212"/>
      <c r="D134" s="213">
        <v>1050000</v>
      </c>
      <c r="E134" s="213">
        <v>1150000</v>
      </c>
      <c r="F134" s="213">
        <v>1150000</v>
      </c>
      <c r="G134" s="213">
        <v>1150000</v>
      </c>
      <c r="H134" s="213">
        <v>1150000</v>
      </c>
      <c r="I134" s="213">
        <v>1150000</v>
      </c>
      <c r="J134" s="213">
        <v>1150000</v>
      </c>
      <c r="K134" s="213">
        <v>1150000</v>
      </c>
      <c r="L134" s="213">
        <v>1150000</v>
      </c>
      <c r="M134" s="213">
        <v>1750000</v>
      </c>
      <c r="N134" s="213">
        <v>1750000</v>
      </c>
      <c r="O134" s="213">
        <v>1750000</v>
      </c>
      <c r="P134" s="213">
        <v>2250000</v>
      </c>
      <c r="Q134" s="213">
        <v>2250000</v>
      </c>
      <c r="R134" s="213">
        <v>2250000</v>
      </c>
      <c r="S134" s="213">
        <v>2250000</v>
      </c>
      <c r="T134" s="213">
        <v>2550000</v>
      </c>
      <c r="U134" s="213">
        <v>2550000</v>
      </c>
      <c r="V134" s="213">
        <v>2550000</v>
      </c>
      <c r="W134" s="213">
        <v>2550000</v>
      </c>
      <c r="X134" s="213">
        <v>2550000</v>
      </c>
      <c r="Y134" s="226">
        <v>2550000</v>
      </c>
      <c r="Z134" s="226">
        <v>2550000</v>
      </c>
      <c r="AA134" s="226">
        <v>2550000</v>
      </c>
      <c r="AB134" s="226">
        <v>2550000</v>
      </c>
      <c r="AC134" s="226">
        <v>2550000</v>
      </c>
      <c r="AD134" s="226">
        <v>2550000</v>
      </c>
      <c r="AE134" s="226">
        <v>2550000</v>
      </c>
      <c r="AF134" s="226">
        <v>2550000</v>
      </c>
      <c r="AG134" s="226">
        <v>2550000</v>
      </c>
      <c r="AH134" s="226">
        <v>2550000</v>
      </c>
      <c r="AI134" s="226">
        <v>2550000</v>
      </c>
      <c r="AJ134" s="226">
        <v>2550000</v>
      </c>
      <c r="AK134" s="226">
        <v>2550000</v>
      </c>
      <c r="AL134" s="226">
        <v>2550000</v>
      </c>
      <c r="AM134" s="226">
        <v>2550000</v>
      </c>
      <c r="AN134" s="226">
        <v>2550000</v>
      </c>
      <c r="AO134" s="226">
        <v>2550000</v>
      </c>
      <c r="AP134" s="226">
        <v>2550000</v>
      </c>
      <c r="AQ134" s="226">
        <v>2550000</v>
      </c>
      <c r="AR134" s="226">
        <v>2550000</v>
      </c>
      <c r="AS134" s="226">
        <v>2550000</v>
      </c>
      <c r="AT134" s="226">
        <v>2550000</v>
      </c>
      <c r="AU134" s="226">
        <v>2550000</v>
      </c>
      <c r="AV134" s="226">
        <v>2550000</v>
      </c>
      <c r="AW134" s="226">
        <v>2550000</v>
      </c>
      <c r="AX134" s="226">
        <v>2550000</v>
      </c>
      <c r="AY134" s="226">
        <v>2550000</v>
      </c>
    </row>
    <row r="135" spans="1:51" ht="12.75" x14ac:dyDescent="0.2">
      <c r="A135" s="69" t="s">
        <v>244</v>
      </c>
      <c r="B135" s="221"/>
      <c r="D135" s="115">
        <v>0</v>
      </c>
      <c r="E135" s="115">
        <v>0</v>
      </c>
      <c r="F135" s="115">
        <v>0</v>
      </c>
      <c r="G135" s="115">
        <v>0</v>
      </c>
      <c r="H135" s="115">
        <v>0</v>
      </c>
      <c r="I135" s="115">
        <v>0</v>
      </c>
      <c r="J135" s="115">
        <v>0</v>
      </c>
      <c r="K135" s="115">
        <v>0</v>
      </c>
      <c r="L135" s="115">
        <v>0</v>
      </c>
      <c r="M135" s="115">
        <v>0</v>
      </c>
      <c r="N135" s="115">
        <v>0</v>
      </c>
      <c r="O135" s="115">
        <v>0</v>
      </c>
      <c r="P135" s="115">
        <v>0</v>
      </c>
      <c r="Q135" s="115">
        <v>0</v>
      </c>
      <c r="R135" s="115">
        <v>0</v>
      </c>
      <c r="S135" s="115">
        <v>0</v>
      </c>
      <c r="T135" s="115">
        <v>0</v>
      </c>
      <c r="U135" s="115">
        <v>0</v>
      </c>
      <c r="V135" s="115">
        <v>0</v>
      </c>
      <c r="W135" s="115">
        <v>0</v>
      </c>
      <c r="X135" s="115">
        <v>0</v>
      </c>
    </row>
    <row r="136" spans="1:51" ht="12.75" x14ac:dyDescent="0.2">
      <c r="A136" s="60" t="s">
        <v>377</v>
      </c>
      <c r="B136" s="238"/>
      <c r="C136" s="212"/>
      <c r="D136" s="213">
        <v>1050118</v>
      </c>
      <c r="E136" s="213">
        <v>1147892</v>
      </c>
      <c r="F136" s="213">
        <v>1147892</v>
      </c>
      <c r="G136" s="213">
        <v>1147892</v>
      </c>
      <c r="H136" s="213">
        <v>1147892</v>
      </c>
      <c r="I136" s="213">
        <v>1147892</v>
      </c>
      <c r="J136" s="213">
        <v>1147892</v>
      </c>
      <c r="K136" s="213">
        <v>1147892</v>
      </c>
      <c r="L136" s="213">
        <v>1147892</v>
      </c>
      <c r="M136" s="213">
        <v>1747892</v>
      </c>
      <c r="N136" s="213">
        <v>1747892</v>
      </c>
      <c r="O136" s="213">
        <v>1747892</v>
      </c>
      <c r="P136" s="213">
        <v>2247892</v>
      </c>
      <c r="Q136" s="213">
        <v>2247892</v>
      </c>
      <c r="R136" s="213">
        <v>2247892</v>
      </c>
      <c r="S136" s="213">
        <v>2247892</v>
      </c>
      <c r="T136" s="213">
        <v>2547892</v>
      </c>
      <c r="U136" s="213">
        <v>2547892</v>
      </c>
      <c r="V136" s="213">
        <v>2547892</v>
      </c>
      <c r="W136" s="213">
        <v>2547892</v>
      </c>
      <c r="X136" s="213">
        <v>2547892</v>
      </c>
      <c r="Y136" s="213">
        <v>2580892</v>
      </c>
      <c r="Z136" s="213">
        <v>2643892</v>
      </c>
      <c r="AA136" s="213">
        <v>2733892</v>
      </c>
      <c r="AB136" s="213">
        <v>2847892</v>
      </c>
      <c r="AC136" s="213">
        <v>2982892</v>
      </c>
      <c r="AD136" s="213">
        <v>3102892</v>
      </c>
      <c r="AE136" s="213">
        <v>3207892</v>
      </c>
      <c r="AF136" s="213">
        <v>3297892</v>
      </c>
      <c r="AG136" s="213">
        <v>3383892</v>
      </c>
      <c r="AH136" s="213">
        <v>3453892</v>
      </c>
      <c r="AI136" s="213">
        <v>3507892</v>
      </c>
      <c r="AJ136" s="213">
        <v>3545892</v>
      </c>
      <c r="AK136" s="213">
        <v>3603892</v>
      </c>
      <c r="AL136" s="213">
        <v>3681892</v>
      </c>
      <c r="AM136" s="213">
        <v>3779892</v>
      </c>
      <c r="AN136" s="213">
        <v>3908892</v>
      </c>
      <c r="AO136" s="213">
        <v>4056892</v>
      </c>
      <c r="AP136" s="213">
        <v>4187892</v>
      </c>
      <c r="AQ136" s="213">
        <v>4301892</v>
      </c>
      <c r="AR136" s="213">
        <v>4398892</v>
      </c>
      <c r="AS136" s="213">
        <v>4490892</v>
      </c>
      <c r="AT136" s="213">
        <v>4576892</v>
      </c>
      <c r="AU136" s="213">
        <v>4644892</v>
      </c>
      <c r="AV136" s="213">
        <v>4694892</v>
      </c>
      <c r="AW136" s="213">
        <v>4762892</v>
      </c>
      <c r="AX136" s="213">
        <v>4848892</v>
      </c>
      <c r="AY136" s="213">
        <v>4963892</v>
      </c>
    </row>
    <row r="137" spans="1:51" ht="12.75" x14ac:dyDescent="0.2">
      <c r="A137" s="69" t="s">
        <v>244</v>
      </c>
      <c r="B137" s="221"/>
      <c r="D137" s="115">
        <v>0</v>
      </c>
      <c r="E137" s="115">
        <v>0</v>
      </c>
      <c r="F137" s="115">
        <v>0</v>
      </c>
      <c r="G137" s="115">
        <v>0</v>
      </c>
      <c r="H137" s="115">
        <v>0</v>
      </c>
      <c r="I137" s="115">
        <v>0</v>
      </c>
      <c r="J137" s="115">
        <v>0</v>
      </c>
      <c r="K137" s="115">
        <v>0</v>
      </c>
      <c r="L137" s="115">
        <v>0</v>
      </c>
      <c r="M137" s="115">
        <v>0</v>
      </c>
      <c r="N137" s="115">
        <v>0</v>
      </c>
      <c r="O137" s="115">
        <v>0</v>
      </c>
      <c r="P137" s="115">
        <v>0</v>
      </c>
      <c r="Q137" s="115">
        <v>0</v>
      </c>
      <c r="R137" s="115">
        <v>0</v>
      </c>
      <c r="S137" s="115">
        <v>0</v>
      </c>
      <c r="T137" s="115">
        <v>0</v>
      </c>
      <c r="U137" s="115">
        <v>0</v>
      </c>
      <c r="V137" s="115">
        <v>0</v>
      </c>
      <c r="W137" s="115">
        <v>0</v>
      </c>
      <c r="X137" s="115">
        <v>0</v>
      </c>
    </row>
    <row r="138" spans="1:51" ht="12.75" x14ac:dyDescent="0.2">
      <c r="A138" s="23" t="s">
        <v>378</v>
      </c>
      <c r="B138" s="221"/>
    </row>
    <row r="139" spans="1:51" ht="12.75" x14ac:dyDescent="0.2">
      <c r="A139" s="23" t="s">
        <v>379</v>
      </c>
      <c r="B139" s="224">
        <v>0</v>
      </c>
      <c r="D139" s="115">
        <v>0</v>
      </c>
      <c r="E139" s="115">
        <v>0</v>
      </c>
      <c r="F139" s="115">
        <v>0</v>
      </c>
      <c r="G139" s="115">
        <v>0</v>
      </c>
      <c r="H139" s="115">
        <v>0</v>
      </c>
      <c r="I139" s="115">
        <v>0</v>
      </c>
      <c r="J139" s="115">
        <v>0</v>
      </c>
      <c r="K139" s="115">
        <v>0</v>
      </c>
      <c r="L139" s="115">
        <v>0</v>
      </c>
      <c r="M139" s="115">
        <v>0</v>
      </c>
      <c r="N139" s="115">
        <v>0</v>
      </c>
      <c r="O139" s="115">
        <v>0</v>
      </c>
      <c r="P139" s="115">
        <v>0</v>
      </c>
      <c r="Q139" s="115">
        <v>0</v>
      </c>
      <c r="R139" s="115">
        <v>0</v>
      </c>
      <c r="S139" s="115">
        <v>0</v>
      </c>
      <c r="T139" s="115">
        <v>0</v>
      </c>
      <c r="U139" s="115">
        <v>0</v>
      </c>
      <c r="V139" s="115">
        <v>0</v>
      </c>
      <c r="W139" s="115">
        <v>0</v>
      </c>
      <c r="X139" s="115">
        <v>0</v>
      </c>
      <c r="Y139" s="165">
        <v>0</v>
      </c>
      <c r="Z139" s="165">
        <v>0</v>
      </c>
      <c r="AA139" s="165">
        <v>0</v>
      </c>
      <c r="AB139" s="165">
        <v>0</v>
      </c>
      <c r="AC139" s="165">
        <v>0</v>
      </c>
      <c r="AD139" s="165">
        <v>0</v>
      </c>
      <c r="AE139" s="165">
        <v>0</v>
      </c>
      <c r="AF139" s="165">
        <v>0</v>
      </c>
      <c r="AG139" s="165">
        <v>0</v>
      </c>
      <c r="AH139" s="165">
        <v>0</v>
      </c>
      <c r="AI139" s="165">
        <v>0</v>
      </c>
      <c r="AJ139" s="165">
        <v>0</v>
      </c>
      <c r="AK139" s="165">
        <v>0</v>
      </c>
      <c r="AL139" s="165">
        <v>0</v>
      </c>
      <c r="AM139" s="165">
        <v>0</v>
      </c>
      <c r="AN139" s="165">
        <v>0</v>
      </c>
      <c r="AO139" s="165">
        <v>0</v>
      </c>
      <c r="AP139" s="165">
        <v>0</v>
      </c>
      <c r="AQ139" s="165">
        <v>0</v>
      </c>
      <c r="AR139" s="165">
        <v>0</v>
      </c>
      <c r="AS139" s="165">
        <v>0</v>
      </c>
      <c r="AT139" s="165">
        <v>0</v>
      </c>
      <c r="AU139" s="165">
        <v>0</v>
      </c>
      <c r="AV139" s="165">
        <v>0</v>
      </c>
      <c r="AW139" s="165">
        <v>0</v>
      </c>
      <c r="AX139" s="165">
        <v>0</v>
      </c>
      <c r="AY139" s="165">
        <v>0</v>
      </c>
    </row>
    <row r="140" spans="1:51" ht="12.75" x14ac:dyDescent="0.2">
      <c r="A140" s="23" t="s">
        <v>380</v>
      </c>
      <c r="B140" s="224">
        <v>332421</v>
      </c>
      <c r="D140" s="115">
        <v>332421</v>
      </c>
      <c r="E140" s="115">
        <v>332421</v>
      </c>
      <c r="F140" s="115">
        <v>332421</v>
      </c>
      <c r="G140" s="115">
        <v>332421</v>
      </c>
      <c r="H140" s="115">
        <v>332421</v>
      </c>
      <c r="I140" s="115">
        <v>332421</v>
      </c>
      <c r="J140" s="115">
        <v>332421</v>
      </c>
      <c r="K140" s="115">
        <v>332421</v>
      </c>
      <c r="L140" s="115">
        <v>332421</v>
      </c>
      <c r="M140" s="115">
        <v>332421</v>
      </c>
      <c r="N140" s="115">
        <v>332421</v>
      </c>
      <c r="O140" s="115">
        <v>332421</v>
      </c>
      <c r="P140" s="115">
        <v>332421</v>
      </c>
      <c r="Q140" s="115">
        <v>332421</v>
      </c>
      <c r="R140" s="115">
        <v>332421</v>
      </c>
      <c r="S140" s="115">
        <v>332421</v>
      </c>
      <c r="T140" s="115">
        <v>332421</v>
      </c>
      <c r="U140" s="115">
        <v>332421</v>
      </c>
      <c r="V140" s="115">
        <v>332421</v>
      </c>
      <c r="W140" s="115">
        <v>332421</v>
      </c>
      <c r="X140" s="115">
        <v>332421</v>
      </c>
      <c r="Y140" s="165">
        <v>332421</v>
      </c>
      <c r="Z140" s="165">
        <v>332421</v>
      </c>
      <c r="AA140" s="165">
        <v>332421</v>
      </c>
      <c r="AB140" s="165">
        <v>332421</v>
      </c>
      <c r="AC140" s="165">
        <v>332421</v>
      </c>
      <c r="AD140" s="165">
        <v>332421</v>
      </c>
      <c r="AE140" s="165">
        <v>332421</v>
      </c>
      <c r="AF140" s="165">
        <v>332421</v>
      </c>
      <c r="AG140" s="165">
        <v>332421</v>
      </c>
      <c r="AH140" s="165">
        <v>332421</v>
      </c>
      <c r="AI140" s="165">
        <v>332421</v>
      </c>
      <c r="AJ140" s="165">
        <v>332421</v>
      </c>
      <c r="AK140" s="165">
        <v>332421</v>
      </c>
      <c r="AL140" s="165">
        <v>332421</v>
      </c>
      <c r="AM140" s="165">
        <v>332421</v>
      </c>
      <c r="AN140" s="165">
        <v>332421</v>
      </c>
      <c r="AO140" s="165">
        <v>332421</v>
      </c>
      <c r="AP140" s="165">
        <v>332421</v>
      </c>
      <c r="AQ140" s="165">
        <v>332421</v>
      </c>
      <c r="AR140" s="165">
        <v>332421</v>
      </c>
      <c r="AS140" s="165">
        <v>332421</v>
      </c>
      <c r="AT140" s="165">
        <v>332421</v>
      </c>
      <c r="AU140" s="165">
        <v>332421</v>
      </c>
      <c r="AV140" s="165">
        <v>332421</v>
      </c>
      <c r="AW140" s="165">
        <v>332421</v>
      </c>
      <c r="AX140" s="165">
        <v>332421</v>
      </c>
      <c r="AY140" s="165">
        <v>332421</v>
      </c>
    </row>
    <row r="141" spans="1:51" ht="12.75" x14ac:dyDescent="0.2">
      <c r="A141" s="23" t="s">
        <v>381</v>
      </c>
      <c r="B141" s="224">
        <v>-1614072</v>
      </c>
      <c r="D141" s="115">
        <v>-332421</v>
      </c>
      <c r="E141" s="115">
        <v>-332421</v>
      </c>
      <c r="F141" s="115">
        <v>-332421</v>
      </c>
      <c r="G141" s="115">
        <v>-332421</v>
      </c>
      <c r="H141" s="115">
        <v>-332421</v>
      </c>
      <c r="I141" s="115">
        <v>-332421</v>
      </c>
      <c r="J141" s="115">
        <v>-332421</v>
      </c>
      <c r="K141" s="115">
        <v>-332421</v>
      </c>
      <c r="L141" s="115">
        <v>-332421</v>
      </c>
      <c r="M141" s="115">
        <v>-332421</v>
      </c>
      <c r="N141" s="115">
        <v>-332421</v>
      </c>
      <c r="O141" s="115">
        <v>-332421</v>
      </c>
      <c r="P141" s="115">
        <v>-1614072</v>
      </c>
      <c r="Q141" s="115">
        <v>-1614072</v>
      </c>
      <c r="R141" s="115">
        <v>-1614072</v>
      </c>
      <c r="S141" s="115">
        <v>-1614072</v>
      </c>
      <c r="T141" s="115">
        <v>-1614072</v>
      </c>
      <c r="U141" s="115">
        <v>-1614072</v>
      </c>
      <c r="V141" s="115">
        <v>-1614072</v>
      </c>
      <c r="W141" s="115">
        <v>-1614072</v>
      </c>
      <c r="X141" s="115">
        <v>-1614072</v>
      </c>
      <c r="Y141" s="165">
        <v>-1614072</v>
      </c>
      <c r="Z141" s="165">
        <v>-1614072</v>
      </c>
      <c r="AA141" s="165">
        <v>-1614072</v>
      </c>
      <c r="AB141" s="165">
        <v>-1614072</v>
      </c>
      <c r="AC141" s="165">
        <v>-1614072</v>
      </c>
      <c r="AD141" s="165">
        <v>-1614072</v>
      </c>
      <c r="AE141" s="165">
        <v>-1614072</v>
      </c>
      <c r="AF141" s="165">
        <v>-1614072</v>
      </c>
      <c r="AG141" s="165">
        <v>-1614072</v>
      </c>
      <c r="AH141" s="165">
        <v>-1614072</v>
      </c>
      <c r="AI141" s="165">
        <v>-1614072</v>
      </c>
      <c r="AJ141" s="165">
        <v>-1614072</v>
      </c>
      <c r="AK141" s="165">
        <v>-1614072</v>
      </c>
      <c r="AL141" s="165">
        <v>-1614072</v>
      </c>
      <c r="AM141" s="165">
        <v>-1614072</v>
      </c>
      <c r="AN141" s="165">
        <v>-1614072</v>
      </c>
      <c r="AO141" s="165">
        <v>-1614072</v>
      </c>
      <c r="AP141" s="165">
        <v>-1614072</v>
      </c>
      <c r="AQ141" s="165">
        <v>-1614072</v>
      </c>
      <c r="AR141" s="165">
        <v>-1614072</v>
      </c>
      <c r="AS141" s="165">
        <v>-1614072</v>
      </c>
      <c r="AT141" s="165">
        <v>-1614072</v>
      </c>
      <c r="AU141" s="165">
        <v>-1614072</v>
      </c>
      <c r="AV141" s="165">
        <v>-1614072</v>
      </c>
      <c r="AW141" s="165">
        <v>-1614072</v>
      </c>
      <c r="AX141" s="165">
        <v>-1614072</v>
      </c>
      <c r="AY141" s="165">
        <v>-1614072</v>
      </c>
    </row>
    <row r="142" spans="1:51" ht="12.75" x14ac:dyDescent="0.2">
      <c r="A142" s="23" t="s">
        <v>382</v>
      </c>
      <c r="B142" s="221"/>
      <c r="D142" s="115">
        <v>-87851</v>
      </c>
      <c r="E142" s="115">
        <v>-175975</v>
      </c>
      <c r="F142" s="115">
        <v>-278931</v>
      </c>
      <c r="G142" s="115">
        <v>-373526</v>
      </c>
      <c r="H142" s="115">
        <v>-455591</v>
      </c>
      <c r="I142" s="115">
        <v>-533723</v>
      </c>
      <c r="J142" s="115">
        <v>-627768</v>
      </c>
      <c r="K142" s="115">
        <v>-717534</v>
      </c>
      <c r="L142" s="115">
        <v>-831979</v>
      </c>
      <c r="M142" s="115">
        <v>-963860</v>
      </c>
      <c r="N142" s="115">
        <v>-1104457</v>
      </c>
      <c r="O142" s="115">
        <v>-1281651</v>
      </c>
      <c r="P142" s="115">
        <v>-169010</v>
      </c>
      <c r="Q142" s="115">
        <v>-349902</v>
      </c>
      <c r="R142" s="115">
        <v>-524765</v>
      </c>
      <c r="S142" s="115">
        <v>-643877</v>
      </c>
      <c r="T142" s="115">
        <v>-785326</v>
      </c>
      <c r="U142" s="115">
        <v>-896753</v>
      </c>
      <c r="V142" s="115">
        <v>-987697</v>
      </c>
      <c r="W142" s="115">
        <v>-1058160</v>
      </c>
      <c r="X142" s="115">
        <v>-1108179</v>
      </c>
      <c r="Y142" s="115">
        <v>-1154198.2485575108</v>
      </c>
      <c r="Z142" s="115">
        <v>-1230555.4048318928</v>
      </c>
      <c r="AA142" s="115">
        <v>-1307824.5466712413</v>
      </c>
      <c r="AB142" s="115">
        <v>-1384956.7498612246</v>
      </c>
      <c r="AC142" s="115">
        <v>-1442518.3549643052</v>
      </c>
      <c r="AD142" s="115">
        <v>-1500501.1778624123</v>
      </c>
      <c r="AE142" s="115">
        <v>-1582884.374473596</v>
      </c>
      <c r="AF142" s="115">
        <v>-1646489.3788911854</v>
      </c>
      <c r="AG142" s="115">
        <v>-1689686.0302871626</v>
      </c>
      <c r="AH142" s="115">
        <v>-1712790.4638003791</v>
      </c>
      <c r="AI142" s="115">
        <v>-1716085.9740017939</v>
      </c>
      <c r="AJ142" s="115">
        <v>-1699855.4290599192</v>
      </c>
      <c r="AK142" s="115">
        <v>-1664382.3011925672</v>
      </c>
      <c r="AL142" s="115">
        <v>-1609939.0725813971</v>
      </c>
      <c r="AM142" s="115">
        <v>-1536794.8963561743</v>
      </c>
      <c r="AN142" s="115">
        <v>-1443332.1221963488</v>
      </c>
      <c r="AO142" s="115">
        <v>-1329839.4154735133</v>
      </c>
      <c r="AP142" s="115">
        <v>-1196600.5121171032</v>
      </c>
      <c r="AQ142" s="115">
        <v>-1043893.860164398</v>
      </c>
      <c r="AR142" s="115">
        <v>-871992.47815530549</v>
      </c>
      <c r="AS142" s="115">
        <v>-681164.37307553308</v>
      </c>
      <c r="AT142" s="115">
        <v>-469790.02888159768</v>
      </c>
      <c r="AU142" s="115">
        <v>-238157.3507806008</v>
      </c>
      <c r="AV142" s="115">
        <v>13451.139835833339</v>
      </c>
      <c r="AW142" s="115">
        <v>284758.23630971077</v>
      </c>
      <c r="AX142" s="115">
        <v>575491.94489096606</v>
      </c>
      <c r="AY142" s="115">
        <v>887267.85235715366</v>
      </c>
    </row>
    <row r="143" spans="1:51" ht="12.75" x14ac:dyDescent="0.2">
      <c r="A143" s="60" t="s">
        <v>383</v>
      </c>
      <c r="B143" s="238"/>
      <c r="C143" s="212"/>
      <c r="D143" s="213">
        <v>-87851</v>
      </c>
      <c r="E143" s="213">
        <v>-175975</v>
      </c>
      <c r="F143" s="213">
        <v>-278931</v>
      </c>
      <c r="G143" s="213">
        <v>-373526</v>
      </c>
      <c r="H143" s="213">
        <v>-455591</v>
      </c>
      <c r="I143" s="213">
        <v>-533723</v>
      </c>
      <c r="J143" s="213">
        <v>-627768</v>
      </c>
      <c r="K143" s="213">
        <v>-717534</v>
      </c>
      <c r="L143" s="213">
        <v>-831979</v>
      </c>
      <c r="M143" s="213">
        <v>-963860</v>
      </c>
      <c r="N143" s="213">
        <v>-1104457</v>
      </c>
      <c r="O143" s="213">
        <v>-1281651</v>
      </c>
      <c r="P143" s="213">
        <v>-1450661</v>
      </c>
      <c r="Q143" s="213">
        <v>-1631553</v>
      </c>
      <c r="R143" s="213">
        <v>-1806416</v>
      </c>
      <c r="S143" s="213">
        <v>-1925528</v>
      </c>
      <c r="T143" s="213">
        <v>-2066977</v>
      </c>
      <c r="U143" s="213">
        <v>-2178404</v>
      </c>
      <c r="V143" s="213">
        <v>-2269348</v>
      </c>
      <c r="W143" s="213">
        <v>-2339811</v>
      </c>
      <c r="X143" s="213">
        <v>-2389830</v>
      </c>
      <c r="Y143" s="226">
        <v>-2435849.2485575108</v>
      </c>
      <c r="Z143" s="226">
        <v>-2512206.4048318928</v>
      </c>
      <c r="AA143" s="226">
        <v>-2589475.5466712415</v>
      </c>
      <c r="AB143" s="226">
        <v>-2666607.7498612246</v>
      </c>
      <c r="AC143" s="226">
        <v>-2724169.3549643052</v>
      </c>
      <c r="AD143" s="226">
        <v>-2782152.1778624123</v>
      </c>
      <c r="AE143" s="226">
        <v>-2864535.374473596</v>
      </c>
      <c r="AF143" s="226">
        <v>-2928140.3788911854</v>
      </c>
      <c r="AG143" s="226">
        <v>-2971337.0302871624</v>
      </c>
      <c r="AH143" s="226">
        <v>-2994441.4638003791</v>
      </c>
      <c r="AI143" s="226">
        <v>-2997736.9740017941</v>
      </c>
      <c r="AJ143" s="226">
        <v>-2981506.429059919</v>
      </c>
      <c r="AK143" s="226">
        <v>-2946033.3011925672</v>
      </c>
      <c r="AL143" s="226">
        <v>-2891590.0725813974</v>
      </c>
      <c r="AM143" s="226">
        <v>-2818445.8963561743</v>
      </c>
      <c r="AN143" s="226">
        <v>-2724983.1221963488</v>
      </c>
      <c r="AO143" s="226">
        <v>-2611490.4154735133</v>
      </c>
      <c r="AP143" s="226">
        <v>-2478251.5121171032</v>
      </c>
      <c r="AQ143" s="226">
        <v>-2325544.8601643979</v>
      </c>
      <c r="AR143" s="226">
        <v>-2153643.4781553056</v>
      </c>
      <c r="AS143" s="226">
        <v>-1962815.3730755332</v>
      </c>
      <c r="AT143" s="226">
        <v>-1751441.0288815978</v>
      </c>
      <c r="AU143" s="226">
        <v>-1519808.3507806007</v>
      </c>
      <c r="AV143" s="226">
        <v>-1268199.8601641667</v>
      </c>
      <c r="AW143" s="226">
        <v>-996892.76369028923</v>
      </c>
      <c r="AX143" s="226">
        <v>-706159.05510903394</v>
      </c>
      <c r="AY143" s="226">
        <v>-394383.14764284634</v>
      </c>
    </row>
    <row r="144" spans="1:51" ht="12.75" x14ac:dyDescent="0.2">
      <c r="A144" s="69" t="s">
        <v>244</v>
      </c>
      <c r="B144" s="221"/>
      <c r="D144" s="115">
        <v>0</v>
      </c>
      <c r="E144" s="115">
        <v>0</v>
      </c>
      <c r="F144" s="115">
        <v>0</v>
      </c>
      <c r="G144" s="115">
        <v>0</v>
      </c>
      <c r="H144" s="115">
        <v>0</v>
      </c>
      <c r="I144" s="115">
        <v>0</v>
      </c>
      <c r="J144" s="115">
        <v>0</v>
      </c>
      <c r="K144" s="115">
        <v>0</v>
      </c>
      <c r="L144" s="115">
        <v>0</v>
      </c>
      <c r="M144" s="115">
        <v>0</v>
      </c>
      <c r="N144" s="115">
        <v>0</v>
      </c>
      <c r="O144" s="115">
        <v>0</v>
      </c>
      <c r="P144" s="115">
        <v>0</v>
      </c>
      <c r="Q144" s="115">
        <v>0</v>
      </c>
      <c r="R144" s="115">
        <v>0</v>
      </c>
      <c r="S144" s="115">
        <v>0</v>
      </c>
      <c r="T144" s="115">
        <v>0</v>
      </c>
      <c r="U144" s="115">
        <v>0</v>
      </c>
      <c r="V144" s="115">
        <v>0</v>
      </c>
      <c r="W144" s="115">
        <v>0</v>
      </c>
      <c r="X144" s="115">
        <v>0</v>
      </c>
    </row>
    <row r="145" spans="1:51" ht="12.75" x14ac:dyDescent="0.2">
      <c r="A145" s="60" t="s">
        <v>384</v>
      </c>
      <c r="B145" s="238"/>
      <c r="C145" s="212"/>
      <c r="D145" s="213">
        <v>962267</v>
      </c>
      <c r="E145" s="213">
        <v>971917</v>
      </c>
      <c r="F145" s="213">
        <v>868961</v>
      </c>
      <c r="G145" s="213">
        <v>774366</v>
      </c>
      <c r="H145" s="213">
        <v>692301</v>
      </c>
      <c r="I145" s="213">
        <v>614169</v>
      </c>
      <c r="J145" s="213">
        <v>520124</v>
      </c>
      <c r="K145" s="213">
        <v>430358</v>
      </c>
      <c r="L145" s="213">
        <v>315913</v>
      </c>
      <c r="M145" s="213">
        <v>784032</v>
      </c>
      <c r="N145" s="213">
        <v>643435</v>
      </c>
      <c r="O145" s="213">
        <v>466241</v>
      </c>
      <c r="P145" s="213">
        <v>797231</v>
      </c>
      <c r="Q145" s="213">
        <v>616339</v>
      </c>
      <c r="R145" s="213">
        <v>441476</v>
      </c>
      <c r="S145" s="213">
        <v>322364</v>
      </c>
      <c r="T145" s="213">
        <v>480915</v>
      </c>
      <c r="U145" s="213">
        <v>369488</v>
      </c>
      <c r="V145" s="213">
        <v>278544</v>
      </c>
      <c r="W145" s="213">
        <v>208081</v>
      </c>
      <c r="X145" s="213">
        <v>158062</v>
      </c>
      <c r="Y145" s="213">
        <v>145042.75144248921</v>
      </c>
      <c r="Z145" s="213">
        <v>131685.59516810719</v>
      </c>
      <c r="AA145" s="213">
        <v>144416.45332875848</v>
      </c>
      <c r="AB145" s="213">
        <v>181284.25013877545</v>
      </c>
      <c r="AC145" s="213">
        <v>258722.64503569482</v>
      </c>
      <c r="AD145" s="213">
        <v>320739.8221375877</v>
      </c>
      <c r="AE145" s="213">
        <v>343356.62552640401</v>
      </c>
      <c r="AF145" s="213">
        <v>369751.62110881461</v>
      </c>
      <c r="AG145" s="213">
        <v>412554.9697128376</v>
      </c>
      <c r="AH145" s="213">
        <v>459450.53619962092</v>
      </c>
      <c r="AI145" s="213">
        <v>510155.02599820588</v>
      </c>
      <c r="AJ145" s="213">
        <v>564385.57094008103</v>
      </c>
      <c r="AK145" s="213">
        <v>657858.69880743278</v>
      </c>
      <c r="AL145" s="213">
        <v>790301.92741860263</v>
      </c>
      <c r="AM145" s="213">
        <v>961446.10364382574</v>
      </c>
      <c r="AN145" s="213">
        <v>1183908.8778036512</v>
      </c>
      <c r="AO145" s="213">
        <v>1445401.5845264867</v>
      </c>
      <c r="AP145" s="213">
        <v>1709640.4878828968</v>
      </c>
      <c r="AQ145" s="213">
        <v>1976347.1398356021</v>
      </c>
      <c r="AR145" s="213">
        <v>2245248.5218446944</v>
      </c>
      <c r="AS145" s="213">
        <v>2528076.6269244668</v>
      </c>
      <c r="AT145" s="213">
        <v>2825450.9711184022</v>
      </c>
      <c r="AU145" s="213">
        <v>3125083.6492193993</v>
      </c>
      <c r="AV145" s="213">
        <v>3426692.1398358336</v>
      </c>
      <c r="AW145" s="213">
        <v>3765999.2363097109</v>
      </c>
      <c r="AX145" s="213">
        <v>4142732.9448909662</v>
      </c>
      <c r="AY145" s="213">
        <v>4569508.8523571538</v>
      </c>
    </row>
    <row r="146" spans="1:51" ht="12.75" x14ac:dyDescent="0.2">
      <c r="A146" s="69" t="s">
        <v>244</v>
      </c>
      <c r="B146" s="221"/>
      <c r="D146" s="115">
        <v>0</v>
      </c>
      <c r="E146" s="115">
        <v>0</v>
      </c>
      <c r="F146" s="115">
        <v>0</v>
      </c>
      <c r="G146" s="115">
        <v>0</v>
      </c>
      <c r="H146" s="115">
        <v>0</v>
      </c>
      <c r="I146" s="115">
        <v>0</v>
      </c>
      <c r="J146" s="115">
        <v>0</v>
      </c>
      <c r="K146" s="115">
        <v>0</v>
      </c>
      <c r="L146" s="115">
        <v>0</v>
      </c>
      <c r="M146" s="115">
        <v>0</v>
      </c>
      <c r="N146" s="115">
        <v>0</v>
      </c>
      <c r="O146" s="115">
        <v>0</v>
      </c>
      <c r="P146" s="115">
        <v>0</v>
      </c>
      <c r="Q146" s="115">
        <v>0</v>
      </c>
      <c r="R146" s="115">
        <v>0</v>
      </c>
      <c r="S146" s="115">
        <v>0</v>
      </c>
      <c r="T146" s="115">
        <v>0</v>
      </c>
      <c r="U146" s="115">
        <v>0</v>
      </c>
      <c r="V146" s="115">
        <v>0</v>
      </c>
      <c r="W146" s="115">
        <v>0</v>
      </c>
      <c r="X146" s="115">
        <v>0</v>
      </c>
    </row>
    <row r="147" spans="1:51" ht="12.75" x14ac:dyDescent="0.2">
      <c r="A147" s="69" t="s">
        <v>385</v>
      </c>
      <c r="B147" s="221"/>
      <c r="D147" s="115">
        <v>0</v>
      </c>
      <c r="E147" s="115">
        <v>0</v>
      </c>
      <c r="F147" s="115">
        <v>0</v>
      </c>
      <c r="G147" s="115">
        <v>0</v>
      </c>
      <c r="H147" s="115">
        <v>0</v>
      </c>
      <c r="I147" s="115">
        <v>0</v>
      </c>
      <c r="J147" s="115">
        <v>0</v>
      </c>
      <c r="K147" s="115">
        <v>0</v>
      </c>
      <c r="L147" s="115">
        <v>0</v>
      </c>
      <c r="M147" s="115">
        <v>0</v>
      </c>
      <c r="N147" s="115">
        <v>0</v>
      </c>
      <c r="O147" s="115">
        <v>0</v>
      </c>
      <c r="P147" s="115">
        <v>0</v>
      </c>
      <c r="Q147" s="115">
        <v>0</v>
      </c>
      <c r="R147" s="115">
        <v>0</v>
      </c>
      <c r="S147" s="115">
        <v>0</v>
      </c>
      <c r="T147" s="115">
        <v>0</v>
      </c>
      <c r="U147" s="115">
        <v>0</v>
      </c>
      <c r="V147" s="115">
        <v>0</v>
      </c>
      <c r="W147" s="115">
        <v>0</v>
      </c>
      <c r="X147" s="115">
        <v>0</v>
      </c>
      <c r="Y147" s="115">
        <v>0</v>
      </c>
      <c r="Z147" s="115">
        <v>0</v>
      </c>
      <c r="AA147" s="115">
        <v>0</v>
      </c>
      <c r="AB147" s="115">
        <v>0</v>
      </c>
      <c r="AC147" s="115">
        <v>0</v>
      </c>
      <c r="AD147" s="115">
        <v>0</v>
      </c>
      <c r="AE147" s="115">
        <v>0</v>
      </c>
      <c r="AF147" s="115">
        <v>0</v>
      </c>
      <c r="AG147" s="115">
        <v>0</v>
      </c>
      <c r="AH147" s="115">
        <v>0</v>
      </c>
      <c r="AI147" s="115">
        <v>0</v>
      </c>
      <c r="AJ147" s="115">
        <v>0</v>
      </c>
      <c r="AK147" s="115">
        <v>0</v>
      </c>
      <c r="AL147" s="115">
        <v>0</v>
      </c>
      <c r="AM147" s="115">
        <v>0</v>
      </c>
      <c r="AN147" s="115">
        <v>0</v>
      </c>
      <c r="AO147" s="115">
        <v>0</v>
      </c>
      <c r="AP147" s="115">
        <v>0</v>
      </c>
      <c r="AQ147" s="115">
        <v>0</v>
      </c>
      <c r="AR147" s="115">
        <v>0</v>
      </c>
      <c r="AS147" s="115">
        <v>0</v>
      </c>
      <c r="AT147" s="115">
        <v>0</v>
      </c>
      <c r="AU147" s="115">
        <v>0</v>
      </c>
      <c r="AV147" s="115">
        <v>0</v>
      </c>
      <c r="AW147" s="115">
        <v>0</v>
      </c>
      <c r="AX147" s="115">
        <v>0</v>
      </c>
      <c r="AY147" s="115">
        <v>0</v>
      </c>
    </row>
    <row r="148" spans="1:51" ht="12.75" x14ac:dyDescent="0.2">
      <c r="B148" s="221"/>
    </row>
    <row r="149" spans="1:51" ht="12.75" x14ac:dyDescent="0.2">
      <c r="A149" s="21" t="s">
        <v>386</v>
      </c>
      <c r="B149" s="221"/>
    </row>
    <row r="150" spans="1:51" ht="12.75" x14ac:dyDescent="0.2">
      <c r="A150" s="215" t="s">
        <v>387</v>
      </c>
      <c r="B150" s="221"/>
    </row>
    <row r="151" spans="1:51" ht="12.75" x14ac:dyDescent="0.2">
      <c r="A151" s="23" t="s">
        <v>388</v>
      </c>
      <c r="B151" s="221"/>
      <c r="D151" s="165">
        <v>-87851</v>
      </c>
      <c r="E151" s="165">
        <v>-88124</v>
      </c>
      <c r="F151" s="165">
        <v>-102956</v>
      </c>
      <c r="G151" s="165">
        <v>-94595</v>
      </c>
      <c r="H151" s="165">
        <v>-82065</v>
      </c>
      <c r="I151" s="165">
        <v>-78132</v>
      </c>
      <c r="J151" s="165">
        <v>-94045</v>
      </c>
      <c r="K151" s="165">
        <v>-89766</v>
      </c>
      <c r="L151" s="165">
        <v>-114445</v>
      </c>
      <c r="M151" s="165">
        <v>-131881</v>
      </c>
      <c r="N151" s="165">
        <v>-140597</v>
      </c>
      <c r="O151" s="165">
        <v>-177194</v>
      </c>
      <c r="P151" s="165">
        <v>-169010</v>
      </c>
      <c r="Q151" s="165">
        <v>-180892</v>
      </c>
      <c r="R151" s="165">
        <v>-174863</v>
      </c>
      <c r="S151" s="165">
        <v>-119112</v>
      </c>
      <c r="T151" s="165">
        <v>-141449</v>
      </c>
      <c r="U151" s="165">
        <v>-111427</v>
      </c>
      <c r="V151" s="165">
        <v>-90944</v>
      </c>
      <c r="W151" s="165">
        <v>-70463</v>
      </c>
      <c r="X151" s="165">
        <v>-50019</v>
      </c>
      <c r="Y151" s="165">
        <v>-46019.248557510669</v>
      </c>
      <c r="Z151" s="165">
        <v>-76357.156274382025</v>
      </c>
      <c r="AA151" s="165">
        <v>-77269.141839348478</v>
      </c>
      <c r="AB151" s="165">
        <v>-77132.203189983265</v>
      </c>
      <c r="AC151" s="165">
        <v>-57561.60510308051</v>
      </c>
      <c r="AD151" s="165">
        <v>-57982.822898107232</v>
      </c>
      <c r="AE151" s="165">
        <v>-82383.196611183579</v>
      </c>
      <c r="AF151" s="165">
        <v>-63605.004417589284</v>
      </c>
      <c r="AG151" s="165">
        <v>-43196.651395977242</v>
      </c>
      <c r="AH151" s="165">
        <v>-23104.433513216558</v>
      </c>
      <c r="AI151" s="165">
        <v>-3295.5102014148142</v>
      </c>
      <c r="AJ151" s="165">
        <v>16230.544941874687</v>
      </c>
      <c r="AK151" s="165">
        <v>35473.127867351985</v>
      </c>
      <c r="AL151" s="165">
        <v>54443.228611170081</v>
      </c>
      <c r="AM151" s="165">
        <v>73144.176225222996</v>
      </c>
      <c r="AN151" s="165">
        <v>93462.774159825523</v>
      </c>
      <c r="AO151" s="165">
        <v>113492.70672283554</v>
      </c>
      <c r="AP151" s="165">
        <v>133238.9033564101</v>
      </c>
      <c r="AQ151" s="165">
        <v>152706.65195270523</v>
      </c>
      <c r="AR151" s="165">
        <v>171901.38200909249</v>
      </c>
      <c r="AS151" s="165">
        <v>190828.10507977242</v>
      </c>
      <c r="AT151" s="165">
        <v>211374.34419393539</v>
      </c>
      <c r="AU151" s="165">
        <v>231632.67810099688</v>
      </c>
      <c r="AV151" s="165">
        <v>251608.49061643414</v>
      </c>
      <c r="AW151" s="165">
        <v>271307.09647387743</v>
      </c>
      <c r="AX151" s="165">
        <v>290733.70858125528</v>
      </c>
      <c r="AY151" s="165">
        <v>311775.90746618761</v>
      </c>
    </row>
    <row r="152" spans="1:51" ht="12.75" x14ac:dyDescent="0.2">
      <c r="A152" s="23" t="s">
        <v>389</v>
      </c>
      <c r="B152" s="221"/>
    </row>
    <row r="153" spans="1:51" ht="12.75" x14ac:dyDescent="0.2">
      <c r="A153" s="23" t="s">
        <v>352</v>
      </c>
      <c r="B153" s="221"/>
      <c r="D153" s="165">
        <v>0</v>
      </c>
      <c r="E153" s="165">
        <v>0</v>
      </c>
      <c r="F153" s="165">
        <v>0</v>
      </c>
      <c r="G153" s="165">
        <v>0</v>
      </c>
      <c r="H153" s="165">
        <v>0</v>
      </c>
      <c r="I153" s="165">
        <v>0</v>
      </c>
      <c r="J153" s="165">
        <v>0</v>
      </c>
      <c r="K153" s="165">
        <v>0</v>
      </c>
      <c r="L153" s="165">
        <v>0</v>
      </c>
      <c r="M153" s="165">
        <v>0</v>
      </c>
      <c r="N153" s="165">
        <v>0</v>
      </c>
      <c r="O153" s="165">
        <v>0</v>
      </c>
      <c r="P153" s="165">
        <v>0</v>
      </c>
      <c r="Q153" s="165">
        <v>0</v>
      </c>
      <c r="R153" s="165">
        <v>0</v>
      </c>
      <c r="S153" s="165">
        <v>0</v>
      </c>
      <c r="T153" s="165">
        <v>0</v>
      </c>
      <c r="U153" s="165">
        <v>0</v>
      </c>
      <c r="V153" s="165">
        <v>0</v>
      </c>
      <c r="W153" s="165">
        <v>0</v>
      </c>
      <c r="X153" s="165">
        <v>0</v>
      </c>
      <c r="Y153" s="165">
        <v>0</v>
      </c>
      <c r="Z153" s="165">
        <v>0</v>
      </c>
      <c r="AA153" s="165">
        <v>0</v>
      </c>
      <c r="AB153" s="165">
        <v>0</v>
      </c>
      <c r="AC153" s="165">
        <v>0</v>
      </c>
      <c r="AD153" s="165">
        <v>0</v>
      </c>
      <c r="AE153" s="165">
        <v>0</v>
      </c>
      <c r="AF153" s="165">
        <v>0</v>
      </c>
      <c r="AG153" s="165">
        <v>0</v>
      </c>
      <c r="AH153" s="165">
        <v>0</v>
      </c>
      <c r="AI153" s="165">
        <v>0</v>
      </c>
      <c r="AJ153" s="165">
        <v>0</v>
      </c>
      <c r="AK153" s="165">
        <v>0</v>
      </c>
      <c r="AL153" s="165">
        <v>0</v>
      </c>
      <c r="AM153" s="165">
        <v>0</v>
      </c>
      <c r="AN153" s="165">
        <v>0</v>
      </c>
      <c r="AO153" s="165">
        <v>0</v>
      </c>
      <c r="AP153" s="165">
        <v>0</v>
      </c>
      <c r="AQ153" s="165">
        <v>0</v>
      </c>
      <c r="AR153" s="165">
        <v>0</v>
      </c>
      <c r="AS153" s="165">
        <v>0</v>
      </c>
      <c r="AT153" s="165">
        <v>0</v>
      </c>
      <c r="AU153" s="165">
        <v>0</v>
      </c>
      <c r="AV153" s="165">
        <v>0</v>
      </c>
      <c r="AW153" s="165">
        <v>0</v>
      </c>
      <c r="AX153" s="165">
        <v>0</v>
      </c>
      <c r="AY153" s="165">
        <v>0</v>
      </c>
    </row>
    <row r="154" spans="1:51" ht="12.75" x14ac:dyDescent="0.2">
      <c r="A154" s="23" t="s">
        <v>356</v>
      </c>
      <c r="B154" s="221"/>
      <c r="D154" s="165">
        <v>0</v>
      </c>
      <c r="E154" s="165">
        <v>0</v>
      </c>
      <c r="F154" s="165">
        <v>0</v>
      </c>
      <c r="G154" s="165">
        <v>0</v>
      </c>
      <c r="H154" s="165">
        <v>0</v>
      </c>
      <c r="I154" s="165">
        <v>0</v>
      </c>
      <c r="J154" s="165">
        <v>0</v>
      </c>
      <c r="K154" s="165">
        <v>0</v>
      </c>
      <c r="L154" s="165">
        <v>0</v>
      </c>
      <c r="M154" s="165">
        <v>0</v>
      </c>
      <c r="N154" s="165">
        <v>0</v>
      </c>
      <c r="O154" s="165">
        <v>0</v>
      </c>
      <c r="P154" s="165">
        <v>0</v>
      </c>
      <c r="Q154" s="165">
        <v>0</v>
      </c>
      <c r="R154" s="165">
        <v>0</v>
      </c>
      <c r="S154" s="165">
        <v>0</v>
      </c>
      <c r="T154" s="165">
        <v>0</v>
      </c>
      <c r="U154" s="165">
        <v>0</v>
      </c>
      <c r="V154" s="165">
        <v>0</v>
      </c>
      <c r="W154" s="165">
        <v>0</v>
      </c>
      <c r="X154" s="165">
        <v>0</v>
      </c>
      <c r="Y154" s="165">
        <v>0</v>
      </c>
      <c r="Z154" s="165">
        <v>0</v>
      </c>
      <c r="AA154" s="165">
        <v>0</v>
      </c>
      <c r="AB154" s="165">
        <v>0</v>
      </c>
      <c r="AC154" s="165">
        <v>0</v>
      </c>
      <c r="AD154" s="165">
        <v>0</v>
      </c>
      <c r="AE154" s="165">
        <v>0</v>
      </c>
      <c r="AF154" s="165">
        <v>0</v>
      </c>
      <c r="AG154" s="165">
        <v>0</v>
      </c>
      <c r="AH154" s="165">
        <v>0</v>
      </c>
      <c r="AI154" s="165">
        <v>0</v>
      </c>
      <c r="AJ154" s="165">
        <v>0</v>
      </c>
      <c r="AK154" s="165">
        <v>0</v>
      </c>
      <c r="AL154" s="165">
        <v>0</v>
      </c>
      <c r="AM154" s="165">
        <v>0</v>
      </c>
      <c r="AN154" s="165">
        <v>0</v>
      </c>
      <c r="AO154" s="165">
        <v>0</v>
      </c>
      <c r="AP154" s="165">
        <v>0</v>
      </c>
      <c r="AQ154" s="165">
        <v>0</v>
      </c>
      <c r="AR154" s="165">
        <v>0</v>
      </c>
      <c r="AS154" s="165">
        <v>0</v>
      </c>
      <c r="AT154" s="165">
        <v>0</v>
      </c>
      <c r="AU154" s="165">
        <v>0</v>
      </c>
      <c r="AV154" s="165">
        <v>0</v>
      </c>
      <c r="AW154" s="165">
        <v>0</v>
      </c>
      <c r="AX154" s="165">
        <v>0</v>
      </c>
      <c r="AY154" s="165">
        <v>0</v>
      </c>
    </row>
    <row r="155" spans="1:51" ht="12.75" x14ac:dyDescent="0.2">
      <c r="A155" s="23" t="s">
        <v>390</v>
      </c>
      <c r="B155" s="221"/>
      <c r="D155" s="165">
        <v>357</v>
      </c>
      <c r="E155" s="165">
        <v>-2113</v>
      </c>
      <c r="F155" s="165">
        <v>0</v>
      </c>
      <c r="G155" s="165">
        <v>0</v>
      </c>
      <c r="H155" s="165">
        <v>0</v>
      </c>
      <c r="I155" s="165">
        <v>0</v>
      </c>
      <c r="J155" s="165">
        <v>0</v>
      </c>
      <c r="K155" s="165">
        <v>0</v>
      </c>
      <c r="L155" s="165">
        <v>0</v>
      </c>
      <c r="M155" s="165">
        <v>0</v>
      </c>
      <c r="N155" s="165">
        <v>0</v>
      </c>
      <c r="O155" s="165">
        <v>0</v>
      </c>
      <c r="P155" s="165">
        <v>0</v>
      </c>
      <c r="Q155" s="165">
        <v>0</v>
      </c>
      <c r="R155" s="165">
        <v>0</v>
      </c>
      <c r="S155" s="165">
        <v>0</v>
      </c>
      <c r="T155" s="165">
        <v>0</v>
      </c>
      <c r="U155" s="165">
        <v>0</v>
      </c>
      <c r="V155" s="165">
        <v>0</v>
      </c>
      <c r="W155" s="165">
        <v>0</v>
      </c>
      <c r="X155" s="165">
        <v>0</v>
      </c>
      <c r="Y155" s="165">
        <v>0</v>
      </c>
      <c r="Z155" s="165">
        <v>0</v>
      </c>
      <c r="AA155" s="165">
        <v>0</v>
      </c>
      <c r="AB155" s="165">
        <v>0</v>
      </c>
      <c r="AC155" s="165">
        <v>0</v>
      </c>
      <c r="AD155" s="165">
        <v>0</v>
      </c>
      <c r="AE155" s="165">
        <v>0</v>
      </c>
      <c r="AF155" s="165">
        <v>0</v>
      </c>
      <c r="AG155" s="165">
        <v>0</v>
      </c>
      <c r="AH155" s="165">
        <v>0</v>
      </c>
      <c r="AI155" s="165">
        <v>0</v>
      </c>
      <c r="AJ155" s="165">
        <v>0</v>
      </c>
      <c r="AK155" s="165">
        <v>0</v>
      </c>
      <c r="AL155" s="165">
        <v>0</v>
      </c>
      <c r="AM155" s="165">
        <v>0</v>
      </c>
      <c r="AN155" s="165">
        <v>0</v>
      </c>
      <c r="AO155" s="165">
        <v>0</v>
      </c>
      <c r="AP155" s="165">
        <v>0</v>
      </c>
      <c r="AQ155" s="165">
        <v>0</v>
      </c>
      <c r="AR155" s="165">
        <v>0</v>
      </c>
      <c r="AS155" s="165">
        <v>0</v>
      </c>
      <c r="AT155" s="165">
        <v>0</v>
      </c>
      <c r="AU155" s="165">
        <v>0</v>
      </c>
      <c r="AV155" s="165">
        <v>0</v>
      </c>
      <c r="AW155" s="165">
        <v>0</v>
      </c>
      <c r="AX155" s="165">
        <v>0</v>
      </c>
      <c r="AY155" s="165">
        <v>0</v>
      </c>
    </row>
    <row r="156" spans="1:51" ht="12.75" x14ac:dyDescent="0.2">
      <c r="A156" s="23" t="s">
        <v>391</v>
      </c>
      <c r="B156" s="221"/>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v>33000</v>
      </c>
      <c r="Z156" s="165">
        <v>63000</v>
      </c>
      <c r="AA156" s="165">
        <v>90000</v>
      </c>
      <c r="AB156" s="165">
        <v>114000</v>
      </c>
      <c r="AC156" s="165">
        <v>135000</v>
      </c>
      <c r="AD156" s="165">
        <v>120000</v>
      </c>
      <c r="AE156" s="165">
        <v>105000</v>
      </c>
      <c r="AF156" s="165">
        <v>90000</v>
      </c>
      <c r="AG156" s="165">
        <v>86000</v>
      </c>
      <c r="AH156" s="165">
        <v>70000</v>
      </c>
      <c r="AI156" s="165">
        <v>54000</v>
      </c>
      <c r="AJ156" s="165">
        <v>38000</v>
      </c>
      <c r="AK156" s="165">
        <v>58000</v>
      </c>
      <c r="AL156" s="165">
        <v>78000</v>
      </c>
      <c r="AM156" s="165">
        <v>98000</v>
      </c>
      <c r="AN156" s="165">
        <v>129000</v>
      </c>
      <c r="AO156" s="165">
        <v>148000</v>
      </c>
      <c r="AP156" s="165">
        <v>131000</v>
      </c>
      <c r="AQ156" s="165">
        <v>114000</v>
      </c>
      <c r="AR156" s="165">
        <v>97000</v>
      </c>
      <c r="AS156" s="165">
        <v>92000</v>
      </c>
      <c r="AT156" s="165">
        <v>86000</v>
      </c>
      <c r="AU156" s="165">
        <v>68000</v>
      </c>
      <c r="AV156" s="165">
        <v>50000</v>
      </c>
      <c r="AW156" s="165">
        <v>68000</v>
      </c>
      <c r="AX156" s="165">
        <v>86000</v>
      </c>
      <c r="AY156" s="165">
        <v>115000</v>
      </c>
    </row>
    <row r="157" spans="1:51" ht="12.75" x14ac:dyDescent="0.2">
      <c r="A157" s="23" t="s">
        <v>392</v>
      </c>
      <c r="B157" s="221"/>
      <c r="D157" s="165">
        <v>-239</v>
      </c>
      <c r="E157" s="165">
        <v>-113</v>
      </c>
      <c r="F157" s="165">
        <v>0</v>
      </c>
      <c r="G157" s="165">
        <v>0</v>
      </c>
      <c r="H157" s="165">
        <v>0</v>
      </c>
      <c r="I157" s="165">
        <v>0</v>
      </c>
      <c r="J157" s="165">
        <v>0</v>
      </c>
      <c r="K157" s="165">
        <v>0</v>
      </c>
      <c r="L157" s="165">
        <v>0</v>
      </c>
      <c r="M157" s="165">
        <v>0</v>
      </c>
      <c r="N157" s="165">
        <v>0</v>
      </c>
      <c r="O157" s="165">
        <v>0</v>
      </c>
      <c r="P157" s="165">
        <v>0</v>
      </c>
      <c r="Q157" s="165">
        <v>0</v>
      </c>
      <c r="R157" s="165">
        <v>0</v>
      </c>
      <c r="S157" s="165">
        <v>0</v>
      </c>
      <c r="T157" s="165">
        <v>0</v>
      </c>
      <c r="U157" s="165">
        <v>0</v>
      </c>
      <c r="V157" s="165">
        <v>0</v>
      </c>
      <c r="W157" s="165">
        <v>0</v>
      </c>
      <c r="X157" s="165">
        <v>0</v>
      </c>
      <c r="Y157" s="165">
        <v>0</v>
      </c>
      <c r="Z157" s="165">
        <v>0</v>
      </c>
      <c r="AA157" s="165">
        <v>0</v>
      </c>
      <c r="AB157" s="165">
        <v>0</v>
      </c>
      <c r="AC157" s="165">
        <v>0</v>
      </c>
      <c r="AD157" s="165">
        <v>0</v>
      </c>
      <c r="AE157" s="165">
        <v>0</v>
      </c>
      <c r="AF157" s="165">
        <v>0</v>
      </c>
      <c r="AG157" s="165">
        <v>0</v>
      </c>
      <c r="AH157" s="165">
        <v>0</v>
      </c>
      <c r="AI157" s="165">
        <v>0</v>
      </c>
      <c r="AJ157" s="165">
        <v>0</v>
      </c>
      <c r="AK157" s="165">
        <v>0</v>
      </c>
      <c r="AL157" s="165">
        <v>0</v>
      </c>
      <c r="AM157" s="165">
        <v>0</v>
      </c>
      <c r="AN157" s="165">
        <v>0</v>
      </c>
      <c r="AO157" s="165">
        <v>0</v>
      </c>
      <c r="AP157" s="165">
        <v>0</v>
      </c>
      <c r="AQ157" s="165">
        <v>0</v>
      </c>
      <c r="AR157" s="165">
        <v>0</v>
      </c>
      <c r="AS157" s="165">
        <v>0</v>
      </c>
      <c r="AT157" s="165">
        <v>0</v>
      </c>
      <c r="AU157" s="165">
        <v>0</v>
      </c>
      <c r="AV157" s="165">
        <v>0</v>
      </c>
      <c r="AW157" s="165">
        <v>0</v>
      </c>
      <c r="AX157" s="165">
        <v>0</v>
      </c>
      <c r="AY157" s="165">
        <v>0</v>
      </c>
    </row>
    <row r="158" spans="1:51" ht="12.75" x14ac:dyDescent="0.2">
      <c r="A158" s="60" t="s">
        <v>393</v>
      </c>
      <c r="B158" s="238"/>
      <c r="C158" s="212"/>
      <c r="D158" s="213">
        <v>118</v>
      </c>
      <c r="E158" s="213">
        <v>-2226</v>
      </c>
      <c r="F158" s="213">
        <v>0</v>
      </c>
      <c r="G158" s="213">
        <v>0</v>
      </c>
      <c r="H158" s="213">
        <v>0</v>
      </c>
      <c r="I158" s="213">
        <v>0</v>
      </c>
      <c r="J158" s="213">
        <v>0</v>
      </c>
      <c r="K158" s="213">
        <v>0</v>
      </c>
      <c r="L158" s="213">
        <v>0</v>
      </c>
      <c r="M158" s="213">
        <v>0</v>
      </c>
      <c r="N158" s="213">
        <v>0</v>
      </c>
      <c r="O158" s="213">
        <v>0</v>
      </c>
      <c r="P158" s="213">
        <v>0</v>
      </c>
      <c r="Q158" s="213">
        <v>0</v>
      </c>
      <c r="R158" s="213">
        <v>0</v>
      </c>
      <c r="S158" s="213">
        <v>0</v>
      </c>
      <c r="T158" s="213">
        <v>0</v>
      </c>
      <c r="U158" s="213">
        <v>0</v>
      </c>
      <c r="V158" s="213">
        <v>0</v>
      </c>
      <c r="W158" s="213">
        <v>0</v>
      </c>
      <c r="X158" s="213">
        <v>0</v>
      </c>
      <c r="Y158" s="213">
        <v>33000</v>
      </c>
      <c r="Z158" s="213">
        <v>63000</v>
      </c>
      <c r="AA158" s="213">
        <v>90000</v>
      </c>
      <c r="AB158" s="213">
        <v>114000</v>
      </c>
      <c r="AC158" s="213">
        <v>135000</v>
      </c>
      <c r="AD158" s="213">
        <v>120000</v>
      </c>
      <c r="AE158" s="213">
        <v>105000</v>
      </c>
      <c r="AF158" s="213">
        <v>90000</v>
      </c>
      <c r="AG158" s="213">
        <v>86000</v>
      </c>
      <c r="AH158" s="213">
        <v>70000</v>
      </c>
      <c r="AI158" s="213">
        <v>54000</v>
      </c>
      <c r="AJ158" s="213">
        <v>38000</v>
      </c>
      <c r="AK158" s="213">
        <v>58000</v>
      </c>
      <c r="AL158" s="213">
        <v>78000</v>
      </c>
      <c r="AM158" s="213">
        <v>98000</v>
      </c>
      <c r="AN158" s="213">
        <v>129000</v>
      </c>
      <c r="AO158" s="213">
        <v>148000</v>
      </c>
      <c r="AP158" s="213">
        <v>131000</v>
      </c>
      <c r="AQ158" s="213">
        <v>114000</v>
      </c>
      <c r="AR158" s="213">
        <v>97000</v>
      </c>
      <c r="AS158" s="213">
        <v>92000</v>
      </c>
      <c r="AT158" s="213">
        <v>86000</v>
      </c>
      <c r="AU158" s="213">
        <v>68000</v>
      </c>
      <c r="AV158" s="213">
        <v>50000</v>
      </c>
      <c r="AW158" s="213">
        <v>68000</v>
      </c>
      <c r="AX158" s="213">
        <v>86000</v>
      </c>
      <c r="AY158" s="213">
        <v>115000</v>
      </c>
    </row>
    <row r="159" spans="1:51" ht="12.75" x14ac:dyDescent="0.2">
      <c r="A159" s="256" t="s">
        <v>394</v>
      </c>
      <c r="B159" s="238"/>
      <c r="C159" s="212"/>
      <c r="D159" s="213">
        <v>-87733</v>
      </c>
      <c r="E159" s="213">
        <v>-90350</v>
      </c>
      <c r="F159" s="213">
        <v>-102956</v>
      </c>
      <c r="G159" s="213">
        <v>-94595</v>
      </c>
      <c r="H159" s="213">
        <v>-82065</v>
      </c>
      <c r="I159" s="213">
        <v>-78132</v>
      </c>
      <c r="J159" s="213">
        <v>-94045</v>
      </c>
      <c r="K159" s="213">
        <v>-89766</v>
      </c>
      <c r="L159" s="213">
        <v>-114445</v>
      </c>
      <c r="M159" s="213">
        <v>-131881</v>
      </c>
      <c r="N159" s="213">
        <v>-140597</v>
      </c>
      <c r="O159" s="213">
        <v>-177194</v>
      </c>
      <c r="P159" s="213">
        <v>-169010</v>
      </c>
      <c r="Q159" s="213">
        <v>-180892</v>
      </c>
      <c r="R159" s="213">
        <v>-174863</v>
      </c>
      <c r="S159" s="213">
        <v>-119112</v>
      </c>
      <c r="T159" s="213">
        <v>-141449</v>
      </c>
      <c r="U159" s="213">
        <v>-111427</v>
      </c>
      <c r="V159" s="213">
        <v>-90944</v>
      </c>
      <c r="W159" s="213">
        <v>-70463</v>
      </c>
      <c r="X159" s="213">
        <v>-50019</v>
      </c>
      <c r="Y159" s="213">
        <v>-13019.248557510669</v>
      </c>
      <c r="Z159" s="213">
        <v>-13357.156274382025</v>
      </c>
      <c r="AA159" s="213">
        <v>12730.858160651522</v>
      </c>
      <c r="AB159" s="213">
        <v>36867.796810016735</v>
      </c>
      <c r="AC159" s="213">
        <v>77438.39489691949</v>
      </c>
      <c r="AD159" s="213">
        <v>62017.177101892768</v>
      </c>
      <c r="AE159" s="213">
        <v>22616.803388816421</v>
      </c>
      <c r="AF159" s="213">
        <v>26394.995582410716</v>
      </c>
      <c r="AG159" s="213">
        <v>42803.348604022758</v>
      </c>
      <c r="AH159" s="213">
        <v>46895.566486783442</v>
      </c>
      <c r="AI159" s="213">
        <v>50704.489798585186</v>
      </c>
      <c r="AJ159" s="213">
        <v>54230.544941874687</v>
      </c>
      <c r="AK159" s="213">
        <v>93473.127867351985</v>
      </c>
      <c r="AL159" s="213">
        <v>132443.22861117008</v>
      </c>
      <c r="AM159" s="213">
        <v>171144.176225223</v>
      </c>
      <c r="AN159" s="213">
        <v>222462.77415982552</v>
      </c>
      <c r="AO159" s="213">
        <v>261492.70672283554</v>
      </c>
      <c r="AP159" s="213">
        <v>264238.9033564101</v>
      </c>
      <c r="AQ159" s="213">
        <v>266706.65195270523</v>
      </c>
      <c r="AR159" s="213">
        <v>268901.38200909249</v>
      </c>
      <c r="AS159" s="213">
        <v>282828.10507977242</v>
      </c>
      <c r="AT159" s="213">
        <v>297374.34419393539</v>
      </c>
      <c r="AU159" s="213">
        <v>299632.67810099688</v>
      </c>
      <c r="AV159" s="213">
        <v>301608.49061643414</v>
      </c>
      <c r="AW159" s="213">
        <v>339307.09647387743</v>
      </c>
      <c r="AX159" s="213">
        <v>376733.70858125528</v>
      </c>
      <c r="AY159" s="213">
        <v>426775.90746618761</v>
      </c>
    </row>
    <row r="160" spans="1:51" ht="12.75" x14ac:dyDescent="0.2">
      <c r="A160" s="69" t="s">
        <v>244</v>
      </c>
      <c r="B160" s="221"/>
      <c r="D160" s="115">
        <v>0</v>
      </c>
      <c r="E160" s="115">
        <v>0</v>
      </c>
      <c r="F160" s="115">
        <v>0</v>
      </c>
      <c r="G160" s="115">
        <v>0</v>
      </c>
      <c r="H160" s="115">
        <v>0</v>
      </c>
      <c r="I160" s="115">
        <v>0</v>
      </c>
      <c r="J160" s="115">
        <v>0</v>
      </c>
      <c r="K160" s="115">
        <v>0</v>
      </c>
      <c r="L160" s="115">
        <v>0</v>
      </c>
      <c r="M160" s="115">
        <v>0</v>
      </c>
      <c r="N160" s="115">
        <v>0</v>
      </c>
      <c r="O160" s="115">
        <v>0</v>
      </c>
      <c r="P160" s="115">
        <v>0</v>
      </c>
      <c r="Q160" s="115">
        <v>0</v>
      </c>
      <c r="R160" s="115">
        <v>0</v>
      </c>
      <c r="S160" s="115">
        <v>0</v>
      </c>
      <c r="T160" s="115">
        <v>0</v>
      </c>
      <c r="U160" s="115">
        <v>0</v>
      </c>
      <c r="V160" s="115">
        <v>0</v>
      </c>
      <c r="W160" s="115">
        <v>0</v>
      </c>
      <c r="X160" s="115">
        <v>0</v>
      </c>
    </row>
    <row r="161" spans="1:51" ht="12.75" x14ac:dyDescent="0.2">
      <c r="A161" s="215" t="s">
        <v>395</v>
      </c>
      <c r="B161" s="221"/>
    </row>
    <row r="162" spans="1:51" ht="12.75" x14ac:dyDescent="0.2">
      <c r="A162" s="23" t="s">
        <v>396</v>
      </c>
      <c r="B162" s="221"/>
      <c r="D162" s="165">
        <v>0</v>
      </c>
      <c r="E162" s="165">
        <v>0</v>
      </c>
      <c r="F162" s="165">
        <v>0</v>
      </c>
      <c r="G162" s="165">
        <v>0</v>
      </c>
      <c r="H162" s="165">
        <v>0</v>
      </c>
      <c r="I162" s="165">
        <v>0</v>
      </c>
      <c r="J162" s="165">
        <v>0</v>
      </c>
      <c r="K162" s="165">
        <v>0</v>
      </c>
      <c r="L162" s="165">
        <v>0</v>
      </c>
      <c r="M162" s="165">
        <v>0</v>
      </c>
      <c r="N162" s="165">
        <v>0</v>
      </c>
      <c r="O162" s="165">
        <v>0</v>
      </c>
      <c r="P162" s="165">
        <v>0</v>
      </c>
      <c r="Q162" s="165">
        <v>0</v>
      </c>
      <c r="R162" s="165">
        <v>0</v>
      </c>
      <c r="S162" s="165">
        <v>0</v>
      </c>
      <c r="T162" s="165">
        <v>0</v>
      </c>
      <c r="U162" s="165">
        <v>0</v>
      </c>
      <c r="V162" s="165">
        <v>0</v>
      </c>
      <c r="W162" s="165">
        <v>0</v>
      </c>
      <c r="X162" s="165">
        <v>0</v>
      </c>
      <c r="Y162" s="165">
        <v>0</v>
      </c>
      <c r="Z162" s="165">
        <v>0</v>
      </c>
      <c r="AA162" s="165">
        <v>0</v>
      </c>
      <c r="AB162" s="165">
        <v>0</v>
      </c>
      <c r="AC162" s="165">
        <v>0</v>
      </c>
      <c r="AD162" s="165">
        <v>0</v>
      </c>
      <c r="AE162" s="165">
        <v>0</v>
      </c>
      <c r="AF162" s="165">
        <v>0</v>
      </c>
      <c r="AG162" s="165">
        <v>0</v>
      </c>
      <c r="AH162" s="165">
        <v>0</v>
      </c>
      <c r="AI162" s="165">
        <v>0</v>
      </c>
      <c r="AJ162" s="165">
        <v>0</v>
      </c>
      <c r="AK162" s="165">
        <v>0</v>
      </c>
      <c r="AL162" s="165">
        <v>0</v>
      </c>
      <c r="AM162" s="165">
        <v>0</v>
      </c>
      <c r="AN162" s="165">
        <v>0</v>
      </c>
      <c r="AO162" s="165">
        <v>0</v>
      </c>
      <c r="AP162" s="165">
        <v>0</v>
      </c>
      <c r="AQ162" s="165">
        <v>0</v>
      </c>
      <c r="AR162" s="165">
        <v>0</v>
      </c>
      <c r="AS162" s="165">
        <v>0</v>
      </c>
      <c r="AT162" s="165">
        <v>0</v>
      </c>
      <c r="AU162" s="165">
        <v>0</v>
      </c>
      <c r="AV162" s="165">
        <v>0</v>
      </c>
      <c r="AW162" s="165">
        <v>0</v>
      </c>
      <c r="AX162" s="165">
        <v>0</v>
      </c>
      <c r="AY162" s="165">
        <v>0</v>
      </c>
    </row>
    <row r="163" spans="1:51" ht="12.75" x14ac:dyDescent="0.2">
      <c r="A163" s="23" t="s">
        <v>397</v>
      </c>
      <c r="B163" s="221"/>
      <c r="D163" s="165">
        <v>0</v>
      </c>
      <c r="E163" s="165">
        <v>0</v>
      </c>
      <c r="F163" s="165">
        <v>0</v>
      </c>
      <c r="G163" s="165">
        <v>0</v>
      </c>
      <c r="H163" s="165">
        <v>0</v>
      </c>
      <c r="I163" s="165">
        <v>0</v>
      </c>
      <c r="J163" s="165">
        <v>0</v>
      </c>
      <c r="K163" s="165">
        <v>0</v>
      </c>
      <c r="L163" s="165">
        <v>0</v>
      </c>
      <c r="M163" s="165">
        <v>0</v>
      </c>
      <c r="N163" s="165">
        <v>0</v>
      </c>
      <c r="O163" s="165">
        <v>0</v>
      </c>
      <c r="P163" s="165">
        <v>0</v>
      </c>
      <c r="Q163" s="165">
        <v>0</v>
      </c>
      <c r="R163" s="165">
        <v>0</v>
      </c>
      <c r="S163" s="165">
        <v>0</v>
      </c>
      <c r="T163" s="165">
        <v>0</v>
      </c>
      <c r="U163" s="165">
        <v>0</v>
      </c>
      <c r="V163" s="165">
        <v>0</v>
      </c>
      <c r="W163" s="165">
        <v>0</v>
      </c>
      <c r="X163" s="165">
        <v>0</v>
      </c>
      <c r="Y163" s="165">
        <v>0</v>
      </c>
      <c r="Z163" s="165">
        <v>0</v>
      </c>
      <c r="AA163" s="165">
        <v>0</v>
      </c>
      <c r="AB163" s="165">
        <v>0</v>
      </c>
      <c r="AC163" s="165">
        <v>0</v>
      </c>
      <c r="AD163" s="165">
        <v>-100000</v>
      </c>
      <c r="AE163" s="165">
        <v>0</v>
      </c>
      <c r="AF163" s="165">
        <v>0</v>
      </c>
      <c r="AG163" s="165">
        <v>0</v>
      </c>
      <c r="AH163" s="165">
        <v>0</v>
      </c>
      <c r="AI163" s="165">
        <v>0</v>
      </c>
      <c r="AJ163" s="165">
        <v>0</v>
      </c>
      <c r="AK163" s="165">
        <v>0</v>
      </c>
      <c r="AL163" s="165">
        <v>0</v>
      </c>
      <c r="AM163" s="165">
        <v>0</v>
      </c>
      <c r="AN163" s="165">
        <v>0</v>
      </c>
      <c r="AO163" s="165">
        <v>0</v>
      </c>
      <c r="AP163" s="165">
        <v>0</v>
      </c>
      <c r="AQ163" s="165">
        <v>0</v>
      </c>
      <c r="AR163" s="165">
        <v>0</v>
      </c>
      <c r="AS163" s="165">
        <v>0</v>
      </c>
      <c r="AT163" s="165">
        <v>0</v>
      </c>
      <c r="AU163" s="165">
        <v>0</v>
      </c>
      <c r="AV163" s="165">
        <v>0</v>
      </c>
      <c r="AW163" s="165">
        <v>0</v>
      </c>
      <c r="AX163" s="165">
        <v>0</v>
      </c>
      <c r="AY163" s="165">
        <v>0</v>
      </c>
    </row>
    <row r="164" spans="1:51" ht="12.75" x14ac:dyDescent="0.2">
      <c r="A164" s="23" t="s">
        <v>398</v>
      </c>
      <c r="B164" s="221"/>
      <c r="D164" s="165">
        <v>0</v>
      </c>
      <c r="E164" s="165">
        <v>0</v>
      </c>
      <c r="F164" s="165">
        <v>0</v>
      </c>
      <c r="G164" s="165">
        <v>0</v>
      </c>
      <c r="H164" s="165">
        <v>0</v>
      </c>
      <c r="I164" s="165">
        <v>0</v>
      </c>
      <c r="J164" s="165">
        <v>0</v>
      </c>
      <c r="K164" s="165">
        <v>0</v>
      </c>
      <c r="L164" s="165">
        <v>0</v>
      </c>
      <c r="M164" s="165">
        <v>0</v>
      </c>
      <c r="N164" s="165">
        <v>0</v>
      </c>
      <c r="O164" s="165">
        <v>0</v>
      </c>
      <c r="P164" s="165">
        <v>0</v>
      </c>
      <c r="Q164" s="165">
        <v>0</v>
      </c>
      <c r="R164" s="165">
        <v>0</v>
      </c>
      <c r="S164" s="165">
        <v>0</v>
      </c>
      <c r="T164" s="165">
        <v>0</v>
      </c>
      <c r="U164" s="165">
        <v>0</v>
      </c>
      <c r="V164" s="165">
        <v>0</v>
      </c>
      <c r="W164" s="165">
        <v>0</v>
      </c>
      <c r="X164" s="165">
        <v>0</v>
      </c>
      <c r="Y164" s="165">
        <v>0</v>
      </c>
      <c r="Z164" s="165">
        <v>0</v>
      </c>
      <c r="AA164" s="165">
        <v>0</v>
      </c>
      <c r="AB164" s="165">
        <v>0</v>
      </c>
      <c r="AC164" s="165">
        <v>0</v>
      </c>
      <c r="AD164" s="165">
        <v>0</v>
      </c>
      <c r="AE164" s="165">
        <v>0</v>
      </c>
      <c r="AF164" s="165">
        <v>0</v>
      </c>
      <c r="AG164" s="165">
        <v>0</v>
      </c>
      <c r="AH164" s="165">
        <v>0</v>
      </c>
      <c r="AI164" s="165">
        <v>0</v>
      </c>
      <c r="AJ164" s="165">
        <v>0</v>
      </c>
      <c r="AK164" s="165">
        <v>0</v>
      </c>
      <c r="AL164" s="165">
        <v>0</v>
      </c>
      <c r="AM164" s="165">
        <v>0</v>
      </c>
      <c r="AN164" s="165">
        <v>0</v>
      </c>
      <c r="AO164" s="165">
        <v>0</v>
      </c>
      <c r="AP164" s="165">
        <v>0</v>
      </c>
      <c r="AQ164" s="165">
        <v>0</v>
      </c>
      <c r="AR164" s="165">
        <v>0</v>
      </c>
      <c r="AS164" s="165">
        <v>0</v>
      </c>
      <c r="AT164" s="165">
        <v>0</v>
      </c>
      <c r="AU164" s="165">
        <v>0</v>
      </c>
      <c r="AV164" s="165">
        <v>0</v>
      </c>
      <c r="AW164" s="165">
        <v>0</v>
      </c>
      <c r="AX164" s="165">
        <v>0</v>
      </c>
      <c r="AY164" s="165">
        <v>0</v>
      </c>
    </row>
    <row r="165" spans="1:51" ht="12.75" x14ac:dyDescent="0.2">
      <c r="A165" s="256" t="s">
        <v>399</v>
      </c>
      <c r="B165" s="238"/>
      <c r="C165" s="212"/>
      <c r="D165" s="213">
        <v>0</v>
      </c>
      <c r="E165" s="213">
        <v>0</v>
      </c>
      <c r="F165" s="213">
        <v>0</v>
      </c>
      <c r="G165" s="213">
        <v>0</v>
      </c>
      <c r="H165" s="213">
        <v>0</v>
      </c>
      <c r="I165" s="213">
        <v>0</v>
      </c>
      <c r="J165" s="213">
        <v>0</v>
      </c>
      <c r="K165" s="213">
        <v>0</v>
      </c>
      <c r="L165" s="213">
        <v>0</v>
      </c>
      <c r="M165" s="213">
        <v>0</v>
      </c>
      <c r="N165" s="213">
        <v>0</v>
      </c>
      <c r="O165" s="213">
        <v>0</v>
      </c>
      <c r="P165" s="213">
        <v>0</v>
      </c>
      <c r="Q165" s="213">
        <v>0</v>
      </c>
      <c r="R165" s="213">
        <v>0</v>
      </c>
      <c r="S165" s="213">
        <v>0</v>
      </c>
      <c r="T165" s="213">
        <v>0</v>
      </c>
      <c r="U165" s="213">
        <v>0</v>
      </c>
      <c r="V165" s="213">
        <v>0</v>
      </c>
      <c r="W165" s="213">
        <v>0</v>
      </c>
      <c r="X165" s="213">
        <v>0</v>
      </c>
      <c r="Y165" s="213">
        <v>0</v>
      </c>
      <c r="Z165" s="213">
        <v>0</v>
      </c>
      <c r="AA165" s="213">
        <v>0</v>
      </c>
      <c r="AB165" s="213">
        <v>0</v>
      </c>
      <c r="AC165" s="213">
        <v>0</v>
      </c>
      <c r="AD165" s="213">
        <v>-100000</v>
      </c>
      <c r="AE165" s="213">
        <v>0</v>
      </c>
      <c r="AF165" s="213">
        <v>0</v>
      </c>
      <c r="AG165" s="213">
        <v>0</v>
      </c>
      <c r="AH165" s="213">
        <v>0</v>
      </c>
      <c r="AI165" s="213">
        <v>0</v>
      </c>
      <c r="AJ165" s="213">
        <v>0</v>
      </c>
      <c r="AK165" s="213">
        <v>0</v>
      </c>
      <c r="AL165" s="213">
        <v>0</v>
      </c>
      <c r="AM165" s="213">
        <v>0</v>
      </c>
      <c r="AN165" s="213">
        <v>0</v>
      </c>
      <c r="AO165" s="213">
        <v>0</v>
      </c>
      <c r="AP165" s="213">
        <v>0</v>
      </c>
      <c r="AQ165" s="213">
        <v>0</v>
      </c>
      <c r="AR165" s="213">
        <v>0</v>
      </c>
      <c r="AS165" s="213">
        <v>0</v>
      </c>
      <c r="AT165" s="213">
        <v>0</v>
      </c>
      <c r="AU165" s="213">
        <v>0</v>
      </c>
      <c r="AV165" s="213">
        <v>0</v>
      </c>
      <c r="AW165" s="213">
        <v>0</v>
      </c>
      <c r="AX165" s="213">
        <v>0</v>
      </c>
      <c r="AY165" s="213">
        <v>0</v>
      </c>
    </row>
    <row r="166" spans="1:51" ht="12.75" x14ac:dyDescent="0.2">
      <c r="A166" s="69" t="s">
        <v>244</v>
      </c>
      <c r="B166" s="221"/>
      <c r="D166" s="115">
        <v>0</v>
      </c>
      <c r="E166" s="115">
        <v>0</v>
      </c>
      <c r="F166" s="115">
        <v>0</v>
      </c>
      <c r="G166" s="115">
        <v>0</v>
      </c>
      <c r="H166" s="115">
        <v>0</v>
      </c>
      <c r="I166" s="115">
        <v>0</v>
      </c>
      <c r="J166" s="115">
        <v>0</v>
      </c>
      <c r="K166" s="115">
        <v>0</v>
      </c>
      <c r="L166" s="115">
        <v>0</v>
      </c>
      <c r="M166" s="115">
        <v>0</v>
      </c>
      <c r="N166" s="115">
        <v>0</v>
      </c>
      <c r="O166" s="115">
        <v>0</v>
      </c>
      <c r="P166" s="115">
        <v>0</v>
      </c>
      <c r="Q166" s="115">
        <v>0</v>
      </c>
      <c r="R166" s="115">
        <v>0</v>
      </c>
      <c r="S166" s="115">
        <v>0</v>
      </c>
      <c r="T166" s="115">
        <v>0</v>
      </c>
      <c r="U166" s="115">
        <v>0</v>
      </c>
      <c r="V166" s="115">
        <v>0</v>
      </c>
      <c r="W166" s="115">
        <v>0</v>
      </c>
      <c r="X166" s="115">
        <v>0</v>
      </c>
    </row>
    <row r="167" spans="1:51" ht="12.75" x14ac:dyDescent="0.2">
      <c r="A167" s="215" t="s">
        <v>400</v>
      </c>
      <c r="B167" s="221"/>
    </row>
    <row r="168" spans="1:51" ht="12.75" x14ac:dyDescent="0.2">
      <c r="A168" s="23" t="s">
        <v>401</v>
      </c>
      <c r="B168" s="221"/>
      <c r="D168" s="165">
        <v>550000</v>
      </c>
      <c r="E168" s="165">
        <v>100000</v>
      </c>
      <c r="F168" s="165">
        <v>0</v>
      </c>
      <c r="G168" s="165">
        <v>0</v>
      </c>
      <c r="H168" s="165">
        <v>0</v>
      </c>
      <c r="I168" s="165">
        <v>0</v>
      </c>
      <c r="J168" s="165">
        <v>0</v>
      </c>
      <c r="K168" s="165">
        <v>0</v>
      </c>
      <c r="L168" s="165">
        <v>0</v>
      </c>
      <c r="M168" s="165">
        <v>600000</v>
      </c>
      <c r="N168" s="165">
        <v>0</v>
      </c>
      <c r="O168" s="165">
        <v>0</v>
      </c>
      <c r="P168" s="165">
        <v>500000</v>
      </c>
      <c r="Q168" s="165">
        <v>0</v>
      </c>
      <c r="R168" s="165">
        <v>0</v>
      </c>
      <c r="S168" s="165">
        <v>0</v>
      </c>
      <c r="T168" s="165">
        <v>300000</v>
      </c>
      <c r="U168" s="165">
        <v>0</v>
      </c>
      <c r="V168" s="165">
        <v>0</v>
      </c>
      <c r="W168" s="165">
        <v>0</v>
      </c>
      <c r="X168" s="165">
        <v>0</v>
      </c>
      <c r="Y168" s="165">
        <v>0</v>
      </c>
      <c r="Z168" s="165">
        <v>0</v>
      </c>
      <c r="AA168" s="165">
        <v>0</v>
      </c>
      <c r="AB168" s="165">
        <v>0</v>
      </c>
      <c r="AC168" s="165">
        <v>0</v>
      </c>
      <c r="AD168" s="165">
        <v>0</v>
      </c>
      <c r="AE168" s="165">
        <v>0</v>
      </c>
      <c r="AF168" s="165">
        <v>0</v>
      </c>
      <c r="AG168" s="165">
        <v>0</v>
      </c>
      <c r="AH168" s="165">
        <v>0</v>
      </c>
      <c r="AI168" s="165">
        <v>0</v>
      </c>
      <c r="AJ168" s="165">
        <v>0</v>
      </c>
      <c r="AK168" s="165">
        <v>0</v>
      </c>
      <c r="AL168" s="165">
        <v>0</v>
      </c>
      <c r="AM168" s="165">
        <v>0</v>
      </c>
      <c r="AN168" s="165">
        <v>0</v>
      </c>
      <c r="AO168" s="165">
        <v>0</v>
      </c>
      <c r="AP168" s="165">
        <v>0</v>
      </c>
      <c r="AQ168" s="165">
        <v>0</v>
      </c>
      <c r="AR168" s="165">
        <v>0</v>
      </c>
      <c r="AS168" s="165">
        <v>0</v>
      </c>
      <c r="AT168" s="165">
        <v>0</v>
      </c>
      <c r="AU168" s="165">
        <v>0</v>
      </c>
      <c r="AV168" s="165">
        <v>0</v>
      </c>
      <c r="AW168" s="165">
        <v>0</v>
      </c>
      <c r="AX168" s="165">
        <v>0</v>
      </c>
      <c r="AY168" s="165">
        <v>0</v>
      </c>
    </row>
    <row r="169" spans="1:51" ht="12.75" x14ac:dyDescent="0.2">
      <c r="A169" s="23" t="s">
        <v>402</v>
      </c>
      <c r="B169" s="221"/>
      <c r="D169" s="165">
        <v>500000</v>
      </c>
      <c r="E169" s="165">
        <v>0</v>
      </c>
      <c r="F169" s="165">
        <v>0</v>
      </c>
      <c r="G169" s="165">
        <v>0</v>
      </c>
      <c r="H169" s="165">
        <v>0</v>
      </c>
      <c r="I169" s="165">
        <v>0</v>
      </c>
      <c r="J169" s="165">
        <v>0</v>
      </c>
      <c r="K169" s="165">
        <v>0</v>
      </c>
      <c r="L169" s="165">
        <v>0</v>
      </c>
      <c r="M169" s="165">
        <v>0</v>
      </c>
      <c r="N169" s="165">
        <v>0</v>
      </c>
      <c r="O169" s="165">
        <v>0</v>
      </c>
      <c r="P169" s="165">
        <v>0</v>
      </c>
      <c r="Q169" s="165">
        <v>0</v>
      </c>
      <c r="R169" s="165">
        <v>0</v>
      </c>
      <c r="S169" s="165">
        <v>0</v>
      </c>
      <c r="T169" s="165">
        <v>0</v>
      </c>
      <c r="U169" s="165">
        <v>0</v>
      </c>
      <c r="V169" s="165">
        <v>0</v>
      </c>
      <c r="W169" s="165">
        <v>0</v>
      </c>
      <c r="X169" s="165">
        <v>0</v>
      </c>
      <c r="Y169" s="165">
        <v>0</v>
      </c>
      <c r="Z169" s="165">
        <v>0</v>
      </c>
      <c r="AA169" s="165">
        <v>0</v>
      </c>
      <c r="AB169" s="165">
        <v>0</v>
      </c>
      <c r="AC169" s="165">
        <v>0</v>
      </c>
      <c r="AD169" s="165">
        <v>0</v>
      </c>
      <c r="AE169" s="165">
        <v>0</v>
      </c>
      <c r="AF169" s="165">
        <v>0</v>
      </c>
      <c r="AG169" s="165">
        <v>0</v>
      </c>
      <c r="AH169" s="165">
        <v>0</v>
      </c>
      <c r="AI169" s="165">
        <v>0</v>
      </c>
      <c r="AJ169" s="165">
        <v>0</v>
      </c>
      <c r="AK169" s="165">
        <v>0</v>
      </c>
      <c r="AL169" s="165">
        <v>0</v>
      </c>
      <c r="AM169" s="165">
        <v>0</v>
      </c>
      <c r="AN169" s="165">
        <v>0</v>
      </c>
      <c r="AO169" s="165">
        <v>0</v>
      </c>
      <c r="AP169" s="165">
        <v>0</v>
      </c>
      <c r="AQ169" s="165">
        <v>0</v>
      </c>
      <c r="AR169" s="165">
        <v>0</v>
      </c>
      <c r="AS169" s="165">
        <v>0</v>
      </c>
      <c r="AT169" s="165">
        <v>0</v>
      </c>
      <c r="AU169" s="165">
        <v>0</v>
      </c>
      <c r="AV169" s="165">
        <v>0</v>
      </c>
      <c r="AW169" s="165">
        <v>0</v>
      </c>
      <c r="AX169" s="165">
        <v>0</v>
      </c>
      <c r="AY169" s="165">
        <v>0</v>
      </c>
    </row>
    <row r="170" spans="1:51" ht="12.75" x14ac:dyDescent="0.2">
      <c r="A170" s="23" t="s">
        <v>403</v>
      </c>
      <c r="B170" s="221"/>
      <c r="D170" s="165">
        <v>0</v>
      </c>
      <c r="E170" s="165">
        <v>0</v>
      </c>
      <c r="F170" s="165">
        <v>0</v>
      </c>
      <c r="G170" s="165">
        <v>0</v>
      </c>
      <c r="H170" s="165">
        <v>0</v>
      </c>
      <c r="I170" s="165">
        <v>0</v>
      </c>
      <c r="J170" s="165">
        <v>0</v>
      </c>
      <c r="K170" s="165">
        <v>0</v>
      </c>
      <c r="L170" s="165">
        <v>0</v>
      </c>
      <c r="M170" s="165">
        <v>0</v>
      </c>
      <c r="N170" s="165">
        <v>0</v>
      </c>
      <c r="O170" s="165">
        <v>0</v>
      </c>
      <c r="P170" s="165">
        <v>0</v>
      </c>
      <c r="Q170" s="165">
        <v>0</v>
      </c>
      <c r="R170" s="165">
        <v>0</v>
      </c>
      <c r="S170" s="165">
        <v>0</v>
      </c>
      <c r="T170" s="165">
        <v>0</v>
      </c>
      <c r="U170" s="165">
        <v>0</v>
      </c>
      <c r="V170" s="165">
        <v>0</v>
      </c>
      <c r="W170" s="165">
        <v>0</v>
      </c>
      <c r="X170" s="165">
        <v>0</v>
      </c>
      <c r="Y170" s="165">
        <v>0</v>
      </c>
      <c r="Z170" s="165">
        <v>0</v>
      </c>
      <c r="AA170" s="165">
        <v>0</v>
      </c>
      <c r="AB170" s="165">
        <v>0</v>
      </c>
      <c r="AC170" s="165">
        <v>0</v>
      </c>
      <c r="AD170" s="165">
        <v>0</v>
      </c>
      <c r="AE170" s="165">
        <v>0</v>
      </c>
      <c r="AF170" s="165">
        <v>0</v>
      </c>
      <c r="AG170" s="165">
        <v>0</v>
      </c>
      <c r="AH170" s="165">
        <v>0</v>
      </c>
      <c r="AI170" s="165">
        <v>0</v>
      </c>
      <c r="AJ170" s="165">
        <v>0</v>
      </c>
      <c r="AK170" s="165">
        <v>0</v>
      </c>
      <c r="AL170" s="165">
        <v>0</v>
      </c>
      <c r="AM170" s="165">
        <v>0</v>
      </c>
      <c r="AN170" s="165">
        <v>0</v>
      </c>
      <c r="AO170" s="165">
        <v>0</v>
      </c>
      <c r="AP170" s="165">
        <v>0</v>
      </c>
      <c r="AQ170" s="165">
        <v>0</v>
      </c>
      <c r="AR170" s="165">
        <v>0</v>
      </c>
      <c r="AS170" s="165">
        <v>0</v>
      </c>
      <c r="AT170" s="165">
        <v>0</v>
      </c>
      <c r="AU170" s="165">
        <v>0</v>
      </c>
      <c r="AV170" s="165">
        <v>0</v>
      </c>
      <c r="AW170" s="165">
        <v>0</v>
      </c>
      <c r="AX170" s="165">
        <v>0</v>
      </c>
      <c r="AY170" s="165">
        <v>0</v>
      </c>
    </row>
    <row r="171" spans="1:51" ht="12.75" x14ac:dyDescent="0.2">
      <c r="A171" s="23" t="s">
        <v>404</v>
      </c>
      <c r="B171" s="221"/>
      <c r="D171" s="165">
        <v>0</v>
      </c>
      <c r="E171" s="165">
        <v>0</v>
      </c>
      <c r="F171" s="165">
        <v>0</v>
      </c>
      <c r="G171" s="165">
        <v>0</v>
      </c>
      <c r="H171" s="165">
        <v>0</v>
      </c>
      <c r="I171" s="165">
        <v>0</v>
      </c>
      <c r="J171" s="165">
        <v>0</v>
      </c>
      <c r="K171" s="165">
        <v>0</v>
      </c>
      <c r="L171" s="165">
        <v>0</v>
      </c>
      <c r="M171" s="165">
        <v>0</v>
      </c>
      <c r="N171" s="165">
        <v>0</v>
      </c>
      <c r="O171" s="165">
        <v>0</v>
      </c>
      <c r="P171" s="165">
        <v>0</v>
      </c>
      <c r="Q171" s="165">
        <v>0</v>
      </c>
      <c r="R171" s="165">
        <v>0</v>
      </c>
      <c r="S171" s="165">
        <v>0</v>
      </c>
      <c r="T171" s="165">
        <v>0</v>
      </c>
      <c r="U171" s="165">
        <v>0</v>
      </c>
      <c r="V171" s="165">
        <v>0</v>
      </c>
      <c r="W171" s="165">
        <v>0</v>
      </c>
      <c r="X171" s="165">
        <v>0</v>
      </c>
      <c r="Y171" s="165">
        <v>0</v>
      </c>
      <c r="Z171" s="165">
        <v>0</v>
      </c>
      <c r="AA171" s="165">
        <v>0</v>
      </c>
      <c r="AB171" s="165">
        <v>0</v>
      </c>
      <c r="AC171" s="165">
        <v>0</v>
      </c>
      <c r="AD171" s="165">
        <v>0</v>
      </c>
      <c r="AE171" s="165">
        <v>0</v>
      </c>
      <c r="AF171" s="165">
        <v>0</v>
      </c>
      <c r="AG171" s="165">
        <v>0</v>
      </c>
      <c r="AH171" s="165">
        <v>0</v>
      </c>
      <c r="AI171" s="165">
        <v>0</v>
      </c>
      <c r="AJ171" s="165">
        <v>0</v>
      </c>
      <c r="AK171" s="165">
        <v>0</v>
      </c>
      <c r="AL171" s="165">
        <v>0</v>
      </c>
      <c r="AM171" s="165">
        <v>0</v>
      </c>
      <c r="AN171" s="165">
        <v>0</v>
      </c>
      <c r="AO171" s="165">
        <v>0</v>
      </c>
      <c r="AP171" s="165">
        <v>0</v>
      </c>
      <c r="AQ171" s="165">
        <v>0</v>
      </c>
      <c r="AR171" s="165">
        <v>0</v>
      </c>
      <c r="AS171" s="165">
        <v>0</v>
      </c>
      <c r="AT171" s="165">
        <v>0</v>
      </c>
      <c r="AU171" s="165">
        <v>0</v>
      </c>
      <c r="AV171" s="165">
        <v>0</v>
      </c>
      <c r="AW171" s="165">
        <v>0</v>
      </c>
      <c r="AX171" s="165">
        <v>0</v>
      </c>
      <c r="AY171" s="165">
        <v>0</v>
      </c>
    </row>
    <row r="172" spans="1:51" ht="12.75" x14ac:dyDescent="0.2">
      <c r="A172" s="256" t="s">
        <v>405</v>
      </c>
      <c r="B172" s="238"/>
      <c r="C172" s="212"/>
      <c r="D172" s="213">
        <v>1050000</v>
      </c>
      <c r="E172" s="213">
        <v>100000</v>
      </c>
      <c r="F172" s="213">
        <v>0</v>
      </c>
      <c r="G172" s="213">
        <v>0</v>
      </c>
      <c r="H172" s="213">
        <v>0</v>
      </c>
      <c r="I172" s="213">
        <v>0</v>
      </c>
      <c r="J172" s="213">
        <v>0</v>
      </c>
      <c r="K172" s="213">
        <v>0</v>
      </c>
      <c r="L172" s="213">
        <v>0</v>
      </c>
      <c r="M172" s="213">
        <v>600000</v>
      </c>
      <c r="N172" s="213">
        <v>0</v>
      </c>
      <c r="O172" s="213">
        <v>0</v>
      </c>
      <c r="P172" s="213">
        <v>500000</v>
      </c>
      <c r="Q172" s="213">
        <v>0</v>
      </c>
      <c r="R172" s="213">
        <v>0</v>
      </c>
      <c r="S172" s="213">
        <v>0</v>
      </c>
      <c r="T172" s="213">
        <v>300000</v>
      </c>
      <c r="U172" s="213">
        <v>0</v>
      </c>
      <c r="V172" s="213">
        <v>0</v>
      </c>
      <c r="W172" s="213">
        <v>0</v>
      </c>
      <c r="X172" s="213">
        <v>0</v>
      </c>
      <c r="Y172" s="213">
        <v>0</v>
      </c>
      <c r="Z172" s="213">
        <v>0</v>
      </c>
      <c r="AA172" s="213">
        <v>0</v>
      </c>
      <c r="AB172" s="213">
        <v>0</v>
      </c>
      <c r="AC172" s="213">
        <v>0</v>
      </c>
      <c r="AD172" s="213">
        <v>0</v>
      </c>
      <c r="AE172" s="213">
        <v>0</v>
      </c>
      <c r="AF172" s="213">
        <v>0</v>
      </c>
      <c r="AG172" s="213">
        <v>0</v>
      </c>
      <c r="AH172" s="213">
        <v>0</v>
      </c>
      <c r="AI172" s="213">
        <v>0</v>
      </c>
      <c r="AJ172" s="213">
        <v>0</v>
      </c>
      <c r="AK172" s="213">
        <v>0</v>
      </c>
      <c r="AL172" s="213">
        <v>0</v>
      </c>
      <c r="AM172" s="213">
        <v>0</v>
      </c>
      <c r="AN172" s="213">
        <v>0</v>
      </c>
      <c r="AO172" s="213">
        <v>0</v>
      </c>
      <c r="AP172" s="213">
        <v>0</v>
      </c>
      <c r="AQ172" s="213">
        <v>0</v>
      </c>
      <c r="AR172" s="213">
        <v>0</v>
      </c>
      <c r="AS172" s="213">
        <v>0</v>
      </c>
      <c r="AT172" s="213">
        <v>0</v>
      </c>
      <c r="AU172" s="213">
        <v>0</v>
      </c>
      <c r="AV172" s="213">
        <v>0</v>
      </c>
      <c r="AW172" s="213">
        <v>0</v>
      </c>
      <c r="AX172" s="213">
        <v>0</v>
      </c>
      <c r="AY172" s="213">
        <v>0</v>
      </c>
    </row>
    <row r="173" spans="1:51" ht="12.75" x14ac:dyDescent="0.2">
      <c r="A173" s="69" t="s">
        <v>244</v>
      </c>
      <c r="B173" s="221"/>
      <c r="D173" s="115">
        <v>0</v>
      </c>
      <c r="E173" s="115">
        <v>0</v>
      </c>
      <c r="F173" s="115">
        <v>0</v>
      </c>
      <c r="G173" s="115">
        <v>0</v>
      </c>
      <c r="H173" s="115">
        <v>0</v>
      </c>
      <c r="I173" s="115">
        <v>0</v>
      </c>
      <c r="J173" s="115">
        <v>0</v>
      </c>
      <c r="K173" s="115">
        <v>0</v>
      </c>
      <c r="L173" s="115">
        <v>0</v>
      </c>
      <c r="M173" s="115">
        <v>0</v>
      </c>
      <c r="N173" s="115">
        <v>0</v>
      </c>
      <c r="O173" s="115">
        <v>0</v>
      </c>
      <c r="P173" s="115">
        <v>0</v>
      </c>
      <c r="Q173" s="115">
        <v>0</v>
      </c>
      <c r="R173" s="115">
        <v>0</v>
      </c>
      <c r="S173" s="115">
        <v>0</v>
      </c>
      <c r="T173" s="115">
        <v>0</v>
      </c>
      <c r="U173" s="115">
        <v>0</v>
      </c>
      <c r="V173" s="115">
        <v>0</v>
      </c>
      <c r="W173" s="115">
        <v>0</v>
      </c>
      <c r="X173" s="115">
        <v>0</v>
      </c>
    </row>
    <row r="174" spans="1:51" ht="12.75" x14ac:dyDescent="0.2">
      <c r="A174" s="256" t="s">
        <v>406</v>
      </c>
      <c r="B174" s="238"/>
      <c r="C174" s="212"/>
      <c r="D174" s="213">
        <v>962267</v>
      </c>
      <c r="E174" s="213">
        <v>9650</v>
      </c>
      <c r="F174" s="213">
        <v>-102956</v>
      </c>
      <c r="G174" s="213">
        <v>-94595</v>
      </c>
      <c r="H174" s="213">
        <v>-82065</v>
      </c>
      <c r="I174" s="213">
        <v>-78132</v>
      </c>
      <c r="J174" s="213">
        <v>-94045</v>
      </c>
      <c r="K174" s="213">
        <v>-89766</v>
      </c>
      <c r="L174" s="213">
        <v>-114445</v>
      </c>
      <c r="M174" s="213">
        <v>468119</v>
      </c>
      <c r="N174" s="213">
        <v>-140597</v>
      </c>
      <c r="O174" s="213">
        <v>-177194</v>
      </c>
      <c r="P174" s="213">
        <v>330990</v>
      </c>
      <c r="Q174" s="213">
        <v>-180892</v>
      </c>
      <c r="R174" s="213">
        <v>-174863</v>
      </c>
      <c r="S174" s="213">
        <v>-119112</v>
      </c>
      <c r="T174" s="213">
        <v>158551</v>
      </c>
      <c r="U174" s="213">
        <v>-111427</v>
      </c>
      <c r="V174" s="213">
        <v>-90944</v>
      </c>
      <c r="W174" s="213">
        <v>-70463</v>
      </c>
      <c r="X174" s="213">
        <v>-50019</v>
      </c>
      <c r="Y174" s="213">
        <v>-13019.248557510669</v>
      </c>
      <c r="Z174" s="213">
        <v>-13357.156274382025</v>
      </c>
      <c r="AA174" s="213">
        <v>12730.858160651522</v>
      </c>
      <c r="AB174" s="213">
        <v>36867.796810016735</v>
      </c>
      <c r="AC174" s="213">
        <v>77438.39489691949</v>
      </c>
      <c r="AD174" s="213">
        <v>-37982.822898107232</v>
      </c>
      <c r="AE174" s="213">
        <v>22616.803388816421</v>
      </c>
      <c r="AF174" s="213">
        <v>26394.995582410716</v>
      </c>
      <c r="AG174" s="213">
        <v>42803.348604022758</v>
      </c>
      <c r="AH174" s="213">
        <v>46895.566486783442</v>
      </c>
      <c r="AI174" s="213">
        <v>50704.489798585186</v>
      </c>
      <c r="AJ174" s="213">
        <v>54230.544941874687</v>
      </c>
      <c r="AK174" s="213">
        <v>93473.127867351985</v>
      </c>
      <c r="AL174" s="213">
        <v>132443.22861117008</v>
      </c>
      <c r="AM174" s="213">
        <v>171144.176225223</v>
      </c>
      <c r="AN174" s="213">
        <v>222462.77415982552</v>
      </c>
      <c r="AO174" s="213">
        <v>261492.70672283554</v>
      </c>
      <c r="AP174" s="213">
        <v>264238.9033564101</v>
      </c>
      <c r="AQ174" s="213">
        <v>266706.65195270523</v>
      </c>
      <c r="AR174" s="213">
        <v>268901.38200909249</v>
      </c>
      <c r="AS174" s="213">
        <v>282828.10507977242</v>
      </c>
      <c r="AT174" s="213">
        <v>297374.34419393539</v>
      </c>
      <c r="AU174" s="213">
        <v>299632.67810099688</v>
      </c>
      <c r="AV174" s="213">
        <v>301608.49061643414</v>
      </c>
      <c r="AW174" s="213">
        <v>339307.09647387743</v>
      </c>
      <c r="AX174" s="213">
        <v>376733.70858125528</v>
      </c>
      <c r="AY174" s="213">
        <v>426775.90746618761</v>
      </c>
    </row>
    <row r="175" spans="1:51" ht="12.75" x14ac:dyDescent="0.2">
      <c r="A175" s="69" t="s">
        <v>244</v>
      </c>
      <c r="B175" s="221"/>
      <c r="D175" s="115">
        <v>0</v>
      </c>
      <c r="E175" s="115">
        <v>0</v>
      </c>
      <c r="F175" s="115">
        <v>0</v>
      </c>
      <c r="G175" s="115">
        <v>0</v>
      </c>
      <c r="H175" s="115">
        <v>0</v>
      </c>
      <c r="I175" s="115">
        <v>0</v>
      </c>
      <c r="J175" s="115">
        <v>0</v>
      </c>
      <c r="K175" s="115">
        <v>0</v>
      </c>
      <c r="L175" s="115">
        <v>0</v>
      </c>
      <c r="M175" s="115">
        <v>0</v>
      </c>
      <c r="N175" s="115">
        <v>0</v>
      </c>
      <c r="O175" s="115">
        <v>0</v>
      </c>
      <c r="P175" s="115">
        <v>0</v>
      </c>
      <c r="Q175" s="115">
        <v>0</v>
      </c>
      <c r="R175" s="115">
        <v>0</v>
      </c>
      <c r="S175" s="115">
        <v>0</v>
      </c>
      <c r="T175" s="115">
        <v>0</v>
      </c>
      <c r="U175" s="115">
        <v>0</v>
      </c>
      <c r="V175" s="115">
        <v>0</v>
      </c>
      <c r="W175" s="115">
        <v>0</v>
      </c>
      <c r="X175" s="115">
        <v>0</v>
      </c>
    </row>
    <row r="176" spans="1:51" ht="12.75" x14ac:dyDescent="0.2">
      <c r="B176" s="221"/>
    </row>
    <row r="177" spans="2:2" ht="12.75" x14ac:dyDescent="0.2">
      <c r="B177" s="221"/>
    </row>
    <row r="178" spans="2:2" ht="12.75" x14ac:dyDescent="0.2">
      <c r="B178" s="221"/>
    </row>
    <row r="179" spans="2:2" ht="12.75" x14ac:dyDescent="0.2">
      <c r="B179" s="221"/>
    </row>
    <row r="180" spans="2:2" ht="12.75" x14ac:dyDescent="0.2">
      <c r="B180" s="221"/>
    </row>
    <row r="181" spans="2:2" ht="12.75" x14ac:dyDescent="0.2">
      <c r="B181" s="221"/>
    </row>
    <row r="182" spans="2:2" ht="12.75" x14ac:dyDescent="0.2">
      <c r="B182" s="221"/>
    </row>
    <row r="183" spans="2:2" ht="12.75" x14ac:dyDescent="0.2">
      <c r="B183" s="221"/>
    </row>
    <row r="184" spans="2:2" ht="12.75" x14ac:dyDescent="0.2">
      <c r="B184" s="221"/>
    </row>
    <row r="185" spans="2:2" ht="12.75" x14ac:dyDescent="0.2">
      <c r="B185" s="221"/>
    </row>
    <row r="186" spans="2:2" ht="12.75" x14ac:dyDescent="0.2">
      <c r="B186" s="221"/>
    </row>
    <row r="187" spans="2:2" ht="12.75" x14ac:dyDescent="0.2">
      <c r="B187" s="221"/>
    </row>
    <row r="188" spans="2:2" ht="12.75" x14ac:dyDescent="0.2">
      <c r="B188" s="221"/>
    </row>
    <row r="189" spans="2:2" ht="12.75" x14ac:dyDescent="0.2">
      <c r="B189" s="221"/>
    </row>
    <row r="190" spans="2:2" ht="12.75" x14ac:dyDescent="0.2">
      <c r="B190" s="221"/>
    </row>
    <row r="191" spans="2:2" ht="12.75" x14ac:dyDescent="0.2">
      <c r="B191" s="221"/>
    </row>
    <row r="192" spans="2:2" ht="12.75" x14ac:dyDescent="0.2">
      <c r="B192" s="221"/>
    </row>
    <row r="193" spans="2:2" ht="12.75" x14ac:dyDescent="0.2">
      <c r="B193" s="221"/>
    </row>
    <row r="194" spans="2:2" ht="12.75" x14ac:dyDescent="0.2">
      <c r="B194" s="221"/>
    </row>
    <row r="195" spans="2:2" ht="12.75" x14ac:dyDescent="0.2">
      <c r="B195" s="221"/>
    </row>
    <row r="196" spans="2:2" ht="12.75" x14ac:dyDescent="0.2">
      <c r="B196" s="221"/>
    </row>
    <row r="197" spans="2:2" ht="12.75" x14ac:dyDescent="0.2">
      <c r="B197" s="221"/>
    </row>
    <row r="198" spans="2:2" ht="12.75" x14ac:dyDescent="0.2">
      <c r="B198" s="221"/>
    </row>
    <row r="199" spans="2:2" ht="12.75" x14ac:dyDescent="0.2">
      <c r="B199" s="221"/>
    </row>
    <row r="200" spans="2:2" ht="12.75" x14ac:dyDescent="0.2">
      <c r="B200" s="221"/>
    </row>
    <row r="201" spans="2:2" ht="12.75" x14ac:dyDescent="0.2">
      <c r="B201" s="221"/>
    </row>
    <row r="202" spans="2:2" ht="12.75" x14ac:dyDescent="0.2">
      <c r="B202" s="221"/>
    </row>
    <row r="203" spans="2:2" ht="12.75" x14ac:dyDescent="0.2">
      <c r="B203" s="221"/>
    </row>
    <row r="204" spans="2:2" ht="12.75" x14ac:dyDescent="0.2">
      <c r="B204" s="221"/>
    </row>
    <row r="205" spans="2:2" ht="12.75" x14ac:dyDescent="0.2">
      <c r="B205" s="221"/>
    </row>
    <row r="206" spans="2:2" ht="12.75" x14ac:dyDescent="0.2">
      <c r="B206" s="221"/>
    </row>
    <row r="207" spans="2:2" ht="12.75" x14ac:dyDescent="0.2">
      <c r="B207" s="221"/>
    </row>
    <row r="208" spans="2:2" ht="12.75" x14ac:dyDescent="0.2">
      <c r="B208" s="221"/>
    </row>
    <row r="209" spans="2:2" ht="12.75" x14ac:dyDescent="0.2">
      <c r="B209" s="221"/>
    </row>
    <row r="210" spans="2:2" ht="12.75" x14ac:dyDescent="0.2">
      <c r="B210" s="221"/>
    </row>
    <row r="211" spans="2:2" ht="12.75" x14ac:dyDescent="0.2">
      <c r="B211" s="221"/>
    </row>
    <row r="212" spans="2:2" ht="12.75" x14ac:dyDescent="0.2">
      <c r="B212" s="221"/>
    </row>
    <row r="213" spans="2:2" ht="12.75" x14ac:dyDescent="0.2">
      <c r="B213" s="221"/>
    </row>
    <row r="214" spans="2:2" ht="12.75" x14ac:dyDescent="0.2">
      <c r="B214" s="221"/>
    </row>
    <row r="215" spans="2:2" ht="12.75" x14ac:dyDescent="0.2">
      <c r="B215" s="221"/>
    </row>
    <row r="216" spans="2:2" ht="12.75" x14ac:dyDescent="0.2">
      <c r="B216" s="221"/>
    </row>
    <row r="217" spans="2:2" ht="12.75" x14ac:dyDescent="0.2">
      <c r="B217" s="221"/>
    </row>
    <row r="218" spans="2:2" ht="12.75" x14ac:dyDescent="0.2">
      <c r="B218" s="221"/>
    </row>
    <row r="219" spans="2:2" ht="12.75" x14ac:dyDescent="0.2">
      <c r="B219" s="221"/>
    </row>
    <row r="220" spans="2:2" ht="12.75" x14ac:dyDescent="0.2">
      <c r="B220" s="221"/>
    </row>
    <row r="221" spans="2:2" ht="12.75" x14ac:dyDescent="0.2">
      <c r="B221" s="221"/>
    </row>
    <row r="222" spans="2:2" ht="12.75" x14ac:dyDescent="0.2">
      <c r="B222" s="221"/>
    </row>
    <row r="223" spans="2:2" ht="12.75" x14ac:dyDescent="0.2">
      <c r="B223" s="221"/>
    </row>
    <row r="224" spans="2:2" ht="12.75" x14ac:dyDescent="0.2">
      <c r="B224" s="221"/>
    </row>
    <row r="225" spans="2:2" ht="12.75" x14ac:dyDescent="0.2">
      <c r="B225" s="221"/>
    </row>
    <row r="226" spans="2:2" ht="12.75" x14ac:dyDescent="0.2">
      <c r="B226" s="221"/>
    </row>
    <row r="227" spans="2:2" ht="12.75" x14ac:dyDescent="0.2">
      <c r="B227" s="221"/>
    </row>
    <row r="228" spans="2:2" ht="12.75" x14ac:dyDescent="0.2">
      <c r="B228" s="221"/>
    </row>
    <row r="229" spans="2:2" ht="12.75" x14ac:dyDescent="0.2">
      <c r="B229" s="221"/>
    </row>
    <row r="230" spans="2:2" ht="12.75" x14ac:dyDescent="0.2">
      <c r="B230" s="221"/>
    </row>
    <row r="231" spans="2:2" ht="12.75" x14ac:dyDescent="0.2">
      <c r="B231" s="221"/>
    </row>
    <row r="232" spans="2:2" ht="12.75" x14ac:dyDescent="0.2">
      <c r="B232" s="221"/>
    </row>
    <row r="233" spans="2:2" ht="12.75" x14ac:dyDescent="0.2">
      <c r="B233" s="221"/>
    </row>
    <row r="234" spans="2:2" ht="12.75" x14ac:dyDescent="0.2">
      <c r="B234" s="221"/>
    </row>
    <row r="235" spans="2:2" ht="12.75" x14ac:dyDescent="0.2">
      <c r="B235" s="221"/>
    </row>
    <row r="236" spans="2:2" ht="12.75" x14ac:dyDescent="0.2">
      <c r="B236" s="221"/>
    </row>
    <row r="237" spans="2:2" ht="12.75" x14ac:dyDescent="0.2">
      <c r="B237" s="221"/>
    </row>
    <row r="238" spans="2:2" ht="12.75" x14ac:dyDescent="0.2">
      <c r="B238" s="221"/>
    </row>
    <row r="239" spans="2:2" ht="12.75" x14ac:dyDescent="0.2">
      <c r="B239" s="221"/>
    </row>
    <row r="240" spans="2:2" ht="12.75" x14ac:dyDescent="0.2">
      <c r="B240" s="221"/>
    </row>
    <row r="241" spans="2:2" ht="12.75" x14ac:dyDescent="0.2">
      <c r="B241" s="221"/>
    </row>
    <row r="242" spans="2:2" ht="12.75" x14ac:dyDescent="0.2">
      <c r="B242" s="221"/>
    </row>
    <row r="243" spans="2:2" ht="12.75" x14ac:dyDescent="0.2">
      <c r="B243" s="221"/>
    </row>
    <row r="244" spans="2:2" ht="12.75" x14ac:dyDescent="0.2">
      <c r="B244" s="221"/>
    </row>
    <row r="245" spans="2:2" ht="12.75" x14ac:dyDescent="0.2">
      <c r="B245" s="221"/>
    </row>
    <row r="246" spans="2:2" ht="12.75" x14ac:dyDescent="0.2">
      <c r="B246" s="221"/>
    </row>
    <row r="247" spans="2:2" ht="12.75" x14ac:dyDescent="0.2">
      <c r="B247" s="221"/>
    </row>
    <row r="248" spans="2:2" ht="12.75" x14ac:dyDescent="0.2">
      <c r="B248" s="221"/>
    </row>
    <row r="249" spans="2:2" ht="12.75" x14ac:dyDescent="0.2">
      <c r="B249" s="221"/>
    </row>
    <row r="250" spans="2:2" ht="12.75" x14ac:dyDescent="0.2">
      <c r="B250" s="221"/>
    </row>
    <row r="251" spans="2:2" ht="12.75" x14ac:dyDescent="0.2">
      <c r="B251" s="221"/>
    </row>
    <row r="252" spans="2:2" ht="12.75" x14ac:dyDescent="0.2">
      <c r="B252" s="221"/>
    </row>
    <row r="253" spans="2:2" ht="12.75" x14ac:dyDescent="0.2">
      <c r="B253" s="221"/>
    </row>
    <row r="254" spans="2:2" ht="12.75" x14ac:dyDescent="0.2">
      <c r="B254" s="221"/>
    </row>
    <row r="255" spans="2:2" ht="12.75" x14ac:dyDescent="0.2">
      <c r="B255" s="221"/>
    </row>
    <row r="256" spans="2:2" ht="12.75" x14ac:dyDescent="0.2">
      <c r="B256" s="221"/>
    </row>
    <row r="257" spans="2:2" ht="12.75" x14ac:dyDescent="0.2">
      <c r="B257" s="221"/>
    </row>
    <row r="258" spans="2:2" ht="12.75" x14ac:dyDescent="0.2">
      <c r="B258" s="221"/>
    </row>
    <row r="259" spans="2:2" ht="12.75" x14ac:dyDescent="0.2">
      <c r="B259" s="221"/>
    </row>
    <row r="260" spans="2:2" ht="12.75" x14ac:dyDescent="0.2">
      <c r="B260" s="221"/>
    </row>
    <row r="261" spans="2:2" ht="12.75" x14ac:dyDescent="0.2">
      <c r="B261" s="221"/>
    </row>
    <row r="262" spans="2:2" ht="12.75" x14ac:dyDescent="0.2">
      <c r="B262" s="221"/>
    </row>
    <row r="263" spans="2:2" ht="12.75" x14ac:dyDescent="0.2">
      <c r="B263" s="221"/>
    </row>
    <row r="264" spans="2:2" ht="12.75" x14ac:dyDescent="0.2">
      <c r="B264" s="221"/>
    </row>
    <row r="265" spans="2:2" ht="12.75" x14ac:dyDescent="0.2">
      <c r="B265" s="221"/>
    </row>
    <row r="266" spans="2:2" ht="12.75" x14ac:dyDescent="0.2">
      <c r="B266" s="221"/>
    </row>
    <row r="267" spans="2:2" ht="12.75" x14ac:dyDescent="0.2">
      <c r="B267" s="221"/>
    </row>
    <row r="268" spans="2:2" ht="12.75" x14ac:dyDescent="0.2">
      <c r="B268" s="221"/>
    </row>
    <row r="269" spans="2:2" ht="12.75" x14ac:dyDescent="0.2">
      <c r="B269" s="221"/>
    </row>
    <row r="270" spans="2:2" ht="12.75" x14ac:dyDescent="0.2">
      <c r="B270" s="221"/>
    </row>
    <row r="271" spans="2:2" ht="12.75" x14ac:dyDescent="0.2">
      <c r="B271" s="221"/>
    </row>
    <row r="272" spans="2:2" ht="12.75" x14ac:dyDescent="0.2">
      <c r="B272" s="221"/>
    </row>
    <row r="273" spans="2:2" ht="12.75" x14ac:dyDescent="0.2">
      <c r="B273" s="221"/>
    </row>
    <row r="274" spans="2:2" ht="12.75" x14ac:dyDescent="0.2">
      <c r="B274" s="221"/>
    </row>
    <row r="275" spans="2:2" ht="12.75" x14ac:dyDescent="0.2">
      <c r="B275" s="221"/>
    </row>
    <row r="276" spans="2:2" ht="12.75" x14ac:dyDescent="0.2">
      <c r="B276" s="221"/>
    </row>
    <row r="277" spans="2:2" ht="12.75" x14ac:dyDescent="0.2">
      <c r="B277" s="221"/>
    </row>
    <row r="278" spans="2:2" ht="12.75" x14ac:dyDescent="0.2">
      <c r="B278" s="221"/>
    </row>
    <row r="279" spans="2:2" ht="12.75" x14ac:dyDescent="0.2">
      <c r="B279" s="221"/>
    </row>
    <row r="280" spans="2:2" ht="12.75" x14ac:dyDescent="0.2">
      <c r="B280" s="221"/>
    </row>
    <row r="281" spans="2:2" ht="12.75" x14ac:dyDescent="0.2">
      <c r="B281" s="221"/>
    </row>
    <row r="282" spans="2:2" ht="12.75" x14ac:dyDescent="0.2">
      <c r="B282" s="221"/>
    </row>
    <row r="283" spans="2:2" ht="12.75" x14ac:dyDescent="0.2">
      <c r="B283" s="221"/>
    </row>
    <row r="284" spans="2:2" ht="12.75" x14ac:dyDescent="0.2">
      <c r="B284" s="221"/>
    </row>
    <row r="285" spans="2:2" ht="12.75" x14ac:dyDescent="0.2">
      <c r="B285" s="221"/>
    </row>
    <row r="286" spans="2:2" ht="12.75" x14ac:dyDescent="0.2">
      <c r="B286" s="221"/>
    </row>
    <row r="287" spans="2:2" ht="12.75" x14ac:dyDescent="0.2">
      <c r="B287" s="221"/>
    </row>
    <row r="288" spans="2:2" ht="12.75" x14ac:dyDescent="0.2">
      <c r="B288" s="221"/>
    </row>
    <row r="289" spans="2:2" ht="12.75" x14ac:dyDescent="0.2">
      <c r="B289" s="221"/>
    </row>
    <row r="290" spans="2:2" ht="12.75" x14ac:dyDescent="0.2">
      <c r="B290" s="221"/>
    </row>
    <row r="291" spans="2:2" ht="12.75" x14ac:dyDescent="0.2">
      <c r="B291" s="221"/>
    </row>
    <row r="292" spans="2:2" ht="12.75" x14ac:dyDescent="0.2">
      <c r="B292" s="221"/>
    </row>
    <row r="293" spans="2:2" ht="12.75" x14ac:dyDescent="0.2">
      <c r="B293" s="221"/>
    </row>
    <row r="294" spans="2:2" ht="12.75" x14ac:dyDescent="0.2">
      <c r="B294" s="221"/>
    </row>
    <row r="295" spans="2:2" ht="12.75" x14ac:dyDescent="0.2">
      <c r="B295" s="221"/>
    </row>
    <row r="296" spans="2:2" ht="12.75" x14ac:dyDescent="0.2">
      <c r="B296" s="221"/>
    </row>
    <row r="297" spans="2:2" ht="12.75" x14ac:dyDescent="0.2">
      <c r="B297" s="221"/>
    </row>
    <row r="298" spans="2:2" ht="12.75" x14ac:dyDescent="0.2">
      <c r="B298" s="221"/>
    </row>
    <row r="299" spans="2:2" ht="12.75" x14ac:dyDescent="0.2">
      <c r="B299" s="221"/>
    </row>
    <row r="300" spans="2:2" ht="12.75" x14ac:dyDescent="0.2">
      <c r="B300" s="221"/>
    </row>
    <row r="301" spans="2:2" ht="12.75" x14ac:dyDescent="0.2">
      <c r="B301" s="221"/>
    </row>
    <row r="302" spans="2:2" ht="12.75" x14ac:dyDescent="0.2">
      <c r="B302" s="221"/>
    </row>
    <row r="303" spans="2:2" ht="12.75" x14ac:dyDescent="0.2">
      <c r="B303" s="221"/>
    </row>
    <row r="304" spans="2:2" ht="12.75" x14ac:dyDescent="0.2">
      <c r="B304" s="221"/>
    </row>
    <row r="305" spans="2:2" ht="12.75" x14ac:dyDescent="0.2">
      <c r="B305" s="221"/>
    </row>
    <row r="306" spans="2:2" ht="12.75" x14ac:dyDescent="0.2">
      <c r="B306" s="221"/>
    </row>
    <row r="307" spans="2:2" ht="12.75" x14ac:dyDescent="0.2">
      <c r="B307" s="221"/>
    </row>
    <row r="308" spans="2:2" ht="12.75" x14ac:dyDescent="0.2">
      <c r="B308" s="221"/>
    </row>
    <row r="309" spans="2:2" ht="12.75" x14ac:dyDescent="0.2">
      <c r="B309" s="221"/>
    </row>
    <row r="310" spans="2:2" ht="12.75" x14ac:dyDescent="0.2">
      <c r="B310" s="221"/>
    </row>
    <row r="311" spans="2:2" ht="12.75" x14ac:dyDescent="0.2">
      <c r="B311" s="221"/>
    </row>
    <row r="312" spans="2:2" ht="12.75" x14ac:dyDescent="0.2">
      <c r="B312" s="221"/>
    </row>
    <row r="313" spans="2:2" ht="12.75" x14ac:dyDescent="0.2">
      <c r="B313" s="221"/>
    </row>
    <row r="314" spans="2:2" ht="12.75" x14ac:dyDescent="0.2">
      <c r="B314" s="221"/>
    </row>
    <row r="315" spans="2:2" ht="12.75" x14ac:dyDescent="0.2">
      <c r="B315" s="221"/>
    </row>
    <row r="316" spans="2:2" ht="12.75" x14ac:dyDescent="0.2">
      <c r="B316" s="221"/>
    </row>
    <row r="317" spans="2:2" ht="12.75" x14ac:dyDescent="0.2">
      <c r="B317" s="221"/>
    </row>
    <row r="318" spans="2:2" ht="12.75" x14ac:dyDescent="0.2">
      <c r="B318" s="221"/>
    </row>
    <row r="319" spans="2:2" ht="12.75" x14ac:dyDescent="0.2">
      <c r="B319" s="221"/>
    </row>
    <row r="320" spans="2:2" ht="12.75" x14ac:dyDescent="0.2">
      <c r="B320" s="221"/>
    </row>
    <row r="321" spans="2:2" ht="12.75" x14ac:dyDescent="0.2">
      <c r="B321" s="221"/>
    </row>
    <row r="322" spans="2:2" ht="12.75" x14ac:dyDescent="0.2">
      <c r="B322" s="221"/>
    </row>
    <row r="323" spans="2:2" ht="12.75" x14ac:dyDescent="0.2">
      <c r="B323" s="221"/>
    </row>
    <row r="324" spans="2:2" ht="12.75" x14ac:dyDescent="0.2">
      <c r="B324" s="221"/>
    </row>
    <row r="325" spans="2:2" ht="12.75" x14ac:dyDescent="0.2">
      <c r="B325" s="221"/>
    </row>
    <row r="326" spans="2:2" ht="12.75" x14ac:dyDescent="0.2">
      <c r="B326" s="221"/>
    </row>
    <row r="327" spans="2:2" ht="12.75" x14ac:dyDescent="0.2">
      <c r="B327" s="221"/>
    </row>
    <row r="328" spans="2:2" ht="12.75" x14ac:dyDescent="0.2">
      <c r="B328" s="221"/>
    </row>
    <row r="329" spans="2:2" ht="12.75" x14ac:dyDescent="0.2">
      <c r="B329" s="221"/>
    </row>
    <row r="330" spans="2:2" ht="12.75" x14ac:dyDescent="0.2">
      <c r="B330" s="221"/>
    </row>
    <row r="331" spans="2:2" ht="12.75" x14ac:dyDescent="0.2">
      <c r="B331" s="221"/>
    </row>
    <row r="332" spans="2:2" ht="12.75" x14ac:dyDescent="0.2">
      <c r="B332" s="221"/>
    </row>
    <row r="333" spans="2:2" ht="12.75" x14ac:dyDescent="0.2">
      <c r="B333" s="221"/>
    </row>
    <row r="334" spans="2:2" ht="12.75" x14ac:dyDescent="0.2">
      <c r="B334" s="221"/>
    </row>
    <row r="335" spans="2:2" ht="12.75" x14ac:dyDescent="0.2">
      <c r="B335" s="221"/>
    </row>
    <row r="336" spans="2:2" ht="12.75" x14ac:dyDescent="0.2">
      <c r="B336" s="221"/>
    </row>
    <row r="337" spans="2:2" ht="12.75" x14ac:dyDescent="0.2">
      <c r="B337" s="221"/>
    </row>
    <row r="338" spans="2:2" ht="12.75" x14ac:dyDescent="0.2">
      <c r="B338" s="221"/>
    </row>
    <row r="339" spans="2:2" ht="12.75" x14ac:dyDescent="0.2">
      <c r="B339" s="221"/>
    </row>
    <row r="340" spans="2:2" ht="12.75" x14ac:dyDescent="0.2">
      <c r="B340" s="221"/>
    </row>
    <row r="341" spans="2:2" ht="12.75" x14ac:dyDescent="0.2">
      <c r="B341" s="221"/>
    </row>
    <row r="342" spans="2:2" ht="12.75" x14ac:dyDescent="0.2">
      <c r="B342" s="221"/>
    </row>
    <row r="343" spans="2:2" ht="12.75" x14ac:dyDescent="0.2">
      <c r="B343" s="221"/>
    </row>
    <row r="344" spans="2:2" ht="12.75" x14ac:dyDescent="0.2">
      <c r="B344" s="221"/>
    </row>
    <row r="345" spans="2:2" ht="12.75" x14ac:dyDescent="0.2">
      <c r="B345" s="221"/>
    </row>
    <row r="346" spans="2:2" ht="12.75" x14ac:dyDescent="0.2">
      <c r="B346" s="221"/>
    </row>
    <row r="347" spans="2:2" ht="12.75" x14ac:dyDescent="0.2">
      <c r="B347" s="221"/>
    </row>
    <row r="348" spans="2:2" ht="12.75" x14ac:dyDescent="0.2">
      <c r="B348" s="221"/>
    </row>
    <row r="349" spans="2:2" ht="12.75" x14ac:dyDescent="0.2">
      <c r="B349" s="221"/>
    </row>
    <row r="350" spans="2:2" ht="12.75" x14ac:dyDescent="0.2">
      <c r="B350" s="221"/>
    </row>
    <row r="351" spans="2:2" ht="12.75" x14ac:dyDescent="0.2">
      <c r="B351" s="221"/>
    </row>
    <row r="352" spans="2:2" ht="12.75" x14ac:dyDescent="0.2">
      <c r="B352" s="221"/>
    </row>
    <row r="353" spans="2:2" ht="12.75" x14ac:dyDescent="0.2">
      <c r="B353" s="221"/>
    </row>
    <row r="354" spans="2:2" ht="12.75" x14ac:dyDescent="0.2">
      <c r="B354" s="221"/>
    </row>
    <row r="355" spans="2:2" ht="12.75" x14ac:dyDescent="0.2">
      <c r="B355" s="221"/>
    </row>
    <row r="356" spans="2:2" ht="12.75" x14ac:dyDescent="0.2">
      <c r="B356" s="221"/>
    </row>
    <row r="357" spans="2:2" ht="12.75" x14ac:dyDescent="0.2">
      <c r="B357" s="221"/>
    </row>
    <row r="358" spans="2:2" ht="12.75" x14ac:dyDescent="0.2">
      <c r="B358" s="221"/>
    </row>
    <row r="359" spans="2:2" ht="12.75" x14ac:dyDescent="0.2">
      <c r="B359" s="221"/>
    </row>
    <row r="360" spans="2:2" ht="12.75" x14ac:dyDescent="0.2">
      <c r="B360" s="221"/>
    </row>
    <row r="361" spans="2:2" ht="12.75" x14ac:dyDescent="0.2">
      <c r="B361" s="221"/>
    </row>
    <row r="362" spans="2:2" ht="12.75" x14ac:dyDescent="0.2">
      <c r="B362" s="221"/>
    </row>
    <row r="363" spans="2:2" ht="12.75" x14ac:dyDescent="0.2">
      <c r="B363" s="221"/>
    </row>
    <row r="364" spans="2:2" ht="12.75" x14ac:dyDescent="0.2">
      <c r="B364" s="221"/>
    </row>
    <row r="365" spans="2:2" ht="12.75" x14ac:dyDescent="0.2">
      <c r="B365" s="221"/>
    </row>
    <row r="366" spans="2:2" ht="12.75" x14ac:dyDescent="0.2">
      <c r="B366" s="221"/>
    </row>
    <row r="367" spans="2:2" ht="12.75" x14ac:dyDescent="0.2">
      <c r="B367" s="221"/>
    </row>
    <row r="368" spans="2:2" ht="12.75" x14ac:dyDescent="0.2">
      <c r="B368" s="221"/>
    </row>
    <row r="369" spans="2:2" ht="12.75" x14ac:dyDescent="0.2">
      <c r="B369" s="221"/>
    </row>
    <row r="370" spans="2:2" ht="12.75" x14ac:dyDescent="0.2">
      <c r="B370" s="221"/>
    </row>
    <row r="371" spans="2:2" ht="12.75" x14ac:dyDescent="0.2">
      <c r="B371" s="221"/>
    </row>
    <row r="372" spans="2:2" ht="12.75" x14ac:dyDescent="0.2">
      <c r="B372" s="221"/>
    </row>
    <row r="373" spans="2:2" ht="12.75" x14ac:dyDescent="0.2">
      <c r="B373" s="221"/>
    </row>
    <row r="374" spans="2:2" ht="12.75" x14ac:dyDescent="0.2">
      <c r="B374" s="221"/>
    </row>
    <row r="375" spans="2:2" ht="12.75" x14ac:dyDescent="0.2">
      <c r="B375" s="221"/>
    </row>
    <row r="376" spans="2:2" ht="12.75" x14ac:dyDescent="0.2">
      <c r="B376" s="221"/>
    </row>
    <row r="377" spans="2:2" ht="12.75" x14ac:dyDescent="0.2">
      <c r="B377" s="221"/>
    </row>
    <row r="378" spans="2:2" ht="12.75" x14ac:dyDescent="0.2">
      <c r="B378" s="221"/>
    </row>
    <row r="379" spans="2:2" ht="12.75" x14ac:dyDescent="0.2">
      <c r="B379" s="221"/>
    </row>
    <row r="380" spans="2:2" ht="12.75" x14ac:dyDescent="0.2">
      <c r="B380" s="221"/>
    </row>
    <row r="381" spans="2:2" ht="12.75" x14ac:dyDescent="0.2">
      <c r="B381" s="221"/>
    </row>
    <row r="382" spans="2:2" ht="12.75" x14ac:dyDescent="0.2">
      <c r="B382" s="221"/>
    </row>
    <row r="383" spans="2:2" ht="12.75" x14ac:dyDescent="0.2">
      <c r="B383" s="221"/>
    </row>
    <row r="384" spans="2:2" ht="12.75" x14ac:dyDescent="0.2">
      <c r="B384" s="221"/>
    </row>
    <row r="385" spans="2:2" ht="12.75" x14ac:dyDescent="0.2">
      <c r="B385" s="221"/>
    </row>
    <row r="386" spans="2:2" ht="12.75" x14ac:dyDescent="0.2">
      <c r="B386" s="221"/>
    </row>
    <row r="387" spans="2:2" ht="12.75" x14ac:dyDescent="0.2">
      <c r="B387" s="221"/>
    </row>
    <row r="388" spans="2:2" ht="12.75" x14ac:dyDescent="0.2">
      <c r="B388" s="221"/>
    </row>
    <row r="389" spans="2:2" ht="12.75" x14ac:dyDescent="0.2">
      <c r="B389" s="221"/>
    </row>
    <row r="390" spans="2:2" ht="12.75" x14ac:dyDescent="0.2">
      <c r="B390" s="221"/>
    </row>
    <row r="391" spans="2:2" ht="12.75" x14ac:dyDescent="0.2">
      <c r="B391" s="221"/>
    </row>
    <row r="392" spans="2:2" ht="12.75" x14ac:dyDescent="0.2">
      <c r="B392" s="221"/>
    </row>
    <row r="393" spans="2:2" ht="12.75" x14ac:dyDescent="0.2">
      <c r="B393" s="221"/>
    </row>
    <row r="394" spans="2:2" ht="12.75" x14ac:dyDescent="0.2">
      <c r="B394" s="221"/>
    </row>
    <row r="395" spans="2:2" ht="12.75" x14ac:dyDescent="0.2">
      <c r="B395" s="221"/>
    </row>
    <row r="396" spans="2:2" ht="12.75" x14ac:dyDescent="0.2">
      <c r="B396" s="221"/>
    </row>
    <row r="397" spans="2:2" ht="12.75" x14ac:dyDescent="0.2">
      <c r="B397" s="221"/>
    </row>
    <row r="398" spans="2:2" ht="12.75" x14ac:dyDescent="0.2">
      <c r="B398" s="221"/>
    </row>
    <row r="399" spans="2:2" ht="12.75" x14ac:dyDescent="0.2">
      <c r="B399" s="221"/>
    </row>
    <row r="400" spans="2:2" ht="12.75" x14ac:dyDescent="0.2">
      <c r="B400" s="221"/>
    </row>
    <row r="401" spans="2:2" ht="12.75" x14ac:dyDescent="0.2">
      <c r="B401" s="221"/>
    </row>
    <row r="402" spans="2:2" ht="12.75" x14ac:dyDescent="0.2">
      <c r="B402" s="221"/>
    </row>
    <row r="403" spans="2:2" ht="12.75" x14ac:dyDescent="0.2">
      <c r="B403" s="221"/>
    </row>
    <row r="404" spans="2:2" ht="12.75" x14ac:dyDescent="0.2">
      <c r="B404" s="221"/>
    </row>
    <row r="405" spans="2:2" ht="12.75" x14ac:dyDescent="0.2">
      <c r="B405" s="221"/>
    </row>
    <row r="406" spans="2:2" ht="12.75" x14ac:dyDescent="0.2">
      <c r="B406" s="221"/>
    </row>
    <row r="407" spans="2:2" ht="12.75" x14ac:dyDescent="0.2">
      <c r="B407" s="221"/>
    </row>
    <row r="408" spans="2:2" ht="12.75" x14ac:dyDescent="0.2">
      <c r="B408" s="221"/>
    </row>
    <row r="409" spans="2:2" ht="12.75" x14ac:dyDescent="0.2">
      <c r="B409" s="221"/>
    </row>
    <row r="410" spans="2:2" ht="12.75" x14ac:dyDescent="0.2">
      <c r="B410" s="221"/>
    </row>
    <row r="411" spans="2:2" ht="12.75" x14ac:dyDescent="0.2">
      <c r="B411" s="221"/>
    </row>
    <row r="412" spans="2:2" ht="12.75" x14ac:dyDescent="0.2">
      <c r="B412" s="221"/>
    </row>
    <row r="413" spans="2:2" ht="12.75" x14ac:dyDescent="0.2">
      <c r="B413" s="221"/>
    </row>
    <row r="414" spans="2:2" ht="12.75" x14ac:dyDescent="0.2">
      <c r="B414" s="221"/>
    </row>
    <row r="415" spans="2:2" ht="12.75" x14ac:dyDescent="0.2">
      <c r="B415" s="221"/>
    </row>
    <row r="416" spans="2:2" ht="12.75" x14ac:dyDescent="0.2">
      <c r="B416" s="221"/>
    </row>
    <row r="417" spans="2:2" ht="12.75" x14ac:dyDescent="0.2">
      <c r="B417" s="221"/>
    </row>
    <row r="418" spans="2:2" ht="12.75" x14ac:dyDescent="0.2">
      <c r="B418" s="221"/>
    </row>
    <row r="419" spans="2:2" ht="12.75" x14ac:dyDescent="0.2">
      <c r="B419" s="221"/>
    </row>
    <row r="420" spans="2:2" ht="12.75" x14ac:dyDescent="0.2">
      <c r="B420" s="221"/>
    </row>
    <row r="421" spans="2:2" ht="12.75" x14ac:dyDescent="0.2">
      <c r="B421" s="221"/>
    </row>
    <row r="422" spans="2:2" ht="12.75" x14ac:dyDescent="0.2">
      <c r="B422" s="221"/>
    </row>
    <row r="423" spans="2:2" ht="12.75" x14ac:dyDescent="0.2">
      <c r="B423" s="221"/>
    </row>
    <row r="424" spans="2:2" ht="12.75" x14ac:dyDescent="0.2">
      <c r="B424" s="221"/>
    </row>
    <row r="425" spans="2:2" ht="12.75" x14ac:dyDescent="0.2">
      <c r="B425" s="221"/>
    </row>
    <row r="426" spans="2:2" ht="12.75" x14ac:dyDescent="0.2">
      <c r="B426" s="221"/>
    </row>
    <row r="427" spans="2:2" ht="12.75" x14ac:dyDescent="0.2">
      <c r="B427" s="221"/>
    </row>
    <row r="428" spans="2:2" ht="12.75" x14ac:dyDescent="0.2">
      <c r="B428" s="221"/>
    </row>
    <row r="429" spans="2:2" ht="12.75" x14ac:dyDescent="0.2">
      <c r="B429" s="221"/>
    </row>
    <row r="430" spans="2:2" ht="12.75" x14ac:dyDescent="0.2">
      <c r="B430" s="221"/>
    </row>
    <row r="431" spans="2:2" ht="12.75" x14ac:dyDescent="0.2">
      <c r="B431" s="221"/>
    </row>
    <row r="432" spans="2:2" ht="12.75" x14ac:dyDescent="0.2">
      <c r="B432" s="221"/>
    </row>
    <row r="433" spans="2:2" ht="12.75" x14ac:dyDescent="0.2">
      <c r="B433" s="221"/>
    </row>
    <row r="434" spans="2:2" ht="12.75" x14ac:dyDescent="0.2">
      <c r="B434" s="221"/>
    </row>
    <row r="435" spans="2:2" ht="12.75" x14ac:dyDescent="0.2">
      <c r="B435" s="221"/>
    </row>
    <row r="436" spans="2:2" ht="12.75" x14ac:dyDescent="0.2">
      <c r="B436" s="221"/>
    </row>
    <row r="437" spans="2:2" ht="12.75" x14ac:dyDescent="0.2">
      <c r="B437" s="221"/>
    </row>
    <row r="438" spans="2:2" ht="12.75" x14ac:dyDescent="0.2">
      <c r="B438" s="221"/>
    </row>
    <row r="439" spans="2:2" ht="12.75" x14ac:dyDescent="0.2">
      <c r="B439" s="221"/>
    </row>
    <row r="440" spans="2:2" ht="12.75" x14ac:dyDescent="0.2">
      <c r="B440" s="221"/>
    </row>
    <row r="441" spans="2:2" ht="12.75" x14ac:dyDescent="0.2">
      <c r="B441" s="221"/>
    </row>
    <row r="442" spans="2:2" ht="12.75" x14ac:dyDescent="0.2">
      <c r="B442" s="221"/>
    </row>
    <row r="443" spans="2:2" ht="12.75" x14ac:dyDescent="0.2">
      <c r="B443" s="221"/>
    </row>
    <row r="444" spans="2:2" ht="12.75" x14ac:dyDescent="0.2">
      <c r="B444" s="221"/>
    </row>
    <row r="445" spans="2:2" ht="12.75" x14ac:dyDescent="0.2">
      <c r="B445" s="221"/>
    </row>
    <row r="446" spans="2:2" ht="12.75" x14ac:dyDescent="0.2">
      <c r="B446" s="221"/>
    </row>
    <row r="447" spans="2:2" ht="12.75" x14ac:dyDescent="0.2">
      <c r="B447" s="221"/>
    </row>
    <row r="448" spans="2:2" ht="12.75" x14ac:dyDescent="0.2">
      <c r="B448" s="221"/>
    </row>
    <row r="449" spans="2:2" ht="12.75" x14ac:dyDescent="0.2">
      <c r="B449" s="221"/>
    </row>
    <row r="450" spans="2:2" ht="12.75" x14ac:dyDescent="0.2">
      <c r="B450" s="221"/>
    </row>
    <row r="451" spans="2:2" ht="12.75" x14ac:dyDescent="0.2">
      <c r="B451" s="221"/>
    </row>
    <row r="452" spans="2:2" ht="12.75" x14ac:dyDescent="0.2">
      <c r="B452" s="221"/>
    </row>
    <row r="453" spans="2:2" ht="12.75" x14ac:dyDescent="0.2">
      <c r="B453" s="221"/>
    </row>
    <row r="454" spans="2:2" ht="12.75" x14ac:dyDescent="0.2">
      <c r="B454" s="221"/>
    </row>
    <row r="455" spans="2:2" ht="12.75" x14ac:dyDescent="0.2">
      <c r="B455" s="221"/>
    </row>
    <row r="456" spans="2:2" ht="12.75" x14ac:dyDescent="0.2">
      <c r="B456" s="221"/>
    </row>
    <row r="457" spans="2:2" ht="12.75" x14ac:dyDescent="0.2">
      <c r="B457" s="221"/>
    </row>
    <row r="458" spans="2:2" ht="12.75" x14ac:dyDescent="0.2">
      <c r="B458" s="221"/>
    </row>
    <row r="459" spans="2:2" ht="12.75" x14ac:dyDescent="0.2">
      <c r="B459" s="221"/>
    </row>
    <row r="460" spans="2:2" ht="12.75" x14ac:dyDescent="0.2">
      <c r="B460" s="221"/>
    </row>
    <row r="461" spans="2:2" ht="12.75" x14ac:dyDescent="0.2">
      <c r="B461" s="221"/>
    </row>
    <row r="462" spans="2:2" ht="12.75" x14ac:dyDescent="0.2">
      <c r="B462" s="221"/>
    </row>
    <row r="463" spans="2:2" ht="12.75" x14ac:dyDescent="0.2">
      <c r="B463" s="221"/>
    </row>
    <row r="464" spans="2:2" ht="12.75" x14ac:dyDescent="0.2">
      <c r="B464" s="221"/>
    </row>
    <row r="465" spans="2:2" ht="12.75" x14ac:dyDescent="0.2">
      <c r="B465" s="221"/>
    </row>
    <row r="466" spans="2:2" ht="12.75" x14ac:dyDescent="0.2">
      <c r="B466" s="221"/>
    </row>
    <row r="467" spans="2:2" ht="12.75" x14ac:dyDescent="0.2">
      <c r="B467" s="221"/>
    </row>
    <row r="468" spans="2:2" ht="12.75" x14ac:dyDescent="0.2">
      <c r="B468" s="221"/>
    </row>
    <row r="469" spans="2:2" ht="12.75" x14ac:dyDescent="0.2">
      <c r="B469" s="221"/>
    </row>
    <row r="470" spans="2:2" ht="12.75" x14ac:dyDescent="0.2">
      <c r="B470" s="221"/>
    </row>
    <row r="471" spans="2:2" ht="12.75" x14ac:dyDescent="0.2">
      <c r="B471" s="221"/>
    </row>
    <row r="472" spans="2:2" ht="12.75" x14ac:dyDescent="0.2">
      <c r="B472" s="221"/>
    </row>
    <row r="473" spans="2:2" ht="12.75" x14ac:dyDescent="0.2">
      <c r="B473" s="221"/>
    </row>
    <row r="474" spans="2:2" ht="12.75" x14ac:dyDescent="0.2">
      <c r="B474" s="221"/>
    </row>
    <row r="475" spans="2:2" ht="12.75" x14ac:dyDescent="0.2">
      <c r="B475" s="221"/>
    </row>
    <row r="476" spans="2:2" ht="12.75" x14ac:dyDescent="0.2">
      <c r="B476" s="221"/>
    </row>
    <row r="477" spans="2:2" ht="12.75" x14ac:dyDescent="0.2">
      <c r="B477" s="221"/>
    </row>
    <row r="478" spans="2:2" ht="12.75" x14ac:dyDescent="0.2">
      <c r="B478" s="221"/>
    </row>
    <row r="479" spans="2:2" ht="12.75" x14ac:dyDescent="0.2">
      <c r="B479" s="221"/>
    </row>
    <row r="480" spans="2:2" ht="12.75" x14ac:dyDescent="0.2">
      <c r="B480" s="221"/>
    </row>
    <row r="481" spans="2:2" ht="12.75" x14ac:dyDescent="0.2">
      <c r="B481" s="221"/>
    </row>
    <row r="482" spans="2:2" ht="12.75" x14ac:dyDescent="0.2">
      <c r="B482" s="221"/>
    </row>
    <row r="483" spans="2:2" ht="12.75" x14ac:dyDescent="0.2">
      <c r="B483" s="221"/>
    </row>
    <row r="484" spans="2:2" ht="12.75" x14ac:dyDescent="0.2">
      <c r="B484" s="221"/>
    </row>
    <row r="485" spans="2:2" ht="12.75" x14ac:dyDescent="0.2">
      <c r="B485" s="221"/>
    </row>
    <row r="486" spans="2:2" ht="12.75" x14ac:dyDescent="0.2">
      <c r="B486" s="221"/>
    </row>
    <row r="487" spans="2:2" ht="12.75" x14ac:dyDescent="0.2">
      <c r="B487" s="221"/>
    </row>
    <row r="488" spans="2:2" ht="12.75" x14ac:dyDescent="0.2">
      <c r="B488" s="221"/>
    </row>
    <row r="489" spans="2:2" ht="12.75" x14ac:dyDescent="0.2">
      <c r="B489" s="221"/>
    </row>
    <row r="490" spans="2:2" ht="12.75" x14ac:dyDescent="0.2">
      <c r="B490" s="221"/>
    </row>
    <row r="491" spans="2:2" ht="12.75" x14ac:dyDescent="0.2">
      <c r="B491" s="221"/>
    </row>
    <row r="492" spans="2:2" ht="12.75" x14ac:dyDescent="0.2">
      <c r="B492" s="221"/>
    </row>
    <row r="493" spans="2:2" ht="12.75" x14ac:dyDescent="0.2">
      <c r="B493" s="221"/>
    </row>
    <row r="494" spans="2:2" ht="12.75" x14ac:dyDescent="0.2">
      <c r="B494" s="221"/>
    </row>
    <row r="495" spans="2:2" ht="12.75" x14ac:dyDescent="0.2">
      <c r="B495" s="221"/>
    </row>
    <row r="496" spans="2:2" ht="12.75" x14ac:dyDescent="0.2">
      <c r="B496" s="221"/>
    </row>
    <row r="497" spans="2:2" ht="12.75" x14ac:dyDescent="0.2">
      <c r="B497" s="221"/>
    </row>
    <row r="498" spans="2:2" ht="12.75" x14ac:dyDescent="0.2">
      <c r="B498" s="221"/>
    </row>
    <row r="499" spans="2:2" ht="12.75" x14ac:dyDescent="0.2">
      <c r="B499" s="221"/>
    </row>
    <row r="500" spans="2:2" ht="12.75" x14ac:dyDescent="0.2">
      <c r="B500" s="221"/>
    </row>
    <row r="501" spans="2:2" ht="12.75" x14ac:dyDescent="0.2">
      <c r="B501" s="221"/>
    </row>
    <row r="502" spans="2:2" ht="12.75" x14ac:dyDescent="0.2">
      <c r="B502" s="221"/>
    </row>
    <row r="503" spans="2:2" ht="12.75" x14ac:dyDescent="0.2">
      <c r="B503" s="221"/>
    </row>
    <row r="504" spans="2:2" ht="12.75" x14ac:dyDescent="0.2">
      <c r="B504" s="221"/>
    </row>
    <row r="505" spans="2:2" ht="12.75" x14ac:dyDescent="0.2">
      <c r="B505" s="221"/>
    </row>
    <row r="506" spans="2:2" ht="12.75" x14ac:dyDescent="0.2">
      <c r="B506" s="221"/>
    </row>
    <row r="507" spans="2:2" ht="12.75" x14ac:dyDescent="0.2">
      <c r="B507" s="221"/>
    </row>
    <row r="508" spans="2:2" ht="12.75" x14ac:dyDescent="0.2">
      <c r="B508" s="221"/>
    </row>
    <row r="509" spans="2:2" ht="12.75" x14ac:dyDescent="0.2">
      <c r="B509" s="221"/>
    </row>
    <row r="510" spans="2:2" ht="12.75" x14ac:dyDescent="0.2">
      <c r="B510" s="221"/>
    </row>
    <row r="511" spans="2:2" ht="12.75" x14ac:dyDescent="0.2">
      <c r="B511" s="221"/>
    </row>
    <row r="512" spans="2:2" ht="12.75" x14ac:dyDescent="0.2">
      <c r="B512" s="221"/>
    </row>
    <row r="513" spans="2:2" ht="12.75" x14ac:dyDescent="0.2">
      <c r="B513" s="221"/>
    </row>
    <row r="514" spans="2:2" ht="12.75" x14ac:dyDescent="0.2">
      <c r="B514" s="221"/>
    </row>
    <row r="515" spans="2:2" ht="12.75" x14ac:dyDescent="0.2">
      <c r="B515" s="221"/>
    </row>
    <row r="516" spans="2:2" ht="12.75" x14ac:dyDescent="0.2">
      <c r="B516" s="221"/>
    </row>
    <row r="517" spans="2:2" ht="12.75" x14ac:dyDescent="0.2">
      <c r="B517" s="221"/>
    </row>
    <row r="518" spans="2:2" ht="12.75" x14ac:dyDescent="0.2">
      <c r="B518" s="221"/>
    </row>
    <row r="519" spans="2:2" ht="12.75" x14ac:dyDescent="0.2">
      <c r="B519" s="221"/>
    </row>
    <row r="520" spans="2:2" ht="12.75" x14ac:dyDescent="0.2">
      <c r="B520" s="221"/>
    </row>
    <row r="521" spans="2:2" ht="12.75" x14ac:dyDescent="0.2">
      <c r="B521" s="221"/>
    </row>
    <row r="522" spans="2:2" ht="12.75" x14ac:dyDescent="0.2">
      <c r="B522" s="221"/>
    </row>
    <row r="523" spans="2:2" ht="12.75" x14ac:dyDescent="0.2">
      <c r="B523" s="221"/>
    </row>
    <row r="524" spans="2:2" ht="12.75" x14ac:dyDescent="0.2">
      <c r="B524" s="221"/>
    </row>
    <row r="525" spans="2:2" ht="12.75" x14ac:dyDescent="0.2">
      <c r="B525" s="221"/>
    </row>
    <row r="526" spans="2:2" ht="12.75" x14ac:dyDescent="0.2">
      <c r="B526" s="221"/>
    </row>
    <row r="527" spans="2:2" ht="12.75" x14ac:dyDescent="0.2">
      <c r="B527" s="221"/>
    </row>
    <row r="528" spans="2:2" ht="12.75" x14ac:dyDescent="0.2">
      <c r="B528" s="221"/>
    </row>
    <row r="529" spans="2:2" ht="12.75" x14ac:dyDescent="0.2">
      <c r="B529" s="221"/>
    </row>
    <row r="530" spans="2:2" ht="12.75" x14ac:dyDescent="0.2">
      <c r="B530" s="221"/>
    </row>
    <row r="531" spans="2:2" ht="12.75" x14ac:dyDescent="0.2">
      <c r="B531" s="221"/>
    </row>
    <row r="532" spans="2:2" ht="12.75" x14ac:dyDescent="0.2">
      <c r="B532" s="221"/>
    </row>
    <row r="533" spans="2:2" ht="12.75" x14ac:dyDescent="0.2">
      <c r="B533" s="221"/>
    </row>
    <row r="534" spans="2:2" ht="12.75" x14ac:dyDescent="0.2">
      <c r="B534" s="221"/>
    </row>
    <row r="535" spans="2:2" ht="12.75" x14ac:dyDescent="0.2">
      <c r="B535" s="221"/>
    </row>
    <row r="536" spans="2:2" ht="12.75" x14ac:dyDescent="0.2">
      <c r="B536" s="221"/>
    </row>
    <row r="537" spans="2:2" ht="12.75" x14ac:dyDescent="0.2">
      <c r="B537" s="221"/>
    </row>
    <row r="538" spans="2:2" ht="12.75" x14ac:dyDescent="0.2">
      <c r="B538" s="221"/>
    </row>
    <row r="539" spans="2:2" ht="12.75" x14ac:dyDescent="0.2">
      <c r="B539" s="221"/>
    </row>
    <row r="540" spans="2:2" ht="12.75" x14ac:dyDescent="0.2">
      <c r="B540" s="221"/>
    </row>
    <row r="541" spans="2:2" ht="12.75" x14ac:dyDescent="0.2">
      <c r="B541" s="221"/>
    </row>
    <row r="542" spans="2:2" ht="12.75" x14ac:dyDescent="0.2">
      <c r="B542" s="221"/>
    </row>
    <row r="543" spans="2:2" ht="12.75" x14ac:dyDescent="0.2">
      <c r="B543" s="221"/>
    </row>
    <row r="544" spans="2:2" ht="12.75" x14ac:dyDescent="0.2">
      <c r="B544" s="221"/>
    </row>
    <row r="545" spans="2:2" ht="12.75" x14ac:dyDescent="0.2">
      <c r="B545" s="221"/>
    </row>
    <row r="546" spans="2:2" ht="12.75" x14ac:dyDescent="0.2">
      <c r="B546" s="221"/>
    </row>
    <row r="547" spans="2:2" ht="12.75" x14ac:dyDescent="0.2">
      <c r="B547" s="221"/>
    </row>
    <row r="548" spans="2:2" ht="12.75" x14ac:dyDescent="0.2">
      <c r="B548" s="221"/>
    </row>
    <row r="549" spans="2:2" ht="12.75" x14ac:dyDescent="0.2">
      <c r="B549" s="221"/>
    </row>
    <row r="550" spans="2:2" ht="12.75" x14ac:dyDescent="0.2">
      <c r="B550" s="221"/>
    </row>
    <row r="551" spans="2:2" ht="12.75" x14ac:dyDescent="0.2">
      <c r="B551" s="221"/>
    </row>
    <row r="552" spans="2:2" ht="12.75" x14ac:dyDescent="0.2">
      <c r="B552" s="221"/>
    </row>
    <row r="553" spans="2:2" ht="12.75" x14ac:dyDescent="0.2">
      <c r="B553" s="221"/>
    </row>
    <row r="554" spans="2:2" ht="12.75" x14ac:dyDescent="0.2">
      <c r="B554" s="221"/>
    </row>
    <row r="555" spans="2:2" ht="12.75" x14ac:dyDescent="0.2">
      <c r="B555" s="221"/>
    </row>
    <row r="556" spans="2:2" ht="12.75" x14ac:dyDescent="0.2">
      <c r="B556" s="221"/>
    </row>
    <row r="557" spans="2:2" ht="12.75" x14ac:dyDescent="0.2">
      <c r="B557" s="221"/>
    </row>
    <row r="558" spans="2:2" ht="12.75" x14ac:dyDescent="0.2">
      <c r="B558" s="221"/>
    </row>
    <row r="559" spans="2:2" ht="12.75" x14ac:dyDescent="0.2">
      <c r="B559" s="221"/>
    </row>
    <row r="560" spans="2:2" ht="12.75" x14ac:dyDescent="0.2">
      <c r="B560" s="221"/>
    </row>
    <row r="561" spans="2:2" ht="12.75" x14ac:dyDescent="0.2">
      <c r="B561" s="221"/>
    </row>
    <row r="562" spans="2:2" ht="12.75" x14ac:dyDescent="0.2">
      <c r="B562" s="221"/>
    </row>
    <row r="563" spans="2:2" ht="12.75" x14ac:dyDescent="0.2">
      <c r="B563" s="221"/>
    </row>
    <row r="564" spans="2:2" ht="12.75" x14ac:dyDescent="0.2">
      <c r="B564" s="221"/>
    </row>
    <row r="565" spans="2:2" ht="12.75" x14ac:dyDescent="0.2">
      <c r="B565" s="221"/>
    </row>
    <row r="566" spans="2:2" ht="12.75" x14ac:dyDescent="0.2">
      <c r="B566" s="221"/>
    </row>
    <row r="567" spans="2:2" ht="12.75" x14ac:dyDescent="0.2">
      <c r="B567" s="221"/>
    </row>
    <row r="568" spans="2:2" ht="12.75" x14ac:dyDescent="0.2">
      <c r="B568" s="221"/>
    </row>
    <row r="569" spans="2:2" ht="12.75" x14ac:dyDescent="0.2">
      <c r="B569" s="221"/>
    </row>
    <row r="570" spans="2:2" ht="12.75" x14ac:dyDescent="0.2">
      <c r="B570" s="221"/>
    </row>
    <row r="571" spans="2:2" ht="12.75" x14ac:dyDescent="0.2">
      <c r="B571" s="221"/>
    </row>
    <row r="572" spans="2:2" ht="12.75" x14ac:dyDescent="0.2">
      <c r="B572" s="221"/>
    </row>
    <row r="573" spans="2:2" ht="12.75" x14ac:dyDescent="0.2">
      <c r="B573" s="221"/>
    </row>
    <row r="574" spans="2:2" ht="12.75" x14ac:dyDescent="0.2">
      <c r="B574" s="221"/>
    </row>
    <row r="575" spans="2:2" ht="12.75" x14ac:dyDescent="0.2">
      <c r="B575" s="221"/>
    </row>
    <row r="576" spans="2:2" ht="12.75" x14ac:dyDescent="0.2">
      <c r="B576" s="221"/>
    </row>
    <row r="577" spans="2:2" ht="12.75" x14ac:dyDescent="0.2">
      <c r="B577" s="221"/>
    </row>
    <row r="578" spans="2:2" ht="12.75" x14ac:dyDescent="0.2">
      <c r="B578" s="221"/>
    </row>
    <row r="579" spans="2:2" ht="12.75" x14ac:dyDescent="0.2">
      <c r="B579" s="221"/>
    </row>
    <row r="580" spans="2:2" ht="12.75" x14ac:dyDescent="0.2">
      <c r="B580" s="221"/>
    </row>
    <row r="581" spans="2:2" ht="12.75" x14ac:dyDescent="0.2">
      <c r="B581" s="221"/>
    </row>
    <row r="582" spans="2:2" ht="12.75" x14ac:dyDescent="0.2">
      <c r="B582" s="221"/>
    </row>
    <row r="583" spans="2:2" ht="12.75" x14ac:dyDescent="0.2">
      <c r="B583" s="221"/>
    </row>
    <row r="584" spans="2:2" ht="12.75" x14ac:dyDescent="0.2">
      <c r="B584" s="221"/>
    </row>
    <row r="585" spans="2:2" ht="12.75" x14ac:dyDescent="0.2">
      <c r="B585" s="221"/>
    </row>
    <row r="586" spans="2:2" ht="12.75" x14ac:dyDescent="0.2">
      <c r="B586" s="221"/>
    </row>
    <row r="587" spans="2:2" ht="12.75" x14ac:dyDescent="0.2">
      <c r="B587" s="221"/>
    </row>
    <row r="588" spans="2:2" ht="12.75" x14ac:dyDescent="0.2">
      <c r="B588" s="221"/>
    </row>
    <row r="589" spans="2:2" ht="12.75" x14ac:dyDescent="0.2">
      <c r="B589" s="221"/>
    </row>
    <row r="590" spans="2:2" ht="12.75" x14ac:dyDescent="0.2">
      <c r="B590" s="221"/>
    </row>
    <row r="591" spans="2:2" ht="12.75" x14ac:dyDescent="0.2">
      <c r="B591" s="221"/>
    </row>
    <row r="592" spans="2:2" ht="12.75" x14ac:dyDescent="0.2">
      <c r="B592" s="221"/>
    </row>
    <row r="593" spans="2:2" ht="12.75" x14ac:dyDescent="0.2">
      <c r="B593" s="221"/>
    </row>
    <row r="594" spans="2:2" ht="12.75" x14ac:dyDescent="0.2">
      <c r="B594" s="221"/>
    </row>
    <row r="595" spans="2:2" ht="12.75" x14ac:dyDescent="0.2">
      <c r="B595" s="221"/>
    </row>
    <row r="596" spans="2:2" ht="12.75" x14ac:dyDescent="0.2">
      <c r="B596" s="221"/>
    </row>
    <row r="597" spans="2:2" ht="12.75" x14ac:dyDescent="0.2">
      <c r="B597" s="221"/>
    </row>
    <row r="598" spans="2:2" ht="12.75" x14ac:dyDescent="0.2">
      <c r="B598" s="221"/>
    </row>
    <row r="599" spans="2:2" ht="12.75" x14ac:dyDescent="0.2">
      <c r="B599" s="221"/>
    </row>
    <row r="600" spans="2:2" ht="12.75" x14ac:dyDescent="0.2">
      <c r="B600" s="221"/>
    </row>
    <row r="601" spans="2:2" ht="12.75" x14ac:dyDescent="0.2">
      <c r="B601" s="221"/>
    </row>
    <row r="602" spans="2:2" ht="12.75" x14ac:dyDescent="0.2">
      <c r="B602" s="221"/>
    </row>
    <row r="603" spans="2:2" ht="12.75" x14ac:dyDescent="0.2">
      <c r="B603" s="221"/>
    </row>
    <row r="604" spans="2:2" ht="12.75" x14ac:dyDescent="0.2">
      <c r="B604" s="221"/>
    </row>
    <row r="605" spans="2:2" ht="12.75" x14ac:dyDescent="0.2">
      <c r="B605" s="221"/>
    </row>
    <row r="606" spans="2:2" ht="12.75" x14ac:dyDescent="0.2">
      <c r="B606" s="221"/>
    </row>
    <row r="607" spans="2:2" ht="12.75" x14ac:dyDescent="0.2">
      <c r="B607" s="221"/>
    </row>
    <row r="608" spans="2:2" ht="12.75" x14ac:dyDescent="0.2">
      <c r="B608" s="221"/>
    </row>
    <row r="609" spans="2:2" ht="12.75" x14ac:dyDescent="0.2">
      <c r="B609" s="221"/>
    </row>
    <row r="610" spans="2:2" ht="12.75" x14ac:dyDescent="0.2">
      <c r="B610" s="221"/>
    </row>
    <row r="611" spans="2:2" ht="12.75" x14ac:dyDescent="0.2">
      <c r="B611" s="221"/>
    </row>
    <row r="612" spans="2:2" ht="12.75" x14ac:dyDescent="0.2">
      <c r="B612" s="221"/>
    </row>
    <row r="613" spans="2:2" ht="12.75" x14ac:dyDescent="0.2">
      <c r="B613" s="221"/>
    </row>
    <row r="614" spans="2:2" ht="12.75" x14ac:dyDescent="0.2">
      <c r="B614" s="221"/>
    </row>
    <row r="615" spans="2:2" ht="12.75" x14ac:dyDescent="0.2">
      <c r="B615" s="221"/>
    </row>
    <row r="616" spans="2:2" ht="12.75" x14ac:dyDescent="0.2">
      <c r="B616" s="221"/>
    </row>
    <row r="617" spans="2:2" ht="12.75" x14ac:dyDescent="0.2">
      <c r="B617" s="221"/>
    </row>
    <row r="618" spans="2:2" ht="12.75" x14ac:dyDescent="0.2">
      <c r="B618" s="221"/>
    </row>
    <row r="619" spans="2:2" ht="12.75" x14ac:dyDescent="0.2">
      <c r="B619" s="221"/>
    </row>
    <row r="620" spans="2:2" ht="12.75" x14ac:dyDescent="0.2">
      <c r="B620" s="221"/>
    </row>
    <row r="621" spans="2:2" ht="12.75" x14ac:dyDescent="0.2">
      <c r="B621" s="221"/>
    </row>
    <row r="622" spans="2:2" ht="12.75" x14ac:dyDescent="0.2">
      <c r="B622" s="221"/>
    </row>
    <row r="623" spans="2:2" ht="12.75" x14ac:dyDescent="0.2">
      <c r="B623" s="221"/>
    </row>
    <row r="624" spans="2:2" ht="12.75" x14ac:dyDescent="0.2">
      <c r="B624" s="221"/>
    </row>
    <row r="625" spans="2:2" ht="12.75" x14ac:dyDescent="0.2">
      <c r="B625" s="221"/>
    </row>
    <row r="626" spans="2:2" ht="12.75" x14ac:dyDescent="0.2">
      <c r="B626" s="221"/>
    </row>
    <row r="627" spans="2:2" ht="12.75" x14ac:dyDescent="0.2">
      <c r="B627" s="221"/>
    </row>
    <row r="628" spans="2:2" ht="12.75" x14ac:dyDescent="0.2">
      <c r="B628" s="221"/>
    </row>
    <row r="629" spans="2:2" ht="12.75" x14ac:dyDescent="0.2">
      <c r="B629" s="221"/>
    </row>
    <row r="630" spans="2:2" ht="12.75" x14ac:dyDescent="0.2">
      <c r="B630" s="221"/>
    </row>
    <row r="631" spans="2:2" ht="12.75" x14ac:dyDescent="0.2">
      <c r="B631" s="221"/>
    </row>
    <row r="632" spans="2:2" ht="12.75" x14ac:dyDescent="0.2">
      <c r="B632" s="221"/>
    </row>
    <row r="633" spans="2:2" ht="12.75" x14ac:dyDescent="0.2">
      <c r="B633" s="221"/>
    </row>
    <row r="634" spans="2:2" ht="12.75" x14ac:dyDescent="0.2">
      <c r="B634" s="221"/>
    </row>
    <row r="635" spans="2:2" ht="12.75" x14ac:dyDescent="0.2">
      <c r="B635" s="221"/>
    </row>
    <row r="636" spans="2:2" ht="12.75" x14ac:dyDescent="0.2">
      <c r="B636" s="221"/>
    </row>
    <row r="637" spans="2:2" ht="12.75" x14ac:dyDescent="0.2">
      <c r="B637" s="221"/>
    </row>
    <row r="638" spans="2:2" ht="12.75" x14ac:dyDescent="0.2">
      <c r="B638" s="221"/>
    </row>
    <row r="639" spans="2:2" ht="12.75" x14ac:dyDescent="0.2">
      <c r="B639" s="221"/>
    </row>
    <row r="640" spans="2:2" ht="12.75" x14ac:dyDescent="0.2">
      <c r="B640" s="221"/>
    </row>
    <row r="641" spans="2:2" ht="12.75" x14ac:dyDescent="0.2">
      <c r="B641" s="221"/>
    </row>
    <row r="642" spans="2:2" ht="12.75" x14ac:dyDescent="0.2">
      <c r="B642" s="221"/>
    </row>
    <row r="643" spans="2:2" ht="12.75" x14ac:dyDescent="0.2">
      <c r="B643" s="221"/>
    </row>
    <row r="644" spans="2:2" ht="12.75" x14ac:dyDescent="0.2">
      <c r="B644" s="221"/>
    </row>
    <row r="645" spans="2:2" ht="12.75" x14ac:dyDescent="0.2">
      <c r="B645" s="221"/>
    </row>
    <row r="646" spans="2:2" ht="12.75" x14ac:dyDescent="0.2">
      <c r="B646" s="221"/>
    </row>
    <row r="647" spans="2:2" ht="12.75" x14ac:dyDescent="0.2">
      <c r="B647" s="221"/>
    </row>
    <row r="648" spans="2:2" ht="12.75" x14ac:dyDescent="0.2">
      <c r="B648" s="221"/>
    </row>
    <row r="649" spans="2:2" ht="12.75" x14ac:dyDescent="0.2">
      <c r="B649" s="221"/>
    </row>
    <row r="650" spans="2:2" ht="12.75" x14ac:dyDescent="0.2">
      <c r="B650" s="221"/>
    </row>
    <row r="651" spans="2:2" ht="12.75" x14ac:dyDescent="0.2">
      <c r="B651" s="221"/>
    </row>
    <row r="652" spans="2:2" ht="12.75" x14ac:dyDescent="0.2">
      <c r="B652" s="221"/>
    </row>
    <row r="653" spans="2:2" ht="12.75" x14ac:dyDescent="0.2">
      <c r="B653" s="221"/>
    </row>
    <row r="654" spans="2:2" ht="12.75" x14ac:dyDescent="0.2">
      <c r="B654" s="221"/>
    </row>
    <row r="655" spans="2:2" ht="12.75" x14ac:dyDescent="0.2">
      <c r="B655" s="221"/>
    </row>
    <row r="656" spans="2:2" ht="12.75" x14ac:dyDescent="0.2">
      <c r="B656" s="221"/>
    </row>
    <row r="657" spans="2:2" ht="12.75" x14ac:dyDescent="0.2">
      <c r="B657" s="221"/>
    </row>
    <row r="658" spans="2:2" ht="12.75" x14ac:dyDescent="0.2">
      <c r="B658" s="221"/>
    </row>
    <row r="659" spans="2:2" ht="12.75" x14ac:dyDescent="0.2">
      <c r="B659" s="221"/>
    </row>
    <row r="660" spans="2:2" ht="12.75" x14ac:dyDescent="0.2">
      <c r="B660" s="221"/>
    </row>
    <row r="661" spans="2:2" ht="12.75" x14ac:dyDescent="0.2">
      <c r="B661" s="221"/>
    </row>
    <row r="662" spans="2:2" ht="12.75" x14ac:dyDescent="0.2">
      <c r="B662" s="221"/>
    </row>
    <row r="663" spans="2:2" ht="12.75" x14ac:dyDescent="0.2">
      <c r="B663" s="221"/>
    </row>
    <row r="664" spans="2:2" ht="12.75" x14ac:dyDescent="0.2">
      <c r="B664" s="221"/>
    </row>
    <row r="665" spans="2:2" ht="12.75" x14ac:dyDescent="0.2">
      <c r="B665" s="221"/>
    </row>
    <row r="666" spans="2:2" ht="12.75" x14ac:dyDescent="0.2">
      <c r="B666" s="221"/>
    </row>
    <row r="667" spans="2:2" ht="12.75" x14ac:dyDescent="0.2">
      <c r="B667" s="221"/>
    </row>
    <row r="668" spans="2:2" ht="12.75" x14ac:dyDescent="0.2">
      <c r="B668" s="221"/>
    </row>
    <row r="669" spans="2:2" ht="12.75" x14ac:dyDescent="0.2">
      <c r="B669" s="221"/>
    </row>
    <row r="670" spans="2:2" ht="12.75" x14ac:dyDescent="0.2">
      <c r="B670" s="221"/>
    </row>
    <row r="671" spans="2:2" ht="12.75" x14ac:dyDescent="0.2">
      <c r="B671" s="221"/>
    </row>
    <row r="672" spans="2:2" ht="12.75" x14ac:dyDescent="0.2">
      <c r="B672" s="221"/>
    </row>
    <row r="673" spans="2:2" ht="12.75" x14ac:dyDescent="0.2">
      <c r="B673" s="221"/>
    </row>
    <row r="674" spans="2:2" ht="12.75" x14ac:dyDescent="0.2">
      <c r="B674" s="221"/>
    </row>
    <row r="675" spans="2:2" ht="12.75" x14ac:dyDescent="0.2">
      <c r="B675" s="221"/>
    </row>
    <row r="676" spans="2:2" ht="12.75" x14ac:dyDescent="0.2">
      <c r="B676" s="221"/>
    </row>
    <row r="677" spans="2:2" ht="12.75" x14ac:dyDescent="0.2">
      <c r="B677" s="221"/>
    </row>
    <row r="678" spans="2:2" ht="12.75" x14ac:dyDescent="0.2">
      <c r="B678" s="221"/>
    </row>
    <row r="679" spans="2:2" ht="12.75" x14ac:dyDescent="0.2">
      <c r="B679" s="221"/>
    </row>
    <row r="680" spans="2:2" ht="12.75" x14ac:dyDescent="0.2">
      <c r="B680" s="221"/>
    </row>
    <row r="681" spans="2:2" ht="12.75" x14ac:dyDescent="0.2">
      <c r="B681" s="221"/>
    </row>
    <row r="682" spans="2:2" ht="12.75" x14ac:dyDescent="0.2">
      <c r="B682" s="221"/>
    </row>
    <row r="683" spans="2:2" ht="12.75" x14ac:dyDescent="0.2">
      <c r="B683" s="221"/>
    </row>
    <row r="684" spans="2:2" ht="12.75" x14ac:dyDescent="0.2">
      <c r="B684" s="221"/>
    </row>
    <row r="685" spans="2:2" ht="12.75" x14ac:dyDescent="0.2">
      <c r="B685" s="221"/>
    </row>
    <row r="686" spans="2:2" ht="12.75" x14ac:dyDescent="0.2">
      <c r="B686" s="221"/>
    </row>
    <row r="687" spans="2:2" ht="12.75" x14ac:dyDescent="0.2">
      <c r="B687" s="221"/>
    </row>
    <row r="688" spans="2:2" ht="12.75" x14ac:dyDescent="0.2">
      <c r="B688" s="221"/>
    </row>
    <row r="689" spans="2:2" ht="12.75" x14ac:dyDescent="0.2">
      <c r="B689" s="221"/>
    </row>
    <row r="690" spans="2:2" ht="12.75" x14ac:dyDescent="0.2">
      <c r="B690" s="221"/>
    </row>
    <row r="691" spans="2:2" ht="12.75" x14ac:dyDescent="0.2">
      <c r="B691" s="221"/>
    </row>
    <row r="692" spans="2:2" ht="12.75" x14ac:dyDescent="0.2">
      <c r="B692" s="221"/>
    </row>
    <row r="693" spans="2:2" ht="12.75" x14ac:dyDescent="0.2">
      <c r="B693" s="221"/>
    </row>
    <row r="694" spans="2:2" ht="12.75" x14ac:dyDescent="0.2">
      <c r="B694" s="221"/>
    </row>
    <row r="695" spans="2:2" ht="12.75" x14ac:dyDescent="0.2">
      <c r="B695" s="221"/>
    </row>
    <row r="696" spans="2:2" ht="12.75" x14ac:dyDescent="0.2">
      <c r="B696" s="221"/>
    </row>
    <row r="697" spans="2:2" ht="12.75" x14ac:dyDescent="0.2">
      <c r="B697" s="221"/>
    </row>
    <row r="698" spans="2:2" ht="12.75" x14ac:dyDescent="0.2">
      <c r="B698" s="221"/>
    </row>
    <row r="699" spans="2:2" ht="12.75" x14ac:dyDescent="0.2">
      <c r="B699" s="221"/>
    </row>
    <row r="700" spans="2:2" ht="12.75" x14ac:dyDescent="0.2">
      <c r="B700" s="221"/>
    </row>
    <row r="701" spans="2:2" ht="12.75" x14ac:dyDescent="0.2">
      <c r="B701" s="221"/>
    </row>
    <row r="702" spans="2:2" ht="12.75" x14ac:dyDescent="0.2">
      <c r="B702" s="221"/>
    </row>
    <row r="703" spans="2:2" ht="12.75" x14ac:dyDescent="0.2">
      <c r="B703" s="221"/>
    </row>
    <row r="704" spans="2:2" ht="12.75" x14ac:dyDescent="0.2">
      <c r="B704" s="221"/>
    </row>
    <row r="705" spans="2:2" ht="12.75" x14ac:dyDescent="0.2">
      <c r="B705" s="221"/>
    </row>
    <row r="706" spans="2:2" ht="12.75" x14ac:dyDescent="0.2">
      <c r="B706" s="221"/>
    </row>
    <row r="707" spans="2:2" ht="12.75" x14ac:dyDescent="0.2">
      <c r="B707" s="221"/>
    </row>
    <row r="708" spans="2:2" ht="12.75" x14ac:dyDescent="0.2">
      <c r="B708" s="221"/>
    </row>
    <row r="709" spans="2:2" ht="12.75" x14ac:dyDescent="0.2">
      <c r="B709" s="221"/>
    </row>
    <row r="710" spans="2:2" ht="12.75" x14ac:dyDescent="0.2">
      <c r="B710" s="221"/>
    </row>
    <row r="711" spans="2:2" ht="12.75" x14ac:dyDescent="0.2">
      <c r="B711" s="221"/>
    </row>
    <row r="712" spans="2:2" ht="12.75" x14ac:dyDescent="0.2">
      <c r="B712" s="221"/>
    </row>
    <row r="713" spans="2:2" ht="12.75" x14ac:dyDescent="0.2">
      <c r="B713" s="221"/>
    </row>
    <row r="714" spans="2:2" ht="12.75" x14ac:dyDescent="0.2">
      <c r="B714" s="221"/>
    </row>
    <row r="715" spans="2:2" ht="12.75" x14ac:dyDescent="0.2">
      <c r="B715" s="221"/>
    </row>
    <row r="716" spans="2:2" ht="12.75" x14ac:dyDescent="0.2">
      <c r="B716" s="221"/>
    </row>
    <row r="717" spans="2:2" ht="12.75" x14ac:dyDescent="0.2">
      <c r="B717" s="221"/>
    </row>
    <row r="718" spans="2:2" ht="12.75" x14ac:dyDescent="0.2">
      <c r="B718" s="221"/>
    </row>
    <row r="719" spans="2:2" ht="12.75" x14ac:dyDescent="0.2">
      <c r="B719" s="221"/>
    </row>
    <row r="720" spans="2:2" ht="12.75" x14ac:dyDescent="0.2">
      <c r="B720" s="221"/>
    </row>
    <row r="721" spans="2:2" ht="12.75" x14ac:dyDescent="0.2">
      <c r="B721" s="221"/>
    </row>
    <row r="722" spans="2:2" ht="12.75" x14ac:dyDescent="0.2">
      <c r="B722" s="221"/>
    </row>
    <row r="723" spans="2:2" ht="12.75" x14ac:dyDescent="0.2">
      <c r="B723" s="221"/>
    </row>
    <row r="724" spans="2:2" ht="12.75" x14ac:dyDescent="0.2">
      <c r="B724" s="221"/>
    </row>
    <row r="725" spans="2:2" ht="12.75" x14ac:dyDescent="0.2">
      <c r="B725" s="221"/>
    </row>
    <row r="726" spans="2:2" ht="12.75" x14ac:dyDescent="0.2">
      <c r="B726" s="221"/>
    </row>
    <row r="727" spans="2:2" ht="12.75" x14ac:dyDescent="0.2">
      <c r="B727" s="221"/>
    </row>
    <row r="728" spans="2:2" ht="12.75" x14ac:dyDescent="0.2">
      <c r="B728" s="221"/>
    </row>
    <row r="729" spans="2:2" ht="12.75" x14ac:dyDescent="0.2">
      <c r="B729" s="221"/>
    </row>
    <row r="730" spans="2:2" ht="12.75" x14ac:dyDescent="0.2">
      <c r="B730" s="221"/>
    </row>
    <row r="731" spans="2:2" ht="12.75" x14ac:dyDescent="0.2">
      <c r="B731" s="221"/>
    </row>
    <row r="732" spans="2:2" ht="12.75" x14ac:dyDescent="0.2">
      <c r="B732" s="221"/>
    </row>
    <row r="733" spans="2:2" ht="12.75" x14ac:dyDescent="0.2">
      <c r="B733" s="221"/>
    </row>
    <row r="734" spans="2:2" ht="12.75" x14ac:dyDescent="0.2">
      <c r="B734" s="221"/>
    </row>
    <row r="735" spans="2:2" ht="12.75" x14ac:dyDescent="0.2">
      <c r="B735" s="221"/>
    </row>
    <row r="736" spans="2:2" ht="12.75" x14ac:dyDescent="0.2">
      <c r="B736" s="221"/>
    </row>
    <row r="737" spans="2:2" ht="12.75" x14ac:dyDescent="0.2">
      <c r="B737" s="221"/>
    </row>
    <row r="738" spans="2:2" ht="12.75" x14ac:dyDescent="0.2">
      <c r="B738" s="221"/>
    </row>
    <row r="739" spans="2:2" ht="12.75" x14ac:dyDescent="0.2">
      <c r="B739" s="221"/>
    </row>
    <row r="740" spans="2:2" ht="12.75" x14ac:dyDescent="0.2">
      <c r="B740" s="221"/>
    </row>
    <row r="741" spans="2:2" ht="12.75" x14ac:dyDescent="0.2">
      <c r="B741" s="221"/>
    </row>
    <row r="742" spans="2:2" ht="12.75" x14ac:dyDescent="0.2">
      <c r="B742" s="221"/>
    </row>
    <row r="743" spans="2:2" ht="12.75" x14ac:dyDescent="0.2">
      <c r="B743" s="221"/>
    </row>
    <row r="744" spans="2:2" ht="12.75" x14ac:dyDescent="0.2">
      <c r="B744" s="221"/>
    </row>
    <row r="745" spans="2:2" ht="12.75" x14ac:dyDescent="0.2">
      <c r="B745" s="221"/>
    </row>
    <row r="746" spans="2:2" ht="12.75" x14ac:dyDescent="0.2">
      <c r="B746" s="221"/>
    </row>
    <row r="747" spans="2:2" ht="12.75" x14ac:dyDescent="0.2">
      <c r="B747" s="221"/>
    </row>
    <row r="748" spans="2:2" ht="12.75" x14ac:dyDescent="0.2">
      <c r="B748" s="221"/>
    </row>
    <row r="749" spans="2:2" ht="12.75" x14ac:dyDescent="0.2">
      <c r="B749" s="221"/>
    </row>
    <row r="750" spans="2:2" ht="12.75" x14ac:dyDescent="0.2">
      <c r="B750" s="221"/>
    </row>
    <row r="751" spans="2:2" ht="12.75" x14ac:dyDescent="0.2">
      <c r="B751" s="221"/>
    </row>
    <row r="752" spans="2:2" ht="12.75" x14ac:dyDescent="0.2">
      <c r="B752" s="221"/>
    </row>
    <row r="753" spans="2:2" ht="12.75" x14ac:dyDescent="0.2">
      <c r="B753" s="221"/>
    </row>
    <row r="754" spans="2:2" ht="12.75" x14ac:dyDescent="0.2">
      <c r="B754" s="221"/>
    </row>
    <row r="755" spans="2:2" ht="12.75" x14ac:dyDescent="0.2">
      <c r="B755" s="221"/>
    </row>
    <row r="756" spans="2:2" ht="12.75" x14ac:dyDescent="0.2">
      <c r="B756" s="221"/>
    </row>
    <row r="757" spans="2:2" ht="12.75" x14ac:dyDescent="0.2">
      <c r="B757" s="221"/>
    </row>
    <row r="758" spans="2:2" ht="12.75" x14ac:dyDescent="0.2">
      <c r="B758" s="221"/>
    </row>
    <row r="759" spans="2:2" ht="12.75" x14ac:dyDescent="0.2">
      <c r="B759" s="221"/>
    </row>
    <row r="760" spans="2:2" ht="12.75" x14ac:dyDescent="0.2">
      <c r="B760" s="221"/>
    </row>
    <row r="761" spans="2:2" ht="12.75" x14ac:dyDescent="0.2">
      <c r="B761" s="221"/>
    </row>
    <row r="762" spans="2:2" ht="12.75" x14ac:dyDescent="0.2">
      <c r="B762" s="221"/>
    </row>
    <row r="763" spans="2:2" ht="12.75" x14ac:dyDescent="0.2">
      <c r="B763" s="221"/>
    </row>
    <row r="764" spans="2:2" ht="12.75" x14ac:dyDescent="0.2">
      <c r="B764" s="221"/>
    </row>
    <row r="765" spans="2:2" ht="12.75" x14ac:dyDescent="0.2">
      <c r="B765" s="221"/>
    </row>
    <row r="766" spans="2:2" ht="12.75" x14ac:dyDescent="0.2">
      <c r="B766" s="221"/>
    </row>
    <row r="767" spans="2:2" ht="12.75" x14ac:dyDescent="0.2">
      <c r="B767" s="221"/>
    </row>
    <row r="768" spans="2:2" ht="12.75" x14ac:dyDescent="0.2">
      <c r="B768" s="221"/>
    </row>
    <row r="769" spans="2:2" ht="12.75" x14ac:dyDescent="0.2">
      <c r="B769" s="221"/>
    </row>
    <row r="770" spans="2:2" ht="12.75" x14ac:dyDescent="0.2">
      <c r="B770" s="221"/>
    </row>
    <row r="771" spans="2:2" ht="12.75" x14ac:dyDescent="0.2">
      <c r="B771" s="221"/>
    </row>
    <row r="772" spans="2:2" ht="12.75" x14ac:dyDescent="0.2">
      <c r="B772" s="221"/>
    </row>
    <row r="773" spans="2:2" ht="12.75" x14ac:dyDescent="0.2">
      <c r="B773" s="221"/>
    </row>
    <row r="774" spans="2:2" ht="12.75" x14ac:dyDescent="0.2">
      <c r="B774" s="221"/>
    </row>
    <row r="775" spans="2:2" ht="12.75" x14ac:dyDescent="0.2">
      <c r="B775" s="221"/>
    </row>
    <row r="776" spans="2:2" ht="12.75" x14ac:dyDescent="0.2">
      <c r="B776" s="221"/>
    </row>
    <row r="777" spans="2:2" ht="12.75" x14ac:dyDescent="0.2">
      <c r="B777" s="221"/>
    </row>
    <row r="778" spans="2:2" ht="12.75" x14ac:dyDescent="0.2">
      <c r="B778" s="221"/>
    </row>
    <row r="779" spans="2:2" ht="12.75" x14ac:dyDescent="0.2">
      <c r="B779" s="221"/>
    </row>
    <row r="780" spans="2:2" ht="12.75" x14ac:dyDescent="0.2">
      <c r="B780" s="221"/>
    </row>
    <row r="781" spans="2:2" ht="12.75" x14ac:dyDescent="0.2">
      <c r="B781" s="221"/>
    </row>
    <row r="782" spans="2:2" ht="12.75" x14ac:dyDescent="0.2">
      <c r="B782" s="221"/>
    </row>
    <row r="783" spans="2:2" ht="12.75" x14ac:dyDescent="0.2">
      <c r="B783" s="221"/>
    </row>
    <row r="784" spans="2:2" ht="12.75" x14ac:dyDescent="0.2">
      <c r="B784" s="221"/>
    </row>
    <row r="785" spans="2:2" ht="12.75" x14ac:dyDescent="0.2">
      <c r="B785" s="221"/>
    </row>
    <row r="786" spans="2:2" ht="12.75" x14ac:dyDescent="0.2">
      <c r="B786" s="221"/>
    </row>
    <row r="787" spans="2:2" ht="12.75" x14ac:dyDescent="0.2">
      <c r="B787" s="221"/>
    </row>
    <row r="788" spans="2:2" ht="12.75" x14ac:dyDescent="0.2">
      <c r="B788" s="221"/>
    </row>
    <row r="789" spans="2:2" ht="12.75" x14ac:dyDescent="0.2">
      <c r="B789" s="221"/>
    </row>
    <row r="790" spans="2:2" ht="12.75" x14ac:dyDescent="0.2">
      <c r="B790" s="221"/>
    </row>
    <row r="791" spans="2:2" ht="12.75" x14ac:dyDescent="0.2">
      <c r="B791" s="221"/>
    </row>
    <row r="792" spans="2:2" ht="12.75" x14ac:dyDescent="0.2">
      <c r="B792" s="221"/>
    </row>
    <row r="793" spans="2:2" ht="12.75" x14ac:dyDescent="0.2">
      <c r="B793" s="221"/>
    </row>
    <row r="794" spans="2:2" ht="12.75" x14ac:dyDescent="0.2">
      <c r="B794" s="221"/>
    </row>
    <row r="795" spans="2:2" ht="12.75" x14ac:dyDescent="0.2">
      <c r="B795" s="221"/>
    </row>
    <row r="796" spans="2:2" ht="12.75" x14ac:dyDescent="0.2">
      <c r="B796" s="221"/>
    </row>
    <row r="797" spans="2:2" ht="12.75" x14ac:dyDescent="0.2">
      <c r="B797" s="221"/>
    </row>
    <row r="798" spans="2:2" ht="12.75" x14ac:dyDescent="0.2">
      <c r="B798" s="221"/>
    </row>
    <row r="799" spans="2:2" ht="12.75" x14ac:dyDescent="0.2">
      <c r="B799" s="221"/>
    </row>
    <row r="800" spans="2:2" ht="12.75" x14ac:dyDescent="0.2">
      <c r="B800" s="221"/>
    </row>
    <row r="801" spans="2:2" ht="12.75" x14ac:dyDescent="0.2">
      <c r="B801" s="221"/>
    </row>
    <row r="802" spans="2:2" ht="12.75" x14ac:dyDescent="0.2">
      <c r="B802" s="221"/>
    </row>
    <row r="803" spans="2:2" ht="12.75" x14ac:dyDescent="0.2">
      <c r="B803" s="221"/>
    </row>
    <row r="804" spans="2:2" ht="12.75" x14ac:dyDescent="0.2">
      <c r="B804" s="221"/>
    </row>
    <row r="805" spans="2:2" ht="12.75" x14ac:dyDescent="0.2">
      <c r="B805" s="221"/>
    </row>
    <row r="806" spans="2:2" ht="12.75" x14ac:dyDescent="0.2">
      <c r="B806" s="221"/>
    </row>
    <row r="807" spans="2:2" ht="12.75" x14ac:dyDescent="0.2">
      <c r="B807" s="221"/>
    </row>
    <row r="808" spans="2:2" ht="12.75" x14ac:dyDescent="0.2">
      <c r="B808" s="221"/>
    </row>
    <row r="809" spans="2:2" ht="12.75" x14ac:dyDescent="0.2">
      <c r="B809" s="221"/>
    </row>
    <row r="810" spans="2:2" ht="12.75" x14ac:dyDescent="0.2">
      <c r="B810" s="221"/>
    </row>
    <row r="811" spans="2:2" ht="12.75" x14ac:dyDescent="0.2">
      <c r="B811" s="221"/>
    </row>
    <row r="812" spans="2:2" ht="12.75" x14ac:dyDescent="0.2">
      <c r="B812" s="221"/>
    </row>
    <row r="813" spans="2:2" ht="12.75" x14ac:dyDescent="0.2">
      <c r="B813" s="221"/>
    </row>
    <row r="814" spans="2:2" ht="12.75" x14ac:dyDescent="0.2">
      <c r="B814" s="221"/>
    </row>
    <row r="815" spans="2:2" ht="12.75" x14ac:dyDescent="0.2">
      <c r="B815" s="221"/>
    </row>
    <row r="816" spans="2:2" ht="12.75" x14ac:dyDescent="0.2">
      <c r="B816" s="221"/>
    </row>
    <row r="817" spans="2:2" ht="12.75" x14ac:dyDescent="0.2">
      <c r="B817" s="221"/>
    </row>
    <row r="818" spans="2:2" ht="12.75" x14ac:dyDescent="0.2">
      <c r="B818" s="221"/>
    </row>
    <row r="819" spans="2:2" ht="12.75" x14ac:dyDescent="0.2">
      <c r="B819" s="221"/>
    </row>
    <row r="820" spans="2:2" ht="12.75" x14ac:dyDescent="0.2">
      <c r="B820" s="221"/>
    </row>
    <row r="821" spans="2:2" ht="12.75" x14ac:dyDescent="0.2">
      <c r="B821" s="221"/>
    </row>
    <row r="822" spans="2:2" ht="12.75" x14ac:dyDescent="0.2">
      <c r="B822" s="221"/>
    </row>
    <row r="823" spans="2:2" ht="12.75" x14ac:dyDescent="0.2">
      <c r="B823" s="221"/>
    </row>
    <row r="824" spans="2:2" ht="12.75" x14ac:dyDescent="0.2">
      <c r="B824" s="221"/>
    </row>
    <row r="825" spans="2:2" ht="12.75" x14ac:dyDescent="0.2">
      <c r="B825" s="221"/>
    </row>
    <row r="826" spans="2:2" ht="12.75" x14ac:dyDescent="0.2">
      <c r="B826" s="221"/>
    </row>
    <row r="827" spans="2:2" ht="12.75" x14ac:dyDescent="0.2">
      <c r="B827" s="221"/>
    </row>
    <row r="828" spans="2:2" ht="12.75" x14ac:dyDescent="0.2">
      <c r="B828" s="221"/>
    </row>
    <row r="829" spans="2:2" ht="12.75" x14ac:dyDescent="0.2">
      <c r="B829" s="221"/>
    </row>
    <row r="830" spans="2:2" ht="12.75" x14ac:dyDescent="0.2">
      <c r="B830" s="221"/>
    </row>
    <row r="831" spans="2:2" ht="12.75" x14ac:dyDescent="0.2">
      <c r="B831" s="221"/>
    </row>
    <row r="832" spans="2:2" ht="12.75" x14ac:dyDescent="0.2">
      <c r="B832" s="221"/>
    </row>
    <row r="833" spans="2:2" ht="12.75" x14ac:dyDescent="0.2">
      <c r="B833" s="221"/>
    </row>
    <row r="834" spans="2:2" ht="12.75" x14ac:dyDescent="0.2">
      <c r="B834" s="221"/>
    </row>
    <row r="835" spans="2:2" ht="12.75" x14ac:dyDescent="0.2">
      <c r="B835" s="221"/>
    </row>
    <row r="836" spans="2:2" ht="12.75" x14ac:dyDescent="0.2">
      <c r="B836" s="221"/>
    </row>
    <row r="837" spans="2:2" ht="12.75" x14ac:dyDescent="0.2">
      <c r="B837" s="221"/>
    </row>
    <row r="838" spans="2:2" ht="12.75" x14ac:dyDescent="0.2">
      <c r="B838" s="221"/>
    </row>
    <row r="839" spans="2:2" ht="12.75" x14ac:dyDescent="0.2">
      <c r="B839" s="221"/>
    </row>
    <row r="840" spans="2:2" ht="12.75" x14ac:dyDescent="0.2">
      <c r="B840" s="221"/>
    </row>
    <row r="841" spans="2:2" ht="12.75" x14ac:dyDescent="0.2">
      <c r="B841" s="221"/>
    </row>
    <row r="842" spans="2:2" ht="12.75" x14ac:dyDescent="0.2">
      <c r="B842" s="221"/>
    </row>
    <row r="843" spans="2:2" ht="12.75" x14ac:dyDescent="0.2">
      <c r="B843" s="221"/>
    </row>
    <row r="844" spans="2:2" ht="12.75" x14ac:dyDescent="0.2">
      <c r="B844" s="221"/>
    </row>
    <row r="845" spans="2:2" ht="12.75" x14ac:dyDescent="0.2">
      <c r="B845" s="221"/>
    </row>
    <row r="846" spans="2:2" ht="12.75" x14ac:dyDescent="0.2">
      <c r="B846" s="221"/>
    </row>
    <row r="847" spans="2:2" ht="12.75" x14ac:dyDescent="0.2">
      <c r="B847" s="221"/>
    </row>
    <row r="848" spans="2:2" ht="12.75" x14ac:dyDescent="0.2">
      <c r="B848" s="221"/>
    </row>
    <row r="849" spans="2:2" ht="12.75" x14ac:dyDescent="0.2">
      <c r="B849" s="221"/>
    </row>
    <row r="850" spans="2:2" ht="12.75" x14ac:dyDescent="0.2">
      <c r="B850" s="221"/>
    </row>
    <row r="851" spans="2:2" ht="12.75" x14ac:dyDescent="0.2">
      <c r="B851" s="221"/>
    </row>
    <row r="852" spans="2:2" ht="12.75" x14ac:dyDescent="0.2">
      <c r="B852" s="221"/>
    </row>
    <row r="853" spans="2:2" ht="12.75" x14ac:dyDescent="0.2">
      <c r="B853" s="221"/>
    </row>
    <row r="854" spans="2:2" ht="12.75" x14ac:dyDescent="0.2">
      <c r="B854" s="221"/>
    </row>
    <row r="855" spans="2:2" ht="12.75" x14ac:dyDescent="0.2">
      <c r="B855" s="221"/>
    </row>
    <row r="856" spans="2:2" ht="12.75" x14ac:dyDescent="0.2">
      <c r="B856" s="221"/>
    </row>
    <row r="857" spans="2:2" ht="12.75" x14ac:dyDescent="0.2">
      <c r="B857" s="221"/>
    </row>
    <row r="858" spans="2:2" ht="12.75" x14ac:dyDescent="0.2">
      <c r="B858" s="221"/>
    </row>
    <row r="859" spans="2:2" ht="12.75" x14ac:dyDescent="0.2">
      <c r="B859" s="221"/>
    </row>
    <row r="860" spans="2:2" ht="12.75" x14ac:dyDescent="0.2">
      <c r="B860" s="221"/>
    </row>
    <row r="861" spans="2:2" ht="12.75" x14ac:dyDescent="0.2">
      <c r="B861" s="221"/>
    </row>
    <row r="862" spans="2:2" ht="12.75" x14ac:dyDescent="0.2">
      <c r="B862" s="221"/>
    </row>
    <row r="863" spans="2:2" ht="12.75" x14ac:dyDescent="0.2">
      <c r="B863" s="221"/>
    </row>
    <row r="864" spans="2:2" ht="12.75" x14ac:dyDescent="0.2">
      <c r="B864" s="221"/>
    </row>
    <row r="865" spans="2:2" ht="12.75" x14ac:dyDescent="0.2">
      <c r="B865" s="221"/>
    </row>
    <row r="866" spans="2:2" ht="12.75" x14ac:dyDescent="0.2">
      <c r="B866" s="221"/>
    </row>
    <row r="867" spans="2:2" ht="12.75" x14ac:dyDescent="0.2">
      <c r="B867" s="221"/>
    </row>
    <row r="868" spans="2:2" ht="12.75" x14ac:dyDescent="0.2">
      <c r="B868" s="221"/>
    </row>
    <row r="869" spans="2:2" ht="12.75" x14ac:dyDescent="0.2">
      <c r="B869" s="221"/>
    </row>
    <row r="870" spans="2:2" ht="12.75" x14ac:dyDescent="0.2">
      <c r="B870" s="221"/>
    </row>
    <row r="871" spans="2:2" ht="12.75" x14ac:dyDescent="0.2">
      <c r="B871" s="221"/>
    </row>
    <row r="872" spans="2:2" ht="12.75" x14ac:dyDescent="0.2">
      <c r="B872" s="221"/>
    </row>
    <row r="873" spans="2:2" ht="12.75" x14ac:dyDescent="0.2">
      <c r="B873" s="221"/>
    </row>
    <row r="874" spans="2:2" ht="12.75" x14ac:dyDescent="0.2">
      <c r="B874" s="221"/>
    </row>
    <row r="875" spans="2:2" ht="12.75" x14ac:dyDescent="0.2">
      <c r="B875" s="221"/>
    </row>
    <row r="876" spans="2:2" ht="12.75" x14ac:dyDescent="0.2">
      <c r="B876" s="221"/>
    </row>
    <row r="877" spans="2:2" ht="12.75" x14ac:dyDescent="0.2">
      <c r="B877" s="221"/>
    </row>
    <row r="878" spans="2:2" ht="12.75" x14ac:dyDescent="0.2">
      <c r="B878" s="221"/>
    </row>
    <row r="879" spans="2:2" ht="12.75" x14ac:dyDescent="0.2">
      <c r="B879" s="221"/>
    </row>
    <row r="880" spans="2:2" ht="12.75" x14ac:dyDescent="0.2">
      <c r="B880" s="221"/>
    </row>
    <row r="881" spans="2:2" ht="12.75" x14ac:dyDescent="0.2">
      <c r="B881" s="221"/>
    </row>
    <row r="882" spans="2:2" ht="12.75" x14ac:dyDescent="0.2">
      <c r="B882" s="221"/>
    </row>
    <row r="883" spans="2:2" ht="12.75" x14ac:dyDescent="0.2">
      <c r="B883" s="221"/>
    </row>
    <row r="884" spans="2:2" ht="12.75" x14ac:dyDescent="0.2">
      <c r="B884" s="221"/>
    </row>
    <row r="885" spans="2:2" ht="12.75" x14ac:dyDescent="0.2">
      <c r="B885" s="221"/>
    </row>
    <row r="886" spans="2:2" ht="12.75" x14ac:dyDescent="0.2">
      <c r="B886" s="221"/>
    </row>
    <row r="887" spans="2:2" ht="12.75" x14ac:dyDescent="0.2">
      <c r="B887" s="221"/>
    </row>
    <row r="888" spans="2:2" ht="12.75" x14ac:dyDescent="0.2">
      <c r="B888" s="221"/>
    </row>
    <row r="889" spans="2:2" ht="12.75" x14ac:dyDescent="0.2">
      <c r="B889" s="221"/>
    </row>
    <row r="890" spans="2:2" ht="12.75" x14ac:dyDescent="0.2">
      <c r="B890" s="221"/>
    </row>
    <row r="891" spans="2:2" ht="12.75" x14ac:dyDescent="0.2">
      <c r="B891" s="221"/>
    </row>
    <row r="892" spans="2:2" ht="12.75" x14ac:dyDescent="0.2">
      <c r="B892" s="221"/>
    </row>
    <row r="893" spans="2:2" ht="12.75" x14ac:dyDescent="0.2">
      <c r="B893" s="221"/>
    </row>
    <row r="894" spans="2:2" ht="12.75" x14ac:dyDescent="0.2">
      <c r="B894" s="221"/>
    </row>
    <row r="895" spans="2:2" ht="12.75" x14ac:dyDescent="0.2">
      <c r="B895" s="221"/>
    </row>
    <row r="896" spans="2:2" ht="12.75" x14ac:dyDescent="0.2">
      <c r="B896" s="221"/>
    </row>
    <row r="897" spans="2:2" ht="12.75" x14ac:dyDescent="0.2">
      <c r="B897" s="221"/>
    </row>
    <row r="898" spans="2:2" ht="12.75" x14ac:dyDescent="0.2">
      <c r="B898" s="221"/>
    </row>
    <row r="899" spans="2:2" ht="12.75" x14ac:dyDescent="0.2">
      <c r="B899" s="221"/>
    </row>
    <row r="900" spans="2:2" ht="12.75" x14ac:dyDescent="0.2">
      <c r="B900" s="221"/>
    </row>
    <row r="901" spans="2:2" ht="12.75" x14ac:dyDescent="0.2">
      <c r="B901" s="221"/>
    </row>
    <row r="902" spans="2:2" ht="12.75" x14ac:dyDescent="0.2">
      <c r="B902" s="221"/>
    </row>
    <row r="903" spans="2:2" ht="12.75" x14ac:dyDescent="0.2">
      <c r="B903" s="221"/>
    </row>
    <row r="904" spans="2:2" ht="12.75" x14ac:dyDescent="0.2">
      <c r="B904" s="221"/>
    </row>
    <row r="905" spans="2:2" ht="12.75" x14ac:dyDescent="0.2">
      <c r="B905" s="221"/>
    </row>
    <row r="906" spans="2:2" ht="12.75" x14ac:dyDescent="0.2">
      <c r="B906" s="221"/>
    </row>
    <row r="907" spans="2:2" ht="12.75" x14ac:dyDescent="0.2">
      <c r="B907" s="221"/>
    </row>
    <row r="908" spans="2:2" ht="12.75" x14ac:dyDescent="0.2">
      <c r="B908" s="221"/>
    </row>
    <row r="909" spans="2:2" ht="12.75" x14ac:dyDescent="0.2">
      <c r="B909" s="221"/>
    </row>
    <row r="910" spans="2:2" ht="12.75" x14ac:dyDescent="0.2">
      <c r="B910" s="221"/>
    </row>
    <row r="911" spans="2:2" ht="12.75" x14ac:dyDescent="0.2">
      <c r="B911" s="221"/>
    </row>
    <row r="912" spans="2:2" ht="12.75" x14ac:dyDescent="0.2">
      <c r="B912" s="221"/>
    </row>
    <row r="913" spans="2:2" ht="12.75" x14ac:dyDescent="0.2">
      <c r="B913" s="221"/>
    </row>
    <row r="914" spans="2:2" ht="12.75" x14ac:dyDescent="0.2">
      <c r="B914" s="221"/>
    </row>
    <row r="915" spans="2:2" ht="12.75" x14ac:dyDescent="0.2">
      <c r="B915" s="221"/>
    </row>
    <row r="916" spans="2:2" ht="12.75" x14ac:dyDescent="0.2">
      <c r="B916" s="221"/>
    </row>
    <row r="917" spans="2:2" ht="12.75" x14ac:dyDescent="0.2">
      <c r="B917" s="221"/>
    </row>
    <row r="918" spans="2:2" ht="12.75" x14ac:dyDescent="0.2">
      <c r="B918" s="221"/>
    </row>
    <row r="919" spans="2:2" ht="12.75" x14ac:dyDescent="0.2">
      <c r="B919" s="221"/>
    </row>
    <row r="920" spans="2:2" ht="12.75" x14ac:dyDescent="0.2">
      <c r="B920" s="221"/>
    </row>
    <row r="921" spans="2:2" ht="12.75" x14ac:dyDescent="0.2">
      <c r="B921" s="221"/>
    </row>
    <row r="922" spans="2:2" ht="12.75" x14ac:dyDescent="0.2">
      <c r="B922" s="221"/>
    </row>
    <row r="923" spans="2:2" ht="12.75" x14ac:dyDescent="0.2">
      <c r="B923" s="221"/>
    </row>
    <row r="924" spans="2:2" ht="12.75" x14ac:dyDescent="0.2">
      <c r="B924" s="221"/>
    </row>
    <row r="925" spans="2:2" ht="12.75" x14ac:dyDescent="0.2">
      <c r="B925" s="221"/>
    </row>
    <row r="926" spans="2:2" ht="12.75" x14ac:dyDescent="0.2">
      <c r="B926" s="221"/>
    </row>
    <row r="927" spans="2:2" ht="12.75" x14ac:dyDescent="0.2">
      <c r="B927" s="221"/>
    </row>
    <row r="928" spans="2:2" ht="12.75" x14ac:dyDescent="0.2">
      <c r="B928" s="221"/>
    </row>
    <row r="929" spans="2:2" ht="12.75" x14ac:dyDescent="0.2">
      <c r="B929" s="221"/>
    </row>
    <row r="930" spans="2:2" ht="12.75" x14ac:dyDescent="0.2">
      <c r="B930" s="221"/>
    </row>
    <row r="931" spans="2:2" ht="12.75" x14ac:dyDescent="0.2">
      <c r="B931" s="221"/>
    </row>
    <row r="932" spans="2:2" ht="12.75" x14ac:dyDescent="0.2">
      <c r="B932" s="221"/>
    </row>
    <row r="933" spans="2:2" ht="12.75" x14ac:dyDescent="0.2">
      <c r="B933" s="221"/>
    </row>
    <row r="934" spans="2:2" ht="12.75" x14ac:dyDescent="0.2">
      <c r="B934" s="221"/>
    </row>
    <row r="935" spans="2:2" ht="12.75" x14ac:dyDescent="0.2">
      <c r="B935" s="221"/>
    </row>
    <row r="936" spans="2:2" ht="12.75" x14ac:dyDescent="0.2">
      <c r="B936" s="221"/>
    </row>
    <row r="937" spans="2:2" ht="12.75" x14ac:dyDescent="0.2">
      <c r="B937" s="221"/>
    </row>
    <row r="938" spans="2:2" ht="12.75" x14ac:dyDescent="0.2">
      <c r="B938" s="221"/>
    </row>
    <row r="939" spans="2:2" ht="12.75" x14ac:dyDescent="0.2">
      <c r="B939" s="221"/>
    </row>
    <row r="940" spans="2:2" ht="12.75" x14ac:dyDescent="0.2">
      <c r="B940" s="221"/>
    </row>
    <row r="941" spans="2:2" ht="12.75" x14ac:dyDescent="0.2">
      <c r="B941" s="221"/>
    </row>
    <row r="942" spans="2:2" ht="12.75" x14ac:dyDescent="0.2">
      <c r="B942" s="221"/>
    </row>
    <row r="943" spans="2:2" ht="12.75" x14ac:dyDescent="0.2">
      <c r="B943" s="221"/>
    </row>
    <row r="944" spans="2:2" ht="12.75" x14ac:dyDescent="0.2">
      <c r="B944" s="221"/>
    </row>
    <row r="945" spans="2:2" ht="12.75" x14ac:dyDescent="0.2">
      <c r="B945" s="221"/>
    </row>
    <row r="946" spans="2:2" ht="12.75" x14ac:dyDescent="0.2">
      <c r="B946" s="221"/>
    </row>
    <row r="947" spans="2:2" ht="12.75" x14ac:dyDescent="0.2">
      <c r="B947" s="221"/>
    </row>
    <row r="948" spans="2:2" ht="12.75" x14ac:dyDescent="0.2">
      <c r="B948" s="221"/>
    </row>
    <row r="949" spans="2:2" ht="12.75" x14ac:dyDescent="0.2">
      <c r="B949" s="221"/>
    </row>
    <row r="950" spans="2:2" ht="12.75" x14ac:dyDescent="0.2">
      <c r="B950" s="221"/>
    </row>
    <row r="951" spans="2:2" ht="12.75" x14ac:dyDescent="0.2">
      <c r="B951" s="221"/>
    </row>
    <row r="952" spans="2:2" ht="12.75" x14ac:dyDescent="0.2">
      <c r="B952" s="221"/>
    </row>
    <row r="953" spans="2:2" ht="12.75" x14ac:dyDescent="0.2">
      <c r="B953" s="221"/>
    </row>
    <row r="954" spans="2:2" ht="12.75" x14ac:dyDescent="0.2">
      <c r="B954" s="221"/>
    </row>
    <row r="955" spans="2:2" ht="12.75" x14ac:dyDescent="0.2">
      <c r="B955" s="221"/>
    </row>
    <row r="956" spans="2:2" ht="12.75" x14ac:dyDescent="0.2">
      <c r="B956" s="221"/>
    </row>
    <row r="957" spans="2:2" ht="12.75" x14ac:dyDescent="0.2">
      <c r="B957" s="221"/>
    </row>
    <row r="958" spans="2:2" ht="12.75" x14ac:dyDescent="0.2">
      <c r="B958" s="221"/>
    </row>
    <row r="959" spans="2:2" ht="12.75" x14ac:dyDescent="0.2">
      <c r="B959" s="221"/>
    </row>
    <row r="960" spans="2:2" ht="12.75" x14ac:dyDescent="0.2">
      <c r="B960" s="221"/>
    </row>
    <row r="961" spans="2:2" ht="12.75" x14ac:dyDescent="0.2">
      <c r="B961" s="221"/>
    </row>
    <row r="962" spans="2:2" ht="12.75" x14ac:dyDescent="0.2">
      <c r="B962" s="221"/>
    </row>
    <row r="963" spans="2:2" ht="12.75" x14ac:dyDescent="0.2">
      <c r="B963" s="221"/>
    </row>
    <row r="964" spans="2:2" ht="12.75" x14ac:dyDescent="0.2">
      <c r="B964" s="221"/>
    </row>
    <row r="965" spans="2:2" ht="12.75" x14ac:dyDescent="0.2">
      <c r="B965" s="221"/>
    </row>
    <row r="966" spans="2:2" ht="12.75" x14ac:dyDescent="0.2">
      <c r="B966" s="221"/>
    </row>
    <row r="967" spans="2:2" ht="12.75" x14ac:dyDescent="0.2">
      <c r="B967" s="221"/>
    </row>
    <row r="968" spans="2:2" ht="12.75" x14ac:dyDescent="0.2">
      <c r="B968" s="221"/>
    </row>
    <row r="969" spans="2:2" ht="12.75" x14ac:dyDescent="0.2">
      <c r="B969" s="221"/>
    </row>
    <row r="970" spans="2:2" ht="12.75" x14ac:dyDescent="0.2">
      <c r="B970" s="221"/>
    </row>
    <row r="971" spans="2:2" ht="12.75" x14ac:dyDescent="0.2">
      <c r="B971" s="221"/>
    </row>
    <row r="972" spans="2:2" ht="12.75" x14ac:dyDescent="0.2">
      <c r="B972" s="221"/>
    </row>
    <row r="973" spans="2:2" ht="12.75" x14ac:dyDescent="0.2">
      <c r="B973" s="221"/>
    </row>
    <row r="974" spans="2:2" ht="12.75" x14ac:dyDescent="0.2">
      <c r="B974" s="221"/>
    </row>
    <row r="975" spans="2:2" ht="12.75" x14ac:dyDescent="0.2">
      <c r="B975" s="221"/>
    </row>
    <row r="976" spans="2:2" ht="12.75" x14ac:dyDescent="0.2">
      <c r="B976" s="221"/>
    </row>
    <row r="977" spans="2:2" ht="12.75" x14ac:dyDescent="0.2">
      <c r="B977" s="221"/>
    </row>
    <row r="978" spans="2:2" ht="12.75" x14ac:dyDescent="0.2">
      <c r="B978" s="221"/>
    </row>
    <row r="979" spans="2:2" ht="12.75" x14ac:dyDescent="0.2">
      <c r="B979" s="221"/>
    </row>
    <row r="980" spans="2:2" ht="12.75" x14ac:dyDescent="0.2">
      <c r="B980" s="221"/>
    </row>
    <row r="981" spans="2:2" ht="12.75" x14ac:dyDescent="0.2">
      <c r="B981" s="221"/>
    </row>
    <row r="982" spans="2:2" ht="12.75" x14ac:dyDescent="0.2">
      <c r="B982" s="221"/>
    </row>
    <row r="983" spans="2:2" ht="12.75" x14ac:dyDescent="0.2">
      <c r="B983" s="221"/>
    </row>
    <row r="984" spans="2:2" ht="12.75" x14ac:dyDescent="0.2">
      <c r="B984" s="221"/>
    </row>
    <row r="985" spans="2:2" ht="12.75" x14ac:dyDescent="0.2">
      <c r="B985" s="221"/>
    </row>
    <row r="986" spans="2:2" ht="12.75" x14ac:dyDescent="0.2">
      <c r="B986" s="221"/>
    </row>
    <row r="987" spans="2:2" ht="12.75" x14ac:dyDescent="0.2">
      <c r="B987" s="221"/>
    </row>
    <row r="988" spans="2:2" ht="12.75" x14ac:dyDescent="0.2">
      <c r="B988" s="221"/>
    </row>
    <row r="989" spans="2:2" ht="12.75" x14ac:dyDescent="0.2">
      <c r="B989" s="221"/>
    </row>
    <row r="990" spans="2:2" ht="12.75" x14ac:dyDescent="0.2">
      <c r="B990" s="221"/>
    </row>
    <row r="991" spans="2:2" ht="12.75" x14ac:dyDescent="0.2">
      <c r="B991" s="221"/>
    </row>
    <row r="992" spans="2:2" ht="12.75" x14ac:dyDescent="0.2">
      <c r="B992" s="221"/>
    </row>
    <row r="993" spans="2:2" ht="12.75" x14ac:dyDescent="0.2">
      <c r="B993" s="221"/>
    </row>
    <row r="994" spans="2:2" ht="12.75" x14ac:dyDescent="0.2">
      <c r="B994" s="221"/>
    </row>
    <row r="995" spans="2:2" ht="12.75" x14ac:dyDescent="0.2">
      <c r="B995" s="221"/>
    </row>
    <row r="996" spans="2:2" ht="12.75" x14ac:dyDescent="0.2">
      <c r="B996" s="221"/>
    </row>
    <row r="997" spans="2:2" ht="12.75" x14ac:dyDescent="0.2">
      <c r="B997" s="221"/>
    </row>
    <row r="998" spans="2:2" ht="12.75" x14ac:dyDescent="0.2">
      <c r="B998" s="221"/>
    </row>
    <row r="999" spans="2:2" ht="12.75" x14ac:dyDescent="0.2">
      <c r="B999" s="221"/>
    </row>
    <row r="1000" spans="2:2" ht="12.75" x14ac:dyDescent="0.2">
      <c r="B1000" s="221"/>
    </row>
    <row r="1001" spans="2:2" ht="12.75" x14ac:dyDescent="0.2">
      <c r="B1001" s="221"/>
    </row>
    <row r="1002" spans="2:2" ht="12.75" x14ac:dyDescent="0.2">
      <c r="B1002" s="221"/>
    </row>
    <row r="1003" spans="2:2" ht="12.75" x14ac:dyDescent="0.2">
      <c r="B1003" s="221"/>
    </row>
    <row r="1004" spans="2:2" ht="12.75" x14ac:dyDescent="0.2">
      <c r="B1004" s="221"/>
    </row>
    <row r="1005" spans="2:2" ht="12.75" x14ac:dyDescent="0.2">
      <c r="B1005" s="221"/>
    </row>
    <row r="1006" spans="2:2" ht="12.75" x14ac:dyDescent="0.2">
      <c r="B1006" s="221"/>
    </row>
    <row r="1007" spans="2:2" ht="12.75" x14ac:dyDescent="0.2">
      <c r="B1007" s="221"/>
    </row>
    <row r="1008" spans="2:2" ht="12.75" x14ac:dyDescent="0.2">
      <c r="B1008" s="221"/>
    </row>
    <row r="1009" spans="2:2" ht="12.75" x14ac:dyDescent="0.2">
      <c r="B1009" s="221"/>
    </row>
    <row r="1010" spans="2:2" ht="12.75" x14ac:dyDescent="0.2">
      <c r="B1010" s="221"/>
    </row>
    <row r="1011" spans="2:2" ht="12.75" x14ac:dyDescent="0.2">
      <c r="B1011" s="221"/>
    </row>
    <row r="1012" spans="2:2" ht="12.75" x14ac:dyDescent="0.2">
      <c r="B1012" s="221"/>
    </row>
    <row r="1013" spans="2:2" ht="12.75" x14ac:dyDescent="0.2">
      <c r="B1013" s="221"/>
    </row>
    <row r="1014" spans="2:2" ht="12.75" x14ac:dyDescent="0.2">
      <c r="B1014" s="221"/>
    </row>
    <row r="1015" spans="2:2" ht="12.75" x14ac:dyDescent="0.2">
      <c r="B1015" s="221"/>
    </row>
    <row r="1016" spans="2:2" ht="12.75" x14ac:dyDescent="0.2">
      <c r="B1016" s="221"/>
    </row>
    <row r="1017" spans="2:2" ht="12.75" x14ac:dyDescent="0.2">
      <c r="B1017" s="221"/>
    </row>
    <row r="1018" spans="2:2" ht="12.75" x14ac:dyDescent="0.2">
      <c r="B1018" s="221"/>
    </row>
    <row r="1019" spans="2:2" ht="12.75" x14ac:dyDescent="0.2">
      <c r="B1019" s="221"/>
    </row>
    <row r="1020" spans="2:2" ht="12.75" x14ac:dyDescent="0.2">
      <c r="B1020" s="221"/>
    </row>
    <row r="1021" spans="2:2" ht="12.75" x14ac:dyDescent="0.2">
      <c r="B1021" s="221"/>
    </row>
    <row r="1022" spans="2:2" ht="12.75" x14ac:dyDescent="0.2">
      <c r="B1022" s="221"/>
    </row>
    <row r="1023" spans="2:2" ht="12.75" x14ac:dyDescent="0.2">
      <c r="B1023" s="221"/>
    </row>
    <row r="1024" spans="2:2" ht="12.75" x14ac:dyDescent="0.2">
      <c r="B1024" s="221"/>
    </row>
    <row r="1025" spans="2:2" ht="12.75" x14ac:dyDescent="0.2">
      <c r="B1025" s="221"/>
    </row>
    <row r="1026" spans="2:2" ht="12.75" x14ac:dyDescent="0.2">
      <c r="B1026" s="221"/>
    </row>
    <row r="1027" spans="2:2" ht="12.75" x14ac:dyDescent="0.2">
      <c r="B1027" s="221"/>
    </row>
    <row r="1028" spans="2:2" ht="12.75" x14ac:dyDescent="0.2">
      <c r="B1028" s="221"/>
    </row>
    <row r="1029" spans="2:2" ht="12.75" x14ac:dyDescent="0.2">
      <c r="B1029" s="221"/>
    </row>
    <row r="1030" spans="2:2" ht="12.75" x14ac:dyDescent="0.2">
      <c r="B1030" s="221"/>
    </row>
    <row r="1031" spans="2:2" ht="12.75" x14ac:dyDescent="0.2">
      <c r="B1031" s="221"/>
    </row>
    <row r="1032" spans="2:2" ht="12.75" x14ac:dyDescent="0.2">
      <c r="B1032" s="221"/>
    </row>
    <row r="1033" spans="2:2" ht="12.75" x14ac:dyDescent="0.2">
      <c r="B1033" s="221"/>
    </row>
    <row r="1034" spans="2:2" ht="12.75" x14ac:dyDescent="0.2">
      <c r="B1034" s="221"/>
    </row>
    <row r="1035" spans="2:2" ht="12.75" x14ac:dyDescent="0.2">
      <c r="B1035" s="221"/>
    </row>
    <row r="1036" spans="2:2" ht="12.75" x14ac:dyDescent="0.2">
      <c r="B1036" s="221"/>
    </row>
    <row r="1037" spans="2:2" ht="12.75" x14ac:dyDescent="0.2">
      <c r="B1037" s="221"/>
    </row>
    <row r="1038" spans="2:2" ht="12.75" x14ac:dyDescent="0.2">
      <c r="B1038" s="221"/>
    </row>
    <row r="1039" spans="2:2" ht="12.75" x14ac:dyDescent="0.2">
      <c r="B1039" s="221"/>
    </row>
    <row r="1040" spans="2:2" ht="12.75" x14ac:dyDescent="0.2">
      <c r="B1040" s="221"/>
    </row>
    <row r="1041" spans="2:2" ht="12.75" x14ac:dyDescent="0.2">
      <c r="B1041" s="221"/>
    </row>
    <row r="1042" spans="2:2" ht="12.75" x14ac:dyDescent="0.2">
      <c r="B1042" s="221"/>
    </row>
    <row r="1043" spans="2:2" ht="12.75" x14ac:dyDescent="0.2">
      <c r="B1043" s="221"/>
    </row>
    <row r="1044" spans="2:2" ht="12.75" x14ac:dyDescent="0.2">
      <c r="B1044" s="221"/>
    </row>
    <row r="1045" spans="2:2" ht="12.75" x14ac:dyDescent="0.2">
      <c r="B1045" s="221"/>
    </row>
    <row r="1046" spans="2:2" ht="12.75" x14ac:dyDescent="0.2">
      <c r="B1046" s="221"/>
    </row>
    <row r="1047" spans="2:2" ht="12.75" x14ac:dyDescent="0.2">
      <c r="B1047" s="221"/>
    </row>
    <row r="1048" spans="2:2" ht="12.75" x14ac:dyDescent="0.2">
      <c r="B1048" s="221"/>
    </row>
    <row r="1049" spans="2:2" ht="12.75" x14ac:dyDescent="0.2">
      <c r="B1049" s="221"/>
    </row>
    <row r="1050" spans="2:2" ht="12.75" x14ac:dyDescent="0.2">
      <c r="B1050" s="221"/>
    </row>
    <row r="1051" spans="2:2" ht="12.75" x14ac:dyDescent="0.2">
      <c r="B1051" s="221"/>
    </row>
    <row r="1052" spans="2:2" ht="12.75" x14ac:dyDescent="0.2">
      <c r="B1052" s="221"/>
    </row>
    <row r="1053" spans="2:2" ht="12.75" x14ac:dyDescent="0.2">
      <c r="B1053" s="221"/>
    </row>
    <row r="1054" spans="2:2" ht="12.75" x14ac:dyDescent="0.2">
      <c r="B1054" s="221"/>
    </row>
    <row r="1055" spans="2:2" ht="12.75" x14ac:dyDescent="0.2">
      <c r="B1055" s="221"/>
    </row>
    <row r="1056" spans="2:2" ht="12.75" x14ac:dyDescent="0.2">
      <c r="B1056" s="221"/>
    </row>
    <row r="1057" spans="2:2" ht="12.75" x14ac:dyDescent="0.2">
      <c r="B1057" s="221"/>
    </row>
    <row r="1058" spans="2:2" ht="12.75" x14ac:dyDescent="0.2">
      <c r="B1058" s="221"/>
    </row>
    <row r="1059" spans="2:2" ht="12.75" x14ac:dyDescent="0.2">
      <c r="B1059" s="221"/>
    </row>
    <row r="1060" spans="2:2" ht="12.75" x14ac:dyDescent="0.2">
      <c r="B1060" s="221"/>
    </row>
    <row r="1061" spans="2:2" ht="12.75" x14ac:dyDescent="0.2">
      <c r="B1061" s="221"/>
    </row>
    <row r="1062" spans="2:2" ht="12.75" x14ac:dyDescent="0.2">
      <c r="B1062" s="221"/>
    </row>
    <row r="1063" spans="2:2" ht="12.75" x14ac:dyDescent="0.2">
      <c r="B1063" s="221"/>
    </row>
    <row r="1064" spans="2:2" ht="12.75" x14ac:dyDescent="0.2">
      <c r="B1064" s="221"/>
    </row>
    <row r="1065" spans="2:2" ht="12.75" x14ac:dyDescent="0.2">
      <c r="B1065" s="221"/>
    </row>
    <row r="1066" spans="2:2" ht="12.75" x14ac:dyDescent="0.2">
      <c r="B1066" s="221"/>
    </row>
    <row r="1067" spans="2:2" ht="12.75" x14ac:dyDescent="0.2">
      <c r="B1067" s="221"/>
    </row>
    <row r="1068" spans="2:2" ht="12.75" x14ac:dyDescent="0.2">
      <c r="B1068" s="221"/>
    </row>
    <row r="1069" spans="2:2" ht="12.75" x14ac:dyDescent="0.2">
      <c r="B1069" s="221"/>
    </row>
    <row r="1070" spans="2:2" ht="12.75" x14ac:dyDescent="0.2">
      <c r="B1070" s="221"/>
    </row>
    <row r="1071" spans="2:2" ht="12.75" x14ac:dyDescent="0.2">
      <c r="B1071" s="221"/>
    </row>
    <row r="1072" spans="2:2" ht="12.75" x14ac:dyDescent="0.2">
      <c r="B1072" s="221"/>
    </row>
    <row r="1073" spans="2:2" ht="12.75" x14ac:dyDescent="0.2">
      <c r="B1073" s="221"/>
    </row>
    <row r="1074" spans="2:2" ht="12.75" x14ac:dyDescent="0.2">
      <c r="B1074" s="221"/>
    </row>
    <row r="1075" spans="2:2" ht="12.75" x14ac:dyDescent="0.2">
      <c r="B1075" s="221"/>
    </row>
    <row r="1076" spans="2:2" ht="12.75" x14ac:dyDescent="0.2">
      <c r="B1076" s="221"/>
    </row>
    <row r="1077" spans="2:2" ht="12.75" x14ac:dyDescent="0.2">
      <c r="B1077" s="221"/>
    </row>
    <row r="1078" spans="2:2" ht="12.75" x14ac:dyDescent="0.2">
      <c r="B1078" s="221"/>
    </row>
    <row r="1079" spans="2:2" ht="12.75" x14ac:dyDescent="0.2">
      <c r="B1079" s="221"/>
    </row>
    <row r="1080" spans="2:2" ht="12.75" x14ac:dyDescent="0.2">
      <c r="B1080" s="221"/>
    </row>
    <row r="1081" spans="2:2" ht="12.75" x14ac:dyDescent="0.2">
      <c r="B1081" s="221"/>
    </row>
    <row r="1082" spans="2:2" ht="12.75" x14ac:dyDescent="0.2">
      <c r="B1082" s="221"/>
    </row>
    <row r="1083" spans="2:2" ht="12.75" x14ac:dyDescent="0.2">
      <c r="B1083" s="221"/>
    </row>
    <row r="1084" spans="2:2" ht="12.75" x14ac:dyDescent="0.2">
      <c r="B1084" s="221"/>
    </row>
    <row r="1085" spans="2:2" ht="12.75" x14ac:dyDescent="0.2">
      <c r="B1085" s="221"/>
    </row>
    <row r="1086" spans="2:2" ht="12.75" x14ac:dyDescent="0.2">
      <c r="B1086" s="221"/>
    </row>
    <row r="1087" spans="2:2" ht="12.75" x14ac:dyDescent="0.2">
      <c r="B1087" s="221"/>
    </row>
    <row r="1088" spans="2:2" ht="12.75" x14ac:dyDescent="0.2">
      <c r="B1088" s="221"/>
    </row>
    <row r="1089" spans="2:2" ht="12.75" x14ac:dyDescent="0.2">
      <c r="B1089" s="221"/>
    </row>
    <row r="1090" spans="2:2" ht="12.75" x14ac:dyDescent="0.2">
      <c r="B1090" s="221"/>
    </row>
    <row r="1091" spans="2:2" ht="12.75" x14ac:dyDescent="0.2">
      <c r="B1091" s="221"/>
    </row>
    <row r="1092" spans="2:2" ht="12.75" x14ac:dyDescent="0.2">
      <c r="B1092" s="221"/>
    </row>
    <row r="1093" spans="2:2" ht="12.75" x14ac:dyDescent="0.2">
      <c r="B1093" s="221"/>
    </row>
    <row r="1094" spans="2:2" ht="12.75" x14ac:dyDescent="0.2">
      <c r="B1094" s="221"/>
    </row>
    <row r="1095" spans="2:2" ht="12.75" x14ac:dyDescent="0.2">
      <c r="B1095" s="221"/>
    </row>
    <row r="1096" spans="2:2" ht="12.75" x14ac:dyDescent="0.2">
      <c r="B1096" s="221"/>
    </row>
    <row r="1097" spans="2:2" ht="12.75" x14ac:dyDescent="0.2">
      <c r="B1097" s="221"/>
    </row>
    <row r="1098" spans="2:2" ht="12.75" x14ac:dyDescent="0.2">
      <c r="B1098" s="221"/>
    </row>
    <row r="1099" spans="2:2" ht="12.75" x14ac:dyDescent="0.2">
      <c r="B1099" s="221"/>
    </row>
    <row r="1100" spans="2:2" ht="12.75" x14ac:dyDescent="0.2">
      <c r="B1100" s="221"/>
    </row>
    <row r="1101" spans="2:2" ht="12.75" x14ac:dyDescent="0.2">
      <c r="B1101" s="221"/>
    </row>
    <row r="1102" spans="2:2" ht="12.75" x14ac:dyDescent="0.2">
      <c r="B1102" s="221"/>
    </row>
    <row r="1103" spans="2:2" ht="12.75" x14ac:dyDescent="0.2">
      <c r="B1103" s="221"/>
    </row>
    <row r="1104" spans="2:2" ht="12.75" x14ac:dyDescent="0.2">
      <c r="B1104" s="221"/>
    </row>
    <row r="1105" spans="2:2" ht="12.75" x14ac:dyDescent="0.2">
      <c r="B1105" s="221"/>
    </row>
    <row r="1106" spans="2:2" ht="12.75" x14ac:dyDescent="0.2">
      <c r="B1106" s="221"/>
    </row>
    <row r="1107" spans="2:2" ht="12.75" x14ac:dyDescent="0.2">
      <c r="B1107" s="221"/>
    </row>
    <row r="1108" spans="2:2" ht="12.75" x14ac:dyDescent="0.2">
      <c r="B1108" s="221"/>
    </row>
  </sheetData>
  <conditionalFormatting sqref="D6:X6 D21:X21 D31:X31 D62:X62 D82:X82 D85:X85 D95:X95 D104:X104 D109:X109 D115:X115 D117:X117 D129:X129 D135:X135 D137:X137 D144:X144 D146:X147 Y147:AY147 D160:X160 D166:X166 D173:X173 D175:X175">
    <cfRule type="cellIs" dxfId="1" priority="1" operator="equal">
      <formula>0</formula>
    </cfRule>
  </conditionalFormatting>
  <conditionalFormatting sqref="D6:X6 D21:X21 D31:X31 D62:X62 D82:X82 D85:X85 D95:X95 D104:X104 D109:X109 D115:X115 D117:X117 D129:X129 D135:X135 D137:X137 D144:X144 D146:X147 Y147:AY147 D160:X160 D166:X166 D173:X173 D175:X175">
    <cfRule type="cellIs" dxfId="0" priority="2" operator="not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BK910"/>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63.140625" customWidth="1"/>
  </cols>
  <sheetData>
    <row r="1" spans="1:63" ht="15.75" customHeight="1" x14ac:dyDescent="0.2">
      <c r="A1" s="257" t="s">
        <v>408</v>
      </c>
      <c r="B1" s="258"/>
      <c r="C1" s="259"/>
      <c r="D1" s="258">
        <v>43647</v>
      </c>
      <c r="E1" s="259">
        <f t="shared" ref="E1:AW1" si="0">EDATE(D1,1)</f>
        <v>43678</v>
      </c>
      <c r="F1" s="259">
        <f t="shared" si="0"/>
        <v>43709</v>
      </c>
      <c r="G1" s="259">
        <f t="shared" si="0"/>
        <v>43739</v>
      </c>
      <c r="H1" s="259">
        <f t="shared" si="0"/>
        <v>43770</v>
      </c>
      <c r="I1" s="259">
        <f t="shared" si="0"/>
        <v>43800</v>
      </c>
      <c r="J1" s="259">
        <f t="shared" si="0"/>
        <v>43831</v>
      </c>
      <c r="K1" s="259">
        <f t="shared" si="0"/>
        <v>43862</v>
      </c>
      <c r="L1" s="259">
        <f t="shared" si="0"/>
        <v>43891</v>
      </c>
      <c r="M1" s="259">
        <f t="shared" si="0"/>
        <v>43922</v>
      </c>
      <c r="N1" s="259">
        <f t="shared" si="0"/>
        <v>43952</v>
      </c>
      <c r="O1" s="259">
        <f t="shared" si="0"/>
        <v>43983</v>
      </c>
      <c r="P1" s="259">
        <f t="shared" si="0"/>
        <v>44013</v>
      </c>
      <c r="Q1" s="259">
        <f t="shared" si="0"/>
        <v>44044</v>
      </c>
      <c r="R1" s="259">
        <f t="shared" si="0"/>
        <v>44075</v>
      </c>
      <c r="S1" s="259">
        <f t="shared" si="0"/>
        <v>44105</v>
      </c>
      <c r="T1" s="259">
        <f t="shared" si="0"/>
        <v>44136</v>
      </c>
      <c r="U1" s="259">
        <f t="shared" si="0"/>
        <v>44166</v>
      </c>
      <c r="V1" s="259">
        <f t="shared" si="0"/>
        <v>44197</v>
      </c>
      <c r="W1" s="259">
        <f t="shared" si="0"/>
        <v>44228</v>
      </c>
      <c r="X1" s="259">
        <f t="shared" si="0"/>
        <v>44256</v>
      </c>
      <c r="Y1" s="259">
        <f t="shared" si="0"/>
        <v>44287</v>
      </c>
      <c r="Z1" s="259">
        <f t="shared" si="0"/>
        <v>44317</v>
      </c>
      <c r="AA1" s="259">
        <f t="shared" si="0"/>
        <v>44348</v>
      </c>
      <c r="AB1" s="259">
        <f t="shared" si="0"/>
        <v>44378</v>
      </c>
      <c r="AC1" s="259">
        <f t="shared" si="0"/>
        <v>44409</v>
      </c>
      <c r="AD1" s="259">
        <f t="shared" si="0"/>
        <v>44440</v>
      </c>
      <c r="AE1" s="259">
        <f t="shared" si="0"/>
        <v>44470</v>
      </c>
      <c r="AF1" s="259">
        <f t="shared" si="0"/>
        <v>44501</v>
      </c>
      <c r="AG1" s="259">
        <f t="shared" si="0"/>
        <v>44531</v>
      </c>
      <c r="AH1" s="259">
        <f t="shared" si="0"/>
        <v>44562</v>
      </c>
      <c r="AI1" s="259">
        <f t="shared" si="0"/>
        <v>44593</v>
      </c>
      <c r="AJ1" s="259">
        <f t="shared" si="0"/>
        <v>44621</v>
      </c>
      <c r="AK1" s="259">
        <f t="shared" si="0"/>
        <v>44652</v>
      </c>
      <c r="AL1" s="259">
        <f t="shared" si="0"/>
        <v>44682</v>
      </c>
      <c r="AM1" s="259">
        <f t="shared" si="0"/>
        <v>44713</v>
      </c>
      <c r="AN1" s="259">
        <f t="shared" si="0"/>
        <v>44743</v>
      </c>
      <c r="AO1" s="259">
        <f t="shared" si="0"/>
        <v>44774</v>
      </c>
      <c r="AP1" s="259">
        <f t="shared" si="0"/>
        <v>44805</v>
      </c>
      <c r="AQ1" s="259">
        <f t="shared" si="0"/>
        <v>44835</v>
      </c>
      <c r="AR1" s="259">
        <f t="shared" si="0"/>
        <v>44866</v>
      </c>
      <c r="AS1" s="259">
        <f t="shared" si="0"/>
        <v>44896</v>
      </c>
      <c r="AT1" s="259">
        <f t="shared" si="0"/>
        <v>44927</v>
      </c>
      <c r="AU1" s="259">
        <f t="shared" si="0"/>
        <v>44958</v>
      </c>
      <c r="AV1" s="259">
        <f t="shared" si="0"/>
        <v>44986</v>
      </c>
      <c r="AW1" s="259">
        <f t="shared" si="0"/>
        <v>45017</v>
      </c>
      <c r="AX1" s="259"/>
      <c r="AY1" s="259"/>
      <c r="AZ1" s="259"/>
      <c r="BA1" s="259"/>
      <c r="BB1" s="259"/>
      <c r="BC1" s="259"/>
      <c r="BD1" s="259"/>
      <c r="BE1" s="259"/>
      <c r="BF1" s="259"/>
      <c r="BG1" s="259"/>
      <c r="BH1" s="259"/>
      <c r="BI1" s="259"/>
      <c r="BJ1" s="259"/>
      <c r="BK1" s="259"/>
    </row>
    <row r="2" spans="1:63" ht="15.75" customHeight="1" x14ac:dyDescent="0.2">
      <c r="A2" s="260" t="s">
        <v>409</v>
      </c>
      <c r="B2" s="261"/>
      <c r="C2" s="261"/>
      <c r="D2" s="261"/>
      <c r="E2" s="261"/>
      <c r="F2" s="261"/>
      <c r="G2" s="261"/>
      <c r="H2" s="261"/>
      <c r="I2" s="261"/>
      <c r="J2" s="261"/>
      <c r="K2" s="261"/>
      <c r="L2" s="261"/>
      <c r="M2" s="261"/>
      <c r="N2" s="261"/>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2"/>
      <c r="AN2" s="262"/>
      <c r="AO2" s="262"/>
      <c r="AP2" s="262"/>
      <c r="AQ2" s="262"/>
      <c r="AR2" s="262"/>
      <c r="AS2" s="262"/>
      <c r="AT2" s="262"/>
      <c r="AU2" s="262"/>
      <c r="AV2" s="262"/>
      <c r="AW2" s="262"/>
      <c r="AX2" s="262"/>
      <c r="AY2" s="262"/>
      <c r="AZ2" s="262"/>
      <c r="BA2" s="262"/>
      <c r="BB2" s="262"/>
      <c r="BC2" s="262"/>
      <c r="BD2" s="262"/>
      <c r="BE2" s="262"/>
      <c r="BF2" s="262"/>
      <c r="BG2" s="262"/>
      <c r="BH2" s="262"/>
      <c r="BI2" s="262"/>
      <c r="BJ2" s="262"/>
      <c r="BK2" s="262"/>
    </row>
    <row r="3" spans="1:63" ht="15.75" customHeight="1" x14ac:dyDescent="0.2">
      <c r="A3" s="263" t="s">
        <v>410</v>
      </c>
      <c r="B3" s="261"/>
      <c r="C3" s="262"/>
      <c r="D3" s="262"/>
      <c r="E3" s="262">
        <f t="shared" ref="E3:AW3" si="1">D5</f>
        <v>0</v>
      </c>
      <c r="F3" s="262">
        <f t="shared" si="1"/>
        <v>0</v>
      </c>
      <c r="G3" s="262">
        <f t="shared" si="1"/>
        <v>0</v>
      </c>
      <c r="H3" s="262">
        <f t="shared" si="1"/>
        <v>0</v>
      </c>
      <c r="I3" s="262">
        <f t="shared" si="1"/>
        <v>0</v>
      </c>
      <c r="J3" s="262">
        <f t="shared" si="1"/>
        <v>0</v>
      </c>
      <c r="K3" s="262">
        <f t="shared" si="1"/>
        <v>0</v>
      </c>
      <c r="L3" s="262">
        <f t="shared" si="1"/>
        <v>0</v>
      </c>
      <c r="M3" s="262">
        <f t="shared" si="1"/>
        <v>0</v>
      </c>
      <c r="N3" s="262">
        <f t="shared" si="1"/>
        <v>0</v>
      </c>
      <c r="O3" s="262">
        <f t="shared" si="1"/>
        <v>0</v>
      </c>
      <c r="P3" s="262">
        <f t="shared" si="1"/>
        <v>0</v>
      </c>
      <c r="Q3" s="262">
        <f t="shared" si="1"/>
        <v>0</v>
      </c>
      <c r="R3" s="262">
        <f t="shared" si="1"/>
        <v>0</v>
      </c>
      <c r="S3" s="262">
        <f t="shared" si="1"/>
        <v>0</v>
      </c>
      <c r="T3" s="262">
        <f t="shared" si="1"/>
        <v>0</v>
      </c>
      <c r="U3" s="262">
        <f t="shared" si="1"/>
        <v>0</v>
      </c>
      <c r="V3" s="262">
        <f t="shared" si="1"/>
        <v>0</v>
      </c>
      <c r="W3" s="262">
        <f t="shared" si="1"/>
        <v>0</v>
      </c>
      <c r="X3" s="262">
        <f t="shared" si="1"/>
        <v>0</v>
      </c>
      <c r="Y3" s="262">
        <f t="shared" si="1"/>
        <v>0</v>
      </c>
      <c r="Z3" s="262">
        <f t="shared" si="1"/>
        <v>0</v>
      </c>
      <c r="AA3" s="262">
        <f t="shared" si="1"/>
        <v>0</v>
      </c>
      <c r="AB3" s="262">
        <f t="shared" si="1"/>
        <v>0</v>
      </c>
      <c r="AC3" s="262">
        <f t="shared" si="1"/>
        <v>0</v>
      </c>
      <c r="AD3" s="262">
        <f t="shared" si="1"/>
        <v>0</v>
      </c>
      <c r="AE3" s="262">
        <f t="shared" si="1"/>
        <v>0</v>
      </c>
      <c r="AF3" s="262">
        <f t="shared" si="1"/>
        <v>0</v>
      </c>
      <c r="AG3" s="262">
        <f t="shared" si="1"/>
        <v>0</v>
      </c>
      <c r="AH3" s="262">
        <f t="shared" si="1"/>
        <v>0</v>
      </c>
      <c r="AI3" s="262">
        <f t="shared" si="1"/>
        <v>0</v>
      </c>
      <c r="AJ3" s="262">
        <f t="shared" si="1"/>
        <v>0</v>
      </c>
      <c r="AK3" s="262">
        <f t="shared" si="1"/>
        <v>0</v>
      </c>
      <c r="AL3" s="262">
        <f t="shared" si="1"/>
        <v>0</v>
      </c>
      <c r="AM3" s="262">
        <f t="shared" si="1"/>
        <v>0</v>
      </c>
      <c r="AN3" s="262">
        <f t="shared" si="1"/>
        <v>0</v>
      </c>
      <c r="AO3" s="262">
        <f t="shared" si="1"/>
        <v>0</v>
      </c>
      <c r="AP3" s="262">
        <f t="shared" si="1"/>
        <v>0</v>
      </c>
      <c r="AQ3" s="262">
        <f t="shared" si="1"/>
        <v>0</v>
      </c>
      <c r="AR3" s="262">
        <f t="shared" si="1"/>
        <v>0</v>
      </c>
      <c r="AS3" s="262">
        <f t="shared" si="1"/>
        <v>0</v>
      </c>
      <c r="AT3" s="262">
        <f t="shared" si="1"/>
        <v>0</v>
      </c>
      <c r="AU3" s="262">
        <f t="shared" si="1"/>
        <v>0</v>
      </c>
      <c r="AV3" s="262">
        <f t="shared" si="1"/>
        <v>0</v>
      </c>
      <c r="AW3" s="262">
        <f t="shared" si="1"/>
        <v>0</v>
      </c>
      <c r="AX3" s="262"/>
      <c r="AY3" s="262"/>
      <c r="AZ3" s="262"/>
      <c r="BA3" s="262"/>
      <c r="BB3" s="262"/>
      <c r="BC3" s="262"/>
      <c r="BD3" s="262"/>
      <c r="BE3" s="262"/>
      <c r="BF3" s="262"/>
      <c r="BG3" s="262"/>
      <c r="BH3" s="262"/>
      <c r="BI3" s="262"/>
      <c r="BJ3" s="262"/>
      <c r="BK3" s="262"/>
    </row>
    <row r="4" spans="1:63" ht="15.75" customHeight="1" x14ac:dyDescent="0.2">
      <c r="A4" s="264" t="s">
        <v>411</v>
      </c>
      <c r="B4" s="261"/>
      <c r="C4" s="261"/>
      <c r="D4" s="26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262"/>
      <c r="AE4" s="262"/>
      <c r="AF4" s="262"/>
      <c r="AG4" s="262"/>
      <c r="AH4" s="262"/>
      <c r="AI4" s="262"/>
      <c r="AJ4" s="262"/>
      <c r="AK4" s="262"/>
      <c r="AL4" s="262"/>
      <c r="AM4" s="262"/>
      <c r="AN4" s="262"/>
      <c r="AO4" s="262"/>
      <c r="AP4" s="262"/>
      <c r="AQ4" s="262"/>
      <c r="AR4" s="262"/>
      <c r="AS4" s="262"/>
      <c r="AT4" s="262"/>
      <c r="AU4" s="262"/>
      <c r="AV4" s="262"/>
      <c r="AW4" s="262"/>
      <c r="AX4" s="262"/>
      <c r="AY4" s="262"/>
      <c r="AZ4" s="262"/>
      <c r="BA4" s="262"/>
      <c r="BB4" s="262"/>
      <c r="BC4" s="262"/>
      <c r="BD4" s="262"/>
      <c r="BE4" s="262"/>
      <c r="BF4" s="262"/>
      <c r="BG4" s="262"/>
      <c r="BH4" s="262"/>
      <c r="BI4" s="262"/>
      <c r="BJ4" s="262"/>
      <c r="BK4" s="262"/>
    </row>
    <row r="5" spans="1:63" ht="15.75" customHeight="1" x14ac:dyDescent="0.2">
      <c r="A5" s="265" t="s">
        <v>260</v>
      </c>
      <c r="B5" s="266"/>
      <c r="C5" s="266"/>
      <c r="D5" s="267"/>
      <c r="E5" s="266">
        <f t="shared" ref="E5:AW5" si="2">SUM(E3:E4)</f>
        <v>0</v>
      </c>
      <c r="F5" s="266">
        <f t="shared" si="2"/>
        <v>0</v>
      </c>
      <c r="G5" s="266">
        <f t="shared" si="2"/>
        <v>0</v>
      </c>
      <c r="H5" s="266">
        <f t="shared" si="2"/>
        <v>0</v>
      </c>
      <c r="I5" s="266">
        <f t="shared" si="2"/>
        <v>0</v>
      </c>
      <c r="J5" s="266">
        <f t="shared" si="2"/>
        <v>0</v>
      </c>
      <c r="K5" s="266">
        <f t="shared" si="2"/>
        <v>0</v>
      </c>
      <c r="L5" s="266">
        <f t="shared" si="2"/>
        <v>0</v>
      </c>
      <c r="M5" s="266">
        <f t="shared" si="2"/>
        <v>0</v>
      </c>
      <c r="N5" s="266">
        <f t="shared" si="2"/>
        <v>0</v>
      </c>
      <c r="O5" s="266">
        <f t="shared" si="2"/>
        <v>0</v>
      </c>
      <c r="P5" s="266">
        <f t="shared" si="2"/>
        <v>0</v>
      </c>
      <c r="Q5" s="266">
        <f t="shared" si="2"/>
        <v>0</v>
      </c>
      <c r="R5" s="266">
        <f t="shared" si="2"/>
        <v>0</v>
      </c>
      <c r="S5" s="266">
        <f t="shared" si="2"/>
        <v>0</v>
      </c>
      <c r="T5" s="266">
        <f t="shared" si="2"/>
        <v>0</v>
      </c>
      <c r="U5" s="266">
        <f t="shared" si="2"/>
        <v>0</v>
      </c>
      <c r="V5" s="266">
        <f t="shared" si="2"/>
        <v>0</v>
      </c>
      <c r="W5" s="266">
        <f t="shared" si="2"/>
        <v>0</v>
      </c>
      <c r="X5" s="266">
        <f t="shared" si="2"/>
        <v>0</v>
      </c>
      <c r="Y5" s="266">
        <f t="shared" si="2"/>
        <v>0</v>
      </c>
      <c r="Z5" s="266">
        <f t="shared" si="2"/>
        <v>0</v>
      </c>
      <c r="AA5" s="266">
        <f t="shared" si="2"/>
        <v>0</v>
      </c>
      <c r="AB5" s="266">
        <f t="shared" si="2"/>
        <v>0</v>
      </c>
      <c r="AC5" s="266">
        <f t="shared" si="2"/>
        <v>0</v>
      </c>
      <c r="AD5" s="266">
        <f t="shared" si="2"/>
        <v>0</v>
      </c>
      <c r="AE5" s="266">
        <f t="shared" si="2"/>
        <v>0</v>
      </c>
      <c r="AF5" s="266">
        <f t="shared" si="2"/>
        <v>0</v>
      </c>
      <c r="AG5" s="266">
        <f t="shared" si="2"/>
        <v>0</v>
      </c>
      <c r="AH5" s="266">
        <f t="shared" si="2"/>
        <v>0</v>
      </c>
      <c r="AI5" s="266">
        <f t="shared" si="2"/>
        <v>0</v>
      </c>
      <c r="AJ5" s="266">
        <f t="shared" si="2"/>
        <v>0</v>
      </c>
      <c r="AK5" s="266">
        <f t="shared" si="2"/>
        <v>0</v>
      </c>
      <c r="AL5" s="266">
        <f t="shared" si="2"/>
        <v>0</v>
      </c>
      <c r="AM5" s="266">
        <f t="shared" si="2"/>
        <v>0</v>
      </c>
      <c r="AN5" s="266">
        <f t="shared" si="2"/>
        <v>0</v>
      </c>
      <c r="AO5" s="266">
        <f t="shared" si="2"/>
        <v>0</v>
      </c>
      <c r="AP5" s="266">
        <f t="shared" si="2"/>
        <v>0</v>
      </c>
      <c r="AQ5" s="266">
        <f t="shared" si="2"/>
        <v>0</v>
      </c>
      <c r="AR5" s="266">
        <f t="shared" si="2"/>
        <v>0</v>
      </c>
      <c r="AS5" s="266">
        <f t="shared" si="2"/>
        <v>0</v>
      </c>
      <c r="AT5" s="266">
        <f t="shared" si="2"/>
        <v>0</v>
      </c>
      <c r="AU5" s="266">
        <f t="shared" si="2"/>
        <v>0</v>
      </c>
      <c r="AV5" s="266">
        <f t="shared" si="2"/>
        <v>0</v>
      </c>
      <c r="AW5" s="266">
        <f t="shared" si="2"/>
        <v>0</v>
      </c>
      <c r="AX5" s="268"/>
      <c r="AY5" s="268"/>
      <c r="AZ5" s="268"/>
      <c r="BA5" s="268"/>
      <c r="BB5" s="268"/>
      <c r="BC5" s="268"/>
      <c r="BD5" s="268"/>
      <c r="BE5" s="268"/>
      <c r="BF5" s="268"/>
      <c r="BG5" s="268"/>
      <c r="BH5" s="268"/>
      <c r="BI5" s="268"/>
      <c r="BJ5" s="268"/>
      <c r="BK5" s="268"/>
    </row>
    <row r="6" spans="1:63" ht="15.75" customHeight="1" x14ac:dyDescent="0.2">
      <c r="A6" s="263"/>
      <c r="B6" s="262"/>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AW6" s="262"/>
      <c r="AX6" s="262"/>
      <c r="AY6" s="262"/>
      <c r="AZ6" s="262"/>
      <c r="BA6" s="262"/>
      <c r="BB6" s="262"/>
      <c r="BC6" s="262"/>
      <c r="BD6" s="262"/>
      <c r="BE6" s="262"/>
      <c r="BF6" s="262"/>
      <c r="BG6" s="262"/>
      <c r="BH6" s="262"/>
      <c r="BI6" s="262"/>
      <c r="BJ6" s="262"/>
      <c r="BK6" s="262"/>
    </row>
    <row r="7" spans="1:63" ht="15.75" customHeight="1" x14ac:dyDescent="0.2">
      <c r="A7" s="260" t="s">
        <v>412</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62"/>
    </row>
    <row r="8" spans="1:63" ht="15.75" customHeight="1" x14ac:dyDescent="0.2">
      <c r="A8" s="263" t="s">
        <v>410</v>
      </c>
      <c r="B8" s="120"/>
      <c r="C8" s="120"/>
      <c r="D8" s="120"/>
      <c r="E8" s="120">
        <f t="shared" ref="E8:AW8" si="3">D13</f>
        <v>0</v>
      </c>
      <c r="F8" s="120">
        <f t="shared" si="3"/>
        <v>0</v>
      </c>
      <c r="G8" s="120">
        <f t="shared" si="3"/>
        <v>0</v>
      </c>
      <c r="H8" s="120">
        <f t="shared" si="3"/>
        <v>0</v>
      </c>
      <c r="I8" s="120">
        <f t="shared" si="3"/>
        <v>0</v>
      </c>
      <c r="J8" s="120">
        <f t="shared" si="3"/>
        <v>0</v>
      </c>
      <c r="K8" s="120">
        <f t="shared" si="3"/>
        <v>0</v>
      </c>
      <c r="L8" s="120">
        <f t="shared" si="3"/>
        <v>0</v>
      </c>
      <c r="M8" s="120">
        <f t="shared" si="3"/>
        <v>0</v>
      </c>
      <c r="N8" s="120">
        <f t="shared" si="3"/>
        <v>0</v>
      </c>
      <c r="O8" s="120">
        <f t="shared" si="3"/>
        <v>0</v>
      </c>
      <c r="P8" s="120">
        <f t="shared" ca="1" si="3"/>
        <v>0</v>
      </c>
      <c r="Q8" s="120">
        <f t="shared" ca="1" si="3"/>
        <v>0</v>
      </c>
      <c r="R8" s="120">
        <f t="shared" ca="1" si="3"/>
        <v>0</v>
      </c>
      <c r="S8" s="120">
        <f t="shared" ca="1" si="3"/>
        <v>0</v>
      </c>
      <c r="T8" s="120">
        <f t="shared" ca="1" si="3"/>
        <v>0</v>
      </c>
      <c r="U8" s="120">
        <f t="shared" ca="1" si="3"/>
        <v>0</v>
      </c>
      <c r="V8" s="120">
        <f t="shared" ca="1" si="3"/>
        <v>0</v>
      </c>
      <c r="W8" s="120">
        <f t="shared" ca="1" si="3"/>
        <v>0</v>
      </c>
      <c r="X8" s="120">
        <f t="shared" ca="1" si="3"/>
        <v>0</v>
      </c>
      <c r="Y8" s="120">
        <f t="shared" ca="1" si="3"/>
        <v>0</v>
      </c>
      <c r="Z8" s="120">
        <f t="shared" ca="1" si="3"/>
        <v>0</v>
      </c>
      <c r="AA8" s="120">
        <f t="shared" ca="1" si="3"/>
        <v>0</v>
      </c>
      <c r="AB8" s="120">
        <f t="shared" ca="1" si="3"/>
        <v>0</v>
      </c>
      <c r="AC8" s="120">
        <f t="shared" ca="1" si="3"/>
        <v>0</v>
      </c>
      <c r="AD8" s="120">
        <f t="shared" ca="1" si="3"/>
        <v>0</v>
      </c>
      <c r="AE8" s="120">
        <f t="shared" ca="1" si="3"/>
        <v>0</v>
      </c>
      <c r="AF8" s="120">
        <f t="shared" ca="1" si="3"/>
        <v>0</v>
      </c>
      <c r="AG8" s="120">
        <f t="shared" ca="1" si="3"/>
        <v>0</v>
      </c>
      <c r="AH8" s="120">
        <f t="shared" ca="1" si="3"/>
        <v>0</v>
      </c>
      <c r="AI8" s="120">
        <f t="shared" ca="1" si="3"/>
        <v>0</v>
      </c>
      <c r="AJ8" s="120">
        <f t="shared" ca="1" si="3"/>
        <v>0</v>
      </c>
      <c r="AK8" s="120">
        <f t="shared" ca="1" si="3"/>
        <v>0</v>
      </c>
      <c r="AL8" s="120">
        <f t="shared" ca="1" si="3"/>
        <v>0</v>
      </c>
      <c r="AM8" s="120">
        <f t="shared" ca="1" si="3"/>
        <v>0</v>
      </c>
      <c r="AN8" s="120">
        <f t="shared" ca="1" si="3"/>
        <v>0</v>
      </c>
      <c r="AO8" s="120">
        <f t="shared" ca="1" si="3"/>
        <v>0</v>
      </c>
      <c r="AP8" s="120">
        <f t="shared" ca="1" si="3"/>
        <v>0</v>
      </c>
      <c r="AQ8" s="120">
        <f t="shared" ca="1" si="3"/>
        <v>0</v>
      </c>
      <c r="AR8" s="120">
        <f t="shared" ca="1" si="3"/>
        <v>0</v>
      </c>
      <c r="AS8" s="120">
        <f t="shared" ca="1" si="3"/>
        <v>0</v>
      </c>
      <c r="AT8" s="120">
        <f t="shared" ca="1" si="3"/>
        <v>0</v>
      </c>
      <c r="AU8" s="120">
        <f t="shared" ca="1" si="3"/>
        <v>0</v>
      </c>
      <c r="AV8" s="120">
        <f t="shared" ca="1" si="3"/>
        <v>0</v>
      </c>
      <c r="AW8" s="120">
        <f t="shared" ca="1" si="3"/>
        <v>0</v>
      </c>
      <c r="AX8" s="120"/>
      <c r="AY8" s="120"/>
      <c r="AZ8" s="120"/>
      <c r="BA8" s="120"/>
      <c r="BB8" s="120"/>
      <c r="BC8" s="120"/>
      <c r="BD8" s="120"/>
      <c r="BE8" s="120"/>
      <c r="BF8" s="120"/>
      <c r="BG8" s="120"/>
      <c r="BH8" s="120"/>
      <c r="BI8" s="120"/>
      <c r="BJ8" s="120"/>
      <c r="BK8" s="120"/>
    </row>
    <row r="9" spans="1:63" ht="15.75" customHeight="1" x14ac:dyDescent="0.2">
      <c r="A9" s="269" t="s">
        <v>413</v>
      </c>
      <c r="B9" s="262"/>
      <c r="C9" s="262"/>
      <c r="D9" s="262"/>
      <c r="E9" s="141">
        <f t="shared" ref="E9:P9" si="4">SUMIFS(Renewals_Amount,Renewals_Date,"&gt;="&amp;E$1,Renewals_Date,"&lt;"&amp;F$1,Renewals_Interval,12)</f>
        <v>0</v>
      </c>
      <c r="F9" s="141">
        <f t="shared" si="4"/>
        <v>0</v>
      </c>
      <c r="G9" s="141">
        <f t="shared" si="4"/>
        <v>0</v>
      </c>
      <c r="H9" s="141">
        <f t="shared" si="4"/>
        <v>0</v>
      </c>
      <c r="I9" s="141">
        <f t="shared" si="4"/>
        <v>0</v>
      </c>
      <c r="J9" s="141">
        <f t="shared" si="4"/>
        <v>0</v>
      </c>
      <c r="K9" s="141">
        <f t="shared" si="4"/>
        <v>0</v>
      </c>
      <c r="L9" s="141">
        <f t="shared" si="4"/>
        <v>0</v>
      </c>
      <c r="M9" s="141">
        <f t="shared" si="4"/>
        <v>0</v>
      </c>
      <c r="N9" s="141">
        <f t="shared" si="4"/>
        <v>0</v>
      </c>
      <c r="O9" s="141">
        <f t="shared" si="4"/>
        <v>0</v>
      </c>
      <c r="P9" s="141">
        <f t="shared" si="4"/>
        <v>0</v>
      </c>
      <c r="Q9" s="270">
        <f t="shared" ref="Q9:AW9" si="5">E9+E10+E11+E17</f>
        <v>0</v>
      </c>
      <c r="R9" s="270">
        <f t="shared" si="5"/>
        <v>0</v>
      </c>
      <c r="S9" s="270">
        <f t="shared" si="5"/>
        <v>0</v>
      </c>
      <c r="T9" s="270">
        <f t="shared" si="5"/>
        <v>0</v>
      </c>
      <c r="U9" s="270">
        <f t="shared" si="5"/>
        <v>0</v>
      </c>
      <c r="V9" s="270">
        <f t="shared" si="5"/>
        <v>0</v>
      </c>
      <c r="W9" s="270">
        <f t="shared" si="5"/>
        <v>0</v>
      </c>
      <c r="X9" s="270">
        <f t="shared" si="5"/>
        <v>0</v>
      </c>
      <c r="Y9" s="270">
        <f t="shared" si="5"/>
        <v>0</v>
      </c>
      <c r="Z9" s="270">
        <f t="shared" ca="1" si="5"/>
        <v>0</v>
      </c>
      <c r="AA9" s="270">
        <f t="shared" ca="1" si="5"/>
        <v>0</v>
      </c>
      <c r="AB9" s="270">
        <f t="shared" ca="1" si="5"/>
        <v>0</v>
      </c>
      <c r="AC9" s="270">
        <f t="shared" ca="1" si="5"/>
        <v>0</v>
      </c>
      <c r="AD9" s="270">
        <f t="shared" ca="1" si="5"/>
        <v>0</v>
      </c>
      <c r="AE9" s="270">
        <f t="shared" ca="1" si="5"/>
        <v>0</v>
      </c>
      <c r="AF9" s="270">
        <f t="shared" ca="1" si="5"/>
        <v>0</v>
      </c>
      <c r="AG9" s="270">
        <f t="shared" ca="1" si="5"/>
        <v>0</v>
      </c>
      <c r="AH9" s="270">
        <f t="shared" ca="1" si="5"/>
        <v>0</v>
      </c>
      <c r="AI9" s="270">
        <f t="shared" ca="1" si="5"/>
        <v>0</v>
      </c>
      <c r="AJ9" s="270">
        <f t="shared" ca="1" si="5"/>
        <v>0</v>
      </c>
      <c r="AK9" s="270">
        <f t="shared" ca="1" si="5"/>
        <v>0</v>
      </c>
      <c r="AL9" s="270">
        <f t="shared" ca="1" si="5"/>
        <v>0</v>
      </c>
      <c r="AM9" s="270">
        <f t="shared" ca="1" si="5"/>
        <v>0</v>
      </c>
      <c r="AN9" s="270">
        <f t="shared" ca="1" si="5"/>
        <v>0</v>
      </c>
      <c r="AO9" s="270">
        <f t="shared" ca="1" si="5"/>
        <v>0</v>
      </c>
      <c r="AP9" s="270">
        <f t="shared" ca="1" si="5"/>
        <v>0</v>
      </c>
      <c r="AQ9" s="270">
        <f t="shared" ca="1" si="5"/>
        <v>0</v>
      </c>
      <c r="AR9" s="270">
        <f t="shared" ca="1" si="5"/>
        <v>0</v>
      </c>
      <c r="AS9" s="270">
        <f t="shared" ca="1" si="5"/>
        <v>0</v>
      </c>
      <c r="AT9" s="270">
        <f t="shared" ca="1" si="5"/>
        <v>0</v>
      </c>
      <c r="AU9" s="270">
        <f t="shared" ca="1" si="5"/>
        <v>0</v>
      </c>
      <c r="AV9" s="270">
        <f t="shared" ca="1" si="5"/>
        <v>0</v>
      </c>
      <c r="AW9" s="270">
        <f t="shared" ca="1" si="5"/>
        <v>0</v>
      </c>
      <c r="AX9" s="270"/>
      <c r="AY9" s="270"/>
      <c r="AZ9" s="270"/>
      <c r="BA9" s="270"/>
      <c r="BB9" s="270"/>
      <c r="BC9" s="270"/>
      <c r="BD9" s="270"/>
      <c r="BE9" s="270"/>
      <c r="BF9" s="270"/>
      <c r="BG9" s="270"/>
      <c r="BH9" s="270"/>
      <c r="BI9" s="270"/>
      <c r="BJ9" s="270"/>
      <c r="BK9" s="270"/>
    </row>
    <row r="10" spans="1:63" ht="15.75" customHeight="1" x14ac:dyDescent="0.2">
      <c r="A10" s="269" t="s">
        <v>414</v>
      </c>
      <c r="B10" s="141"/>
      <c r="C10" s="104"/>
      <c r="D10" s="104"/>
      <c r="E10" s="141">
        <f t="array" ref="E10">INDEX(Revenue_Model_Churn_MRR_12m,MATCH(E$1,Revenue_Model_Months,0))*12</f>
        <v>0</v>
      </c>
      <c r="F10" s="141">
        <f t="array" ref="F10">INDEX(Revenue_Model_Churn_MRR_12m,MATCH(F$1,Revenue_Model_Months,0))*12</f>
        <v>0</v>
      </c>
      <c r="G10" s="141">
        <f t="array" ref="G10">INDEX(Revenue_Model_Churn_MRR_12m,MATCH(G$1,Revenue_Model_Months,0))*12</f>
        <v>0</v>
      </c>
      <c r="H10" s="141">
        <f t="array" ref="H10">INDEX(Revenue_Model_Churn_MRR_12m,MATCH(H$1,Revenue_Model_Months,0))*12</f>
        <v>0</v>
      </c>
      <c r="I10" s="141">
        <f t="array" ref="I10">INDEX(Revenue_Model_Churn_MRR_12m,MATCH(I$1,Revenue_Model_Months,0))*12</f>
        <v>0</v>
      </c>
      <c r="J10" s="141">
        <f t="array" ref="J10">INDEX(Revenue_Model_Churn_MRR_12m,MATCH(J$1,Revenue_Model_Months,0))*12</f>
        <v>0</v>
      </c>
      <c r="K10" s="141">
        <f t="array" ref="K10">INDEX(Revenue_Model_Churn_MRR_12m,MATCH(K$1,Revenue_Model_Months,0))*12</f>
        <v>0</v>
      </c>
      <c r="L10" s="141">
        <f t="array" ref="L10">INDEX(Revenue_Model_Churn_MRR_12m,MATCH(L$1,Revenue_Model_Months,0))*12</f>
        <v>0</v>
      </c>
      <c r="M10" s="141">
        <f t="array" ref="M10">INDEX(Revenue_Model_Churn_MRR_12m,MATCH(M$1,Revenue_Model_Months,0))*12</f>
        <v>0</v>
      </c>
      <c r="N10" s="141">
        <f t="array" ref="N10">INDEX(Revenue_Model_Churn_MRR_12m,MATCH(N$1,Revenue_Model_Months,0))*12</f>
        <v>0</v>
      </c>
      <c r="O10" s="141">
        <f t="array" aca="1" ref="O10" ca="1">INDEX(Revenue_Model_Churn_MRR_12m,MATCH(O$1,Revenue_Model_Months,0))*12</f>
        <v>0</v>
      </c>
      <c r="P10" s="141">
        <f t="array" aca="1" ref="P10" ca="1">INDEX(Revenue_Model_Churn_MRR_12m,MATCH(P$1,Revenue_Model_Months,0))*12</f>
        <v>0</v>
      </c>
      <c r="Q10" s="141">
        <f t="array" aca="1" ref="Q10" ca="1">INDEX(Revenue_Model_Churn_MRR_12m,MATCH(Q$1,Revenue_Model_Months,0))*12</f>
        <v>0</v>
      </c>
      <c r="R10" s="141">
        <f t="array" aca="1" ref="R10" ca="1">INDEX(Revenue_Model_Churn_MRR_12m,MATCH(R$1,Revenue_Model_Months,0))*12</f>
        <v>0</v>
      </c>
      <c r="S10" s="141">
        <f t="array" aca="1" ref="S10" ca="1">INDEX(Revenue_Model_Churn_MRR_12m,MATCH(S$1,Revenue_Model_Months,0))*12</f>
        <v>0</v>
      </c>
      <c r="T10" s="141">
        <f t="array" aca="1" ref="T10" ca="1">INDEX(Revenue_Model_Churn_MRR_12m,MATCH(T$1,Revenue_Model_Months,0))*12</f>
        <v>0</v>
      </c>
      <c r="U10" s="141">
        <f t="array" aca="1" ref="U10" ca="1">INDEX(Revenue_Model_Churn_MRR_12m,MATCH(U$1,Revenue_Model_Months,0))*12</f>
        <v>0</v>
      </c>
      <c r="V10" s="141">
        <f t="array" aca="1" ref="V10" ca="1">INDEX(Revenue_Model_Churn_MRR_12m,MATCH(V$1,Revenue_Model_Months,0))*12</f>
        <v>0</v>
      </c>
      <c r="W10" s="141">
        <f t="array" aca="1" ref="W10" ca="1">INDEX(Revenue_Model_Churn_MRR_12m,MATCH(W$1,Revenue_Model_Months,0))*12</f>
        <v>0</v>
      </c>
      <c r="X10" s="141">
        <f t="array" aca="1" ref="X10" ca="1">INDEX(Revenue_Model_Churn_MRR_12m,MATCH(X$1,Revenue_Model_Months,0))*12</f>
        <v>0</v>
      </c>
      <c r="Y10" s="141">
        <f t="array" aca="1" ref="Y10" ca="1">INDEX(Revenue_Model_Churn_MRR_12m,MATCH(Y$1,Revenue_Model_Months,0))*12</f>
        <v>0</v>
      </c>
      <c r="Z10" s="141">
        <f t="array" aca="1" ref="Z10" ca="1">INDEX(Revenue_Model_Churn_MRR_12m,MATCH(Z$1,Revenue_Model_Months,0))*12</f>
        <v>0</v>
      </c>
      <c r="AA10" s="141">
        <f t="array" aca="1" ref="AA10" ca="1">INDEX(Revenue_Model_Churn_MRR_12m,MATCH(AA$1,Revenue_Model_Months,0))*12</f>
        <v>0</v>
      </c>
      <c r="AB10" s="141">
        <f t="array" aca="1" ref="AB10" ca="1">INDEX(Revenue_Model_Churn_MRR_12m,MATCH(AB$1,Revenue_Model_Months,0))*12</f>
        <v>0</v>
      </c>
      <c r="AC10" s="141">
        <f t="array" aca="1" ref="AC10" ca="1">INDEX(Revenue_Model_Churn_MRR_12m,MATCH(AC$1,Revenue_Model_Months,0))*12</f>
        <v>0</v>
      </c>
      <c r="AD10" s="141">
        <f t="array" aca="1" ref="AD10" ca="1">INDEX(Revenue_Model_Churn_MRR_12m,MATCH(AD$1,Revenue_Model_Months,0))*12</f>
        <v>0</v>
      </c>
      <c r="AE10" s="141">
        <f t="array" aca="1" ref="AE10" ca="1">INDEX(Revenue_Model_Churn_MRR_12m,MATCH(AE$1,Revenue_Model_Months,0))*12</f>
        <v>0</v>
      </c>
      <c r="AF10" s="141">
        <f t="array" aca="1" ref="AF10" ca="1">INDEX(Revenue_Model_Churn_MRR_12m,MATCH(AF$1,Revenue_Model_Months,0))*12</f>
        <v>0</v>
      </c>
      <c r="AG10" s="141">
        <f t="array" aca="1" ref="AG10" ca="1">INDEX(Revenue_Model_Churn_MRR_12m,MATCH(AG$1,Revenue_Model_Months,0))*12</f>
        <v>0</v>
      </c>
      <c r="AH10" s="141">
        <f t="array" aca="1" ref="AH10" ca="1">INDEX(Revenue_Model_Churn_MRR_12m,MATCH(AH$1,Revenue_Model_Months,0))*12</f>
        <v>0</v>
      </c>
      <c r="AI10" s="141">
        <f t="array" aca="1" ref="AI10" ca="1">INDEX(Revenue_Model_Churn_MRR_12m,MATCH(AI$1,Revenue_Model_Months,0))*12</f>
        <v>0</v>
      </c>
      <c r="AJ10" s="141">
        <f t="array" aca="1" ref="AJ10" ca="1">INDEX(Revenue_Model_Churn_MRR_12m,MATCH(AJ$1,Revenue_Model_Months,0))*12</f>
        <v>0</v>
      </c>
      <c r="AK10" s="141">
        <f t="array" aca="1" ref="AK10" ca="1">INDEX(Revenue_Model_Churn_MRR_12m,MATCH(AK$1,Revenue_Model_Months,0))*12</f>
        <v>0</v>
      </c>
      <c r="AL10" s="141">
        <f t="array" aca="1" ref="AL10" ca="1">INDEX(Revenue_Model_Churn_MRR_12m,MATCH(AL$1,Revenue_Model_Months,0))*12</f>
        <v>0</v>
      </c>
      <c r="AM10" s="141">
        <f t="array" aca="1" ref="AM10" ca="1">INDEX(Revenue_Model_Churn_MRR_12m,MATCH(AM$1,Revenue_Model_Months,0))*12</f>
        <v>0</v>
      </c>
      <c r="AN10" s="141">
        <f t="array" aca="1" ref="AN10" ca="1">INDEX(Revenue_Model_Churn_MRR_12m,MATCH(AN$1,Revenue_Model_Months,0))*12</f>
        <v>0</v>
      </c>
      <c r="AO10" s="141">
        <f t="array" aca="1" ref="AO10" ca="1">INDEX(Revenue_Model_Churn_MRR_12m,MATCH(AO$1,Revenue_Model_Months,0))*12</f>
        <v>0</v>
      </c>
      <c r="AP10" s="141">
        <f t="array" aca="1" ref="AP10" ca="1">INDEX(Revenue_Model_Churn_MRR_12m,MATCH(AP$1,Revenue_Model_Months,0))*12</f>
        <v>0</v>
      </c>
      <c r="AQ10" s="141">
        <f t="array" aca="1" ref="AQ10" ca="1">INDEX(Revenue_Model_Churn_MRR_12m,MATCH(AQ$1,Revenue_Model_Months,0))*12</f>
        <v>0</v>
      </c>
      <c r="AR10" s="141">
        <f t="array" aca="1" ref="AR10" ca="1">INDEX(Revenue_Model_Churn_MRR_12m,MATCH(AR$1,Revenue_Model_Months,0))*12</f>
        <v>0</v>
      </c>
      <c r="AS10" s="141">
        <f t="array" aca="1" ref="AS10" ca="1">INDEX(Revenue_Model_Churn_MRR_12m,MATCH(AS$1,Revenue_Model_Months,0))*12</f>
        <v>0</v>
      </c>
      <c r="AT10" s="141">
        <f t="array" aca="1" ref="AT10" ca="1">INDEX(Revenue_Model_Churn_MRR_12m,MATCH(AT$1,Revenue_Model_Months,0))*12</f>
        <v>0</v>
      </c>
      <c r="AU10" s="141">
        <f t="array" aca="1" ref="AU10" ca="1">INDEX(Revenue_Model_Churn_MRR_12m,MATCH(AU$1,Revenue_Model_Months,0))*12</f>
        <v>0</v>
      </c>
      <c r="AV10" s="141">
        <f t="array" aca="1" ref="AV10" ca="1">INDEX(Revenue_Model_Churn_MRR_12m,MATCH(AV$1,Revenue_Model_Months,0))*12</f>
        <v>0</v>
      </c>
      <c r="AW10" s="141">
        <f t="array" aca="1" ref="AW10" ca="1">INDEX(Revenue_Model_Churn_MRR_12m,MATCH(AW$1,Revenue_Model_Months,0))*12</f>
        <v>0</v>
      </c>
      <c r="AX10" s="141"/>
      <c r="AY10" s="141"/>
      <c r="AZ10" s="141"/>
      <c r="BA10" s="141"/>
      <c r="BB10" s="141"/>
      <c r="BC10" s="141"/>
      <c r="BD10" s="141"/>
      <c r="BE10" s="141"/>
      <c r="BF10" s="141"/>
      <c r="BG10" s="141"/>
      <c r="BH10" s="141"/>
      <c r="BI10" s="141"/>
      <c r="BJ10" s="141"/>
      <c r="BK10" s="141"/>
    </row>
    <row r="11" spans="1:63" ht="15.75" customHeight="1" x14ac:dyDescent="0.2">
      <c r="A11" s="269" t="s">
        <v>415</v>
      </c>
      <c r="B11" s="141"/>
      <c r="C11" s="141"/>
      <c r="D11" s="141"/>
      <c r="E11" s="141">
        <f t="array" ref="E11">INDEX(Revenue_Model_Contraction_MRR_12m,MATCH(E$1,Revenue_Model_Months,0))*12</f>
        <v>0</v>
      </c>
      <c r="F11" s="141">
        <f t="array" ref="F11">INDEX(Revenue_Model_Contraction_MRR_12m,MATCH(F$1,Revenue_Model_Months,0))*12</f>
        <v>0</v>
      </c>
      <c r="G11" s="141">
        <f t="array" ref="G11">INDEX(Revenue_Model_Contraction_MRR_12m,MATCH(G$1,Revenue_Model_Months,0))*12</f>
        <v>0</v>
      </c>
      <c r="H11" s="141">
        <f t="array" ref="H11">INDEX(Revenue_Model_Contraction_MRR_12m,MATCH(H$1,Revenue_Model_Months,0))*12</f>
        <v>0</v>
      </c>
      <c r="I11" s="141">
        <f t="array" ref="I11">INDEX(Revenue_Model_Contraction_MRR_12m,MATCH(I$1,Revenue_Model_Months,0))*12</f>
        <v>0</v>
      </c>
      <c r="J11" s="141">
        <f t="array" ref="J11">INDEX(Revenue_Model_Contraction_MRR_12m,MATCH(J$1,Revenue_Model_Months,0))*12</f>
        <v>0</v>
      </c>
      <c r="K11" s="141">
        <f t="array" ref="K11">INDEX(Revenue_Model_Contraction_MRR_12m,MATCH(K$1,Revenue_Model_Months,0))*12</f>
        <v>0</v>
      </c>
      <c r="L11" s="141">
        <f t="array" ref="L11">INDEX(Revenue_Model_Contraction_MRR_12m,MATCH(L$1,Revenue_Model_Months,0))*12</f>
        <v>0</v>
      </c>
      <c r="M11" s="141">
        <f t="array" ref="M11">INDEX(Revenue_Model_Contraction_MRR_12m,MATCH(M$1,Revenue_Model_Months,0))*12</f>
        <v>0</v>
      </c>
      <c r="N11" s="141">
        <f t="array" ref="N11">INDEX(Revenue_Model_Contraction_MRR_12m,MATCH(N$1,Revenue_Model_Months,0))*12</f>
        <v>0</v>
      </c>
      <c r="O11" s="141">
        <f t="array" ref="O11">INDEX(Revenue_Model_Contraction_MRR_12m,MATCH(O$1,Revenue_Model_Months,0))*12</f>
        <v>0</v>
      </c>
      <c r="P11" s="141">
        <f t="array" ref="P11">INDEX(Revenue_Model_Contraction_MRR_12m,MATCH(P$1,Revenue_Model_Months,0))*12</f>
        <v>0</v>
      </c>
      <c r="Q11" s="141">
        <f t="array" ref="Q11">INDEX(Revenue_Model_Contraction_MRR_12m,MATCH(Q$1,Revenue_Model_Months,0))*12</f>
        <v>0</v>
      </c>
      <c r="R11" s="141">
        <f t="array" ref="R11">INDEX(Revenue_Model_Contraction_MRR_12m,MATCH(R$1,Revenue_Model_Months,0))*12</f>
        <v>0</v>
      </c>
      <c r="S11" s="141">
        <f t="array" ref="S11">INDEX(Revenue_Model_Contraction_MRR_12m,MATCH(S$1,Revenue_Model_Months,0))*12</f>
        <v>0</v>
      </c>
      <c r="T11" s="141">
        <f t="array" ref="T11">INDEX(Revenue_Model_Contraction_MRR_12m,MATCH(T$1,Revenue_Model_Months,0))*12</f>
        <v>0</v>
      </c>
      <c r="U11" s="141">
        <f t="array" ref="U11">INDEX(Revenue_Model_Contraction_MRR_12m,MATCH(U$1,Revenue_Model_Months,0))*12</f>
        <v>0</v>
      </c>
      <c r="V11" s="141">
        <f t="array" ref="V11">INDEX(Revenue_Model_Contraction_MRR_12m,MATCH(V$1,Revenue_Model_Months,0))*12</f>
        <v>0</v>
      </c>
      <c r="W11" s="141">
        <f t="array" ref="W11">INDEX(Revenue_Model_Contraction_MRR_12m,MATCH(W$1,Revenue_Model_Months,0))*12</f>
        <v>0</v>
      </c>
      <c r="X11" s="141">
        <f t="array" ref="X11">INDEX(Revenue_Model_Contraction_MRR_12m,MATCH(X$1,Revenue_Model_Months,0))*12</f>
        <v>0</v>
      </c>
      <c r="Y11" s="141">
        <f t="array" ref="Y11">INDEX(Revenue_Model_Contraction_MRR_12m,MATCH(Y$1,Revenue_Model_Months,0))*12</f>
        <v>0</v>
      </c>
      <c r="Z11" s="141">
        <f t="array" ref="Z11">INDEX(Revenue_Model_Contraction_MRR_12m,MATCH(Z$1,Revenue_Model_Months,0))*12</f>
        <v>0</v>
      </c>
      <c r="AA11" s="141">
        <f t="array" ref="AA11">INDEX(Revenue_Model_Contraction_MRR_12m,MATCH(AA$1,Revenue_Model_Months,0))*12</f>
        <v>0</v>
      </c>
      <c r="AB11" s="141">
        <f t="array" ref="AB11">INDEX(Revenue_Model_Contraction_MRR_12m,MATCH(AB$1,Revenue_Model_Months,0))*12</f>
        <v>0</v>
      </c>
      <c r="AC11" s="141">
        <f t="array" ref="AC11">INDEX(Revenue_Model_Contraction_MRR_12m,MATCH(AC$1,Revenue_Model_Months,0))*12</f>
        <v>0</v>
      </c>
      <c r="AD11" s="141">
        <f t="array" ref="AD11">INDEX(Revenue_Model_Contraction_MRR_12m,MATCH(AD$1,Revenue_Model_Months,0))*12</f>
        <v>0</v>
      </c>
      <c r="AE11" s="141">
        <f t="array" ref="AE11">INDEX(Revenue_Model_Contraction_MRR_12m,MATCH(AE$1,Revenue_Model_Months,0))*12</f>
        <v>0</v>
      </c>
      <c r="AF11" s="141">
        <f t="array" ref="AF11">INDEX(Revenue_Model_Contraction_MRR_12m,MATCH(AF$1,Revenue_Model_Months,0))*12</f>
        <v>0</v>
      </c>
      <c r="AG11" s="141">
        <f t="array" ref="AG11">INDEX(Revenue_Model_Contraction_MRR_12m,MATCH(AG$1,Revenue_Model_Months,0))*12</f>
        <v>0</v>
      </c>
      <c r="AH11" s="141">
        <f t="array" ref="AH11">INDEX(Revenue_Model_Contraction_MRR_12m,MATCH(AH$1,Revenue_Model_Months,0))*12</f>
        <v>0</v>
      </c>
      <c r="AI11" s="141">
        <f t="array" ref="AI11">INDEX(Revenue_Model_Contraction_MRR_12m,MATCH(AI$1,Revenue_Model_Months,0))*12</f>
        <v>0</v>
      </c>
      <c r="AJ11" s="141">
        <f t="array" ref="AJ11">INDEX(Revenue_Model_Contraction_MRR_12m,MATCH(AJ$1,Revenue_Model_Months,0))*12</f>
        <v>0</v>
      </c>
      <c r="AK11" s="141">
        <f t="array" ref="AK11">INDEX(Revenue_Model_Contraction_MRR_12m,MATCH(AK$1,Revenue_Model_Months,0))*12</f>
        <v>0</v>
      </c>
      <c r="AL11" s="141">
        <f t="array" ref="AL11">INDEX(Revenue_Model_Contraction_MRR_12m,MATCH(AL$1,Revenue_Model_Months,0))*12</f>
        <v>0</v>
      </c>
      <c r="AM11" s="141">
        <f t="array" ref="AM11">INDEX(Revenue_Model_Contraction_MRR_12m,MATCH(AM$1,Revenue_Model_Months,0))*12</f>
        <v>0</v>
      </c>
      <c r="AN11" s="141">
        <f t="array" ref="AN11">INDEX(Revenue_Model_Contraction_MRR_12m,MATCH(AN$1,Revenue_Model_Months,0))*12</f>
        <v>0</v>
      </c>
      <c r="AO11" s="141">
        <f t="array" ref="AO11">INDEX(Revenue_Model_Contraction_MRR_12m,MATCH(AO$1,Revenue_Model_Months,0))*12</f>
        <v>0</v>
      </c>
      <c r="AP11" s="141">
        <f t="array" ref="AP11">INDEX(Revenue_Model_Contraction_MRR_12m,MATCH(AP$1,Revenue_Model_Months,0))*12</f>
        <v>0</v>
      </c>
      <c r="AQ11" s="141">
        <f t="array" ref="AQ11">INDEX(Revenue_Model_Contraction_MRR_12m,MATCH(AQ$1,Revenue_Model_Months,0))*12</f>
        <v>0</v>
      </c>
      <c r="AR11" s="141">
        <f t="array" ref="AR11">INDEX(Revenue_Model_Contraction_MRR_12m,MATCH(AR$1,Revenue_Model_Months,0))*12</f>
        <v>0</v>
      </c>
      <c r="AS11" s="141">
        <f t="array" ref="AS11">INDEX(Revenue_Model_Contraction_MRR_12m,MATCH(AS$1,Revenue_Model_Months,0))*12</f>
        <v>0</v>
      </c>
      <c r="AT11" s="141">
        <f t="array" ref="AT11">INDEX(Revenue_Model_Contraction_MRR_12m,MATCH(AT$1,Revenue_Model_Months,0))*12</f>
        <v>0</v>
      </c>
      <c r="AU11" s="141">
        <f t="array" ref="AU11">INDEX(Revenue_Model_Contraction_MRR_12m,MATCH(AU$1,Revenue_Model_Months,0))*12</f>
        <v>0</v>
      </c>
      <c r="AV11" s="141">
        <f t="array" ref="AV11">INDEX(Revenue_Model_Contraction_MRR_12m,MATCH(AV$1,Revenue_Model_Months,0))*12</f>
        <v>0</v>
      </c>
      <c r="AW11" s="141">
        <f t="array" ref="AW11">INDEX(Revenue_Model_Contraction_MRR_12m,MATCH(AW$1,Revenue_Model_Months,0))*12</f>
        <v>0</v>
      </c>
      <c r="AX11" s="141"/>
      <c r="AY11" s="141"/>
      <c r="AZ11" s="141"/>
      <c r="BA11" s="141"/>
      <c r="BB11" s="141"/>
      <c r="BC11" s="141"/>
      <c r="BD11" s="141"/>
      <c r="BE11" s="141"/>
      <c r="BF11" s="141"/>
      <c r="BG11" s="141"/>
      <c r="BH11" s="141"/>
      <c r="BI11" s="141"/>
      <c r="BJ11" s="141"/>
      <c r="BK11" s="141"/>
    </row>
    <row r="12" spans="1:63" ht="15.75" customHeight="1" x14ac:dyDescent="0.2">
      <c r="A12" s="271" t="s">
        <v>417</v>
      </c>
      <c r="B12" s="120"/>
      <c r="C12" s="120"/>
      <c r="D12" s="120"/>
      <c r="E12" s="120">
        <f t="shared" ref="E12:AW12" si="6">-E80</f>
        <v>0</v>
      </c>
      <c r="F12" s="120">
        <f t="shared" si="6"/>
        <v>0</v>
      </c>
      <c r="G12" s="120">
        <f t="shared" si="6"/>
        <v>0</v>
      </c>
      <c r="H12" s="120">
        <f t="shared" si="6"/>
        <v>0</v>
      </c>
      <c r="I12" s="120">
        <f t="shared" si="6"/>
        <v>0</v>
      </c>
      <c r="J12" s="120">
        <f t="shared" si="6"/>
        <v>0</v>
      </c>
      <c r="K12" s="120">
        <f t="shared" si="6"/>
        <v>0</v>
      </c>
      <c r="L12" s="120">
        <f t="shared" si="6"/>
        <v>0</v>
      </c>
      <c r="M12" s="120">
        <f t="shared" si="6"/>
        <v>0</v>
      </c>
      <c r="N12" s="120">
        <f t="shared" si="6"/>
        <v>0</v>
      </c>
      <c r="O12" s="120">
        <f t="shared" ca="1" si="6"/>
        <v>0</v>
      </c>
      <c r="P12" s="120">
        <f t="shared" ca="1" si="6"/>
        <v>0</v>
      </c>
      <c r="Q12" s="120">
        <f t="shared" ca="1" si="6"/>
        <v>0</v>
      </c>
      <c r="R12" s="120">
        <f t="shared" ca="1" si="6"/>
        <v>0</v>
      </c>
      <c r="S12" s="120">
        <f t="shared" ca="1" si="6"/>
        <v>0</v>
      </c>
      <c r="T12" s="120">
        <f t="shared" ca="1" si="6"/>
        <v>0</v>
      </c>
      <c r="U12" s="120">
        <f t="shared" ca="1" si="6"/>
        <v>0</v>
      </c>
      <c r="V12" s="120">
        <f t="shared" ca="1" si="6"/>
        <v>0</v>
      </c>
      <c r="W12" s="120">
        <f t="shared" ca="1" si="6"/>
        <v>0</v>
      </c>
      <c r="X12" s="120">
        <f t="shared" ca="1" si="6"/>
        <v>0</v>
      </c>
      <c r="Y12" s="120">
        <f t="shared" ca="1" si="6"/>
        <v>0</v>
      </c>
      <c r="Z12" s="120">
        <f t="shared" ca="1" si="6"/>
        <v>0</v>
      </c>
      <c r="AA12" s="120">
        <f t="shared" ca="1" si="6"/>
        <v>0</v>
      </c>
      <c r="AB12" s="120">
        <f t="shared" ca="1" si="6"/>
        <v>0</v>
      </c>
      <c r="AC12" s="120">
        <f t="shared" ca="1" si="6"/>
        <v>0</v>
      </c>
      <c r="AD12" s="120">
        <f t="shared" ca="1" si="6"/>
        <v>0</v>
      </c>
      <c r="AE12" s="120">
        <f t="shared" ca="1" si="6"/>
        <v>0</v>
      </c>
      <c r="AF12" s="120">
        <f t="shared" ca="1" si="6"/>
        <v>0</v>
      </c>
      <c r="AG12" s="120">
        <f t="shared" ca="1" si="6"/>
        <v>0</v>
      </c>
      <c r="AH12" s="120">
        <f t="shared" ca="1" si="6"/>
        <v>0</v>
      </c>
      <c r="AI12" s="120">
        <f t="shared" ca="1" si="6"/>
        <v>0</v>
      </c>
      <c r="AJ12" s="120">
        <f t="shared" ca="1" si="6"/>
        <v>0</v>
      </c>
      <c r="AK12" s="120">
        <f t="shared" ca="1" si="6"/>
        <v>0</v>
      </c>
      <c r="AL12" s="120">
        <f t="shared" ca="1" si="6"/>
        <v>0</v>
      </c>
      <c r="AM12" s="120">
        <f t="shared" ca="1" si="6"/>
        <v>0</v>
      </c>
      <c r="AN12" s="120">
        <f t="shared" ca="1" si="6"/>
        <v>0</v>
      </c>
      <c r="AO12" s="120">
        <f t="shared" ca="1" si="6"/>
        <v>0</v>
      </c>
      <c r="AP12" s="120">
        <f t="shared" ca="1" si="6"/>
        <v>0</v>
      </c>
      <c r="AQ12" s="120">
        <f t="shared" ca="1" si="6"/>
        <v>0</v>
      </c>
      <c r="AR12" s="120">
        <f t="shared" ca="1" si="6"/>
        <v>0</v>
      </c>
      <c r="AS12" s="120">
        <f t="shared" ca="1" si="6"/>
        <v>0</v>
      </c>
      <c r="AT12" s="120">
        <f t="shared" ca="1" si="6"/>
        <v>0</v>
      </c>
      <c r="AU12" s="120">
        <f t="shared" ca="1" si="6"/>
        <v>0</v>
      </c>
      <c r="AV12" s="120">
        <f t="shared" ca="1" si="6"/>
        <v>0</v>
      </c>
      <c r="AW12" s="120">
        <f t="shared" ca="1" si="6"/>
        <v>0</v>
      </c>
      <c r="AX12" s="120"/>
      <c r="AY12" s="120"/>
      <c r="AZ12" s="120"/>
      <c r="BA12" s="120"/>
      <c r="BB12" s="120"/>
      <c r="BC12" s="120"/>
      <c r="BD12" s="120"/>
      <c r="BE12" s="120"/>
      <c r="BF12" s="120"/>
      <c r="BG12" s="120"/>
      <c r="BH12" s="120"/>
      <c r="BI12" s="120"/>
      <c r="BJ12" s="120"/>
      <c r="BK12" s="120"/>
    </row>
    <row r="13" spans="1:63" ht="15.75" customHeight="1" x14ac:dyDescent="0.2">
      <c r="A13" s="265" t="s">
        <v>418</v>
      </c>
      <c r="B13" s="272"/>
      <c r="C13" s="272"/>
      <c r="D13" s="273"/>
      <c r="E13" s="272">
        <f t="shared" ref="E13:AW13" si="7">SUM(E8:E12)</f>
        <v>0</v>
      </c>
      <c r="F13" s="272">
        <f t="shared" si="7"/>
        <v>0</v>
      </c>
      <c r="G13" s="272">
        <f t="shared" si="7"/>
        <v>0</v>
      </c>
      <c r="H13" s="272">
        <f t="shared" si="7"/>
        <v>0</v>
      </c>
      <c r="I13" s="272">
        <f t="shared" si="7"/>
        <v>0</v>
      </c>
      <c r="J13" s="272">
        <f t="shared" si="7"/>
        <v>0</v>
      </c>
      <c r="K13" s="272">
        <f t="shared" si="7"/>
        <v>0</v>
      </c>
      <c r="L13" s="272">
        <f t="shared" si="7"/>
        <v>0</v>
      </c>
      <c r="M13" s="272">
        <f t="shared" si="7"/>
        <v>0</v>
      </c>
      <c r="N13" s="272">
        <f t="shared" si="7"/>
        <v>0</v>
      </c>
      <c r="O13" s="272">
        <f t="shared" ca="1" si="7"/>
        <v>0</v>
      </c>
      <c r="P13" s="272">
        <f t="shared" ca="1" si="7"/>
        <v>0</v>
      </c>
      <c r="Q13" s="272">
        <f t="shared" ca="1" si="7"/>
        <v>0</v>
      </c>
      <c r="R13" s="272">
        <f t="shared" ca="1" si="7"/>
        <v>0</v>
      </c>
      <c r="S13" s="272">
        <f t="shared" ca="1" si="7"/>
        <v>0</v>
      </c>
      <c r="T13" s="272">
        <f t="shared" ca="1" si="7"/>
        <v>0</v>
      </c>
      <c r="U13" s="272">
        <f t="shared" ca="1" si="7"/>
        <v>0</v>
      </c>
      <c r="V13" s="272">
        <f t="shared" ca="1" si="7"/>
        <v>0</v>
      </c>
      <c r="W13" s="272">
        <f t="shared" ca="1" si="7"/>
        <v>0</v>
      </c>
      <c r="X13" s="272">
        <f t="shared" ca="1" si="7"/>
        <v>0</v>
      </c>
      <c r="Y13" s="272">
        <f t="shared" ca="1" si="7"/>
        <v>0</v>
      </c>
      <c r="Z13" s="272">
        <f t="shared" ca="1" si="7"/>
        <v>0</v>
      </c>
      <c r="AA13" s="272">
        <f t="shared" ca="1" si="7"/>
        <v>0</v>
      </c>
      <c r="AB13" s="272">
        <f t="shared" ca="1" si="7"/>
        <v>0</v>
      </c>
      <c r="AC13" s="272">
        <f t="shared" ca="1" si="7"/>
        <v>0</v>
      </c>
      <c r="AD13" s="272">
        <f t="shared" ca="1" si="7"/>
        <v>0</v>
      </c>
      <c r="AE13" s="272">
        <f t="shared" ca="1" si="7"/>
        <v>0</v>
      </c>
      <c r="AF13" s="272">
        <f t="shared" ca="1" si="7"/>
        <v>0</v>
      </c>
      <c r="AG13" s="272">
        <f t="shared" ca="1" si="7"/>
        <v>0</v>
      </c>
      <c r="AH13" s="272">
        <f t="shared" ca="1" si="7"/>
        <v>0</v>
      </c>
      <c r="AI13" s="272">
        <f t="shared" ca="1" si="7"/>
        <v>0</v>
      </c>
      <c r="AJ13" s="272">
        <f t="shared" ca="1" si="7"/>
        <v>0</v>
      </c>
      <c r="AK13" s="272">
        <f t="shared" ca="1" si="7"/>
        <v>0</v>
      </c>
      <c r="AL13" s="272">
        <f t="shared" ca="1" si="7"/>
        <v>0</v>
      </c>
      <c r="AM13" s="272">
        <f t="shared" ca="1" si="7"/>
        <v>0</v>
      </c>
      <c r="AN13" s="272">
        <f t="shared" ca="1" si="7"/>
        <v>0</v>
      </c>
      <c r="AO13" s="272">
        <f t="shared" ca="1" si="7"/>
        <v>0</v>
      </c>
      <c r="AP13" s="272">
        <f t="shared" ca="1" si="7"/>
        <v>0</v>
      </c>
      <c r="AQ13" s="272">
        <f t="shared" ca="1" si="7"/>
        <v>0</v>
      </c>
      <c r="AR13" s="272">
        <f t="shared" ca="1" si="7"/>
        <v>0</v>
      </c>
      <c r="AS13" s="272">
        <f t="shared" ca="1" si="7"/>
        <v>0</v>
      </c>
      <c r="AT13" s="272">
        <f t="shared" ca="1" si="7"/>
        <v>0</v>
      </c>
      <c r="AU13" s="272">
        <f t="shared" ca="1" si="7"/>
        <v>0</v>
      </c>
      <c r="AV13" s="272">
        <f t="shared" ca="1" si="7"/>
        <v>0</v>
      </c>
      <c r="AW13" s="272">
        <f t="shared" ca="1" si="7"/>
        <v>0</v>
      </c>
      <c r="AX13" s="274"/>
      <c r="AY13" s="274"/>
      <c r="AZ13" s="274"/>
      <c r="BA13" s="274"/>
      <c r="BB13" s="274"/>
      <c r="BC13" s="274"/>
      <c r="BD13" s="274"/>
      <c r="BE13" s="274"/>
      <c r="BF13" s="274"/>
      <c r="BG13" s="274"/>
      <c r="BH13" s="274"/>
      <c r="BI13" s="274"/>
      <c r="BJ13" s="274"/>
      <c r="BK13" s="274"/>
    </row>
    <row r="14" spans="1:63" ht="15.75" customHeight="1" x14ac:dyDescent="0.2">
      <c r="A14" s="263"/>
      <c r="B14" s="262"/>
      <c r="C14" s="262"/>
      <c r="D14" s="262"/>
      <c r="E14" s="262"/>
      <c r="F14" s="262"/>
      <c r="G14" s="262"/>
      <c r="H14" s="262"/>
      <c r="I14" s="262"/>
      <c r="J14" s="262"/>
      <c r="K14" s="262"/>
      <c r="L14" s="262"/>
      <c r="M14" s="262"/>
      <c r="N14" s="275"/>
      <c r="O14" s="275"/>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c r="BK14" s="262"/>
    </row>
    <row r="15" spans="1:63" ht="15.75" customHeight="1" x14ac:dyDescent="0.2">
      <c r="A15" s="260" t="s">
        <v>419</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c r="BK15" s="262"/>
    </row>
    <row r="16" spans="1:63" ht="15.75" customHeight="1" x14ac:dyDescent="0.2">
      <c r="A16" s="263" t="s">
        <v>410</v>
      </c>
      <c r="B16" s="120"/>
      <c r="C16" s="120"/>
      <c r="D16" s="120"/>
      <c r="E16" s="120">
        <f t="shared" ref="E16:AW16" si="8">D19</f>
        <v>0</v>
      </c>
      <c r="F16" s="120">
        <f t="shared" si="8"/>
        <v>0</v>
      </c>
      <c r="G16" s="120">
        <f t="shared" si="8"/>
        <v>0</v>
      </c>
      <c r="H16" s="120">
        <f t="shared" si="8"/>
        <v>0</v>
      </c>
      <c r="I16" s="120">
        <f t="shared" si="8"/>
        <v>0</v>
      </c>
      <c r="J16" s="120">
        <f t="shared" si="8"/>
        <v>0</v>
      </c>
      <c r="K16" s="120">
        <f t="shared" si="8"/>
        <v>0</v>
      </c>
      <c r="L16" s="120">
        <f t="shared" si="8"/>
        <v>0</v>
      </c>
      <c r="M16" s="120">
        <f t="shared" si="8"/>
        <v>0</v>
      </c>
      <c r="N16" s="120">
        <f t="shared" si="8"/>
        <v>0</v>
      </c>
      <c r="O16" s="120">
        <f t="shared" ca="1" si="8"/>
        <v>0</v>
      </c>
      <c r="P16" s="120">
        <f t="shared" ca="1" si="8"/>
        <v>0</v>
      </c>
      <c r="Q16" s="120">
        <f t="shared" ca="1" si="8"/>
        <v>0</v>
      </c>
      <c r="R16" s="120">
        <f t="shared" ca="1" si="8"/>
        <v>0</v>
      </c>
      <c r="S16" s="120">
        <f t="shared" ca="1" si="8"/>
        <v>0</v>
      </c>
      <c r="T16" s="120">
        <f t="shared" ca="1" si="8"/>
        <v>0</v>
      </c>
      <c r="U16" s="120">
        <f t="shared" ca="1" si="8"/>
        <v>0</v>
      </c>
      <c r="V16" s="120">
        <f t="shared" ca="1" si="8"/>
        <v>0</v>
      </c>
      <c r="W16" s="120">
        <f t="shared" ca="1" si="8"/>
        <v>0</v>
      </c>
      <c r="X16" s="120">
        <f t="shared" ca="1" si="8"/>
        <v>0</v>
      </c>
      <c r="Y16" s="120">
        <f t="shared" ca="1" si="8"/>
        <v>0</v>
      </c>
      <c r="Z16" s="120">
        <f t="shared" ca="1" si="8"/>
        <v>0</v>
      </c>
      <c r="AA16" s="120">
        <f t="shared" ca="1" si="8"/>
        <v>0</v>
      </c>
      <c r="AB16" s="120">
        <f t="shared" ca="1" si="8"/>
        <v>0</v>
      </c>
      <c r="AC16" s="120">
        <f t="shared" ca="1" si="8"/>
        <v>0</v>
      </c>
      <c r="AD16" s="120">
        <f t="shared" ca="1" si="8"/>
        <v>0</v>
      </c>
      <c r="AE16" s="120">
        <f t="shared" ca="1" si="8"/>
        <v>0</v>
      </c>
      <c r="AF16" s="120">
        <f t="shared" ca="1" si="8"/>
        <v>0</v>
      </c>
      <c r="AG16" s="120">
        <f t="shared" ca="1" si="8"/>
        <v>0</v>
      </c>
      <c r="AH16" s="120">
        <f t="shared" ca="1" si="8"/>
        <v>0</v>
      </c>
      <c r="AI16" s="120">
        <f t="shared" ca="1" si="8"/>
        <v>0</v>
      </c>
      <c r="AJ16" s="120">
        <f t="shared" ca="1" si="8"/>
        <v>0</v>
      </c>
      <c r="AK16" s="120">
        <f t="shared" ca="1" si="8"/>
        <v>0</v>
      </c>
      <c r="AL16" s="120">
        <f t="shared" ca="1" si="8"/>
        <v>0</v>
      </c>
      <c r="AM16" s="120">
        <f t="shared" ca="1" si="8"/>
        <v>0</v>
      </c>
      <c r="AN16" s="120">
        <f t="shared" ca="1" si="8"/>
        <v>0</v>
      </c>
      <c r="AO16" s="120">
        <f t="shared" ca="1" si="8"/>
        <v>0</v>
      </c>
      <c r="AP16" s="120">
        <f t="shared" ca="1" si="8"/>
        <v>0</v>
      </c>
      <c r="AQ16" s="120">
        <f t="shared" ca="1" si="8"/>
        <v>0</v>
      </c>
      <c r="AR16" s="120">
        <f t="shared" ca="1" si="8"/>
        <v>0</v>
      </c>
      <c r="AS16" s="120">
        <f t="shared" ca="1" si="8"/>
        <v>0</v>
      </c>
      <c r="AT16" s="120">
        <f t="shared" ca="1" si="8"/>
        <v>0</v>
      </c>
      <c r="AU16" s="120">
        <f t="shared" ca="1" si="8"/>
        <v>0</v>
      </c>
      <c r="AV16" s="120">
        <f t="shared" ca="1" si="8"/>
        <v>0</v>
      </c>
      <c r="AW16" s="120">
        <f t="shared" ca="1" si="8"/>
        <v>0</v>
      </c>
      <c r="AX16" s="120"/>
      <c r="AY16" s="120"/>
      <c r="AZ16" s="120"/>
      <c r="BA16" s="120"/>
      <c r="BB16" s="120"/>
      <c r="BC16" s="120"/>
      <c r="BD16" s="120"/>
      <c r="BE16" s="120"/>
      <c r="BF16" s="120"/>
      <c r="BG16" s="120"/>
      <c r="BH16" s="120"/>
      <c r="BI16" s="120"/>
      <c r="BJ16" s="120"/>
      <c r="BK16" s="120"/>
    </row>
    <row r="17" spans="1:63" ht="15.75" customHeight="1" x14ac:dyDescent="0.2">
      <c r="A17" s="269" t="s">
        <v>420</v>
      </c>
      <c r="B17" s="141"/>
      <c r="C17" s="141"/>
      <c r="D17" s="141"/>
      <c r="E17" s="141">
        <f t="array" ref="E17">INDEX(Revenue_Model_New_MRR_12m,MATCH(E$1,Revenue_Model_Months,0))*12</f>
        <v>0</v>
      </c>
      <c r="F17" s="141">
        <f t="array" ref="F17">INDEX(Revenue_Model_New_MRR_12m,MATCH(F$1,Revenue_Model_Months,0))*12</f>
        <v>0</v>
      </c>
      <c r="G17" s="141">
        <f t="array" ref="G17">INDEX(Revenue_Model_New_MRR_12m,MATCH(G$1,Revenue_Model_Months,0))*12</f>
        <v>0</v>
      </c>
      <c r="H17" s="141">
        <f t="array" ref="H17">INDEX(Revenue_Model_New_MRR_12m,MATCH(H$1,Revenue_Model_Months,0))*12</f>
        <v>0</v>
      </c>
      <c r="I17" s="141">
        <f t="array" ref="I17">INDEX(Revenue_Model_New_MRR_12m,MATCH(I$1,Revenue_Model_Months,0))*12</f>
        <v>0</v>
      </c>
      <c r="J17" s="141">
        <f t="array" ref="J17">INDEX(Revenue_Model_New_MRR_12m,MATCH(J$1,Revenue_Model_Months,0))*12</f>
        <v>0</v>
      </c>
      <c r="K17" s="141">
        <f t="array" ref="K17">INDEX(Revenue_Model_New_MRR_12m,MATCH(K$1,Revenue_Model_Months,0))*12</f>
        <v>0</v>
      </c>
      <c r="L17" s="141">
        <f t="array" ref="L17">INDEX(Revenue_Model_New_MRR_12m,MATCH(L$1,Revenue_Model_Months,0))*12</f>
        <v>0</v>
      </c>
      <c r="M17" s="141">
        <f t="array" ref="M17">INDEX(Revenue_Model_New_MRR_12m,MATCH(M$1,Revenue_Model_Months,0))*12</f>
        <v>0</v>
      </c>
      <c r="N17" s="141">
        <f t="array" aca="1" ref="N17" ca="1">INDEX(Revenue_Model_New_MRR_12m,MATCH(N$1,Revenue_Model_Months,0))*12</f>
        <v>0</v>
      </c>
      <c r="O17" s="141">
        <f t="array" aca="1" ref="O17" ca="1">INDEX(Revenue_Model_New_MRR_12m,MATCH(O$1,Revenue_Model_Months,0))*12</f>
        <v>0</v>
      </c>
      <c r="P17" s="141">
        <f t="array" aca="1" ref="P17" ca="1">INDEX(Revenue_Model_New_MRR_12m,MATCH(P$1,Revenue_Model_Months,0))*12</f>
        <v>0</v>
      </c>
      <c r="Q17" s="141">
        <f t="array" aca="1" ref="Q17" ca="1">INDEX(Revenue_Model_New_MRR_12m,MATCH(Q$1,Revenue_Model_Months,0))*12</f>
        <v>0</v>
      </c>
      <c r="R17" s="141">
        <f t="array" aca="1" ref="R17" ca="1">INDEX(Revenue_Model_New_MRR_12m,MATCH(R$1,Revenue_Model_Months,0))*12</f>
        <v>0</v>
      </c>
      <c r="S17" s="141">
        <f t="array" aca="1" ref="S17" ca="1">INDEX(Revenue_Model_New_MRR_12m,MATCH(S$1,Revenue_Model_Months,0))*12</f>
        <v>0</v>
      </c>
      <c r="T17" s="141">
        <f t="array" aca="1" ref="T17" ca="1">INDEX(Revenue_Model_New_MRR_12m,MATCH(T$1,Revenue_Model_Months,0))*12</f>
        <v>0</v>
      </c>
      <c r="U17" s="141">
        <f t="array" aca="1" ref="U17" ca="1">INDEX(Revenue_Model_New_MRR_12m,MATCH(U$1,Revenue_Model_Months,0))*12</f>
        <v>0</v>
      </c>
      <c r="V17" s="141">
        <f t="array" aca="1" ref="V17" ca="1">INDEX(Revenue_Model_New_MRR_12m,MATCH(V$1,Revenue_Model_Months,0))*12</f>
        <v>0</v>
      </c>
      <c r="W17" s="141">
        <f t="array" aca="1" ref="W17" ca="1">INDEX(Revenue_Model_New_MRR_12m,MATCH(W$1,Revenue_Model_Months,0))*12</f>
        <v>0</v>
      </c>
      <c r="X17" s="141">
        <f t="array" aca="1" ref="X17" ca="1">INDEX(Revenue_Model_New_MRR_12m,MATCH(X$1,Revenue_Model_Months,0))*12</f>
        <v>0</v>
      </c>
      <c r="Y17" s="141">
        <f t="array" aca="1" ref="Y17" ca="1">INDEX(Revenue_Model_New_MRR_12m,MATCH(Y$1,Revenue_Model_Months,0))*12</f>
        <v>0</v>
      </c>
      <c r="Z17" s="141">
        <f t="array" aca="1" ref="Z17" ca="1">INDEX(Revenue_Model_New_MRR_12m,MATCH(Z$1,Revenue_Model_Months,0))*12</f>
        <v>0</v>
      </c>
      <c r="AA17" s="141">
        <f t="array" aca="1" ref="AA17" ca="1">INDEX(Revenue_Model_New_MRR_12m,MATCH(AA$1,Revenue_Model_Months,0))*12</f>
        <v>0</v>
      </c>
      <c r="AB17" s="141">
        <f t="array" aca="1" ref="AB17" ca="1">INDEX(Revenue_Model_New_MRR_12m,MATCH(AB$1,Revenue_Model_Months,0))*12</f>
        <v>0</v>
      </c>
      <c r="AC17" s="141">
        <f t="array" aca="1" ref="AC17" ca="1">INDEX(Revenue_Model_New_MRR_12m,MATCH(AC$1,Revenue_Model_Months,0))*12</f>
        <v>0</v>
      </c>
      <c r="AD17" s="141">
        <f t="array" aca="1" ref="AD17" ca="1">INDEX(Revenue_Model_New_MRR_12m,MATCH(AD$1,Revenue_Model_Months,0))*12</f>
        <v>0</v>
      </c>
      <c r="AE17" s="141">
        <f t="array" aca="1" ref="AE17" ca="1">INDEX(Revenue_Model_New_MRR_12m,MATCH(AE$1,Revenue_Model_Months,0))*12</f>
        <v>0</v>
      </c>
      <c r="AF17" s="141">
        <f t="array" aca="1" ref="AF17" ca="1">INDEX(Revenue_Model_New_MRR_12m,MATCH(AF$1,Revenue_Model_Months,0))*12</f>
        <v>0</v>
      </c>
      <c r="AG17" s="141">
        <f t="array" aca="1" ref="AG17" ca="1">INDEX(Revenue_Model_New_MRR_12m,MATCH(AG$1,Revenue_Model_Months,0))*12</f>
        <v>0</v>
      </c>
      <c r="AH17" s="141">
        <f t="array" aca="1" ref="AH17" ca="1">INDEX(Revenue_Model_New_MRR_12m,MATCH(AH$1,Revenue_Model_Months,0))*12</f>
        <v>0</v>
      </c>
      <c r="AI17" s="141">
        <f t="array" aca="1" ref="AI17" ca="1">INDEX(Revenue_Model_New_MRR_12m,MATCH(AI$1,Revenue_Model_Months,0))*12</f>
        <v>0</v>
      </c>
      <c r="AJ17" s="141">
        <f t="array" aca="1" ref="AJ17" ca="1">INDEX(Revenue_Model_New_MRR_12m,MATCH(AJ$1,Revenue_Model_Months,0))*12</f>
        <v>0</v>
      </c>
      <c r="AK17" s="141">
        <f t="array" aca="1" ref="AK17" ca="1">INDEX(Revenue_Model_New_MRR_12m,MATCH(AK$1,Revenue_Model_Months,0))*12</f>
        <v>0</v>
      </c>
      <c r="AL17" s="141">
        <f t="array" aca="1" ref="AL17" ca="1">INDEX(Revenue_Model_New_MRR_12m,MATCH(AL$1,Revenue_Model_Months,0))*12</f>
        <v>0</v>
      </c>
      <c r="AM17" s="141">
        <f t="array" aca="1" ref="AM17" ca="1">INDEX(Revenue_Model_New_MRR_12m,MATCH(AM$1,Revenue_Model_Months,0))*12</f>
        <v>0</v>
      </c>
      <c r="AN17" s="141">
        <f t="array" aca="1" ref="AN17" ca="1">INDEX(Revenue_Model_New_MRR_12m,MATCH(AN$1,Revenue_Model_Months,0))*12</f>
        <v>0</v>
      </c>
      <c r="AO17" s="141">
        <f t="array" aca="1" ref="AO17" ca="1">INDEX(Revenue_Model_New_MRR_12m,MATCH(AO$1,Revenue_Model_Months,0))*12</f>
        <v>0</v>
      </c>
      <c r="AP17" s="141">
        <f t="array" aca="1" ref="AP17" ca="1">INDEX(Revenue_Model_New_MRR_12m,MATCH(AP$1,Revenue_Model_Months,0))*12</f>
        <v>0</v>
      </c>
      <c r="AQ17" s="141">
        <f t="array" aca="1" ref="AQ17" ca="1">INDEX(Revenue_Model_New_MRR_12m,MATCH(AQ$1,Revenue_Model_Months,0))*12</f>
        <v>0</v>
      </c>
      <c r="AR17" s="141">
        <f t="array" aca="1" ref="AR17" ca="1">INDEX(Revenue_Model_New_MRR_12m,MATCH(AR$1,Revenue_Model_Months,0))*12</f>
        <v>0</v>
      </c>
      <c r="AS17" s="141">
        <f t="array" aca="1" ref="AS17" ca="1">INDEX(Revenue_Model_New_MRR_12m,MATCH(AS$1,Revenue_Model_Months,0))*12</f>
        <v>0</v>
      </c>
      <c r="AT17" s="141">
        <f t="array" aca="1" ref="AT17" ca="1">INDEX(Revenue_Model_New_MRR_12m,MATCH(AT$1,Revenue_Model_Months,0))*12</f>
        <v>0</v>
      </c>
      <c r="AU17" s="141">
        <f t="array" aca="1" ref="AU17" ca="1">INDEX(Revenue_Model_New_MRR_12m,MATCH(AU$1,Revenue_Model_Months,0))*12</f>
        <v>0</v>
      </c>
      <c r="AV17" s="141">
        <f t="array" aca="1" ref="AV17" ca="1">INDEX(Revenue_Model_New_MRR_12m,MATCH(AV$1,Revenue_Model_Months,0))*12</f>
        <v>0</v>
      </c>
      <c r="AW17" s="141">
        <f t="array" aca="1" ref="AW17" ca="1">INDEX(Revenue_Model_New_MRR_12m,MATCH(AW$1,Revenue_Model_Months,0))*12</f>
        <v>0</v>
      </c>
      <c r="AX17" s="141"/>
      <c r="AY17" s="141"/>
      <c r="AZ17" s="141"/>
      <c r="BA17" s="141"/>
      <c r="BB17" s="141"/>
      <c r="BC17" s="141"/>
      <c r="BD17" s="141"/>
      <c r="BE17" s="141"/>
      <c r="BF17" s="141"/>
      <c r="BG17" s="141"/>
      <c r="BH17" s="141"/>
      <c r="BI17" s="141"/>
      <c r="BJ17" s="141"/>
      <c r="BK17" s="141"/>
    </row>
    <row r="18" spans="1:63" ht="15.75" customHeight="1" x14ac:dyDescent="0.2">
      <c r="A18" s="271" t="s">
        <v>423</v>
      </c>
      <c r="B18" s="120"/>
      <c r="C18" s="120"/>
      <c r="D18" s="120"/>
      <c r="E18" s="120">
        <f t="shared" ref="E18:AW18" si="9">-E$28</f>
        <v>0</v>
      </c>
      <c r="F18" s="120">
        <f t="shared" si="9"/>
        <v>0</v>
      </c>
      <c r="G18" s="120">
        <f t="shared" si="9"/>
        <v>0</v>
      </c>
      <c r="H18" s="120">
        <f t="shared" si="9"/>
        <v>0</v>
      </c>
      <c r="I18" s="120">
        <f t="shared" si="9"/>
        <v>0</v>
      </c>
      <c r="J18" s="120">
        <f t="shared" si="9"/>
        <v>0</v>
      </c>
      <c r="K18" s="120">
        <f t="shared" si="9"/>
        <v>0</v>
      </c>
      <c r="L18" s="120">
        <f t="shared" si="9"/>
        <v>0</v>
      </c>
      <c r="M18" s="120">
        <f t="shared" si="9"/>
        <v>0</v>
      </c>
      <c r="N18" s="120">
        <f t="shared" ca="1" si="9"/>
        <v>0</v>
      </c>
      <c r="O18" s="120">
        <f t="shared" ca="1" si="9"/>
        <v>0</v>
      </c>
      <c r="P18" s="120">
        <f t="shared" ca="1" si="9"/>
        <v>0</v>
      </c>
      <c r="Q18" s="120">
        <f t="shared" ca="1" si="9"/>
        <v>0</v>
      </c>
      <c r="R18" s="120">
        <f t="shared" ca="1" si="9"/>
        <v>0</v>
      </c>
      <c r="S18" s="120">
        <f t="shared" ca="1" si="9"/>
        <v>0</v>
      </c>
      <c r="T18" s="120">
        <f t="shared" ca="1" si="9"/>
        <v>0</v>
      </c>
      <c r="U18" s="120">
        <f t="shared" ca="1" si="9"/>
        <v>0</v>
      </c>
      <c r="V18" s="120">
        <f t="shared" ca="1" si="9"/>
        <v>0</v>
      </c>
      <c r="W18" s="120">
        <f t="shared" ca="1" si="9"/>
        <v>0</v>
      </c>
      <c r="X18" s="120">
        <f t="shared" ca="1" si="9"/>
        <v>0</v>
      </c>
      <c r="Y18" s="120">
        <f t="shared" ca="1" si="9"/>
        <v>0</v>
      </c>
      <c r="Z18" s="120">
        <f t="shared" ca="1" si="9"/>
        <v>0</v>
      </c>
      <c r="AA18" s="120">
        <f t="shared" ca="1" si="9"/>
        <v>0</v>
      </c>
      <c r="AB18" s="120">
        <f t="shared" ca="1" si="9"/>
        <v>0</v>
      </c>
      <c r="AC18" s="120">
        <f t="shared" ca="1" si="9"/>
        <v>0</v>
      </c>
      <c r="AD18" s="120">
        <f t="shared" ca="1" si="9"/>
        <v>0</v>
      </c>
      <c r="AE18" s="120">
        <f t="shared" ca="1" si="9"/>
        <v>0</v>
      </c>
      <c r="AF18" s="120">
        <f t="shared" ca="1" si="9"/>
        <v>0</v>
      </c>
      <c r="AG18" s="120">
        <f t="shared" ca="1" si="9"/>
        <v>0</v>
      </c>
      <c r="AH18" s="120">
        <f t="shared" ca="1" si="9"/>
        <v>0</v>
      </c>
      <c r="AI18" s="120">
        <f t="shared" ca="1" si="9"/>
        <v>0</v>
      </c>
      <c r="AJ18" s="120">
        <f t="shared" ca="1" si="9"/>
        <v>0</v>
      </c>
      <c r="AK18" s="120">
        <f t="shared" ca="1" si="9"/>
        <v>0</v>
      </c>
      <c r="AL18" s="120">
        <f t="shared" ca="1" si="9"/>
        <v>0</v>
      </c>
      <c r="AM18" s="120">
        <f t="shared" ca="1" si="9"/>
        <v>0</v>
      </c>
      <c r="AN18" s="120">
        <f t="shared" ca="1" si="9"/>
        <v>0</v>
      </c>
      <c r="AO18" s="120">
        <f t="shared" ca="1" si="9"/>
        <v>0</v>
      </c>
      <c r="AP18" s="120">
        <f t="shared" ca="1" si="9"/>
        <v>0</v>
      </c>
      <c r="AQ18" s="120">
        <f t="shared" ca="1" si="9"/>
        <v>0</v>
      </c>
      <c r="AR18" s="120">
        <f t="shared" ca="1" si="9"/>
        <v>0</v>
      </c>
      <c r="AS18" s="120">
        <f t="shared" ca="1" si="9"/>
        <v>0</v>
      </c>
      <c r="AT18" s="120">
        <f t="shared" ca="1" si="9"/>
        <v>0</v>
      </c>
      <c r="AU18" s="120">
        <f t="shared" ca="1" si="9"/>
        <v>0</v>
      </c>
      <c r="AV18" s="120">
        <f t="shared" ca="1" si="9"/>
        <v>0</v>
      </c>
      <c r="AW18" s="120">
        <f t="shared" ca="1" si="9"/>
        <v>0</v>
      </c>
      <c r="AX18" s="120"/>
      <c r="AY18" s="120"/>
      <c r="AZ18" s="120"/>
      <c r="BA18" s="120"/>
      <c r="BB18" s="120"/>
      <c r="BC18" s="120"/>
      <c r="BD18" s="120"/>
      <c r="BE18" s="120"/>
      <c r="BF18" s="120"/>
      <c r="BG18" s="120"/>
      <c r="BH18" s="120"/>
      <c r="BI18" s="120"/>
      <c r="BJ18" s="120"/>
      <c r="BK18" s="120"/>
    </row>
    <row r="19" spans="1:63" ht="15.75" customHeight="1" x14ac:dyDescent="0.2">
      <c r="A19" s="265" t="s">
        <v>424</v>
      </c>
      <c r="B19" s="272"/>
      <c r="C19" s="272"/>
      <c r="D19" s="272"/>
      <c r="E19" s="272">
        <f t="shared" ref="E19:AW19" si="10">SUM(E16:E18)</f>
        <v>0</v>
      </c>
      <c r="F19" s="272">
        <f t="shared" si="10"/>
        <v>0</v>
      </c>
      <c r="G19" s="272">
        <f t="shared" si="10"/>
        <v>0</v>
      </c>
      <c r="H19" s="272">
        <f t="shared" si="10"/>
        <v>0</v>
      </c>
      <c r="I19" s="272">
        <f t="shared" si="10"/>
        <v>0</v>
      </c>
      <c r="J19" s="272">
        <f t="shared" si="10"/>
        <v>0</v>
      </c>
      <c r="K19" s="272">
        <f t="shared" si="10"/>
        <v>0</v>
      </c>
      <c r="L19" s="272">
        <f t="shared" si="10"/>
        <v>0</v>
      </c>
      <c r="M19" s="272">
        <f t="shared" si="10"/>
        <v>0</v>
      </c>
      <c r="N19" s="272">
        <f t="shared" ca="1" si="10"/>
        <v>0</v>
      </c>
      <c r="O19" s="272">
        <f t="shared" ca="1" si="10"/>
        <v>0</v>
      </c>
      <c r="P19" s="272">
        <f t="shared" ca="1" si="10"/>
        <v>0</v>
      </c>
      <c r="Q19" s="272">
        <f t="shared" ca="1" si="10"/>
        <v>0</v>
      </c>
      <c r="R19" s="272">
        <f t="shared" ca="1" si="10"/>
        <v>0</v>
      </c>
      <c r="S19" s="272">
        <f t="shared" ca="1" si="10"/>
        <v>0</v>
      </c>
      <c r="T19" s="272">
        <f t="shared" ca="1" si="10"/>
        <v>0</v>
      </c>
      <c r="U19" s="272">
        <f t="shared" ca="1" si="10"/>
        <v>0</v>
      </c>
      <c r="V19" s="272">
        <f t="shared" ca="1" si="10"/>
        <v>0</v>
      </c>
      <c r="W19" s="272">
        <f t="shared" ca="1" si="10"/>
        <v>0</v>
      </c>
      <c r="X19" s="272">
        <f t="shared" ca="1" si="10"/>
        <v>0</v>
      </c>
      <c r="Y19" s="272">
        <f t="shared" ca="1" si="10"/>
        <v>0</v>
      </c>
      <c r="Z19" s="272">
        <f t="shared" ca="1" si="10"/>
        <v>0</v>
      </c>
      <c r="AA19" s="272">
        <f t="shared" ca="1" si="10"/>
        <v>0</v>
      </c>
      <c r="AB19" s="272">
        <f t="shared" ca="1" si="10"/>
        <v>0</v>
      </c>
      <c r="AC19" s="272">
        <f t="shared" ca="1" si="10"/>
        <v>0</v>
      </c>
      <c r="AD19" s="272">
        <f t="shared" ca="1" si="10"/>
        <v>0</v>
      </c>
      <c r="AE19" s="272">
        <f t="shared" ca="1" si="10"/>
        <v>0</v>
      </c>
      <c r="AF19" s="272">
        <f t="shared" ca="1" si="10"/>
        <v>0</v>
      </c>
      <c r="AG19" s="272">
        <f t="shared" ca="1" si="10"/>
        <v>0</v>
      </c>
      <c r="AH19" s="272">
        <f t="shared" ca="1" si="10"/>
        <v>0</v>
      </c>
      <c r="AI19" s="272">
        <f t="shared" ca="1" si="10"/>
        <v>0</v>
      </c>
      <c r="AJ19" s="272">
        <f t="shared" ca="1" si="10"/>
        <v>0</v>
      </c>
      <c r="AK19" s="272">
        <f t="shared" ca="1" si="10"/>
        <v>0</v>
      </c>
      <c r="AL19" s="272">
        <f t="shared" ca="1" si="10"/>
        <v>0</v>
      </c>
      <c r="AM19" s="272">
        <f t="shared" ca="1" si="10"/>
        <v>0</v>
      </c>
      <c r="AN19" s="272">
        <f t="shared" ca="1" si="10"/>
        <v>0</v>
      </c>
      <c r="AO19" s="272">
        <f t="shared" ca="1" si="10"/>
        <v>0</v>
      </c>
      <c r="AP19" s="272">
        <f t="shared" ca="1" si="10"/>
        <v>0</v>
      </c>
      <c r="AQ19" s="272">
        <f t="shared" ca="1" si="10"/>
        <v>0</v>
      </c>
      <c r="AR19" s="272">
        <f t="shared" ca="1" si="10"/>
        <v>0</v>
      </c>
      <c r="AS19" s="272">
        <f t="shared" ca="1" si="10"/>
        <v>0</v>
      </c>
      <c r="AT19" s="272">
        <f t="shared" ca="1" si="10"/>
        <v>0</v>
      </c>
      <c r="AU19" s="272">
        <f t="shared" ca="1" si="10"/>
        <v>0</v>
      </c>
      <c r="AV19" s="272">
        <f t="shared" ca="1" si="10"/>
        <v>0</v>
      </c>
      <c r="AW19" s="272">
        <f t="shared" ca="1" si="10"/>
        <v>0</v>
      </c>
      <c r="AX19" s="274"/>
      <c r="AY19" s="274"/>
      <c r="AZ19" s="274"/>
      <c r="BA19" s="274"/>
      <c r="BB19" s="274"/>
      <c r="BC19" s="274"/>
      <c r="BD19" s="274"/>
      <c r="BE19" s="274"/>
      <c r="BF19" s="274"/>
      <c r="BG19" s="274"/>
      <c r="BH19" s="274"/>
      <c r="BI19" s="274"/>
      <c r="BJ19" s="274"/>
      <c r="BK19" s="274"/>
    </row>
    <row r="20" spans="1:63" ht="15.75" customHeight="1" x14ac:dyDescent="0.2">
      <c r="A20" s="263"/>
      <c r="B20" s="276"/>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row>
    <row r="21" spans="1:63" ht="15.75" customHeight="1" x14ac:dyDescent="0.2">
      <c r="A21" s="277" t="s">
        <v>425</v>
      </c>
      <c r="B21" s="278"/>
      <c r="C21" s="278"/>
      <c r="D21" s="278">
        <f t="shared" ref="D21:AW21" si="11">D19+D13+D5</f>
        <v>0</v>
      </c>
      <c r="E21" s="278">
        <f t="shared" si="11"/>
        <v>0</v>
      </c>
      <c r="F21" s="278">
        <f t="shared" si="11"/>
        <v>0</v>
      </c>
      <c r="G21" s="278">
        <f t="shared" si="11"/>
        <v>0</v>
      </c>
      <c r="H21" s="278">
        <f t="shared" si="11"/>
        <v>0</v>
      </c>
      <c r="I21" s="278">
        <f t="shared" si="11"/>
        <v>0</v>
      </c>
      <c r="J21" s="278">
        <f t="shared" si="11"/>
        <v>0</v>
      </c>
      <c r="K21" s="278">
        <f t="shared" si="11"/>
        <v>0</v>
      </c>
      <c r="L21" s="278">
        <f t="shared" si="11"/>
        <v>0</v>
      </c>
      <c r="M21" s="278">
        <f t="shared" si="11"/>
        <v>0</v>
      </c>
      <c r="N21" s="278">
        <f t="shared" ca="1" si="11"/>
        <v>0</v>
      </c>
      <c r="O21" s="278">
        <f t="shared" ca="1" si="11"/>
        <v>0</v>
      </c>
      <c r="P21" s="278">
        <f t="shared" ca="1" si="11"/>
        <v>0</v>
      </c>
      <c r="Q21" s="278">
        <f t="shared" ca="1" si="11"/>
        <v>0</v>
      </c>
      <c r="R21" s="278">
        <f t="shared" ca="1" si="11"/>
        <v>0</v>
      </c>
      <c r="S21" s="278">
        <f t="shared" ca="1" si="11"/>
        <v>0</v>
      </c>
      <c r="T21" s="278">
        <f t="shared" ca="1" si="11"/>
        <v>0</v>
      </c>
      <c r="U21" s="278">
        <f t="shared" ca="1" si="11"/>
        <v>0</v>
      </c>
      <c r="V21" s="278">
        <f t="shared" ca="1" si="11"/>
        <v>0</v>
      </c>
      <c r="W21" s="278">
        <f t="shared" ca="1" si="11"/>
        <v>0</v>
      </c>
      <c r="X21" s="278">
        <f t="shared" ca="1" si="11"/>
        <v>0</v>
      </c>
      <c r="Y21" s="278">
        <f t="shared" ca="1" si="11"/>
        <v>0</v>
      </c>
      <c r="Z21" s="278">
        <f t="shared" ca="1" si="11"/>
        <v>0</v>
      </c>
      <c r="AA21" s="278">
        <f t="shared" ca="1" si="11"/>
        <v>0</v>
      </c>
      <c r="AB21" s="278">
        <f t="shared" ca="1" si="11"/>
        <v>0</v>
      </c>
      <c r="AC21" s="278">
        <f t="shared" ca="1" si="11"/>
        <v>0</v>
      </c>
      <c r="AD21" s="278">
        <f t="shared" ca="1" si="11"/>
        <v>0</v>
      </c>
      <c r="AE21" s="278">
        <f t="shared" ca="1" si="11"/>
        <v>0</v>
      </c>
      <c r="AF21" s="278">
        <f t="shared" ca="1" si="11"/>
        <v>0</v>
      </c>
      <c r="AG21" s="278">
        <f t="shared" ca="1" si="11"/>
        <v>0</v>
      </c>
      <c r="AH21" s="278">
        <f t="shared" ca="1" si="11"/>
        <v>0</v>
      </c>
      <c r="AI21" s="278">
        <f t="shared" ca="1" si="11"/>
        <v>0</v>
      </c>
      <c r="AJ21" s="278">
        <f t="shared" ca="1" si="11"/>
        <v>0</v>
      </c>
      <c r="AK21" s="278">
        <f t="shared" ca="1" si="11"/>
        <v>0</v>
      </c>
      <c r="AL21" s="278">
        <f t="shared" ca="1" si="11"/>
        <v>0</v>
      </c>
      <c r="AM21" s="278">
        <f t="shared" ca="1" si="11"/>
        <v>0</v>
      </c>
      <c r="AN21" s="278">
        <f t="shared" ca="1" si="11"/>
        <v>0</v>
      </c>
      <c r="AO21" s="278">
        <f t="shared" ca="1" si="11"/>
        <v>0</v>
      </c>
      <c r="AP21" s="278">
        <f t="shared" ca="1" si="11"/>
        <v>0</v>
      </c>
      <c r="AQ21" s="278">
        <f t="shared" ca="1" si="11"/>
        <v>0</v>
      </c>
      <c r="AR21" s="278">
        <f t="shared" ca="1" si="11"/>
        <v>0</v>
      </c>
      <c r="AS21" s="278">
        <f t="shared" ca="1" si="11"/>
        <v>0</v>
      </c>
      <c r="AT21" s="278">
        <f t="shared" ca="1" si="11"/>
        <v>0</v>
      </c>
      <c r="AU21" s="278">
        <f t="shared" ca="1" si="11"/>
        <v>0</v>
      </c>
      <c r="AV21" s="278">
        <f t="shared" ca="1" si="11"/>
        <v>0</v>
      </c>
      <c r="AW21" s="278">
        <f t="shared" ca="1" si="11"/>
        <v>0</v>
      </c>
      <c r="AX21" s="278"/>
      <c r="AY21" s="278"/>
      <c r="AZ21" s="278"/>
      <c r="BA21" s="278"/>
      <c r="BB21" s="278"/>
      <c r="BC21" s="278"/>
      <c r="BD21" s="278"/>
      <c r="BE21" s="278"/>
      <c r="BF21" s="278"/>
      <c r="BG21" s="278"/>
      <c r="BH21" s="278"/>
      <c r="BI21" s="278"/>
      <c r="BJ21" s="278"/>
      <c r="BK21" s="278"/>
    </row>
    <row r="22" spans="1:63" ht="15.75" customHeight="1" x14ac:dyDescent="0.2">
      <c r="A22" s="269" t="s">
        <v>426</v>
      </c>
      <c r="B22" s="279"/>
      <c r="C22" s="279"/>
      <c r="D22" s="120">
        <f t="shared" ref="D22:AW22" si="12">D21-C21</f>
        <v>0</v>
      </c>
      <c r="E22" s="120">
        <f t="shared" si="12"/>
        <v>0</v>
      </c>
      <c r="F22" s="120">
        <f t="shared" si="12"/>
        <v>0</v>
      </c>
      <c r="G22" s="120">
        <f t="shared" si="12"/>
        <v>0</v>
      </c>
      <c r="H22" s="120">
        <f t="shared" si="12"/>
        <v>0</v>
      </c>
      <c r="I22" s="120">
        <f t="shared" si="12"/>
        <v>0</v>
      </c>
      <c r="J22" s="120">
        <f t="shared" si="12"/>
        <v>0</v>
      </c>
      <c r="K22" s="120">
        <f t="shared" si="12"/>
        <v>0</v>
      </c>
      <c r="L22" s="120">
        <f t="shared" si="12"/>
        <v>0</v>
      </c>
      <c r="M22" s="120">
        <f t="shared" si="12"/>
        <v>0</v>
      </c>
      <c r="N22" s="120">
        <f t="shared" ca="1" si="12"/>
        <v>0</v>
      </c>
      <c r="O22" s="120">
        <f t="shared" ca="1" si="12"/>
        <v>0</v>
      </c>
      <c r="P22" s="120">
        <f t="shared" ca="1" si="12"/>
        <v>0</v>
      </c>
      <c r="Q22" s="120">
        <f t="shared" ca="1" si="12"/>
        <v>0</v>
      </c>
      <c r="R22" s="120">
        <f t="shared" ca="1" si="12"/>
        <v>0</v>
      </c>
      <c r="S22" s="120">
        <f t="shared" ca="1" si="12"/>
        <v>0</v>
      </c>
      <c r="T22" s="120">
        <f t="shared" ca="1" si="12"/>
        <v>0</v>
      </c>
      <c r="U22" s="120">
        <f t="shared" ca="1" si="12"/>
        <v>0</v>
      </c>
      <c r="V22" s="120">
        <f t="shared" ca="1" si="12"/>
        <v>0</v>
      </c>
      <c r="W22" s="120">
        <f t="shared" ca="1" si="12"/>
        <v>0</v>
      </c>
      <c r="X22" s="120">
        <f t="shared" ca="1" si="12"/>
        <v>0</v>
      </c>
      <c r="Y22" s="120">
        <f t="shared" ca="1" si="12"/>
        <v>0</v>
      </c>
      <c r="Z22" s="120">
        <f t="shared" ca="1" si="12"/>
        <v>0</v>
      </c>
      <c r="AA22" s="120">
        <f t="shared" ca="1" si="12"/>
        <v>0</v>
      </c>
      <c r="AB22" s="120">
        <f t="shared" ca="1" si="12"/>
        <v>0</v>
      </c>
      <c r="AC22" s="120">
        <f t="shared" ca="1" si="12"/>
        <v>0</v>
      </c>
      <c r="AD22" s="120">
        <f t="shared" ca="1" si="12"/>
        <v>0</v>
      </c>
      <c r="AE22" s="120">
        <f t="shared" ca="1" si="12"/>
        <v>0</v>
      </c>
      <c r="AF22" s="120">
        <f t="shared" ca="1" si="12"/>
        <v>0</v>
      </c>
      <c r="AG22" s="120">
        <f t="shared" ca="1" si="12"/>
        <v>0</v>
      </c>
      <c r="AH22" s="120">
        <f t="shared" ca="1" si="12"/>
        <v>0</v>
      </c>
      <c r="AI22" s="120">
        <f t="shared" ca="1" si="12"/>
        <v>0</v>
      </c>
      <c r="AJ22" s="120">
        <f t="shared" ca="1" si="12"/>
        <v>0</v>
      </c>
      <c r="AK22" s="120">
        <f t="shared" ca="1" si="12"/>
        <v>0</v>
      </c>
      <c r="AL22" s="120">
        <f t="shared" ca="1" si="12"/>
        <v>0</v>
      </c>
      <c r="AM22" s="120">
        <f t="shared" ca="1" si="12"/>
        <v>0</v>
      </c>
      <c r="AN22" s="120">
        <f t="shared" ca="1" si="12"/>
        <v>0</v>
      </c>
      <c r="AO22" s="120">
        <f t="shared" ca="1" si="12"/>
        <v>0</v>
      </c>
      <c r="AP22" s="120">
        <f t="shared" ca="1" si="12"/>
        <v>0</v>
      </c>
      <c r="AQ22" s="120">
        <f t="shared" ca="1" si="12"/>
        <v>0</v>
      </c>
      <c r="AR22" s="120">
        <f t="shared" ca="1" si="12"/>
        <v>0</v>
      </c>
      <c r="AS22" s="120">
        <f t="shared" ca="1" si="12"/>
        <v>0</v>
      </c>
      <c r="AT22" s="120">
        <f t="shared" ca="1" si="12"/>
        <v>0</v>
      </c>
      <c r="AU22" s="120">
        <f t="shared" ca="1" si="12"/>
        <v>0</v>
      </c>
      <c r="AV22" s="120">
        <f t="shared" ca="1" si="12"/>
        <v>0</v>
      </c>
      <c r="AW22" s="120">
        <f t="shared" ca="1" si="12"/>
        <v>0</v>
      </c>
      <c r="AX22" s="279"/>
      <c r="AY22" s="279"/>
      <c r="AZ22" s="279"/>
      <c r="BA22" s="279"/>
      <c r="BB22" s="279"/>
      <c r="BC22" s="279"/>
      <c r="BD22" s="279"/>
      <c r="BE22" s="279"/>
      <c r="BF22" s="279"/>
      <c r="BG22" s="279"/>
      <c r="BH22" s="279"/>
      <c r="BI22" s="279"/>
      <c r="BJ22" s="279"/>
      <c r="BK22" s="279"/>
    </row>
    <row r="23" spans="1:63" ht="15.75" customHeight="1" x14ac:dyDescent="0.2">
      <c r="A23" s="280" t="s">
        <v>229</v>
      </c>
      <c r="B23" s="262"/>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75"/>
      <c r="AA23" s="262"/>
      <c r="AB23" s="262"/>
      <c r="AC23" s="262"/>
      <c r="AD23" s="262"/>
      <c r="AE23" s="262"/>
      <c r="AF23" s="262"/>
      <c r="AG23" s="262"/>
      <c r="AH23" s="262"/>
      <c r="AI23" s="262"/>
      <c r="AJ23" s="262"/>
      <c r="AK23" s="262"/>
      <c r="AL23" s="262"/>
      <c r="AM23" s="262"/>
      <c r="AN23" s="262"/>
      <c r="AO23" s="262"/>
      <c r="AP23" s="262"/>
      <c r="AQ23" s="262"/>
      <c r="AR23" s="262"/>
      <c r="AS23" s="262"/>
      <c r="AT23" s="262"/>
      <c r="AU23" s="262"/>
      <c r="AV23" s="262"/>
      <c r="AW23" s="262"/>
      <c r="AX23" s="262"/>
      <c r="AY23" s="262"/>
      <c r="AZ23" s="262"/>
      <c r="BA23" s="262"/>
      <c r="BB23" s="262"/>
      <c r="BC23" s="262"/>
      <c r="BD23" s="262"/>
      <c r="BE23" s="262"/>
      <c r="BF23" s="262"/>
      <c r="BG23" s="262"/>
      <c r="BH23" s="262"/>
      <c r="BI23" s="262"/>
      <c r="BJ23" s="262"/>
      <c r="BK23" s="262"/>
    </row>
    <row r="24" spans="1:63" ht="15.75" customHeight="1" x14ac:dyDescent="0.2">
      <c r="A24" s="280" t="s">
        <v>427</v>
      </c>
      <c r="B24" s="141"/>
      <c r="C24" s="141"/>
      <c r="D24" s="141">
        <f t="array" ref="D24">INDEX(Revenue_Model_MRR,MATCH(D$1,Revenue_Model_Months,0))</f>
        <v>657516.30142577027</v>
      </c>
      <c r="E24" s="141">
        <f t="array" ref="E24">INDEX(Revenue_Model_MRR,MATCH(E$1,Revenue_Model_Months,0))</f>
        <v>684009.66008777847</v>
      </c>
      <c r="F24" s="141">
        <f t="array" ref="F24">INDEX(Revenue_Model_MRR,MATCH(F$1,Revenue_Model_Months,0))</f>
        <v>710064.51027338463</v>
      </c>
      <c r="G24" s="141">
        <f t="array" ref="G24">INDEX(Revenue_Model_MRR,MATCH(G$1,Revenue_Model_Months,0))</f>
        <v>733560.36045899079</v>
      </c>
      <c r="H24" s="141">
        <f t="array" ref="H24">INDEX(Revenue_Model_MRR,MATCH(H$1,Revenue_Model_Months,0))</f>
        <v>755324.21064459707</v>
      </c>
      <c r="I24" s="141">
        <f t="array" ref="I24">INDEX(Revenue_Model_MRR,MATCH(I$1,Revenue_Model_Months,0))</f>
        <v>776285.06083020335</v>
      </c>
      <c r="J24" s="141">
        <f t="array" ref="J24">INDEX(Revenue_Model_MRR,MATCH(J$1,Revenue_Model_Months,0))</f>
        <v>798743.91101580963</v>
      </c>
      <c r="K24" s="141">
        <f t="array" ref="K24">INDEX(Revenue_Model_MRR,MATCH(K$1,Revenue_Model_Months,0))</f>
        <v>824307.76120141591</v>
      </c>
      <c r="L24" s="141">
        <f t="array" ref="L24">INDEX(Revenue_Model_MRR,MATCH(L$1,Revenue_Model_Months,0))</f>
        <v>820162.76120141591</v>
      </c>
      <c r="M24" s="141">
        <f t="array" ref="M24">INDEX(Revenue_Model_MRR,MATCH(M$1,Revenue_Model_Months,0))</f>
        <v>794706.76120141591</v>
      </c>
      <c r="N24" s="141">
        <f t="array" aca="1" ref="N24" ca="1">INDEX(Revenue_Model_MRR,MATCH(N$1,Revenue_Model_Months,0))</f>
        <v>780349.42888759938</v>
      </c>
      <c r="O24" s="141">
        <f t="array" aca="1" ref="O24" ca="1">INDEX(Revenue_Model_MRR,MATCH(O$1,Revenue_Model_Months,0))</f>
        <v>776838.89834164642</v>
      </c>
      <c r="P24" s="141">
        <f t="array" aca="1" ref="P24" ca="1">INDEX(Revenue_Model_MRR,MATCH(P$1,Revenue_Model_Months,0))</f>
        <v>784307.49639270024</v>
      </c>
      <c r="Q24" s="141">
        <f t="array" aca="1" ref="Q24" ca="1">INDEX(Revenue_Model_MRR,MATCH(Q$1,Revenue_Model_Months,0))</f>
        <v>794270.11839480256</v>
      </c>
      <c r="R24" s="141">
        <f t="array" aca="1" ref="R24" ca="1">INDEX(Revenue_Model_MRR,MATCH(R$1,Revenue_Model_Months,0))</f>
        <v>810446.91710921796</v>
      </c>
      <c r="S24" s="141">
        <f t="array" aca="1" ref="S24" ca="1">INDEX(Revenue_Model_MRR,MATCH(S$1,Revenue_Model_Months,0))</f>
        <v>828843.4436886058</v>
      </c>
      <c r="T24" s="141">
        <f t="array" aca="1" ref="T24" ca="1">INDEX(Revenue_Model_MRR,MATCH(T$1,Revenue_Model_Months,0))</f>
        <v>846201.42083742563</v>
      </c>
      <c r="U24" s="141">
        <f t="array" aca="1" ref="U24" ca="1">INDEX(Revenue_Model_MRR,MATCH(U$1,Revenue_Model_Months,0))</f>
        <v>864575.11305563885</v>
      </c>
      <c r="V24" s="141">
        <f t="array" aca="1" ref="V24" ca="1">INDEX(Revenue_Model_MRR,MATCH(V$1,Revenue_Model_Months,0))</f>
        <v>882839.9823146424</v>
      </c>
      <c r="W24" s="141">
        <f t="array" aca="1" ref="W24" ca="1">INDEX(Revenue_Model_MRR,MATCH(W$1,Revenue_Model_Months,0))</f>
        <v>902246.59964331996</v>
      </c>
      <c r="X24" s="141">
        <f t="array" aca="1" ref="X24" ca="1">INDEX(Revenue_Model_MRR,MATCH(X$1,Revenue_Model_Months,0))</f>
        <v>921493.21251495357</v>
      </c>
      <c r="Y24" s="141">
        <f t="array" aca="1" ref="Y24" ca="1">INDEX(Revenue_Model_MRR,MATCH(Y$1,Revenue_Model_Months,0))</f>
        <v>941858.92249037873</v>
      </c>
      <c r="Z24" s="141">
        <f t="array" aca="1" ref="Z24" ca="1">INDEX(Revenue_Model_MRR,MATCH(Z$1,Revenue_Model_Months,0))</f>
        <v>963330.71914236806</v>
      </c>
      <c r="AA24" s="141">
        <f t="array" aca="1" ref="AA24" ca="1">INDEX(Revenue_Model_MRR,MATCH(AA$1,Revenue_Model_Months,0))</f>
        <v>984645.77349427529</v>
      </c>
      <c r="AB24" s="141">
        <f t="array" aca="1" ref="AB24" ca="1">INDEX(Revenue_Model_MRR,MATCH(AB$1,Revenue_Model_Months,0))</f>
        <v>1007059.4490605886</v>
      </c>
      <c r="AC24" s="141">
        <f t="array" aca="1" ref="AC24" ca="1">INDEX(Revenue_Model_MRR,MATCH(AC$1,Revenue_Model_Months,0))</f>
        <v>1029314.1493517382</v>
      </c>
      <c r="AD24" s="141">
        <f t="array" aca="1" ref="AD24" ca="1">INDEX(Revenue_Model_MRR,MATCH(AD$1,Revenue_Model_Months,0))</f>
        <v>1052658.0192075358</v>
      </c>
      <c r="AE24" s="141">
        <f t="array" aca="1" ref="AE24" ca="1">INDEX(Revenue_Model_MRR,MATCH(AE$1,Revenue_Model_Months,0))</f>
        <v>1077084.2720350875</v>
      </c>
      <c r="AF24" s="141">
        <f t="array" aca="1" ref="AF24" ca="1">INDEX(Revenue_Model_MRR,MATCH(AF$1,Revenue_Model_Months,0))</f>
        <v>1101336.8030746204</v>
      </c>
      <c r="AG24" s="141">
        <f t="array" aca="1" ref="AG24" ca="1">INDEX(Revenue_Model_MRR,MATCH(AG$1,Revenue_Model_Months,0))</f>
        <v>1126664.7198087142</v>
      </c>
      <c r="AH24" s="141">
        <f t="array" aca="1" ref="AH24" ca="1">INDEX(Revenue_Model_MRR,MATCH(AH$1,Revenue_Model_Months,0))</f>
        <v>1160464.6614029757</v>
      </c>
      <c r="AI24" s="141">
        <f t="array" aca="1" ref="AI24" ca="1">INDEX(Revenue_Model_MRR,MATCH(AI$1,Revenue_Model_Months,0))</f>
        <v>1195278.601245065</v>
      </c>
      <c r="AJ24" s="141">
        <f t="array" aca="1" ref="AJ24" ca="1">INDEX(Revenue_Model_MRR,MATCH(AJ$1,Revenue_Model_Months,0))</f>
        <v>1231136.9592824169</v>
      </c>
      <c r="AK24" s="141">
        <f t="array" aca="1" ref="AK24" ca="1">INDEX(Revenue_Model_MRR,MATCH(AK$1,Revenue_Model_Months,0))</f>
        <v>1268071.0680608894</v>
      </c>
      <c r="AL24" s="141">
        <f t="array" aca="1" ref="AL24" ca="1">INDEX(Revenue_Model_MRR,MATCH(AL$1,Revenue_Model_Months,0))</f>
        <v>1306113.200102716</v>
      </c>
      <c r="AM24" s="141">
        <f t="array" aca="1" ref="AM24" ca="1">INDEX(Revenue_Model_MRR,MATCH(AM$1,Revenue_Model_Months,0))</f>
        <v>1345296.5961057974</v>
      </c>
      <c r="AN24" s="141">
        <f t="array" aca="1" ref="AN24" ca="1">INDEX(Revenue_Model_MRR,MATCH(AN$1,Revenue_Model_Months,0))</f>
        <v>1385655.4939889715</v>
      </c>
      <c r="AO24" s="141">
        <f t="array" aca="1" ref="AO24" ca="1">INDEX(Revenue_Model_MRR,MATCH(AO$1,Revenue_Model_Months,0))</f>
        <v>1427225.1588086407</v>
      </c>
      <c r="AP24" s="141">
        <f t="array" aca="1" ref="AP24" ca="1">INDEX(Revenue_Model_MRR,MATCH(AP$1,Revenue_Model_Months,0))</f>
        <v>1470041.9135729</v>
      </c>
      <c r="AQ24" s="141">
        <f t="array" aca="1" ref="AQ24" ca="1">INDEX(Revenue_Model_MRR,MATCH(AQ$1,Revenue_Model_Months,0))</f>
        <v>1514143.170980087</v>
      </c>
      <c r="AR24" s="141">
        <f t="array" aca="1" ref="AR24" ca="1">INDEX(Revenue_Model_MRR,MATCH(AR$1,Revenue_Model_Months,0))</f>
        <v>1559567.4661094896</v>
      </c>
      <c r="AS24" s="141">
        <f t="array" aca="1" ref="AS24" ca="1">INDEX(Revenue_Model_MRR,MATCH(AS$1,Revenue_Model_Months,0))</f>
        <v>1606354.4900927742</v>
      </c>
      <c r="AT24" s="141">
        <f t="array" aca="1" ref="AT24" ca="1">INDEX(Revenue_Model_MRR,MATCH(AT$1,Revenue_Model_Months,0))</f>
        <v>1654545.1247955575</v>
      </c>
      <c r="AU24" s="141">
        <f t="array" aca="1" ref="AU24" ca="1">INDEX(Revenue_Model_MRR,MATCH(AU$1,Revenue_Model_Months,0))</f>
        <v>1704181.4785394242</v>
      </c>
      <c r="AV24" s="141">
        <f t="array" aca="1" ref="AV24" ca="1">INDEX(Revenue_Model_MRR,MATCH(AV$1,Revenue_Model_Months,0))</f>
        <v>1755306.9228956071</v>
      </c>
      <c r="AW24" s="141">
        <f t="array" aca="1" ref="AW24" ca="1">INDEX(Revenue_Model_MRR,MATCH(AW$1,Revenue_Model_Months,0))</f>
        <v>1807966.1305824753</v>
      </c>
      <c r="AX24" s="141"/>
      <c r="AY24" s="141"/>
      <c r="AZ24" s="141"/>
      <c r="BA24" s="141"/>
      <c r="BB24" s="141"/>
      <c r="BC24" s="141"/>
      <c r="BD24" s="141"/>
      <c r="BE24" s="141"/>
      <c r="BF24" s="141"/>
      <c r="BG24" s="141"/>
      <c r="BH24" s="141"/>
      <c r="BI24" s="141"/>
      <c r="BJ24" s="141"/>
      <c r="BK24" s="141"/>
    </row>
    <row r="25" spans="1:63" ht="15.75" customHeight="1" x14ac:dyDescent="0.2">
      <c r="A25" s="280" t="s">
        <v>428</v>
      </c>
      <c r="B25" s="279"/>
      <c r="C25" s="279"/>
      <c r="D25" s="279"/>
      <c r="E25" s="279">
        <f t="shared" ref="E25:AW25" si="13">E24+E22</f>
        <v>684009.66008777847</v>
      </c>
      <c r="F25" s="279">
        <f t="shared" si="13"/>
        <v>710064.51027338463</v>
      </c>
      <c r="G25" s="279">
        <f t="shared" si="13"/>
        <v>733560.36045899079</v>
      </c>
      <c r="H25" s="279">
        <f t="shared" si="13"/>
        <v>755324.21064459707</v>
      </c>
      <c r="I25" s="279">
        <f t="shared" si="13"/>
        <v>776285.06083020335</v>
      </c>
      <c r="J25" s="279">
        <f t="shared" si="13"/>
        <v>798743.91101580963</v>
      </c>
      <c r="K25" s="279">
        <f t="shared" si="13"/>
        <v>824307.76120141591</v>
      </c>
      <c r="L25" s="279">
        <f t="shared" si="13"/>
        <v>820162.76120141591</v>
      </c>
      <c r="M25" s="279">
        <f t="shared" si="13"/>
        <v>794706.76120141591</v>
      </c>
      <c r="N25" s="279">
        <f t="shared" ca="1" si="13"/>
        <v>780349.42888759938</v>
      </c>
      <c r="O25" s="279">
        <f t="shared" ca="1" si="13"/>
        <v>776838.89834164642</v>
      </c>
      <c r="P25" s="279">
        <f t="shared" ca="1" si="13"/>
        <v>784307.49639270024</v>
      </c>
      <c r="Q25" s="279">
        <f t="shared" ca="1" si="13"/>
        <v>794270.11839480256</v>
      </c>
      <c r="R25" s="279">
        <f t="shared" ca="1" si="13"/>
        <v>810446.91710921796</v>
      </c>
      <c r="S25" s="279">
        <f t="shared" ca="1" si="13"/>
        <v>828843.4436886058</v>
      </c>
      <c r="T25" s="279">
        <f t="shared" ca="1" si="13"/>
        <v>846201.42083742563</v>
      </c>
      <c r="U25" s="279">
        <f t="shared" ca="1" si="13"/>
        <v>864575.11305563885</v>
      </c>
      <c r="V25" s="279">
        <f t="shared" ca="1" si="13"/>
        <v>882839.9823146424</v>
      </c>
      <c r="W25" s="279">
        <f t="shared" ca="1" si="13"/>
        <v>902246.59964331996</v>
      </c>
      <c r="X25" s="279">
        <f t="shared" ca="1" si="13"/>
        <v>921493.21251495357</v>
      </c>
      <c r="Y25" s="279">
        <f t="shared" ca="1" si="13"/>
        <v>941858.92249037873</v>
      </c>
      <c r="Z25" s="279">
        <f t="shared" ca="1" si="13"/>
        <v>963330.71914236806</v>
      </c>
      <c r="AA25" s="279">
        <f t="shared" ca="1" si="13"/>
        <v>984645.77349427529</v>
      </c>
      <c r="AB25" s="279">
        <f t="shared" ca="1" si="13"/>
        <v>1007059.4490605886</v>
      </c>
      <c r="AC25" s="279">
        <f t="shared" ca="1" si="13"/>
        <v>1029314.1493517382</v>
      </c>
      <c r="AD25" s="279">
        <f t="shared" ca="1" si="13"/>
        <v>1052658.0192075358</v>
      </c>
      <c r="AE25" s="279">
        <f t="shared" ca="1" si="13"/>
        <v>1077084.2720350875</v>
      </c>
      <c r="AF25" s="279">
        <f t="shared" ca="1" si="13"/>
        <v>1101336.8030746204</v>
      </c>
      <c r="AG25" s="279">
        <f t="shared" ca="1" si="13"/>
        <v>1126664.7198087142</v>
      </c>
      <c r="AH25" s="279">
        <f t="shared" ca="1" si="13"/>
        <v>1160464.6614029757</v>
      </c>
      <c r="AI25" s="279">
        <f t="shared" ca="1" si="13"/>
        <v>1195278.601245065</v>
      </c>
      <c r="AJ25" s="279">
        <f t="shared" ca="1" si="13"/>
        <v>1231136.9592824169</v>
      </c>
      <c r="AK25" s="279">
        <f t="shared" ca="1" si="13"/>
        <v>1268071.0680608894</v>
      </c>
      <c r="AL25" s="279">
        <f t="shared" ca="1" si="13"/>
        <v>1306113.200102716</v>
      </c>
      <c r="AM25" s="279">
        <f t="shared" ca="1" si="13"/>
        <v>1345296.5961057974</v>
      </c>
      <c r="AN25" s="279">
        <f t="shared" ca="1" si="13"/>
        <v>1385655.4939889715</v>
      </c>
      <c r="AO25" s="279">
        <f t="shared" ca="1" si="13"/>
        <v>1427225.1588086407</v>
      </c>
      <c r="AP25" s="279">
        <f t="shared" ca="1" si="13"/>
        <v>1470041.9135729</v>
      </c>
      <c r="AQ25" s="279">
        <f t="shared" ca="1" si="13"/>
        <v>1514143.170980087</v>
      </c>
      <c r="AR25" s="279">
        <f t="shared" ca="1" si="13"/>
        <v>1559567.4661094896</v>
      </c>
      <c r="AS25" s="279">
        <f t="shared" ca="1" si="13"/>
        <v>1606354.4900927742</v>
      </c>
      <c r="AT25" s="279">
        <f t="shared" ca="1" si="13"/>
        <v>1654545.1247955575</v>
      </c>
      <c r="AU25" s="279">
        <f t="shared" ca="1" si="13"/>
        <v>1704181.4785394242</v>
      </c>
      <c r="AV25" s="279">
        <f t="shared" ca="1" si="13"/>
        <v>1755306.9228956071</v>
      </c>
      <c r="AW25" s="279">
        <f t="shared" ca="1" si="13"/>
        <v>1807966.1305824753</v>
      </c>
      <c r="AX25" s="279"/>
      <c r="AY25" s="279"/>
      <c r="AZ25" s="279"/>
      <c r="BA25" s="279"/>
      <c r="BB25" s="279"/>
      <c r="BC25" s="279"/>
      <c r="BD25" s="279"/>
      <c r="BE25" s="279"/>
      <c r="BF25" s="279"/>
      <c r="BG25" s="279"/>
      <c r="BH25" s="279"/>
      <c r="BI25" s="279"/>
      <c r="BJ25" s="279"/>
      <c r="BK25" s="279"/>
    </row>
    <row r="26" spans="1:63" ht="15.75" customHeight="1" x14ac:dyDescent="0.2">
      <c r="A26" s="263"/>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row>
    <row r="27" spans="1:63" ht="15.75" customHeight="1" x14ac:dyDescent="0.2">
      <c r="A27" s="263"/>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row>
    <row r="28" spans="1:63" ht="15.75" customHeight="1" x14ac:dyDescent="0.2">
      <c r="A28" s="282" t="s">
        <v>429</v>
      </c>
      <c r="B28" s="283"/>
      <c r="C28" s="283"/>
      <c r="D28" s="283">
        <f t="shared" ref="D28:AW28" si="14">SUM(D29:D76)</f>
        <v>0</v>
      </c>
      <c r="E28" s="283">
        <f t="shared" si="14"/>
        <v>0</v>
      </c>
      <c r="F28" s="283">
        <f t="shared" si="14"/>
        <v>0</v>
      </c>
      <c r="G28" s="283">
        <f t="shared" si="14"/>
        <v>0</v>
      </c>
      <c r="H28" s="283">
        <f t="shared" si="14"/>
        <v>0</v>
      </c>
      <c r="I28" s="283">
        <f t="shared" si="14"/>
        <v>0</v>
      </c>
      <c r="J28" s="283">
        <f t="shared" si="14"/>
        <v>0</v>
      </c>
      <c r="K28" s="283">
        <f t="shared" si="14"/>
        <v>0</v>
      </c>
      <c r="L28" s="283">
        <f t="shared" si="14"/>
        <v>0</v>
      </c>
      <c r="M28" s="283">
        <f t="shared" si="14"/>
        <v>0</v>
      </c>
      <c r="N28" s="283">
        <f t="shared" ca="1" si="14"/>
        <v>0</v>
      </c>
      <c r="O28" s="283">
        <f t="shared" ca="1" si="14"/>
        <v>0</v>
      </c>
      <c r="P28" s="283">
        <f t="shared" ca="1" si="14"/>
        <v>0</v>
      </c>
      <c r="Q28" s="283">
        <f t="shared" ca="1" si="14"/>
        <v>0</v>
      </c>
      <c r="R28" s="283">
        <f t="shared" ca="1" si="14"/>
        <v>0</v>
      </c>
      <c r="S28" s="283">
        <f t="shared" ca="1" si="14"/>
        <v>0</v>
      </c>
      <c r="T28" s="283">
        <f t="shared" ca="1" si="14"/>
        <v>0</v>
      </c>
      <c r="U28" s="283">
        <f t="shared" ca="1" si="14"/>
        <v>0</v>
      </c>
      <c r="V28" s="283">
        <f t="shared" ca="1" si="14"/>
        <v>0</v>
      </c>
      <c r="W28" s="283">
        <f t="shared" ca="1" si="14"/>
        <v>0</v>
      </c>
      <c r="X28" s="283">
        <f t="shared" ca="1" si="14"/>
        <v>0</v>
      </c>
      <c r="Y28" s="283">
        <f t="shared" ca="1" si="14"/>
        <v>0</v>
      </c>
      <c r="Z28" s="283">
        <f t="shared" ca="1" si="14"/>
        <v>0</v>
      </c>
      <c r="AA28" s="283">
        <f t="shared" ca="1" si="14"/>
        <v>0</v>
      </c>
      <c r="AB28" s="283">
        <f t="shared" ca="1" si="14"/>
        <v>0</v>
      </c>
      <c r="AC28" s="283">
        <f t="shared" ca="1" si="14"/>
        <v>0</v>
      </c>
      <c r="AD28" s="283">
        <f t="shared" ca="1" si="14"/>
        <v>0</v>
      </c>
      <c r="AE28" s="283">
        <f t="shared" ca="1" si="14"/>
        <v>0</v>
      </c>
      <c r="AF28" s="283">
        <f t="shared" ca="1" si="14"/>
        <v>0</v>
      </c>
      <c r="AG28" s="283">
        <f t="shared" ca="1" si="14"/>
        <v>0</v>
      </c>
      <c r="AH28" s="283">
        <f t="shared" ca="1" si="14"/>
        <v>0</v>
      </c>
      <c r="AI28" s="283">
        <f t="shared" ca="1" si="14"/>
        <v>0</v>
      </c>
      <c r="AJ28" s="283">
        <f t="shared" ca="1" si="14"/>
        <v>0</v>
      </c>
      <c r="AK28" s="283">
        <f t="shared" ca="1" si="14"/>
        <v>0</v>
      </c>
      <c r="AL28" s="283">
        <f t="shared" ca="1" si="14"/>
        <v>0</v>
      </c>
      <c r="AM28" s="283">
        <f t="shared" ca="1" si="14"/>
        <v>0</v>
      </c>
      <c r="AN28" s="283">
        <f t="shared" ca="1" si="14"/>
        <v>0</v>
      </c>
      <c r="AO28" s="283">
        <f t="shared" ca="1" si="14"/>
        <v>0</v>
      </c>
      <c r="AP28" s="283">
        <f t="shared" ca="1" si="14"/>
        <v>0</v>
      </c>
      <c r="AQ28" s="283">
        <f t="shared" ca="1" si="14"/>
        <v>0</v>
      </c>
      <c r="AR28" s="283">
        <f t="shared" ca="1" si="14"/>
        <v>0</v>
      </c>
      <c r="AS28" s="283">
        <f t="shared" ca="1" si="14"/>
        <v>0</v>
      </c>
      <c r="AT28" s="283">
        <f t="shared" ca="1" si="14"/>
        <v>0</v>
      </c>
      <c r="AU28" s="283">
        <f t="shared" ca="1" si="14"/>
        <v>0</v>
      </c>
      <c r="AV28" s="283">
        <f t="shared" ca="1" si="14"/>
        <v>0</v>
      </c>
      <c r="AW28" s="283">
        <f t="shared" ca="1" si="14"/>
        <v>0</v>
      </c>
      <c r="AX28" s="120"/>
      <c r="AY28" s="120"/>
      <c r="AZ28" s="120"/>
      <c r="BA28" s="120"/>
      <c r="BB28" s="120"/>
      <c r="BC28" s="120"/>
      <c r="BD28" s="120"/>
      <c r="BE28" s="120"/>
      <c r="BF28" s="120"/>
      <c r="BG28" s="120"/>
      <c r="BH28" s="120"/>
      <c r="BI28" s="120"/>
      <c r="BJ28" s="120"/>
      <c r="BK28" s="120"/>
    </row>
    <row r="29" spans="1:63" ht="15.75" customHeight="1" x14ac:dyDescent="0.2">
      <c r="A29" s="284">
        <f>$D$1</f>
        <v>43647</v>
      </c>
      <c r="B29" s="120"/>
      <c r="C29" s="120"/>
      <c r="D29" s="120">
        <f>SUM(D$17)/12</f>
        <v>0</v>
      </c>
      <c r="E29" s="120">
        <f t="shared" ref="E29:O29" si="15">D29</f>
        <v>0</v>
      </c>
      <c r="F29" s="120">
        <f t="shared" si="15"/>
        <v>0</v>
      </c>
      <c r="G29" s="120">
        <f t="shared" si="15"/>
        <v>0</v>
      </c>
      <c r="H29" s="120">
        <f t="shared" si="15"/>
        <v>0</v>
      </c>
      <c r="I29" s="120">
        <f t="shared" si="15"/>
        <v>0</v>
      </c>
      <c r="J29" s="120">
        <f t="shared" si="15"/>
        <v>0</v>
      </c>
      <c r="K29" s="120">
        <f t="shared" si="15"/>
        <v>0</v>
      </c>
      <c r="L29" s="120">
        <f t="shared" si="15"/>
        <v>0</v>
      </c>
      <c r="M29" s="120">
        <f t="shared" si="15"/>
        <v>0</v>
      </c>
      <c r="N29" s="120">
        <f t="shared" si="15"/>
        <v>0</v>
      </c>
      <c r="O29" s="120">
        <f t="shared" si="15"/>
        <v>0</v>
      </c>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row>
    <row r="30" spans="1:63" ht="15.75" customHeight="1" x14ac:dyDescent="0.2">
      <c r="A30" s="284">
        <f t="shared" ref="A30:A76" si="16">EDATE(A29,1)</f>
        <v>43678</v>
      </c>
      <c r="B30" s="120"/>
      <c r="C30" s="120"/>
      <c r="D30" s="120"/>
      <c r="E30" s="120">
        <f>SUM(E$17)/12</f>
        <v>0</v>
      </c>
      <c r="F30" s="120">
        <f t="shared" ref="F30:P30" si="17">E30</f>
        <v>0</v>
      </c>
      <c r="G30" s="120">
        <f t="shared" si="17"/>
        <v>0</v>
      </c>
      <c r="H30" s="120">
        <f t="shared" si="17"/>
        <v>0</v>
      </c>
      <c r="I30" s="120">
        <f t="shared" si="17"/>
        <v>0</v>
      </c>
      <c r="J30" s="120">
        <f t="shared" si="17"/>
        <v>0</v>
      </c>
      <c r="K30" s="120">
        <f t="shared" si="17"/>
        <v>0</v>
      </c>
      <c r="L30" s="120">
        <f t="shared" si="17"/>
        <v>0</v>
      </c>
      <c r="M30" s="120">
        <f t="shared" si="17"/>
        <v>0</v>
      </c>
      <c r="N30" s="120">
        <f t="shared" si="17"/>
        <v>0</v>
      </c>
      <c r="O30" s="120">
        <f t="shared" si="17"/>
        <v>0</v>
      </c>
      <c r="P30" s="120">
        <f t="shared" si="17"/>
        <v>0</v>
      </c>
      <c r="Q30" s="120"/>
      <c r="R30" s="120"/>
      <c r="S30" s="12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row>
    <row r="31" spans="1:63" ht="15.75" customHeight="1" x14ac:dyDescent="0.2">
      <c r="A31" s="284">
        <f t="shared" si="16"/>
        <v>43709</v>
      </c>
      <c r="B31" s="120"/>
      <c r="C31" s="120"/>
      <c r="D31" s="120"/>
      <c r="E31" s="120"/>
      <c r="F31" s="120">
        <f>SUM(F$17)/12</f>
        <v>0</v>
      </c>
      <c r="G31" s="120">
        <f t="shared" ref="G31:Q31" si="18">F31</f>
        <v>0</v>
      </c>
      <c r="H31" s="120">
        <f t="shared" si="18"/>
        <v>0</v>
      </c>
      <c r="I31" s="120">
        <f t="shared" si="18"/>
        <v>0</v>
      </c>
      <c r="J31" s="120">
        <f t="shared" si="18"/>
        <v>0</v>
      </c>
      <c r="K31" s="120">
        <f t="shared" si="18"/>
        <v>0</v>
      </c>
      <c r="L31" s="120">
        <f t="shared" si="18"/>
        <v>0</v>
      </c>
      <c r="M31" s="120">
        <f t="shared" si="18"/>
        <v>0</v>
      </c>
      <c r="N31" s="120">
        <f t="shared" si="18"/>
        <v>0</v>
      </c>
      <c r="O31" s="120">
        <f t="shared" si="18"/>
        <v>0</v>
      </c>
      <c r="P31" s="120">
        <f t="shared" si="18"/>
        <v>0</v>
      </c>
      <c r="Q31" s="120">
        <f t="shared" si="18"/>
        <v>0</v>
      </c>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row>
    <row r="32" spans="1:63" ht="15.75" customHeight="1" x14ac:dyDescent="0.2">
      <c r="A32" s="284">
        <f t="shared" si="16"/>
        <v>43739</v>
      </c>
      <c r="B32" s="120"/>
      <c r="C32" s="120"/>
      <c r="D32" s="120"/>
      <c r="E32" s="120"/>
      <c r="F32" s="120"/>
      <c r="G32" s="120">
        <f>SUM(G$17)/12</f>
        <v>0</v>
      </c>
      <c r="H32" s="120">
        <f t="shared" ref="H32:R32" si="19">G32</f>
        <v>0</v>
      </c>
      <c r="I32" s="120">
        <f t="shared" si="19"/>
        <v>0</v>
      </c>
      <c r="J32" s="120">
        <f t="shared" si="19"/>
        <v>0</v>
      </c>
      <c r="K32" s="120">
        <f t="shared" si="19"/>
        <v>0</v>
      </c>
      <c r="L32" s="120">
        <f t="shared" si="19"/>
        <v>0</v>
      </c>
      <c r="M32" s="120">
        <f t="shared" si="19"/>
        <v>0</v>
      </c>
      <c r="N32" s="120">
        <f t="shared" si="19"/>
        <v>0</v>
      </c>
      <c r="O32" s="120">
        <f t="shared" si="19"/>
        <v>0</v>
      </c>
      <c r="P32" s="120">
        <f t="shared" si="19"/>
        <v>0</v>
      </c>
      <c r="Q32" s="120">
        <f t="shared" si="19"/>
        <v>0</v>
      </c>
      <c r="R32" s="120">
        <f t="shared" si="19"/>
        <v>0</v>
      </c>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row>
    <row r="33" spans="1:63" ht="15.75" customHeight="1" x14ac:dyDescent="0.2">
      <c r="A33" s="284">
        <f t="shared" si="16"/>
        <v>43770</v>
      </c>
      <c r="B33" s="120"/>
      <c r="C33" s="120"/>
      <c r="D33" s="120"/>
      <c r="E33" s="120"/>
      <c r="F33" s="120"/>
      <c r="G33" s="120"/>
      <c r="H33" s="120">
        <f>SUM(H$17)/12</f>
        <v>0</v>
      </c>
      <c r="I33" s="120">
        <f t="shared" ref="I33:S33" si="20">H33</f>
        <v>0</v>
      </c>
      <c r="J33" s="120">
        <f t="shared" si="20"/>
        <v>0</v>
      </c>
      <c r="K33" s="120">
        <f t="shared" si="20"/>
        <v>0</v>
      </c>
      <c r="L33" s="120">
        <f t="shared" si="20"/>
        <v>0</v>
      </c>
      <c r="M33" s="120">
        <f t="shared" si="20"/>
        <v>0</v>
      </c>
      <c r="N33" s="120">
        <f t="shared" si="20"/>
        <v>0</v>
      </c>
      <c r="O33" s="120">
        <f t="shared" si="20"/>
        <v>0</v>
      </c>
      <c r="P33" s="120">
        <f t="shared" si="20"/>
        <v>0</v>
      </c>
      <c r="Q33" s="120">
        <f t="shared" si="20"/>
        <v>0</v>
      </c>
      <c r="R33" s="120">
        <f t="shared" si="20"/>
        <v>0</v>
      </c>
      <c r="S33" s="120">
        <f t="shared" si="20"/>
        <v>0</v>
      </c>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row>
    <row r="34" spans="1:63" ht="15.75" customHeight="1" x14ac:dyDescent="0.2">
      <c r="A34" s="284">
        <f t="shared" si="16"/>
        <v>43800</v>
      </c>
      <c r="B34" s="120"/>
      <c r="C34" s="120"/>
      <c r="D34" s="120"/>
      <c r="E34" s="120"/>
      <c r="F34" s="120"/>
      <c r="G34" s="120"/>
      <c r="H34" s="120"/>
      <c r="I34" s="120">
        <f>SUM(I$17)/12</f>
        <v>0</v>
      </c>
      <c r="J34" s="120">
        <f t="shared" ref="J34:T34" si="21">I34</f>
        <v>0</v>
      </c>
      <c r="K34" s="120">
        <f t="shared" si="21"/>
        <v>0</v>
      </c>
      <c r="L34" s="120">
        <f t="shared" si="21"/>
        <v>0</v>
      </c>
      <c r="M34" s="120">
        <f t="shared" si="21"/>
        <v>0</v>
      </c>
      <c r="N34" s="120">
        <f t="shared" si="21"/>
        <v>0</v>
      </c>
      <c r="O34" s="120">
        <f t="shared" si="21"/>
        <v>0</v>
      </c>
      <c r="P34" s="120">
        <f t="shared" si="21"/>
        <v>0</v>
      </c>
      <c r="Q34" s="120">
        <f t="shared" si="21"/>
        <v>0</v>
      </c>
      <c r="R34" s="120">
        <f t="shared" si="21"/>
        <v>0</v>
      </c>
      <c r="S34" s="120">
        <f t="shared" si="21"/>
        <v>0</v>
      </c>
      <c r="T34" s="120">
        <f t="shared" si="21"/>
        <v>0</v>
      </c>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row>
    <row r="35" spans="1:63" ht="15.75" customHeight="1" x14ac:dyDescent="0.2">
      <c r="A35" s="284">
        <f t="shared" si="16"/>
        <v>43831</v>
      </c>
      <c r="B35" s="120"/>
      <c r="C35" s="120"/>
      <c r="D35" s="120"/>
      <c r="E35" s="120"/>
      <c r="F35" s="120"/>
      <c r="G35" s="120"/>
      <c r="H35" s="120"/>
      <c r="I35" s="120"/>
      <c r="J35" s="120">
        <f>SUM(J$17)/12</f>
        <v>0</v>
      </c>
      <c r="K35" s="120">
        <f t="shared" ref="K35:U35" si="22">J35</f>
        <v>0</v>
      </c>
      <c r="L35" s="120">
        <f t="shared" si="22"/>
        <v>0</v>
      </c>
      <c r="M35" s="120">
        <f t="shared" si="22"/>
        <v>0</v>
      </c>
      <c r="N35" s="120">
        <f t="shared" si="22"/>
        <v>0</v>
      </c>
      <c r="O35" s="120">
        <f t="shared" si="22"/>
        <v>0</v>
      </c>
      <c r="P35" s="120">
        <f t="shared" si="22"/>
        <v>0</v>
      </c>
      <c r="Q35" s="120">
        <f t="shared" si="22"/>
        <v>0</v>
      </c>
      <c r="R35" s="120">
        <f t="shared" si="22"/>
        <v>0</v>
      </c>
      <c r="S35" s="120">
        <f t="shared" si="22"/>
        <v>0</v>
      </c>
      <c r="T35" s="120">
        <f t="shared" si="22"/>
        <v>0</v>
      </c>
      <c r="U35" s="120">
        <f t="shared" si="22"/>
        <v>0</v>
      </c>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row>
    <row r="36" spans="1:63" ht="15.75" customHeight="1" x14ac:dyDescent="0.2">
      <c r="A36" s="284">
        <f t="shared" si="16"/>
        <v>43862</v>
      </c>
      <c r="B36" s="120"/>
      <c r="C36" s="120"/>
      <c r="D36" s="120"/>
      <c r="E36" s="120"/>
      <c r="F36" s="120"/>
      <c r="G36" s="120"/>
      <c r="H36" s="120"/>
      <c r="I36" s="120"/>
      <c r="J36" s="120"/>
      <c r="K36" s="120">
        <f>SUM(K$17)/12</f>
        <v>0</v>
      </c>
      <c r="L36" s="120">
        <f t="shared" ref="L36:V36" si="23">K36</f>
        <v>0</v>
      </c>
      <c r="M36" s="120">
        <f t="shared" si="23"/>
        <v>0</v>
      </c>
      <c r="N36" s="120">
        <f t="shared" si="23"/>
        <v>0</v>
      </c>
      <c r="O36" s="120">
        <f t="shared" si="23"/>
        <v>0</v>
      </c>
      <c r="P36" s="120">
        <f t="shared" si="23"/>
        <v>0</v>
      </c>
      <c r="Q36" s="120">
        <f t="shared" si="23"/>
        <v>0</v>
      </c>
      <c r="R36" s="120">
        <f t="shared" si="23"/>
        <v>0</v>
      </c>
      <c r="S36" s="120">
        <f t="shared" si="23"/>
        <v>0</v>
      </c>
      <c r="T36" s="120">
        <f t="shared" si="23"/>
        <v>0</v>
      </c>
      <c r="U36" s="120">
        <f t="shared" si="23"/>
        <v>0</v>
      </c>
      <c r="V36" s="120">
        <f t="shared" si="23"/>
        <v>0</v>
      </c>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row>
    <row r="37" spans="1:63" ht="15.75" customHeight="1" x14ac:dyDescent="0.2">
      <c r="A37" s="284">
        <f t="shared" si="16"/>
        <v>43891</v>
      </c>
      <c r="B37" s="120"/>
      <c r="C37" s="120"/>
      <c r="D37" s="120"/>
      <c r="E37" s="120"/>
      <c r="F37" s="120"/>
      <c r="G37" s="120"/>
      <c r="H37" s="120"/>
      <c r="I37" s="120"/>
      <c r="J37" s="120"/>
      <c r="K37" s="120"/>
      <c r="L37" s="120">
        <f>SUM(L$17)/12</f>
        <v>0</v>
      </c>
      <c r="M37" s="120">
        <f t="shared" ref="M37:W37" si="24">L37</f>
        <v>0</v>
      </c>
      <c r="N37" s="120">
        <f t="shared" si="24"/>
        <v>0</v>
      </c>
      <c r="O37" s="120">
        <f t="shared" si="24"/>
        <v>0</v>
      </c>
      <c r="P37" s="120">
        <f t="shared" si="24"/>
        <v>0</v>
      </c>
      <c r="Q37" s="120">
        <f t="shared" si="24"/>
        <v>0</v>
      </c>
      <c r="R37" s="120">
        <f t="shared" si="24"/>
        <v>0</v>
      </c>
      <c r="S37" s="120">
        <f t="shared" si="24"/>
        <v>0</v>
      </c>
      <c r="T37" s="120">
        <f t="shared" si="24"/>
        <v>0</v>
      </c>
      <c r="U37" s="120">
        <f t="shared" si="24"/>
        <v>0</v>
      </c>
      <c r="V37" s="120">
        <f t="shared" si="24"/>
        <v>0</v>
      </c>
      <c r="W37" s="120">
        <f t="shared" si="24"/>
        <v>0</v>
      </c>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row>
    <row r="38" spans="1:63" ht="15.75" customHeight="1" x14ac:dyDescent="0.2">
      <c r="A38" s="284">
        <f t="shared" si="16"/>
        <v>43922</v>
      </c>
      <c r="B38" s="120"/>
      <c r="C38" s="120"/>
      <c r="D38" s="120"/>
      <c r="E38" s="120"/>
      <c r="F38" s="120"/>
      <c r="G38" s="120"/>
      <c r="H38" s="120"/>
      <c r="I38" s="120"/>
      <c r="J38" s="120"/>
      <c r="K38" s="120"/>
      <c r="L38" s="120"/>
      <c r="M38" s="120">
        <f>SUM(M$17)/12</f>
        <v>0</v>
      </c>
      <c r="N38" s="120">
        <f t="shared" ref="N38:X38" si="25">M38</f>
        <v>0</v>
      </c>
      <c r="O38" s="120">
        <f t="shared" si="25"/>
        <v>0</v>
      </c>
      <c r="P38" s="120">
        <f t="shared" si="25"/>
        <v>0</v>
      </c>
      <c r="Q38" s="120">
        <f t="shared" si="25"/>
        <v>0</v>
      </c>
      <c r="R38" s="120">
        <f t="shared" si="25"/>
        <v>0</v>
      </c>
      <c r="S38" s="120">
        <f t="shared" si="25"/>
        <v>0</v>
      </c>
      <c r="T38" s="120">
        <f t="shared" si="25"/>
        <v>0</v>
      </c>
      <c r="U38" s="120">
        <f t="shared" si="25"/>
        <v>0</v>
      </c>
      <c r="V38" s="120">
        <f t="shared" si="25"/>
        <v>0</v>
      </c>
      <c r="W38" s="120">
        <f t="shared" si="25"/>
        <v>0</v>
      </c>
      <c r="X38" s="120">
        <f t="shared" si="25"/>
        <v>0</v>
      </c>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row>
    <row r="39" spans="1:63" ht="15.75" customHeight="1" x14ac:dyDescent="0.2">
      <c r="A39" s="284">
        <f t="shared" si="16"/>
        <v>43952</v>
      </c>
      <c r="B39" s="120"/>
      <c r="C39" s="120"/>
      <c r="D39" s="120"/>
      <c r="E39" s="120"/>
      <c r="F39" s="120"/>
      <c r="G39" s="120"/>
      <c r="H39" s="120"/>
      <c r="I39" s="120"/>
      <c r="J39" s="120"/>
      <c r="K39" s="120"/>
      <c r="L39" s="120"/>
      <c r="M39" s="120"/>
      <c r="N39" s="120">
        <f ca="1">SUM(N$17)/12</f>
        <v>0</v>
      </c>
      <c r="O39" s="120">
        <f t="shared" ref="O39:Y39" ca="1" si="26">N39</f>
        <v>0</v>
      </c>
      <c r="P39" s="120">
        <f t="shared" ca="1" si="26"/>
        <v>0</v>
      </c>
      <c r="Q39" s="120">
        <f t="shared" ca="1" si="26"/>
        <v>0</v>
      </c>
      <c r="R39" s="120">
        <f t="shared" ca="1" si="26"/>
        <v>0</v>
      </c>
      <c r="S39" s="120">
        <f t="shared" ca="1" si="26"/>
        <v>0</v>
      </c>
      <c r="T39" s="120">
        <f t="shared" ca="1" si="26"/>
        <v>0</v>
      </c>
      <c r="U39" s="120">
        <f t="shared" ca="1" si="26"/>
        <v>0</v>
      </c>
      <c r="V39" s="120">
        <f t="shared" ca="1" si="26"/>
        <v>0</v>
      </c>
      <c r="W39" s="120">
        <f t="shared" ca="1" si="26"/>
        <v>0</v>
      </c>
      <c r="X39" s="120">
        <f t="shared" ca="1" si="26"/>
        <v>0</v>
      </c>
      <c r="Y39" s="120">
        <f t="shared" ca="1" si="26"/>
        <v>0</v>
      </c>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row>
    <row r="40" spans="1:63" ht="15.75" customHeight="1" x14ac:dyDescent="0.2">
      <c r="A40" s="284">
        <f t="shared" si="16"/>
        <v>43983</v>
      </c>
      <c r="B40" s="120"/>
      <c r="C40" s="120"/>
      <c r="D40" s="120"/>
      <c r="E40" s="120"/>
      <c r="F40" s="120"/>
      <c r="G40" s="120"/>
      <c r="H40" s="120"/>
      <c r="I40" s="120"/>
      <c r="J40" s="120"/>
      <c r="K40" s="120"/>
      <c r="L40" s="120"/>
      <c r="M40" s="120"/>
      <c r="N40" s="120"/>
      <c r="O40" s="120">
        <f ca="1">SUM(O$17)/12</f>
        <v>0</v>
      </c>
      <c r="P40" s="120">
        <f t="shared" ref="P40:Z40" ca="1" si="27">O40</f>
        <v>0</v>
      </c>
      <c r="Q40" s="120">
        <f t="shared" ca="1" si="27"/>
        <v>0</v>
      </c>
      <c r="R40" s="120">
        <f t="shared" ca="1" si="27"/>
        <v>0</v>
      </c>
      <c r="S40" s="120">
        <f t="shared" ca="1" si="27"/>
        <v>0</v>
      </c>
      <c r="T40" s="120">
        <f t="shared" ca="1" si="27"/>
        <v>0</v>
      </c>
      <c r="U40" s="120">
        <f t="shared" ca="1" si="27"/>
        <v>0</v>
      </c>
      <c r="V40" s="120">
        <f t="shared" ca="1" si="27"/>
        <v>0</v>
      </c>
      <c r="W40" s="120">
        <f t="shared" ca="1" si="27"/>
        <v>0</v>
      </c>
      <c r="X40" s="120">
        <f t="shared" ca="1" si="27"/>
        <v>0</v>
      </c>
      <c r="Y40" s="120">
        <f t="shared" ca="1" si="27"/>
        <v>0</v>
      </c>
      <c r="Z40" s="120">
        <f t="shared" ca="1" si="27"/>
        <v>0</v>
      </c>
      <c r="AA40" s="120"/>
      <c r="AB40" s="120"/>
      <c r="AC40" s="120"/>
      <c r="AD40" s="120"/>
      <c r="AE40" s="120"/>
      <c r="AF40" s="120"/>
      <c r="AG40" s="120"/>
      <c r="AH40" s="120"/>
      <c r="AI40" s="120"/>
      <c r="AJ40" s="120"/>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c r="BK40" s="120"/>
    </row>
    <row r="41" spans="1:63" ht="15.75" customHeight="1" x14ac:dyDescent="0.2">
      <c r="A41" s="284">
        <f t="shared" si="16"/>
        <v>44013</v>
      </c>
      <c r="B41" s="120"/>
      <c r="C41" s="120"/>
      <c r="D41" s="120"/>
      <c r="E41" s="120"/>
      <c r="F41" s="120"/>
      <c r="G41" s="120"/>
      <c r="H41" s="120"/>
      <c r="I41" s="120"/>
      <c r="J41" s="120"/>
      <c r="K41" s="120"/>
      <c r="L41" s="120"/>
      <c r="M41" s="120"/>
      <c r="N41" s="120"/>
      <c r="O41" s="120"/>
      <c r="P41" s="120">
        <f ca="1">SUM(P$17)/12</f>
        <v>0</v>
      </c>
      <c r="Q41" s="120">
        <f t="shared" ref="Q41:AA41" ca="1" si="28">P41</f>
        <v>0</v>
      </c>
      <c r="R41" s="120">
        <f t="shared" ca="1" si="28"/>
        <v>0</v>
      </c>
      <c r="S41" s="120">
        <f t="shared" ca="1" si="28"/>
        <v>0</v>
      </c>
      <c r="T41" s="120">
        <f t="shared" ca="1" si="28"/>
        <v>0</v>
      </c>
      <c r="U41" s="120">
        <f t="shared" ca="1" si="28"/>
        <v>0</v>
      </c>
      <c r="V41" s="120">
        <f t="shared" ca="1" si="28"/>
        <v>0</v>
      </c>
      <c r="W41" s="120">
        <f t="shared" ca="1" si="28"/>
        <v>0</v>
      </c>
      <c r="X41" s="120">
        <f t="shared" ca="1" si="28"/>
        <v>0</v>
      </c>
      <c r="Y41" s="120">
        <f t="shared" ca="1" si="28"/>
        <v>0</v>
      </c>
      <c r="Z41" s="120">
        <f t="shared" ca="1" si="28"/>
        <v>0</v>
      </c>
      <c r="AA41" s="120">
        <f t="shared" ca="1" si="28"/>
        <v>0</v>
      </c>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c r="BK41" s="120"/>
    </row>
    <row r="42" spans="1:63" ht="15.75" customHeight="1" x14ac:dyDescent="0.2">
      <c r="A42" s="284">
        <f t="shared" si="16"/>
        <v>44044</v>
      </c>
      <c r="B42" s="120"/>
      <c r="C42" s="120"/>
      <c r="D42" s="120"/>
      <c r="E42" s="120"/>
      <c r="F42" s="120"/>
      <c r="G42" s="120"/>
      <c r="H42" s="120"/>
      <c r="I42" s="120"/>
      <c r="J42" s="120"/>
      <c r="K42" s="120"/>
      <c r="L42" s="120"/>
      <c r="M42" s="120"/>
      <c r="N42" s="120"/>
      <c r="O42" s="120"/>
      <c r="P42" s="120"/>
      <c r="Q42" s="120">
        <f ca="1">SUM(Q$17)/12</f>
        <v>0</v>
      </c>
      <c r="R42" s="120">
        <f t="shared" ref="R42:AB42" ca="1" si="29">Q42</f>
        <v>0</v>
      </c>
      <c r="S42" s="120">
        <f t="shared" ca="1" si="29"/>
        <v>0</v>
      </c>
      <c r="T42" s="120">
        <f t="shared" ca="1" si="29"/>
        <v>0</v>
      </c>
      <c r="U42" s="120">
        <f t="shared" ca="1" si="29"/>
        <v>0</v>
      </c>
      <c r="V42" s="120">
        <f t="shared" ca="1" si="29"/>
        <v>0</v>
      </c>
      <c r="W42" s="120">
        <f t="shared" ca="1" si="29"/>
        <v>0</v>
      </c>
      <c r="X42" s="120">
        <f t="shared" ca="1" si="29"/>
        <v>0</v>
      </c>
      <c r="Y42" s="120">
        <f t="shared" ca="1" si="29"/>
        <v>0</v>
      </c>
      <c r="Z42" s="120">
        <f t="shared" ca="1" si="29"/>
        <v>0</v>
      </c>
      <c r="AA42" s="120">
        <f t="shared" ca="1" si="29"/>
        <v>0</v>
      </c>
      <c r="AB42" s="120">
        <f t="shared" ca="1" si="29"/>
        <v>0</v>
      </c>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row>
    <row r="43" spans="1:63" ht="15.75" customHeight="1" x14ac:dyDescent="0.2">
      <c r="A43" s="284">
        <f t="shared" si="16"/>
        <v>44075</v>
      </c>
      <c r="B43" s="120"/>
      <c r="C43" s="120"/>
      <c r="D43" s="120"/>
      <c r="E43" s="120"/>
      <c r="F43" s="120"/>
      <c r="G43" s="120"/>
      <c r="H43" s="120"/>
      <c r="I43" s="120"/>
      <c r="J43" s="120"/>
      <c r="K43" s="120"/>
      <c r="L43" s="120"/>
      <c r="M43" s="120"/>
      <c r="N43" s="120"/>
      <c r="O43" s="120"/>
      <c r="P43" s="120"/>
      <c r="Q43" s="120"/>
      <c r="R43" s="120">
        <f ca="1">SUM(R$17)/12</f>
        <v>0</v>
      </c>
      <c r="S43" s="120">
        <f t="shared" ref="S43:AC43" ca="1" si="30">R43</f>
        <v>0</v>
      </c>
      <c r="T43" s="120">
        <f t="shared" ca="1" si="30"/>
        <v>0</v>
      </c>
      <c r="U43" s="120">
        <f t="shared" ca="1" si="30"/>
        <v>0</v>
      </c>
      <c r="V43" s="120">
        <f t="shared" ca="1" si="30"/>
        <v>0</v>
      </c>
      <c r="W43" s="120">
        <f t="shared" ca="1" si="30"/>
        <v>0</v>
      </c>
      <c r="X43" s="120">
        <f t="shared" ca="1" si="30"/>
        <v>0</v>
      </c>
      <c r="Y43" s="120">
        <f t="shared" ca="1" si="30"/>
        <v>0</v>
      </c>
      <c r="Z43" s="120">
        <f t="shared" ca="1" si="30"/>
        <v>0</v>
      </c>
      <c r="AA43" s="120">
        <f t="shared" ca="1" si="30"/>
        <v>0</v>
      </c>
      <c r="AB43" s="120">
        <f t="shared" ca="1" si="30"/>
        <v>0</v>
      </c>
      <c r="AC43" s="120">
        <f t="shared" ca="1" si="30"/>
        <v>0</v>
      </c>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c r="BK43" s="120"/>
    </row>
    <row r="44" spans="1:63" ht="15.75" customHeight="1" x14ac:dyDescent="0.2">
      <c r="A44" s="284">
        <f t="shared" si="16"/>
        <v>44105</v>
      </c>
      <c r="B44" s="120"/>
      <c r="C44" s="120"/>
      <c r="D44" s="120"/>
      <c r="E44" s="120"/>
      <c r="F44" s="120"/>
      <c r="G44" s="120"/>
      <c r="H44" s="120"/>
      <c r="I44" s="120"/>
      <c r="J44" s="120"/>
      <c r="K44" s="120"/>
      <c r="L44" s="120"/>
      <c r="M44" s="120"/>
      <c r="N44" s="120"/>
      <c r="O44" s="120"/>
      <c r="P44" s="120"/>
      <c r="Q44" s="120"/>
      <c r="R44" s="120"/>
      <c r="S44" s="120">
        <f ca="1">SUM(S$17)/12</f>
        <v>0</v>
      </c>
      <c r="T44" s="120">
        <f t="shared" ref="T44:AD44" ca="1" si="31">S44</f>
        <v>0</v>
      </c>
      <c r="U44" s="120">
        <f t="shared" ca="1" si="31"/>
        <v>0</v>
      </c>
      <c r="V44" s="120">
        <f t="shared" ca="1" si="31"/>
        <v>0</v>
      </c>
      <c r="W44" s="120">
        <f t="shared" ca="1" si="31"/>
        <v>0</v>
      </c>
      <c r="X44" s="120">
        <f t="shared" ca="1" si="31"/>
        <v>0</v>
      </c>
      <c r="Y44" s="120">
        <f t="shared" ca="1" si="31"/>
        <v>0</v>
      </c>
      <c r="Z44" s="120">
        <f t="shared" ca="1" si="31"/>
        <v>0</v>
      </c>
      <c r="AA44" s="120">
        <f t="shared" ca="1" si="31"/>
        <v>0</v>
      </c>
      <c r="AB44" s="120">
        <f t="shared" ca="1" si="31"/>
        <v>0</v>
      </c>
      <c r="AC44" s="120">
        <f t="shared" ca="1" si="31"/>
        <v>0</v>
      </c>
      <c r="AD44" s="120">
        <f t="shared" ca="1" si="31"/>
        <v>0</v>
      </c>
      <c r="AE44" s="120"/>
      <c r="AF44" s="120"/>
      <c r="AG44" s="120"/>
      <c r="AH44" s="120"/>
      <c r="AI44" s="120"/>
      <c r="AJ44" s="120"/>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c r="BK44" s="120"/>
    </row>
    <row r="45" spans="1:63" ht="15.75" customHeight="1" x14ac:dyDescent="0.2">
      <c r="A45" s="284">
        <f t="shared" si="16"/>
        <v>44136</v>
      </c>
      <c r="B45" s="120"/>
      <c r="C45" s="120"/>
      <c r="D45" s="120"/>
      <c r="E45" s="120"/>
      <c r="F45" s="120"/>
      <c r="G45" s="120"/>
      <c r="H45" s="120"/>
      <c r="I45" s="120"/>
      <c r="J45" s="120"/>
      <c r="K45" s="120"/>
      <c r="L45" s="120"/>
      <c r="M45" s="120"/>
      <c r="N45" s="120"/>
      <c r="O45" s="120"/>
      <c r="P45" s="120"/>
      <c r="Q45" s="120"/>
      <c r="R45" s="120"/>
      <c r="S45" s="120"/>
      <c r="T45" s="120">
        <f ca="1">SUM(T$17)/12</f>
        <v>0</v>
      </c>
      <c r="U45" s="120">
        <f t="shared" ref="U45:AE45" ca="1" si="32">T45</f>
        <v>0</v>
      </c>
      <c r="V45" s="120">
        <f t="shared" ca="1" si="32"/>
        <v>0</v>
      </c>
      <c r="W45" s="120">
        <f t="shared" ca="1" si="32"/>
        <v>0</v>
      </c>
      <c r="X45" s="120">
        <f t="shared" ca="1" si="32"/>
        <v>0</v>
      </c>
      <c r="Y45" s="120">
        <f t="shared" ca="1" si="32"/>
        <v>0</v>
      </c>
      <c r="Z45" s="120">
        <f t="shared" ca="1" si="32"/>
        <v>0</v>
      </c>
      <c r="AA45" s="120">
        <f t="shared" ca="1" si="32"/>
        <v>0</v>
      </c>
      <c r="AB45" s="120">
        <f t="shared" ca="1" si="32"/>
        <v>0</v>
      </c>
      <c r="AC45" s="120">
        <f t="shared" ca="1" si="32"/>
        <v>0</v>
      </c>
      <c r="AD45" s="120">
        <f t="shared" ca="1" si="32"/>
        <v>0</v>
      </c>
      <c r="AE45" s="120">
        <f t="shared" ca="1" si="32"/>
        <v>0</v>
      </c>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row>
    <row r="46" spans="1:63" ht="15.75" customHeight="1" x14ac:dyDescent="0.2">
      <c r="A46" s="284">
        <f t="shared" si="16"/>
        <v>44166</v>
      </c>
      <c r="B46" s="120"/>
      <c r="C46" s="120"/>
      <c r="D46" s="120"/>
      <c r="E46" s="120"/>
      <c r="F46" s="120"/>
      <c r="G46" s="120"/>
      <c r="H46" s="120"/>
      <c r="I46" s="120"/>
      <c r="J46" s="120"/>
      <c r="K46" s="120"/>
      <c r="L46" s="120"/>
      <c r="M46" s="120"/>
      <c r="N46" s="120"/>
      <c r="O46" s="120"/>
      <c r="P46" s="120"/>
      <c r="Q46" s="120"/>
      <c r="R46" s="120"/>
      <c r="S46" s="120"/>
      <c r="T46" s="120"/>
      <c r="U46" s="120">
        <f ca="1">SUM(U$17)/12</f>
        <v>0</v>
      </c>
      <c r="V46" s="120">
        <f t="shared" ref="V46:AF46" ca="1" si="33">U46</f>
        <v>0</v>
      </c>
      <c r="W46" s="120">
        <f t="shared" ca="1" si="33"/>
        <v>0</v>
      </c>
      <c r="X46" s="120">
        <f t="shared" ca="1" si="33"/>
        <v>0</v>
      </c>
      <c r="Y46" s="120">
        <f t="shared" ca="1" si="33"/>
        <v>0</v>
      </c>
      <c r="Z46" s="120">
        <f t="shared" ca="1" si="33"/>
        <v>0</v>
      </c>
      <c r="AA46" s="120">
        <f t="shared" ca="1" si="33"/>
        <v>0</v>
      </c>
      <c r="AB46" s="120">
        <f t="shared" ca="1" si="33"/>
        <v>0</v>
      </c>
      <c r="AC46" s="120">
        <f t="shared" ca="1" si="33"/>
        <v>0</v>
      </c>
      <c r="AD46" s="120">
        <f t="shared" ca="1" si="33"/>
        <v>0</v>
      </c>
      <c r="AE46" s="120">
        <f t="shared" ca="1" si="33"/>
        <v>0</v>
      </c>
      <c r="AF46" s="120">
        <f t="shared" ca="1" si="33"/>
        <v>0</v>
      </c>
      <c r="AG46" s="120"/>
      <c r="AH46" s="120"/>
      <c r="AI46" s="120"/>
      <c r="AJ46" s="120"/>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c r="BK46" s="120"/>
    </row>
    <row r="47" spans="1:63" ht="15.75" customHeight="1" x14ac:dyDescent="0.2">
      <c r="A47" s="284">
        <f t="shared" si="16"/>
        <v>44197</v>
      </c>
      <c r="B47" s="120"/>
      <c r="C47" s="120"/>
      <c r="D47" s="120"/>
      <c r="E47" s="120"/>
      <c r="F47" s="120"/>
      <c r="G47" s="120"/>
      <c r="H47" s="120"/>
      <c r="I47" s="120"/>
      <c r="J47" s="120"/>
      <c r="K47" s="120"/>
      <c r="L47" s="120"/>
      <c r="M47" s="120"/>
      <c r="N47" s="120"/>
      <c r="O47" s="120"/>
      <c r="P47" s="120"/>
      <c r="Q47" s="120"/>
      <c r="R47" s="120"/>
      <c r="S47" s="120"/>
      <c r="T47" s="120"/>
      <c r="U47" s="120"/>
      <c r="V47" s="120">
        <f ca="1">SUM(V$17)/12</f>
        <v>0</v>
      </c>
      <c r="W47" s="120">
        <f t="shared" ref="W47:AG47" ca="1" si="34">V47</f>
        <v>0</v>
      </c>
      <c r="X47" s="120">
        <f t="shared" ca="1" si="34"/>
        <v>0</v>
      </c>
      <c r="Y47" s="120">
        <f t="shared" ca="1" si="34"/>
        <v>0</v>
      </c>
      <c r="Z47" s="120">
        <f t="shared" ca="1" si="34"/>
        <v>0</v>
      </c>
      <c r="AA47" s="120">
        <f t="shared" ca="1" si="34"/>
        <v>0</v>
      </c>
      <c r="AB47" s="120">
        <f t="shared" ca="1" si="34"/>
        <v>0</v>
      </c>
      <c r="AC47" s="120">
        <f t="shared" ca="1" si="34"/>
        <v>0</v>
      </c>
      <c r="AD47" s="120">
        <f t="shared" ca="1" si="34"/>
        <v>0</v>
      </c>
      <c r="AE47" s="120">
        <f t="shared" ca="1" si="34"/>
        <v>0</v>
      </c>
      <c r="AF47" s="120">
        <f t="shared" ca="1" si="34"/>
        <v>0</v>
      </c>
      <c r="AG47" s="120">
        <f t="shared" ca="1" si="34"/>
        <v>0</v>
      </c>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c r="BK47" s="120"/>
    </row>
    <row r="48" spans="1:63" ht="15.75" customHeight="1" x14ac:dyDescent="0.2">
      <c r="A48" s="284">
        <f t="shared" si="16"/>
        <v>44228</v>
      </c>
      <c r="B48" s="120"/>
      <c r="C48" s="120"/>
      <c r="D48" s="120"/>
      <c r="E48" s="120"/>
      <c r="F48" s="120"/>
      <c r="G48" s="120"/>
      <c r="H48" s="120"/>
      <c r="I48" s="120"/>
      <c r="J48" s="120"/>
      <c r="K48" s="120"/>
      <c r="L48" s="120"/>
      <c r="M48" s="120"/>
      <c r="N48" s="120"/>
      <c r="O48" s="120"/>
      <c r="P48" s="120"/>
      <c r="Q48" s="120"/>
      <c r="R48" s="120"/>
      <c r="S48" s="120"/>
      <c r="T48" s="120"/>
      <c r="U48" s="120"/>
      <c r="V48" s="120"/>
      <c r="W48" s="120">
        <f ca="1">SUM(W$17)/12</f>
        <v>0</v>
      </c>
      <c r="X48" s="120">
        <f t="shared" ref="X48:AH48" ca="1" si="35">W48</f>
        <v>0</v>
      </c>
      <c r="Y48" s="120">
        <f t="shared" ca="1" si="35"/>
        <v>0</v>
      </c>
      <c r="Z48" s="120">
        <f t="shared" ca="1" si="35"/>
        <v>0</v>
      </c>
      <c r="AA48" s="120">
        <f t="shared" ca="1" si="35"/>
        <v>0</v>
      </c>
      <c r="AB48" s="120">
        <f t="shared" ca="1" si="35"/>
        <v>0</v>
      </c>
      <c r="AC48" s="120">
        <f t="shared" ca="1" si="35"/>
        <v>0</v>
      </c>
      <c r="AD48" s="120">
        <f t="shared" ca="1" si="35"/>
        <v>0</v>
      </c>
      <c r="AE48" s="120">
        <f t="shared" ca="1" si="35"/>
        <v>0</v>
      </c>
      <c r="AF48" s="120">
        <f t="shared" ca="1" si="35"/>
        <v>0</v>
      </c>
      <c r="AG48" s="120">
        <f t="shared" ca="1" si="35"/>
        <v>0</v>
      </c>
      <c r="AH48" s="120">
        <f t="shared" ca="1" si="35"/>
        <v>0</v>
      </c>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row>
    <row r="49" spans="1:63" ht="15.75" customHeight="1" x14ac:dyDescent="0.2">
      <c r="A49" s="284">
        <f t="shared" si="16"/>
        <v>44256</v>
      </c>
      <c r="B49" s="120"/>
      <c r="C49" s="120"/>
      <c r="D49" s="120"/>
      <c r="E49" s="120"/>
      <c r="F49" s="120"/>
      <c r="G49" s="120"/>
      <c r="H49" s="120"/>
      <c r="I49" s="120"/>
      <c r="J49" s="120"/>
      <c r="K49" s="120"/>
      <c r="L49" s="120"/>
      <c r="M49" s="120"/>
      <c r="N49" s="120"/>
      <c r="O49" s="120"/>
      <c r="P49" s="120"/>
      <c r="Q49" s="120"/>
      <c r="R49" s="120"/>
      <c r="S49" s="120"/>
      <c r="T49" s="120"/>
      <c r="U49" s="120"/>
      <c r="V49" s="120"/>
      <c r="W49" s="120"/>
      <c r="X49" s="120">
        <f ca="1">SUM(X$17)/12</f>
        <v>0</v>
      </c>
      <c r="Y49" s="120">
        <f t="shared" ref="Y49:AI49" ca="1" si="36">X49</f>
        <v>0</v>
      </c>
      <c r="Z49" s="120">
        <f t="shared" ca="1" si="36"/>
        <v>0</v>
      </c>
      <c r="AA49" s="120">
        <f t="shared" ca="1" si="36"/>
        <v>0</v>
      </c>
      <c r="AB49" s="120">
        <f t="shared" ca="1" si="36"/>
        <v>0</v>
      </c>
      <c r="AC49" s="120">
        <f t="shared" ca="1" si="36"/>
        <v>0</v>
      </c>
      <c r="AD49" s="120">
        <f t="shared" ca="1" si="36"/>
        <v>0</v>
      </c>
      <c r="AE49" s="120">
        <f t="shared" ca="1" si="36"/>
        <v>0</v>
      </c>
      <c r="AF49" s="120">
        <f t="shared" ca="1" si="36"/>
        <v>0</v>
      </c>
      <c r="AG49" s="120">
        <f t="shared" ca="1" si="36"/>
        <v>0</v>
      </c>
      <c r="AH49" s="120">
        <f t="shared" ca="1" si="36"/>
        <v>0</v>
      </c>
      <c r="AI49" s="120">
        <f t="shared" ca="1" si="36"/>
        <v>0</v>
      </c>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row>
    <row r="50" spans="1:63" ht="15.75" customHeight="1" x14ac:dyDescent="0.2">
      <c r="A50" s="284">
        <f t="shared" si="16"/>
        <v>44287</v>
      </c>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f ca="1">SUM(Y$17)/12</f>
        <v>0</v>
      </c>
      <c r="Z50" s="120">
        <f t="shared" ref="Z50:AJ50" ca="1" si="37">Y50</f>
        <v>0</v>
      </c>
      <c r="AA50" s="120">
        <f t="shared" ca="1" si="37"/>
        <v>0</v>
      </c>
      <c r="AB50" s="120">
        <f t="shared" ca="1" si="37"/>
        <v>0</v>
      </c>
      <c r="AC50" s="120">
        <f t="shared" ca="1" si="37"/>
        <v>0</v>
      </c>
      <c r="AD50" s="120">
        <f t="shared" ca="1" si="37"/>
        <v>0</v>
      </c>
      <c r="AE50" s="120">
        <f t="shared" ca="1" si="37"/>
        <v>0</v>
      </c>
      <c r="AF50" s="120">
        <f t="shared" ca="1" si="37"/>
        <v>0</v>
      </c>
      <c r="AG50" s="120">
        <f t="shared" ca="1" si="37"/>
        <v>0</v>
      </c>
      <c r="AH50" s="120">
        <f t="shared" ca="1" si="37"/>
        <v>0</v>
      </c>
      <c r="AI50" s="120">
        <f t="shared" ca="1" si="37"/>
        <v>0</v>
      </c>
      <c r="AJ50" s="120">
        <f t="shared" ca="1" si="37"/>
        <v>0</v>
      </c>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row>
    <row r="51" spans="1:63" ht="15.75" customHeight="1" x14ac:dyDescent="0.2">
      <c r="A51" s="284">
        <f t="shared" si="16"/>
        <v>44317</v>
      </c>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f ca="1">SUM(Z$17)/12</f>
        <v>0</v>
      </c>
      <c r="AA51" s="120">
        <f t="shared" ref="AA51:AK51" ca="1" si="38">Z51</f>
        <v>0</v>
      </c>
      <c r="AB51" s="120">
        <f t="shared" ca="1" si="38"/>
        <v>0</v>
      </c>
      <c r="AC51" s="120">
        <f t="shared" ca="1" si="38"/>
        <v>0</v>
      </c>
      <c r="AD51" s="120">
        <f t="shared" ca="1" si="38"/>
        <v>0</v>
      </c>
      <c r="AE51" s="120">
        <f t="shared" ca="1" si="38"/>
        <v>0</v>
      </c>
      <c r="AF51" s="120">
        <f t="shared" ca="1" si="38"/>
        <v>0</v>
      </c>
      <c r="AG51" s="120">
        <f t="shared" ca="1" si="38"/>
        <v>0</v>
      </c>
      <c r="AH51" s="120">
        <f t="shared" ca="1" si="38"/>
        <v>0</v>
      </c>
      <c r="AI51" s="120">
        <f t="shared" ca="1" si="38"/>
        <v>0</v>
      </c>
      <c r="AJ51" s="120">
        <f t="shared" ca="1" si="38"/>
        <v>0</v>
      </c>
      <c r="AK51" s="120">
        <f t="shared" ca="1" si="38"/>
        <v>0</v>
      </c>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row>
    <row r="52" spans="1:63" ht="15.75" customHeight="1" x14ac:dyDescent="0.2">
      <c r="A52" s="284">
        <f t="shared" si="16"/>
        <v>44348</v>
      </c>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f ca="1">SUM(AA$17)/12</f>
        <v>0</v>
      </c>
      <c r="AB52" s="120">
        <f t="shared" ref="AB52:AL52" ca="1" si="39">AA52</f>
        <v>0</v>
      </c>
      <c r="AC52" s="120">
        <f t="shared" ca="1" si="39"/>
        <v>0</v>
      </c>
      <c r="AD52" s="120">
        <f t="shared" ca="1" si="39"/>
        <v>0</v>
      </c>
      <c r="AE52" s="120">
        <f t="shared" ca="1" si="39"/>
        <v>0</v>
      </c>
      <c r="AF52" s="120">
        <f t="shared" ca="1" si="39"/>
        <v>0</v>
      </c>
      <c r="AG52" s="120">
        <f t="shared" ca="1" si="39"/>
        <v>0</v>
      </c>
      <c r="AH52" s="120">
        <f t="shared" ca="1" si="39"/>
        <v>0</v>
      </c>
      <c r="AI52" s="120">
        <f t="shared" ca="1" si="39"/>
        <v>0</v>
      </c>
      <c r="AJ52" s="120">
        <f t="shared" ca="1" si="39"/>
        <v>0</v>
      </c>
      <c r="AK52" s="120">
        <f t="shared" ca="1" si="39"/>
        <v>0</v>
      </c>
      <c r="AL52" s="120">
        <f t="shared" ca="1" si="39"/>
        <v>0</v>
      </c>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c r="BK52" s="120"/>
    </row>
    <row r="53" spans="1:63" ht="15.75" customHeight="1" x14ac:dyDescent="0.2">
      <c r="A53" s="284">
        <f t="shared" si="16"/>
        <v>44378</v>
      </c>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f ca="1">SUM(AB$17)/12</f>
        <v>0</v>
      </c>
      <c r="AC53" s="120">
        <f t="shared" ref="AC53:AM53" ca="1" si="40">AB53</f>
        <v>0</v>
      </c>
      <c r="AD53" s="120">
        <f t="shared" ca="1" si="40"/>
        <v>0</v>
      </c>
      <c r="AE53" s="120">
        <f t="shared" ca="1" si="40"/>
        <v>0</v>
      </c>
      <c r="AF53" s="120">
        <f t="shared" ca="1" si="40"/>
        <v>0</v>
      </c>
      <c r="AG53" s="120">
        <f t="shared" ca="1" si="40"/>
        <v>0</v>
      </c>
      <c r="AH53" s="120">
        <f t="shared" ca="1" si="40"/>
        <v>0</v>
      </c>
      <c r="AI53" s="120">
        <f t="shared" ca="1" si="40"/>
        <v>0</v>
      </c>
      <c r="AJ53" s="120">
        <f t="shared" ca="1" si="40"/>
        <v>0</v>
      </c>
      <c r="AK53" s="120">
        <f t="shared" ca="1" si="40"/>
        <v>0</v>
      </c>
      <c r="AL53" s="120">
        <f t="shared" ca="1" si="40"/>
        <v>0</v>
      </c>
      <c r="AM53" s="120">
        <f t="shared" ca="1" si="40"/>
        <v>0</v>
      </c>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row>
    <row r="54" spans="1:63" ht="15.75" customHeight="1" x14ac:dyDescent="0.2">
      <c r="A54" s="284">
        <f t="shared" si="16"/>
        <v>44409</v>
      </c>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f ca="1">SUM(AC$17)/12</f>
        <v>0</v>
      </c>
      <c r="AD54" s="120">
        <f t="shared" ref="AD54:AN54" ca="1" si="41">AC54</f>
        <v>0</v>
      </c>
      <c r="AE54" s="120">
        <f t="shared" ca="1" si="41"/>
        <v>0</v>
      </c>
      <c r="AF54" s="120">
        <f t="shared" ca="1" si="41"/>
        <v>0</v>
      </c>
      <c r="AG54" s="120">
        <f t="shared" ca="1" si="41"/>
        <v>0</v>
      </c>
      <c r="AH54" s="120">
        <f t="shared" ca="1" si="41"/>
        <v>0</v>
      </c>
      <c r="AI54" s="120">
        <f t="shared" ca="1" si="41"/>
        <v>0</v>
      </c>
      <c r="AJ54" s="120">
        <f t="shared" ca="1" si="41"/>
        <v>0</v>
      </c>
      <c r="AK54" s="120">
        <f t="shared" ca="1" si="41"/>
        <v>0</v>
      </c>
      <c r="AL54" s="120">
        <f t="shared" ca="1" si="41"/>
        <v>0</v>
      </c>
      <c r="AM54" s="120">
        <f t="shared" ca="1" si="41"/>
        <v>0</v>
      </c>
      <c r="AN54" s="120">
        <f t="shared" ca="1" si="41"/>
        <v>0</v>
      </c>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c r="BK54" s="120"/>
    </row>
    <row r="55" spans="1:63" ht="12.75" x14ac:dyDescent="0.2">
      <c r="A55" s="284">
        <f t="shared" si="16"/>
        <v>44440</v>
      </c>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f ca="1">SUM(AD$17)/12</f>
        <v>0</v>
      </c>
      <c r="AE55" s="120">
        <f t="shared" ref="AE55:AO55" ca="1" si="42">AD55</f>
        <v>0</v>
      </c>
      <c r="AF55" s="120">
        <f t="shared" ca="1" si="42"/>
        <v>0</v>
      </c>
      <c r="AG55" s="120">
        <f t="shared" ca="1" si="42"/>
        <v>0</v>
      </c>
      <c r="AH55" s="120">
        <f t="shared" ca="1" si="42"/>
        <v>0</v>
      </c>
      <c r="AI55" s="120">
        <f t="shared" ca="1" si="42"/>
        <v>0</v>
      </c>
      <c r="AJ55" s="120">
        <f t="shared" ca="1" si="42"/>
        <v>0</v>
      </c>
      <c r="AK55" s="120">
        <f t="shared" ca="1" si="42"/>
        <v>0</v>
      </c>
      <c r="AL55" s="120">
        <f t="shared" ca="1" si="42"/>
        <v>0</v>
      </c>
      <c r="AM55" s="120">
        <f t="shared" ca="1" si="42"/>
        <v>0</v>
      </c>
      <c r="AN55" s="120">
        <f t="shared" ca="1" si="42"/>
        <v>0</v>
      </c>
      <c r="AO55" s="120">
        <f t="shared" ca="1" si="42"/>
        <v>0</v>
      </c>
      <c r="AP55" s="120"/>
      <c r="AQ55" s="120"/>
      <c r="AR55" s="120"/>
      <c r="AS55" s="120"/>
      <c r="AT55" s="120"/>
      <c r="AU55" s="120"/>
      <c r="AV55" s="120"/>
      <c r="AW55" s="120"/>
      <c r="AX55" s="120"/>
      <c r="AY55" s="120"/>
      <c r="AZ55" s="120"/>
      <c r="BA55" s="120"/>
      <c r="BB55" s="120"/>
      <c r="BC55" s="120"/>
      <c r="BD55" s="120"/>
      <c r="BE55" s="120"/>
      <c r="BF55" s="120"/>
      <c r="BG55" s="120"/>
      <c r="BH55" s="120"/>
      <c r="BI55" s="120"/>
      <c r="BJ55" s="120"/>
      <c r="BK55" s="120"/>
    </row>
    <row r="56" spans="1:63" ht="12.75" x14ac:dyDescent="0.2">
      <c r="A56" s="284">
        <f t="shared" si="16"/>
        <v>44470</v>
      </c>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f ca="1">SUM(AE$17)/12</f>
        <v>0</v>
      </c>
      <c r="AF56" s="120">
        <f t="shared" ref="AF56:AP56" ca="1" si="43">AE56</f>
        <v>0</v>
      </c>
      <c r="AG56" s="120">
        <f t="shared" ca="1" si="43"/>
        <v>0</v>
      </c>
      <c r="AH56" s="120">
        <f t="shared" ca="1" si="43"/>
        <v>0</v>
      </c>
      <c r="AI56" s="120">
        <f t="shared" ca="1" si="43"/>
        <v>0</v>
      </c>
      <c r="AJ56" s="120">
        <f t="shared" ca="1" si="43"/>
        <v>0</v>
      </c>
      <c r="AK56" s="120">
        <f t="shared" ca="1" si="43"/>
        <v>0</v>
      </c>
      <c r="AL56" s="120">
        <f t="shared" ca="1" si="43"/>
        <v>0</v>
      </c>
      <c r="AM56" s="120">
        <f t="shared" ca="1" si="43"/>
        <v>0</v>
      </c>
      <c r="AN56" s="120">
        <f t="shared" ca="1" si="43"/>
        <v>0</v>
      </c>
      <c r="AO56" s="120">
        <f t="shared" ca="1" si="43"/>
        <v>0</v>
      </c>
      <c r="AP56" s="120">
        <f t="shared" ca="1" si="43"/>
        <v>0</v>
      </c>
      <c r="AQ56" s="120"/>
      <c r="AR56" s="120"/>
      <c r="AS56" s="120"/>
      <c r="AT56" s="120"/>
      <c r="AU56" s="120"/>
      <c r="AV56" s="120"/>
      <c r="AW56" s="120"/>
      <c r="AX56" s="120"/>
      <c r="AY56" s="120"/>
      <c r="AZ56" s="120"/>
      <c r="BA56" s="120"/>
      <c r="BB56" s="120"/>
      <c r="BC56" s="120"/>
      <c r="BD56" s="120"/>
      <c r="BE56" s="120"/>
      <c r="BF56" s="120"/>
      <c r="BG56" s="120"/>
      <c r="BH56" s="120"/>
      <c r="BI56" s="120"/>
      <c r="BJ56" s="120"/>
      <c r="BK56" s="120"/>
    </row>
    <row r="57" spans="1:63" ht="12.75" x14ac:dyDescent="0.2">
      <c r="A57" s="284">
        <f t="shared" si="16"/>
        <v>44501</v>
      </c>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f ca="1">SUM(AF$17)/12</f>
        <v>0</v>
      </c>
      <c r="AG57" s="120">
        <f t="shared" ref="AG57:AQ57" ca="1" si="44">AF57</f>
        <v>0</v>
      </c>
      <c r="AH57" s="120">
        <f t="shared" ca="1" si="44"/>
        <v>0</v>
      </c>
      <c r="AI57" s="120">
        <f t="shared" ca="1" si="44"/>
        <v>0</v>
      </c>
      <c r="AJ57" s="120">
        <f t="shared" ca="1" si="44"/>
        <v>0</v>
      </c>
      <c r="AK57" s="120">
        <f t="shared" ca="1" si="44"/>
        <v>0</v>
      </c>
      <c r="AL57" s="120">
        <f t="shared" ca="1" si="44"/>
        <v>0</v>
      </c>
      <c r="AM57" s="120">
        <f t="shared" ca="1" si="44"/>
        <v>0</v>
      </c>
      <c r="AN57" s="120">
        <f t="shared" ca="1" si="44"/>
        <v>0</v>
      </c>
      <c r="AO57" s="120">
        <f t="shared" ca="1" si="44"/>
        <v>0</v>
      </c>
      <c r="AP57" s="120">
        <f t="shared" ca="1" si="44"/>
        <v>0</v>
      </c>
      <c r="AQ57" s="120">
        <f t="shared" ca="1" si="44"/>
        <v>0</v>
      </c>
      <c r="AR57" s="120"/>
      <c r="AS57" s="120"/>
      <c r="AT57" s="120"/>
      <c r="AU57" s="120"/>
      <c r="AV57" s="120"/>
      <c r="AW57" s="120"/>
      <c r="AX57" s="120"/>
      <c r="AY57" s="120"/>
      <c r="AZ57" s="120"/>
      <c r="BA57" s="120"/>
      <c r="BB57" s="120"/>
      <c r="BC57" s="120"/>
      <c r="BD57" s="120"/>
      <c r="BE57" s="120"/>
      <c r="BF57" s="120"/>
      <c r="BG57" s="120"/>
      <c r="BH57" s="120"/>
      <c r="BI57" s="120"/>
      <c r="BJ57" s="120"/>
      <c r="BK57" s="120"/>
    </row>
    <row r="58" spans="1:63" ht="12.75" x14ac:dyDescent="0.2">
      <c r="A58" s="284">
        <f t="shared" si="16"/>
        <v>44531</v>
      </c>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f ca="1">SUM(AG$17)/12</f>
        <v>0</v>
      </c>
      <c r="AH58" s="120">
        <f t="shared" ref="AH58:AR58" ca="1" si="45">AG58</f>
        <v>0</v>
      </c>
      <c r="AI58" s="120">
        <f t="shared" ca="1" si="45"/>
        <v>0</v>
      </c>
      <c r="AJ58" s="120">
        <f t="shared" ca="1" si="45"/>
        <v>0</v>
      </c>
      <c r="AK58" s="120">
        <f t="shared" ca="1" si="45"/>
        <v>0</v>
      </c>
      <c r="AL58" s="120">
        <f t="shared" ca="1" si="45"/>
        <v>0</v>
      </c>
      <c r="AM58" s="120">
        <f t="shared" ca="1" si="45"/>
        <v>0</v>
      </c>
      <c r="AN58" s="120">
        <f t="shared" ca="1" si="45"/>
        <v>0</v>
      </c>
      <c r="AO58" s="120">
        <f t="shared" ca="1" si="45"/>
        <v>0</v>
      </c>
      <c r="AP58" s="120">
        <f t="shared" ca="1" si="45"/>
        <v>0</v>
      </c>
      <c r="AQ58" s="120">
        <f t="shared" ca="1" si="45"/>
        <v>0</v>
      </c>
      <c r="AR58" s="120">
        <f t="shared" ca="1" si="45"/>
        <v>0</v>
      </c>
      <c r="AS58" s="120"/>
      <c r="AT58" s="120"/>
      <c r="AU58" s="120"/>
      <c r="AV58" s="120"/>
      <c r="AW58" s="120"/>
      <c r="AX58" s="120"/>
      <c r="AY58" s="120"/>
      <c r="AZ58" s="120"/>
      <c r="BA58" s="120"/>
      <c r="BB58" s="120"/>
      <c r="BC58" s="120"/>
      <c r="BD58" s="120"/>
      <c r="BE58" s="120"/>
      <c r="BF58" s="120"/>
      <c r="BG58" s="120"/>
      <c r="BH58" s="120"/>
      <c r="BI58" s="120"/>
      <c r="BJ58" s="120"/>
      <c r="BK58" s="120"/>
    </row>
    <row r="59" spans="1:63" ht="12.75" x14ac:dyDescent="0.2">
      <c r="A59" s="284">
        <f t="shared" si="16"/>
        <v>44562</v>
      </c>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f ca="1">SUM(AH$17)/12</f>
        <v>0</v>
      </c>
      <c r="AI59" s="120">
        <f t="shared" ref="AI59:AS59" ca="1" si="46">AH59</f>
        <v>0</v>
      </c>
      <c r="AJ59" s="120">
        <f t="shared" ca="1" si="46"/>
        <v>0</v>
      </c>
      <c r="AK59" s="120">
        <f t="shared" ca="1" si="46"/>
        <v>0</v>
      </c>
      <c r="AL59" s="120">
        <f t="shared" ca="1" si="46"/>
        <v>0</v>
      </c>
      <c r="AM59" s="120">
        <f t="shared" ca="1" si="46"/>
        <v>0</v>
      </c>
      <c r="AN59" s="120">
        <f t="shared" ca="1" si="46"/>
        <v>0</v>
      </c>
      <c r="AO59" s="120">
        <f t="shared" ca="1" si="46"/>
        <v>0</v>
      </c>
      <c r="AP59" s="120">
        <f t="shared" ca="1" si="46"/>
        <v>0</v>
      </c>
      <c r="AQ59" s="120">
        <f t="shared" ca="1" si="46"/>
        <v>0</v>
      </c>
      <c r="AR59" s="120">
        <f t="shared" ca="1" si="46"/>
        <v>0</v>
      </c>
      <c r="AS59" s="120">
        <f t="shared" ca="1" si="46"/>
        <v>0</v>
      </c>
      <c r="AT59" s="120"/>
      <c r="AU59" s="120"/>
      <c r="AV59" s="120"/>
      <c r="AW59" s="120"/>
      <c r="AX59" s="120"/>
      <c r="AY59" s="120"/>
      <c r="AZ59" s="120"/>
      <c r="BA59" s="120"/>
      <c r="BB59" s="120"/>
      <c r="BC59" s="120"/>
      <c r="BD59" s="120"/>
      <c r="BE59" s="120"/>
      <c r="BF59" s="120"/>
      <c r="BG59" s="120"/>
      <c r="BH59" s="120"/>
      <c r="BI59" s="120"/>
      <c r="BJ59" s="120"/>
      <c r="BK59" s="120"/>
    </row>
    <row r="60" spans="1:63" ht="12.75" x14ac:dyDescent="0.2">
      <c r="A60" s="284">
        <f t="shared" si="16"/>
        <v>44593</v>
      </c>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f ca="1">SUM(AI$17)/12</f>
        <v>0</v>
      </c>
      <c r="AJ60" s="120">
        <f t="shared" ref="AJ60:AT60" ca="1" si="47">AI60</f>
        <v>0</v>
      </c>
      <c r="AK60" s="120">
        <f t="shared" ca="1" si="47"/>
        <v>0</v>
      </c>
      <c r="AL60" s="120">
        <f t="shared" ca="1" si="47"/>
        <v>0</v>
      </c>
      <c r="AM60" s="120">
        <f t="shared" ca="1" si="47"/>
        <v>0</v>
      </c>
      <c r="AN60" s="120">
        <f t="shared" ca="1" si="47"/>
        <v>0</v>
      </c>
      <c r="AO60" s="120">
        <f t="shared" ca="1" si="47"/>
        <v>0</v>
      </c>
      <c r="AP60" s="120">
        <f t="shared" ca="1" si="47"/>
        <v>0</v>
      </c>
      <c r="AQ60" s="120">
        <f t="shared" ca="1" si="47"/>
        <v>0</v>
      </c>
      <c r="AR60" s="120">
        <f t="shared" ca="1" si="47"/>
        <v>0</v>
      </c>
      <c r="AS60" s="120">
        <f t="shared" ca="1" si="47"/>
        <v>0</v>
      </c>
      <c r="AT60" s="120">
        <f t="shared" ca="1" si="47"/>
        <v>0</v>
      </c>
      <c r="AU60" s="120"/>
      <c r="AV60" s="120"/>
      <c r="AW60" s="120"/>
      <c r="AX60" s="120"/>
      <c r="AY60" s="120"/>
      <c r="AZ60" s="120"/>
      <c r="BA60" s="120"/>
      <c r="BB60" s="120"/>
      <c r="BC60" s="120"/>
      <c r="BD60" s="120"/>
      <c r="BE60" s="120"/>
      <c r="BF60" s="120"/>
      <c r="BG60" s="120"/>
      <c r="BH60" s="120"/>
      <c r="BI60" s="120"/>
      <c r="BJ60" s="120"/>
      <c r="BK60" s="120"/>
    </row>
    <row r="61" spans="1:63" ht="12.75" x14ac:dyDescent="0.2">
      <c r="A61" s="284">
        <f t="shared" si="16"/>
        <v>44621</v>
      </c>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f ca="1">SUM(AJ$17)/12</f>
        <v>0</v>
      </c>
      <c r="AK61" s="120">
        <f t="shared" ref="AK61:AU61" ca="1" si="48">AJ61</f>
        <v>0</v>
      </c>
      <c r="AL61" s="120">
        <f t="shared" ca="1" si="48"/>
        <v>0</v>
      </c>
      <c r="AM61" s="120">
        <f t="shared" ca="1" si="48"/>
        <v>0</v>
      </c>
      <c r="AN61" s="120">
        <f t="shared" ca="1" si="48"/>
        <v>0</v>
      </c>
      <c r="AO61" s="120">
        <f t="shared" ca="1" si="48"/>
        <v>0</v>
      </c>
      <c r="AP61" s="120">
        <f t="shared" ca="1" si="48"/>
        <v>0</v>
      </c>
      <c r="AQ61" s="120">
        <f t="shared" ca="1" si="48"/>
        <v>0</v>
      </c>
      <c r="AR61" s="120">
        <f t="shared" ca="1" si="48"/>
        <v>0</v>
      </c>
      <c r="AS61" s="120">
        <f t="shared" ca="1" si="48"/>
        <v>0</v>
      </c>
      <c r="AT61" s="120">
        <f t="shared" ca="1" si="48"/>
        <v>0</v>
      </c>
      <c r="AU61" s="120">
        <f t="shared" ca="1" si="48"/>
        <v>0</v>
      </c>
      <c r="AV61" s="120"/>
      <c r="AW61" s="120"/>
      <c r="AX61" s="120"/>
      <c r="AY61" s="120"/>
      <c r="AZ61" s="120"/>
      <c r="BA61" s="120"/>
      <c r="BB61" s="120"/>
      <c r="BC61" s="120"/>
      <c r="BD61" s="120"/>
      <c r="BE61" s="120"/>
      <c r="BF61" s="120"/>
      <c r="BG61" s="120"/>
      <c r="BH61" s="120"/>
      <c r="BI61" s="120"/>
      <c r="BJ61" s="120"/>
      <c r="BK61" s="120"/>
    </row>
    <row r="62" spans="1:63" ht="12.75" x14ac:dyDescent="0.2">
      <c r="A62" s="284">
        <f t="shared" si="16"/>
        <v>44652</v>
      </c>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f ca="1">SUM(AK$17)/12</f>
        <v>0</v>
      </c>
      <c r="AL62" s="120">
        <f t="shared" ref="AL62:AV62" ca="1" si="49">AK62</f>
        <v>0</v>
      </c>
      <c r="AM62" s="120">
        <f t="shared" ca="1" si="49"/>
        <v>0</v>
      </c>
      <c r="AN62" s="120">
        <f t="shared" ca="1" si="49"/>
        <v>0</v>
      </c>
      <c r="AO62" s="120">
        <f t="shared" ca="1" si="49"/>
        <v>0</v>
      </c>
      <c r="AP62" s="120">
        <f t="shared" ca="1" si="49"/>
        <v>0</v>
      </c>
      <c r="AQ62" s="120">
        <f t="shared" ca="1" si="49"/>
        <v>0</v>
      </c>
      <c r="AR62" s="120">
        <f t="shared" ca="1" si="49"/>
        <v>0</v>
      </c>
      <c r="AS62" s="120">
        <f t="shared" ca="1" si="49"/>
        <v>0</v>
      </c>
      <c r="AT62" s="120">
        <f t="shared" ca="1" si="49"/>
        <v>0</v>
      </c>
      <c r="AU62" s="120">
        <f t="shared" ca="1" si="49"/>
        <v>0</v>
      </c>
      <c r="AV62" s="120">
        <f t="shared" ca="1" si="49"/>
        <v>0</v>
      </c>
      <c r="AW62" s="120"/>
      <c r="AX62" s="120"/>
      <c r="AY62" s="120"/>
      <c r="AZ62" s="120"/>
      <c r="BA62" s="120"/>
      <c r="BB62" s="120"/>
      <c r="BC62" s="120"/>
      <c r="BD62" s="120"/>
      <c r="BE62" s="120"/>
      <c r="BF62" s="120"/>
      <c r="BG62" s="120"/>
      <c r="BH62" s="120"/>
      <c r="BI62" s="120"/>
      <c r="BJ62" s="120"/>
      <c r="BK62" s="120"/>
    </row>
    <row r="63" spans="1:63" ht="12.75" x14ac:dyDescent="0.2">
      <c r="A63" s="284">
        <f t="shared" si="16"/>
        <v>44682</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f ca="1">SUM(AL$17)/12</f>
        <v>0</v>
      </c>
      <c r="AM63" s="120">
        <f t="shared" ref="AM63:AW63" ca="1" si="50">AL63</f>
        <v>0</v>
      </c>
      <c r="AN63" s="120">
        <f t="shared" ca="1" si="50"/>
        <v>0</v>
      </c>
      <c r="AO63" s="120">
        <f t="shared" ca="1" si="50"/>
        <v>0</v>
      </c>
      <c r="AP63" s="120">
        <f t="shared" ca="1" si="50"/>
        <v>0</v>
      </c>
      <c r="AQ63" s="120">
        <f t="shared" ca="1" si="50"/>
        <v>0</v>
      </c>
      <c r="AR63" s="120">
        <f t="shared" ca="1" si="50"/>
        <v>0</v>
      </c>
      <c r="AS63" s="120">
        <f t="shared" ca="1" si="50"/>
        <v>0</v>
      </c>
      <c r="AT63" s="120">
        <f t="shared" ca="1" si="50"/>
        <v>0</v>
      </c>
      <c r="AU63" s="120">
        <f t="shared" ca="1" si="50"/>
        <v>0</v>
      </c>
      <c r="AV63" s="120">
        <f t="shared" ca="1" si="50"/>
        <v>0</v>
      </c>
      <c r="AW63" s="120">
        <f t="shared" ca="1" si="50"/>
        <v>0</v>
      </c>
      <c r="AX63" s="120"/>
      <c r="AY63" s="120"/>
      <c r="AZ63" s="120"/>
      <c r="BA63" s="120"/>
      <c r="BB63" s="120"/>
      <c r="BC63" s="120"/>
      <c r="BD63" s="120"/>
      <c r="BE63" s="120"/>
      <c r="BF63" s="120"/>
      <c r="BG63" s="120"/>
      <c r="BH63" s="120"/>
      <c r="BI63" s="120"/>
      <c r="BJ63" s="120"/>
      <c r="BK63" s="120"/>
    </row>
    <row r="64" spans="1:63" ht="12.75" x14ac:dyDescent="0.2">
      <c r="A64" s="284">
        <f t="shared" si="16"/>
        <v>44713</v>
      </c>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f ca="1">SUM(AM$17)/12</f>
        <v>0</v>
      </c>
      <c r="AN64" s="120">
        <f t="shared" ref="AN64:AX64" ca="1" si="51">AM64</f>
        <v>0</v>
      </c>
      <c r="AO64" s="120">
        <f t="shared" ca="1" si="51"/>
        <v>0</v>
      </c>
      <c r="AP64" s="120">
        <f t="shared" ca="1" si="51"/>
        <v>0</v>
      </c>
      <c r="AQ64" s="120">
        <f t="shared" ca="1" si="51"/>
        <v>0</v>
      </c>
      <c r="AR64" s="120">
        <f t="shared" ca="1" si="51"/>
        <v>0</v>
      </c>
      <c r="AS64" s="120">
        <f t="shared" ca="1" si="51"/>
        <v>0</v>
      </c>
      <c r="AT64" s="120">
        <f t="shared" ca="1" si="51"/>
        <v>0</v>
      </c>
      <c r="AU64" s="120">
        <f t="shared" ca="1" si="51"/>
        <v>0</v>
      </c>
      <c r="AV64" s="120">
        <f t="shared" ca="1" si="51"/>
        <v>0</v>
      </c>
      <c r="AW64" s="120">
        <f t="shared" ca="1" si="51"/>
        <v>0</v>
      </c>
      <c r="AX64" s="120">
        <f t="shared" ca="1" si="51"/>
        <v>0</v>
      </c>
      <c r="AY64" s="120"/>
      <c r="AZ64" s="120"/>
      <c r="BA64" s="120"/>
      <c r="BB64" s="120"/>
      <c r="BC64" s="120"/>
      <c r="BD64" s="120"/>
      <c r="BE64" s="120"/>
      <c r="BF64" s="120"/>
      <c r="BG64" s="120"/>
      <c r="BH64" s="120"/>
      <c r="BI64" s="120"/>
      <c r="BJ64" s="120"/>
      <c r="BK64" s="120"/>
    </row>
    <row r="65" spans="1:63" ht="12.75" x14ac:dyDescent="0.2">
      <c r="A65" s="284">
        <f t="shared" si="16"/>
        <v>44743</v>
      </c>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f ca="1">SUM(AN$17)/12</f>
        <v>0</v>
      </c>
      <c r="AO65" s="120">
        <f t="shared" ref="AO65:AY65" ca="1" si="52">AN65</f>
        <v>0</v>
      </c>
      <c r="AP65" s="120">
        <f t="shared" ca="1" si="52"/>
        <v>0</v>
      </c>
      <c r="AQ65" s="120">
        <f t="shared" ca="1" si="52"/>
        <v>0</v>
      </c>
      <c r="AR65" s="120">
        <f t="shared" ca="1" si="52"/>
        <v>0</v>
      </c>
      <c r="AS65" s="120">
        <f t="shared" ca="1" si="52"/>
        <v>0</v>
      </c>
      <c r="AT65" s="120">
        <f t="shared" ca="1" si="52"/>
        <v>0</v>
      </c>
      <c r="AU65" s="120">
        <f t="shared" ca="1" si="52"/>
        <v>0</v>
      </c>
      <c r="AV65" s="120">
        <f t="shared" ca="1" si="52"/>
        <v>0</v>
      </c>
      <c r="AW65" s="120">
        <f t="shared" ca="1" si="52"/>
        <v>0</v>
      </c>
      <c r="AX65" s="120">
        <f t="shared" ca="1" si="52"/>
        <v>0</v>
      </c>
      <c r="AY65" s="120">
        <f t="shared" ca="1" si="52"/>
        <v>0</v>
      </c>
      <c r="AZ65" s="120"/>
      <c r="BA65" s="120"/>
      <c r="BB65" s="120"/>
      <c r="BC65" s="120"/>
      <c r="BD65" s="120"/>
      <c r="BE65" s="120"/>
      <c r="BF65" s="120"/>
      <c r="BG65" s="120"/>
      <c r="BH65" s="120"/>
      <c r="BI65" s="120"/>
      <c r="BJ65" s="120"/>
      <c r="BK65" s="120"/>
    </row>
    <row r="66" spans="1:63" ht="12.75" x14ac:dyDescent="0.2">
      <c r="A66" s="284">
        <f t="shared" si="16"/>
        <v>44774</v>
      </c>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f ca="1">SUM(AO$17)/12</f>
        <v>0</v>
      </c>
      <c r="AP66" s="120">
        <f t="shared" ref="AP66:AZ66" ca="1" si="53">AO66</f>
        <v>0</v>
      </c>
      <c r="AQ66" s="120">
        <f t="shared" ca="1" si="53"/>
        <v>0</v>
      </c>
      <c r="AR66" s="120">
        <f t="shared" ca="1" si="53"/>
        <v>0</v>
      </c>
      <c r="AS66" s="120">
        <f t="shared" ca="1" si="53"/>
        <v>0</v>
      </c>
      <c r="AT66" s="120">
        <f t="shared" ca="1" si="53"/>
        <v>0</v>
      </c>
      <c r="AU66" s="120">
        <f t="shared" ca="1" si="53"/>
        <v>0</v>
      </c>
      <c r="AV66" s="120">
        <f t="shared" ca="1" si="53"/>
        <v>0</v>
      </c>
      <c r="AW66" s="120">
        <f t="shared" ca="1" si="53"/>
        <v>0</v>
      </c>
      <c r="AX66" s="120">
        <f t="shared" ca="1" si="53"/>
        <v>0</v>
      </c>
      <c r="AY66" s="120">
        <f t="shared" ca="1" si="53"/>
        <v>0</v>
      </c>
      <c r="AZ66" s="120">
        <f t="shared" ca="1" si="53"/>
        <v>0</v>
      </c>
      <c r="BA66" s="120"/>
      <c r="BB66" s="120"/>
      <c r="BC66" s="120"/>
      <c r="BD66" s="120"/>
      <c r="BE66" s="120"/>
      <c r="BF66" s="120"/>
      <c r="BG66" s="120"/>
      <c r="BH66" s="120"/>
      <c r="BI66" s="120"/>
      <c r="BJ66" s="120"/>
      <c r="BK66" s="120"/>
    </row>
    <row r="67" spans="1:63" ht="12.75" x14ac:dyDescent="0.2">
      <c r="A67" s="284">
        <f t="shared" si="16"/>
        <v>44805</v>
      </c>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f ca="1">SUM(AP$17)/12</f>
        <v>0</v>
      </c>
      <c r="AQ67" s="120">
        <f t="shared" ref="AQ67:BA67" ca="1" si="54">AP67</f>
        <v>0</v>
      </c>
      <c r="AR67" s="120">
        <f t="shared" ca="1" si="54"/>
        <v>0</v>
      </c>
      <c r="AS67" s="120">
        <f t="shared" ca="1" si="54"/>
        <v>0</v>
      </c>
      <c r="AT67" s="120">
        <f t="shared" ca="1" si="54"/>
        <v>0</v>
      </c>
      <c r="AU67" s="120">
        <f t="shared" ca="1" si="54"/>
        <v>0</v>
      </c>
      <c r="AV67" s="120">
        <f t="shared" ca="1" si="54"/>
        <v>0</v>
      </c>
      <c r="AW67" s="120">
        <f t="shared" ca="1" si="54"/>
        <v>0</v>
      </c>
      <c r="AX67" s="120">
        <f t="shared" ca="1" si="54"/>
        <v>0</v>
      </c>
      <c r="AY67" s="120">
        <f t="shared" ca="1" si="54"/>
        <v>0</v>
      </c>
      <c r="AZ67" s="120">
        <f t="shared" ca="1" si="54"/>
        <v>0</v>
      </c>
      <c r="BA67" s="120">
        <f t="shared" ca="1" si="54"/>
        <v>0</v>
      </c>
      <c r="BB67" s="120"/>
      <c r="BC67" s="120"/>
      <c r="BD67" s="120"/>
      <c r="BE67" s="120"/>
      <c r="BF67" s="120"/>
      <c r="BG67" s="120"/>
      <c r="BH67" s="120"/>
      <c r="BI67" s="120"/>
      <c r="BJ67" s="120"/>
      <c r="BK67" s="120"/>
    </row>
    <row r="68" spans="1:63" ht="12.75" x14ac:dyDescent="0.2">
      <c r="A68" s="284">
        <f t="shared" si="16"/>
        <v>44835</v>
      </c>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f ca="1">SUM(AQ$17)/12</f>
        <v>0</v>
      </c>
      <c r="AR68" s="120">
        <f t="shared" ref="AR68:BB68" ca="1" si="55">AQ68</f>
        <v>0</v>
      </c>
      <c r="AS68" s="120">
        <f t="shared" ca="1" si="55"/>
        <v>0</v>
      </c>
      <c r="AT68" s="120">
        <f t="shared" ca="1" si="55"/>
        <v>0</v>
      </c>
      <c r="AU68" s="120">
        <f t="shared" ca="1" si="55"/>
        <v>0</v>
      </c>
      <c r="AV68" s="120">
        <f t="shared" ca="1" si="55"/>
        <v>0</v>
      </c>
      <c r="AW68" s="120">
        <f t="shared" ca="1" si="55"/>
        <v>0</v>
      </c>
      <c r="AX68" s="120">
        <f t="shared" ca="1" si="55"/>
        <v>0</v>
      </c>
      <c r="AY68" s="120">
        <f t="shared" ca="1" si="55"/>
        <v>0</v>
      </c>
      <c r="AZ68" s="120">
        <f t="shared" ca="1" si="55"/>
        <v>0</v>
      </c>
      <c r="BA68" s="120">
        <f t="shared" ca="1" si="55"/>
        <v>0</v>
      </c>
      <c r="BB68" s="120">
        <f t="shared" ca="1" si="55"/>
        <v>0</v>
      </c>
      <c r="BC68" s="120"/>
      <c r="BD68" s="120"/>
      <c r="BE68" s="120"/>
      <c r="BF68" s="120"/>
      <c r="BG68" s="120"/>
      <c r="BH68" s="120"/>
      <c r="BI68" s="120"/>
      <c r="BJ68" s="120"/>
      <c r="BK68" s="120"/>
    </row>
    <row r="69" spans="1:63" ht="12.75" x14ac:dyDescent="0.2">
      <c r="A69" s="284">
        <f t="shared" si="16"/>
        <v>44866</v>
      </c>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f ca="1">SUM(AR$17)/12</f>
        <v>0</v>
      </c>
      <c r="AS69" s="120">
        <f t="shared" ref="AS69:BC69" ca="1" si="56">AR69</f>
        <v>0</v>
      </c>
      <c r="AT69" s="120">
        <f t="shared" ca="1" si="56"/>
        <v>0</v>
      </c>
      <c r="AU69" s="120">
        <f t="shared" ca="1" si="56"/>
        <v>0</v>
      </c>
      <c r="AV69" s="120">
        <f t="shared" ca="1" si="56"/>
        <v>0</v>
      </c>
      <c r="AW69" s="120">
        <f t="shared" ca="1" si="56"/>
        <v>0</v>
      </c>
      <c r="AX69" s="120">
        <f t="shared" ca="1" si="56"/>
        <v>0</v>
      </c>
      <c r="AY69" s="120">
        <f t="shared" ca="1" si="56"/>
        <v>0</v>
      </c>
      <c r="AZ69" s="120">
        <f t="shared" ca="1" si="56"/>
        <v>0</v>
      </c>
      <c r="BA69" s="120">
        <f t="shared" ca="1" si="56"/>
        <v>0</v>
      </c>
      <c r="BB69" s="120">
        <f t="shared" ca="1" si="56"/>
        <v>0</v>
      </c>
      <c r="BC69" s="120">
        <f t="shared" ca="1" si="56"/>
        <v>0</v>
      </c>
      <c r="BD69" s="120"/>
      <c r="BE69" s="120"/>
      <c r="BF69" s="120"/>
      <c r="BG69" s="120"/>
      <c r="BH69" s="120"/>
      <c r="BI69" s="120"/>
      <c r="BJ69" s="120"/>
      <c r="BK69" s="120"/>
    </row>
    <row r="70" spans="1:63" ht="12.75" x14ac:dyDescent="0.2">
      <c r="A70" s="284">
        <f t="shared" si="16"/>
        <v>44896</v>
      </c>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f ca="1">SUM(AS$17)/12</f>
        <v>0</v>
      </c>
      <c r="AT70" s="120">
        <f t="shared" ref="AT70:BD70" ca="1" si="57">AS70</f>
        <v>0</v>
      </c>
      <c r="AU70" s="120">
        <f t="shared" ca="1" si="57"/>
        <v>0</v>
      </c>
      <c r="AV70" s="120">
        <f t="shared" ca="1" si="57"/>
        <v>0</v>
      </c>
      <c r="AW70" s="120">
        <f t="shared" ca="1" si="57"/>
        <v>0</v>
      </c>
      <c r="AX70" s="120">
        <f t="shared" ca="1" si="57"/>
        <v>0</v>
      </c>
      <c r="AY70" s="120">
        <f t="shared" ca="1" si="57"/>
        <v>0</v>
      </c>
      <c r="AZ70" s="120">
        <f t="shared" ca="1" si="57"/>
        <v>0</v>
      </c>
      <c r="BA70" s="120">
        <f t="shared" ca="1" si="57"/>
        <v>0</v>
      </c>
      <c r="BB70" s="120">
        <f t="shared" ca="1" si="57"/>
        <v>0</v>
      </c>
      <c r="BC70" s="120">
        <f t="shared" ca="1" si="57"/>
        <v>0</v>
      </c>
      <c r="BD70" s="120">
        <f t="shared" ca="1" si="57"/>
        <v>0</v>
      </c>
      <c r="BE70" s="120"/>
      <c r="BF70" s="120"/>
      <c r="BG70" s="120"/>
      <c r="BH70" s="120"/>
      <c r="BI70" s="120"/>
      <c r="BJ70" s="120"/>
      <c r="BK70" s="120"/>
    </row>
    <row r="71" spans="1:63" ht="12.75" x14ac:dyDescent="0.2">
      <c r="A71" s="284">
        <f t="shared" si="16"/>
        <v>44927</v>
      </c>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f ca="1">SUM(AT$17)/12</f>
        <v>0</v>
      </c>
      <c r="AU71" s="120">
        <f t="shared" ref="AU71:BE71" ca="1" si="58">AT71</f>
        <v>0</v>
      </c>
      <c r="AV71" s="120">
        <f t="shared" ca="1" si="58"/>
        <v>0</v>
      </c>
      <c r="AW71" s="120">
        <f t="shared" ca="1" si="58"/>
        <v>0</v>
      </c>
      <c r="AX71" s="120">
        <f t="shared" ca="1" si="58"/>
        <v>0</v>
      </c>
      <c r="AY71" s="120">
        <f t="shared" ca="1" si="58"/>
        <v>0</v>
      </c>
      <c r="AZ71" s="120">
        <f t="shared" ca="1" si="58"/>
        <v>0</v>
      </c>
      <c r="BA71" s="120">
        <f t="shared" ca="1" si="58"/>
        <v>0</v>
      </c>
      <c r="BB71" s="120">
        <f t="shared" ca="1" si="58"/>
        <v>0</v>
      </c>
      <c r="BC71" s="120">
        <f t="shared" ca="1" si="58"/>
        <v>0</v>
      </c>
      <c r="BD71" s="120">
        <f t="shared" ca="1" si="58"/>
        <v>0</v>
      </c>
      <c r="BE71" s="120">
        <f t="shared" ca="1" si="58"/>
        <v>0</v>
      </c>
      <c r="BF71" s="120"/>
      <c r="BG71" s="120"/>
      <c r="BH71" s="120"/>
      <c r="BI71" s="120"/>
      <c r="BJ71" s="120"/>
      <c r="BK71" s="120"/>
    </row>
    <row r="72" spans="1:63" ht="12.75" x14ac:dyDescent="0.2">
      <c r="A72" s="284">
        <f t="shared" si="16"/>
        <v>44958</v>
      </c>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f ca="1">SUM(AU$17)/12</f>
        <v>0</v>
      </c>
      <c r="AV72" s="120">
        <f t="shared" ref="AV72:BF72" ca="1" si="59">AU72</f>
        <v>0</v>
      </c>
      <c r="AW72" s="120">
        <f t="shared" ca="1" si="59"/>
        <v>0</v>
      </c>
      <c r="AX72" s="120">
        <f t="shared" ca="1" si="59"/>
        <v>0</v>
      </c>
      <c r="AY72" s="120">
        <f t="shared" ca="1" si="59"/>
        <v>0</v>
      </c>
      <c r="AZ72" s="120">
        <f t="shared" ca="1" si="59"/>
        <v>0</v>
      </c>
      <c r="BA72" s="120">
        <f t="shared" ca="1" si="59"/>
        <v>0</v>
      </c>
      <c r="BB72" s="120">
        <f t="shared" ca="1" si="59"/>
        <v>0</v>
      </c>
      <c r="BC72" s="120">
        <f t="shared" ca="1" si="59"/>
        <v>0</v>
      </c>
      <c r="BD72" s="120">
        <f t="shared" ca="1" si="59"/>
        <v>0</v>
      </c>
      <c r="BE72" s="120">
        <f t="shared" ca="1" si="59"/>
        <v>0</v>
      </c>
      <c r="BF72" s="120">
        <f t="shared" ca="1" si="59"/>
        <v>0</v>
      </c>
      <c r="BG72" s="120"/>
      <c r="BH72" s="120"/>
      <c r="BI72" s="120"/>
      <c r="BJ72" s="120"/>
      <c r="BK72" s="120"/>
    </row>
    <row r="73" spans="1:63" ht="12.75" x14ac:dyDescent="0.2">
      <c r="A73" s="284">
        <f t="shared" si="16"/>
        <v>44986</v>
      </c>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3"/>
      <c r="AU73" s="123"/>
      <c r="AV73" s="285">
        <f ca="1">SUM(AV$17)/12</f>
        <v>0</v>
      </c>
      <c r="AW73" s="285">
        <f t="shared" ref="AW73:BG73" ca="1" si="60">AV73</f>
        <v>0</v>
      </c>
      <c r="AX73" s="285">
        <f t="shared" ca="1" si="60"/>
        <v>0</v>
      </c>
      <c r="AY73" s="285">
        <f t="shared" ca="1" si="60"/>
        <v>0</v>
      </c>
      <c r="AZ73" s="285">
        <f t="shared" ca="1" si="60"/>
        <v>0</v>
      </c>
      <c r="BA73" s="285">
        <f t="shared" ca="1" si="60"/>
        <v>0</v>
      </c>
      <c r="BB73" s="285">
        <f t="shared" ca="1" si="60"/>
        <v>0</v>
      </c>
      <c r="BC73" s="285">
        <f t="shared" ca="1" si="60"/>
        <v>0</v>
      </c>
      <c r="BD73" s="285">
        <f t="shared" ca="1" si="60"/>
        <v>0</v>
      </c>
      <c r="BE73" s="285">
        <f t="shared" ca="1" si="60"/>
        <v>0</v>
      </c>
      <c r="BF73" s="285">
        <f t="shared" ca="1" si="60"/>
        <v>0</v>
      </c>
      <c r="BG73" s="285">
        <f t="shared" ca="1" si="60"/>
        <v>0</v>
      </c>
      <c r="BH73" s="285"/>
      <c r="BI73" s="285"/>
      <c r="BJ73" s="285"/>
      <c r="BK73" s="285"/>
    </row>
    <row r="74" spans="1:63" ht="12.75" x14ac:dyDescent="0.2">
      <c r="A74" s="284">
        <f t="shared" si="16"/>
        <v>45017</v>
      </c>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3"/>
      <c r="AV74" s="123"/>
      <c r="AW74" s="285">
        <f ca="1">SUM(AW$17)/12</f>
        <v>0</v>
      </c>
      <c r="AX74" s="285">
        <f t="shared" ref="AX74:BH74" ca="1" si="61">AW74</f>
        <v>0</v>
      </c>
      <c r="AY74" s="285">
        <f t="shared" ca="1" si="61"/>
        <v>0</v>
      </c>
      <c r="AZ74" s="285">
        <f t="shared" ca="1" si="61"/>
        <v>0</v>
      </c>
      <c r="BA74" s="285">
        <f t="shared" ca="1" si="61"/>
        <v>0</v>
      </c>
      <c r="BB74" s="285">
        <f t="shared" ca="1" si="61"/>
        <v>0</v>
      </c>
      <c r="BC74" s="285">
        <f t="shared" ca="1" si="61"/>
        <v>0</v>
      </c>
      <c r="BD74" s="285">
        <f t="shared" ca="1" si="61"/>
        <v>0</v>
      </c>
      <c r="BE74" s="285">
        <f t="shared" ca="1" si="61"/>
        <v>0</v>
      </c>
      <c r="BF74" s="285">
        <f t="shared" ca="1" si="61"/>
        <v>0</v>
      </c>
      <c r="BG74" s="285">
        <f t="shared" ca="1" si="61"/>
        <v>0</v>
      </c>
      <c r="BH74" s="285">
        <f t="shared" ca="1" si="61"/>
        <v>0</v>
      </c>
      <c r="BI74" s="285"/>
      <c r="BJ74" s="285"/>
      <c r="BK74" s="285"/>
    </row>
    <row r="75" spans="1:63" ht="12.75" x14ac:dyDescent="0.2">
      <c r="A75" s="284">
        <f t="shared" si="16"/>
        <v>45047</v>
      </c>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3"/>
      <c r="AW75" s="123"/>
      <c r="AX75" s="285">
        <f>SUM(AX$17)/12</f>
        <v>0</v>
      </c>
      <c r="AY75" s="285">
        <f t="shared" ref="AY75:BI75" si="62">AX75</f>
        <v>0</v>
      </c>
      <c r="AZ75" s="285">
        <f t="shared" si="62"/>
        <v>0</v>
      </c>
      <c r="BA75" s="285">
        <f t="shared" si="62"/>
        <v>0</v>
      </c>
      <c r="BB75" s="285">
        <f t="shared" si="62"/>
        <v>0</v>
      </c>
      <c r="BC75" s="285">
        <f t="shared" si="62"/>
        <v>0</v>
      </c>
      <c r="BD75" s="285">
        <f t="shared" si="62"/>
        <v>0</v>
      </c>
      <c r="BE75" s="285">
        <f t="shared" si="62"/>
        <v>0</v>
      </c>
      <c r="BF75" s="285">
        <f t="shared" si="62"/>
        <v>0</v>
      </c>
      <c r="BG75" s="285">
        <f t="shared" si="62"/>
        <v>0</v>
      </c>
      <c r="BH75" s="285">
        <f t="shared" si="62"/>
        <v>0</v>
      </c>
      <c r="BI75" s="285">
        <f t="shared" si="62"/>
        <v>0</v>
      </c>
      <c r="BJ75" s="285"/>
      <c r="BK75" s="285"/>
    </row>
    <row r="76" spans="1:63" ht="12.75" x14ac:dyDescent="0.2">
      <c r="A76" s="284">
        <f t="shared" si="16"/>
        <v>45078</v>
      </c>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3"/>
      <c r="AX76" s="123"/>
      <c r="AY76" s="285">
        <f>SUM(AY$17)/12</f>
        <v>0</v>
      </c>
      <c r="AZ76" s="285">
        <f t="shared" ref="AZ76:BJ76" si="63">AY76</f>
        <v>0</v>
      </c>
      <c r="BA76" s="285">
        <f t="shared" si="63"/>
        <v>0</v>
      </c>
      <c r="BB76" s="285">
        <f t="shared" si="63"/>
        <v>0</v>
      </c>
      <c r="BC76" s="285">
        <f t="shared" si="63"/>
        <v>0</v>
      </c>
      <c r="BD76" s="285">
        <f t="shared" si="63"/>
        <v>0</v>
      </c>
      <c r="BE76" s="285">
        <f t="shared" si="63"/>
        <v>0</v>
      </c>
      <c r="BF76" s="285">
        <f t="shared" si="63"/>
        <v>0</v>
      </c>
      <c r="BG76" s="285">
        <f t="shared" si="63"/>
        <v>0</v>
      </c>
      <c r="BH76" s="285">
        <f t="shared" si="63"/>
        <v>0</v>
      </c>
      <c r="BI76" s="285">
        <f t="shared" si="63"/>
        <v>0</v>
      </c>
      <c r="BJ76" s="285">
        <f t="shared" si="63"/>
        <v>0</v>
      </c>
      <c r="BK76" s="285"/>
    </row>
    <row r="77" spans="1:63" ht="12.75" x14ac:dyDescent="0.2">
      <c r="A77" s="284"/>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c r="BA77" s="120"/>
      <c r="BB77" s="120"/>
      <c r="BC77" s="120"/>
      <c r="BD77" s="120"/>
      <c r="BE77" s="120"/>
      <c r="BF77" s="120"/>
      <c r="BG77" s="120"/>
      <c r="BH77" s="120"/>
      <c r="BI77" s="120"/>
      <c r="BJ77" s="120"/>
      <c r="BK77" s="120"/>
    </row>
    <row r="78" spans="1:63" ht="12.75" x14ac:dyDescent="0.2">
      <c r="A78" s="26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row>
    <row r="79" spans="1:63" ht="12.75" x14ac:dyDescent="0.2">
      <c r="A79" s="263"/>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c r="BA79" s="120"/>
      <c r="BB79" s="120"/>
      <c r="BC79" s="120"/>
      <c r="BD79" s="120"/>
      <c r="BE79" s="120"/>
      <c r="BF79" s="120"/>
      <c r="BG79" s="120"/>
      <c r="BH79" s="120"/>
      <c r="BI79" s="120"/>
      <c r="BJ79" s="120"/>
      <c r="BK79" s="120"/>
    </row>
    <row r="80" spans="1:63" ht="12.75" x14ac:dyDescent="0.2">
      <c r="A80" s="282" t="s">
        <v>430</v>
      </c>
      <c r="B80" s="286">
        <f t="shared" ref="B80:AW80" si="64">SUM(B81:B128)</f>
        <v>0</v>
      </c>
      <c r="C80" s="286">
        <f t="shared" si="64"/>
        <v>0</v>
      </c>
      <c r="D80" s="286">
        <f t="shared" si="64"/>
        <v>0</v>
      </c>
      <c r="E80" s="286">
        <f t="shared" si="64"/>
        <v>0</v>
      </c>
      <c r="F80" s="286">
        <f t="shared" si="64"/>
        <v>0</v>
      </c>
      <c r="G80" s="286">
        <f t="shared" si="64"/>
        <v>0</v>
      </c>
      <c r="H80" s="286">
        <f t="shared" si="64"/>
        <v>0</v>
      </c>
      <c r="I80" s="286">
        <f t="shared" si="64"/>
        <v>0</v>
      </c>
      <c r="J80" s="286">
        <f t="shared" si="64"/>
        <v>0</v>
      </c>
      <c r="K80" s="286">
        <f t="shared" si="64"/>
        <v>0</v>
      </c>
      <c r="L80" s="286">
        <f t="shared" si="64"/>
        <v>0</v>
      </c>
      <c r="M80" s="286">
        <f t="shared" si="64"/>
        <v>0</v>
      </c>
      <c r="N80" s="286">
        <f t="shared" si="64"/>
        <v>0</v>
      </c>
      <c r="O80" s="286">
        <f t="shared" ca="1" si="64"/>
        <v>0</v>
      </c>
      <c r="P80" s="286">
        <f t="shared" ca="1" si="64"/>
        <v>0</v>
      </c>
      <c r="Q80" s="286">
        <f t="shared" ca="1" si="64"/>
        <v>0</v>
      </c>
      <c r="R80" s="286">
        <f t="shared" ca="1" si="64"/>
        <v>0</v>
      </c>
      <c r="S80" s="286">
        <f t="shared" ca="1" si="64"/>
        <v>0</v>
      </c>
      <c r="T80" s="286">
        <f t="shared" ca="1" si="64"/>
        <v>0</v>
      </c>
      <c r="U80" s="286">
        <f t="shared" ca="1" si="64"/>
        <v>0</v>
      </c>
      <c r="V80" s="286">
        <f t="shared" ca="1" si="64"/>
        <v>0</v>
      </c>
      <c r="W80" s="286">
        <f t="shared" ca="1" si="64"/>
        <v>0</v>
      </c>
      <c r="X80" s="286">
        <f t="shared" ca="1" si="64"/>
        <v>0</v>
      </c>
      <c r="Y80" s="286">
        <f t="shared" ca="1" si="64"/>
        <v>0</v>
      </c>
      <c r="Z80" s="286">
        <f t="shared" ca="1" si="64"/>
        <v>0</v>
      </c>
      <c r="AA80" s="286">
        <f t="shared" ca="1" si="64"/>
        <v>0</v>
      </c>
      <c r="AB80" s="286">
        <f t="shared" ca="1" si="64"/>
        <v>0</v>
      </c>
      <c r="AC80" s="286">
        <f t="shared" ca="1" si="64"/>
        <v>0</v>
      </c>
      <c r="AD80" s="286">
        <f t="shared" ca="1" si="64"/>
        <v>0</v>
      </c>
      <c r="AE80" s="286">
        <f t="shared" ca="1" si="64"/>
        <v>0</v>
      </c>
      <c r="AF80" s="286">
        <f t="shared" ca="1" si="64"/>
        <v>0</v>
      </c>
      <c r="AG80" s="286">
        <f t="shared" ca="1" si="64"/>
        <v>0</v>
      </c>
      <c r="AH80" s="286">
        <f t="shared" ca="1" si="64"/>
        <v>0</v>
      </c>
      <c r="AI80" s="286">
        <f t="shared" ca="1" si="64"/>
        <v>0</v>
      </c>
      <c r="AJ80" s="286">
        <f t="shared" ca="1" si="64"/>
        <v>0</v>
      </c>
      <c r="AK80" s="286">
        <f t="shared" ca="1" si="64"/>
        <v>0</v>
      </c>
      <c r="AL80" s="286">
        <f t="shared" ca="1" si="64"/>
        <v>0</v>
      </c>
      <c r="AM80" s="286">
        <f t="shared" ca="1" si="64"/>
        <v>0</v>
      </c>
      <c r="AN80" s="286">
        <f t="shared" ca="1" si="64"/>
        <v>0</v>
      </c>
      <c r="AO80" s="286">
        <f t="shared" ca="1" si="64"/>
        <v>0</v>
      </c>
      <c r="AP80" s="286">
        <f t="shared" ca="1" si="64"/>
        <v>0</v>
      </c>
      <c r="AQ80" s="286">
        <f t="shared" ca="1" si="64"/>
        <v>0</v>
      </c>
      <c r="AR80" s="286">
        <f t="shared" ca="1" si="64"/>
        <v>0</v>
      </c>
      <c r="AS80" s="286">
        <f t="shared" ca="1" si="64"/>
        <v>0</v>
      </c>
      <c r="AT80" s="286">
        <f t="shared" ca="1" si="64"/>
        <v>0</v>
      </c>
      <c r="AU80" s="286">
        <f t="shared" ca="1" si="64"/>
        <v>0</v>
      </c>
      <c r="AV80" s="286">
        <f t="shared" ca="1" si="64"/>
        <v>0</v>
      </c>
      <c r="AW80" s="286">
        <f t="shared" ca="1" si="64"/>
        <v>0</v>
      </c>
      <c r="AX80" s="274"/>
      <c r="AY80" s="274"/>
      <c r="AZ80" s="274"/>
      <c r="BA80" s="274"/>
      <c r="BB80" s="274"/>
      <c r="BC80" s="274"/>
      <c r="BD80" s="274"/>
      <c r="BE80" s="274"/>
      <c r="BF80" s="274"/>
      <c r="BG80" s="274"/>
      <c r="BH80" s="274"/>
      <c r="BI80" s="274"/>
      <c r="BJ80" s="274"/>
      <c r="BK80" s="274"/>
    </row>
    <row r="81" spans="1:63" ht="12.75" x14ac:dyDescent="0.2">
      <c r="A81" s="284">
        <f>A$29</f>
        <v>43647</v>
      </c>
      <c r="B81" s="120"/>
      <c r="C81" s="120"/>
      <c r="D81" s="120">
        <f>SUM(D$9:D$11)/12</f>
        <v>0</v>
      </c>
      <c r="E81" s="120">
        <f t="shared" ref="E81:O81" si="65">D81</f>
        <v>0</v>
      </c>
      <c r="F81" s="120">
        <f t="shared" si="65"/>
        <v>0</v>
      </c>
      <c r="G81" s="120">
        <f t="shared" si="65"/>
        <v>0</v>
      </c>
      <c r="H81" s="120">
        <f t="shared" si="65"/>
        <v>0</v>
      </c>
      <c r="I81" s="120">
        <f t="shared" si="65"/>
        <v>0</v>
      </c>
      <c r="J81" s="120">
        <f t="shared" si="65"/>
        <v>0</v>
      </c>
      <c r="K81" s="120">
        <f t="shared" si="65"/>
        <v>0</v>
      </c>
      <c r="L81" s="120">
        <f t="shared" si="65"/>
        <v>0</v>
      </c>
      <c r="M81" s="120">
        <f t="shared" si="65"/>
        <v>0</v>
      </c>
      <c r="N81" s="120">
        <f t="shared" si="65"/>
        <v>0</v>
      </c>
      <c r="O81" s="120">
        <f t="shared" si="65"/>
        <v>0</v>
      </c>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c r="BA81" s="120"/>
      <c r="BB81" s="120"/>
      <c r="BC81" s="120"/>
      <c r="BD81" s="120"/>
      <c r="BE81" s="120"/>
      <c r="BF81" s="120"/>
      <c r="BG81" s="120"/>
      <c r="BH81" s="120"/>
      <c r="BI81" s="120"/>
      <c r="BJ81" s="120"/>
      <c r="BK81" s="120"/>
    </row>
    <row r="82" spans="1:63" ht="12.75" x14ac:dyDescent="0.2">
      <c r="A82" s="284">
        <f t="shared" ref="A82:A128" si="66">EDATE(A81,1)</f>
        <v>43678</v>
      </c>
      <c r="B82" s="120"/>
      <c r="C82" s="120"/>
      <c r="D82" s="120"/>
      <c r="E82" s="120">
        <f>SUM(E$9:E$11)/12</f>
        <v>0</v>
      </c>
      <c r="F82" s="120">
        <f t="shared" ref="F82:P82" si="67">E82</f>
        <v>0</v>
      </c>
      <c r="G82" s="120">
        <f t="shared" si="67"/>
        <v>0</v>
      </c>
      <c r="H82" s="120">
        <f t="shared" si="67"/>
        <v>0</v>
      </c>
      <c r="I82" s="120">
        <f t="shared" si="67"/>
        <v>0</v>
      </c>
      <c r="J82" s="120">
        <f t="shared" si="67"/>
        <v>0</v>
      </c>
      <c r="K82" s="120">
        <f t="shared" si="67"/>
        <v>0</v>
      </c>
      <c r="L82" s="120">
        <f t="shared" si="67"/>
        <v>0</v>
      </c>
      <c r="M82" s="120">
        <f t="shared" si="67"/>
        <v>0</v>
      </c>
      <c r="N82" s="120">
        <f t="shared" si="67"/>
        <v>0</v>
      </c>
      <c r="O82" s="120">
        <f t="shared" si="67"/>
        <v>0</v>
      </c>
      <c r="P82" s="120">
        <f t="shared" si="67"/>
        <v>0</v>
      </c>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row>
    <row r="83" spans="1:63" ht="12.75" x14ac:dyDescent="0.2">
      <c r="A83" s="284">
        <f t="shared" si="66"/>
        <v>43709</v>
      </c>
      <c r="B83" s="120"/>
      <c r="C83" s="120"/>
      <c r="D83" s="120"/>
      <c r="E83" s="120"/>
      <c r="F83" s="120">
        <f>SUM(F$9:F$11)/12</f>
        <v>0</v>
      </c>
      <c r="G83" s="120">
        <f t="shared" ref="G83:Q83" si="68">F83</f>
        <v>0</v>
      </c>
      <c r="H83" s="120">
        <f t="shared" si="68"/>
        <v>0</v>
      </c>
      <c r="I83" s="120">
        <f t="shared" si="68"/>
        <v>0</v>
      </c>
      <c r="J83" s="120">
        <f t="shared" si="68"/>
        <v>0</v>
      </c>
      <c r="K83" s="120">
        <f t="shared" si="68"/>
        <v>0</v>
      </c>
      <c r="L83" s="120">
        <f t="shared" si="68"/>
        <v>0</v>
      </c>
      <c r="M83" s="120">
        <f t="shared" si="68"/>
        <v>0</v>
      </c>
      <c r="N83" s="120">
        <f t="shared" si="68"/>
        <v>0</v>
      </c>
      <c r="O83" s="120">
        <f t="shared" si="68"/>
        <v>0</v>
      </c>
      <c r="P83" s="120">
        <f t="shared" si="68"/>
        <v>0</v>
      </c>
      <c r="Q83" s="120">
        <f t="shared" si="68"/>
        <v>0</v>
      </c>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row>
    <row r="84" spans="1:63" ht="12.75" x14ac:dyDescent="0.2">
      <c r="A84" s="284">
        <f t="shared" si="66"/>
        <v>43739</v>
      </c>
      <c r="B84" s="120"/>
      <c r="C84" s="120"/>
      <c r="D84" s="120"/>
      <c r="E84" s="123"/>
      <c r="F84" s="123"/>
      <c r="G84" s="115">
        <f>SUM(G$9:G$11)/12</f>
        <v>0</v>
      </c>
      <c r="H84" s="115">
        <f t="shared" ref="H84:R84" si="69">G84</f>
        <v>0</v>
      </c>
      <c r="I84" s="115">
        <f t="shared" si="69"/>
        <v>0</v>
      </c>
      <c r="J84" s="115">
        <f t="shared" si="69"/>
        <v>0</v>
      </c>
      <c r="K84" s="115">
        <f t="shared" si="69"/>
        <v>0</v>
      </c>
      <c r="L84" s="115">
        <f t="shared" si="69"/>
        <v>0</v>
      </c>
      <c r="M84" s="115">
        <f t="shared" si="69"/>
        <v>0</v>
      </c>
      <c r="N84" s="115">
        <f t="shared" si="69"/>
        <v>0</v>
      </c>
      <c r="O84" s="115">
        <f t="shared" si="69"/>
        <v>0</v>
      </c>
      <c r="P84" s="115">
        <f t="shared" si="69"/>
        <v>0</v>
      </c>
      <c r="Q84" s="115">
        <f t="shared" si="69"/>
        <v>0</v>
      </c>
      <c r="R84" s="115">
        <f t="shared" si="69"/>
        <v>0</v>
      </c>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c r="BA84" s="120"/>
      <c r="BB84" s="120"/>
      <c r="BC84" s="120"/>
      <c r="BD84" s="120"/>
      <c r="BE84" s="120"/>
      <c r="BF84" s="120"/>
      <c r="BG84" s="120"/>
      <c r="BH84" s="120"/>
      <c r="BI84" s="120"/>
      <c r="BJ84" s="120"/>
      <c r="BK84" s="120"/>
    </row>
    <row r="85" spans="1:63" ht="12.75" x14ac:dyDescent="0.2">
      <c r="A85" s="284">
        <f t="shared" si="66"/>
        <v>43770</v>
      </c>
      <c r="B85" s="120"/>
      <c r="C85" s="120"/>
      <c r="D85" s="120"/>
      <c r="E85" s="120"/>
      <c r="F85" s="123"/>
      <c r="G85" s="123"/>
      <c r="H85" s="115">
        <f>SUM(H$9:H$11)/12</f>
        <v>0</v>
      </c>
      <c r="I85" s="115">
        <f t="shared" ref="I85:S85" si="70">H85</f>
        <v>0</v>
      </c>
      <c r="J85" s="115">
        <f t="shared" si="70"/>
        <v>0</v>
      </c>
      <c r="K85" s="115">
        <f t="shared" si="70"/>
        <v>0</v>
      </c>
      <c r="L85" s="115">
        <f t="shared" si="70"/>
        <v>0</v>
      </c>
      <c r="M85" s="115">
        <f t="shared" si="70"/>
        <v>0</v>
      </c>
      <c r="N85" s="115">
        <f t="shared" si="70"/>
        <v>0</v>
      </c>
      <c r="O85" s="115">
        <f t="shared" si="70"/>
        <v>0</v>
      </c>
      <c r="P85" s="115">
        <f t="shared" si="70"/>
        <v>0</v>
      </c>
      <c r="Q85" s="115">
        <f t="shared" si="70"/>
        <v>0</v>
      </c>
      <c r="R85" s="115">
        <f t="shared" si="70"/>
        <v>0</v>
      </c>
      <c r="S85" s="115">
        <f t="shared" si="70"/>
        <v>0</v>
      </c>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c r="BA85" s="120"/>
      <c r="BB85" s="120"/>
      <c r="BC85" s="120"/>
      <c r="BD85" s="120"/>
      <c r="BE85" s="120"/>
      <c r="BF85" s="120"/>
      <c r="BG85" s="120"/>
      <c r="BH85" s="120"/>
      <c r="BI85" s="120"/>
      <c r="BJ85" s="120"/>
      <c r="BK85" s="120"/>
    </row>
    <row r="86" spans="1:63" ht="12.75" x14ac:dyDescent="0.2">
      <c r="A86" s="284">
        <f t="shared" si="66"/>
        <v>43800</v>
      </c>
      <c r="B86" s="120"/>
      <c r="C86" s="120"/>
      <c r="D86" s="120"/>
      <c r="E86" s="120"/>
      <c r="F86" s="120"/>
      <c r="G86" s="123"/>
      <c r="H86" s="123"/>
      <c r="I86" s="115">
        <f>SUM(I$9:I$11)/12</f>
        <v>0</v>
      </c>
      <c r="J86" s="115">
        <f t="shared" ref="J86:T86" si="71">I86</f>
        <v>0</v>
      </c>
      <c r="K86" s="115">
        <f t="shared" si="71"/>
        <v>0</v>
      </c>
      <c r="L86" s="115">
        <f t="shared" si="71"/>
        <v>0</v>
      </c>
      <c r="M86" s="115">
        <f t="shared" si="71"/>
        <v>0</v>
      </c>
      <c r="N86" s="115">
        <f t="shared" si="71"/>
        <v>0</v>
      </c>
      <c r="O86" s="115">
        <f t="shared" si="71"/>
        <v>0</v>
      </c>
      <c r="P86" s="115">
        <f t="shared" si="71"/>
        <v>0</v>
      </c>
      <c r="Q86" s="115">
        <f t="shared" si="71"/>
        <v>0</v>
      </c>
      <c r="R86" s="115">
        <f t="shared" si="71"/>
        <v>0</v>
      </c>
      <c r="S86" s="115">
        <f t="shared" si="71"/>
        <v>0</v>
      </c>
      <c r="T86" s="115">
        <f t="shared" si="71"/>
        <v>0</v>
      </c>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c r="BA86" s="120"/>
      <c r="BB86" s="120"/>
      <c r="BC86" s="120"/>
      <c r="BD86" s="120"/>
      <c r="BE86" s="120"/>
      <c r="BF86" s="120"/>
      <c r="BG86" s="120"/>
      <c r="BH86" s="120"/>
      <c r="BI86" s="120"/>
      <c r="BJ86" s="120"/>
      <c r="BK86" s="120"/>
    </row>
    <row r="87" spans="1:63" ht="12.75" x14ac:dyDescent="0.2">
      <c r="A87" s="284">
        <f t="shared" si="66"/>
        <v>43831</v>
      </c>
      <c r="B87" s="120"/>
      <c r="C87" s="120"/>
      <c r="D87" s="120"/>
      <c r="E87" s="120"/>
      <c r="F87" s="120"/>
      <c r="G87" s="120"/>
      <c r="H87" s="123"/>
      <c r="I87" s="123"/>
      <c r="J87" s="115">
        <f>SUM(J$9:J$11)/12</f>
        <v>0</v>
      </c>
      <c r="K87" s="115">
        <f t="shared" ref="K87:U87" si="72">J87</f>
        <v>0</v>
      </c>
      <c r="L87" s="115">
        <f t="shared" si="72"/>
        <v>0</v>
      </c>
      <c r="M87" s="115">
        <f t="shared" si="72"/>
        <v>0</v>
      </c>
      <c r="N87" s="115">
        <f t="shared" si="72"/>
        <v>0</v>
      </c>
      <c r="O87" s="115">
        <f t="shared" si="72"/>
        <v>0</v>
      </c>
      <c r="P87" s="115">
        <f t="shared" si="72"/>
        <v>0</v>
      </c>
      <c r="Q87" s="115">
        <f t="shared" si="72"/>
        <v>0</v>
      </c>
      <c r="R87" s="115">
        <f t="shared" si="72"/>
        <v>0</v>
      </c>
      <c r="S87" s="115">
        <f t="shared" si="72"/>
        <v>0</v>
      </c>
      <c r="T87" s="115">
        <f t="shared" si="72"/>
        <v>0</v>
      </c>
      <c r="U87" s="115">
        <f t="shared" si="72"/>
        <v>0</v>
      </c>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c r="BA87" s="120"/>
      <c r="BB87" s="120"/>
      <c r="BC87" s="120"/>
      <c r="BD87" s="120"/>
      <c r="BE87" s="120"/>
      <c r="BF87" s="120"/>
      <c r="BG87" s="120"/>
      <c r="BH87" s="120"/>
      <c r="BI87" s="120"/>
      <c r="BJ87" s="120"/>
      <c r="BK87" s="120"/>
    </row>
    <row r="88" spans="1:63" ht="12.75" x14ac:dyDescent="0.2">
      <c r="A88" s="284">
        <f t="shared" si="66"/>
        <v>43862</v>
      </c>
      <c r="B88" s="120"/>
      <c r="C88" s="120"/>
      <c r="D88" s="120"/>
      <c r="E88" s="120"/>
      <c r="F88" s="120"/>
      <c r="G88" s="120"/>
      <c r="H88" s="120"/>
      <c r="I88" s="123"/>
      <c r="J88" s="123"/>
      <c r="K88" s="115">
        <f>SUM(K$9:K$11)/12</f>
        <v>0</v>
      </c>
      <c r="L88" s="115">
        <f t="shared" ref="L88:V88" si="73">K88</f>
        <v>0</v>
      </c>
      <c r="M88" s="115">
        <f t="shared" si="73"/>
        <v>0</v>
      </c>
      <c r="N88" s="115">
        <f t="shared" si="73"/>
        <v>0</v>
      </c>
      <c r="O88" s="115">
        <f t="shared" si="73"/>
        <v>0</v>
      </c>
      <c r="P88" s="115">
        <f t="shared" si="73"/>
        <v>0</v>
      </c>
      <c r="Q88" s="115">
        <f t="shared" si="73"/>
        <v>0</v>
      </c>
      <c r="R88" s="115">
        <f t="shared" si="73"/>
        <v>0</v>
      </c>
      <c r="S88" s="115">
        <f t="shared" si="73"/>
        <v>0</v>
      </c>
      <c r="T88" s="115">
        <f t="shared" si="73"/>
        <v>0</v>
      </c>
      <c r="U88" s="115">
        <f t="shared" si="73"/>
        <v>0</v>
      </c>
      <c r="V88" s="115">
        <f t="shared" si="73"/>
        <v>0</v>
      </c>
      <c r="W88" s="120"/>
      <c r="X88" s="120"/>
      <c r="Y88" s="120"/>
      <c r="Z88" s="120"/>
      <c r="AA88" s="120"/>
      <c r="AB88" s="120"/>
      <c r="AC88" s="120"/>
      <c r="AD88" s="120"/>
      <c r="AE88" s="120"/>
      <c r="AF88" s="120"/>
      <c r="AG88" s="120"/>
      <c r="AH88" s="120"/>
      <c r="AI88" s="120"/>
      <c r="AJ88" s="120"/>
      <c r="AK88" s="120"/>
      <c r="AL88" s="120"/>
      <c r="AM88" s="120"/>
      <c r="AN88" s="120"/>
      <c r="AO88" s="120"/>
      <c r="AP88" s="120"/>
      <c r="AQ88" s="120"/>
      <c r="AR88" s="120"/>
      <c r="AS88" s="120"/>
      <c r="AT88" s="120"/>
      <c r="AU88" s="120"/>
      <c r="AV88" s="120"/>
      <c r="AW88" s="120"/>
      <c r="AX88" s="120"/>
      <c r="AY88" s="120"/>
      <c r="AZ88" s="120"/>
      <c r="BA88" s="120"/>
      <c r="BB88" s="120"/>
      <c r="BC88" s="120"/>
      <c r="BD88" s="120"/>
      <c r="BE88" s="120"/>
      <c r="BF88" s="120"/>
      <c r="BG88" s="120"/>
      <c r="BH88" s="120"/>
      <c r="BI88" s="120"/>
      <c r="BJ88" s="120"/>
      <c r="BK88" s="120"/>
    </row>
    <row r="89" spans="1:63" ht="12.75" x14ac:dyDescent="0.2">
      <c r="A89" s="284">
        <f t="shared" si="66"/>
        <v>43891</v>
      </c>
      <c r="B89" s="120"/>
      <c r="C89" s="120"/>
      <c r="D89" s="120"/>
      <c r="E89" s="120"/>
      <c r="F89" s="120"/>
      <c r="G89" s="120"/>
      <c r="H89" s="120"/>
      <c r="I89" s="120"/>
      <c r="J89" s="123"/>
      <c r="K89" s="123"/>
      <c r="L89" s="115">
        <f>SUM(L$9:L$11)/12</f>
        <v>0</v>
      </c>
      <c r="M89" s="115">
        <f t="shared" ref="M89:W89" si="74">L89</f>
        <v>0</v>
      </c>
      <c r="N89" s="115">
        <f t="shared" si="74"/>
        <v>0</v>
      </c>
      <c r="O89" s="115">
        <f t="shared" si="74"/>
        <v>0</v>
      </c>
      <c r="P89" s="115">
        <f t="shared" si="74"/>
        <v>0</v>
      </c>
      <c r="Q89" s="115">
        <f t="shared" si="74"/>
        <v>0</v>
      </c>
      <c r="R89" s="115">
        <f t="shared" si="74"/>
        <v>0</v>
      </c>
      <c r="S89" s="115">
        <f t="shared" si="74"/>
        <v>0</v>
      </c>
      <c r="T89" s="115">
        <f t="shared" si="74"/>
        <v>0</v>
      </c>
      <c r="U89" s="115">
        <f t="shared" si="74"/>
        <v>0</v>
      </c>
      <c r="V89" s="115">
        <f t="shared" si="74"/>
        <v>0</v>
      </c>
      <c r="W89" s="115">
        <f t="shared" si="74"/>
        <v>0</v>
      </c>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row>
    <row r="90" spans="1:63" ht="12.75" x14ac:dyDescent="0.2">
      <c r="A90" s="284">
        <f t="shared" si="66"/>
        <v>43922</v>
      </c>
      <c r="B90" s="120"/>
      <c r="C90" s="120"/>
      <c r="D90" s="120"/>
      <c r="E90" s="120"/>
      <c r="F90" s="120"/>
      <c r="G90" s="120"/>
      <c r="H90" s="120"/>
      <c r="I90" s="120"/>
      <c r="J90" s="120"/>
      <c r="K90" s="123"/>
      <c r="L90" s="123"/>
      <c r="M90" s="115">
        <f>SUM(M$9:M$11)/12</f>
        <v>0</v>
      </c>
      <c r="N90" s="115">
        <f t="shared" ref="N90:X90" si="75">M90</f>
        <v>0</v>
      </c>
      <c r="O90" s="115">
        <f t="shared" si="75"/>
        <v>0</v>
      </c>
      <c r="P90" s="115">
        <f t="shared" si="75"/>
        <v>0</v>
      </c>
      <c r="Q90" s="115">
        <f t="shared" si="75"/>
        <v>0</v>
      </c>
      <c r="R90" s="115">
        <f t="shared" si="75"/>
        <v>0</v>
      </c>
      <c r="S90" s="115">
        <f t="shared" si="75"/>
        <v>0</v>
      </c>
      <c r="T90" s="115">
        <f t="shared" si="75"/>
        <v>0</v>
      </c>
      <c r="U90" s="115">
        <f t="shared" si="75"/>
        <v>0</v>
      </c>
      <c r="V90" s="115">
        <f t="shared" si="75"/>
        <v>0</v>
      </c>
      <c r="W90" s="115">
        <f t="shared" si="75"/>
        <v>0</v>
      </c>
      <c r="X90" s="115">
        <f t="shared" si="75"/>
        <v>0</v>
      </c>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row>
    <row r="91" spans="1:63" ht="12.75" x14ac:dyDescent="0.2">
      <c r="A91" s="284">
        <f t="shared" si="66"/>
        <v>43952</v>
      </c>
      <c r="B91" s="120"/>
      <c r="C91" s="120"/>
      <c r="D91" s="120"/>
      <c r="E91" s="120"/>
      <c r="F91" s="120"/>
      <c r="G91" s="120"/>
      <c r="H91" s="120"/>
      <c r="I91" s="120"/>
      <c r="J91" s="120"/>
      <c r="K91" s="120"/>
      <c r="L91" s="123"/>
      <c r="M91" s="123"/>
      <c r="N91" s="115">
        <f>SUM(N$9:N$11)/12</f>
        <v>0</v>
      </c>
      <c r="O91" s="115">
        <f t="shared" ref="O91:Y91" si="76">N91</f>
        <v>0</v>
      </c>
      <c r="P91" s="115">
        <f t="shared" si="76"/>
        <v>0</v>
      </c>
      <c r="Q91" s="115">
        <f t="shared" si="76"/>
        <v>0</v>
      </c>
      <c r="R91" s="115">
        <f t="shared" si="76"/>
        <v>0</v>
      </c>
      <c r="S91" s="115">
        <f t="shared" si="76"/>
        <v>0</v>
      </c>
      <c r="T91" s="115">
        <f t="shared" si="76"/>
        <v>0</v>
      </c>
      <c r="U91" s="115">
        <f t="shared" si="76"/>
        <v>0</v>
      </c>
      <c r="V91" s="115">
        <f t="shared" si="76"/>
        <v>0</v>
      </c>
      <c r="W91" s="115">
        <f t="shared" si="76"/>
        <v>0</v>
      </c>
      <c r="X91" s="115">
        <f t="shared" si="76"/>
        <v>0</v>
      </c>
      <c r="Y91" s="115">
        <f t="shared" si="76"/>
        <v>0</v>
      </c>
      <c r="Z91" s="120"/>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row>
    <row r="92" spans="1:63" ht="12.75" x14ac:dyDescent="0.2">
      <c r="A92" s="284">
        <f t="shared" si="66"/>
        <v>43983</v>
      </c>
      <c r="B92" s="120"/>
      <c r="C92" s="120"/>
      <c r="D92" s="120"/>
      <c r="E92" s="120"/>
      <c r="F92" s="120"/>
      <c r="G92" s="120"/>
      <c r="H92" s="120"/>
      <c r="I92" s="120"/>
      <c r="J92" s="120"/>
      <c r="K92" s="120"/>
      <c r="L92" s="120"/>
      <c r="M92" s="123"/>
      <c r="N92" s="123"/>
      <c r="O92" s="115">
        <f ca="1">SUM(O$9:O$11)/12</f>
        <v>0</v>
      </c>
      <c r="P92" s="115">
        <f t="shared" ref="P92:Z92" ca="1" si="77">O92</f>
        <v>0</v>
      </c>
      <c r="Q92" s="115">
        <f t="shared" ca="1" si="77"/>
        <v>0</v>
      </c>
      <c r="R92" s="115">
        <f t="shared" ca="1" si="77"/>
        <v>0</v>
      </c>
      <c r="S92" s="115">
        <f t="shared" ca="1" si="77"/>
        <v>0</v>
      </c>
      <c r="T92" s="115">
        <f t="shared" ca="1" si="77"/>
        <v>0</v>
      </c>
      <c r="U92" s="115">
        <f t="shared" ca="1" si="77"/>
        <v>0</v>
      </c>
      <c r="V92" s="115">
        <f t="shared" ca="1" si="77"/>
        <v>0</v>
      </c>
      <c r="W92" s="115">
        <f t="shared" ca="1" si="77"/>
        <v>0</v>
      </c>
      <c r="X92" s="115">
        <f t="shared" ca="1" si="77"/>
        <v>0</v>
      </c>
      <c r="Y92" s="115">
        <f t="shared" ca="1" si="77"/>
        <v>0</v>
      </c>
      <c r="Z92" s="115">
        <f t="shared" ca="1" si="77"/>
        <v>0</v>
      </c>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row>
    <row r="93" spans="1:63" ht="12.75" x14ac:dyDescent="0.2">
      <c r="A93" s="284">
        <f t="shared" si="66"/>
        <v>44013</v>
      </c>
      <c r="B93" s="120"/>
      <c r="C93" s="120"/>
      <c r="D93" s="120"/>
      <c r="E93" s="120"/>
      <c r="F93" s="120"/>
      <c r="G93" s="120"/>
      <c r="H93" s="120"/>
      <c r="I93" s="120"/>
      <c r="J93" s="120"/>
      <c r="K93" s="120"/>
      <c r="L93" s="120"/>
      <c r="M93" s="120"/>
      <c r="N93" s="123"/>
      <c r="O93" s="123"/>
      <c r="P93" s="115">
        <f ca="1">SUM(P$9:P$11)/12</f>
        <v>0</v>
      </c>
      <c r="Q93" s="115">
        <f t="shared" ref="Q93:AA93" ca="1" si="78">P93</f>
        <v>0</v>
      </c>
      <c r="R93" s="115">
        <f t="shared" ca="1" si="78"/>
        <v>0</v>
      </c>
      <c r="S93" s="115">
        <f t="shared" ca="1" si="78"/>
        <v>0</v>
      </c>
      <c r="T93" s="115">
        <f t="shared" ca="1" si="78"/>
        <v>0</v>
      </c>
      <c r="U93" s="115">
        <f t="shared" ca="1" si="78"/>
        <v>0</v>
      </c>
      <c r="V93" s="115">
        <f t="shared" ca="1" si="78"/>
        <v>0</v>
      </c>
      <c r="W93" s="115">
        <f t="shared" ca="1" si="78"/>
        <v>0</v>
      </c>
      <c r="X93" s="115">
        <f t="shared" ca="1" si="78"/>
        <v>0</v>
      </c>
      <c r="Y93" s="115">
        <f t="shared" ca="1" si="78"/>
        <v>0</v>
      </c>
      <c r="Z93" s="115">
        <f t="shared" ca="1" si="78"/>
        <v>0</v>
      </c>
      <c r="AA93" s="115">
        <f t="shared" ca="1" si="78"/>
        <v>0</v>
      </c>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row>
    <row r="94" spans="1:63" ht="12.75" x14ac:dyDescent="0.2">
      <c r="A94" s="284">
        <f t="shared" si="66"/>
        <v>44044</v>
      </c>
      <c r="B94" s="120"/>
      <c r="C94" s="120"/>
      <c r="D94" s="120"/>
      <c r="E94" s="120"/>
      <c r="F94" s="120"/>
      <c r="G94" s="120"/>
      <c r="H94" s="120"/>
      <c r="I94" s="120"/>
      <c r="J94" s="120"/>
      <c r="K94" s="120"/>
      <c r="L94" s="120"/>
      <c r="M94" s="120"/>
      <c r="N94" s="120"/>
      <c r="O94" s="123"/>
      <c r="P94" s="123"/>
      <c r="Q94" s="115">
        <f ca="1">SUM(Q$9:Q$11)/12</f>
        <v>0</v>
      </c>
      <c r="R94" s="115">
        <f t="shared" ref="R94:AB94" ca="1" si="79">Q94</f>
        <v>0</v>
      </c>
      <c r="S94" s="115">
        <f t="shared" ca="1" si="79"/>
        <v>0</v>
      </c>
      <c r="T94" s="115">
        <f t="shared" ca="1" si="79"/>
        <v>0</v>
      </c>
      <c r="U94" s="115">
        <f t="shared" ca="1" si="79"/>
        <v>0</v>
      </c>
      <c r="V94" s="115">
        <f t="shared" ca="1" si="79"/>
        <v>0</v>
      </c>
      <c r="W94" s="115">
        <f t="shared" ca="1" si="79"/>
        <v>0</v>
      </c>
      <c r="X94" s="115">
        <f t="shared" ca="1" si="79"/>
        <v>0</v>
      </c>
      <c r="Y94" s="115">
        <f t="shared" ca="1" si="79"/>
        <v>0</v>
      </c>
      <c r="Z94" s="115">
        <f t="shared" ca="1" si="79"/>
        <v>0</v>
      </c>
      <c r="AA94" s="115">
        <f t="shared" ca="1" si="79"/>
        <v>0</v>
      </c>
      <c r="AB94" s="115">
        <f t="shared" ca="1" si="79"/>
        <v>0</v>
      </c>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row>
    <row r="95" spans="1:63" ht="12.75" x14ac:dyDescent="0.2">
      <c r="A95" s="284">
        <f t="shared" si="66"/>
        <v>44075</v>
      </c>
      <c r="B95" s="120"/>
      <c r="C95" s="120"/>
      <c r="D95" s="120"/>
      <c r="E95" s="120"/>
      <c r="F95" s="120"/>
      <c r="G95" s="120"/>
      <c r="H95" s="120"/>
      <c r="I95" s="120"/>
      <c r="J95" s="120"/>
      <c r="K95" s="120"/>
      <c r="L95" s="120"/>
      <c r="M95" s="120"/>
      <c r="N95" s="120"/>
      <c r="O95" s="120"/>
      <c r="P95" s="123"/>
      <c r="Q95" s="123"/>
      <c r="R95" s="115">
        <f ca="1">SUM(R$9:R$11)/12</f>
        <v>0</v>
      </c>
      <c r="S95" s="115">
        <f t="shared" ref="S95:AC95" ca="1" si="80">R95</f>
        <v>0</v>
      </c>
      <c r="T95" s="115">
        <f t="shared" ca="1" si="80"/>
        <v>0</v>
      </c>
      <c r="U95" s="115">
        <f t="shared" ca="1" si="80"/>
        <v>0</v>
      </c>
      <c r="V95" s="115">
        <f t="shared" ca="1" si="80"/>
        <v>0</v>
      </c>
      <c r="W95" s="115">
        <f t="shared" ca="1" si="80"/>
        <v>0</v>
      </c>
      <c r="X95" s="115">
        <f t="shared" ca="1" si="80"/>
        <v>0</v>
      </c>
      <c r="Y95" s="115">
        <f t="shared" ca="1" si="80"/>
        <v>0</v>
      </c>
      <c r="Z95" s="115">
        <f t="shared" ca="1" si="80"/>
        <v>0</v>
      </c>
      <c r="AA95" s="115">
        <f t="shared" ca="1" si="80"/>
        <v>0</v>
      </c>
      <c r="AB95" s="115">
        <f t="shared" ca="1" si="80"/>
        <v>0</v>
      </c>
      <c r="AC95" s="115">
        <f t="shared" ca="1" si="80"/>
        <v>0</v>
      </c>
      <c r="AD95" s="120"/>
      <c r="AE95" s="120"/>
      <c r="AF95" s="120"/>
      <c r="AG95" s="120"/>
      <c r="AH95" s="120"/>
      <c r="AI95" s="120"/>
      <c r="AJ95" s="120"/>
      <c r="AK95" s="120"/>
      <c r="AL95" s="120"/>
      <c r="AM95" s="120"/>
      <c r="AN95" s="120"/>
      <c r="AO95" s="120"/>
      <c r="AP95" s="120"/>
      <c r="AQ95" s="120"/>
      <c r="AR95" s="120"/>
      <c r="AS95" s="120"/>
      <c r="AT95" s="120"/>
      <c r="AU95" s="120"/>
      <c r="AV95" s="120"/>
      <c r="AW95" s="120"/>
      <c r="AX95" s="120"/>
      <c r="AY95" s="120"/>
      <c r="AZ95" s="120"/>
      <c r="BA95" s="120"/>
      <c r="BB95" s="120"/>
      <c r="BC95" s="120"/>
      <c r="BD95" s="120"/>
      <c r="BE95" s="120"/>
      <c r="BF95" s="120"/>
      <c r="BG95" s="120"/>
      <c r="BH95" s="120"/>
      <c r="BI95" s="120"/>
      <c r="BJ95" s="120"/>
      <c r="BK95" s="120"/>
    </row>
    <row r="96" spans="1:63" ht="12.75" x14ac:dyDescent="0.2">
      <c r="A96" s="284">
        <f t="shared" si="66"/>
        <v>44105</v>
      </c>
      <c r="B96" s="120"/>
      <c r="C96" s="120"/>
      <c r="D96" s="120"/>
      <c r="E96" s="120"/>
      <c r="F96" s="120"/>
      <c r="G96" s="120"/>
      <c r="H96" s="120"/>
      <c r="I96" s="120"/>
      <c r="J96" s="120"/>
      <c r="K96" s="120"/>
      <c r="L96" s="120"/>
      <c r="M96" s="120"/>
      <c r="N96" s="120"/>
      <c r="O96" s="120"/>
      <c r="P96" s="120"/>
      <c r="Q96" s="123"/>
      <c r="R96" s="123"/>
      <c r="S96" s="115">
        <f ca="1">SUM(S$9:S$11)/12</f>
        <v>0</v>
      </c>
      <c r="T96" s="115">
        <f t="shared" ref="T96:AD96" ca="1" si="81">S96</f>
        <v>0</v>
      </c>
      <c r="U96" s="115">
        <f t="shared" ca="1" si="81"/>
        <v>0</v>
      </c>
      <c r="V96" s="115">
        <f t="shared" ca="1" si="81"/>
        <v>0</v>
      </c>
      <c r="W96" s="115">
        <f t="shared" ca="1" si="81"/>
        <v>0</v>
      </c>
      <c r="X96" s="115">
        <f t="shared" ca="1" si="81"/>
        <v>0</v>
      </c>
      <c r="Y96" s="115">
        <f t="shared" ca="1" si="81"/>
        <v>0</v>
      </c>
      <c r="Z96" s="115">
        <f t="shared" ca="1" si="81"/>
        <v>0</v>
      </c>
      <c r="AA96" s="115">
        <f t="shared" ca="1" si="81"/>
        <v>0</v>
      </c>
      <c r="AB96" s="115">
        <f t="shared" ca="1" si="81"/>
        <v>0</v>
      </c>
      <c r="AC96" s="115">
        <f t="shared" ca="1" si="81"/>
        <v>0</v>
      </c>
      <c r="AD96" s="115">
        <f t="shared" ca="1" si="81"/>
        <v>0</v>
      </c>
      <c r="AE96" s="120"/>
      <c r="AF96" s="120"/>
      <c r="AG96" s="120"/>
      <c r="AH96" s="120"/>
      <c r="AI96" s="120"/>
      <c r="AJ96" s="120"/>
      <c r="AK96" s="120"/>
      <c r="AL96" s="120"/>
      <c r="AM96" s="120"/>
      <c r="AN96" s="120"/>
      <c r="AO96" s="120"/>
      <c r="AP96" s="120"/>
      <c r="AQ96" s="120"/>
      <c r="AR96" s="120"/>
      <c r="AS96" s="120"/>
      <c r="AT96" s="120"/>
      <c r="AU96" s="120"/>
      <c r="AV96" s="120"/>
      <c r="AW96" s="120"/>
      <c r="AX96" s="120"/>
      <c r="AY96" s="120"/>
      <c r="AZ96" s="120"/>
      <c r="BA96" s="120"/>
      <c r="BB96" s="120"/>
      <c r="BC96" s="120"/>
      <c r="BD96" s="120"/>
      <c r="BE96" s="120"/>
      <c r="BF96" s="120"/>
      <c r="BG96" s="120"/>
      <c r="BH96" s="120"/>
      <c r="BI96" s="120"/>
      <c r="BJ96" s="120"/>
      <c r="BK96" s="120"/>
    </row>
    <row r="97" spans="1:63" ht="12.75" x14ac:dyDescent="0.2">
      <c r="A97" s="284">
        <f t="shared" si="66"/>
        <v>44136</v>
      </c>
      <c r="B97" s="120"/>
      <c r="C97" s="120"/>
      <c r="D97" s="120"/>
      <c r="E97" s="120"/>
      <c r="F97" s="120"/>
      <c r="G97" s="120"/>
      <c r="H97" s="120"/>
      <c r="I97" s="120"/>
      <c r="J97" s="120"/>
      <c r="K97" s="120"/>
      <c r="L97" s="120"/>
      <c r="M97" s="120"/>
      <c r="N97" s="120"/>
      <c r="O97" s="120"/>
      <c r="P97" s="120"/>
      <c r="Q97" s="120"/>
      <c r="R97" s="123"/>
      <c r="S97" s="123"/>
      <c r="T97" s="115">
        <f ca="1">SUM(T$9:T$11)/12</f>
        <v>0</v>
      </c>
      <c r="U97" s="115">
        <f t="shared" ref="U97:AE97" ca="1" si="82">T97</f>
        <v>0</v>
      </c>
      <c r="V97" s="115">
        <f t="shared" ca="1" si="82"/>
        <v>0</v>
      </c>
      <c r="W97" s="115">
        <f t="shared" ca="1" si="82"/>
        <v>0</v>
      </c>
      <c r="X97" s="115">
        <f t="shared" ca="1" si="82"/>
        <v>0</v>
      </c>
      <c r="Y97" s="115">
        <f t="shared" ca="1" si="82"/>
        <v>0</v>
      </c>
      <c r="Z97" s="115">
        <f t="shared" ca="1" si="82"/>
        <v>0</v>
      </c>
      <c r="AA97" s="115">
        <f t="shared" ca="1" si="82"/>
        <v>0</v>
      </c>
      <c r="AB97" s="115">
        <f t="shared" ca="1" si="82"/>
        <v>0</v>
      </c>
      <c r="AC97" s="115">
        <f t="shared" ca="1" si="82"/>
        <v>0</v>
      </c>
      <c r="AD97" s="115">
        <f t="shared" ca="1" si="82"/>
        <v>0</v>
      </c>
      <c r="AE97" s="115">
        <f t="shared" ca="1" si="82"/>
        <v>0</v>
      </c>
      <c r="AF97" s="120"/>
      <c r="AG97" s="120"/>
      <c r="AH97" s="120"/>
      <c r="AI97" s="120"/>
      <c r="AJ97" s="120"/>
      <c r="AK97" s="120"/>
      <c r="AL97" s="120"/>
      <c r="AM97" s="120"/>
      <c r="AN97" s="120"/>
      <c r="AO97" s="120"/>
      <c r="AP97" s="120"/>
      <c r="AQ97" s="120"/>
      <c r="AR97" s="120"/>
      <c r="AS97" s="120"/>
      <c r="AT97" s="120"/>
      <c r="AU97" s="120"/>
      <c r="AV97" s="120"/>
      <c r="AW97" s="120"/>
      <c r="AX97" s="120"/>
      <c r="AY97" s="120"/>
      <c r="AZ97" s="120"/>
      <c r="BA97" s="120"/>
      <c r="BB97" s="120"/>
      <c r="BC97" s="120"/>
      <c r="BD97" s="120"/>
      <c r="BE97" s="120"/>
      <c r="BF97" s="120"/>
      <c r="BG97" s="120"/>
      <c r="BH97" s="120"/>
      <c r="BI97" s="120"/>
      <c r="BJ97" s="120"/>
      <c r="BK97" s="120"/>
    </row>
    <row r="98" spans="1:63" ht="12.75" x14ac:dyDescent="0.2">
      <c r="A98" s="284">
        <f t="shared" si="66"/>
        <v>44166</v>
      </c>
      <c r="B98" s="120"/>
      <c r="C98" s="120"/>
      <c r="D98" s="120"/>
      <c r="E98" s="120"/>
      <c r="F98" s="120"/>
      <c r="G98" s="120"/>
      <c r="H98" s="120"/>
      <c r="I98" s="120"/>
      <c r="J98" s="120"/>
      <c r="K98" s="120"/>
      <c r="L98" s="120"/>
      <c r="M98" s="120"/>
      <c r="N98" s="120"/>
      <c r="O98" s="120"/>
      <c r="P98" s="120"/>
      <c r="Q98" s="120"/>
      <c r="R98" s="120"/>
      <c r="S98" s="123"/>
      <c r="T98" s="123"/>
      <c r="U98" s="115">
        <f ca="1">SUM(U$9:U$11)/12</f>
        <v>0</v>
      </c>
      <c r="V98" s="115">
        <f t="shared" ref="V98:AF98" ca="1" si="83">U98</f>
        <v>0</v>
      </c>
      <c r="W98" s="115">
        <f t="shared" ca="1" si="83"/>
        <v>0</v>
      </c>
      <c r="X98" s="115">
        <f t="shared" ca="1" si="83"/>
        <v>0</v>
      </c>
      <c r="Y98" s="115">
        <f t="shared" ca="1" si="83"/>
        <v>0</v>
      </c>
      <c r="Z98" s="115">
        <f t="shared" ca="1" si="83"/>
        <v>0</v>
      </c>
      <c r="AA98" s="115">
        <f t="shared" ca="1" si="83"/>
        <v>0</v>
      </c>
      <c r="AB98" s="115">
        <f t="shared" ca="1" si="83"/>
        <v>0</v>
      </c>
      <c r="AC98" s="115">
        <f t="shared" ca="1" si="83"/>
        <v>0</v>
      </c>
      <c r="AD98" s="115">
        <f t="shared" ca="1" si="83"/>
        <v>0</v>
      </c>
      <c r="AE98" s="115">
        <f t="shared" ca="1" si="83"/>
        <v>0</v>
      </c>
      <c r="AF98" s="115">
        <f t="shared" ca="1" si="83"/>
        <v>0</v>
      </c>
      <c r="AG98" s="120"/>
      <c r="AH98" s="120"/>
      <c r="AI98" s="120"/>
      <c r="AJ98" s="120"/>
      <c r="AK98" s="120"/>
      <c r="AL98" s="120"/>
      <c r="AM98" s="120"/>
      <c r="AN98" s="120"/>
      <c r="AO98" s="120"/>
      <c r="AP98" s="120"/>
      <c r="AQ98" s="120"/>
      <c r="AR98" s="120"/>
      <c r="AS98" s="120"/>
      <c r="AT98" s="120"/>
      <c r="AU98" s="120"/>
      <c r="AV98" s="120"/>
      <c r="AW98" s="120"/>
      <c r="AX98" s="120"/>
      <c r="AY98" s="120"/>
      <c r="AZ98" s="120"/>
      <c r="BA98" s="120"/>
      <c r="BB98" s="120"/>
      <c r="BC98" s="120"/>
      <c r="BD98" s="120"/>
      <c r="BE98" s="120"/>
      <c r="BF98" s="120"/>
      <c r="BG98" s="120"/>
      <c r="BH98" s="120"/>
      <c r="BI98" s="120"/>
      <c r="BJ98" s="120"/>
      <c r="BK98" s="120"/>
    </row>
    <row r="99" spans="1:63" ht="12.75" x14ac:dyDescent="0.2">
      <c r="A99" s="284">
        <f t="shared" si="66"/>
        <v>44197</v>
      </c>
      <c r="B99" s="120"/>
      <c r="C99" s="120"/>
      <c r="D99" s="120"/>
      <c r="E99" s="120"/>
      <c r="F99" s="120"/>
      <c r="G99" s="120"/>
      <c r="H99" s="120"/>
      <c r="I99" s="120"/>
      <c r="J99" s="120"/>
      <c r="K99" s="120"/>
      <c r="L99" s="120"/>
      <c r="M99" s="120"/>
      <c r="N99" s="120"/>
      <c r="O99" s="120"/>
      <c r="P99" s="120"/>
      <c r="Q99" s="120"/>
      <c r="R99" s="120"/>
      <c r="S99" s="120"/>
      <c r="T99" s="123"/>
      <c r="U99" s="123"/>
      <c r="V99" s="115">
        <f ca="1">SUM(V$9:V$11)/12</f>
        <v>0</v>
      </c>
      <c r="W99" s="115">
        <f t="shared" ref="W99:AG99" ca="1" si="84">V99</f>
        <v>0</v>
      </c>
      <c r="X99" s="115">
        <f t="shared" ca="1" si="84"/>
        <v>0</v>
      </c>
      <c r="Y99" s="115">
        <f t="shared" ca="1" si="84"/>
        <v>0</v>
      </c>
      <c r="Z99" s="115">
        <f t="shared" ca="1" si="84"/>
        <v>0</v>
      </c>
      <c r="AA99" s="115">
        <f t="shared" ca="1" si="84"/>
        <v>0</v>
      </c>
      <c r="AB99" s="115">
        <f t="shared" ca="1" si="84"/>
        <v>0</v>
      </c>
      <c r="AC99" s="115">
        <f t="shared" ca="1" si="84"/>
        <v>0</v>
      </c>
      <c r="AD99" s="115">
        <f t="shared" ca="1" si="84"/>
        <v>0</v>
      </c>
      <c r="AE99" s="115">
        <f t="shared" ca="1" si="84"/>
        <v>0</v>
      </c>
      <c r="AF99" s="115">
        <f t="shared" ca="1" si="84"/>
        <v>0</v>
      </c>
      <c r="AG99" s="115">
        <f t="shared" ca="1" si="84"/>
        <v>0</v>
      </c>
      <c r="AH99" s="120"/>
      <c r="AI99" s="120"/>
      <c r="AJ99" s="120"/>
      <c r="AK99" s="120"/>
      <c r="AL99" s="120"/>
      <c r="AM99" s="120"/>
      <c r="AN99" s="120"/>
      <c r="AO99" s="120"/>
      <c r="AP99" s="120"/>
      <c r="AQ99" s="120"/>
      <c r="AR99" s="120"/>
      <c r="AS99" s="120"/>
      <c r="AT99" s="120"/>
      <c r="AU99" s="120"/>
      <c r="AV99" s="120"/>
      <c r="AW99" s="120"/>
      <c r="AX99" s="120"/>
      <c r="AY99" s="120"/>
      <c r="AZ99" s="120"/>
      <c r="BA99" s="120"/>
      <c r="BB99" s="120"/>
      <c r="BC99" s="120"/>
      <c r="BD99" s="120"/>
      <c r="BE99" s="120"/>
      <c r="BF99" s="120"/>
      <c r="BG99" s="120"/>
      <c r="BH99" s="120"/>
      <c r="BI99" s="120"/>
      <c r="BJ99" s="120"/>
      <c r="BK99" s="120"/>
    </row>
    <row r="100" spans="1:63" ht="12.75" x14ac:dyDescent="0.2">
      <c r="A100" s="284">
        <f t="shared" si="66"/>
        <v>44228</v>
      </c>
      <c r="B100" s="120"/>
      <c r="C100" s="120"/>
      <c r="D100" s="120"/>
      <c r="E100" s="120"/>
      <c r="F100" s="120"/>
      <c r="G100" s="120"/>
      <c r="H100" s="120"/>
      <c r="I100" s="120"/>
      <c r="J100" s="120"/>
      <c r="K100" s="120"/>
      <c r="L100" s="120"/>
      <c r="M100" s="120"/>
      <c r="N100" s="120"/>
      <c r="O100" s="120"/>
      <c r="P100" s="120"/>
      <c r="Q100" s="120"/>
      <c r="R100" s="120"/>
      <c r="S100" s="120"/>
      <c r="T100" s="120"/>
      <c r="U100" s="123"/>
      <c r="V100" s="123"/>
      <c r="W100" s="115">
        <f ca="1">SUM(W$9:W$11)/12</f>
        <v>0</v>
      </c>
      <c r="X100" s="115">
        <f t="shared" ref="X100:AH100" ca="1" si="85">W100</f>
        <v>0</v>
      </c>
      <c r="Y100" s="115">
        <f t="shared" ca="1" si="85"/>
        <v>0</v>
      </c>
      <c r="Z100" s="115">
        <f t="shared" ca="1" si="85"/>
        <v>0</v>
      </c>
      <c r="AA100" s="115">
        <f t="shared" ca="1" si="85"/>
        <v>0</v>
      </c>
      <c r="AB100" s="115">
        <f t="shared" ca="1" si="85"/>
        <v>0</v>
      </c>
      <c r="AC100" s="115">
        <f t="shared" ca="1" si="85"/>
        <v>0</v>
      </c>
      <c r="AD100" s="115">
        <f t="shared" ca="1" si="85"/>
        <v>0</v>
      </c>
      <c r="AE100" s="115">
        <f t="shared" ca="1" si="85"/>
        <v>0</v>
      </c>
      <c r="AF100" s="115">
        <f t="shared" ca="1" si="85"/>
        <v>0</v>
      </c>
      <c r="AG100" s="115">
        <f t="shared" ca="1" si="85"/>
        <v>0</v>
      </c>
      <c r="AH100" s="115">
        <f t="shared" ca="1" si="85"/>
        <v>0</v>
      </c>
      <c r="AI100" s="120"/>
      <c r="AJ100" s="120"/>
      <c r="AK100" s="120"/>
      <c r="AL100" s="120"/>
      <c r="AM100" s="120"/>
      <c r="AN100" s="120"/>
      <c r="AO100" s="120"/>
      <c r="AP100" s="120"/>
      <c r="AQ100" s="120"/>
      <c r="AR100" s="120"/>
      <c r="AS100" s="120"/>
      <c r="AT100" s="120"/>
      <c r="AU100" s="120"/>
      <c r="AV100" s="120"/>
      <c r="AW100" s="120"/>
      <c r="AX100" s="120"/>
      <c r="AY100" s="120"/>
      <c r="AZ100" s="120"/>
      <c r="BA100" s="120"/>
      <c r="BB100" s="120"/>
      <c r="BC100" s="120"/>
      <c r="BD100" s="120"/>
      <c r="BE100" s="120"/>
      <c r="BF100" s="120"/>
      <c r="BG100" s="120"/>
      <c r="BH100" s="120"/>
      <c r="BI100" s="120"/>
      <c r="BJ100" s="120"/>
      <c r="BK100" s="120"/>
    </row>
    <row r="101" spans="1:63" ht="12.75" x14ac:dyDescent="0.2">
      <c r="A101" s="284">
        <f t="shared" si="66"/>
        <v>44256</v>
      </c>
      <c r="B101" s="120"/>
      <c r="C101" s="120"/>
      <c r="D101" s="120"/>
      <c r="E101" s="120"/>
      <c r="F101" s="120"/>
      <c r="G101" s="120"/>
      <c r="H101" s="120"/>
      <c r="I101" s="120"/>
      <c r="J101" s="120"/>
      <c r="K101" s="120"/>
      <c r="L101" s="120"/>
      <c r="M101" s="120"/>
      <c r="N101" s="120"/>
      <c r="O101" s="120"/>
      <c r="P101" s="120"/>
      <c r="Q101" s="120"/>
      <c r="R101" s="120"/>
      <c r="S101" s="120"/>
      <c r="T101" s="120"/>
      <c r="U101" s="120"/>
      <c r="V101" s="123"/>
      <c r="W101" s="123"/>
      <c r="X101" s="115">
        <f ca="1">SUM(X$9:X$11)/12</f>
        <v>0</v>
      </c>
      <c r="Y101" s="115">
        <f t="shared" ref="Y101:AI101" ca="1" si="86">X101</f>
        <v>0</v>
      </c>
      <c r="Z101" s="115">
        <f t="shared" ca="1" si="86"/>
        <v>0</v>
      </c>
      <c r="AA101" s="115">
        <f t="shared" ca="1" si="86"/>
        <v>0</v>
      </c>
      <c r="AB101" s="115">
        <f t="shared" ca="1" si="86"/>
        <v>0</v>
      </c>
      <c r="AC101" s="115">
        <f t="shared" ca="1" si="86"/>
        <v>0</v>
      </c>
      <c r="AD101" s="115">
        <f t="shared" ca="1" si="86"/>
        <v>0</v>
      </c>
      <c r="AE101" s="115">
        <f t="shared" ca="1" si="86"/>
        <v>0</v>
      </c>
      <c r="AF101" s="115">
        <f t="shared" ca="1" si="86"/>
        <v>0</v>
      </c>
      <c r="AG101" s="115">
        <f t="shared" ca="1" si="86"/>
        <v>0</v>
      </c>
      <c r="AH101" s="115">
        <f t="shared" ca="1" si="86"/>
        <v>0</v>
      </c>
      <c r="AI101" s="115">
        <f t="shared" ca="1" si="86"/>
        <v>0</v>
      </c>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row>
    <row r="102" spans="1:63" ht="12.75" x14ac:dyDescent="0.2">
      <c r="A102" s="284">
        <f t="shared" si="66"/>
        <v>44287</v>
      </c>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3"/>
      <c r="X102" s="123"/>
      <c r="Y102" s="115">
        <f ca="1">SUM(Y$9:Y$11)/12</f>
        <v>0</v>
      </c>
      <c r="Z102" s="115">
        <f t="shared" ref="Z102:AJ102" ca="1" si="87">Y102</f>
        <v>0</v>
      </c>
      <c r="AA102" s="115">
        <f t="shared" ca="1" si="87"/>
        <v>0</v>
      </c>
      <c r="AB102" s="115">
        <f t="shared" ca="1" si="87"/>
        <v>0</v>
      </c>
      <c r="AC102" s="115">
        <f t="shared" ca="1" si="87"/>
        <v>0</v>
      </c>
      <c r="AD102" s="115">
        <f t="shared" ca="1" si="87"/>
        <v>0</v>
      </c>
      <c r="AE102" s="115">
        <f t="shared" ca="1" si="87"/>
        <v>0</v>
      </c>
      <c r="AF102" s="115">
        <f t="shared" ca="1" si="87"/>
        <v>0</v>
      </c>
      <c r="AG102" s="115">
        <f t="shared" ca="1" si="87"/>
        <v>0</v>
      </c>
      <c r="AH102" s="115">
        <f t="shared" ca="1" si="87"/>
        <v>0</v>
      </c>
      <c r="AI102" s="115">
        <f t="shared" ca="1" si="87"/>
        <v>0</v>
      </c>
      <c r="AJ102" s="115">
        <f t="shared" ca="1" si="87"/>
        <v>0</v>
      </c>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row>
    <row r="103" spans="1:63" ht="12.75" x14ac:dyDescent="0.2">
      <c r="A103" s="284">
        <f t="shared" si="66"/>
        <v>44317</v>
      </c>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3"/>
      <c r="Y103" s="123"/>
      <c r="Z103" s="115">
        <f ca="1">SUM(Z$9:Z$11)/12</f>
        <v>0</v>
      </c>
      <c r="AA103" s="115">
        <f t="shared" ref="AA103:AK103" ca="1" si="88">Z103</f>
        <v>0</v>
      </c>
      <c r="AB103" s="115">
        <f t="shared" ca="1" si="88"/>
        <v>0</v>
      </c>
      <c r="AC103" s="115">
        <f t="shared" ca="1" si="88"/>
        <v>0</v>
      </c>
      <c r="AD103" s="115">
        <f t="shared" ca="1" si="88"/>
        <v>0</v>
      </c>
      <c r="AE103" s="115">
        <f t="shared" ca="1" si="88"/>
        <v>0</v>
      </c>
      <c r="AF103" s="115">
        <f t="shared" ca="1" si="88"/>
        <v>0</v>
      </c>
      <c r="AG103" s="115">
        <f t="shared" ca="1" si="88"/>
        <v>0</v>
      </c>
      <c r="AH103" s="115">
        <f t="shared" ca="1" si="88"/>
        <v>0</v>
      </c>
      <c r="AI103" s="115">
        <f t="shared" ca="1" si="88"/>
        <v>0</v>
      </c>
      <c r="AJ103" s="115">
        <f t="shared" ca="1" si="88"/>
        <v>0</v>
      </c>
      <c r="AK103" s="115">
        <f t="shared" ca="1" si="88"/>
        <v>0</v>
      </c>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row>
    <row r="104" spans="1:63" ht="12.75" x14ac:dyDescent="0.2">
      <c r="A104" s="284">
        <f t="shared" si="66"/>
        <v>44348</v>
      </c>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3"/>
      <c r="Z104" s="123"/>
      <c r="AA104" s="115">
        <f ca="1">SUM(AA$9:AA$11)/12</f>
        <v>0</v>
      </c>
      <c r="AB104" s="115">
        <f t="shared" ref="AB104:AL104" ca="1" si="89">AA104</f>
        <v>0</v>
      </c>
      <c r="AC104" s="115">
        <f t="shared" ca="1" si="89"/>
        <v>0</v>
      </c>
      <c r="AD104" s="115">
        <f t="shared" ca="1" si="89"/>
        <v>0</v>
      </c>
      <c r="AE104" s="115">
        <f t="shared" ca="1" si="89"/>
        <v>0</v>
      </c>
      <c r="AF104" s="115">
        <f t="shared" ca="1" si="89"/>
        <v>0</v>
      </c>
      <c r="AG104" s="115">
        <f t="shared" ca="1" si="89"/>
        <v>0</v>
      </c>
      <c r="AH104" s="115">
        <f t="shared" ca="1" si="89"/>
        <v>0</v>
      </c>
      <c r="AI104" s="115">
        <f t="shared" ca="1" si="89"/>
        <v>0</v>
      </c>
      <c r="AJ104" s="115">
        <f t="shared" ca="1" si="89"/>
        <v>0</v>
      </c>
      <c r="AK104" s="115">
        <f t="shared" ca="1" si="89"/>
        <v>0</v>
      </c>
      <c r="AL104" s="115">
        <f t="shared" ca="1" si="89"/>
        <v>0</v>
      </c>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row>
    <row r="105" spans="1:63" ht="12.75" x14ac:dyDescent="0.2">
      <c r="A105" s="284">
        <f t="shared" si="66"/>
        <v>44378</v>
      </c>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3"/>
      <c r="AA105" s="123"/>
      <c r="AB105" s="115">
        <f ca="1">SUM(AB$9:AB$11)/12</f>
        <v>0</v>
      </c>
      <c r="AC105" s="115">
        <f t="shared" ref="AC105:AM105" ca="1" si="90">AB105</f>
        <v>0</v>
      </c>
      <c r="AD105" s="115">
        <f t="shared" ca="1" si="90"/>
        <v>0</v>
      </c>
      <c r="AE105" s="115">
        <f t="shared" ca="1" si="90"/>
        <v>0</v>
      </c>
      <c r="AF105" s="115">
        <f t="shared" ca="1" si="90"/>
        <v>0</v>
      </c>
      <c r="AG105" s="115">
        <f t="shared" ca="1" si="90"/>
        <v>0</v>
      </c>
      <c r="AH105" s="115">
        <f t="shared" ca="1" si="90"/>
        <v>0</v>
      </c>
      <c r="AI105" s="115">
        <f t="shared" ca="1" si="90"/>
        <v>0</v>
      </c>
      <c r="AJ105" s="115">
        <f t="shared" ca="1" si="90"/>
        <v>0</v>
      </c>
      <c r="AK105" s="115">
        <f t="shared" ca="1" si="90"/>
        <v>0</v>
      </c>
      <c r="AL105" s="115">
        <f t="shared" ca="1" si="90"/>
        <v>0</v>
      </c>
      <c r="AM105" s="115">
        <f t="shared" ca="1" si="90"/>
        <v>0</v>
      </c>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row>
    <row r="106" spans="1:63" ht="12.75" x14ac:dyDescent="0.2">
      <c r="A106" s="284">
        <f t="shared" si="66"/>
        <v>44409</v>
      </c>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3"/>
      <c r="AB106" s="123"/>
      <c r="AC106" s="115">
        <f ca="1">SUM(AC$9:AC$11)/12</f>
        <v>0</v>
      </c>
      <c r="AD106" s="115">
        <f t="shared" ref="AD106:AN106" ca="1" si="91">AC106</f>
        <v>0</v>
      </c>
      <c r="AE106" s="115">
        <f t="shared" ca="1" si="91"/>
        <v>0</v>
      </c>
      <c r="AF106" s="115">
        <f t="shared" ca="1" si="91"/>
        <v>0</v>
      </c>
      <c r="AG106" s="115">
        <f t="shared" ca="1" si="91"/>
        <v>0</v>
      </c>
      <c r="AH106" s="115">
        <f t="shared" ca="1" si="91"/>
        <v>0</v>
      </c>
      <c r="AI106" s="115">
        <f t="shared" ca="1" si="91"/>
        <v>0</v>
      </c>
      <c r="AJ106" s="115">
        <f t="shared" ca="1" si="91"/>
        <v>0</v>
      </c>
      <c r="AK106" s="115">
        <f t="shared" ca="1" si="91"/>
        <v>0</v>
      </c>
      <c r="AL106" s="115">
        <f t="shared" ca="1" si="91"/>
        <v>0</v>
      </c>
      <c r="AM106" s="115">
        <f t="shared" ca="1" si="91"/>
        <v>0</v>
      </c>
      <c r="AN106" s="115">
        <f t="shared" ca="1" si="91"/>
        <v>0</v>
      </c>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row>
    <row r="107" spans="1:63" ht="12.75" x14ac:dyDescent="0.2">
      <c r="A107" s="284">
        <f t="shared" si="66"/>
        <v>44440</v>
      </c>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c r="AB107" s="123"/>
      <c r="AC107" s="123"/>
      <c r="AD107" s="115">
        <f ca="1">SUM(AD$9:AD$11)/12</f>
        <v>0</v>
      </c>
      <c r="AE107" s="115">
        <f t="shared" ref="AE107:AO107" ca="1" si="92">AD107</f>
        <v>0</v>
      </c>
      <c r="AF107" s="115">
        <f t="shared" ca="1" si="92"/>
        <v>0</v>
      </c>
      <c r="AG107" s="115">
        <f t="shared" ca="1" si="92"/>
        <v>0</v>
      </c>
      <c r="AH107" s="115">
        <f t="shared" ca="1" si="92"/>
        <v>0</v>
      </c>
      <c r="AI107" s="115">
        <f t="shared" ca="1" si="92"/>
        <v>0</v>
      </c>
      <c r="AJ107" s="115">
        <f t="shared" ca="1" si="92"/>
        <v>0</v>
      </c>
      <c r="AK107" s="115">
        <f t="shared" ca="1" si="92"/>
        <v>0</v>
      </c>
      <c r="AL107" s="115">
        <f t="shared" ca="1" si="92"/>
        <v>0</v>
      </c>
      <c r="AM107" s="115">
        <f t="shared" ca="1" si="92"/>
        <v>0</v>
      </c>
      <c r="AN107" s="115">
        <f t="shared" ca="1" si="92"/>
        <v>0</v>
      </c>
      <c r="AO107" s="115">
        <f t="shared" ca="1" si="92"/>
        <v>0</v>
      </c>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row>
    <row r="108" spans="1:63" ht="12.75" x14ac:dyDescent="0.2">
      <c r="A108" s="284">
        <f t="shared" si="66"/>
        <v>44470</v>
      </c>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3"/>
      <c r="AD108" s="123"/>
      <c r="AE108" s="115">
        <f ca="1">SUM(AE$9:AE$11)/12</f>
        <v>0</v>
      </c>
      <c r="AF108" s="115">
        <f t="shared" ref="AF108:AP108" ca="1" si="93">AE108</f>
        <v>0</v>
      </c>
      <c r="AG108" s="115">
        <f t="shared" ca="1" si="93"/>
        <v>0</v>
      </c>
      <c r="AH108" s="115">
        <f t="shared" ca="1" si="93"/>
        <v>0</v>
      </c>
      <c r="AI108" s="115">
        <f t="shared" ca="1" si="93"/>
        <v>0</v>
      </c>
      <c r="AJ108" s="115">
        <f t="shared" ca="1" si="93"/>
        <v>0</v>
      </c>
      <c r="AK108" s="115">
        <f t="shared" ca="1" si="93"/>
        <v>0</v>
      </c>
      <c r="AL108" s="115">
        <f t="shared" ca="1" si="93"/>
        <v>0</v>
      </c>
      <c r="AM108" s="115">
        <f t="shared" ca="1" si="93"/>
        <v>0</v>
      </c>
      <c r="AN108" s="115">
        <f t="shared" ca="1" si="93"/>
        <v>0</v>
      </c>
      <c r="AO108" s="115">
        <f t="shared" ca="1" si="93"/>
        <v>0</v>
      </c>
      <c r="AP108" s="115">
        <f t="shared" ca="1" si="93"/>
        <v>0</v>
      </c>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row>
    <row r="109" spans="1:63" ht="12.75" x14ac:dyDescent="0.2">
      <c r="A109" s="284">
        <f t="shared" si="66"/>
        <v>44501</v>
      </c>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23"/>
      <c r="AE109" s="123"/>
      <c r="AF109" s="115">
        <f ca="1">SUM(AF$9:AF$11)/12</f>
        <v>0</v>
      </c>
      <c r="AG109" s="115">
        <f t="shared" ref="AG109:AQ109" ca="1" si="94">AF109</f>
        <v>0</v>
      </c>
      <c r="AH109" s="115">
        <f t="shared" ca="1" si="94"/>
        <v>0</v>
      </c>
      <c r="AI109" s="115">
        <f t="shared" ca="1" si="94"/>
        <v>0</v>
      </c>
      <c r="AJ109" s="115">
        <f t="shared" ca="1" si="94"/>
        <v>0</v>
      </c>
      <c r="AK109" s="115">
        <f t="shared" ca="1" si="94"/>
        <v>0</v>
      </c>
      <c r="AL109" s="115">
        <f t="shared" ca="1" si="94"/>
        <v>0</v>
      </c>
      <c r="AM109" s="115">
        <f t="shared" ca="1" si="94"/>
        <v>0</v>
      </c>
      <c r="AN109" s="115">
        <f t="shared" ca="1" si="94"/>
        <v>0</v>
      </c>
      <c r="AO109" s="115">
        <f t="shared" ca="1" si="94"/>
        <v>0</v>
      </c>
      <c r="AP109" s="115">
        <f t="shared" ca="1" si="94"/>
        <v>0</v>
      </c>
      <c r="AQ109" s="115">
        <f t="shared" ca="1" si="94"/>
        <v>0</v>
      </c>
      <c r="AR109" s="120"/>
      <c r="AS109" s="120"/>
      <c r="AT109" s="120"/>
      <c r="AU109" s="120"/>
      <c r="AV109" s="120"/>
      <c r="AW109" s="120"/>
      <c r="AX109" s="120"/>
      <c r="AY109" s="120"/>
      <c r="AZ109" s="120"/>
      <c r="BA109" s="120"/>
      <c r="BB109" s="120"/>
      <c r="BC109" s="120"/>
      <c r="BD109" s="120"/>
      <c r="BE109" s="120"/>
      <c r="BF109" s="120"/>
      <c r="BG109" s="120"/>
      <c r="BH109" s="120"/>
      <c r="BI109" s="120"/>
      <c r="BJ109" s="120"/>
      <c r="BK109" s="120"/>
    </row>
    <row r="110" spans="1:63" ht="12.75" x14ac:dyDescent="0.2">
      <c r="A110" s="284">
        <f t="shared" si="66"/>
        <v>44531</v>
      </c>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3"/>
      <c r="AF110" s="123"/>
      <c r="AG110" s="115">
        <f ca="1">SUM(AG$9:AG$11)/12</f>
        <v>0</v>
      </c>
      <c r="AH110" s="115">
        <f t="shared" ref="AH110:AR110" ca="1" si="95">AG110</f>
        <v>0</v>
      </c>
      <c r="AI110" s="115">
        <f t="shared" ca="1" si="95"/>
        <v>0</v>
      </c>
      <c r="AJ110" s="115">
        <f t="shared" ca="1" si="95"/>
        <v>0</v>
      </c>
      <c r="AK110" s="115">
        <f t="shared" ca="1" si="95"/>
        <v>0</v>
      </c>
      <c r="AL110" s="115">
        <f t="shared" ca="1" si="95"/>
        <v>0</v>
      </c>
      <c r="AM110" s="115">
        <f t="shared" ca="1" si="95"/>
        <v>0</v>
      </c>
      <c r="AN110" s="115">
        <f t="shared" ca="1" si="95"/>
        <v>0</v>
      </c>
      <c r="AO110" s="115">
        <f t="shared" ca="1" si="95"/>
        <v>0</v>
      </c>
      <c r="AP110" s="115">
        <f t="shared" ca="1" si="95"/>
        <v>0</v>
      </c>
      <c r="AQ110" s="115">
        <f t="shared" ca="1" si="95"/>
        <v>0</v>
      </c>
      <c r="AR110" s="115">
        <f t="shared" ca="1" si="95"/>
        <v>0</v>
      </c>
      <c r="AS110" s="120"/>
      <c r="AT110" s="120"/>
      <c r="AU110" s="120"/>
      <c r="AV110" s="120"/>
      <c r="AW110" s="120"/>
      <c r="AX110" s="120"/>
      <c r="AY110" s="120"/>
      <c r="AZ110" s="120"/>
      <c r="BA110" s="120"/>
      <c r="BB110" s="120"/>
      <c r="BC110" s="120"/>
      <c r="BD110" s="120"/>
      <c r="BE110" s="120"/>
      <c r="BF110" s="120"/>
      <c r="BG110" s="120"/>
      <c r="BH110" s="120"/>
      <c r="BI110" s="120"/>
      <c r="BJ110" s="120"/>
      <c r="BK110" s="120"/>
    </row>
    <row r="111" spans="1:63" ht="12.75" x14ac:dyDescent="0.2">
      <c r="A111" s="284">
        <f t="shared" si="66"/>
        <v>44562</v>
      </c>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3"/>
      <c r="AG111" s="123"/>
      <c r="AH111" s="115">
        <f ca="1">SUM(AH$9:AH$11)/12</f>
        <v>0</v>
      </c>
      <c r="AI111" s="115">
        <f t="shared" ref="AI111:AS111" ca="1" si="96">AH111</f>
        <v>0</v>
      </c>
      <c r="AJ111" s="115">
        <f t="shared" ca="1" si="96"/>
        <v>0</v>
      </c>
      <c r="AK111" s="115">
        <f t="shared" ca="1" si="96"/>
        <v>0</v>
      </c>
      <c r="AL111" s="115">
        <f t="shared" ca="1" si="96"/>
        <v>0</v>
      </c>
      <c r="AM111" s="115">
        <f t="shared" ca="1" si="96"/>
        <v>0</v>
      </c>
      <c r="AN111" s="115">
        <f t="shared" ca="1" si="96"/>
        <v>0</v>
      </c>
      <c r="AO111" s="115">
        <f t="shared" ca="1" si="96"/>
        <v>0</v>
      </c>
      <c r="AP111" s="115">
        <f t="shared" ca="1" si="96"/>
        <v>0</v>
      </c>
      <c r="AQ111" s="115">
        <f t="shared" ca="1" si="96"/>
        <v>0</v>
      </c>
      <c r="AR111" s="115">
        <f t="shared" ca="1" si="96"/>
        <v>0</v>
      </c>
      <c r="AS111" s="115">
        <f t="shared" ca="1" si="96"/>
        <v>0</v>
      </c>
      <c r="AT111" s="120"/>
      <c r="AU111" s="120"/>
      <c r="AV111" s="120"/>
      <c r="AW111" s="120"/>
      <c r="AX111" s="120"/>
      <c r="AY111" s="120"/>
      <c r="AZ111" s="120"/>
      <c r="BA111" s="120"/>
      <c r="BB111" s="120"/>
      <c r="BC111" s="120"/>
      <c r="BD111" s="120"/>
      <c r="BE111" s="120"/>
      <c r="BF111" s="120"/>
      <c r="BG111" s="120"/>
      <c r="BH111" s="120"/>
      <c r="BI111" s="120"/>
      <c r="BJ111" s="120"/>
      <c r="BK111" s="120"/>
    </row>
    <row r="112" spans="1:63" ht="12.75" x14ac:dyDescent="0.2">
      <c r="A112" s="284">
        <f t="shared" si="66"/>
        <v>44593</v>
      </c>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3"/>
      <c r="AH112" s="123"/>
      <c r="AI112" s="115">
        <f ca="1">SUM(AI$9:AI$11)/12</f>
        <v>0</v>
      </c>
      <c r="AJ112" s="115">
        <f t="shared" ref="AJ112:AT112" ca="1" si="97">AI112</f>
        <v>0</v>
      </c>
      <c r="AK112" s="115">
        <f t="shared" ca="1" si="97"/>
        <v>0</v>
      </c>
      <c r="AL112" s="115">
        <f t="shared" ca="1" si="97"/>
        <v>0</v>
      </c>
      <c r="AM112" s="115">
        <f t="shared" ca="1" si="97"/>
        <v>0</v>
      </c>
      <c r="AN112" s="115">
        <f t="shared" ca="1" si="97"/>
        <v>0</v>
      </c>
      <c r="AO112" s="115">
        <f t="shared" ca="1" si="97"/>
        <v>0</v>
      </c>
      <c r="AP112" s="115">
        <f t="shared" ca="1" si="97"/>
        <v>0</v>
      </c>
      <c r="AQ112" s="115">
        <f t="shared" ca="1" si="97"/>
        <v>0</v>
      </c>
      <c r="AR112" s="115">
        <f t="shared" ca="1" si="97"/>
        <v>0</v>
      </c>
      <c r="AS112" s="115">
        <f t="shared" ca="1" si="97"/>
        <v>0</v>
      </c>
      <c r="AT112" s="115">
        <f t="shared" ca="1" si="97"/>
        <v>0</v>
      </c>
      <c r="AU112" s="120"/>
      <c r="AV112" s="120"/>
      <c r="AW112" s="120"/>
      <c r="AX112" s="120"/>
      <c r="AY112" s="120"/>
      <c r="AZ112" s="120"/>
      <c r="BA112" s="120"/>
      <c r="BB112" s="120"/>
      <c r="BC112" s="120"/>
      <c r="BD112" s="120"/>
      <c r="BE112" s="120"/>
      <c r="BF112" s="120"/>
      <c r="BG112" s="120"/>
      <c r="BH112" s="120"/>
      <c r="BI112" s="120"/>
      <c r="BJ112" s="120"/>
      <c r="BK112" s="120"/>
    </row>
    <row r="113" spans="1:63" ht="12.75" x14ac:dyDescent="0.2">
      <c r="A113" s="284">
        <f t="shared" si="66"/>
        <v>44621</v>
      </c>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3"/>
      <c r="AI113" s="123"/>
      <c r="AJ113" s="115">
        <f ca="1">SUM(AJ$9:AJ$11)/12</f>
        <v>0</v>
      </c>
      <c r="AK113" s="115">
        <f t="shared" ref="AK113:AU113" ca="1" si="98">AJ113</f>
        <v>0</v>
      </c>
      <c r="AL113" s="115">
        <f t="shared" ca="1" si="98"/>
        <v>0</v>
      </c>
      <c r="AM113" s="115">
        <f t="shared" ca="1" si="98"/>
        <v>0</v>
      </c>
      <c r="AN113" s="115">
        <f t="shared" ca="1" si="98"/>
        <v>0</v>
      </c>
      <c r="AO113" s="115">
        <f t="shared" ca="1" si="98"/>
        <v>0</v>
      </c>
      <c r="AP113" s="115">
        <f t="shared" ca="1" si="98"/>
        <v>0</v>
      </c>
      <c r="AQ113" s="115">
        <f t="shared" ca="1" si="98"/>
        <v>0</v>
      </c>
      <c r="AR113" s="115">
        <f t="shared" ca="1" si="98"/>
        <v>0</v>
      </c>
      <c r="AS113" s="115">
        <f t="shared" ca="1" si="98"/>
        <v>0</v>
      </c>
      <c r="AT113" s="115">
        <f t="shared" ca="1" si="98"/>
        <v>0</v>
      </c>
      <c r="AU113" s="115">
        <f t="shared" ca="1" si="98"/>
        <v>0</v>
      </c>
      <c r="AV113" s="120"/>
      <c r="AW113" s="120"/>
      <c r="AX113" s="120"/>
      <c r="AY113" s="120"/>
      <c r="AZ113" s="120"/>
      <c r="BA113" s="120"/>
      <c r="BB113" s="120"/>
      <c r="BC113" s="120"/>
      <c r="BD113" s="120"/>
      <c r="BE113" s="120"/>
      <c r="BF113" s="120"/>
      <c r="BG113" s="120"/>
      <c r="BH113" s="120"/>
      <c r="BI113" s="120"/>
      <c r="BJ113" s="120"/>
      <c r="BK113" s="120"/>
    </row>
    <row r="114" spans="1:63" ht="12.75" x14ac:dyDescent="0.2">
      <c r="A114" s="284">
        <f t="shared" si="66"/>
        <v>44652</v>
      </c>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3"/>
      <c r="AJ114" s="123"/>
      <c r="AK114" s="115">
        <f ca="1">SUM(AK$9:AK$11)/12</f>
        <v>0</v>
      </c>
      <c r="AL114" s="115">
        <f t="shared" ref="AL114:AV114" ca="1" si="99">AK114</f>
        <v>0</v>
      </c>
      <c r="AM114" s="115">
        <f t="shared" ca="1" si="99"/>
        <v>0</v>
      </c>
      <c r="AN114" s="115">
        <f t="shared" ca="1" si="99"/>
        <v>0</v>
      </c>
      <c r="AO114" s="115">
        <f t="shared" ca="1" si="99"/>
        <v>0</v>
      </c>
      <c r="AP114" s="115">
        <f t="shared" ca="1" si="99"/>
        <v>0</v>
      </c>
      <c r="AQ114" s="115">
        <f t="shared" ca="1" si="99"/>
        <v>0</v>
      </c>
      <c r="AR114" s="115">
        <f t="shared" ca="1" si="99"/>
        <v>0</v>
      </c>
      <c r="AS114" s="115">
        <f t="shared" ca="1" si="99"/>
        <v>0</v>
      </c>
      <c r="AT114" s="115">
        <f t="shared" ca="1" si="99"/>
        <v>0</v>
      </c>
      <c r="AU114" s="115">
        <f t="shared" ca="1" si="99"/>
        <v>0</v>
      </c>
      <c r="AV114" s="115">
        <f t="shared" ca="1" si="99"/>
        <v>0</v>
      </c>
      <c r="AW114" s="120"/>
      <c r="AX114" s="120"/>
      <c r="AY114" s="120"/>
      <c r="AZ114" s="120"/>
      <c r="BA114" s="120"/>
      <c r="BB114" s="120"/>
      <c r="BC114" s="120"/>
      <c r="BD114" s="120"/>
      <c r="BE114" s="120"/>
      <c r="BF114" s="120"/>
      <c r="BG114" s="120"/>
      <c r="BH114" s="120"/>
      <c r="BI114" s="120"/>
      <c r="BJ114" s="120"/>
      <c r="BK114" s="120"/>
    </row>
    <row r="115" spans="1:63" ht="12.75" x14ac:dyDescent="0.2">
      <c r="A115" s="284">
        <f t="shared" si="66"/>
        <v>44682</v>
      </c>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3"/>
      <c r="AK115" s="123"/>
      <c r="AL115" s="115">
        <f ca="1">SUM(AL$9:AL$11)/12</f>
        <v>0</v>
      </c>
      <c r="AM115" s="115">
        <f t="shared" ref="AM115:AW115" ca="1" si="100">AL115</f>
        <v>0</v>
      </c>
      <c r="AN115" s="115">
        <f t="shared" ca="1" si="100"/>
        <v>0</v>
      </c>
      <c r="AO115" s="115">
        <f t="shared" ca="1" si="100"/>
        <v>0</v>
      </c>
      <c r="AP115" s="115">
        <f t="shared" ca="1" si="100"/>
        <v>0</v>
      </c>
      <c r="AQ115" s="115">
        <f t="shared" ca="1" si="100"/>
        <v>0</v>
      </c>
      <c r="AR115" s="115">
        <f t="shared" ca="1" si="100"/>
        <v>0</v>
      </c>
      <c r="AS115" s="115">
        <f t="shared" ca="1" si="100"/>
        <v>0</v>
      </c>
      <c r="AT115" s="115">
        <f t="shared" ca="1" si="100"/>
        <v>0</v>
      </c>
      <c r="AU115" s="115">
        <f t="shared" ca="1" si="100"/>
        <v>0</v>
      </c>
      <c r="AV115" s="115">
        <f t="shared" ca="1" si="100"/>
        <v>0</v>
      </c>
      <c r="AW115" s="115">
        <f t="shared" ca="1" si="100"/>
        <v>0</v>
      </c>
      <c r="AX115" s="120"/>
      <c r="AY115" s="120"/>
      <c r="AZ115" s="120"/>
      <c r="BA115" s="120"/>
      <c r="BB115" s="120"/>
      <c r="BC115" s="120"/>
      <c r="BD115" s="120"/>
      <c r="BE115" s="120"/>
      <c r="BF115" s="120"/>
      <c r="BG115" s="120"/>
      <c r="BH115" s="120"/>
      <c r="BI115" s="120"/>
      <c r="BJ115" s="120"/>
      <c r="BK115" s="120"/>
    </row>
    <row r="116" spans="1:63" ht="12.75" x14ac:dyDescent="0.2">
      <c r="A116" s="284">
        <f t="shared" si="66"/>
        <v>44713</v>
      </c>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3"/>
      <c r="AL116" s="123"/>
      <c r="AM116" s="115">
        <f ca="1">SUM(AM$9:AM$11)/12</f>
        <v>0</v>
      </c>
      <c r="AN116" s="115">
        <f t="shared" ref="AN116:AX116" ca="1" si="101">AM116</f>
        <v>0</v>
      </c>
      <c r="AO116" s="115">
        <f t="shared" ca="1" si="101"/>
        <v>0</v>
      </c>
      <c r="AP116" s="115">
        <f t="shared" ca="1" si="101"/>
        <v>0</v>
      </c>
      <c r="AQ116" s="115">
        <f t="shared" ca="1" si="101"/>
        <v>0</v>
      </c>
      <c r="AR116" s="115">
        <f t="shared" ca="1" si="101"/>
        <v>0</v>
      </c>
      <c r="AS116" s="115">
        <f t="shared" ca="1" si="101"/>
        <v>0</v>
      </c>
      <c r="AT116" s="115">
        <f t="shared" ca="1" si="101"/>
        <v>0</v>
      </c>
      <c r="AU116" s="115">
        <f t="shared" ca="1" si="101"/>
        <v>0</v>
      </c>
      <c r="AV116" s="115">
        <f t="shared" ca="1" si="101"/>
        <v>0</v>
      </c>
      <c r="AW116" s="115">
        <f t="shared" ca="1" si="101"/>
        <v>0</v>
      </c>
      <c r="AX116" s="115">
        <f t="shared" ca="1" si="101"/>
        <v>0</v>
      </c>
      <c r="AY116" s="120"/>
      <c r="AZ116" s="120"/>
      <c r="BA116" s="120"/>
      <c r="BB116" s="120"/>
      <c r="BC116" s="120"/>
      <c r="BD116" s="120"/>
      <c r="BE116" s="120"/>
      <c r="BF116" s="120"/>
      <c r="BG116" s="120"/>
      <c r="BH116" s="120"/>
      <c r="BI116" s="120"/>
      <c r="BJ116" s="120"/>
      <c r="BK116" s="120"/>
    </row>
    <row r="117" spans="1:63" ht="12.75" x14ac:dyDescent="0.2">
      <c r="A117" s="284">
        <f t="shared" si="66"/>
        <v>44743</v>
      </c>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3"/>
      <c r="AM117" s="123"/>
      <c r="AN117" s="115">
        <f ca="1">SUM(AN$9:AN$11)/12</f>
        <v>0</v>
      </c>
      <c r="AO117" s="115">
        <f t="shared" ref="AO117:AY117" ca="1" si="102">AN117</f>
        <v>0</v>
      </c>
      <c r="AP117" s="115">
        <f t="shared" ca="1" si="102"/>
        <v>0</v>
      </c>
      <c r="AQ117" s="115">
        <f t="shared" ca="1" si="102"/>
        <v>0</v>
      </c>
      <c r="AR117" s="115">
        <f t="shared" ca="1" si="102"/>
        <v>0</v>
      </c>
      <c r="AS117" s="115">
        <f t="shared" ca="1" si="102"/>
        <v>0</v>
      </c>
      <c r="AT117" s="115">
        <f t="shared" ca="1" si="102"/>
        <v>0</v>
      </c>
      <c r="AU117" s="115">
        <f t="shared" ca="1" si="102"/>
        <v>0</v>
      </c>
      <c r="AV117" s="115">
        <f t="shared" ca="1" si="102"/>
        <v>0</v>
      </c>
      <c r="AW117" s="115">
        <f t="shared" ca="1" si="102"/>
        <v>0</v>
      </c>
      <c r="AX117" s="115">
        <f t="shared" ca="1" si="102"/>
        <v>0</v>
      </c>
      <c r="AY117" s="115">
        <f t="shared" ca="1" si="102"/>
        <v>0</v>
      </c>
      <c r="AZ117" s="120"/>
      <c r="BA117" s="120"/>
      <c r="BB117" s="120"/>
      <c r="BC117" s="120"/>
      <c r="BD117" s="120"/>
      <c r="BE117" s="120"/>
      <c r="BF117" s="120"/>
      <c r="BG117" s="120"/>
      <c r="BH117" s="120"/>
      <c r="BI117" s="120"/>
      <c r="BJ117" s="120"/>
      <c r="BK117" s="120"/>
    </row>
    <row r="118" spans="1:63" ht="12.75" x14ac:dyDescent="0.2">
      <c r="A118" s="284">
        <f t="shared" si="66"/>
        <v>44774</v>
      </c>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3"/>
      <c r="AN118" s="123"/>
      <c r="AO118" s="115">
        <f ca="1">SUM(AO$9:AO$11)/12</f>
        <v>0</v>
      </c>
      <c r="AP118" s="115">
        <f t="shared" ref="AP118:AZ118" ca="1" si="103">AO118</f>
        <v>0</v>
      </c>
      <c r="AQ118" s="115">
        <f t="shared" ca="1" si="103"/>
        <v>0</v>
      </c>
      <c r="AR118" s="115">
        <f t="shared" ca="1" si="103"/>
        <v>0</v>
      </c>
      <c r="AS118" s="115">
        <f t="shared" ca="1" si="103"/>
        <v>0</v>
      </c>
      <c r="AT118" s="115">
        <f t="shared" ca="1" si="103"/>
        <v>0</v>
      </c>
      <c r="AU118" s="115">
        <f t="shared" ca="1" si="103"/>
        <v>0</v>
      </c>
      <c r="AV118" s="115">
        <f t="shared" ca="1" si="103"/>
        <v>0</v>
      </c>
      <c r="AW118" s="115">
        <f t="shared" ca="1" si="103"/>
        <v>0</v>
      </c>
      <c r="AX118" s="115">
        <f t="shared" ca="1" si="103"/>
        <v>0</v>
      </c>
      <c r="AY118" s="115">
        <f t="shared" ca="1" si="103"/>
        <v>0</v>
      </c>
      <c r="AZ118" s="115">
        <f t="shared" ca="1" si="103"/>
        <v>0</v>
      </c>
      <c r="BA118" s="120"/>
      <c r="BB118" s="120"/>
      <c r="BC118" s="120"/>
      <c r="BD118" s="120"/>
      <c r="BE118" s="120"/>
      <c r="BF118" s="120"/>
      <c r="BG118" s="120"/>
      <c r="BH118" s="120"/>
      <c r="BI118" s="120"/>
      <c r="BJ118" s="120"/>
      <c r="BK118" s="120"/>
    </row>
    <row r="119" spans="1:63" ht="12.75" x14ac:dyDescent="0.2">
      <c r="A119" s="284">
        <f t="shared" si="66"/>
        <v>44805</v>
      </c>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c r="AM119" s="120"/>
      <c r="AN119" s="123"/>
      <c r="AO119" s="123"/>
      <c r="AP119" s="115">
        <f ca="1">SUM(AP$9:AP$11)/12</f>
        <v>0</v>
      </c>
      <c r="AQ119" s="115">
        <f t="shared" ref="AQ119:BA119" ca="1" si="104">AP119</f>
        <v>0</v>
      </c>
      <c r="AR119" s="115">
        <f t="shared" ca="1" si="104"/>
        <v>0</v>
      </c>
      <c r="AS119" s="115">
        <f t="shared" ca="1" si="104"/>
        <v>0</v>
      </c>
      <c r="AT119" s="115">
        <f t="shared" ca="1" si="104"/>
        <v>0</v>
      </c>
      <c r="AU119" s="115">
        <f t="shared" ca="1" si="104"/>
        <v>0</v>
      </c>
      <c r="AV119" s="115">
        <f t="shared" ca="1" si="104"/>
        <v>0</v>
      </c>
      <c r="AW119" s="115">
        <f t="shared" ca="1" si="104"/>
        <v>0</v>
      </c>
      <c r="AX119" s="115">
        <f t="shared" ca="1" si="104"/>
        <v>0</v>
      </c>
      <c r="AY119" s="115">
        <f t="shared" ca="1" si="104"/>
        <v>0</v>
      </c>
      <c r="AZ119" s="115">
        <f t="shared" ca="1" si="104"/>
        <v>0</v>
      </c>
      <c r="BA119" s="115">
        <f t="shared" ca="1" si="104"/>
        <v>0</v>
      </c>
      <c r="BB119" s="120"/>
      <c r="BC119" s="120"/>
      <c r="BD119" s="120"/>
      <c r="BE119" s="120"/>
      <c r="BF119" s="120"/>
      <c r="BG119" s="120"/>
      <c r="BH119" s="120"/>
      <c r="BI119" s="120"/>
      <c r="BJ119" s="120"/>
      <c r="BK119" s="120"/>
    </row>
    <row r="120" spans="1:63" ht="12.75" x14ac:dyDescent="0.2">
      <c r="A120" s="284">
        <f t="shared" si="66"/>
        <v>44835</v>
      </c>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0"/>
      <c r="AN120" s="120"/>
      <c r="AO120" s="123"/>
      <c r="AP120" s="123"/>
      <c r="AQ120" s="115">
        <f ca="1">SUM(AQ$9:AQ$11)/12</f>
        <v>0</v>
      </c>
      <c r="AR120" s="115">
        <f t="shared" ref="AR120:BB120" ca="1" si="105">AQ120</f>
        <v>0</v>
      </c>
      <c r="AS120" s="115">
        <f t="shared" ca="1" si="105"/>
        <v>0</v>
      </c>
      <c r="AT120" s="115">
        <f t="shared" ca="1" si="105"/>
        <v>0</v>
      </c>
      <c r="AU120" s="115">
        <f t="shared" ca="1" si="105"/>
        <v>0</v>
      </c>
      <c r="AV120" s="115">
        <f t="shared" ca="1" si="105"/>
        <v>0</v>
      </c>
      <c r="AW120" s="115">
        <f t="shared" ca="1" si="105"/>
        <v>0</v>
      </c>
      <c r="AX120" s="115">
        <f t="shared" ca="1" si="105"/>
        <v>0</v>
      </c>
      <c r="AY120" s="115">
        <f t="shared" ca="1" si="105"/>
        <v>0</v>
      </c>
      <c r="AZ120" s="115">
        <f t="shared" ca="1" si="105"/>
        <v>0</v>
      </c>
      <c r="BA120" s="115">
        <f t="shared" ca="1" si="105"/>
        <v>0</v>
      </c>
      <c r="BB120" s="115">
        <f t="shared" ca="1" si="105"/>
        <v>0</v>
      </c>
      <c r="BC120" s="120"/>
      <c r="BD120" s="120"/>
      <c r="BE120" s="120"/>
      <c r="BF120" s="120"/>
      <c r="BG120" s="120"/>
      <c r="BH120" s="120"/>
      <c r="BI120" s="120"/>
      <c r="BJ120" s="120"/>
      <c r="BK120" s="120"/>
    </row>
    <row r="121" spans="1:63" ht="12.75" x14ac:dyDescent="0.2">
      <c r="A121" s="284">
        <f t="shared" si="66"/>
        <v>44866</v>
      </c>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3"/>
      <c r="AQ121" s="123"/>
      <c r="AR121" s="115">
        <f ca="1">SUM(AR$9:AR$11)/12</f>
        <v>0</v>
      </c>
      <c r="AS121" s="115">
        <f t="shared" ref="AS121:BC121" ca="1" si="106">AR121</f>
        <v>0</v>
      </c>
      <c r="AT121" s="115">
        <f t="shared" ca="1" si="106"/>
        <v>0</v>
      </c>
      <c r="AU121" s="115">
        <f t="shared" ca="1" si="106"/>
        <v>0</v>
      </c>
      <c r="AV121" s="115">
        <f t="shared" ca="1" si="106"/>
        <v>0</v>
      </c>
      <c r="AW121" s="115">
        <f t="shared" ca="1" si="106"/>
        <v>0</v>
      </c>
      <c r="AX121" s="115">
        <f t="shared" ca="1" si="106"/>
        <v>0</v>
      </c>
      <c r="AY121" s="115">
        <f t="shared" ca="1" si="106"/>
        <v>0</v>
      </c>
      <c r="AZ121" s="115">
        <f t="shared" ca="1" si="106"/>
        <v>0</v>
      </c>
      <c r="BA121" s="115">
        <f t="shared" ca="1" si="106"/>
        <v>0</v>
      </c>
      <c r="BB121" s="115">
        <f t="shared" ca="1" si="106"/>
        <v>0</v>
      </c>
      <c r="BC121" s="115">
        <f t="shared" ca="1" si="106"/>
        <v>0</v>
      </c>
      <c r="BD121" s="120"/>
      <c r="BE121" s="120"/>
      <c r="BF121" s="120"/>
      <c r="BG121" s="120"/>
      <c r="BH121" s="120"/>
      <c r="BI121" s="120"/>
      <c r="BJ121" s="120"/>
      <c r="BK121" s="120"/>
    </row>
    <row r="122" spans="1:63" ht="12.75" x14ac:dyDescent="0.2">
      <c r="A122" s="284">
        <f t="shared" si="66"/>
        <v>44896</v>
      </c>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0"/>
      <c r="AN122" s="120"/>
      <c r="AO122" s="120"/>
      <c r="AP122" s="120"/>
      <c r="AQ122" s="123"/>
      <c r="AR122" s="123"/>
      <c r="AS122" s="115">
        <f ca="1">SUM(AS$9:AS$11)/12</f>
        <v>0</v>
      </c>
      <c r="AT122" s="115">
        <f t="shared" ref="AT122:BD122" ca="1" si="107">AS122</f>
        <v>0</v>
      </c>
      <c r="AU122" s="115">
        <f t="shared" ca="1" si="107"/>
        <v>0</v>
      </c>
      <c r="AV122" s="115">
        <f t="shared" ca="1" si="107"/>
        <v>0</v>
      </c>
      <c r="AW122" s="115">
        <f t="shared" ca="1" si="107"/>
        <v>0</v>
      </c>
      <c r="AX122" s="115">
        <f t="shared" ca="1" si="107"/>
        <v>0</v>
      </c>
      <c r="AY122" s="115">
        <f t="shared" ca="1" si="107"/>
        <v>0</v>
      </c>
      <c r="AZ122" s="115">
        <f t="shared" ca="1" si="107"/>
        <v>0</v>
      </c>
      <c r="BA122" s="115">
        <f t="shared" ca="1" si="107"/>
        <v>0</v>
      </c>
      <c r="BB122" s="115">
        <f t="shared" ca="1" si="107"/>
        <v>0</v>
      </c>
      <c r="BC122" s="115">
        <f t="shared" ca="1" si="107"/>
        <v>0</v>
      </c>
      <c r="BD122" s="115">
        <f t="shared" ca="1" si="107"/>
        <v>0</v>
      </c>
      <c r="BE122" s="120"/>
      <c r="BF122" s="120"/>
      <c r="BG122" s="120"/>
      <c r="BH122" s="120"/>
      <c r="BI122" s="120"/>
      <c r="BJ122" s="120"/>
      <c r="BK122" s="120"/>
    </row>
    <row r="123" spans="1:63" ht="12.75" x14ac:dyDescent="0.2">
      <c r="A123" s="284">
        <f t="shared" si="66"/>
        <v>44927</v>
      </c>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c r="AM123" s="120"/>
      <c r="AN123" s="120"/>
      <c r="AO123" s="120"/>
      <c r="AP123" s="120"/>
      <c r="AQ123" s="120"/>
      <c r="AR123" s="123"/>
      <c r="AS123" s="123"/>
      <c r="AT123" s="115">
        <f ca="1">SUM(AT$9:AT$11)/12</f>
        <v>0</v>
      </c>
      <c r="AU123" s="115">
        <f t="shared" ref="AU123:BE123" ca="1" si="108">AT123</f>
        <v>0</v>
      </c>
      <c r="AV123" s="115">
        <f t="shared" ca="1" si="108"/>
        <v>0</v>
      </c>
      <c r="AW123" s="115">
        <f t="shared" ca="1" si="108"/>
        <v>0</v>
      </c>
      <c r="AX123" s="115">
        <f t="shared" ca="1" si="108"/>
        <v>0</v>
      </c>
      <c r="AY123" s="115">
        <f t="shared" ca="1" si="108"/>
        <v>0</v>
      </c>
      <c r="AZ123" s="115">
        <f t="shared" ca="1" si="108"/>
        <v>0</v>
      </c>
      <c r="BA123" s="115">
        <f t="shared" ca="1" si="108"/>
        <v>0</v>
      </c>
      <c r="BB123" s="115">
        <f t="shared" ca="1" si="108"/>
        <v>0</v>
      </c>
      <c r="BC123" s="115">
        <f t="shared" ca="1" si="108"/>
        <v>0</v>
      </c>
      <c r="BD123" s="115">
        <f t="shared" ca="1" si="108"/>
        <v>0</v>
      </c>
      <c r="BE123" s="115">
        <f t="shared" ca="1" si="108"/>
        <v>0</v>
      </c>
      <c r="BF123" s="120"/>
      <c r="BG123" s="120"/>
      <c r="BH123" s="120"/>
      <c r="BI123" s="120"/>
      <c r="BJ123" s="120"/>
      <c r="BK123" s="120"/>
    </row>
    <row r="124" spans="1:63" ht="12.75" x14ac:dyDescent="0.2">
      <c r="A124" s="284">
        <f t="shared" si="66"/>
        <v>44958</v>
      </c>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3"/>
      <c r="AT124" s="123"/>
      <c r="AU124" s="115">
        <f ca="1">SUM(AU$9:AU$11)/12</f>
        <v>0</v>
      </c>
      <c r="AV124" s="115">
        <f t="shared" ref="AV124:BF124" ca="1" si="109">AU124</f>
        <v>0</v>
      </c>
      <c r="AW124" s="115">
        <f t="shared" ca="1" si="109"/>
        <v>0</v>
      </c>
      <c r="AX124" s="115">
        <f t="shared" ca="1" si="109"/>
        <v>0</v>
      </c>
      <c r="AY124" s="115">
        <f t="shared" ca="1" si="109"/>
        <v>0</v>
      </c>
      <c r="AZ124" s="115">
        <f t="shared" ca="1" si="109"/>
        <v>0</v>
      </c>
      <c r="BA124" s="115">
        <f t="shared" ca="1" si="109"/>
        <v>0</v>
      </c>
      <c r="BB124" s="115">
        <f t="shared" ca="1" si="109"/>
        <v>0</v>
      </c>
      <c r="BC124" s="115">
        <f t="shared" ca="1" si="109"/>
        <v>0</v>
      </c>
      <c r="BD124" s="115">
        <f t="shared" ca="1" si="109"/>
        <v>0</v>
      </c>
      <c r="BE124" s="115">
        <f t="shared" ca="1" si="109"/>
        <v>0</v>
      </c>
      <c r="BF124" s="115">
        <f t="shared" ca="1" si="109"/>
        <v>0</v>
      </c>
      <c r="BG124" s="120"/>
      <c r="BH124" s="120"/>
      <c r="BI124" s="120"/>
      <c r="BJ124" s="120"/>
      <c r="BK124" s="120"/>
    </row>
    <row r="125" spans="1:63" ht="12.75" x14ac:dyDescent="0.2">
      <c r="A125" s="284">
        <f t="shared" si="66"/>
        <v>44986</v>
      </c>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3"/>
      <c r="AU125" s="123"/>
      <c r="AV125" s="115">
        <f ca="1">SUM(AV$9:AV$11)/12</f>
        <v>0</v>
      </c>
      <c r="AW125" s="115">
        <f t="shared" ref="AW125:BG125" ca="1" si="110">AV125</f>
        <v>0</v>
      </c>
      <c r="AX125" s="115">
        <f t="shared" ca="1" si="110"/>
        <v>0</v>
      </c>
      <c r="AY125" s="115">
        <f t="shared" ca="1" si="110"/>
        <v>0</v>
      </c>
      <c r="AZ125" s="115">
        <f t="shared" ca="1" si="110"/>
        <v>0</v>
      </c>
      <c r="BA125" s="115">
        <f t="shared" ca="1" si="110"/>
        <v>0</v>
      </c>
      <c r="BB125" s="115">
        <f t="shared" ca="1" si="110"/>
        <v>0</v>
      </c>
      <c r="BC125" s="115">
        <f t="shared" ca="1" si="110"/>
        <v>0</v>
      </c>
      <c r="BD125" s="115">
        <f t="shared" ca="1" si="110"/>
        <v>0</v>
      </c>
      <c r="BE125" s="115">
        <f t="shared" ca="1" si="110"/>
        <v>0</v>
      </c>
      <c r="BF125" s="115">
        <f t="shared" ca="1" si="110"/>
        <v>0</v>
      </c>
      <c r="BG125" s="115">
        <f t="shared" ca="1" si="110"/>
        <v>0</v>
      </c>
      <c r="BH125" s="120"/>
      <c r="BI125" s="120"/>
      <c r="BJ125" s="120"/>
      <c r="BK125" s="120"/>
    </row>
    <row r="126" spans="1:63" ht="12.75" x14ac:dyDescent="0.2">
      <c r="A126" s="284">
        <f t="shared" si="66"/>
        <v>45017</v>
      </c>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3"/>
      <c r="AV126" s="123"/>
      <c r="AW126" s="115">
        <f ca="1">SUM(AW$9:AW$11)/12</f>
        <v>0</v>
      </c>
      <c r="AX126" s="115">
        <f t="shared" ref="AX126:BH126" ca="1" si="111">AW126</f>
        <v>0</v>
      </c>
      <c r="AY126" s="115">
        <f t="shared" ca="1" si="111"/>
        <v>0</v>
      </c>
      <c r="AZ126" s="115">
        <f t="shared" ca="1" si="111"/>
        <v>0</v>
      </c>
      <c r="BA126" s="115">
        <f t="shared" ca="1" si="111"/>
        <v>0</v>
      </c>
      <c r="BB126" s="115">
        <f t="shared" ca="1" si="111"/>
        <v>0</v>
      </c>
      <c r="BC126" s="115">
        <f t="shared" ca="1" si="111"/>
        <v>0</v>
      </c>
      <c r="BD126" s="115">
        <f t="shared" ca="1" si="111"/>
        <v>0</v>
      </c>
      <c r="BE126" s="115">
        <f t="shared" ca="1" si="111"/>
        <v>0</v>
      </c>
      <c r="BF126" s="115">
        <f t="shared" ca="1" si="111"/>
        <v>0</v>
      </c>
      <c r="BG126" s="115">
        <f t="shared" ca="1" si="111"/>
        <v>0</v>
      </c>
      <c r="BH126" s="115">
        <f t="shared" ca="1" si="111"/>
        <v>0</v>
      </c>
      <c r="BI126" s="120"/>
      <c r="BJ126" s="120"/>
      <c r="BK126" s="120"/>
    </row>
    <row r="127" spans="1:63" ht="12.75" x14ac:dyDescent="0.2">
      <c r="A127" s="284">
        <f t="shared" si="66"/>
        <v>45047</v>
      </c>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c r="AM127" s="120"/>
      <c r="AN127" s="120"/>
      <c r="AO127" s="120"/>
      <c r="AP127" s="120"/>
      <c r="AQ127" s="120"/>
      <c r="AR127" s="120"/>
      <c r="AS127" s="120"/>
      <c r="AT127" s="120"/>
      <c r="AU127" s="120"/>
      <c r="AV127" s="123"/>
      <c r="AW127" s="123"/>
      <c r="AX127" s="115">
        <f>SUM(AX$9:AX$11)/12</f>
        <v>0</v>
      </c>
      <c r="AY127" s="115">
        <f t="shared" ref="AY127:BI127" si="112">AX127</f>
        <v>0</v>
      </c>
      <c r="AZ127" s="115">
        <f t="shared" si="112"/>
        <v>0</v>
      </c>
      <c r="BA127" s="115">
        <f t="shared" si="112"/>
        <v>0</v>
      </c>
      <c r="BB127" s="115">
        <f t="shared" si="112"/>
        <v>0</v>
      </c>
      <c r="BC127" s="115">
        <f t="shared" si="112"/>
        <v>0</v>
      </c>
      <c r="BD127" s="115">
        <f t="shared" si="112"/>
        <v>0</v>
      </c>
      <c r="BE127" s="115">
        <f t="shared" si="112"/>
        <v>0</v>
      </c>
      <c r="BF127" s="115">
        <f t="shared" si="112"/>
        <v>0</v>
      </c>
      <c r="BG127" s="115">
        <f t="shared" si="112"/>
        <v>0</v>
      </c>
      <c r="BH127" s="115">
        <f t="shared" si="112"/>
        <v>0</v>
      </c>
      <c r="BI127" s="115">
        <f t="shared" si="112"/>
        <v>0</v>
      </c>
      <c r="BJ127" s="120"/>
      <c r="BK127" s="120"/>
    </row>
    <row r="128" spans="1:63" ht="12.75" x14ac:dyDescent="0.2">
      <c r="A128" s="284">
        <f t="shared" si="66"/>
        <v>45078</v>
      </c>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3"/>
      <c r="AX128" s="123"/>
      <c r="AY128" s="115">
        <f>SUM(AY$9:AY$11)/12</f>
        <v>0</v>
      </c>
      <c r="AZ128" s="115">
        <f t="shared" ref="AZ128:BJ128" si="113">AY128</f>
        <v>0</v>
      </c>
      <c r="BA128" s="115">
        <f t="shared" si="113"/>
        <v>0</v>
      </c>
      <c r="BB128" s="115">
        <f t="shared" si="113"/>
        <v>0</v>
      </c>
      <c r="BC128" s="115">
        <f t="shared" si="113"/>
        <v>0</v>
      </c>
      <c r="BD128" s="115">
        <f t="shared" si="113"/>
        <v>0</v>
      </c>
      <c r="BE128" s="115">
        <f t="shared" si="113"/>
        <v>0</v>
      </c>
      <c r="BF128" s="115">
        <f t="shared" si="113"/>
        <v>0</v>
      </c>
      <c r="BG128" s="115">
        <f t="shared" si="113"/>
        <v>0</v>
      </c>
      <c r="BH128" s="115">
        <f t="shared" si="113"/>
        <v>0</v>
      </c>
      <c r="BI128" s="115">
        <f t="shared" si="113"/>
        <v>0</v>
      </c>
      <c r="BJ128" s="115">
        <f t="shared" si="113"/>
        <v>0</v>
      </c>
      <c r="BK128" s="115"/>
    </row>
    <row r="129" spans="1:63" ht="12.75" x14ac:dyDescent="0.2">
      <c r="A129" s="284"/>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3"/>
      <c r="AY129" s="123"/>
      <c r="AZ129" s="115"/>
      <c r="BA129" s="115"/>
      <c r="BB129" s="115"/>
      <c r="BC129" s="115"/>
      <c r="BD129" s="115"/>
      <c r="BE129" s="115"/>
      <c r="BF129" s="115"/>
      <c r="BG129" s="115"/>
      <c r="BH129" s="115"/>
      <c r="BI129" s="115"/>
      <c r="BJ129" s="115"/>
      <c r="BK129" s="115"/>
    </row>
    <row r="130" spans="1:63" ht="12.75" x14ac:dyDescent="0.2">
      <c r="A130" s="263"/>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0"/>
      <c r="AN130" s="120"/>
      <c r="AO130" s="120"/>
      <c r="AP130" s="120"/>
      <c r="AQ130" s="120"/>
      <c r="AR130" s="120"/>
      <c r="AS130" s="120"/>
      <c r="AT130" s="120"/>
      <c r="AU130" s="120"/>
      <c r="AV130" s="120"/>
      <c r="AW130" s="120"/>
      <c r="AX130" s="120"/>
      <c r="AY130" s="120"/>
      <c r="AZ130" s="120"/>
      <c r="BA130" s="120"/>
      <c r="BB130" s="120"/>
      <c r="BC130" s="120"/>
      <c r="BD130" s="120"/>
      <c r="BE130" s="120"/>
      <c r="BF130" s="120"/>
      <c r="BG130" s="120"/>
      <c r="BH130" s="120"/>
      <c r="BI130" s="120"/>
      <c r="BJ130" s="120"/>
      <c r="BK130" s="120"/>
    </row>
    <row r="131" spans="1:63" ht="12.75" x14ac:dyDescent="0.2">
      <c r="A131" s="263"/>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0"/>
      <c r="BH131" s="120"/>
      <c r="BI131" s="120"/>
      <c r="BJ131" s="120"/>
      <c r="BK131" s="120"/>
    </row>
    <row r="132" spans="1:63" ht="12.75" x14ac:dyDescent="0.2">
      <c r="A132" s="263"/>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row>
    <row r="133" spans="1:63" ht="12.75" x14ac:dyDescent="0.2">
      <c r="A133" s="263"/>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c r="AM133" s="120"/>
      <c r="AN133" s="120"/>
      <c r="AO133" s="120"/>
      <c r="AP133" s="120"/>
      <c r="AQ133" s="120"/>
      <c r="AR133" s="120"/>
      <c r="AS133" s="120"/>
      <c r="AT133" s="120"/>
      <c r="AU133" s="120"/>
      <c r="AV133" s="120"/>
      <c r="AW133" s="120"/>
      <c r="AX133" s="120"/>
      <c r="AY133" s="120"/>
      <c r="AZ133" s="120"/>
      <c r="BA133" s="120"/>
      <c r="BB133" s="120"/>
      <c r="BC133" s="120"/>
      <c r="BD133" s="120"/>
      <c r="BE133" s="120"/>
      <c r="BF133" s="120"/>
      <c r="BG133" s="120"/>
      <c r="BH133" s="120"/>
      <c r="BI133" s="120"/>
      <c r="BJ133" s="120"/>
      <c r="BK133" s="120"/>
    </row>
    <row r="134" spans="1:63" ht="12.75" x14ac:dyDescent="0.2">
      <c r="A134" s="263"/>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row>
    <row r="135" spans="1:63" ht="12.75" x14ac:dyDescent="0.2">
      <c r="A135" s="263"/>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row>
    <row r="136" spans="1:63" ht="12.75" x14ac:dyDescent="0.2">
      <c r="A136" s="263"/>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row>
    <row r="137" spans="1:63" ht="12.75" x14ac:dyDescent="0.2">
      <c r="A137" s="263"/>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20"/>
      <c r="BI137" s="120"/>
      <c r="BJ137" s="120"/>
      <c r="BK137" s="120"/>
    </row>
    <row r="138" spans="1:63" ht="12.75" x14ac:dyDescent="0.2">
      <c r="A138" s="263"/>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row>
    <row r="139" spans="1:63" ht="12.75" x14ac:dyDescent="0.2">
      <c r="A139" s="263"/>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0"/>
      <c r="AY139" s="120"/>
      <c r="AZ139" s="120"/>
      <c r="BA139" s="120"/>
      <c r="BB139" s="120"/>
      <c r="BC139" s="120"/>
      <c r="BD139" s="120"/>
      <c r="BE139" s="120"/>
      <c r="BF139" s="120"/>
      <c r="BG139" s="120"/>
      <c r="BH139" s="120"/>
      <c r="BI139" s="120"/>
      <c r="BJ139" s="120"/>
      <c r="BK139" s="120"/>
    </row>
    <row r="140" spans="1:63" ht="12.75" x14ac:dyDescent="0.2">
      <c r="A140" s="263"/>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0"/>
      <c r="AT140" s="120"/>
      <c r="AU140" s="120"/>
      <c r="AV140" s="120"/>
      <c r="AW140" s="120"/>
      <c r="AX140" s="120"/>
      <c r="AY140" s="120"/>
      <c r="AZ140" s="120"/>
      <c r="BA140" s="120"/>
      <c r="BB140" s="120"/>
      <c r="BC140" s="120"/>
      <c r="BD140" s="120"/>
      <c r="BE140" s="120"/>
      <c r="BF140" s="120"/>
      <c r="BG140" s="120"/>
      <c r="BH140" s="120"/>
      <c r="BI140" s="120"/>
      <c r="BJ140" s="120"/>
      <c r="BK140" s="120"/>
    </row>
    <row r="141" spans="1:63" ht="12.75" x14ac:dyDescent="0.2">
      <c r="A141" s="263"/>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row>
    <row r="142" spans="1:63" ht="12.75" x14ac:dyDescent="0.2">
      <c r="A142" s="263"/>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row>
    <row r="143" spans="1:63" ht="12.75" x14ac:dyDescent="0.2">
      <c r="A143" s="263"/>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row>
    <row r="144" spans="1:63" ht="12.75" x14ac:dyDescent="0.2">
      <c r="A144" s="263"/>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0"/>
      <c r="AT144" s="120"/>
      <c r="AU144" s="120"/>
      <c r="AV144" s="120"/>
      <c r="AW144" s="120"/>
      <c r="AX144" s="120"/>
      <c r="AY144" s="120"/>
      <c r="AZ144" s="120"/>
      <c r="BA144" s="120"/>
      <c r="BB144" s="120"/>
      <c r="BC144" s="120"/>
      <c r="BD144" s="120"/>
      <c r="BE144" s="120"/>
      <c r="BF144" s="120"/>
      <c r="BG144" s="120"/>
      <c r="BH144" s="120"/>
      <c r="BI144" s="120"/>
      <c r="BJ144" s="120"/>
      <c r="BK144" s="120"/>
    </row>
    <row r="145" spans="1:63" ht="12.75" x14ac:dyDescent="0.2">
      <c r="A145" s="263"/>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c r="AM145" s="120"/>
      <c r="AN145" s="120"/>
      <c r="AO145" s="120"/>
      <c r="AP145" s="120"/>
      <c r="AQ145" s="120"/>
      <c r="AR145" s="120"/>
      <c r="AS145" s="120"/>
      <c r="AT145" s="120"/>
      <c r="AU145" s="120"/>
      <c r="AV145" s="120"/>
      <c r="AW145" s="120"/>
      <c r="AX145" s="120"/>
      <c r="AY145" s="120"/>
      <c r="AZ145" s="120"/>
      <c r="BA145" s="120"/>
      <c r="BB145" s="120"/>
      <c r="BC145" s="120"/>
      <c r="BD145" s="120"/>
      <c r="BE145" s="120"/>
      <c r="BF145" s="120"/>
      <c r="BG145" s="120"/>
      <c r="BH145" s="120"/>
      <c r="BI145" s="120"/>
      <c r="BJ145" s="120"/>
      <c r="BK145" s="120"/>
    </row>
    <row r="146" spans="1:63" ht="12.75" x14ac:dyDescent="0.2">
      <c r="A146" s="263"/>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row>
    <row r="147" spans="1:63" ht="12.75" x14ac:dyDescent="0.2">
      <c r="A147" s="263"/>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c r="AM147" s="120"/>
      <c r="AN147" s="120"/>
      <c r="AO147" s="120"/>
      <c r="AP147" s="120"/>
      <c r="AQ147" s="120"/>
      <c r="AR147" s="120"/>
      <c r="AS147" s="120"/>
      <c r="AT147" s="120"/>
      <c r="AU147" s="120"/>
      <c r="AV147" s="120"/>
      <c r="AW147" s="120"/>
      <c r="AX147" s="120"/>
      <c r="AY147" s="120"/>
      <c r="AZ147" s="120"/>
      <c r="BA147" s="120"/>
      <c r="BB147" s="120"/>
      <c r="BC147" s="120"/>
      <c r="BD147" s="120"/>
      <c r="BE147" s="120"/>
      <c r="BF147" s="120"/>
      <c r="BG147" s="120"/>
      <c r="BH147" s="120"/>
      <c r="BI147" s="120"/>
      <c r="BJ147" s="120"/>
      <c r="BK147" s="120"/>
    </row>
    <row r="148" spans="1:63" ht="12.75" x14ac:dyDescent="0.2">
      <c r="A148" s="263"/>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c r="AM148" s="120"/>
      <c r="AN148" s="120"/>
      <c r="AO148" s="120"/>
      <c r="AP148" s="120"/>
      <c r="AQ148" s="120"/>
      <c r="AR148" s="120"/>
      <c r="AS148" s="120"/>
      <c r="AT148" s="120"/>
      <c r="AU148" s="120"/>
      <c r="AV148" s="120"/>
      <c r="AW148" s="120"/>
      <c r="AX148" s="120"/>
      <c r="AY148" s="120"/>
      <c r="AZ148" s="120"/>
      <c r="BA148" s="120"/>
      <c r="BB148" s="120"/>
      <c r="BC148" s="120"/>
      <c r="BD148" s="120"/>
      <c r="BE148" s="120"/>
      <c r="BF148" s="120"/>
      <c r="BG148" s="120"/>
      <c r="BH148" s="120"/>
      <c r="BI148" s="120"/>
      <c r="BJ148" s="120"/>
      <c r="BK148" s="120"/>
    </row>
    <row r="149" spans="1:63" ht="12.75" x14ac:dyDescent="0.2">
      <c r="A149" s="263"/>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c r="AM149" s="120"/>
      <c r="AN149" s="120"/>
      <c r="AO149" s="120"/>
      <c r="AP149" s="120"/>
      <c r="AQ149" s="120"/>
      <c r="AR149" s="120"/>
      <c r="AS149" s="120"/>
      <c r="AT149" s="120"/>
      <c r="AU149" s="120"/>
      <c r="AV149" s="120"/>
      <c r="AW149" s="120"/>
      <c r="AX149" s="120"/>
      <c r="AY149" s="120"/>
      <c r="AZ149" s="120"/>
      <c r="BA149" s="120"/>
      <c r="BB149" s="120"/>
      <c r="BC149" s="120"/>
      <c r="BD149" s="120"/>
      <c r="BE149" s="120"/>
      <c r="BF149" s="120"/>
      <c r="BG149" s="120"/>
      <c r="BH149" s="120"/>
      <c r="BI149" s="120"/>
      <c r="BJ149" s="120"/>
      <c r="BK149" s="120"/>
    </row>
    <row r="150" spans="1:63" ht="12.75" x14ac:dyDescent="0.2">
      <c r="A150" s="263"/>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c r="AM150" s="120"/>
      <c r="AN150" s="120"/>
      <c r="AO150" s="120"/>
      <c r="AP150" s="120"/>
      <c r="AQ150" s="120"/>
      <c r="AR150" s="120"/>
      <c r="AS150" s="120"/>
      <c r="AT150" s="120"/>
      <c r="AU150" s="120"/>
      <c r="AV150" s="120"/>
      <c r="AW150" s="120"/>
      <c r="AX150" s="120"/>
      <c r="AY150" s="120"/>
      <c r="AZ150" s="120"/>
      <c r="BA150" s="120"/>
      <c r="BB150" s="120"/>
      <c r="BC150" s="120"/>
      <c r="BD150" s="120"/>
      <c r="BE150" s="120"/>
      <c r="BF150" s="120"/>
      <c r="BG150" s="120"/>
      <c r="BH150" s="120"/>
      <c r="BI150" s="120"/>
      <c r="BJ150" s="120"/>
      <c r="BK150" s="120"/>
    </row>
    <row r="151" spans="1:63" ht="12.75" x14ac:dyDescent="0.2">
      <c r="A151" s="263"/>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20"/>
      <c r="AQ151" s="120"/>
      <c r="AR151" s="120"/>
      <c r="AS151" s="120"/>
      <c r="AT151" s="120"/>
      <c r="AU151" s="120"/>
      <c r="AV151" s="120"/>
      <c r="AW151" s="120"/>
      <c r="AX151" s="120"/>
      <c r="AY151" s="120"/>
      <c r="AZ151" s="120"/>
      <c r="BA151" s="120"/>
      <c r="BB151" s="120"/>
      <c r="BC151" s="120"/>
      <c r="BD151" s="120"/>
      <c r="BE151" s="120"/>
      <c r="BF151" s="120"/>
      <c r="BG151" s="120"/>
      <c r="BH151" s="120"/>
      <c r="BI151" s="120"/>
      <c r="BJ151" s="120"/>
      <c r="BK151" s="120"/>
    </row>
    <row r="152" spans="1:63" ht="12.75" x14ac:dyDescent="0.2">
      <c r="A152" s="263"/>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row>
    <row r="153" spans="1:63" ht="12.75" x14ac:dyDescent="0.2">
      <c r="A153" s="263"/>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20"/>
      <c r="AQ153" s="120"/>
      <c r="AR153" s="120"/>
      <c r="AS153" s="120"/>
      <c r="AT153" s="120"/>
      <c r="AU153" s="120"/>
      <c r="AV153" s="120"/>
      <c r="AW153" s="120"/>
      <c r="AX153" s="120"/>
      <c r="AY153" s="120"/>
      <c r="AZ153" s="120"/>
      <c r="BA153" s="120"/>
      <c r="BB153" s="120"/>
      <c r="BC153" s="120"/>
      <c r="BD153" s="120"/>
      <c r="BE153" s="120"/>
      <c r="BF153" s="120"/>
      <c r="BG153" s="120"/>
      <c r="BH153" s="120"/>
      <c r="BI153" s="120"/>
      <c r="BJ153" s="120"/>
      <c r="BK153" s="120"/>
    </row>
    <row r="154" spans="1:63" ht="12.75" x14ac:dyDescent="0.2">
      <c r="A154" s="263"/>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120"/>
      <c r="AT154" s="120"/>
      <c r="AU154" s="120"/>
      <c r="AV154" s="120"/>
      <c r="AW154" s="120"/>
      <c r="AX154" s="120"/>
      <c r="AY154" s="120"/>
      <c r="AZ154" s="120"/>
      <c r="BA154" s="120"/>
      <c r="BB154" s="120"/>
      <c r="BC154" s="120"/>
      <c r="BD154" s="120"/>
      <c r="BE154" s="120"/>
      <c r="BF154" s="120"/>
      <c r="BG154" s="120"/>
      <c r="BH154" s="120"/>
      <c r="BI154" s="120"/>
      <c r="BJ154" s="120"/>
      <c r="BK154" s="120"/>
    </row>
    <row r="155" spans="1:63" ht="12.75" x14ac:dyDescent="0.2">
      <c r="A155" s="263"/>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20"/>
      <c r="AQ155" s="120"/>
      <c r="AR155" s="120"/>
      <c r="AS155" s="120"/>
      <c r="AT155" s="120"/>
      <c r="AU155" s="120"/>
      <c r="AV155" s="120"/>
      <c r="AW155" s="120"/>
      <c r="AX155" s="120"/>
      <c r="AY155" s="120"/>
      <c r="AZ155" s="120"/>
      <c r="BA155" s="120"/>
      <c r="BB155" s="120"/>
      <c r="BC155" s="120"/>
      <c r="BD155" s="120"/>
      <c r="BE155" s="120"/>
      <c r="BF155" s="120"/>
      <c r="BG155" s="120"/>
      <c r="BH155" s="120"/>
      <c r="BI155" s="120"/>
      <c r="BJ155" s="120"/>
      <c r="BK155" s="120"/>
    </row>
    <row r="156" spans="1:63" ht="12.75" x14ac:dyDescent="0.2">
      <c r="A156" s="263"/>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20"/>
      <c r="AQ156" s="120"/>
      <c r="AR156" s="120"/>
      <c r="AS156" s="120"/>
      <c r="AT156" s="120"/>
      <c r="AU156" s="120"/>
      <c r="AV156" s="120"/>
      <c r="AW156" s="120"/>
      <c r="AX156" s="120"/>
      <c r="AY156" s="120"/>
      <c r="AZ156" s="120"/>
      <c r="BA156" s="120"/>
      <c r="BB156" s="120"/>
      <c r="BC156" s="120"/>
      <c r="BD156" s="120"/>
      <c r="BE156" s="120"/>
      <c r="BF156" s="120"/>
      <c r="BG156" s="120"/>
      <c r="BH156" s="120"/>
      <c r="BI156" s="120"/>
      <c r="BJ156" s="120"/>
      <c r="BK156" s="120"/>
    </row>
    <row r="157" spans="1:63" ht="12.75" x14ac:dyDescent="0.2">
      <c r="A157" s="263"/>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120"/>
      <c r="AQ157" s="120"/>
      <c r="AR157" s="120"/>
      <c r="AS157" s="120"/>
      <c r="AT157" s="120"/>
      <c r="AU157" s="120"/>
      <c r="AV157" s="120"/>
      <c r="AW157" s="120"/>
      <c r="AX157" s="120"/>
      <c r="AY157" s="120"/>
      <c r="AZ157" s="120"/>
      <c r="BA157" s="120"/>
      <c r="BB157" s="120"/>
      <c r="BC157" s="120"/>
      <c r="BD157" s="120"/>
      <c r="BE157" s="120"/>
      <c r="BF157" s="120"/>
      <c r="BG157" s="120"/>
      <c r="BH157" s="120"/>
      <c r="BI157" s="120"/>
      <c r="BJ157" s="120"/>
      <c r="BK157" s="120"/>
    </row>
    <row r="158" spans="1:63" ht="12.75" x14ac:dyDescent="0.2">
      <c r="A158" s="263"/>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120"/>
      <c r="AQ158" s="120"/>
      <c r="AR158" s="120"/>
      <c r="AS158" s="120"/>
      <c r="AT158" s="120"/>
      <c r="AU158" s="120"/>
      <c r="AV158" s="120"/>
      <c r="AW158" s="120"/>
      <c r="AX158" s="120"/>
      <c r="AY158" s="120"/>
      <c r="AZ158" s="120"/>
      <c r="BA158" s="120"/>
      <c r="BB158" s="120"/>
      <c r="BC158" s="120"/>
      <c r="BD158" s="120"/>
      <c r="BE158" s="120"/>
      <c r="BF158" s="120"/>
      <c r="BG158" s="120"/>
      <c r="BH158" s="120"/>
      <c r="BI158" s="120"/>
      <c r="BJ158" s="120"/>
      <c r="BK158" s="120"/>
    </row>
    <row r="159" spans="1:63" ht="12.75" x14ac:dyDescent="0.2">
      <c r="A159" s="263"/>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20"/>
      <c r="AQ159" s="120"/>
      <c r="AR159" s="120"/>
      <c r="AS159" s="120"/>
      <c r="AT159" s="120"/>
      <c r="AU159" s="120"/>
      <c r="AV159" s="120"/>
      <c r="AW159" s="120"/>
      <c r="AX159" s="120"/>
      <c r="AY159" s="120"/>
      <c r="AZ159" s="120"/>
      <c r="BA159" s="120"/>
      <c r="BB159" s="120"/>
      <c r="BC159" s="120"/>
      <c r="BD159" s="120"/>
      <c r="BE159" s="120"/>
      <c r="BF159" s="120"/>
      <c r="BG159" s="120"/>
      <c r="BH159" s="120"/>
      <c r="BI159" s="120"/>
      <c r="BJ159" s="120"/>
      <c r="BK159" s="120"/>
    </row>
    <row r="160" spans="1:63" ht="12.75" x14ac:dyDescent="0.2">
      <c r="A160" s="263"/>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row>
    <row r="161" spans="1:63" ht="12.75" x14ac:dyDescent="0.2">
      <c r="A161" s="263"/>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20"/>
      <c r="AQ161" s="120"/>
      <c r="AR161" s="120"/>
      <c r="AS161" s="120"/>
      <c r="AT161" s="120"/>
      <c r="AU161" s="120"/>
      <c r="AV161" s="120"/>
      <c r="AW161" s="120"/>
      <c r="AX161" s="120"/>
      <c r="AY161" s="120"/>
      <c r="AZ161" s="120"/>
      <c r="BA161" s="120"/>
      <c r="BB161" s="120"/>
      <c r="BC161" s="120"/>
      <c r="BD161" s="120"/>
      <c r="BE161" s="120"/>
      <c r="BF161" s="120"/>
      <c r="BG161" s="120"/>
      <c r="BH161" s="120"/>
      <c r="BI161" s="120"/>
      <c r="BJ161" s="120"/>
      <c r="BK161" s="120"/>
    </row>
    <row r="162" spans="1:63" ht="12.75" x14ac:dyDescent="0.2">
      <c r="A162" s="263"/>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row>
    <row r="163" spans="1:63" ht="12.75" x14ac:dyDescent="0.2">
      <c r="A163" s="263"/>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20"/>
      <c r="AQ163" s="120"/>
      <c r="AR163" s="120"/>
      <c r="AS163" s="120"/>
      <c r="AT163" s="120"/>
      <c r="AU163" s="120"/>
      <c r="AV163" s="120"/>
      <c r="AW163" s="120"/>
      <c r="AX163" s="120"/>
      <c r="AY163" s="120"/>
      <c r="AZ163" s="120"/>
      <c r="BA163" s="120"/>
      <c r="BB163" s="120"/>
      <c r="BC163" s="120"/>
      <c r="BD163" s="120"/>
      <c r="BE163" s="120"/>
      <c r="BF163" s="120"/>
      <c r="BG163" s="120"/>
      <c r="BH163" s="120"/>
      <c r="BI163" s="120"/>
      <c r="BJ163" s="120"/>
      <c r="BK163" s="120"/>
    </row>
    <row r="164" spans="1:63" ht="12.75" x14ac:dyDescent="0.2">
      <c r="A164" s="263"/>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row>
    <row r="165" spans="1:63" ht="12.75" x14ac:dyDescent="0.2">
      <c r="A165" s="263"/>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120"/>
      <c r="AT165" s="120"/>
      <c r="AU165" s="120"/>
      <c r="AV165" s="120"/>
      <c r="AW165" s="120"/>
      <c r="AX165" s="120"/>
      <c r="AY165" s="120"/>
      <c r="AZ165" s="120"/>
      <c r="BA165" s="120"/>
      <c r="BB165" s="120"/>
      <c r="BC165" s="120"/>
      <c r="BD165" s="120"/>
      <c r="BE165" s="120"/>
      <c r="BF165" s="120"/>
      <c r="BG165" s="120"/>
      <c r="BH165" s="120"/>
      <c r="BI165" s="120"/>
      <c r="BJ165" s="120"/>
      <c r="BK165" s="120"/>
    </row>
    <row r="166" spans="1:63" ht="12.75" x14ac:dyDescent="0.2">
      <c r="A166" s="263"/>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20"/>
      <c r="AQ166" s="120"/>
      <c r="AR166" s="120"/>
      <c r="AS166" s="120"/>
      <c r="AT166" s="120"/>
      <c r="AU166" s="120"/>
      <c r="AV166" s="120"/>
      <c r="AW166" s="120"/>
      <c r="AX166" s="120"/>
      <c r="AY166" s="120"/>
      <c r="AZ166" s="120"/>
      <c r="BA166" s="120"/>
      <c r="BB166" s="120"/>
      <c r="BC166" s="120"/>
      <c r="BD166" s="120"/>
      <c r="BE166" s="120"/>
      <c r="BF166" s="120"/>
      <c r="BG166" s="120"/>
      <c r="BH166" s="120"/>
      <c r="BI166" s="120"/>
      <c r="BJ166" s="120"/>
      <c r="BK166" s="120"/>
    </row>
    <row r="167" spans="1:63" ht="12.75" x14ac:dyDescent="0.2">
      <c r="A167" s="263"/>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20"/>
      <c r="AQ167" s="120"/>
      <c r="AR167" s="120"/>
      <c r="AS167" s="120"/>
      <c r="AT167" s="120"/>
      <c r="AU167" s="120"/>
      <c r="AV167" s="120"/>
      <c r="AW167" s="120"/>
      <c r="AX167" s="120"/>
      <c r="AY167" s="120"/>
      <c r="AZ167" s="120"/>
      <c r="BA167" s="120"/>
      <c r="BB167" s="120"/>
      <c r="BC167" s="120"/>
      <c r="BD167" s="120"/>
      <c r="BE167" s="120"/>
      <c r="BF167" s="120"/>
      <c r="BG167" s="120"/>
      <c r="BH167" s="120"/>
      <c r="BI167" s="120"/>
      <c r="BJ167" s="120"/>
      <c r="BK167" s="120"/>
    </row>
    <row r="168" spans="1:63" ht="12.75" x14ac:dyDescent="0.2">
      <c r="A168" s="263"/>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row>
    <row r="169" spans="1:63" ht="12.75" x14ac:dyDescent="0.2">
      <c r="A169" s="263"/>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row>
    <row r="170" spans="1:63" ht="12.75" x14ac:dyDescent="0.2">
      <c r="A170" s="263"/>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20"/>
      <c r="AQ170" s="120"/>
      <c r="AR170" s="120"/>
      <c r="AS170" s="120"/>
      <c r="AT170" s="120"/>
      <c r="AU170" s="120"/>
      <c r="AV170" s="120"/>
      <c r="AW170" s="120"/>
      <c r="AX170" s="120"/>
      <c r="AY170" s="120"/>
      <c r="AZ170" s="120"/>
      <c r="BA170" s="120"/>
      <c r="BB170" s="120"/>
      <c r="BC170" s="120"/>
      <c r="BD170" s="120"/>
      <c r="BE170" s="120"/>
      <c r="BF170" s="120"/>
      <c r="BG170" s="120"/>
      <c r="BH170" s="120"/>
      <c r="BI170" s="120"/>
      <c r="BJ170" s="120"/>
      <c r="BK170" s="120"/>
    </row>
    <row r="171" spans="1:63" ht="12.75" x14ac:dyDescent="0.2">
      <c r="A171" s="263"/>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0"/>
      <c r="AY171" s="120"/>
      <c r="AZ171" s="120"/>
      <c r="BA171" s="120"/>
      <c r="BB171" s="120"/>
      <c r="BC171" s="120"/>
      <c r="BD171" s="120"/>
      <c r="BE171" s="120"/>
      <c r="BF171" s="120"/>
      <c r="BG171" s="120"/>
      <c r="BH171" s="120"/>
      <c r="BI171" s="120"/>
      <c r="BJ171" s="120"/>
      <c r="BK171" s="120"/>
    </row>
    <row r="172" spans="1:63" ht="12.75" x14ac:dyDescent="0.2">
      <c r="A172" s="263"/>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row>
    <row r="173" spans="1:63" ht="12.75" x14ac:dyDescent="0.2">
      <c r="A173" s="263"/>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120"/>
      <c r="AQ173" s="120"/>
      <c r="AR173" s="120"/>
      <c r="AS173" s="120"/>
      <c r="AT173" s="120"/>
      <c r="AU173" s="120"/>
      <c r="AV173" s="120"/>
      <c r="AW173" s="120"/>
      <c r="AX173" s="120"/>
      <c r="AY173" s="120"/>
      <c r="AZ173" s="120"/>
      <c r="BA173" s="120"/>
      <c r="BB173" s="120"/>
      <c r="BC173" s="120"/>
      <c r="BD173" s="120"/>
      <c r="BE173" s="120"/>
      <c r="BF173" s="120"/>
      <c r="BG173" s="120"/>
      <c r="BH173" s="120"/>
      <c r="BI173" s="120"/>
      <c r="BJ173" s="120"/>
      <c r="BK173" s="120"/>
    </row>
    <row r="174" spans="1:63" ht="12.75" x14ac:dyDescent="0.2">
      <c r="A174" s="263"/>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row>
    <row r="175" spans="1:63" ht="12.75" x14ac:dyDescent="0.2">
      <c r="A175" s="263"/>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row>
    <row r="176" spans="1:63" ht="12.75" x14ac:dyDescent="0.2">
      <c r="A176" s="263"/>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20"/>
      <c r="AQ176" s="120"/>
      <c r="AR176" s="120"/>
      <c r="AS176" s="120"/>
      <c r="AT176" s="120"/>
      <c r="AU176" s="120"/>
      <c r="AV176" s="120"/>
      <c r="AW176" s="120"/>
      <c r="AX176" s="120"/>
      <c r="AY176" s="120"/>
      <c r="AZ176" s="120"/>
      <c r="BA176" s="120"/>
      <c r="BB176" s="120"/>
      <c r="BC176" s="120"/>
      <c r="BD176" s="120"/>
      <c r="BE176" s="120"/>
      <c r="BF176" s="120"/>
      <c r="BG176" s="120"/>
      <c r="BH176" s="120"/>
      <c r="BI176" s="120"/>
      <c r="BJ176" s="120"/>
      <c r="BK176" s="120"/>
    </row>
    <row r="177" spans="1:63" ht="12.75" x14ac:dyDescent="0.2">
      <c r="A177" s="263"/>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20"/>
      <c r="AQ177" s="120"/>
      <c r="AR177" s="120"/>
      <c r="AS177" s="120"/>
      <c r="AT177" s="120"/>
      <c r="AU177" s="120"/>
      <c r="AV177" s="120"/>
      <c r="AW177" s="120"/>
      <c r="AX177" s="120"/>
      <c r="AY177" s="120"/>
      <c r="AZ177" s="120"/>
      <c r="BA177" s="120"/>
      <c r="BB177" s="120"/>
      <c r="BC177" s="120"/>
      <c r="BD177" s="120"/>
      <c r="BE177" s="120"/>
      <c r="BF177" s="120"/>
      <c r="BG177" s="120"/>
      <c r="BH177" s="120"/>
      <c r="BI177" s="120"/>
      <c r="BJ177" s="120"/>
      <c r="BK177" s="120"/>
    </row>
    <row r="178" spans="1:63" ht="12.75" x14ac:dyDescent="0.2">
      <c r="A178" s="263"/>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row>
    <row r="179" spans="1:63" ht="12.75" x14ac:dyDescent="0.2">
      <c r="A179" s="263"/>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row>
    <row r="180" spans="1:63" ht="12.75" x14ac:dyDescent="0.2">
      <c r="A180" s="263"/>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row>
    <row r="181" spans="1:63" ht="12.75" x14ac:dyDescent="0.2">
      <c r="A181" s="263"/>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120"/>
      <c r="AQ181" s="120"/>
      <c r="AR181" s="120"/>
      <c r="AS181" s="120"/>
      <c r="AT181" s="120"/>
      <c r="AU181" s="120"/>
      <c r="AV181" s="120"/>
      <c r="AW181" s="120"/>
      <c r="AX181" s="120"/>
      <c r="AY181" s="120"/>
      <c r="AZ181" s="120"/>
      <c r="BA181" s="120"/>
      <c r="BB181" s="120"/>
      <c r="BC181" s="120"/>
      <c r="BD181" s="120"/>
      <c r="BE181" s="120"/>
      <c r="BF181" s="120"/>
      <c r="BG181" s="120"/>
      <c r="BH181" s="120"/>
      <c r="BI181" s="120"/>
      <c r="BJ181" s="120"/>
      <c r="BK181" s="120"/>
    </row>
    <row r="182" spans="1:63" ht="12.75" x14ac:dyDescent="0.2">
      <c r="A182" s="263"/>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c r="AR182" s="120"/>
      <c r="AS182" s="120"/>
      <c r="AT182" s="120"/>
      <c r="AU182" s="120"/>
      <c r="AV182" s="120"/>
      <c r="AW182" s="120"/>
      <c r="AX182" s="120"/>
      <c r="AY182" s="120"/>
      <c r="AZ182" s="120"/>
      <c r="BA182" s="120"/>
      <c r="BB182" s="120"/>
      <c r="BC182" s="120"/>
      <c r="BD182" s="120"/>
      <c r="BE182" s="120"/>
      <c r="BF182" s="120"/>
      <c r="BG182" s="120"/>
      <c r="BH182" s="120"/>
      <c r="BI182" s="120"/>
      <c r="BJ182" s="120"/>
      <c r="BK182" s="120"/>
    </row>
    <row r="183" spans="1:63" ht="12.75" x14ac:dyDescent="0.2">
      <c r="A183" s="263"/>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120"/>
      <c r="AQ183" s="120"/>
      <c r="AR183" s="120"/>
      <c r="AS183" s="120"/>
      <c r="AT183" s="120"/>
      <c r="AU183" s="120"/>
      <c r="AV183" s="120"/>
      <c r="AW183" s="120"/>
      <c r="AX183" s="120"/>
      <c r="AY183" s="120"/>
      <c r="AZ183" s="120"/>
      <c r="BA183" s="120"/>
      <c r="BB183" s="120"/>
      <c r="BC183" s="120"/>
      <c r="BD183" s="120"/>
      <c r="BE183" s="120"/>
      <c r="BF183" s="120"/>
      <c r="BG183" s="120"/>
      <c r="BH183" s="120"/>
      <c r="BI183" s="120"/>
      <c r="BJ183" s="120"/>
      <c r="BK183" s="120"/>
    </row>
    <row r="184" spans="1:63" ht="12.75" x14ac:dyDescent="0.2">
      <c r="A184" s="263"/>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120"/>
      <c r="AQ184" s="120"/>
      <c r="AR184" s="120"/>
      <c r="AS184" s="120"/>
      <c r="AT184" s="120"/>
      <c r="AU184" s="120"/>
      <c r="AV184" s="120"/>
      <c r="AW184" s="120"/>
      <c r="AX184" s="120"/>
      <c r="AY184" s="120"/>
      <c r="AZ184" s="120"/>
      <c r="BA184" s="120"/>
      <c r="BB184" s="120"/>
      <c r="BC184" s="120"/>
      <c r="BD184" s="120"/>
      <c r="BE184" s="120"/>
      <c r="BF184" s="120"/>
      <c r="BG184" s="120"/>
      <c r="BH184" s="120"/>
      <c r="BI184" s="120"/>
      <c r="BJ184" s="120"/>
      <c r="BK184" s="120"/>
    </row>
    <row r="185" spans="1:63" ht="12.75" x14ac:dyDescent="0.2">
      <c r="A185" s="263"/>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c r="AQ185" s="120"/>
      <c r="AR185" s="120"/>
      <c r="AS185" s="120"/>
      <c r="AT185" s="120"/>
      <c r="AU185" s="120"/>
      <c r="AV185" s="120"/>
      <c r="AW185" s="120"/>
      <c r="AX185" s="120"/>
      <c r="AY185" s="120"/>
      <c r="AZ185" s="120"/>
      <c r="BA185" s="120"/>
      <c r="BB185" s="120"/>
      <c r="BC185" s="120"/>
      <c r="BD185" s="120"/>
      <c r="BE185" s="120"/>
      <c r="BF185" s="120"/>
      <c r="BG185" s="120"/>
      <c r="BH185" s="120"/>
      <c r="BI185" s="120"/>
      <c r="BJ185" s="120"/>
      <c r="BK185" s="120"/>
    </row>
    <row r="186" spans="1:63" ht="12.75" x14ac:dyDescent="0.2">
      <c r="A186" s="263"/>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20"/>
      <c r="AQ186" s="120"/>
      <c r="AR186" s="120"/>
      <c r="AS186" s="120"/>
      <c r="AT186" s="120"/>
      <c r="AU186" s="120"/>
      <c r="AV186" s="120"/>
      <c r="AW186" s="120"/>
      <c r="AX186" s="120"/>
      <c r="AY186" s="120"/>
      <c r="AZ186" s="120"/>
      <c r="BA186" s="120"/>
      <c r="BB186" s="120"/>
      <c r="BC186" s="120"/>
      <c r="BD186" s="120"/>
      <c r="BE186" s="120"/>
      <c r="BF186" s="120"/>
      <c r="BG186" s="120"/>
      <c r="BH186" s="120"/>
      <c r="BI186" s="120"/>
      <c r="BJ186" s="120"/>
      <c r="BK186" s="120"/>
    </row>
    <row r="187" spans="1:63" ht="12.75" x14ac:dyDescent="0.2">
      <c r="A187" s="263"/>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20"/>
      <c r="AQ187" s="120"/>
      <c r="AR187" s="120"/>
      <c r="AS187" s="120"/>
      <c r="AT187" s="120"/>
      <c r="AU187" s="120"/>
      <c r="AV187" s="120"/>
      <c r="AW187" s="120"/>
      <c r="AX187" s="120"/>
      <c r="AY187" s="120"/>
      <c r="AZ187" s="120"/>
      <c r="BA187" s="120"/>
      <c r="BB187" s="120"/>
      <c r="BC187" s="120"/>
      <c r="BD187" s="120"/>
      <c r="BE187" s="120"/>
      <c r="BF187" s="120"/>
      <c r="BG187" s="120"/>
      <c r="BH187" s="120"/>
      <c r="BI187" s="120"/>
      <c r="BJ187" s="120"/>
      <c r="BK187" s="120"/>
    </row>
    <row r="188" spans="1:63" ht="12.75" x14ac:dyDescent="0.2">
      <c r="A188" s="263"/>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c r="AR188" s="120"/>
      <c r="AS188" s="120"/>
      <c r="AT188" s="120"/>
      <c r="AU188" s="120"/>
      <c r="AV188" s="120"/>
      <c r="AW188" s="120"/>
      <c r="AX188" s="120"/>
      <c r="AY188" s="120"/>
      <c r="AZ188" s="120"/>
      <c r="BA188" s="120"/>
      <c r="BB188" s="120"/>
      <c r="BC188" s="120"/>
      <c r="BD188" s="120"/>
      <c r="BE188" s="120"/>
      <c r="BF188" s="120"/>
      <c r="BG188" s="120"/>
      <c r="BH188" s="120"/>
      <c r="BI188" s="120"/>
      <c r="BJ188" s="120"/>
      <c r="BK188" s="120"/>
    </row>
    <row r="189" spans="1:63" ht="12.75" x14ac:dyDescent="0.2">
      <c r="A189" s="263"/>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120"/>
      <c r="AT189" s="120"/>
      <c r="AU189" s="120"/>
      <c r="AV189" s="120"/>
      <c r="AW189" s="120"/>
      <c r="AX189" s="120"/>
      <c r="AY189" s="120"/>
      <c r="AZ189" s="120"/>
      <c r="BA189" s="120"/>
      <c r="BB189" s="120"/>
      <c r="BC189" s="120"/>
      <c r="BD189" s="120"/>
      <c r="BE189" s="120"/>
      <c r="BF189" s="120"/>
      <c r="BG189" s="120"/>
      <c r="BH189" s="120"/>
      <c r="BI189" s="120"/>
      <c r="BJ189" s="120"/>
      <c r="BK189" s="120"/>
    </row>
    <row r="190" spans="1:63" ht="12.75" x14ac:dyDescent="0.2">
      <c r="A190" s="263"/>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c r="AR190" s="120"/>
      <c r="AS190" s="120"/>
      <c r="AT190" s="120"/>
      <c r="AU190" s="120"/>
      <c r="AV190" s="120"/>
      <c r="AW190" s="120"/>
      <c r="AX190" s="120"/>
      <c r="AY190" s="120"/>
      <c r="AZ190" s="120"/>
      <c r="BA190" s="120"/>
      <c r="BB190" s="120"/>
      <c r="BC190" s="120"/>
      <c r="BD190" s="120"/>
      <c r="BE190" s="120"/>
      <c r="BF190" s="120"/>
      <c r="BG190" s="120"/>
      <c r="BH190" s="120"/>
      <c r="BI190" s="120"/>
      <c r="BJ190" s="120"/>
      <c r="BK190" s="120"/>
    </row>
    <row r="191" spans="1:63" ht="12.75" x14ac:dyDescent="0.2">
      <c r="A191" s="263"/>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20"/>
      <c r="AQ191" s="120"/>
      <c r="AR191" s="120"/>
      <c r="AS191" s="120"/>
      <c r="AT191" s="120"/>
      <c r="AU191" s="120"/>
      <c r="AV191" s="120"/>
      <c r="AW191" s="120"/>
      <c r="AX191" s="120"/>
      <c r="AY191" s="120"/>
      <c r="AZ191" s="120"/>
      <c r="BA191" s="120"/>
      <c r="BB191" s="120"/>
      <c r="BC191" s="120"/>
      <c r="BD191" s="120"/>
      <c r="BE191" s="120"/>
      <c r="BF191" s="120"/>
      <c r="BG191" s="120"/>
      <c r="BH191" s="120"/>
      <c r="BI191" s="120"/>
      <c r="BJ191" s="120"/>
      <c r="BK191" s="120"/>
    </row>
    <row r="192" spans="1:63" ht="12.75" x14ac:dyDescent="0.2">
      <c r="A192" s="263"/>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20"/>
      <c r="AQ192" s="120"/>
      <c r="AR192" s="120"/>
      <c r="AS192" s="120"/>
      <c r="AT192" s="120"/>
      <c r="AU192" s="120"/>
      <c r="AV192" s="120"/>
      <c r="AW192" s="120"/>
      <c r="AX192" s="120"/>
      <c r="AY192" s="120"/>
      <c r="AZ192" s="120"/>
      <c r="BA192" s="120"/>
      <c r="BB192" s="120"/>
      <c r="BC192" s="120"/>
      <c r="BD192" s="120"/>
      <c r="BE192" s="120"/>
      <c r="BF192" s="120"/>
      <c r="BG192" s="120"/>
      <c r="BH192" s="120"/>
      <c r="BI192" s="120"/>
      <c r="BJ192" s="120"/>
      <c r="BK192" s="120"/>
    </row>
    <row r="193" spans="1:63" ht="12.75" x14ac:dyDescent="0.2">
      <c r="A193" s="263"/>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20"/>
      <c r="AQ193" s="120"/>
      <c r="AR193" s="120"/>
      <c r="AS193" s="120"/>
      <c r="AT193" s="120"/>
      <c r="AU193" s="120"/>
      <c r="AV193" s="120"/>
      <c r="AW193" s="120"/>
      <c r="AX193" s="120"/>
      <c r="AY193" s="120"/>
      <c r="AZ193" s="120"/>
      <c r="BA193" s="120"/>
      <c r="BB193" s="120"/>
      <c r="BC193" s="120"/>
      <c r="BD193" s="120"/>
      <c r="BE193" s="120"/>
      <c r="BF193" s="120"/>
      <c r="BG193" s="120"/>
      <c r="BH193" s="120"/>
      <c r="BI193" s="120"/>
      <c r="BJ193" s="120"/>
      <c r="BK193" s="120"/>
    </row>
    <row r="194" spans="1:63" ht="12.75" x14ac:dyDescent="0.2">
      <c r="A194" s="263"/>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20"/>
      <c r="AQ194" s="120"/>
      <c r="AR194" s="120"/>
      <c r="AS194" s="120"/>
      <c r="AT194" s="120"/>
      <c r="AU194" s="120"/>
      <c r="AV194" s="120"/>
      <c r="AW194" s="120"/>
      <c r="AX194" s="120"/>
      <c r="AY194" s="120"/>
      <c r="AZ194" s="120"/>
      <c r="BA194" s="120"/>
      <c r="BB194" s="120"/>
      <c r="BC194" s="120"/>
      <c r="BD194" s="120"/>
      <c r="BE194" s="120"/>
      <c r="BF194" s="120"/>
      <c r="BG194" s="120"/>
      <c r="BH194" s="120"/>
      <c r="BI194" s="120"/>
      <c r="BJ194" s="120"/>
      <c r="BK194" s="120"/>
    </row>
    <row r="195" spans="1:63" ht="12.75" x14ac:dyDescent="0.2">
      <c r="A195" s="263"/>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120"/>
      <c r="AT195" s="120"/>
      <c r="AU195" s="120"/>
      <c r="AV195" s="120"/>
      <c r="AW195" s="120"/>
      <c r="AX195" s="120"/>
      <c r="AY195" s="120"/>
      <c r="AZ195" s="120"/>
      <c r="BA195" s="120"/>
      <c r="BB195" s="120"/>
      <c r="BC195" s="120"/>
      <c r="BD195" s="120"/>
      <c r="BE195" s="120"/>
      <c r="BF195" s="120"/>
      <c r="BG195" s="120"/>
      <c r="BH195" s="120"/>
      <c r="BI195" s="120"/>
      <c r="BJ195" s="120"/>
      <c r="BK195" s="120"/>
    </row>
    <row r="196" spans="1:63" ht="12.75" x14ac:dyDescent="0.2">
      <c r="A196" s="263"/>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120"/>
      <c r="AT196" s="120"/>
      <c r="AU196" s="120"/>
      <c r="AV196" s="120"/>
      <c r="AW196" s="120"/>
      <c r="AX196" s="120"/>
      <c r="AY196" s="120"/>
      <c r="AZ196" s="120"/>
      <c r="BA196" s="120"/>
      <c r="BB196" s="120"/>
      <c r="BC196" s="120"/>
      <c r="BD196" s="120"/>
      <c r="BE196" s="120"/>
      <c r="BF196" s="120"/>
      <c r="BG196" s="120"/>
      <c r="BH196" s="120"/>
      <c r="BI196" s="120"/>
      <c r="BJ196" s="120"/>
      <c r="BK196" s="120"/>
    </row>
    <row r="197" spans="1:63" ht="12.75" x14ac:dyDescent="0.2">
      <c r="A197" s="263"/>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row>
    <row r="198" spans="1:63" ht="12.75" x14ac:dyDescent="0.2">
      <c r="A198" s="263"/>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row>
    <row r="199" spans="1:63" ht="12.75" x14ac:dyDescent="0.2">
      <c r="A199" s="263"/>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0"/>
      <c r="AX199" s="120"/>
      <c r="AY199" s="120"/>
      <c r="AZ199" s="120"/>
      <c r="BA199" s="120"/>
      <c r="BB199" s="120"/>
      <c r="BC199" s="120"/>
      <c r="BD199" s="120"/>
      <c r="BE199" s="120"/>
      <c r="BF199" s="120"/>
      <c r="BG199" s="120"/>
      <c r="BH199" s="120"/>
      <c r="BI199" s="120"/>
      <c r="BJ199" s="120"/>
      <c r="BK199" s="120"/>
    </row>
    <row r="200" spans="1:63" ht="12.75" x14ac:dyDescent="0.2">
      <c r="A200" s="263"/>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20"/>
      <c r="AQ200" s="120"/>
      <c r="AR200" s="120"/>
      <c r="AS200" s="120"/>
      <c r="AT200" s="120"/>
      <c r="AU200" s="120"/>
      <c r="AV200" s="120"/>
      <c r="AW200" s="120"/>
      <c r="AX200" s="120"/>
      <c r="AY200" s="120"/>
      <c r="AZ200" s="120"/>
      <c r="BA200" s="120"/>
      <c r="BB200" s="120"/>
      <c r="BC200" s="120"/>
      <c r="BD200" s="120"/>
      <c r="BE200" s="120"/>
      <c r="BF200" s="120"/>
      <c r="BG200" s="120"/>
      <c r="BH200" s="120"/>
      <c r="BI200" s="120"/>
      <c r="BJ200" s="120"/>
      <c r="BK200" s="120"/>
    </row>
    <row r="201" spans="1:63" ht="12.75" x14ac:dyDescent="0.2">
      <c r="A201" s="263"/>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20"/>
      <c r="AQ201" s="120"/>
      <c r="AR201" s="120"/>
      <c r="AS201" s="120"/>
      <c r="AT201" s="120"/>
      <c r="AU201" s="120"/>
      <c r="AV201" s="120"/>
      <c r="AW201" s="120"/>
      <c r="AX201" s="120"/>
      <c r="AY201" s="120"/>
      <c r="AZ201" s="120"/>
      <c r="BA201" s="120"/>
      <c r="BB201" s="120"/>
      <c r="BC201" s="120"/>
      <c r="BD201" s="120"/>
      <c r="BE201" s="120"/>
      <c r="BF201" s="120"/>
      <c r="BG201" s="120"/>
      <c r="BH201" s="120"/>
      <c r="BI201" s="120"/>
      <c r="BJ201" s="120"/>
      <c r="BK201" s="120"/>
    </row>
    <row r="202" spans="1:63" ht="12.75" x14ac:dyDescent="0.2">
      <c r="A202" s="263"/>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20"/>
      <c r="AQ202" s="120"/>
      <c r="AR202" s="120"/>
      <c r="AS202" s="120"/>
      <c r="AT202" s="120"/>
      <c r="AU202" s="120"/>
      <c r="AV202" s="120"/>
      <c r="AW202" s="120"/>
      <c r="AX202" s="120"/>
      <c r="AY202" s="120"/>
      <c r="AZ202" s="120"/>
      <c r="BA202" s="120"/>
      <c r="BB202" s="120"/>
      <c r="BC202" s="120"/>
      <c r="BD202" s="120"/>
      <c r="BE202" s="120"/>
      <c r="BF202" s="120"/>
      <c r="BG202" s="120"/>
      <c r="BH202" s="120"/>
      <c r="BI202" s="120"/>
      <c r="BJ202" s="120"/>
      <c r="BK202" s="120"/>
    </row>
    <row r="203" spans="1:63" ht="12.75" x14ac:dyDescent="0.2">
      <c r="A203" s="263"/>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row>
    <row r="204" spans="1:63" ht="12.75" x14ac:dyDescent="0.2">
      <c r="A204" s="263"/>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20"/>
      <c r="AQ204" s="120"/>
      <c r="AR204" s="120"/>
      <c r="AS204" s="120"/>
      <c r="AT204" s="120"/>
      <c r="AU204" s="120"/>
      <c r="AV204" s="120"/>
      <c r="AW204" s="120"/>
      <c r="AX204" s="120"/>
      <c r="AY204" s="120"/>
      <c r="AZ204" s="120"/>
      <c r="BA204" s="120"/>
      <c r="BB204" s="120"/>
      <c r="BC204" s="120"/>
      <c r="BD204" s="120"/>
      <c r="BE204" s="120"/>
      <c r="BF204" s="120"/>
      <c r="BG204" s="120"/>
      <c r="BH204" s="120"/>
      <c r="BI204" s="120"/>
      <c r="BJ204" s="120"/>
      <c r="BK204" s="120"/>
    </row>
    <row r="205" spans="1:63" ht="12.75" x14ac:dyDescent="0.2">
      <c r="A205" s="263"/>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120"/>
      <c r="AY205" s="120"/>
      <c r="AZ205" s="120"/>
      <c r="BA205" s="120"/>
      <c r="BB205" s="120"/>
      <c r="BC205" s="120"/>
      <c r="BD205" s="120"/>
      <c r="BE205" s="120"/>
      <c r="BF205" s="120"/>
      <c r="BG205" s="120"/>
      <c r="BH205" s="120"/>
      <c r="BI205" s="120"/>
      <c r="BJ205" s="120"/>
      <c r="BK205" s="120"/>
    </row>
    <row r="206" spans="1:63" ht="12.75" x14ac:dyDescent="0.2">
      <c r="A206" s="263"/>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0"/>
      <c r="AX206" s="120"/>
      <c r="AY206" s="120"/>
      <c r="AZ206" s="120"/>
      <c r="BA206" s="120"/>
      <c r="BB206" s="120"/>
      <c r="BC206" s="120"/>
      <c r="BD206" s="120"/>
      <c r="BE206" s="120"/>
      <c r="BF206" s="120"/>
      <c r="BG206" s="120"/>
      <c r="BH206" s="120"/>
      <c r="BI206" s="120"/>
      <c r="BJ206" s="120"/>
      <c r="BK206" s="120"/>
    </row>
    <row r="207" spans="1:63" ht="12.75" x14ac:dyDescent="0.2">
      <c r="A207" s="263"/>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0"/>
      <c r="AX207" s="120"/>
      <c r="AY207" s="120"/>
      <c r="AZ207" s="120"/>
      <c r="BA207" s="120"/>
      <c r="BB207" s="120"/>
      <c r="BC207" s="120"/>
      <c r="BD207" s="120"/>
      <c r="BE207" s="120"/>
      <c r="BF207" s="120"/>
      <c r="BG207" s="120"/>
      <c r="BH207" s="120"/>
      <c r="BI207" s="120"/>
      <c r="BJ207" s="120"/>
      <c r="BK207" s="120"/>
    </row>
    <row r="208" spans="1:63" ht="12.75" x14ac:dyDescent="0.2">
      <c r="A208" s="263"/>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120"/>
      <c r="AQ208" s="120"/>
      <c r="AR208" s="120"/>
      <c r="AS208" s="120"/>
      <c r="AT208" s="120"/>
      <c r="AU208" s="120"/>
      <c r="AV208" s="120"/>
      <c r="AW208" s="120"/>
      <c r="AX208" s="120"/>
      <c r="AY208" s="120"/>
      <c r="AZ208" s="120"/>
      <c r="BA208" s="120"/>
      <c r="BB208" s="120"/>
      <c r="BC208" s="120"/>
      <c r="BD208" s="120"/>
      <c r="BE208" s="120"/>
      <c r="BF208" s="120"/>
      <c r="BG208" s="120"/>
      <c r="BH208" s="120"/>
      <c r="BI208" s="120"/>
      <c r="BJ208" s="120"/>
      <c r="BK208" s="120"/>
    </row>
    <row r="209" spans="1:63" ht="12.75" x14ac:dyDescent="0.2">
      <c r="A209" s="263"/>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c r="AB209" s="120"/>
      <c r="AC209" s="120"/>
      <c r="AD209" s="120"/>
      <c r="AE209" s="120"/>
      <c r="AF209" s="120"/>
      <c r="AG209" s="120"/>
      <c r="AH209" s="120"/>
      <c r="AI209" s="120"/>
      <c r="AJ209" s="120"/>
      <c r="AK209" s="120"/>
      <c r="AL209" s="120"/>
      <c r="AM209" s="120"/>
      <c r="AN209" s="120"/>
      <c r="AO209" s="120"/>
      <c r="AP209" s="120"/>
      <c r="AQ209" s="120"/>
      <c r="AR209" s="120"/>
      <c r="AS209" s="120"/>
      <c r="AT209" s="120"/>
      <c r="AU209" s="120"/>
      <c r="AV209" s="120"/>
      <c r="AW209" s="120"/>
      <c r="AX209" s="120"/>
      <c r="AY209" s="120"/>
      <c r="AZ209" s="120"/>
      <c r="BA209" s="120"/>
      <c r="BB209" s="120"/>
      <c r="BC209" s="120"/>
      <c r="BD209" s="120"/>
      <c r="BE209" s="120"/>
      <c r="BF209" s="120"/>
      <c r="BG209" s="120"/>
      <c r="BH209" s="120"/>
      <c r="BI209" s="120"/>
      <c r="BJ209" s="120"/>
      <c r="BK209" s="120"/>
    </row>
    <row r="210" spans="1:63" ht="12.75" x14ac:dyDescent="0.2">
      <c r="A210" s="263"/>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row>
    <row r="211" spans="1:63" ht="12.75" x14ac:dyDescent="0.2">
      <c r="A211" s="263"/>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row>
    <row r="212" spans="1:63" ht="12.75" x14ac:dyDescent="0.2">
      <c r="A212" s="263"/>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c r="AB212" s="120"/>
      <c r="AC212" s="120"/>
      <c r="AD212" s="120"/>
      <c r="AE212" s="120"/>
      <c r="AF212" s="120"/>
      <c r="AG212" s="120"/>
      <c r="AH212" s="120"/>
      <c r="AI212" s="120"/>
      <c r="AJ212" s="120"/>
      <c r="AK212" s="120"/>
      <c r="AL212" s="120"/>
      <c r="AM212" s="120"/>
      <c r="AN212" s="120"/>
      <c r="AO212" s="120"/>
      <c r="AP212" s="120"/>
      <c r="AQ212" s="120"/>
      <c r="AR212" s="120"/>
      <c r="AS212" s="120"/>
      <c r="AT212" s="120"/>
      <c r="AU212" s="120"/>
      <c r="AV212" s="120"/>
      <c r="AW212" s="120"/>
      <c r="AX212" s="120"/>
      <c r="AY212" s="120"/>
      <c r="AZ212" s="120"/>
      <c r="BA212" s="120"/>
      <c r="BB212" s="120"/>
      <c r="BC212" s="120"/>
      <c r="BD212" s="120"/>
      <c r="BE212" s="120"/>
      <c r="BF212" s="120"/>
      <c r="BG212" s="120"/>
      <c r="BH212" s="120"/>
      <c r="BI212" s="120"/>
      <c r="BJ212" s="120"/>
      <c r="BK212" s="120"/>
    </row>
    <row r="213" spans="1:63" ht="12.75" x14ac:dyDescent="0.2">
      <c r="A213" s="263"/>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row>
    <row r="214" spans="1:63" ht="12.75" x14ac:dyDescent="0.2">
      <c r="A214" s="263"/>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row>
    <row r="215" spans="1:63" ht="12.75" x14ac:dyDescent="0.2">
      <c r="A215" s="263"/>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row>
    <row r="216" spans="1:63" ht="12.75" x14ac:dyDescent="0.2">
      <c r="A216" s="263"/>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row>
    <row r="217" spans="1:63" ht="12.75" x14ac:dyDescent="0.2">
      <c r="A217" s="263"/>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row>
    <row r="218" spans="1:63" ht="12.75" x14ac:dyDescent="0.2">
      <c r="A218" s="263"/>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120"/>
      <c r="AT218" s="120"/>
      <c r="AU218" s="120"/>
      <c r="AV218" s="120"/>
      <c r="AW218" s="120"/>
      <c r="AX218" s="120"/>
      <c r="AY218" s="120"/>
      <c r="AZ218" s="120"/>
      <c r="BA218" s="120"/>
      <c r="BB218" s="120"/>
      <c r="BC218" s="120"/>
      <c r="BD218" s="120"/>
      <c r="BE218" s="120"/>
      <c r="BF218" s="120"/>
      <c r="BG218" s="120"/>
      <c r="BH218" s="120"/>
      <c r="BI218" s="120"/>
      <c r="BJ218" s="120"/>
      <c r="BK218" s="120"/>
    </row>
    <row r="219" spans="1:63" ht="12.75" x14ac:dyDescent="0.2">
      <c r="A219" s="263"/>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120"/>
      <c r="AT219" s="120"/>
      <c r="AU219" s="120"/>
      <c r="AV219" s="120"/>
      <c r="AW219" s="120"/>
      <c r="AX219" s="120"/>
      <c r="AY219" s="120"/>
      <c r="AZ219" s="120"/>
      <c r="BA219" s="120"/>
      <c r="BB219" s="120"/>
      <c r="BC219" s="120"/>
      <c r="BD219" s="120"/>
      <c r="BE219" s="120"/>
      <c r="BF219" s="120"/>
      <c r="BG219" s="120"/>
      <c r="BH219" s="120"/>
      <c r="BI219" s="120"/>
      <c r="BJ219" s="120"/>
      <c r="BK219" s="120"/>
    </row>
    <row r="220" spans="1:63" ht="12.75" x14ac:dyDescent="0.2">
      <c r="A220" s="263"/>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120"/>
      <c r="AT220" s="120"/>
      <c r="AU220" s="120"/>
      <c r="AV220" s="120"/>
      <c r="AW220" s="120"/>
      <c r="AX220" s="120"/>
      <c r="AY220" s="120"/>
      <c r="AZ220" s="120"/>
      <c r="BA220" s="120"/>
      <c r="BB220" s="120"/>
      <c r="BC220" s="120"/>
      <c r="BD220" s="120"/>
      <c r="BE220" s="120"/>
      <c r="BF220" s="120"/>
      <c r="BG220" s="120"/>
      <c r="BH220" s="120"/>
      <c r="BI220" s="120"/>
      <c r="BJ220" s="120"/>
      <c r="BK220" s="120"/>
    </row>
    <row r="221" spans="1:63" ht="12.75" x14ac:dyDescent="0.2">
      <c r="A221" s="263"/>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120"/>
      <c r="AT221" s="120"/>
      <c r="AU221" s="120"/>
      <c r="AV221" s="120"/>
      <c r="AW221" s="120"/>
      <c r="AX221" s="120"/>
      <c r="AY221" s="120"/>
      <c r="AZ221" s="120"/>
      <c r="BA221" s="120"/>
      <c r="BB221" s="120"/>
      <c r="BC221" s="120"/>
      <c r="BD221" s="120"/>
      <c r="BE221" s="120"/>
      <c r="BF221" s="120"/>
      <c r="BG221" s="120"/>
      <c r="BH221" s="120"/>
      <c r="BI221" s="120"/>
      <c r="BJ221" s="120"/>
      <c r="BK221" s="120"/>
    </row>
    <row r="222" spans="1:63" ht="12.75" x14ac:dyDescent="0.2">
      <c r="A222" s="263"/>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c r="AB222" s="120"/>
      <c r="AC222" s="120"/>
      <c r="AD222" s="120"/>
      <c r="AE222" s="120"/>
      <c r="AF222" s="120"/>
      <c r="AG222" s="120"/>
      <c r="AH222" s="120"/>
      <c r="AI222" s="120"/>
      <c r="AJ222" s="120"/>
      <c r="AK222" s="120"/>
      <c r="AL222" s="120"/>
      <c r="AM222" s="120"/>
      <c r="AN222" s="120"/>
      <c r="AO222" s="120"/>
      <c r="AP222" s="120"/>
      <c r="AQ222" s="120"/>
      <c r="AR222" s="120"/>
      <c r="AS222" s="120"/>
      <c r="AT222" s="120"/>
      <c r="AU222" s="120"/>
      <c r="AV222" s="120"/>
      <c r="AW222" s="120"/>
      <c r="AX222" s="120"/>
      <c r="AY222" s="120"/>
      <c r="AZ222" s="120"/>
      <c r="BA222" s="120"/>
      <c r="BB222" s="120"/>
      <c r="BC222" s="120"/>
      <c r="BD222" s="120"/>
      <c r="BE222" s="120"/>
      <c r="BF222" s="120"/>
      <c r="BG222" s="120"/>
      <c r="BH222" s="120"/>
      <c r="BI222" s="120"/>
      <c r="BJ222" s="120"/>
      <c r="BK222" s="120"/>
    </row>
    <row r="223" spans="1:63" ht="12.75" x14ac:dyDescent="0.2">
      <c r="A223" s="263"/>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0"/>
      <c r="AX223" s="120"/>
      <c r="AY223" s="120"/>
      <c r="AZ223" s="120"/>
      <c r="BA223" s="120"/>
      <c r="BB223" s="120"/>
      <c r="BC223" s="120"/>
      <c r="BD223" s="120"/>
      <c r="BE223" s="120"/>
      <c r="BF223" s="120"/>
      <c r="BG223" s="120"/>
      <c r="BH223" s="120"/>
      <c r="BI223" s="120"/>
      <c r="BJ223" s="120"/>
      <c r="BK223" s="120"/>
    </row>
    <row r="224" spans="1:63" ht="12.75" x14ac:dyDescent="0.2">
      <c r="A224" s="263"/>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row>
    <row r="225" spans="1:63" ht="12.75" x14ac:dyDescent="0.2">
      <c r="A225" s="263"/>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c r="AB225" s="120"/>
      <c r="AC225" s="120"/>
      <c r="AD225" s="120"/>
      <c r="AE225" s="120"/>
      <c r="AF225" s="120"/>
      <c r="AG225" s="120"/>
      <c r="AH225" s="120"/>
      <c r="AI225" s="120"/>
      <c r="AJ225" s="120"/>
      <c r="AK225" s="120"/>
      <c r="AL225" s="120"/>
      <c r="AM225" s="120"/>
      <c r="AN225" s="120"/>
      <c r="AO225" s="120"/>
      <c r="AP225" s="120"/>
      <c r="AQ225" s="120"/>
      <c r="AR225" s="120"/>
      <c r="AS225" s="120"/>
      <c r="AT225" s="120"/>
      <c r="AU225" s="120"/>
      <c r="AV225" s="120"/>
      <c r="AW225" s="120"/>
      <c r="AX225" s="120"/>
      <c r="AY225" s="120"/>
      <c r="AZ225" s="120"/>
      <c r="BA225" s="120"/>
      <c r="BB225" s="120"/>
      <c r="BC225" s="120"/>
      <c r="BD225" s="120"/>
      <c r="BE225" s="120"/>
      <c r="BF225" s="120"/>
      <c r="BG225" s="120"/>
      <c r="BH225" s="120"/>
      <c r="BI225" s="120"/>
      <c r="BJ225" s="120"/>
      <c r="BK225" s="120"/>
    </row>
    <row r="226" spans="1:63" ht="12.75" x14ac:dyDescent="0.2">
      <c r="A226" s="263"/>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c r="AB226" s="120"/>
      <c r="AC226" s="120"/>
      <c r="AD226" s="120"/>
      <c r="AE226" s="120"/>
      <c r="AF226" s="120"/>
      <c r="AG226" s="120"/>
      <c r="AH226" s="120"/>
      <c r="AI226" s="120"/>
      <c r="AJ226" s="120"/>
      <c r="AK226" s="120"/>
      <c r="AL226" s="120"/>
      <c r="AM226" s="120"/>
      <c r="AN226" s="120"/>
      <c r="AO226" s="120"/>
      <c r="AP226" s="120"/>
      <c r="AQ226" s="120"/>
      <c r="AR226" s="120"/>
      <c r="AS226" s="120"/>
      <c r="AT226" s="120"/>
      <c r="AU226" s="120"/>
      <c r="AV226" s="120"/>
      <c r="AW226" s="120"/>
      <c r="AX226" s="120"/>
      <c r="AY226" s="120"/>
      <c r="AZ226" s="120"/>
      <c r="BA226" s="120"/>
      <c r="BB226" s="120"/>
      <c r="BC226" s="120"/>
      <c r="BD226" s="120"/>
      <c r="BE226" s="120"/>
      <c r="BF226" s="120"/>
      <c r="BG226" s="120"/>
      <c r="BH226" s="120"/>
      <c r="BI226" s="120"/>
      <c r="BJ226" s="120"/>
      <c r="BK226" s="120"/>
    </row>
    <row r="227" spans="1:63" ht="12.75" x14ac:dyDescent="0.2">
      <c r="A227" s="263"/>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c r="AB227" s="120"/>
      <c r="AC227" s="120"/>
      <c r="AD227" s="120"/>
      <c r="AE227" s="120"/>
      <c r="AF227" s="120"/>
      <c r="AG227" s="120"/>
      <c r="AH227" s="120"/>
      <c r="AI227" s="120"/>
      <c r="AJ227" s="120"/>
      <c r="AK227" s="120"/>
      <c r="AL227" s="120"/>
      <c r="AM227" s="120"/>
      <c r="AN227" s="120"/>
      <c r="AO227" s="120"/>
      <c r="AP227" s="120"/>
      <c r="AQ227" s="120"/>
      <c r="AR227" s="120"/>
      <c r="AS227" s="120"/>
      <c r="AT227" s="120"/>
      <c r="AU227" s="120"/>
      <c r="AV227" s="120"/>
      <c r="AW227" s="120"/>
      <c r="AX227" s="120"/>
      <c r="AY227" s="120"/>
      <c r="AZ227" s="120"/>
      <c r="BA227" s="120"/>
      <c r="BB227" s="120"/>
      <c r="BC227" s="120"/>
      <c r="BD227" s="120"/>
      <c r="BE227" s="120"/>
      <c r="BF227" s="120"/>
      <c r="BG227" s="120"/>
      <c r="BH227" s="120"/>
      <c r="BI227" s="120"/>
      <c r="BJ227" s="120"/>
      <c r="BK227" s="120"/>
    </row>
    <row r="228" spans="1:63" ht="12.75" x14ac:dyDescent="0.2">
      <c r="A228" s="263"/>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row>
    <row r="229" spans="1:63" ht="12.75" x14ac:dyDescent="0.2">
      <c r="A229" s="263"/>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row>
    <row r="230" spans="1:63" ht="12.75" x14ac:dyDescent="0.2">
      <c r="A230" s="263"/>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c r="AB230" s="120"/>
      <c r="AC230" s="120"/>
      <c r="AD230" s="120"/>
      <c r="AE230" s="120"/>
      <c r="AF230" s="120"/>
      <c r="AG230" s="120"/>
      <c r="AH230" s="120"/>
      <c r="AI230" s="120"/>
      <c r="AJ230" s="120"/>
      <c r="AK230" s="120"/>
      <c r="AL230" s="120"/>
      <c r="AM230" s="120"/>
      <c r="AN230" s="120"/>
      <c r="AO230" s="120"/>
      <c r="AP230" s="120"/>
      <c r="AQ230" s="120"/>
      <c r="AR230" s="120"/>
      <c r="AS230" s="120"/>
      <c r="AT230" s="120"/>
      <c r="AU230" s="120"/>
      <c r="AV230" s="120"/>
      <c r="AW230" s="120"/>
      <c r="AX230" s="120"/>
      <c r="AY230" s="120"/>
      <c r="AZ230" s="120"/>
      <c r="BA230" s="120"/>
      <c r="BB230" s="120"/>
      <c r="BC230" s="120"/>
      <c r="BD230" s="120"/>
      <c r="BE230" s="120"/>
      <c r="BF230" s="120"/>
      <c r="BG230" s="120"/>
      <c r="BH230" s="120"/>
      <c r="BI230" s="120"/>
      <c r="BJ230" s="120"/>
      <c r="BK230" s="120"/>
    </row>
    <row r="231" spans="1:63" ht="12.75" x14ac:dyDescent="0.2">
      <c r="A231" s="263"/>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0"/>
      <c r="AX231" s="120"/>
      <c r="AY231" s="120"/>
      <c r="AZ231" s="120"/>
      <c r="BA231" s="120"/>
      <c r="BB231" s="120"/>
      <c r="BC231" s="120"/>
      <c r="BD231" s="120"/>
      <c r="BE231" s="120"/>
      <c r="BF231" s="120"/>
      <c r="BG231" s="120"/>
      <c r="BH231" s="120"/>
      <c r="BI231" s="120"/>
      <c r="BJ231" s="120"/>
      <c r="BK231" s="120"/>
    </row>
    <row r="232" spans="1:63" ht="12.75" x14ac:dyDescent="0.2">
      <c r="A232" s="263"/>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c r="AB232" s="120"/>
      <c r="AC232" s="120"/>
      <c r="AD232" s="120"/>
      <c r="AE232" s="120"/>
      <c r="AF232" s="120"/>
      <c r="AG232" s="120"/>
      <c r="AH232" s="120"/>
      <c r="AI232" s="120"/>
      <c r="AJ232" s="120"/>
      <c r="AK232" s="120"/>
      <c r="AL232" s="120"/>
      <c r="AM232" s="120"/>
      <c r="AN232" s="120"/>
      <c r="AO232" s="120"/>
      <c r="AP232" s="120"/>
      <c r="AQ232" s="120"/>
      <c r="AR232" s="120"/>
      <c r="AS232" s="120"/>
      <c r="AT232" s="120"/>
      <c r="AU232" s="120"/>
      <c r="AV232" s="120"/>
      <c r="AW232" s="120"/>
      <c r="AX232" s="120"/>
      <c r="AY232" s="120"/>
      <c r="AZ232" s="120"/>
      <c r="BA232" s="120"/>
      <c r="BB232" s="120"/>
      <c r="BC232" s="120"/>
      <c r="BD232" s="120"/>
      <c r="BE232" s="120"/>
      <c r="BF232" s="120"/>
      <c r="BG232" s="120"/>
      <c r="BH232" s="120"/>
      <c r="BI232" s="120"/>
      <c r="BJ232" s="120"/>
      <c r="BK232" s="120"/>
    </row>
    <row r="233" spans="1:63" ht="12.75" x14ac:dyDescent="0.2">
      <c r="A233" s="263"/>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c r="AB233" s="120"/>
      <c r="AC233" s="120"/>
      <c r="AD233" s="120"/>
      <c r="AE233" s="120"/>
      <c r="AF233" s="120"/>
      <c r="AG233" s="120"/>
      <c r="AH233" s="120"/>
      <c r="AI233" s="120"/>
      <c r="AJ233" s="120"/>
      <c r="AK233" s="120"/>
      <c r="AL233" s="120"/>
      <c r="AM233" s="120"/>
      <c r="AN233" s="120"/>
      <c r="AO233" s="120"/>
      <c r="AP233" s="120"/>
      <c r="AQ233" s="120"/>
      <c r="AR233" s="120"/>
      <c r="AS233" s="120"/>
      <c r="AT233" s="120"/>
      <c r="AU233" s="120"/>
      <c r="AV233" s="120"/>
      <c r="AW233" s="120"/>
      <c r="AX233" s="120"/>
      <c r="AY233" s="120"/>
      <c r="AZ233" s="120"/>
      <c r="BA233" s="120"/>
      <c r="BB233" s="120"/>
      <c r="BC233" s="120"/>
      <c r="BD233" s="120"/>
      <c r="BE233" s="120"/>
      <c r="BF233" s="120"/>
      <c r="BG233" s="120"/>
      <c r="BH233" s="120"/>
      <c r="BI233" s="120"/>
      <c r="BJ233" s="120"/>
      <c r="BK233" s="120"/>
    </row>
    <row r="234" spans="1:63" ht="12.75" x14ac:dyDescent="0.2">
      <c r="A234" s="263"/>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row>
    <row r="235" spans="1:63" ht="12.75" x14ac:dyDescent="0.2">
      <c r="A235" s="263"/>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0"/>
      <c r="AY235" s="120"/>
      <c r="AZ235" s="120"/>
      <c r="BA235" s="120"/>
      <c r="BB235" s="120"/>
      <c r="BC235" s="120"/>
      <c r="BD235" s="120"/>
      <c r="BE235" s="120"/>
      <c r="BF235" s="120"/>
      <c r="BG235" s="120"/>
      <c r="BH235" s="120"/>
      <c r="BI235" s="120"/>
      <c r="BJ235" s="120"/>
      <c r="BK235" s="120"/>
    </row>
    <row r="236" spans="1:63" ht="12.75" x14ac:dyDescent="0.2">
      <c r="A236" s="263"/>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c r="AR236" s="120"/>
      <c r="AS236" s="120"/>
      <c r="AT236" s="120"/>
      <c r="AU236" s="120"/>
      <c r="AV236" s="120"/>
      <c r="AW236" s="120"/>
      <c r="AX236" s="120"/>
      <c r="AY236" s="120"/>
      <c r="AZ236" s="120"/>
      <c r="BA236" s="120"/>
      <c r="BB236" s="120"/>
      <c r="BC236" s="120"/>
      <c r="BD236" s="120"/>
      <c r="BE236" s="120"/>
      <c r="BF236" s="120"/>
      <c r="BG236" s="120"/>
      <c r="BH236" s="120"/>
      <c r="BI236" s="120"/>
      <c r="BJ236" s="120"/>
      <c r="BK236" s="120"/>
    </row>
    <row r="237" spans="1:63" ht="12.75" x14ac:dyDescent="0.2">
      <c r="A237" s="263"/>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c r="AR237" s="120"/>
      <c r="AS237" s="120"/>
      <c r="AT237" s="120"/>
      <c r="AU237" s="120"/>
      <c r="AV237" s="120"/>
      <c r="AW237" s="120"/>
      <c r="AX237" s="120"/>
      <c r="AY237" s="120"/>
      <c r="AZ237" s="120"/>
      <c r="BA237" s="120"/>
      <c r="BB237" s="120"/>
      <c r="BC237" s="120"/>
      <c r="BD237" s="120"/>
      <c r="BE237" s="120"/>
      <c r="BF237" s="120"/>
      <c r="BG237" s="120"/>
      <c r="BH237" s="120"/>
      <c r="BI237" s="120"/>
      <c r="BJ237" s="120"/>
      <c r="BK237" s="120"/>
    </row>
    <row r="238" spans="1:63" ht="12.75" x14ac:dyDescent="0.2">
      <c r="A238" s="263"/>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c r="AB238" s="120"/>
      <c r="AC238" s="120"/>
      <c r="AD238" s="120"/>
      <c r="AE238" s="120"/>
      <c r="AF238" s="120"/>
      <c r="AG238" s="120"/>
      <c r="AH238" s="120"/>
      <c r="AI238" s="120"/>
      <c r="AJ238" s="120"/>
      <c r="AK238" s="120"/>
      <c r="AL238" s="120"/>
      <c r="AM238" s="120"/>
      <c r="AN238" s="120"/>
      <c r="AO238" s="120"/>
      <c r="AP238" s="120"/>
      <c r="AQ238" s="120"/>
      <c r="AR238" s="120"/>
      <c r="AS238" s="120"/>
      <c r="AT238" s="120"/>
      <c r="AU238" s="120"/>
      <c r="AV238" s="120"/>
      <c r="AW238" s="120"/>
      <c r="AX238" s="120"/>
      <c r="AY238" s="120"/>
      <c r="AZ238" s="120"/>
      <c r="BA238" s="120"/>
      <c r="BB238" s="120"/>
      <c r="BC238" s="120"/>
      <c r="BD238" s="120"/>
      <c r="BE238" s="120"/>
      <c r="BF238" s="120"/>
      <c r="BG238" s="120"/>
      <c r="BH238" s="120"/>
      <c r="BI238" s="120"/>
      <c r="BJ238" s="120"/>
      <c r="BK238" s="120"/>
    </row>
    <row r="239" spans="1:63" ht="12.75" x14ac:dyDescent="0.2">
      <c r="A239" s="263"/>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c r="AB239" s="120"/>
      <c r="AC239" s="120"/>
      <c r="AD239" s="120"/>
      <c r="AE239" s="120"/>
      <c r="AF239" s="120"/>
      <c r="AG239" s="120"/>
      <c r="AH239" s="120"/>
      <c r="AI239" s="120"/>
      <c r="AJ239" s="120"/>
      <c r="AK239" s="120"/>
      <c r="AL239" s="120"/>
      <c r="AM239" s="120"/>
      <c r="AN239" s="120"/>
      <c r="AO239" s="120"/>
      <c r="AP239" s="120"/>
      <c r="AQ239" s="120"/>
      <c r="AR239" s="120"/>
      <c r="AS239" s="120"/>
      <c r="AT239" s="120"/>
      <c r="AU239" s="120"/>
      <c r="AV239" s="120"/>
      <c r="AW239" s="120"/>
      <c r="AX239" s="120"/>
      <c r="AY239" s="120"/>
      <c r="AZ239" s="120"/>
      <c r="BA239" s="120"/>
      <c r="BB239" s="120"/>
      <c r="BC239" s="120"/>
      <c r="BD239" s="120"/>
      <c r="BE239" s="120"/>
      <c r="BF239" s="120"/>
      <c r="BG239" s="120"/>
      <c r="BH239" s="120"/>
      <c r="BI239" s="120"/>
      <c r="BJ239" s="120"/>
      <c r="BK239" s="120"/>
    </row>
    <row r="240" spans="1:63" ht="12.75" x14ac:dyDescent="0.2">
      <c r="A240" s="263"/>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0"/>
      <c r="AN240" s="120"/>
      <c r="AO240" s="120"/>
      <c r="AP240" s="120"/>
      <c r="AQ240" s="120"/>
      <c r="AR240" s="120"/>
      <c r="AS240" s="120"/>
      <c r="AT240" s="120"/>
      <c r="AU240" s="120"/>
      <c r="AV240" s="120"/>
      <c r="AW240" s="120"/>
      <c r="AX240" s="120"/>
      <c r="AY240" s="120"/>
      <c r="AZ240" s="120"/>
      <c r="BA240" s="120"/>
      <c r="BB240" s="120"/>
      <c r="BC240" s="120"/>
      <c r="BD240" s="120"/>
      <c r="BE240" s="120"/>
      <c r="BF240" s="120"/>
      <c r="BG240" s="120"/>
      <c r="BH240" s="120"/>
      <c r="BI240" s="120"/>
      <c r="BJ240" s="120"/>
      <c r="BK240" s="120"/>
    </row>
    <row r="241" spans="1:63" ht="12.75" x14ac:dyDescent="0.2">
      <c r="A241" s="263"/>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row>
    <row r="242" spans="1:63" ht="12.75" x14ac:dyDescent="0.2">
      <c r="A242" s="263"/>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20"/>
      <c r="AC242" s="120"/>
      <c r="AD242" s="120"/>
      <c r="AE242" s="120"/>
      <c r="AF242" s="120"/>
      <c r="AG242" s="120"/>
      <c r="AH242" s="120"/>
      <c r="AI242" s="120"/>
      <c r="AJ242" s="120"/>
      <c r="AK242" s="120"/>
      <c r="AL242" s="120"/>
      <c r="AM242" s="120"/>
      <c r="AN242" s="120"/>
      <c r="AO242" s="120"/>
      <c r="AP242" s="120"/>
      <c r="AQ242" s="120"/>
      <c r="AR242" s="120"/>
      <c r="AS242" s="120"/>
      <c r="AT242" s="120"/>
      <c r="AU242" s="120"/>
      <c r="AV242" s="120"/>
      <c r="AW242" s="120"/>
      <c r="AX242" s="120"/>
      <c r="AY242" s="120"/>
      <c r="AZ242" s="120"/>
      <c r="BA242" s="120"/>
      <c r="BB242" s="120"/>
      <c r="BC242" s="120"/>
      <c r="BD242" s="120"/>
      <c r="BE242" s="120"/>
      <c r="BF242" s="120"/>
      <c r="BG242" s="120"/>
      <c r="BH242" s="120"/>
      <c r="BI242" s="120"/>
      <c r="BJ242" s="120"/>
      <c r="BK242" s="120"/>
    </row>
    <row r="243" spans="1:63" ht="12.75" x14ac:dyDescent="0.2">
      <c r="A243" s="263"/>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c r="AB243" s="120"/>
      <c r="AC243" s="120"/>
      <c r="AD243" s="120"/>
      <c r="AE243" s="120"/>
      <c r="AF243" s="120"/>
      <c r="AG243" s="120"/>
      <c r="AH243" s="120"/>
      <c r="AI243" s="120"/>
      <c r="AJ243" s="120"/>
      <c r="AK243" s="120"/>
      <c r="AL243" s="120"/>
      <c r="AM243" s="120"/>
      <c r="AN243" s="120"/>
      <c r="AO243" s="120"/>
      <c r="AP243" s="120"/>
      <c r="AQ243" s="120"/>
      <c r="AR243" s="120"/>
      <c r="AS243" s="120"/>
      <c r="AT243" s="120"/>
      <c r="AU243" s="120"/>
      <c r="AV243" s="120"/>
      <c r="AW243" s="120"/>
      <c r="AX243" s="120"/>
      <c r="AY243" s="120"/>
      <c r="AZ243" s="120"/>
      <c r="BA243" s="120"/>
      <c r="BB243" s="120"/>
      <c r="BC243" s="120"/>
      <c r="BD243" s="120"/>
      <c r="BE243" s="120"/>
      <c r="BF243" s="120"/>
      <c r="BG243" s="120"/>
      <c r="BH243" s="120"/>
      <c r="BI243" s="120"/>
      <c r="BJ243" s="120"/>
      <c r="BK243" s="120"/>
    </row>
    <row r="244" spans="1:63" ht="12.75" x14ac:dyDescent="0.2">
      <c r="A244" s="263"/>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c r="AN244" s="120"/>
      <c r="AO244" s="120"/>
      <c r="AP244" s="120"/>
      <c r="AQ244" s="120"/>
      <c r="AR244" s="120"/>
      <c r="AS244" s="120"/>
      <c r="AT244" s="120"/>
      <c r="AU244" s="120"/>
      <c r="AV244" s="120"/>
      <c r="AW244" s="120"/>
      <c r="AX244" s="120"/>
      <c r="AY244" s="120"/>
      <c r="AZ244" s="120"/>
      <c r="BA244" s="120"/>
      <c r="BB244" s="120"/>
      <c r="BC244" s="120"/>
      <c r="BD244" s="120"/>
      <c r="BE244" s="120"/>
      <c r="BF244" s="120"/>
      <c r="BG244" s="120"/>
      <c r="BH244" s="120"/>
      <c r="BI244" s="120"/>
      <c r="BJ244" s="120"/>
      <c r="BK244" s="120"/>
    </row>
    <row r="245" spans="1:63" ht="12.75" x14ac:dyDescent="0.2">
      <c r="A245" s="263"/>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row>
    <row r="246" spans="1:63" ht="12.75" x14ac:dyDescent="0.2">
      <c r="A246" s="263"/>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row>
    <row r="247" spans="1:63" ht="12.75" x14ac:dyDescent="0.2">
      <c r="A247" s="263"/>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c r="AB247" s="120"/>
      <c r="AC247" s="120"/>
      <c r="AD247" s="120"/>
      <c r="AE247" s="120"/>
      <c r="AF247" s="120"/>
      <c r="AG247" s="120"/>
      <c r="AH247" s="120"/>
      <c r="AI247" s="120"/>
      <c r="AJ247" s="120"/>
      <c r="AK247" s="120"/>
      <c r="AL247" s="120"/>
      <c r="AM247" s="120"/>
      <c r="AN247" s="120"/>
      <c r="AO247" s="120"/>
      <c r="AP247" s="120"/>
      <c r="AQ247" s="120"/>
      <c r="AR247" s="120"/>
      <c r="AS247" s="120"/>
      <c r="AT247" s="120"/>
      <c r="AU247" s="120"/>
      <c r="AV247" s="120"/>
      <c r="AW247" s="120"/>
      <c r="AX247" s="120"/>
      <c r="AY247" s="120"/>
      <c r="AZ247" s="120"/>
      <c r="BA247" s="120"/>
      <c r="BB247" s="120"/>
      <c r="BC247" s="120"/>
      <c r="BD247" s="120"/>
      <c r="BE247" s="120"/>
      <c r="BF247" s="120"/>
      <c r="BG247" s="120"/>
      <c r="BH247" s="120"/>
      <c r="BI247" s="120"/>
      <c r="BJ247" s="120"/>
      <c r="BK247" s="120"/>
    </row>
    <row r="248" spans="1:63" ht="12.75" x14ac:dyDescent="0.2">
      <c r="A248" s="263"/>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row>
    <row r="249" spans="1:63" ht="12.75" x14ac:dyDescent="0.2">
      <c r="A249" s="263"/>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0"/>
      <c r="AN249" s="120"/>
      <c r="AO249" s="120"/>
      <c r="AP249" s="120"/>
      <c r="AQ249" s="120"/>
      <c r="AR249" s="120"/>
      <c r="AS249" s="120"/>
      <c r="AT249" s="120"/>
      <c r="AU249" s="120"/>
      <c r="AV249" s="120"/>
      <c r="AW249" s="120"/>
      <c r="AX249" s="120"/>
      <c r="AY249" s="120"/>
      <c r="AZ249" s="120"/>
      <c r="BA249" s="120"/>
      <c r="BB249" s="120"/>
      <c r="BC249" s="120"/>
      <c r="BD249" s="120"/>
      <c r="BE249" s="120"/>
      <c r="BF249" s="120"/>
      <c r="BG249" s="120"/>
      <c r="BH249" s="120"/>
      <c r="BI249" s="120"/>
      <c r="BJ249" s="120"/>
      <c r="BK249" s="120"/>
    </row>
    <row r="250" spans="1:63" ht="12.75" x14ac:dyDescent="0.2">
      <c r="A250" s="263"/>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c r="AB250" s="120"/>
      <c r="AC250" s="120"/>
      <c r="AD250" s="120"/>
      <c r="AE250" s="120"/>
      <c r="AF250" s="120"/>
      <c r="AG250" s="120"/>
      <c r="AH250" s="120"/>
      <c r="AI250" s="120"/>
      <c r="AJ250" s="120"/>
      <c r="AK250" s="120"/>
      <c r="AL250" s="120"/>
      <c r="AM250" s="120"/>
      <c r="AN250" s="120"/>
      <c r="AO250" s="120"/>
      <c r="AP250" s="120"/>
      <c r="AQ250" s="120"/>
      <c r="AR250" s="120"/>
      <c r="AS250" s="120"/>
      <c r="AT250" s="120"/>
      <c r="AU250" s="120"/>
      <c r="AV250" s="120"/>
      <c r="AW250" s="120"/>
      <c r="AX250" s="120"/>
      <c r="AY250" s="120"/>
      <c r="AZ250" s="120"/>
      <c r="BA250" s="120"/>
      <c r="BB250" s="120"/>
      <c r="BC250" s="120"/>
      <c r="BD250" s="120"/>
      <c r="BE250" s="120"/>
      <c r="BF250" s="120"/>
      <c r="BG250" s="120"/>
      <c r="BH250" s="120"/>
      <c r="BI250" s="120"/>
      <c r="BJ250" s="120"/>
      <c r="BK250" s="120"/>
    </row>
    <row r="251" spans="1:63" ht="12.75" x14ac:dyDescent="0.2">
      <c r="A251" s="263"/>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c r="AB251" s="120"/>
      <c r="AC251" s="120"/>
      <c r="AD251" s="120"/>
      <c r="AE251" s="120"/>
      <c r="AF251" s="120"/>
      <c r="AG251" s="120"/>
      <c r="AH251" s="120"/>
      <c r="AI251" s="120"/>
      <c r="AJ251" s="120"/>
      <c r="AK251" s="120"/>
      <c r="AL251" s="120"/>
      <c r="AM251" s="120"/>
      <c r="AN251" s="120"/>
      <c r="AO251" s="120"/>
      <c r="AP251" s="120"/>
      <c r="AQ251" s="120"/>
      <c r="AR251" s="120"/>
      <c r="AS251" s="120"/>
      <c r="AT251" s="120"/>
      <c r="AU251" s="120"/>
      <c r="AV251" s="120"/>
      <c r="AW251" s="120"/>
      <c r="AX251" s="120"/>
      <c r="AY251" s="120"/>
      <c r="AZ251" s="120"/>
      <c r="BA251" s="120"/>
      <c r="BB251" s="120"/>
      <c r="BC251" s="120"/>
      <c r="BD251" s="120"/>
      <c r="BE251" s="120"/>
      <c r="BF251" s="120"/>
      <c r="BG251" s="120"/>
      <c r="BH251" s="120"/>
      <c r="BI251" s="120"/>
      <c r="BJ251" s="120"/>
      <c r="BK251" s="120"/>
    </row>
    <row r="252" spans="1:63" ht="12.75" x14ac:dyDescent="0.2">
      <c r="A252" s="263"/>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row>
    <row r="253" spans="1:63" ht="12.75" x14ac:dyDescent="0.2">
      <c r="A253" s="263"/>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0"/>
      <c r="AX253" s="120"/>
      <c r="AY253" s="120"/>
      <c r="AZ253" s="120"/>
      <c r="BA253" s="120"/>
      <c r="BB253" s="120"/>
      <c r="BC253" s="120"/>
      <c r="BD253" s="120"/>
      <c r="BE253" s="120"/>
      <c r="BF253" s="120"/>
      <c r="BG253" s="120"/>
      <c r="BH253" s="120"/>
      <c r="BI253" s="120"/>
      <c r="BJ253" s="120"/>
      <c r="BK253" s="120"/>
    </row>
    <row r="254" spans="1:63" ht="12.75" x14ac:dyDescent="0.2">
      <c r="A254" s="263"/>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0"/>
      <c r="AX254" s="120"/>
      <c r="AY254" s="120"/>
      <c r="AZ254" s="120"/>
      <c r="BA254" s="120"/>
      <c r="BB254" s="120"/>
      <c r="BC254" s="120"/>
      <c r="BD254" s="120"/>
      <c r="BE254" s="120"/>
      <c r="BF254" s="120"/>
      <c r="BG254" s="120"/>
      <c r="BH254" s="120"/>
      <c r="BI254" s="120"/>
      <c r="BJ254" s="120"/>
      <c r="BK254" s="120"/>
    </row>
    <row r="255" spans="1:63" ht="12.75" x14ac:dyDescent="0.2">
      <c r="A255" s="263"/>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c r="AN255" s="120"/>
      <c r="AO255" s="120"/>
      <c r="AP255" s="120"/>
      <c r="AQ255" s="120"/>
      <c r="AR255" s="120"/>
      <c r="AS255" s="120"/>
      <c r="AT255" s="120"/>
      <c r="AU255" s="120"/>
      <c r="AV255" s="120"/>
      <c r="AW255" s="120"/>
      <c r="AX255" s="120"/>
      <c r="AY255" s="120"/>
      <c r="AZ255" s="120"/>
      <c r="BA255" s="120"/>
      <c r="BB255" s="120"/>
      <c r="BC255" s="120"/>
      <c r="BD255" s="120"/>
      <c r="BE255" s="120"/>
      <c r="BF255" s="120"/>
      <c r="BG255" s="120"/>
      <c r="BH255" s="120"/>
      <c r="BI255" s="120"/>
      <c r="BJ255" s="120"/>
      <c r="BK255" s="120"/>
    </row>
    <row r="256" spans="1:63" ht="12.75" x14ac:dyDescent="0.2">
      <c r="A256" s="263"/>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c r="AB256" s="120"/>
      <c r="AC256" s="120"/>
      <c r="AD256" s="120"/>
      <c r="AE256" s="120"/>
      <c r="AF256" s="120"/>
      <c r="AG256" s="120"/>
      <c r="AH256" s="120"/>
      <c r="AI256" s="120"/>
      <c r="AJ256" s="120"/>
      <c r="AK256" s="120"/>
      <c r="AL256" s="120"/>
      <c r="AM256" s="120"/>
      <c r="AN256" s="120"/>
      <c r="AO256" s="120"/>
      <c r="AP256" s="120"/>
      <c r="AQ256" s="120"/>
      <c r="AR256" s="120"/>
      <c r="AS256" s="120"/>
      <c r="AT256" s="120"/>
      <c r="AU256" s="120"/>
      <c r="AV256" s="120"/>
      <c r="AW256" s="120"/>
      <c r="AX256" s="120"/>
      <c r="AY256" s="120"/>
      <c r="AZ256" s="120"/>
      <c r="BA256" s="120"/>
      <c r="BB256" s="120"/>
      <c r="BC256" s="120"/>
      <c r="BD256" s="120"/>
      <c r="BE256" s="120"/>
      <c r="BF256" s="120"/>
      <c r="BG256" s="120"/>
      <c r="BH256" s="120"/>
      <c r="BI256" s="120"/>
      <c r="BJ256" s="120"/>
      <c r="BK256" s="120"/>
    </row>
    <row r="257" spans="1:63" ht="12.75" x14ac:dyDescent="0.2">
      <c r="A257" s="263"/>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c r="AB257" s="120"/>
      <c r="AC257" s="120"/>
      <c r="AD257" s="120"/>
      <c r="AE257" s="120"/>
      <c r="AF257" s="120"/>
      <c r="AG257" s="120"/>
      <c r="AH257" s="120"/>
      <c r="AI257" s="120"/>
      <c r="AJ257" s="120"/>
      <c r="AK257" s="120"/>
      <c r="AL257" s="120"/>
      <c r="AM257" s="120"/>
      <c r="AN257" s="120"/>
      <c r="AO257" s="120"/>
      <c r="AP257" s="120"/>
      <c r="AQ257" s="120"/>
      <c r="AR257" s="120"/>
      <c r="AS257" s="120"/>
      <c r="AT257" s="120"/>
      <c r="AU257" s="120"/>
      <c r="AV257" s="120"/>
      <c r="AW257" s="120"/>
      <c r="AX257" s="120"/>
      <c r="AY257" s="120"/>
      <c r="AZ257" s="120"/>
      <c r="BA257" s="120"/>
      <c r="BB257" s="120"/>
      <c r="BC257" s="120"/>
      <c r="BD257" s="120"/>
      <c r="BE257" s="120"/>
      <c r="BF257" s="120"/>
      <c r="BG257" s="120"/>
      <c r="BH257" s="120"/>
      <c r="BI257" s="120"/>
      <c r="BJ257" s="120"/>
      <c r="BK257" s="120"/>
    </row>
    <row r="258" spans="1:63" ht="12.75" x14ac:dyDescent="0.2">
      <c r="A258" s="263"/>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c r="AB258" s="120"/>
      <c r="AC258" s="120"/>
      <c r="AD258" s="120"/>
      <c r="AE258" s="120"/>
      <c r="AF258" s="120"/>
      <c r="AG258" s="120"/>
      <c r="AH258" s="120"/>
      <c r="AI258" s="120"/>
      <c r="AJ258" s="120"/>
      <c r="AK258" s="120"/>
      <c r="AL258" s="120"/>
      <c r="AM258" s="120"/>
      <c r="AN258" s="120"/>
      <c r="AO258" s="120"/>
      <c r="AP258" s="120"/>
      <c r="AQ258" s="120"/>
      <c r="AR258" s="120"/>
      <c r="AS258" s="120"/>
      <c r="AT258" s="120"/>
      <c r="AU258" s="120"/>
      <c r="AV258" s="120"/>
      <c r="AW258" s="120"/>
      <c r="AX258" s="120"/>
      <c r="AY258" s="120"/>
      <c r="AZ258" s="120"/>
      <c r="BA258" s="120"/>
      <c r="BB258" s="120"/>
      <c r="BC258" s="120"/>
      <c r="BD258" s="120"/>
      <c r="BE258" s="120"/>
      <c r="BF258" s="120"/>
      <c r="BG258" s="120"/>
      <c r="BH258" s="120"/>
      <c r="BI258" s="120"/>
      <c r="BJ258" s="120"/>
      <c r="BK258" s="120"/>
    </row>
    <row r="259" spans="1:63" ht="12.75" x14ac:dyDescent="0.2">
      <c r="A259" s="263"/>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row>
    <row r="260" spans="1:63" ht="12.75" x14ac:dyDescent="0.2">
      <c r="A260" s="263"/>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c r="AB260" s="120"/>
      <c r="AC260" s="120"/>
      <c r="AD260" s="120"/>
      <c r="AE260" s="120"/>
      <c r="AF260" s="120"/>
      <c r="AG260" s="120"/>
      <c r="AH260" s="120"/>
      <c r="AI260" s="120"/>
      <c r="AJ260" s="120"/>
      <c r="AK260" s="120"/>
      <c r="AL260" s="120"/>
      <c r="AM260" s="120"/>
      <c r="AN260" s="120"/>
      <c r="AO260" s="120"/>
      <c r="AP260" s="120"/>
      <c r="AQ260" s="120"/>
      <c r="AR260" s="120"/>
      <c r="AS260" s="120"/>
      <c r="AT260" s="120"/>
      <c r="AU260" s="120"/>
      <c r="AV260" s="120"/>
      <c r="AW260" s="120"/>
      <c r="AX260" s="120"/>
      <c r="AY260" s="120"/>
      <c r="AZ260" s="120"/>
      <c r="BA260" s="120"/>
      <c r="BB260" s="120"/>
      <c r="BC260" s="120"/>
      <c r="BD260" s="120"/>
      <c r="BE260" s="120"/>
      <c r="BF260" s="120"/>
      <c r="BG260" s="120"/>
      <c r="BH260" s="120"/>
      <c r="BI260" s="120"/>
      <c r="BJ260" s="120"/>
      <c r="BK260" s="120"/>
    </row>
    <row r="261" spans="1:63" ht="12.75" x14ac:dyDescent="0.2">
      <c r="A261" s="263"/>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c r="AB261" s="120"/>
      <c r="AC261" s="120"/>
      <c r="AD261" s="120"/>
      <c r="AE261" s="120"/>
      <c r="AF261" s="120"/>
      <c r="AG261" s="120"/>
      <c r="AH261" s="120"/>
      <c r="AI261" s="120"/>
      <c r="AJ261" s="120"/>
      <c r="AK261" s="120"/>
      <c r="AL261" s="120"/>
      <c r="AM261" s="120"/>
      <c r="AN261" s="120"/>
      <c r="AO261" s="120"/>
      <c r="AP261" s="120"/>
      <c r="AQ261" s="120"/>
      <c r="AR261" s="120"/>
      <c r="AS261" s="120"/>
      <c r="AT261" s="120"/>
      <c r="AU261" s="120"/>
      <c r="AV261" s="120"/>
      <c r="AW261" s="120"/>
      <c r="AX261" s="120"/>
      <c r="AY261" s="120"/>
      <c r="AZ261" s="120"/>
      <c r="BA261" s="120"/>
      <c r="BB261" s="120"/>
      <c r="BC261" s="120"/>
      <c r="BD261" s="120"/>
      <c r="BE261" s="120"/>
      <c r="BF261" s="120"/>
      <c r="BG261" s="120"/>
      <c r="BH261" s="120"/>
      <c r="BI261" s="120"/>
      <c r="BJ261" s="120"/>
      <c r="BK261" s="120"/>
    </row>
    <row r="262" spans="1:63" ht="12.75" x14ac:dyDescent="0.2">
      <c r="A262" s="263"/>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c r="AB262" s="120"/>
      <c r="AC262" s="120"/>
      <c r="AD262" s="120"/>
      <c r="AE262" s="120"/>
      <c r="AF262" s="120"/>
      <c r="AG262" s="120"/>
      <c r="AH262" s="120"/>
      <c r="AI262" s="120"/>
      <c r="AJ262" s="120"/>
      <c r="AK262" s="120"/>
      <c r="AL262" s="120"/>
      <c r="AM262" s="120"/>
      <c r="AN262" s="120"/>
      <c r="AO262" s="120"/>
      <c r="AP262" s="120"/>
      <c r="AQ262" s="120"/>
      <c r="AR262" s="120"/>
      <c r="AS262" s="120"/>
      <c r="AT262" s="120"/>
      <c r="AU262" s="120"/>
      <c r="AV262" s="120"/>
      <c r="AW262" s="120"/>
      <c r="AX262" s="120"/>
      <c r="AY262" s="120"/>
      <c r="AZ262" s="120"/>
      <c r="BA262" s="120"/>
      <c r="BB262" s="120"/>
      <c r="BC262" s="120"/>
      <c r="BD262" s="120"/>
      <c r="BE262" s="120"/>
      <c r="BF262" s="120"/>
      <c r="BG262" s="120"/>
      <c r="BH262" s="120"/>
      <c r="BI262" s="120"/>
      <c r="BJ262" s="120"/>
      <c r="BK262" s="120"/>
    </row>
    <row r="263" spans="1:63" ht="12.75" x14ac:dyDescent="0.2">
      <c r="A263" s="263"/>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row>
    <row r="264" spans="1:63" ht="12.75" x14ac:dyDescent="0.2">
      <c r="A264" s="263"/>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c r="AB264" s="120"/>
      <c r="AC264" s="120"/>
      <c r="AD264" s="120"/>
      <c r="AE264" s="120"/>
      <c r="AF264" s="120"/>
      <c r="AG264" s="120"/>
      <c r="AH264" s="120"/>
      <c r="AI264" s="120"/>
      <c r="AJ264" s="120"/>
      <c r="AK264" s="120"/>
      <c r="AL264" s="120"/>
      <c r="AM264" s="120"/>
      <c r="AN264" s="120"/>
      <c r="AO264" s="120"/>
      <c r="AP264" s="120"/>
      <c r="AQ264" s="120"/>
      <c r="AR264" s="120"/>
      <c r="AS264" s="120"/>
      <c r="AT264" s="120"/>
      <c r="AU264" s="120"/>
      <c r="AV264" s="120"/>
      <c r="AW264" s="120"/>
      <c r="AX264" s="120"/>
      <c r="AY264" s="120"/>
      <c r="AZ264" s="120"/>
      <c r="BA264" s="120"/>
      <c r="BB264" s="120"/>
      <c r="BC264" s="120"/>
      <c r="BD264" s="120"/>
      <c r="BE264" s="120"/>
      <c r="BF264" s="120"/>
      <c r="BG264" s="120"/>
      <c r="BH264" s="120"/>
      <c r="BI264" s="120"/>
      <c r="BJ264" s="120"/>
      <c r="BK264" s="120"/>
    </row>
    <row r="265" spans="1:63" ht="12.75" x14ac:dyDescent="0.2">
      <c r="A265" s="263"/>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c r="AB265" s="120"/>
      <c r="AC265" s="120"/>
      <c r="AD265" s="120"/>
      <c r="AE265" s="120"/>
      <c r="AF265" s="120"/>
      <c r="AG265" s="120"/>
      <c r="AH265" s="120"/>
      <c r="AI265" s="120"/>
      <c r="AJ265" s="120"/>
      <c r="AK265" s="120"/>
      <c r="AL265" s="120"/>
      <c r="AM265" s="120"/>
      <c r="AN265" s="120"/>
      <c r="AO265" s="120"/>
      <c r="AP265" s="120"/>
      <c r="AQ265" s="120"/>
      <c r="AR265" s="120"/>
      <c r="AS265" s="120"/>
      <c r="AT265" s="120"/>
      <c r="AU265" s="120"/>
      <c r="AV265" s="120"/>
      <c r="AW265" s="120"/>
      <c r="AX265" s="120"/>
      <c r="AY265" s="120"/>
      <c r="AZ265" s="120"/>
      <c r="BA265" s="120"/>
      <c r="BB265" s="120"/>
      <c r="BC265" s="120"/>
      <c r="BD265" s="120"/>
      <c r="BE265" s="120"/>
      <c r="BF265" s="120"/>
      <c r="BG265" s="120"/>
      <c r="BH265" s="120"/>
      <c r="BI265" s="120"/>
      <c r="BJ265" s="120"/>
      <c r="BK265" s="120"/>
    </row>
    <row r="266" spans="1:63" ht="12.75" x14ac:dyDescent="0.2">
      <c r="A266" s="263"/>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c r="AB266" s="120"/>
      <c r="AC266" s="120"/>
      <c r="AD266" s="120"/>
      <c r="AE266" s="120"/>
      <c r="AF266" s="120"/>
      <c r="AG266" s="120"/>
      <c r="AH266" s="120"/>
      <c r="AI266" s="120"/>
      <c r="AJ266" s="120"/>
      <c r="AK266" s="120"/>
      <c r="AL266" s="120"/>
      <c r="AM266" s="120"/>
      <c r="AN266" s="120"/>
      <c r="AO266" s="120"/>
      <c r="AP266" s="120"/>
      <c r="AQ266" s="120"/>
      <c r="AR266" s="120"/>
      <c r="AS266" s="120"/>
      <c r="AT266" s="120"/>
      <c r="AU266" s="120"/>
      <c r="AV266" s="120"/>
      <c r="AW266" s="120"/>
      <c r="AX266" s="120"/>
      <c r="AY266" s="120"/>
      <c r="AZ266" s="120"/>
      <c r="BA266" s="120"/>
      <c r="BB266" s="120"/>
      <c r="BC266" s="120"/>
      <c r="BD266" s="120"/>
      <c r="BE266" s="120"/>
      <c r="BF266" s="120"/>
      <c r="BG266" s="120"/>
      <c r="BH266" s="120"/>
      <c r="BI266" s="120"/>
      <c r="BJ266" s="120"/>
      <c r="BK266" s="120"/>
    </row>
    <row r="267" spans="1:63" ht="12.75" x14ac:dyDescent="0.2">
      <c r="A267" s="263"/>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0"/>
      <c r="AY267" s="120"/>
      <c r="AZ267" s="120"/>
      <c r="BA267" s="120"/>
      <c r="BB267" s="120"/>
      <c r="BC267" s="120"/>
      <c r="BD267" s="120"/>
      <c r="BE267" s="120"/>
      <c r="BF267" s="120"/>
      <c r="BG267" s="120"/>
      <c r="BH267" s="120"/>
      <c r="BI267" s="120"/>
      <c r="BJ267" s="120"/>
      <c r="BK267" s="120"/>
    </row>
    <row r="268" spans="1:63" ht="12.75" x14ac:dyDescent="0.2">
      <c r="A268" s="263"/>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c r="AB268" s="120"/>
      <c r="AC268" s="120"/>
      <c r="AD268" s="120"/>
      <c r="AE268" s="120"/>
      <c r="AF268" s="120"/>
      <c r="AG268" s="120"/>
      <c r="AH268" s="120"/>
      <c r="AI268" s="120"/>
      <c r="AJ268" s="120"/>
      <c r="AK268" s="120"/>
      <c r="AL268" s="120"/>
      <c r="AM268" s="120"/>
      <c r="AN268" s="120"/>
      <c r="AO268" s="120"/>
      <c r="AP268" s="120"/>
      <c r="AQ268" s="120"/>
      <c r="AR268" s="120"/>
      <c r="AS268" s="120"/>
      <c r="AT268" s="120"/>
      <c r="AU268" s="120"/>
      <c r="AV268" s="120"/>
      <c r="AW268" s="120"/>
      <c r="AX268" s="120"/>
      <c r="AY268" s="120"/>
      <c r="AZ268" s="120"/>
      <c r="BA268" s="120"/>
      <c r="BB268" s="120"/>
      <c r="BC268" s="120"/>
      <c r="BD268" s="120"/>
      <c r="BE268" s="120"/>
      <c r="BF268" s="120"/>
      <c r="BG268" s="120"/>
      <c r="BH268" s="120"/>
      <c r="BI268" s="120"/>
      <c r="BJ268" s="120"/>
      <c r="BK268" s="120"/>
    </row>
    <row r="269" spans="1:63" ht="12.75" x14ac:dyDescent="0.2">
      <c r="A269" s="263"/>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c r="AB269" s="120"/>
      <c r="AC269" s="120"/>
      <c r="AD269" s="120"/>
      <c r="AE269" s="120"/>
      <c r="AF269" s="120"/>
      <c r="AG269" s="120"/>
      <c r="AH269" s="120"/>
      <c r="AI269" s="120"/>
      <c r="AJ269" s="120"/>
      <c r="AK269" s="120"/>
      <c r="AL269" s="120"/>
      <c r="AM269" s="120"/>
      <c r="AN269" s="120"/>
      <c r="AO269" s="120"/>
      <c r="AP269" s="120"/>
      <c r="AQ269" s="120"/>
      <c r="AR269" s="120"/>
      <c r="AS269" s="120"/>
      <c r="AT269" s="120"/>
      <c r="AU269" s="120"/>
      <c r="AV269" s="120"/>
      <c r="AW269" s="120"/>
      <c r="AX269" s="120"/>
      <c r="AY269" s="120"/>
      <c r="AZ269" s="120"/>
      <c r="BA269" s="120"/>
      <c r="BB269" s="120"/>
      <c r="BC269" s="120"/>
      <c r="BD269" s="120"/>
      <c r="BE269" s="120"/>
      <c r="BF269" s="120"/>
      <c r="BG269" s="120"/>
      <c r="BH269" s="120"/>
      <c r="BI269" s="120"/>
      <c r="BJ269" s="120"/>
      <c r="BK269" s="120"/>
    </row>
    <row r="270" spans="1:63" ht="12.75" x14ac:dyDescent="0.2">
      <c r="A270" s="263"/>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c r="AN270" s="120"/>
      <c r="AO270" s="120"/>
      <c r="AP270" s="120"/>
      <c r="AQ270" s="120"/>
      <c r="AR270" s="120"/>
      <c r="AS270" s="120"/>
      <c r="AT270" s="120"/>
      <c r="AU270" s="120"/>
      <c r="AV270" s="120"/>
      <c r="AW270" s="120"/>
      <c r="AX270" s="120"/>
      <c r="AY270" s="120"/>
      <c r="AZ270" s="120"/>
      <c r="BA270" s="120"/>
      <c r="BB270" s="120"/>
      <c r="BC270" s="120"/>
      <c r="BD270" s="120"/>
      <c r="BE270" s="120"/>
      <c r="BF270" s="120"/>
      <c r="BG270" s="120"/>
      <c r="BH270" s="120"/>
      <c r="BI270" s="120"/>
      <c r="BJ270" s="120"/>
      <c r="BK270" s="120"/>
    </row>
    <row r="271" spans="1:63" ht="12.75" x14ac:dyDescent="0.2">
      <c r="A271" s="263"/>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c r="AN271" s="120"/>
      <c r="AO271" s="120"/>
      <c r="AP271" s="120"/>
      <c r="AQ271" s="120"/>
      <c r="AR271" s="120"/>
      <c r="AS271" s="120"/>
      <c r="AT271" s="120"/>
      <c r="AU271" s="120"/>
      <c r="AV271" s="120"/>
      <c r="AW271" s="120"/>
      <c r="AX271" s="120"/>
      <c r="AY271" s="120"/>
      <c r="AZ271" s="120"/>
      <c r="BA271" s="120"/>
      <c r="BB271" s="120"/>
      <c r="BC271" s="120"/>
      <c r="BD271" s="120"/>
      <c r="BE271" s="120"/>
      <c r="BF271" s="120"/>
      <c r="BG271" s="120"/>
      <c r="BH271" s="120"/>
      <c r="BI271" s="120"/>
      <c r="BJ271" s="120"/>
      <c r="BK271" s="120"/>
    </row>
    <row r="272" spans="1:63" ht="12.75" x14ac:dyDescent="0.2">
      <c r="A272" s="263"/>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c r="AB272" s="120"/>
      <c r="AC272" s="120"/>
      <c r="AD272" s="120"/>
      <c r="AE272" s="120"/>
      <c r="AF272" s="120"/>
      <c r="AG272" s="120"/>
      <c r="AH272" s="120"/>
      <c r="AI272" s="120"/>
      <c r="AJ272" s="120"/>
      <c r="AK272" s="120"/>
      <c r="AL272" s="120"/>
      <c r="AM272" s="120"/>
      <c r="AN272" s="120"/>
      <c r="AO272" s="120"/>
      <c r="AP272" s="120"/>
      <c r="AQ272" s="120"/>
      <c r="AR272" s="120"/>
      <c r="AS272" s="120"/>
      <c r="AT272" s="120"/>
      <c r="AU272" s="120"/>
      <c r="AV272" s="120"/>
      <c r="AW272" s="120"/>
      <c r="AX272" s="120"/>
      <c r="AY272" s="120"/>
      <c r="AZ272" s="120"/>
      <c r="BA272" s="120"/>
      <c r="BB272" s="120"/>
      <c r="BC272" s="120"/>
      <c r="BD272" s="120"/>
      <c r="BE272" s="120"/>
      <c r="BF272" s="120"/>
      <c r="BG272" s="120"/>
      <c r="BH272" s="120"/>
      <c r="BI272" s="120"/>
      <c r="BJ272" s="120"/>
      <c r="BK272" s="120"/>
    </row>
    <row r="273" spans="1:63" ht="12.75" x14ac:dyDescent="0.2">
      <c r="A273" s="263"/>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c r="AB273" s="120"/>
      <c r="AC273" s="120"/>
      <c r="AD273" s="120"/>
      <c r="AE273" s="120"/>
      <c r="AF273" s="120"/>
      <c r="AG273" s="120"/>
      <c r="AH273" s="120"/>
      <c r="AI273" s="120"/>
      <c r="AJ273" s="120"/>
      <c r="AK273" s="120"/>
      <c r="AL273" s="120"/>
      <c r="AM273" s="120"/>
      <c r="AN273" s="120"/>
      <c r="AO273" s="120"/>
      <c r="AP273" s="120"/>
      <c r="AQ273" s="120"/>
      <c r="AR273" s="120"/>
      <c r="AS273" s="120"/>
      <c r="AT273" s="120"/>
      <c r="AU273" s="120"/>
      <c r="AV273" s="120"/>
      <c r="AW273" s="120"/>
      <c r="AX273" s="120"/>
      <c r="AY273" s="120"/>
      <c r="AZ273" s="120"/>
      <c r="BA273" s="120"/>
      <c r="BB273" s="120"/>
      <c r="BC273" s="120"/>
      <c r="BD273" s="120"/>
      <c r="BE273" s="120"/>
      <c r="BF273" s="120"/>
      <c r="BG273" s="120"/>
      <c r="BH273" s="120"/>
      <c r="BI273" s="120"/>
      <c r="BJ273" s="120"/>
      <c r="BK273" s="120"/>
    </row>
    <row r="274" spans="1:63" ht="12.75" x14ac:dyDescent="0.2">
      <c r="A274" s="263"/>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c r="AB274" s="120"/>
      <c r="AC274" s="120"/>
      <c r="AD274" s="120"/>
      <c r="AE274" s="120"/>
      <c r="AF274" s="120"/>
      <c r="AG274" s="120"/>
      <c r="AH274" s="120"/>
      <c r="AI274" s="120"/>
      <c r="AJ274" s="120"/>
      <c r="AK274" s="120"/>
      <c r="AL274" s="120"/>
      <c r="AM274" s="120"/>
      <c r="AN274" s="120"/>
      <c r="AO274" s="120"/>
      <c r="AP274" s="120"/>
      <c r="AQ274" s="120"/>
      <c r="AR274" s="120"/>
      <c r="AS274" s="120"/>
      <c r="AT274" s="120"/>
      <c r="AU274" s="120"/>
      <c r="AV274" s="120"/>
      <c r="AW274" s="120"/>
      <c r="AX274" s="120"/>
      <c r="AY274" s="120"/>
      <c r="AZ274" s="120"/>
      <c r="BA274" s="120"/>
      <c r="BB274" s="120"/>
      <c r="BC274" s="120"/>
      <c r="BD274" s="120"/>
      <c r="BE274" s="120"/>
      <c r="BF274" s="120"/>
      <c r="BG274" s="120"/>
      <c r="BH274" s="120"/>
      <c r="BI274" s="120"/>
      <c r="BJ274" s="120"/>
      <c r="BK274" s="120"/>
    </row>
    <row r="275" spans="1:63" ht="12.75" x14ac:dyDescent="0.2">
      <c r="A275" s="263"/>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c r="AB275" s="120"/>
      <c r="AC275" s="120"/>
      <c r="AD275" s="120"/>
      <c r="AE275" s="120"/>
      <c r="AF275" s="120"/>
      <c r="AG275" s="120"/>
      <c r="AH275" s="120"/>
      <c r="AI275" s="120"/>
      <c r="AJ275" s="120"/>
      <c r="AK275" s="120"/>
      <c r="AL275" s="120"/>
      <c r="AM275" s="120"/>
      <c r="AN275" s="120"/>
      <c r="AO275" s="120"/>
      <c r="AP275" s="120"/>
      <c r="AQ275" s="120"/>
      <c r="AR275" s="120"/>
      <c r="AS275" s="120"/>
      <c r="AT275" s="120"/>
      <c r="AU275" s="120"/>
      <c r="AV275" s="120"/>
      <c r="AW275" s="120"/>
      <c r="AX275" s="120"/>
      <c r="AY275" s="120"/>
      <c r="AZ275" s="120"/>
      <c r="BA275" s="120"/>
      <c r="BB275" s="120"/>
      <c r="BC275" s="120"/>
      <c r="BD275" s="120"/>
      <c r="BE275" s="120"/>
      <c r="BF275" s="120"/>
      <c r="BG275" s="120"/>
      <c r="BH275" s="120"/>
      <c r="BI275" s="120"/>
      <c r="BJ275" s="120"/>
      <c r="BK275" s="120"/>
    </row>
    <row r="276" spans="1:63" ht="12.75" x14ac:dyDescent="0.2">
      <c r="A276" s="263"/>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c r="AB276" s="120"/>
      <c r="AC276" s="120"/>
      <c r="AD276" s="120"/>
      <c r="AE276" s="120"/>
      <c r="AF276" s="120"/>
      <c r="AG276" s="120"/>
      <c r="AH276" s="120"/>
      <c r="AI276" s="120"/>
      <c r="AJ276" s="120"/>
      <c r="AK276" s="120"/>
      <c r="AL276" s="120"/>
      <c r="AM276" s="120"/>
      <c r="AN276" s="120"/>
      <c r="AO276" s="120"/>
      <c r="AP276" s="120"/>
      <c r="AQ276" s="120"/>
      <c r="AR276" s="120"/>
      <c r="AS276" s="120"/>
      <c r="AT276" s="120"/>
      <c r="AU276" s="120"/>
      <c r="AV276" s="120"/>
      <c r="AW276" s="120"/>
      <c r="AX276" s="120"/>
      <c r="AY276" s="120"/>
      <c r="AZ276" s="120"/>
      <c r="BA276" s="120"/>
      <c r="BB276" s="120"/>
      <c r="BC276" s="120"/>
      <c r="BD276" s="120"/>
      <c r="BE276" s="120"/>
      <c r="BF276" s="120"/>
      <c r="BG276" s="120"/>
      <c r="BH276" s="120"/>
      <c r="BI276" s="120"/>
      <c r="BJ276" s="120"/>
      <c r="BK276" s="120"/>
    </row>
    <row r="277" spans="1:63" ht="12.75" x14ac:dyDescent="0.2">
      <c r="A277" s="263"/>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c r="AB277" s="120"/>
      <c r="AC277" s="120"/>
      <c r="AD277" s="120"/>
      <c r="AE277" s="120"/>
      <c r="AF277" s="120"/>
      <c r="AG277" s="120"/>
      <c r="AH277" s="120"/>
      <c r="AI277" s="120"/>
      <c r="AJ277" s="120"/>
      <c r="AK277" s="120"/>
      <c r="AL277" s="120"/>
      <c r="AM277" s="120"/>
      <c r="AN277" s="120"/>
      <c r="AO277" s="120"/>
      <c r="AP277" s="120"/>
      <c r="AQ277" s="120"/>
      <c r="AR277" s="120"/>
      <c r="AS277" s="120"/>
      <c r="AT277" s="120"/>
      <c r="AU277" s="120"/>
      <c r="AV277" s="120"/>
      <c r="AW277" s="120"/>
      <c r="AX277" s="120"/>
      <c r="AY277" s="120"/>
      <c r="AZ277" s="120"/>
      <c r="BA277" s="120"/>
      <c r="BB277" s="120"/>
      <c r="BC277" s="120"/>
      <c r="BD277" s="120"/>
      <c r="BE277" s="120"/>
      <c r="BF277" s="120"/>
      <c r="BG277" s="120"/>
      <c r="BH277" s="120"/>
      <c r="BI277" s="120"/>
      <c r="BJ277" s="120"/>
      <c r="BK277" s="120"/>
    </row>
    <row r="278" spans="1:63" ht="12.75" x14ac:dyDescent="0.2">
      <c r="A278" s="263"/>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c r="AN278" s="120"/>
      <c r="AO278" s="120"/>
      <c r="AP278" s="120"/>
      <c r="AQ278" s="120"/>
      <c r="AR278" s="120"/>
      <c r="AS278" s="120"/>
      <c r="AT278" s="120"/>
      <c r="AU278" s="120"/>
      <c r="AV278" s="120"/>
      <c r="AW278" s="120"/>
      <c r="AX278" s="120"/>
      <c r="AY278" s="120"/>
      <c r="AZ278" s="120"/>
      <c r="BA278" s="120"/>
      <c r="BB278" s="120"/>
      <c r="BC278" s="120"/>
      <c r="BD278" s="120"/>
      <c r="BE278" s="120"/>
      <c r="BF278" s="120"/>
      <c r="BG278" s="120"/>
      <c r="BH278" s="120"/>
      <c r="BI278" s="120"/>
      <c r="BJ278" s="120"/>
      <c r="BK278" s="120"/>
    </row>
    <row r="279" spans="1:63" ht="12.75" x14ac:dyDescent="0.2">
      <c r="A279" s="263"/>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row>
    <row r="280" spans="1:63" ht="12.75" x14ac:dyDescent="0.2">
      <c r="A280" s="263"/>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c r="AB280" s="120"/>
      <c r="AC280" s="120"/>
      <c r="AD280" s="120"/>
      <c r="AE280" s="120"/>
      <c r="AF280" s="120"/>
      <c r="AG280" s="120"/>
      <c r="AH280" s="120"/>
      <c r="AI280" s="120"/>
      <c r="AJ280" s="120"/>
      <c r="AK280" s="120"/>
      <c r="AL280" s="120"/>
      <c r="AM280" s="120"/>
      <c r="AN280" s="120"/>
      <c r="AO280" s="120"/>
      <c r="AP280" s="120"/>
      <c r="AQ280" s="120"/>
      <c r="AR280" s="120"/>
      <c r="AS280" s="120"/>
      <c r="AT280" s="120"/>
      <c r="AU280" s="120"/>
      <c r="AV280" s="120"/>
      <c r="AW280" s="120"/>
      <c r="AX280" s="120"/>
      <c r="AY280" s="120"/>
      <c r="AZ280" s="120"/>
      <c r="BA280" s="120"/>
      <c r="BB280" s="120"/>
      <c r="BC280" s="120"/>
      <c r="BD280" s="120"/>
      <c r="BE280" s="120"/>
      <c r="BF280" s="120"/>
      <c r="BG280" s="120"/>
      <c r="BH280" s="120"/>
      <c r="BI280" s="120"/>
      <c r="BJ280" s="120"/>
      <c r="BK280" s="120"/>
    </row>
    <row r="281" spans="1:63" ht="12.75" x14ac:dyDescent="0.2">
      <c r="A281" s="263"/>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c r="AB281" s="120"/>
      <c r="AC281" s="120"/>
      <c r="AD281" s="120"/>
      <c r="AE281" s="120"/>
      <c r="AF281" s="120"/>
      <c r="AG281" s="120"/>
      <c r="AH281" s="120"/>
      <c r="AI281" s="120"/>
      <c r="AJ281" s="120"/>
      <c r="AK281" s="120"/>
      <c r="AL281" s="120"/>
      <c r="AM281" s="120"/>
      <c r="AN281" s="120"/>
      <c r="AO281" s="120"/>
      <c r="AP281" s="120"/>
      <c r="AQ281" s="120"/>
      <c r="AR281" s="120"/>
      <c r="AS281" s="120"/>
      <c r="AT281" s="120"/>
      <c r="AU281" s="120"/>
      <c r="AV281" s="120"/>
      <c r="AW281" s="120"/>
      <c r="AX281" s="120"/>
      <c r="AY281" s="120"/>
      <c r="AZ281" s="120"/>
      <c r="BA281" s="120"/>
      <c r="BB281" s="120"/>
      <c r="BC281" s="120"/>
      <c r="BD281" s="120"/>
      <c r="BE281" s="120"/>
      <c r="BF281" s="120"/>
      <c r="BG281" s="120"/>
      <c r="BH281" s="120"/>
      <c r="BI281" s="120"/>
      <c r="BJ281" s="120"/>
      <c r="BK281" s="120"/>
    </row>
    <row r="282" spans="1:63" ht="12.75" x14ac:dyDescent="0.2">
      <c r="A282" s="263"/>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c r="AB282" s="120"/>
      <c r="AC282" s="120"/>
      <c r="AD282" s="120"/>
      <c r="AE282" s="120"/>
      <c r="AF282" s="120"/>
      <c r="AG282" s="120"/>
      <c r="AH282" s="120"/>
      <c r="AI282" s="120"/>
      <c r="AJ282" s="120"/>
      <c r="AK282" s="120"/>
      <c r="AL282" s="120"/>
      <c r="AM282" s="120"/>
      <c r="AN282" s="120"/>
      <c r="AO282" s="120"/>
      <c r="AP282" s="120"/>
      <c r="AQ282" s="120"/>
      <c r="AR282" s="120"/>
      <c r="AS282" s="120"/>
      <c r="AT282" s="120"/>
      <c r="AU282" s="120"/>
      <c r="AV282" s="120"/>
      <c r="AW282" s="120"/>
      <c r="AX282" s="120"/>
      <c r="AY282" s="120"/>
      <c r="AZ282" s="120"/>
      <c r="BA282" s="120"/>
      <c r="BB282" s="120"/>
      <c r="BC282" s="120"/>
      <c r="BD282" s="120"/>
      <c r="BE282" s="120"/>
      <c r="BF282" s="120"/>
      <c r="BG282" s="120"/>
      <c r="BH282" s="120"/>
      <c r="BI282" s="120"/>
      <c r="BJ282" s="120"/>
      <c r="BK282" s="120"/>
    </row>
    <row r="283" spans="1:63" ht="12.75" x14ac:dyDescent="0.2">
      <c r="A283" s="263"/>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c r="AB283" s="120"/>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row>
    <row r="284" spans="1:63" ht="12.75" x14ac:dyDescent="0.2">
      <c r="A284" s="263"/>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row>
    <row r="285" spans="1:63" ht="12.75" x14ac:dyDescent="0.2">
      <c r="A285" s="263"/>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row>
    <row r="286" spans="1:63" ht="12.75" x14ac:dyDescent="0.2">
      <c r="A286" s="263"/>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c r="AN286" s="120"/>
      <c r="AO286" s="120"/>
      <c r="AP286" s="120"/>
      <c r="AQ286" s="120"/>
      <c r="AR286" s="120"/>
      <c r="AS286" s="120"/>
      <c r="AT286" s="120"/>
      <c r="AU286" s="120"/>
      <c r="AV286" s="120"/>
      <c r="AW286" s="120"/>
      <c r="AX286" s="120"/>
      <c r="AY286" s="120"/>
      <c r="AZ286" s="120"/>
      <c r="BA286" s="120"/>
      <c r="BB286" s="120"/>
      <c r="BC286" s="120"/>
      <c r="BD286" s="120"/>
      <c r="BE286" s="120"/>
      <c r="BF286" s="120"/>
      <c r="BG286" s="120"/>
      <c r="BH286" s="120"/>
      <c r="BI286" s="120"/>
      <c r="BJ286" s="120"/>
      <c r="BK286" s="120"/>
    </row>
    <row r="287" spans="1:63" ht="12.75" x14ac:dyDescent="0.2">
      <c r="A287" s="263"/>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c r="AN287" s="120"/>
      <c r="AO287" s="120"/>
      <c r="AP287" s="120"/>
      <c r="AQ287" s="120"/>
      <c r="AR287" s="120"/>
      <c r="AS287" s="120"/>
      <c r="AT287" s="120"/>
      <c r="AU287" s="120"/>
      <c r="AV287" s="120"/>
      <c r="AW287" s="120"/>
      <c r="AX287" s="120"/>
      <c r="AY287" s="120"/>
      <c r="AZ287" s="120"/>
      <c r="BA287" s="120"/>
      <c r="BB287" s="120"/>
      <c r="BC287" s="120"/>
      <c r="BD287" s="120"/>
      <c r="BE287" s="120"/>
      <c r="BF287" s="120"/>
      <c r="BG287" s="120"/>
      <c r="BH287" s="120"/>
      <c r="BI287" s="120"/>
      <c r="BJ287" s="120"/>
      <c r="BK287" s="120"/>
    </row>
    <row r="288" spans="1:63" ht="12.75" x14ac:dyDescent="0.2">
      <c r="A288" s="263"/>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c r="AB288" s="120"/>
      <c r="AC288" s="120"/>
      <c r="AD288" s="120"/>
      <c r="AE288" s="120"/>
      <c r="AF288" s="120"/>
      <c r="AG288" s="120"/>
      <c r="AH288" s="120"/>
      <c r="AI288" s="120"/>
      <c r="AJ288" s="120"/>
      <c r="AK288" s="120"/>
      <c r="AL288" s="120"/>
      <c r="AM288" s="120"/>
      <c r="AN288" s="120"/>
      <c r="AO288" s="120"/>
      <c r="AP288" s="120"/>
      <c r="AQ288" s="120"/>
      <c r="AR288" s="120"/>
      <c r="AS288" s="120"/>
      <c r="AT288" s="120"/>
      <c r="AU288" s="120"/>
      <c r="AV288" s="120"/>
      <c r="AW288" s="120"/>
      <c r="AX288" s="120"/>
      <c r="AY288" s="120"/>
      <c r="AZ288" s="120"/>
      <c r="BA288" s="120"/>
      <c r="BB288" s="120"/>
      <c r="BC288" s="120"/>
      <c r="BD288" s="120"/>
      <c r="BE288" s="120"/>
      <c r="BF288" s="120"/>
      <c r="BG288" s="120"/>
      <c r="BH288" s="120"/>
      <c r="BI288" s="120"/>
      <c r="BJ288" s="120"/>
      <c r="BK288" s="120"/>
    </row>
    <row r="289" spans="1:63" ht="12.75" x14ac:dyDescent="0.2">
      <c r="A289" s="263"/>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120"/>
      <c r="AV289" s="120"/>
      <c r="AW289" s="120"/>
      <c r="AX289" s="120"/>
      <c r="AY289" s="120"/>
      <c r="AZ289" s="120"/>
      <c r="BA289" s="120"/>
      <c r="BB289" s="120"/>
      <c r="BC289" s="120"/>
      <c r="BD289" s="120"/>
      <c r="BE289" s="120"/>
      <c r="BF289" s="120"/>
      <c r="BG289" s="120"/>
      <c r="BH289" s="120"/>
      <c r="BI289" s="120"/>
      <c r="BJ289" s="120"/>
      <c r="BK289" s="120"/>
    </row>
    <row r="290" spans="1:63" ht="12.75" x14ac:dyDescent="0.2">
      <c r="A290" s="263"/>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row>
    <row r="291" spans="1:63" ht="12.75" x14ac:dyDescent="0.2">
      <c r="A291" s="263"/>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c r="AB291" s="120"/>
      <c r="AC291" s="120"/>
      <c r="AD291" s="120"/>
      <c r="AE291" s="120"/>
      <c r="AF291" s="120"/>
      <c r="AG291" s="120"/>
      <c r="AH291" s="120"/>
      <c r="AI291" s="120"/>
      <c r="AJ291" s="120"/>
      <c r="AK291" s="120"/>
      <c r="AL291" s="120"/>
      <c r="AM291" s="120"/>
      <c r="AN291" s="120"/>
      <c r="AO291" s="120"/>
      <c r="AP291" s="120"/>
      <c r="AQ291" s="120"/>
      <c r="AR291" s="120"/>
      <c r="AS291" s="120"/>
      <c r="AT291" s="120"/>
      <c r="AU291" s="120"/>
      <c r="AV291" s="120"/>
      <c r="AW291" s="120"/>
      <c r="AX291" s="120"/>
      <c r="AY291" s="120"/>
      <c r="AZ291" s="120"/>
      <c r="BA291" s="120"/>
      <c r="BB291" s="120"/>
      <c r="BC291" s="120"/>
      <c r="BD291" s="120"/>
      <c r="BE291" s="120"/>
      <c r="BF291" s="120"/>
      <c r="BG291" s="120"/>
      <c r="BH291" s="120"/>
      <c r="BI291" s="120"/>
      <c r="BJ291" s="120"/>
      <c r="BK291" s="120"/>
    </row>
    <row r="292" spans="1:63" ht="12.75" x14ac:dyDescent="0.2">
      <c r="A292" s="263"/>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c r="AB292" s="120"/>
      <c r="AC292" s="120"/>
      <c r="AD292" s="120"/>
      <c r="AE292" s="120"/>
      <c r="AF292" s="120"/>
      <c r="AG292" s="120"/>
      <c r="AH292" s="120"/>
      <c r="AI292" s="120"/>
      <c r="AJ292" s="120"/>
      <c r="AK292" s="120"/>
      <c r="AL292" s="120"/>
      <c r="AM292" s="120"/>
      <c r="AN292" s="120"/>
      <c r="AO292" s="120"/>
      <c r="AP292" s="120"/>
      <c r="AQ292" s="120"/>
      <c r="AR292" s="120"/>
      <c r="AS292" s="120"/>
      <c r="AT292" s="120"/>
      <c r="AU292" s="120"/>
      <c r="AV292" s="120"/>
      <c r="AW292" s="120"/>
      <c r="AX292" s="120"/>
      <c r="AY292" s="120"/>
      <c r="AZ292" s="120"/>
      <c r="BA292" s="120"/>
      <c r="BB292" s="120"/>
      <c r="BC292" s="120"/>
      <c r="BD292" s="120"/>
      <c r="BE292" s="120"/>
      <c r="BF292" s="120"/>
      <c r="BG292" s="120"/>
      <c r="BH292" s="120"/>
      <c r="BI292" s="120"/>
      <c r="BJ292" s="120"/>
      <c r="BK292" s="120"/>
    </row>
    <row r="293" spans="1:63" ht="12.75" x14ac:dyDescent="0.2">
      <c r="A293" s="263"/>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c r="AB293" s="120"/>
      <c r="AC293" s="120"/>
      <c r="AD293" s="120"/>
      <c r="AE293" s="120"/>
      <c r="AF293" s="120"/>
      <c r="AG293" s="120"/>
      <c r="AH293" s="120"/>
      <c r="AI293" s="120"/>
      <c r="AJ293" s="120"/>
      <c r="AK293" s="120"/>
      <c r="AL293" s="120"/>
      <c r="AM293" s="120"/>
      <c r="AN293" s="120"/>
      <c r="AO293" s="120"/>
      <c r="AP293" s="120"/>
      <c r="AQ293" s="120"/>
      <c r="AR293" s="120"/>
      <c r="AS293" s="120"/>
      <c r="AT293" s="120"/>
      <c r="AU293" s="120"/>
      <c r="AV293" s="120"/>
      <c r="AW293" s="120"/>
      <c r="AX293" s="120"/>
      <c r="AY293" s="120"/>
      <c r="AZ293" s="120"/>
      <c r="BA293" s="120"/>
      <c r="BB293" s="120"/>
      <c r="BC293" s="120"/>
      <c r="BD293" s="120"/>
      <c r="BE293" s="120"/>
      <c r="BF293" s="120"/>
      <c r="BG293" s="120"/>
      <c r="BH293" s="120"/>
      <c r="BI293" s="120"/>
      <c r="BJ293" s="120"/>
      <c r="BK293" s="120"/>
    </row>
    <row r="294" spans="1:63" ht="12.75" x14ac:dyDescent="0.2">
      <c r="A294" s="263"/>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c r="AB294" s="120"/>
      <c r="AC294" s="120"/>
      <c r="AD294" s="120"/>
      <c r="AE294" s="120"/>
      <c r="AF294" s="120"/>
      <c r="AG294" s="120"/>
      <c r="AH294" s="120"/>
      <c r="AI294" s="120"/>
      <c r="AJ294" s="120"/>
      <c r="AK294" s="120"/>
      <c r="AL294" s="120"/>
      <c r="AM294" s="120"/>
      <c r="AN294" s="120"/>
      <c r="AO294" s="120"/>
      <c r="AP294" s="120"/>
      <c r="AQ294" s="120"/>
      <c r="AR294" s="120"/>
      <c r="AS294" s="120"/>
      <c r="AT294" s="120"/>
      <c r="AU294" s="120"/>
      <c r="AV294" s="120"/>
      <c r="AW294" s="120"/>
      <c r="AX294" s="120"/>
      <c r="AY294" s="120"/>
      <c r="AZ294" s="120"/>
      <c r="BA294" s="120"/>
      <c r="BB294" s="120"/>
      <c r="BC294" s="120"/>
      <c r="BD294" s="120"/>
      <c r="BE294" s="120"/>
      <c r="BF294" s="120"/>
      <c r="BG294" s="120"/>
      <c r="BH294" s="120"/>
      <c r="BI294" s="120"/>
      <c r="BJ294" s="120"/>
      <c r="BK294" s="120"/>
    </row>
    <row r="295" spans="1:63" ht="12.75" x14ac:dyDescent="0.2">
      <c r="A295" s="263"/>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c r="AB295" s="120"/>
      <c r="AC295" s="120"/>
      <c r="AD295" s="120"/>
      <c r="AE295" s="120"/>
      <c r="AF295" s="120"/>
      <c r="AG295" s="120"/>
      <c r="AH295" s="120"/>
      <c r="AI295" s="120"/>
      <c r="AJ295" s="120"/>
      <c r="AK295" s="120"/>
      <c r="AL295" s="120"/>
      <c r="AM295" s="120"/>
      <c r="AN295" s="120"/>
      <c r="AO295" s="120"/>
      <c r="AP295" s="120"/>
      <c r="AQ295" s="120"/>
      <c r="AR295" s="120"/>
      <c r="AS295" s="120"/>
      <c r="AT295" s="120"/>
      <c r="AU295" s="120"/>
      <c r="AV295" s="120"/>
      <c r="AW295" s="120"/>
      <c r="AX295" s="120"/>
      <c r="AY295" s="120"/>
      <c r="AZ295" s="120"/>
      <c r="BA295" s="120"/>
      <c r="BB295" s="120"/>
      <c r="BC295" s="120"/>
      <c r="BD295" s="120"/>
      <c r="BE295" s="120"/>
      <c r="BF295" s="120"/>
      <c r="BG295" s="120"/>
      <c r="BH295" s="120"/>
      <c r="BI295" s="120"/>
      <c r="BJ295" s="120"/>
      <c r="BK295" s="120"/>
    </row>
    <row r="296" spans="1:63" ht="12.75" x14ac:dyDescent="0.2">
      <c r="A296" s="263"/>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c r="AB296" s="120"/>
      <c r="AC296" s="120"/>
      <c r="AD296" s="120"/>
      <c r="AE296" s="120"/>
      <c r="AF296" s="120"/>
      <c r="AG296" s="120"/>
      <c r="AH296" s="120"/>
      <c r="AI296" s="120"/>
      <c r="AJ296" s="120"/>
      <c r="AK296" s="120"/>
      <c r="AL296" s="120"/>
      <c r="AM296" s="120"/>
      <c r="AN296" s="120"/>
      <c r="AO296" s="120"/>
      <c r="AP296" s="120"/>
      <c r="AQ296" s="120"/>
      <c r="AR296" s="120"/>
      <c r="AS296" s="120"/>
      <c r="AT296" s="120"/>
      <c r="AU296" s="120"/>
      <c r="AV296" s="120"/>
      <c r="AW296" s="120"/>
      <c r="AX296" s="120"/>
      <c r="AY296" s="120"/>
      <c r="AZ296" s="120"/>
      <c r="BA296" s="120"/>
      <c r="BB296" s="120"/>
      <c r="BC296" s="120"/>
      <c r="BD296" s="120"/>
      <c r="BE296" s="120"/>
      <c r="BF296" s="120"/>
      <c r="BG296" s="120"/>
      <c r="BH296" s="120"/>
      <c r="BI296" s="120"/>
      <c r="BJ296" s="120"/>
      <c r="BK296" s="120"/>
    </row>
    <row r="297" spans="1:63" ht="12.75" x14ac:dyDescent="0.2">
      <c r="A297" s="263"/>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c r="AB297" s="120"/>
      <c r="AC297" s="120"/>
      <c r="AD297" s="120"/>
      <c r="AE297" s="120"/>
      <c r="AF297" s="120"/>
      <c r="AG297" s="120"/>
      <c r="AH297" s="120"/>
      <c r="AI297" s="120"/>
      <c r="AJ297" s="120"/>
      <c r="AK297" s="120"/>
      <c r="AL297" s="120"/>
      <c r="AM297" s="120"/>
      <c r="AN297" s="120"/>
      <c r="AO297" s="120"/>
      <c r="AP297" s="120"/>
      <c r="AQ297" s="120"/>
      <c r="AR297" s="120"/>
      <c r="AS297" s="120"/>
      <c r="AT297" s="120"/>
      <c r="AU297" s="120"/>
      <c r="AV297" s="120"/>
      <c r="AW297" s="120"/>
      <c r="AX297" s="120"/>
      <c r="AY297" s="120"/>
      <c r="AZ297" s="120"/>
      <c r="BA297" s="120"/>
      <c r="BB297" s="120"/>
      <c r="BC297" s="120"/>
      <c r="BD297" s="120"/>
      <c r="BE297" s="120"/>
      <c r="BF297" s="120"/>
      <c r="BG297" s="120"/>
      <c r="BH297" s="120"/>
      <c r="BI297" s="120"/>
      <c r="BJ297" s="120"/>
      <c r="BK297" s="120"/>
    </row>
    <row r="298" spans="1:63" ht="12.75" x14ac:dyDescent="0.2">
      <c r="A298" s="263"/>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c r="AB298" s="120"/>
      <c r="AC298" s="120"/>
      <c r="AD298" s="120"/>
      <c r="AE298" s="120"/>
      <c r="AF298" s="120"/>
      <c r="AG298" s="120"/>
      <c r="AH298" s="120"/>
      <c r="AI298" s="120"/>
      <c r="AJ298" s="120"/>
      <c r="AK298" s="120"/>
      <c r="AL298" s="120"/>
      <c r="AM298" s="120"/>
      <c r="AN298" s="120"/>
      <c r="AO298" s="120"/>
      <c r="AP298" s="120"/>
      <c r="AQ298" s="120"/>
      <c r="AR298" s="120"/>
      <c r="AS298" s="120"/>
      <c r="AT298" s="120"/>
      <c r="AU298" s="120"/>
      <c r="AV298" s="120"/>
      <c r="AW298" s="120"/>
      <c r="AX298" s="120"/>
      <c r="AY298" s="120"/>
      <c r="AZ298" s="120"/>
      <c r="BA298" s="120"/>
      <c r="BB298" s="120"/>
      <c r="BC298" s="120"/>
      <c r="BD298" s="120"/>
      <c r="BE298" s="120"/>
      <c r="BF298" s="120"/>
      <c r="BG298" s="120"/>
      <c r="BH298" s="120"/>
      <c r="BI298" s="120"/>
      <c r="BJ298" s="120"/>
      <c r="BK298" s="120"/>
    </row>
    <row r="299" spans="1:63" ht="12.75" x14ac:dyDescent="0.2">
      <c r="A299" s="263"/>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0"/>
      <c r="AY299" s="120"/>
      <c r="AZ299" s="120"/>
      <c r="BA299" s="120"/>
      <c r="BB299" s="120"/>
      <c r="BC299" s="120"/>
      <c r="BD299" s="120"/>
      <c r="BE299" s="120"/>
      <c r="BF299" s="120"/>
      <c r="BG299" s="120"/>
      <c r="BH299" s="120"/>
      <c r="BI299" s="120"/>
      <c r="BJ299" s="120"/>
      <c r="BK299" s="120"/>
    </row>
    <row r="300" spans="1:63" ht="12.75" x14ac:dyDescent="0.2">
      <c r="A300" s="263"/>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c r="AB300" s="120"/>
      <c r="AC300" s="120"/>
      <c r="AD300" s="120"/>
      <c r="AE300" s="120"/>
      <c r="AF300" s="120"/>
      <c r="AG300" s="120"/>
      <c r="AH300" s="120"/>
      <c r="AI300" s="120"/>
      <c r="AJ300" s="120"/>
      <c r="AK300" s="120"/>
      <c r="AL300" s="120"/>
      <c r="AM300" s="120"/>
      <c r="AN300" s="120"/>
      <c r="AO300" s="120"/>
      <c r="AP300" s="120"/>
      <c r="AQ300" s="120"/>
      <c r="AR300" s="120"/>
      <c r="AS300" s="120"/>
      <c r="AT300" s="120"/>
      <c r="AU300" s="120"/>
      <c r="AV300" s="120"/>
      <c r="AW300" s="120"/>
      <c r="AX300" s="120"/>
      <c r="AY300" s="120"/>
      <c r="AZ300" s="120"/>
      <c r="BA300" s="120"/>
      <c r="BB300" s="120"/>
      <c r="BC300" s="120"/>
      <c r="BD300" s="120"/>
      <c r="BE300" s="120"/>
      <c r="BF300" s="120"/>
      <c r="BG300" s="120"/>
      <c r="BH300" s="120"/>
      <c r="BI300" s="120"/>
      <c r="BJ300" s="120"/>
      <c r="BK300" s="120"/>
    </row>
    <row r="301" spans="1:63" ht="12.75" x14ac:dyDescent="0.2">
      <c r="A301" s="263"/>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c r="AB301" s="120"/>
      <c r="AC301" s="120"/>
      <c r="AD301" s="120"/>
      <c r="AE301" s="120"/>
      <c r="AF301" s="120"/>
      <c r="AG301" s="120"/>
      <c r="AH301" s="120"/>
      <c r="AI301" s="120"/>
      <c r="AJ301" s="120"/>
      <c r="AK301" s="120"/>
      <c r="AL301" s="120"/>
      <c r="AM301" s="120"/>
      <c r="AN301" s="120"/>
      <c r="AO301" s="120"/>
      <c r="AP301" s="120"/>
      <c r="AQ301" s="120"/>
      <c r="AR301" s="120"/>
      <c r="AS301" s="120"/>
      <c r="AT301" s="120"/>
      <c r="AU301" s="120"/>
      <c r="AV301" s="120"/>
      <c r="AW301" s="120"/>
      <c r="AX301" s="120"/>
      <c r="AY301" s="120"/>
      <c r="AZ301" s="120"/>
      <c r="BA301" s="120"/>
      <c r="BB301" s="120"/>
      <c r="BC301" s="120"/>
      <c r="BD301" s="120"/>
      <c r="BE301" s="120"/>
      <c r="BF301" s="120"/>
      <c r="BG301" s="120"/>
      <c r="BH301" s="120"/>
      <c r="BI301" s="120"/>
      <c r="BJ301" s="120"/>
      <c r="BK301" s="120"/>
    </row>
    <row r="302" spans="1:63" ht="12.75" x14ac:dyDescent="0.2">
      <c r="A302" s="263"/>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c r="AN302" s="120"/>
      <c r="AO302" s="120"/>
      <c r="AP302" s="120"/>
      <c r="AQ302" s="120"/>
      <c r="AR302" s="120"/>
      <c r="AS302" s="120"/>
      <c r="AT302" s="120"/>
      <c r="AU302" s="120"/>
      <c r="AV302" s="120"/>
      <c r="AW302" s="120"/>
      <c r="AX302" s="120"/>
      <c r="AY302" s="120"/>
      <c r="AZ302" s="120"/>
      <c r="BA302" s="120"/>
      <c r="BB302" s="120"/>
      <c r="BC302" s="120"/>
      <c r="BD302" s="120"/>
      <c r="BE302" s="120"/>
      <c r="BF302" s="120"/>
      <c r="BG302" s="120"/>
      <c r="BH302" s="120"/>
      <c r="BI302" s="120"/>
      <c r="BJ302" s="120"/>
      <c r="BK302" s="120"/>
    </row>
    <row r="303" spans="1:63" ht="12.75" x14ac:dyDescent="0.2">
      <c r="A303" s="263"/>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c r="AN303" s="120"/>
      <c r="AO303" s="120"/>
      <c r="AP303" s="120"/>
      <c r="AQ303" s="120"/>
      <c r="AR303" s="120"/>
      <c r="AS303" s="120"/>
      <c r="AT303" s="120"/>
      <c r="AU303" s="120"/>
      <c r="AV303" s="120"/>
      <c r="AW303" s="120"/>
      <c r="AX303" s="120"/>
      <c r="AY303" s="120"/>
      <c r="AZ303" s="120"/>
      <c r="BA303" s="120"/>
      <c r="BB303" s="120"/>
      <c r="BC303" s="120"/>
      <c r="BD303" s="120"/>
      <c r="BE303" s="120"/>
      <c r="BF303" s="120"/>
      <c r="BG303" s="120"/>
      <c r="BH303" s="120"/>
      <c r="BI303" s="120"/>
      <c r="BJ303" s="120"/>
      <c r="BK303" s="120"/>
    </row>
    <row r="304" spans="1:63" ht="12.75" x14ac:dyDescent="0.2">
      <c r="A304" s="263"/>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c r="AB304" s="120"/>
      <c r="AC304" s="120"/>
      <c r="AD304" s="120"/>
      <c r="AE304" s="120"/>
      <c r="AF304" s="120"/>
      <c r="AG304" s="120"/>
      <c r="AH304" s="120"/>
      <c r="AI304" s="120"/>
      <c r="AJ304" s="120"/>
      <c r="AK304" s="120"/>
      <c r="AL304" s="120"/>
      <c r="AM304" s="120"/>
      <c r="AN304" s="120"/>
      <c r="AO304" s="120"/>
      <c r="AP304" s="120"/>
      <c r="AQ304" s="120"/>
      <c r="AR304" s="120"/>
      <c r="AS304" s="120"/>
      <c r="AT304" s="120"/>
      <c r="AU304" s="120"/>
      <c r="AV304" s="120"/>
      <c r="AW304" s="120"/>
      <c r="AX304" s="120"/>
      <c r="AY304" s="120"/>
      <c r="AZ304" s="120"/>
      <c r="BA304" s="120"/>
      <c r="BB304" s="120"/>
      <c r="BC304" s="120"/>
      <c r="BD304" s="120"/>
      <c r="BE304" s="120"/>
      <c r="BF304" s="120"/>
      <c r="BG304" s="120"/>
      <c r="BH304" s="120"/>
      <c r="BI304" s="120"/>
      <c r="BJ304" s="120"/>
      <c r="BK304" s="120"/>
    </row>
    <row r="305" spans="1:63" ht="12.75" x14ac:dyDescent="0.2">
      <c r="A305" s="263"/>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c r="AB305" s="120"/>
      <c r="AC305" s="120"/>
      <c r="AD305" s="120"/>
      <c r="AE305" s="120"/>
      <c r="AF305" s="120"/>
      <c r="AG305" s="120"/>
      <c r="AH305" s="120"/>
      <c r="AI305" s="120"/>
      <c r="AJ305" s="120"/>
      <c r="AK305" s="120"/>
      <c r="AL305" s="120"/>
      <c r="AM305" s="120"/>
      <c r="AN305" s="120"/>
      <c r="AO305" s="120"/>
      <c r="AP305" s="120"/>
      <c r="AQ305" s="120"/>
      <c r="AR305" s="120"/>
      <c r="AS305" s="120"/>
      <c r="AT305" s="120"/>
      <c r="AU305" s="120"/>
      <c r="AV305" s="120"/>
      <c r="AW305" s="120"/>
      <c r="AX305" s="120"/>
      <c r="AY305" s="120"/>
      <c r="AZ305" s="120"/>
      <c r="BA305" s="120"/>
      <c r="BB305" s="120"/>
      <c r="BC305" s="120"/>
      <c r="BD305" s="120"/>
      <c r="BE305" s="120"/>
      <c r="BF305" s="120"/>
      <c r="BG305" s="120"/>
      <c r="BH305" s="120"/>
      <c r="BI305" s="120"/>
      <c r="BJ305" s="120"/>
      <c r="BK305" s="120"/>
    </row>
    <row r="306" spans="1:63" ht="12.75" x14ac:dyDescent="0.2">
      <c r="A306" s="263"/>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20"/>
      <c r="AV306" s="120"/>
      <c r="AW306" s="120"/>
      <c r="AX306" s="120"/>
      <c r="AY306" s="120"/>
      <c r="AZ306" s="120"/>
      <c r="BA306" s="120"/>
      <c r="BB306" s="120"/>
      <c r="BC306" s="120"/>
      <c r="BD306" s="120"/>
      <c r="BE306" s="120"/>
      <c r="BF306" s="120"/>
      <c r="BG306" s="120"/>
      <c r="BH306" s="120"/>
      <c r="BI306" s="120"/>
      <c r="BJ306" s="120"/>
      <c r="BK306" s="120"/>
    </row>
    <row r="307" spans="1:63" ht="12.75" x14ac:dyDescent="0.2">
      <c r="A307" s="263"/>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row>
    <row r="308" spans="1:63" ht="12.75" x14ac:dyDescent="0.2">
      <c r="A308" s="263"/>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c r="AB308" s="120"/>
      <c r="AC308" s="120"/>
      <c r="AD308" s="120"/>
      <c r="AE308" s="120"/>
      <c r="AF308" s="120"/>
      <c r="AG308" s="120"/>
      <c r="AH308" s="120"/>
      <c r="AI308" s="120"/>
      <c r="AJ308" s="120"/>
      <c r="AK308" s="120"/>
      <c r="AL308" s="120"/>
      <c r="AM308" s="120"/>
      <c r="AN308" s="120"/>
      <c r="AO308" s="120"/>
      <c r="AP308" s="120"/>
      <c r="AQ308" s="120"/>
      <c r="AR308" s="120"/>
      <c r="AS308" s="120"/>
      <c r="AT308" s="120"/>
      <c r="AU308" s="120"/>
      <c r="AV308" s="120"/>
      <c r="AW308" s="120"/>
      <c r="AX308" s="120"/>
      <c r="AY308" s="120"/>
      <c r="AZ308" s="120"/>
      <c r="BA308" s="120"/>
      <c r="BB308" s="120"/>
      <c r="BC308" s="120"/>
      <c r="BD308" s="120"/>
      <c r="BE308" s="120"/>
      <c r="BF308" s="120"/>
      <c r="BG308" s="120"/>
      <c r="BH308" s="120"/>
      <c r="BI308" s="120"/>
      <c r="BJ308" s="120"/>
      <c r="BK308" s="120"/>
    </row>
    <row r="309" spans="1:63" ht="12.75" x14ac:dyDescent="0.2">
      <c r="A309" s="263"/>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c r="AB309" s="120"/>
      <c r="AC309" s="120"/>
      <c r="AD309" s="120"/>
      <c r="AE309" s="120"/>
      <c r="AF309" s="120"/>
      <c r="AG309" s="120"/>
      <c r="AH309" s="120"/>
      <c r="AI309" s="120"/>
      <c r="AJ309" s="120"/>
      <c r="AK309" s="120"/>
      <c r="AL309" s="120"/>
      <c r="AM309" s="120"/>
      <c r="AN309" s="120"/>
      <c r="AO309" s="120"/>
      <c r="AP309" s="120"/>
      <c r="AQ309" s="120"/>
      <c r="AR309" s="120"/>
      <c r="AS309" s="120"/>
      <c r="AT309" s="120"/>
      <c r="AU309" s="120"/>
      <c r="AV309" s="120"/>
      <c r="AW309" s="120"/>
      <c r="AX309" s="120"/>
      <c r="AY309" s="120"/>
      <c r="AZ309" s="120"/>
      <c r="BA309" s="120"/>
      <c r="BB309" s="120"/>
      <c r="BC309" s="120"/>
      <c r="BD309" s="120"/>
      <c r="BE309" s="120"/>
      <c r="BF309" s="120"/>
      <c r="BG309" s="120"/>
      <c r="BH309" s="120"/>
      <c r="BI309" s="120"/>
      <c r="BJ309" s="120"/>
      <c r="BK309" s="120"/>
    </row>
    <row r="310" spans="1:63" ht="12.75" x14ac:dyDescent="0.2">
      <c r="A310" s="263"/>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c r="AN310" s="120"/>
      <c r="AO310" s="120"/>
      <c r="AP310" s="120"/>
      <c r="AQ310" s="120"/>
      <c r="AR310" s="120"/>
      <c r="AS310" s="120"/>
      <c r="AT310" s="120"/>
      <c r="AU310" s="120"/>
      <c r="AV310" s="120"/>
      <c r="AW310" s="120"/>
      <c r="AX310" s="120"/>
      <c r="AY310" s="120"/>
      <c r="AZ310" s="120"/>
      <c r="BA310" s="120"/>
      <c r="BB310" s="120"/>
      <c r="BC310" s="120"/>
      <c r="BD310" s="120"/>
      <c r="BE310" s="120"/>
      <c r="BF310" s="120"/>
      <c r="BG310" s="120"/>
      <c r="BH310" s="120"/>
      <c r="BI310" s="120"/>
      <c r="BJ310" s="120"/>
      <c r="BK310" s="120"/>
    </row>
    <row r="311" spans="1:63" ht="12.75" x14ac:dyDescent="0.2">
      <c r="A311" s="263"/>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c r="AN311" s="120"/>
      <c r="AO311" s="120"/>
      <c r="AP311" s="120"/>
      <c r="AQ311" s="120"/>
      <c r="AR311" s="120"/>
      <c r="AS311" s="120"/>
      <c r="AT311" s="120"/>
      <c r="AU311" s="120"/>
      <c r="AV311" s="120"/>
      <c r="AW311" s="120"/>
      <c r="AX311" s="120"/>
      <c r="AY311" s="120"/>
      <c r="AZ311" s="120"/>
      <c r="BA311" s="120"/>
      <c r="BB311" s="120"/>
      <c r="BC311" s="120"/>
      <c r="BD311" s="120"/>
      <c r="BE311" s="120"/>
      <c r="BF311" s="120"/>
      <c r="BG311" s="120"/>
      <c r="BH311" s="120"/>
      <c r="BI311" s="120"/>
      <c r="BJ311" s="120"/>
      <c r="BK311" s="120"/>
    </row>
    <row r="312" spans="1:63" ht="12.75" x14ac:dyDescent="0.2">
      <c r="A312" s="263"/>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c r="AB312" s="120"/>
      <c r="AC312" s="120"/>
      <c r="AD312" s="120"/>
      <c r="AE312" s="120"/>
      <c r="AF312" s="120"/>
      <c r="AG312" s="120"/>
      <c r="AH312" s="120"/>
      <c r="AI312" s="120"/>
      <c r="AJ312" s="120"/>
      <c r="AK312" s="120"/>
      <c r="AL312" s="120"/>
      <c r="AM312" s="120"/>
      <c r="AN312" s="120"/>
      <c r="AO312" s="120"/>
      <c r="AP312" s="120"/>
      <c r="AQ312" s="120"/>
      <c r="AR312" s="120"/>
      <c r="AS312" s="120"/>
      <c r="AT312" s="120"/>
      <c r="AU312" s="120"/>
      <c r="AV312" s="120"/>
      <c r="AW312" s="120"/>
      <c r="AX312" s="120"/>
      <c r="AY312" s="120"/>
      <c r="AZ312" s="120"/>
      <c r="BA312" s="120"/>
      <c r="BB312" s="120"/>
      <c r="BC312" s="120"/>
      <c r="BD312" s="120"/>
      <c r="BE312" s="120"/>
      <c r="BF312" s="120"/>
      <c r="BG312" s="120"/>
      <c r="BH312" s="120"/>
      <c r="BI312" s="120"/>
      <c r="BJ312" s="120"/>
      <c r="BK312" s="120"/>
    </row>
    <row r="313" spans="1:63" ht="12.75" x14ac:dyDescent="0.2">
      <c r="A313" s="263"/>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c r="AB313" s="120"/>
      <c r="AC313" s="120"/>
      <c r="AD313" s="120"/>
      <c r="AE313" s="120"/>
      <c r="AF313" s="120"/>
      <c r="AG313" s="120"/>
      <c r="AH313" s="120"/>
      <c r="AI313" s="120"/>
      <c r="AJ313" s="120"/>
      <c r="AK313" s="120"/>
      <c r="AL313" s="120"/>
      <c r="AM313" s="120"/>
      <c r="AN313" s="120"/>
      <c r="AO313" s="120"/>
      <c r="AP313" s="120"/>
      <c r="AQ313" s="120"/>
      <c r="AR313" s="120"/>
      <c r="AS313" s="120"/>
      <c r="AT313" s="120"/>
      <c r="AU313" s="120"/>
      <c r="AV313" s="120"/>
      <c r="AW313" s="120"/>
      <c r="AX313" s="120"/>
      <c r="AY313" s="120"/>
      <c r="AZ313" s="120"/>
      <c r="BA313" s="120"/>
      <c r="BB313" s="120"/>
      <c r="BC313" s="120"/>
      <c r="BD313" s="120"/>
      <c r="BE313" s="120"/>
      <c r="BF313" s="120"/>
      <c r="BG313" s="120"/>
      <c r="BH313" s="120"/>
      <c r="BI313" s="120"/>
      <c r="BJ313" s="120"/>
      <c r="BK313" s="120"/>
    </row>
    <row r="314" spans="1:63" ht="12.75" x14ac:dyDescent="0.2">
      <c r="A314" s="263"/>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0"/>
      <c r="AN314" s="120"/>
      <c r="AO314" s="120"/>
      <c r="AP314" s="120"/>
      <c r="AQ314" s="120"/>
      <c r="AR314" s="120"/>
      <c r="AS314" s="120"/>
      <c r="AT314" s="120"/>
      <c r="AU314" s="120"/>
      <c r="AV314" s="120"/>
      <c r="AW314" s="120"/>
      <c r="AX314" s="120"/>
      <c r="AY314" s="120"/>
      <c r="AZ314" s="120"/>
      <c r="BA314" s="120"/>
      <c r="BB314" s="120"/>
      <c r="BC314" s="120"/>
      <c r="BD314" s="120"/>
      <c r="BE314" s="120"/>
      <c r="BF314" s="120"/>
      <c r="BG314" s="120"/>
      <c r="BH314" s="120"/>
      <c r="BI314" s="120"/>
      <c r="BJ314" s="120"/>
      <c r="BK314" s="120"/>
    </row>
    <row r="315" spans="1:63" ht="12.75" x14ac:dyDescent="0.2">
      <c r="A315" s="263"/>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c r="AB315" s="120"/>
      <c r="AC315" s="120"/>
      <c r="AD315" s="120"/>
      <c r="AE315" s="120"/>
      <c r="AF315" s="120"/>
      <c r="AG315" s="120"/>
      <c r="AH315" s="120"/>
      <c r="AI315" s="120"/>
      <c r="AJ315" s="120"/>
      <c r="AK315" s="120"/>
      <c r="AL315" s="120"/>
      <c r="AM315" s="120"/>
      <c r="AN315" s="120"/>
      <c r="AO315" s="120"/>
      <c r="AP315" s="120"/>
      <c r="AQ315" s="120"/>
      <c r="AR315" s="120"/>
      <c r="AS315" s="120"/>
      <c r="AT315" s="120"/>
      <c r="AU315" s="120"/>
      <c r="AV315" s="120"/>
      <c r="AW315" s="120"/>
      <c r="AX315" s="120"/>
      <c r="AY315" s="120"/>
      <c r="AZ315" s="120"/>
      <c r="BA315" s="120"/>
      <c r="BB315" s="120"/>
      <c r="BC315" s="120"/>
      <c r="BD315" s="120"/>
      <c r="BE315" s="120"/>
      <c r="BF315" s="120"/>
      <c r="BG315" s="120"/>
      <c r="BH315" s="120"/>
      <c r="BI315" s="120"/>
      <c r="BJ315" s="120"/>
      <c r="BK315" s="120"/>
    </row>
    <row r="316" spans="1:63" ht="12.75" x14ac:dyDescent="0.2">
      <c r="A316" s="263"/>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c r="AB316" s="120"/>
      <c r="AC316" s="120"/>
      <c r="AD316" s="120"/>
      <c r="AE316" s="120"/>
      <c r="AF316" s="120"/>
      <c r="AG316" s="120"/>
      <c r="AH316" s="120"/>
      <c r="AI316" s="120"/>
      <c r="AJ316" s="120"/>
      <c r="AK316" s="120"/>
      <c r="AL316" s="120"/>
      <c r="AM316" s="120"/>
      <c r="AN316" s="120"/>
      <c r="AO316" s="120"/>
      <c r="AP316" s="120"/>
      <c r="AQ316" s="120"/>
      <c r="AR316" s="120"/>
      <c r="AS316" s="120"/>
      <c r="AT316" s="120"/>
      <c r="AU316" s="120"/>
      <c r="AV316" s="120"/>
      <c r="AW316" s="120"/>
      <c r="AX316" s="120"/>
      <c r="AY316" s="120"/>
      <c r="AZ316" s="120"/>
      <c r="BA316" s="120"/>
      <c r="BB316" s="120"/>
      <c r="BC316" s="120"/>
      <c r="BD316" s="120"/>
      <c r="BE316" s="120"/>
      <c r="BF316" s="120"/>
      <c r="BG316" s="120"/>
      <c r="BH316" s="120"/>
      <c r="BI316" s="120"/>
      <c r="BJ316" s="120"/>
      <c r="BK316" s="120"/>
    </row>
    <row r="317" spans="1:63" ht="12.75" x14ac:dyDescent="0.2">
      <c r="A317" s="263"/>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c r="AB317" s="120"/>
      <c r="AC317" s="120"/>
      <c r="AD317" s="120"/>
      <c r="AE317" s="120"/>
      <c r="AF317" s="120"/>
      <c r="AG317" s="120"/>
      <c r="AH317" s="120"/>
      <c r="AI317" s="120"/>
      <c r="AJ317" s="120"/>
      <c r="AK317" s="120"/>
      <c r="AL317" s="120"/>
      <c r="AM317" s="120"/>
      <c r="AN317" s="120"/>
      <c r="AO317" s="120"/>
      <c r="AP317" s="120"/>
      <c r="AQ317" s="120"/>
      <c r="AR317" s="120"/>
      <c r="AS317" s="120"/>
      <c r="AT317" s="120"/>
      <c r="AU317" s="120"/>
      <c r="AV317" s="120"/>
      <c r="AW317" s="120"/>
      <c r="AX317" s="120"/>
      <c r="AY317" s="120"/>
      <c r="AZ317" s="120"/>
      <c r="BA317" s="120"/>
      <c r="BB317" s="120"/>
      <c r="BC317" s="120"/>
      <c r="BD317" s="120"/>
      <c r="BE317" s="120"/>
      <c r="BF317" s="120"/>
      <c r="BG317" s="120"/>
      <c r="BH317" s="120"/>
      <c r="BI317" s="120"/>
      <c r="BJ317" s="120"/>
      <c r="BK317" s="120"/>
    </row>
    <row r="318" spans="1:63" ht="12.75" x14ac:dyDescent="0.2">
      <c r="A318" s="263"/>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c r="AN318" s="120"/>
      <c r="AO318" s="120"/>
      <c r="AP318" s="120"/>
      <c r="AQ318" s="120"/>
      <c r="AR318" s="120"/>
      <c r="AS318" s="120"/>
      <c r="AT318" s="120"/>
      <c r="AU318" s="120"/>
      <c r="AV318" s="120"/>
      <c r="AW318" s="120"/>
      <c r="AX318" s="120"/>
      <c r="AY318" s="120"/>
      <c r="AZ318" s="120"/>
      <c r="BA318" s="120"/>
      <c r="BB318" s="120"/>
      <c r="BC318" s="120"/>
      <c r="BD318" s="120"/>
      <c r="BE318" s="120"/>
      <c r="BF318" s="120"/>
      <c r="BG318" s="120"/>
      <c r="BH318" s="120"/>
      <c r="BI318" s="120"/>
      <c r="BJ318" s="120"/>
      <c r="BK318" s="120"/>
    </row>
    <row r="319" spans="1:63" ht="12.75" x14ac:dyDescent="0.2">
      <c r="A319" s="263"/>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c r="AN319" s="120"/>
      <c r="AO319" s="120"/>
      <c r="AP319" s="120"/>
      <c r="AQ319" s="120"/>
      <c r="AR319" s="120"/>
      <c r="AS319" s="120"/>
      <c r="AT319" s="120"/>
      <c r="AU319" s="120"/>
      <c r="AV319" s="120"/>
      <c r="AW319" s="120"/>
      <c r="AX319" s="120"/>
      <c r="AY319" s="120"/>
      <c r="AZ319" s="120"/>
      <c r="BA319" s="120"/>
      <c r="BB319" s="120"/>
      <c r="BC319" s="120"/>
      <c r="BD319" s="120"/>
      <c r="BE319" s="120"/>
      <c r="BF319" s="120"/>
      <c r="BG319" s="120"/>
      <c r="BH319" s="120"/>
      <c r="BI319" s="120"/>
      <c r="BJ319" s="120"/>
      <c r="BK319" s="120"/>
    </row>
    <row r="320" spans="1:63" ht="12.75" x14ac:dyDescent="0.2">
      <c r="A320" s="263"/>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c r="AB320" s="120"/>
      <c r="AC320" s="120"/>
      <c r="AD320" s="120"/>
      <c r="AE320" s="120"/>
      <c r="AF320" s="120"/>
      <c r="AG320" s="120"/>
      <c r="AH320" s="120"/>
      <c r="AI320" s="120"/>
      <c r="AJ320" s="120"/>
      <c r="AK320" s="120"/>
      <c r="AL320" s="120"/>
      <c r="AM320" s="120"/>
      <c r="AN320" s="120"/>
      <c r="AO320" s="120"/>
      <c r="AP320" s="120"/>
      <c r="AQ320" s="120"/>
      <c r="AR320" s="120"/>
      <c r="AS320" s="120"/>
      <c r="AT320" s="120"/>
      <c r="AU320" s="120"/>
      <c r="AV320" s="120"/>
      <c r="AW320" s="120"/>
      <c r="AX320" s="120"/>
      <c r="AY320" s="120"/>
      <c r="AZ320" s="120"/>
      <c r="BA320" s="120"/>
      <c r="BB320" s="120"/>
      <c r="BC320" s="120"/>
      <c r="BD320" s="120"/>
      <c r="BE320" s="120"/>
      <c r="BF320" s="120"/>
      <c r="BG320" s="120"/>
      <c r="BH320" s="120"/>
      <c r="BI320" s="120"/>
      <c r="BJ320" s="120"/>
      <c r="BK320" s="120"/>
    </row>
    <row r="321" spans="1:63" ht="12.75" x14ac:dyDescent="0.2">
      <c r="A321" s="263"/>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c r="AB321" s="120"/>
      <c r="AC321" s="120"/>
      <c r="AD321" s="120"/>
      <c r="AE321" s="120"/>
      <c r="AF321" s="120"/>
      <c r="AG321" s="120"/>
      <c r="AH321" s="120"/>
      <c r="AI321" s="120"/>
      <c r="AJ321" s="120"/>
      <c r="AK321" s="120"/>
      <c r="AL321" s="120"/>
      <c r="AM321" s="120"/>
      <c r="AN321" s="120"/>
      <c r="AO321" s="120"/>
      <c r="AP321" s="120"/>
      <c r="AQ321" s="120"/>
      <c r="AR321" s="120"/>
      <c r="AS321" s="120"/>
      <c r="AT321" s="120"/>
      <c r="AU321" s="120"/>
      <c r="AV321" s="120"/>
      <c r="AW321" s="120"/>
      <c r="AX321" s="120"/>
      <c r="AY321" s="120"/>
      <c r="AZ321" s="120"/>
      <c r="BA321" s="120"/>
      <c r="BB321" s="120"/>
      <c r="BC321" s="120"/>
      <c r="BD321" s="120"/>
      <c r="BE321" s="120"/>
      <c r="BF321" s="120"/>
      <c r="BG321" s="120"/>
      <c r="BH321" s="120"/>
      <c r="BI321" s="120"/>
      <c r="BJ321" s="120"/>
      <c r="BK321" s="120"/>
    </row>
    <row r="322" spans="1:63" ht="12.75" x14ac:dyDescent="0.2">
      <c r="A322" s="263"/>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0"/>
      <c r="AN322" s="120"/>
      <c r="AO322" s="120"/>
      <c r="AP322" s="120"/>
      <c r="AQ322" s="120"/>
      <c r="AR322" s="120"/>
      <c r="AS322" s="120"/>
      <c r="AT322" s="120"/>
      <c r="AU322" s="120"/>
      <c r="AV322" s="120"/>
      <c r="AW322" s="120"/>
      <c r="AX322" s="120"/>
      <c r="AY322" s="120"/>
      <c r="AZ322" s="120"/>
      <c r="BA322" s="120"/>
      <c r="BB322" s="120"/>
      <c r="BC322" s="120"/>
      <c r="BD322" s="120"/>
      <c r="BE322" s="120"/>
      <c r="BF322" s="120"/>
      <c r="BG322" s="120"/>
      <c r="BH322" s="120"/>
      <c r="BI322" s="120"/>
      <c r="BJ322" s="120"/>
      <c r="BK322" s="120"/>
    </row>
    <row r="323" spans="1:63" ht="12.75" x14ac:dyDescent="0.2">
      <c r="A323" s="263"/>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262"/>
      <c r="AE323" s="262"/>
      <c r="AF323" s="262"/>
      <c r="AG323" s="262"/>
      <c r="AH323" s="262"/>
      <c r="AI323" s="262"/>
      <c r="AJ323" s="262"/>
      <c r="AK323" s="262"/>
      <c r="AL323" s="262"/>
      <c r="AM323" s="262"/>
      <c r="AN323" s="262"/>
      <c r="AO323" s="262"/>
      <c r="AP323" s="262"/>
      <c r="AQ323" s="262"/>
      <c r="AR323" s="262"/>
      <c r="AS323" s="262"/>
      <c r="AT323" s="262"/>
      <c r="AU323" s="262"/>
      <c r="AV323" s="262"/>
      <c r="AW323" s="262"/>
      <c r="AX323" s="262"/>
      <c r="AY323" s="262"/>
      <c r="AZ323" s="262"/>
      <c r="BA323" s="262"/>
      <c r="BB323" s="262"/>
      <c r="BC323" s="262"/>
      <c r="BD323" s="262"/>
      <c r="BE323" s="262"/>
      <c r="BF323" s="262"/>
      <c r="BG323" s="262"/>
      <c r="BH323" s="262"/>
      <c r="BI323" s="262"/>
      <c r="BJ323" s="262"/>
      <c r="BK323" s="262"/>
    </row>
    <row r="324" spans="1:63" ht="12.75" x14ac:dyDescent="0.2">
      <c r="A324" s="263"/>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262"/>
      <c r="AE324" s="262"/>
      <c r="AF324" s="262"/>
      <c r="AG324" s="262"/>
      <c r="AH324" s="262"/>
      <c r="AI324" s="262"/>
      <c r="AJ324" s="262"/>
      <c r="AK324" s="262"/>
      <c r="AL324" s="262"/>
      <c r="AM324" s="262"/>
      <c r="AN324" s="262"/>
      <c r="AO324" s="262"/>
      <c r="AP324" s="262"/>
      <c r="AQ324" s="262"/>
      <c r="AR324" s="262"/>
      <c r="AS324" s="262"/>
      <c r="AT324" s="262"/>
      <c r="AU324" s="262"/>
      <c r="AV324" s="262"/>
      <c r="AW324" s="262"/>
      <c r="AX324" s="262"/>
      <c r="AY324" s="262"/>
      <c r="AZ324" s="262"/>
      <c r="BA324" s="262"/>
      <c r="BB324" s="262"/>
      <c r="BC324" s="262"/>
      <c r="BD324" s="262"/>
      <c r="BE324" s="262"/>
      <c r="BF324" s="262"/>
      <c r="BG324" s="262"/>
      <c r="BH324" s="262"/>
      <c r="BI324" s="262"/>
      <c r="BJ324" s="262"/>
      <c r="BK324" s="262"/>
    </row>
    <row r="325" spans="1:63" ht="12.75" x14ac:dyDescent="0.2">
      <c r="A325" s="263"/>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262"/>
      <c r="AE325" s="262"/>
      <c r="AF325" s="262"/>
      <c r="AG325" s="262"/>
      <c r="AH325" s="262"/>
      <c r="AI325" s="262"/>
      <c r="AJ325" s="262"/>
      <c r="AK325" s="262"/>
      <c r="AL325" s="262"/>
      <c r="AM325" s="262"/>
      <c r="AN325" s="262"/>
      <c r="AO325" s="262"/>
      <c r="AP325" s="262"/>
      <c r="AQ325" s="262"/>
      <c r="AR325" s="262"/>
      <c r="AS325" s="262"/>
      <c r="AT325" s="262"/>
      <c r="AU325" s="262"/>
      <c r="AV325" s="262"/>
      <c r="AW325" s="262"/>
      <c r="AX325" s="262"/>
      <c r="AY325" s="262"/>
      <c r="AZ325" s="262"/>
      <c r="BA325" s="262"/>
      <c r="BB325" s="262"/>
      <c r="BC325" s="262"/>
      <c r="BD325" s="262"/>
      <c r="BE325" s="262"/>
      <c r="BF325" s="262"/>
      <c r="BG325" s="262"/>
      <c r="BH325" s="262"/>
      <c r="BI325" s="262"/>
      <c r="BJ325" s="262"/>
      <c r="BK325" s="262"/>
    </row>
    <row r="326" spans="1:63" ht="12.75" x14ac:dyDescent="0.2">
      <c r="A326" s="263"/>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262"/>
      <c r="AE326" s="262"/>
      <c r="AF326" s="262"/>
      <c r="AG326" s="262"/>
      <c r="AH326" s="262"/>
      <c r="AI326" s="262"/>
      <c r="AJ326" s="262"/>
      <c r="AK326" s="262"/>
      <c r="AL326" s="262"/>
      <c r="AM326" s="262"/>
      <c r="AN326" s="262"/>
      <c r="AO326" s="262"/>
      <c r="AP326" s="262"/>
      <c r="AQ326" s="262"/>
      <c r="AR326" s="262"/>
      <c r="AS326" s="262"/>
      <c r="AT326" s="262"/>
      <c r="AU326" s="262"/>
      <c r="AV326" s="262"/>
      <c r="AW326" s="262"/>
      <c r="AX326" s="262"/>
      <c r="AY326" s="262"/>
      <c r="AZ326" s="262"/>
      <c r="BA326" s="262"/>
      <c r="BB326" s="262"/>
      <c r="BC326" s="262"/>
      <c r="BD326" s="262"/>
      <c r="BE326" s="262"/>
      <c r="BF326" s="262"/>
      <c r="BG326" s="262"/>
      <c r="BH326" s="262"/>
      <c r="BI326" s="262"/>
      <c r="BJ326" s="262"/>
      <c r="BK326" s="262"/>
    </row>
    <row r="327" spans="1:63" ht="12.75" x14ac:dyDescent="0.2">
      <c r="A327" s="263"/>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262"/>
      <c r="AE327" s="262"/>
      <c r="AF327" s="262"/>
      <c r="AG327" s="262"/>
      <c r="AH327" s="262"/>
      <c r="AI327" s="262"/>
      <c r="AJ327" s="262"/>
      <c r="AK327" s="262"/>
      <c r="AL327" s="262"/>
      <c r="AM327" s="262"/>
      <c r="AN327" s="262"/>
      <c r="AO327" s="262"/>
      <c r="AP327" s="262"/>
      <c r="AQ327" s="262"/>
      <c r="AR327" s="262"/>
      <c r="AS327" s="262"/>
      <c r="AT327" s="262"/>
      <c r="AU327" s="262"/>
      <c r="AV327" s="262"/>
      <c r="AW327" s="262"/>
      <c r="AX327" s="262"/>
      <c r="AY327" s="262"/>
      <c r="AZ327" s="262"/>
      <c r="BA327" s="262"/>
      <c r="BB327" s="262"/>
      <c r="BC327" s="262"/>
      <c r="BD327" s="262"/>
      <c r="BE327" s="262"/>
      <c r="BF327" s="262"/>
      <c r="BG327" s="262"/>
      <c r="BH327" s="262"/>
      <c r="BI327" s="262"/>
      <c r="BJ327" s="262"/>
      <c r="BK327" s="262"/>
    </row>
    <row r="328" spans="1:63" ht="12.75" x14ac:dyDescent="0.2">
      <c r="A328" s="263"/>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62"/>
      <c r="AE328" s="262"/>
      <c r="AF328" s="262"/>
      <c r="AG328" s="262"/>
      <c r="AH328" s="262"/>
      <c r="AI328" s="262"/>
      <c r="AJ328" s="262"/>
      <c r="AK328" s="262"/>
      <c r="AL328" s="262"/>
      <c r="AM328" s="262"/>
      <c r="AN328" s="262"/>
      <c r="AO328" s="262"/>
      <c r="AP328" s="262"/>
      <c r="AQ328" s="262"/>
      <c r="AR328" s="262"/>
      <c r="AS328" s="262"/>
      <c r="AT328" s="262"/>
      <c r="AU328" s="262"/>
      <c r="AV328" s="262"/>
      <c r="AW328" s="262"/>
      <c r="AX328" s="262"/>
      <c r="AY328" s="262"/>
      <c r="AZ328" s="262"/>
      <c r="BA328" s="262"/>
      <c r="BB328" s="262"/>
      <c r="BC328" s="262"/>
      <c r="BD328" s="262"/>
      <c r="BE328" s="262"/>
      <c r="BF328" s="262"/>
      <c r="BG328" s="262"/>
      <c r="BH328" s="262"/>
      <c r="BI328" s="262"/>
      <c r="BJ328" s="262"/>
      <c r="BK328" s="262"/>
    </row>
    <row r="329" spans="1:63" ht="12.75" x14ac:dyDescent="0.2">
      <c r="A329" s="263"/>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262"/>
      <c r="AE329" s="262"/>
      <c r="AF329" s="262"/>
      <c r="AG329" s="262"/>
      <c r="AH329" s="262"/>
      <c r="AI329" s="262"/>
      <c r="AJ329" s="262"/>
      <c r="AK329" s="262"/>
      <c r="AL329" s="262"/>
      <c r="AM329" s="262"/>
      <c r="AN329" s="262"/>
      <c r="AO329" s="262"/>
      <c r="AP329" s="262"/>
      <c r="AQ329" s="262"/>
      <c r="AR329" s="262"/>
      <c r="AS329" s="262"/>
      <c r="AT329" s="262"/>
      <c r="AU329" s="262"/>
      <c r="AV329" s="262"/>
      <c r="AW329" s="262"/>
      <c r="AX329" s="262"/>
      <c r="AY329" s="262"/>
      <c r="AZ329" s="262"/>
      <c r="BA329" s="262"/>
      <c r="BB329" s="262"/>
      <c r="BC329" s="262"/>
      <c r="BD329" s="262"/>
      <c r="BE329" s="262"/>
      <c r="BF329" s="262"/>
      <c r="BG329" s="262"/>
      <c r="BH329" s="262"/>
      <c r="BI329" s="262"/>
      <c r="BJ329" s="262"/>
      <c r="BK329" s="262"/>
    </row>
    <row r="330" spans="1:63" ht="12.75" x14ac:dyDescent="0.2">
      <c r="A330" s="263"/>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262"/>
      <c r="AE330" s="262"/>
      <c r="AF330" s="262"/>
      <c r="AG330" s="262"/>
      <c r="AH330" s="262"/>
      <c r="AI330" s="262"/>
      <c r="AJ330" s="262"/>
      <c r="AK330" s="262"/>
      <c r="AL330" s="262"/>
      <c r="AM330" s="262"/>
      <c r="AN330" s="262"/>
      <c r="AO330" s="262"/>
      <c r="AP330" s="262"/>
      <c r="AQ330" s="262"/>
      <c r="AR330" s="262"/>
      <c r="AS330" s="262"/>
      <c r="AT330" s="262"/>
      <c r="AU330" s="262"/>
      <c r="AV330" s="262"/>
      <c r="AW330" s="262"/>
      <c r="AX330" s="262"/>
      <c r="AY330" s="262"/>
      <c r="AZ330" s="262"/>
      <c r="BA330" s="262"/>
      <c r="BB330" s="262"/>
      <c r="BC330" s="262"/>
      <c r="BD330" s="262"/>
      <c r="BE330" s="262"/>
      <c r="BF330" s="262"/>
      <c r="BG330" s="262"/>
      <c r="BH330" s="262"/>
      <c r="BI330" s="262"/>
      <c r="BJ330" s="262"/>
      <c r="BK330" s="262"/>
    </row>
    <row r="331" spans="1:63" ht="12.75" x14ac:dyDescent="0.2">
      <c r="A331" s="263"/>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262"/>
      <c r="AE331" s="262"/>
      <c r="AF331" s="262"/>
      <c r="AG331" s="262"/>
      <c r="AH331" s="262"/>
      <c r="AI331" s="262"/>
      <c r="AJ331" s="262"/>
      <c r="AK331" s="262"/>
      <c r="AL331" s="262"/>
      <c r="AM331" s="262"/>
      <c r="AN331" s="262"/>
      <c r="AO331" s="262"/>
      <c r="AP331" s="262"/>
      <c r="AQ331" s="262"/>
      <c r="AR331" s="262"/>
      <c r="AS331" s="262"/>
      <c r="AT331" s="262"/>
      <c r="AU331" s="262"/>
      <c r="AV331" s="262"/>
      <c r="AW331" s="262"/>
      <c r="AX331" s="262"/>
      <c r="AY331" s="262"/>
      <c r="AZ331" s="262"/>
      <c r="BA331" s="262"/>
      <c r="BB331" s="262"/>
      <c r="BC331" s="262"/>
      <c r="BD331" s="262"/>
      <c r="BE331" s="262"/>
      <c r="BF331" s="262"/>
      <c r="BG331" s="262"/>
      <c r="BH331" s="262"/>
      <c r="BI331" s="262"/>
      <c r="BJ331" s="262"/>
      <c r="BK331" s="262"/>
    </row>
    <row r="332" spans="1:63" ht="12.75" x14ac:dyDescent="0.2">
      <c r="A332" s="263"/>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262"/>
      <c r="AF332" s="262"/>
      <c r="AG332" s="262"/>
      <c r="AH332" s="262"/>
      <c r="AI332" s="262"/>
      <c r="AJ332" s="262"/>
      <c r="AK332" s="262"/>
      <c r="AL332" s="262"/>
      <c r="AM332" s="262"/>
      <c r="AN332" s="262"/>
      <c r="AO332" s="262"/>
      <c r="AP332" s="262"/>
      <c r="AQ332" s="262"/>
      <c r="AR332" s="262"/>
      <c r="AS332" s="262"/>
      <c r="AT332" s="262"/>
      <c r="AU332" s="262"/>
      <c r="AV332" s="262"/>
      <c r="AW332" s="262"/>
      <c r="AX332" s="262"/>
      <c r="AY332" s="262"/>
      <c r="AZ332" s="262"/>
      <c r="BA332" s="262"/>
      <c r="BB332" s="262"/>
      <c r="BC332" s="262"/>
      <c r="BD332" s="262"/>
      <c r="BE332" s="262"/>
      <c r="BF332" s="262"/>
      <c r="BG332" s="262"/>
      <c r="BH332" s="262"/>
      <c r="BI332" s="262"/>
      <c r="BJ332" s="262"/>
      <c r="BK332" s="262"/>
    </row>
    <row r="333" spans="1:63" ht="12.75" x14ac:dyDescent="0.2">
      <c r="A333" s="263"/>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c r="AA333" s="262"/>
      <c r="AB333" s="262"/>
      <c r="AC333" s="262"/>
      <c r="AD333" s="262"/>
      <c r="AE333" s="262"/>
      <c r="AF333" s="262"/>
      <c r="AG333" s="262"/>
      <c r="AH333" s="262"/>
      <c r="AI333" s="262"/>
      <c r="AJ333" s="262"/>
      <c r="AK333" s="262"/>
      <c r="AL333" s="262"/>
      <c r="AM333" s="262"/>
      <c r="AN333" s="262"/>
      <c r="AO333" s="262"/>
      <c r="AP333" s="262"/>
      <c r="AQ333" s="262"/>
      <c r="AR333" s="262"/>
      <c r="AS333" s="262"/>
      <c r="AT333" s="262"/>
      <c r="AU333" s="262"/>
      <c r="AV333" s="262"/>
      <c r="AW333" s="262"/>
      <c r="AX333" s="262"/>
      <c r="AY333" s="262"/>
      <c r="AZ333" s="262"/>
      <c r="BA333" s="262"/>
      <c r="BB333" s="262"/>
      <c r="BC333" s="262"/>
      <c r="BD333" s="262"/>
      <c r="BE333" s="262"/>
      <c r="BF333" s="262"/>
      <c r="BG333" s="262"/>
      <c r="BH333" s="262"/>
      <c r="BI333" s="262"/>
      <c r="BJ333" s="262"/>
      <c r="BK333" s="262"/>
    </row>
    <row r="334" spans="1:63" ht="12.75" x14ac:dyDescent="0.2">
      <c r="A334" s="263"/>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262"/>
      <c r="AF334" s="262"/>
      <c r="AG334" s="262"/>
      <c r="AH334" s="262"/>
      <c r="AI334" s="262"/>
      <c r="AJ334" s="262"/>
      <c r="AK334" s="262"/>
      <c r="AL334" s="262"/>
      <c r="AM334" s="262"/>
      <c r="AN334" s="262"/>
      <c r="AO334" s="262"/>
      <c r="AP334" s="262"/>
      <c r="AQ334" s="262"/>
      <c r="AR334" s="262"/>
      <c r="AS334" s="262"/>
      <c r="AT334" s="262"/>
      <c r="AU334" s="262"/>
      <c r="AV334" s="262"/>
      <c r="AW334" s="262"/>
      <c r="AX334" s="262"/>
      <c r="AY334" s="262"/>
      <c r="AZ334" s="262"/>
      <c r="BA334" s="262"/>
      <c r="BB334" s="262"/>
      <c r="BC334" s="262"/>
      <c r="BD334" s="262"/>
      <c r="BE334" s="262"/>
      <c r="BF334" s="262"/>
      <c r="BG334" s="262"/>
      <c r="BH334" s="262"/>
      <c r="BI334" s="262"/>
      <c r="BJ334" s="262"/>
      <c r="BK334" s="262"/>
    </row>
    <row r="335" spans="1:63" ht="12.75" x14ac:dyDescent="0.2">
      <c r="A335" s="263"/>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F335" s="262"/>
      <c r="AG335" s="262"/>
      <c r="AH335" s="262"/>
      <c r="AI335" s="262"/>
      <c r="AJ335" s="262"/>
      <c r="AK335" s="262"/>
      <c r="AL335" s="262"/>
      <c r="AM335" s="262"/>
      <c r="AN335" s="262"/>
      <c r="AO335" s="262"/>
      <c r="AP335" s="262"/>
      <c r="AQ335" s="262"/>
      <c r="AR335" s="262"/>
      <c r="AS335" s="262"/>
      <c r="AT335" s="262"/>
      <c r="AU335" s="262"/>
      <c r="AV335" s="262"/>
      <c r="AW335" s="262"/>
      <c r="AX335" s="262"/>
      <c r="AY335" s="262"/>
      <c r="AZ335" s="262"/>
      <c r="BA335" s="262"/>
      <c r="BB335" s="262"/>
      <c r="BC335" s="262"/>
      <c r="BD335" s="262"/>
      <c r="BE335" s="262"/>
      <c r="BF335" s="262"/>
      <c r="BG335" s="262"/>
      <c r="BH335" s="262"/>
      <c r="BI335" s="262"/>
      <c r="BJ335" s="262"/>
      <c r="BK335" s="262"/>
    </row>
    <row r="336" spans="1:63" ht="12.75" x14ac:dyDescent="0.2">
      <c r="A336" s="263"/>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262"/>
      <c r="AE336" s="262"/>
      <c r="AF336" s="262"/>
      <c r="AG336" s="262"/>
      <c r="AH336" s="262"/>
      <c r="AI336" s="262"/>
      <c r="AJ336" s="262"/>
      <c r="AK336" s="262"/>
      <c r="AL336" s="262"/>
      <c r="AM336" s="262"/>
      <c r="AN336" s="262"/>
      <c r="AO336" s="262"/>
      <c r="AP336" s="262"/>
      <c r="AQ336" s="262"/>
      <c r="AR336" s="262"/>
      <c r="AS336" s="262"/>
      <c r="AT336" s="262"/>
      <c r="AU336" s="262"/>
      <c r="AV336" s="262"/>
      <c r="AW336" s="262"/>
      <c r="AX336" s="262"/>
      <c r="AY336" s="262"/>
      <c r="AZ336" s="262"/>
      <c r="BA336" s="262"/>
      <c r="BB336" s="262"/>
      <c r="BC336" s="262"/>
      <c r="BD336" s="262"/>
      <c r="BE336" s="262"/>
      <c r="BF336" s="262"/>
      <c r="BG336" s="262"/>
      <c r="BH336" s="262"/>
      <c r="BI336" s="262"/>
      <c r="BJ336" s="262"/>
      <c r="BK336" s="262"/>
    </row>
    <row r="337" spans="1:63" ht="12.75" x14ac:dyDescent="0.2">
      <c r="A337" s="263"/>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262"/>
      <c r="AE337" s="262"/>
      <c r="AF337" s="262"/>
      <c r="AG337" s="262"/>
      <c r="AH337" s="262"/>
      <c r="AI337" s="262"/>
      <c r="AJ337" s="262"/>
      <c r="AK337" s="262"/>
      <c r="AL337" s="262"/>
      <c r="AM337" s="262"/>
      <c r="AN337" s="262"/>
      <c r="AO337" s="262"/>
      <c r="AP337" s="262"/>
      <c r="AQ337" s="262"/>
      <c r="AR337" s="262"/>
      <c r="AS337" s="262"/>
      <c r="AT337" s="262"/>
      <c r="AU337" s="262"/>
      <c r="AV337" s="262"/>
      <c r="AW337" s="262"/>
      <c r="AX337" s="262"/>
      <c r="AY337" s="262"/>
      <c r="AZ337" s="262"/>
      <c r="BA337" s="262"/>
      <c r="BB337" s="262"/>
      <c r="BC337" s="262"/>
      <c r="BD337" s="262"/>
      <c r="BE337" s="262"/>
      <c r="BF337" s="262"/>
      <c r="BG337" s="262"/>
      <c r="BH337" s="262"/>
      <c r="BI337" s="262"/>
      <c r="BJ337" s="262"/>
      <c r="BK337" s="262"/>
    </row>
    <row r="338" spans="1:63" ht="12.75" x14ac:dyDescent="0.2">
      <c r="A338" s="263"/>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262"/>
      <c r="AE338" s="262"/>
      <c r="AF338" s="262"/>
      <c r="AG338" s="262"/>
      <c r="AH338" s="262"/>
      <c r="AI338" s="262"/>
      <c r="AJ338" s="262"/>
      <c r="AK338" s="262"/>
      <c r="AL338" s="262"/>
      <c r="AM338" s="262"/>
      <c r="AN338" s="262"/>
      <c r="AO338" s="262"/>
      <c r="AP338" s="262"/>
      <c r="AQ338" s="262"/>
      <c r="AR338" s="262"/>
      <c r="AS338" s="262"/>
      <c r="AT338" s="262"/>
      <c r="AU338" s="262"/>
      <c r="AV338" s="262"/>
      <c r="AW338" s="262"/>
      <c r="AX338" s="262"/>
      <c r="AY338" s="262"/>
      <c r="AZ338" s="262"/>
      <c r="BA338" s="262"/>
      <c r="BB338" s="262"/>
      <c r="BC338" s="262"/>
      <c r="BD338" s="262"/>
      <c r="BE338" s="262"/>
      <c r="BF338" s="262"/>
      <c r="BG338" s="262"/>
      <c r="BH338" s="262"/>
      <c r="BI338" s="262"/>
      <c r="BJ338" s="262"/>
      <c r="BK338" s="262"/>
    </row>
    <row r="339" spans="1:63" ht="12.75" x14ac:dyDescent="0.2">
      <c r="A339" s="263"/>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262"/>
      <c r="AE339" s="262"/>
      <c r="AF339" s="262"/>
      <c r="AG339" s="262"/>
      <c r="AH339" s="262"/>
      <c r="AI339" s="262"/>
      <c r="AJ339" s="262"/>
      <c r="AK339" s="262"/>
      <c r="AL339" s="262"/>
      <c r="AM339" s="262"/>
      <c r="AN339" s="262"/>
      <c r="AO339" s="262"/>
      <c r="AP339" s="262"/>
      <c r="AQ339" s="262"/>
      <c r="AR339" s="262"/>
      <c r="AS339" s="262"/>
      <c r="AT339" s="262"/>
      <c r="AU339" s="262"/>
      <c r="AV339" s="262"/>
      <c r="AW339" s="262"/>
      <c r="AX339" s="262"/>
      <c r="AY339" s="262"/>
      <c r="AZ339" s="262"/>
      <c r="BA339" s="262"/>
      <c r="BB339" s="262"/>
      <c r="BC339" s="262"/>
      <c r="BD339" s="262"/>
      <c r="BE339" s="262"/>
      <c r="BF339" s="262"/>
      <c r="BG339" s="262"/>
      <c r="BH339" s="262"/>
      <c r="BI339" s="262"/>
      <c r="BJ339" s="262"/>
      <c r="BK339" s="262"/>
    </row>
    <row r="340" spans="1:63" ht="12.75" x14ac:dyDescent="0.2">
      <c r="A340" s="263"/>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262"/>
      <c r="AE340" s="262"/>
      <c r="AF340" s="262"/>
      <c r="AG340" s="262"/>
      <c r="AH340" s="262"/>
      <c r="AI340" s="262"/>
      <c r="AJ340" s="262"/>
      <c r="AK340" s="262"/>
      <c r="AL340" s="262"/>
      <c r="AM340" s="262"/>
      <c r="AN340" s="262"/>
      <c r="AO340" s="262"/>
      <c r="AP340" s="262"/>
      <c r="AQ340" s="262"/>
      <c r="AR340" s="262"/>
      <c r="AS340" s="262"/>
      <c r="AT340" s="262"/>
      <c r="AU340" s="262"/>
      <c r="AV340" s="262"/>
      <c r="AW340" s="262"/>
      <c r="AX340" s="262"/>
      <c r="AY340" s="262"/>
      <c r="AZ340" s="262"/>
      <c r="BA340" s="262"/>
      <c r="BB340" s="262"/>
      <c r="BC340" s="262"/>
      <c r="BD340" s="262"/>
      <c r="BE340" s="262"/>
      <c r="BF340" s="262"/>
      <c r="BG340" s="262"/>
      <c r="BH340" s="262"/>
      <c r="BI340" s="262"/>
      <c r="BJ340" s="262"/>
      <c r="BK340" s="262"/>
    </row>
    <row r="341" spans="1:63" ht="12.75" x14ac:dyDescent="0.2">
      <c r="A341" s="263"/>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262"/>
      <c r="AF341" s="262"/>
      <c r="AG341" s="262"/>
      <c r="AH341" s="262"/>
      <c r="AI341" s="262"/>
      <c r="AJ341" s="262"/>
      <c r="AK341" s="262"/>
      <c r="AL341" s="262"/>
      <c r="AM341" s="262"/>
      <c r="AN341" s="262"/>
      <c r="AO341" s="262"/>
      <c r="AP341" s="262"/>
      <c r="AQ341" s="262"/>
      <c r="AR341" s="262"/>
      <c r="AS341" s="262"/>
      <c r="AT341" s="262"/>
      <c r="AU341" s="262"/>
      <c r="AV341" s="262"/>
      <c r="AW341" s="262"/>
      <c r="AX341" s="262"/>
      <c r="AY341" s="262"/>
      <c r="AZ341" s="262"/>
      <c r="BA341" s="262"/>
      <c r="BB341" s="262"/>
      <c r="BC341" s="262"/>
      <c r="BD341" s="262"/>
      <c r="BE341" s="262"/>
      <c r="BF341" s="262"/>
      <c r="BG341" s="262"/>
      <c r="BH341" s="262"/>
      <c r="BI341" s="262"/>
      <c r="BJ341" s="262"/>
      <c r="BK341" s="262"/>
    </row>
    <row r="342" spans="1:63" ht="12.75" x14ac:dyDescent="0.2">
      <c r="A342" s="263"/>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c r="AA342" s="262"/>
      <c r="AB342" s="262"/>
      <c r="AC342" s="262"/>
      <c r="AD342" s="262"/>
      <c r="AE342" s="262"/>
      <c r="AF342" s="262"/>
      <c r="AG342" s="262"/>
      <c r="AH342" s="262"/>
      <c r="AI342" s="262"/>
      <c r="AJ342" s="262"/>
      <c r="AK342" s="262"/>
      <c r="AL342" s="262"/>
      <c r="AM342" s="262"/>
      <c r="AN342" s="262"/>
      <c r="AO342" s="262"/>
      <c r="AP342" s="262"/>
      <c r="AQ342" s="262"/>
      <c r="AR342" s="262"/>
      <c r="AS342" s="262"/>
      <c r="AT342" s="262"/>
      <c r="AU342" s="262"/>
      <c r="AV342" s="262"/>
      <c r="AW342" s="262"/>
      <c r="AX342" s="262"/>
      <c r="AY342" s="262"/>
      <c r="AZ342" s="262"/>
      <c r="BA342" s="262"/>
      <c r="BB342" s="262"/>
      <c r="BC342" s="262"/>
      <c r="BD342" s="262"/>
      <c r="BE342" s="262"/>
      <c r="BF342" s="262"/>
      <c r="BG342" s="262"/>
      <c r="BH342" s="262"/>
      <c r="BI342" s="262"/>
      <c r="BJ342" s="262"/>
      <c r="BK342" s="262"/>
    </row>
    <row r="343" spans="1:63" ht="12.75" x14ac:dyDescent="0.2">
      <c r="A343" s="263"/>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262"/>
      <c r="AF343" s="262"/>
      <c r="AG343" s="262"/>
      <c r="AH343" s="262"/>
      <c r="AI343" s="262"/>
      <c r="AJ343" s="262"/>
      <c r="AK343" s="262"/>
      <c r="AL343" s="262"/>
      <c r="AM343" s="262"/>
      <c r="AN343" s="262"/>
      <c r="AO343" s="262"/>
      <c r="AP343" s="262"/>
      <c r="AQ343" s="262"/>
      <c r="AR343" s="262"/>
      <c r="AS343" s="262"/>
      <c r="AT343" s="262"/>
      <c r="AU343" s="262"/>
      <c r="AV343" s="262"/>
      <c r="AW343" s="262"/>
      <c r="AX343" s="262"/>
      <c r="AY343" s="262"/>
      <c r="AZ343" s="262"/>
      <c r="BA343" s="262"/>
      <c r="BB343" s="262"/>
      <c r="BC343" s="262"/>
      <c r="BD343" s="262"/>
      <c r="BE343" s="262"/>
      <c r="BF343" s="262"/>
      <c r="BG343" s="262"/>
      <c r="BH343" s="262"/>
      <c r="BI343" s="262"/>
      <c r="BJ343" s="262"/>
      <c r="BK343" s="262"/>
    </row>
    <row r="344" spans="1:63" ht="12.75" x14ac:dyDescent="0.2">
      <c r="A344" s="263"/>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262"/>
      <c r="AE344" s="262"/>
      <c r="AF344" s="262"/>
      <c r="AG344" s="262"/>
      <c r="AH344" s="262"/>
      <c r="AI344" s="262"/>
      <c r="AJ344" s="262"/>
      <c r="AK344" s="262"/>
      <c r="AL344" s="262"/>
      <c r="AM344" s="262"/>
      <c r="AN344" s="262"/>
      <c r="AO344" s="262"/>
      <c r="AP344" s="262"/>
      <c r="AQ344" s="262"/>
      <c r="AR344" s="262"/>
      <c r="AS344" s="262"/>
      <c r="AT344" s="262"/>
      <c r="AU344" s="262"/>
      <c r="AV344" s="262"/>
      <c r="AW344" s="262"/>
      <c r="AX344" s="262"/>
      <c r="AY344" s="262"/>
      <c r="AZ344" s="262"/>
      <c r="BA344" s="262"/>
      <c r="BB344" s="262"/>
      <c r="BC344" s="262"/>
      <c r="BD344" s="262"/>
      <c r="BE344" s="262"/>
      <c r="BF344" s="262"/>
      <c r="BG344" s="262"/>
      <c r="BH344" s="262"/>
      <c r="BI344" s="262"/>
      <c r="BJ344" s="262"/>
      <c r="BK344" s="262"/>
    </row>
    <row r="345" spans="1:63" ht="12.75" x14ac:dyDescent="0.2">
      <c r="A345" s="263"/>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c r="AA345" s="262"/>
      <c r="AB345" s="262"/>
      <c r="AC345" s="262"/>
      <c r="AD345" s="262"/>
      <c r="AE345" s="262"/>
      <c r="AF345" s="262"/>
      <c r="AG345" s="262"/>
      <c r="AH345" s="262"/>
      <c r="AI345" s="262"/>
      <c r="AJ345" s="262"/>
      <c r="AK345" s="262"/>
      <c r="AL345" s="262"/>
      <c r="AM345" s="262"/>
      <c r="AN345" s="262"/>
      <c r="AO345" s="262"/>
      <c r="AP345" s="262"/>
      <c r="AQ345" s="262"/>
      <c r="AR345" s="262"/>
      <c r="AS345" s="262"/>
      <c r="AT345" s="262"/>
      <c r="AU345" s="262"/>
      <c r="AV345" s="262"/>
      <c r="AW345" s="262"/>
      <c r="AX345" s="262"/>
      <c r="AY345" s="262"/>
      <c r="AZ345" s="262"/>
      <c r="BA345" s="262"/>
      <c r="BB345" s="262"/>
      <c r="BC345" s="262"/>
      <c r="BD345" s="262"/>
      <c r="BE345" s="262"/>
      <c r="BF345" s="262"/>
      <c r="BG345" s="262"/>
      <c r="BH345" s="262"/>
      <c r="BI345" s="262"/>
      <c r="BJ345" s="262"/>
      <c r="BK345" s="262"/>
    </row>
    <row r="346" spans="1:63" ht="12.75" x14ac:dyDescent="0.2">
      <c r="A346" s="263"/>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262"/>
      <c r="AE346" s="262"/>
      <c r="AF346" s="262"/>
      <c r="AG346" s="262"/>
      <c r="AH346" s="262"/>
      <c r="AI346" s="262"/>
      <c r="AJ346" s="262"/>
      <c r="AK346" s="262"/>
      <c r="AL346" s="262"/>
      <c r="AM346" s="262"/>
      <c r="AN346" s="262"/>
      <c r="AO346" s="262"/>
      <c r="AP346" s="262"/>
      <c r="AQ346" s="262"/>
      <c r="AR346" s="262"/>
      <c r="AS346" s="262"/>
      <c r="AT346" s="262"/>
      <c r="AU346" s="262"/>
      <c r="AV346" s="262"/>
      <c r="AW346" s="262"/>
      <c r="AX346" s="262"/>
      <c r="AY346" s="262"/>
      <c r="AZ346" s="262"/>
      <c r="BA346" s="262"/>
      <c r="BB346" s="262"/>
      <c r="BC346" s="262"/>
      <c r="BD346" s="262"/>
      <c r="BE346" s="262"/>
      <c r="BF346" s="262"/>
      <c r="BG346" s="262"/>
      <c r="BH346" s="262"/>
      <c r="BI346" s="262"/>
      <c r="BJ346" s="262"/>
      <c r="BK346" s="262"/>
    </row>
    <row r="347" spans="1:63" ht="12.75" x14ac:dyDescent="0.2">
      <c r="A347" s="263"/>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c r="AA347" s="262"/>
      <c r="AB347" s="262"/>
      <c r="AC347" s="262"/>
      <c r="AD347" s="262"/>
      <c r="AE347" s="262"/>
      <c r="AF347" s="262"/>
      <c r="AG347" s="262"/>
      <c r="AH347" s="262"/>
      <c r="AI347" s="262"/>
      <c r="AJ347" s="262"/>
      <c r="AK347" s="262"/>
      <c r="AL347" s="262"/>
      <c r="AM347" s="262"/>
      <c r="AN347" s="262"/>
      <c r="AO347" s="262"/>
      <c r="AP347" s="262"/>
      <c r="AQ347" s="262"/>
      <c r="AR347" s="262"/>
      <c r="AS347" s="262"/>
      <c r="AT347" s="262"/>
      <c r="AU347" s="262"/>
      <c r="AV347" s="262"/>
      <c r="AW347" s="262"/>
      <c r="AX347" s="262"/>
      <c r="AY347" s="262"/>
      <c r="AZ347" s="262"/>
      <c r="BA347" s="262"/>
      <c r="BB347" s="262"/>
      <c r="BC347" s="262"/>
      <c r="BD347" s="262"/>
      <c r="BE347" s="262"/>
      <c r="BF347" s="262"/>
      <c r="BG347" s="262"/>
      <c r="BH347" s="262"/>
      <c r="BI347" s="262"/>
      <c r="BJ347" s="262"/>
      <c r="BK347" s="262"/>
    </row>
    <row r="348" spans="1:63" ht="12.75" x14ac:dyDescent="0.2">
      <c r="A348" s="263"/>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2"/>
      <c r="AL348" s="262"/>
      <c r="AM348" s="262"/>
      <c r="AN348" s="262"/>
      <c r="AO348" s="262"/>
      <c r="AP348" s="262"/>
      <c r="AQ348" s="262"/>
      <c r="AR348" s="262"/>
      <c r="AS348" s="262"/>
      <c r="AT348" s="262"/>
      <c r="AU348" s="262"/>
      <c r="AV348" s="262"/>
      <c r="AW348" s="262"/>
      <c r="AX348" s="262"/>
      <c r="AY348" s="262"/>
      <c r="AZ348" s="262"/>
      <c r="BA348" s="262"/>
      <c r="BB348" s="262"/>
      <c r="BC348" s="262"/>
      <c r="BD348" s="262"/>
      <c r="BE348" s="262"/>
      <c r="BF348" s="262"/>
      <c r="BG348" s="262"/>
      <c r="BH348" s="262"/>
      <c r="BI348" s="262"/>
      <c r="BJ348" s="262"/>
      <c r="BK348" s="262"/>
    </row>
    <row r="349" spans="1:63" ht="12.75" x14ac:dyDescent="0.2">
      <c r="A349" s="263"/>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2"/>
      <c r="AL349" s="262"/>
      <c r="AM349" s="262"/>
      <c r="AN349" s="262"/>
      <c r="AO349" s="262"/>
      <c r="AP349" s="262"/>
      <c r="AQ349" s="262"/>
      <c r="AR349" s="262"/>
      <c r="AS349" s="262"/>
      <c r="AT349" s="262"/>
      <c r="AU349" s="262"/>
      <c r="AV349" s="262"/>
      <c r="AW349" s="262"/>
      <c r="AX349" s="262"/>
      <c r="AY349" s="262"/>
      <c r="AZ349" s="262"/>
      <c r="BA349" s="262"/>
      <c r="BB349" s="262"/>
      <c r="BC349" s="262"/>
      <c r="BD349" s="262"/>
      <c r="BE349" s="262"/>
      <c r="BF349" s="262"/>
      <c r="BG349" s="262"/>
      <c r="BH349" s="262"/>
      <c r="BI349" s="262"/>
      <c r="BJ349" s="262"/>
      <c r="BK349" s="262"/>
    </row>
    <row r="350" spans="1:63" ht="12.75" x14ac:dyDescent="0.2">
      <c r="A350" s="263"/>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262"/>
      <c r="AE350" s="262"/>
      <c r="AF350" s="262"/>
      <c r="AG350" s="262"/>
      <c r="AH350" s="262"/>
      <c r="AI350" s="262"/>
      <c r="AJ350" s="262"/>
      <c r="AK350" s="262"/>
      <c r="AL350" s="262"/>
      <c r="AM350" s="262"/>
      <c r="AN350" s="262"/>
      <c r="AO350" s="262"/>
      <c r="AP350" s="262"/>
      <c r="AQ350" s="262"/>
      <c r="AR350" s="262"/>
      <c r="AS350" s="262"/>
      <c r="AT350" s="262"/>
      <c r="AU350" s="262"/>
      <c r="AV350" s="262"/>
      <c r="AW350" s="262"/>
      <c r="AX350" s="262"/>
      <c r="AY350" s="262"/>
      <c r="AZ350" s="262"/>
      <c r="BA350" s="262"/>
      <c r="BB350" s="262"/>
      <c r="BC350" s="262"/>
      <c r="BD350" s="262"/>
      <c r="BE350" s="262"/>
      <c r="BF350" s="262"/>
      <c r="BG350" s="262"/>
      <c r="BH350" s="262"/>
      <c r="BI350" s="262"/>
      <c r="BJ350" s="262"/>
      <c r="BK350" s="262"/>
    </row>
    <row r="351" spans="1:63" ht="12.75" x14ac:dyDescent="0.2">
      <c r="A351" s="263"/>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262"/>
      <c r="AE351" s="262"/>
      <c r="AF351" s="262"/>
      <c r="AG351" s="262"/>
      <c r="AH351" s="262"/>
      <c r="AI351" s="262"/>
      <c r="AJ351" s="262"/>
      <c r="AK351" s="262"/>
      <c r="AL351" s="262"/>
      <c r="AM351" s="262"/>
      <c r="AN351" s="262"/>
      <c r="AO351" s="262"/>
      <c r="AP351" s="262"/>
      <c r="AQ351" s="262"/>
      <c r="AR351" s="262"/>
      <c r="AS351" s="262"/>
      <c r="AT351" s="262"/>
      <c r="AU351" s="262"/>
      <c r="AV351" s="262"/>
      <c r="AW351" s="262"/>
      <c r="AX351" s="262"/>
      <c r="AY351" s="262"/>
      <c r="AZ351" s="262"/>
      <c r="BA351" s="262"/>
      <c r="BB351" s="262"/>
      <c r="BC351" s="262"/>
      <c r="BD351" s="262"/>
      <c r="BE351" s="262"/>
      <c r="BF351" s="262"/>
      <c r="BG351" s="262"/>
      <c r="BH351" s="262"/>
      <c r="BI351" s="262"/>
      <c r="BJ351" s="262"/>
      <c r="BK351" s="262"/>
    </row>
    <row r="352" spans="1:63" ht="12.75" x14ac:dyDescent="0.2">
      <c r="A352" s="263"/>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262"/>
      <c r="AE352" s="262"/>
      <c r="AF352" s="262"/>
      <c r="AG352" s="262"/>
      <c r="AH352" s="262"/>
      <c r="AI352" s="262"/>
      <c r="AJ352" s="262"/>
      <c r="AK352" s="262"/>
      <c r="AL352" s="262"/>
      <c r="AM352" s="262"/>
      <c r="AN352" s="262"/>
      <c r="AO352" s="262"/>
      <c r="AP352" s="262"/>
      <c r="AQ352" s="262"/>
      <c r="AR352" s="262"/>
      <c r="AS352" s="262"/>
      <c r="AT352" s="262"/>
      <c r="AU352" s="262"/>
      <c r="AV352" s="262"/>
      <c r="AW352" s="262"/>
      <c r="AX352" s="262"/>
      <c r="AY352" s="262"/>
      <c r="AZ352" s="262"/>
      <c r="BA352" s="262"/>
      <c r="BB352" s="262"/>
      <c r="BC352" s="262"/>
      <c r="BD352" s="262"/>
      <c r="BE352" s="262"/>
      <c r="BF352" s="262"/>
      <c r="BG352" s="262"/>
      <c r="BH352" s="262"/>
      <c r="BI352" s="262"/>
      <c r="BJ352" s="262"/>
      <c r="BK352" s="262"/>
    </row>
    <row r="353" spans="1:63" ht="12.75" x14ac:dyDescent="0.2">
      <c r="A353" s="263"/>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c r="AY353" s="262"/>
      <c r="AZ353" s="262"/>
      <c r="BA353" s="262"/>
      <c r="BB353" s="262"/>
      <c r="BC353" s="262"/>
      <c r="BD353" s="262"/>
      <c r="BE353" s="262"/>
      <c r="BF353" s="262"/>
      <c r="BG353" s="262"/>
      <c r="BH353" s="262"/>
      <c r="BI353" s="262"/>
      <c r="BJ353" s="262"/>
      <c r="BK353" s="262"/>
    </row>
    <row r="354" spans="1:63" ht="12.75" x14ac:dyDescent="0.2">
      <c r="A354" s="263"/>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262"/>
      <c r="AE354" s="262"/>
      <c r="AF354" s="262"/>
      <c r="AG354" s="262"/>
      <c r="AH354" s="262"/>
      <c r="AI354" s="262"/>
      <c r="AJ354" s="262"/>
      <c r="AK354" s="262"/>
      <c r="AL354" s="262"/>
      <c r="AM354" s="262"/>
      <c r="AN354" s="262"/>
      <c r="AO354" s="262"/>
      <c r="AP354" s="262"/>
      <c r="AQ354" s="262"/>
      <c r="AR354" s="262"/>
      <c r="AS354" s="262"/>
      <c r="AT354" s="262"/>
      <c r="AU354" s="262"/>
      <c r="AV354" s="262"/>
      <c r="AW354" s="262"/>
      <c r="AX354" s="262"/>
      <c r="AY354" s="262"/>
      <c r="AZ354" s="262"/>
      <c r="BA354" s="262"/>
      <c r="BB354" s="262"/>
      <c r="BC354" s="262"/>
      <c r="BD354" s="262"/>
      <c r="BE354" s="262"/>
      <c r="BF354" s="262"/>
      <c r="BG354" s="262"/>
      <c r="BH354" s="262"/>
      <c r="BI354" s="262"/>
      <c r="BJ354" s="262"/>
      <c r="BK354" s="262"/>
    </row>
    <row r="355" spans="1:63" ht="12.75" x14ac:dyDescent="0.2">
      <c r="A355" s="263"/>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262"/>
      <c r="AE355" s="262"/>
      <c r="AF355" s="262"/>
      <c r="AG355" s="262"/>
      <c r="AH355" s="262"/>
      <c r="AI355" s="262"/>
      <c r="AJ355" s="262"/>
      <c r="AK355" s="262"/>
      <c r="AL355" s="262"/>
      <c r="AM355" s="262"/>
      <c r="AN355" s="262"/>
      <c r="AO355" s="262"/>
      <c r="AP355" s="262"/>
      <c r="AQ355" s="262"/>
      <c r="AR355" s="262"/>
      <c r="AS355" s="262"/>
      <c r="AT355" s="262"/>
      <c r="AU355" s="262"/>
      <c r="AV355" s="262"/>
      <c r="AW355" s="262"/>
      <c r="AX355" s="262"/>
      <c r="AY355" s="262"/>
      <c r="AZ355" s="262"/>
      <c r="BA355" s="262"/>
      <c r="BB355" s="262"/>
      <c r="BC355" s="262"/>
      <c r="BD355" s="262"/>
      <c r="BE355" s="262"/>
      <c r="BF355" s="262"/>
      <c r="BG355" s="262"/>
      <c r="BH355" s="262"/>
      <c r="BI355" s="262"/>
      <c r="BJ355" s="262"/>
      <c r="BK355" s="262"/>
    </row>
    <row r="356" spans="1:63" ht="12.75" x14ac:dyDescent="0.2">
      <c r="A356" s="263"/>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262"/>
      <c r="AE356" s="262"/>
      <c r="AF356" s="262"/>
      <c r="AG356" s="262"/>
      <c r="AH356" s="262"/>
      <c r="AI356" s="262"/>
      <c r="AJ356" s="262"/>
      <c r="AK356" s="262"/>
      <c r="AL356" s="262"/>
      <c r="AM356" s="262"/>
      <c r="AN356" s="262"/>
      <c r="AO356" s="262"/>
      <c r="AP356" s="262"/>
      <c r="AQ356" s="262"/>
      <c r="AR356" s="262"/>
      <c r="AS356" s="262"/>
      <c r="AT356" s="262"/>
      <c r="AU356" s="262"/>
      <c r="AV356" s="262"/>
      <c r="AW356" s="262"/>
      <c r="AX356" s="262"/>
      <c r="AY356" s="262"/>
      <c r="AZ356" s="262"/>
      <c r="BA356" s="262"/>
      <c r="BB356" s="262"/>
      <c r="BC356" s="262"/>
      <c r="BD356" s="262"/>
      <c r="BE356" s="262"/>
      <c r="BF356" s="262"/>
      <c r="BG356" s="262"/>
      <c r="BH356" s="262"/>
      <c r="BI356" s="262"/>
      <c r="BJ356" s="262"/>
      <c r="BK356" s="262"/>
    </row>
    <row r="357" spans="1:63" ht="12.75" x14ac:dyDescent="0.2">
      <c r="A357" s="263"/>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262"/>
      <c r="AE357" s="262"/>
      <c r="AF357" s="262"/>
      <c r="AG357" s="262"/>
      <c r="AH357" s="262"/>
      <c r="AI357" s="262"/>
      <c r="AJ357" s="262"/>
      <c r="AK357" s="262"/>
      <c r="AL357" s="262"/>
      <c r="AM357" s="262"/>
      <c r="AN357" s="262"/>
      <c r="AO357" s="262"/>
      <c r="AP357" s="262"/>
      <c r="AQ357" s="262"/>
      <c r="AR357" s="262"/>
      <c r="AS357" s="262"/>
      <c r="AT357" s="262"/>
      <c r="AU357" s="262"/>
      <c r="AV357" s="262"/>
      <c r="AW357" s="262"/>
      <c r="AX357" s="262"/>
      <c r="AY357" s="262"/>
      <c r="AZ357" s="262"/>
      <c r="BA357" s="262"/>
      <c r="BB357" s="262"/>
      <c r="BC357" s="262"/>
      <c r="BD357" s="262"/>
      <c r="BE357" s="262"/>
      <c r="BF357" s="262"/>
      <c r="BG357" s="262"/>
      <c r="BH357" s="262"/>
      <c r="BI357" s="262"/>
      <c r="BJ357" s="262"/>
      <c r="BK357" s="262"/>
    </row>
    <row r="358" spans="1:63" ht="12.75" x14ac:dyDescent="0.2">
      <c r="A358" s="263"/>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262"/>
      <c r="AF358" s="262"/>
      <c r="AG358" s="262"/>
      <c r="AH358" s="262"/>
      <c r="AI358" s="262"/>
      <c r="AJ358" s="262"/>
      <c r="AK358" s="262"/>
      <c r="AL358" s="262"/>
      <c r="AM358" s="262"/>
      <c r="AN358" s="262"/>
      <c r="AO358" s="262"/>
      <c r="AP358" s="262"/>
      <c r="AQ358" s="262"/>
      <c r="AR358" s="262"/>
      <c r="AS358" s="262"/>
      <c r="AT358" s="262"/>
      <c r="AU358" s="262"/>
      <c r="AV358" s="262"/>
      <c r="AW358" s="262"/>
      <c r="AX358" s="262"/>
      <c r="AY358" s="262"/>
      <c r="AZ358" s="262"/>
      <c r="BA358" s="262"/>
      <c r="BB358" s="262"/>
      <c r="BC358" s="262"/>
      <c r="BD358" s="262"/>
      <c r="BE358" s="262"/>
      <c r="BF358" s="262"/>
      <c r="BG358" s="262"/>
      <c r="BH358" s="262"/>
      <c r="BI358" s="262"/>
      <c r="BJ358" s="262"/>
      <c r="BK358" s="262"/>
    </row>
    <row r="359" spans="1:63" ht="12.75" x14ac:dyDescent="0.2">
      <c r="A359" s="263"/>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262"/>
      <c r="BC359" s="262"/>
      <c r="BD359" s="262"/>
      <c r="BE359" s="262"/>
      <c r="BF359" s="262"/>
      <c r="BG359" s="262"/>
      <c r="BH359" s="262"/>
      <c r="BI359" s="262"/>
      <c r="BJ359" s="262"/>
      <c r="BK359" s="262"/>
    </row>
    <row r="360" spans="1:63" ht="12.75" x14ac:dyDescent="0.2">
      <c r="A360" s="263"/>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262"/>
      <c r="AX360" s="262"/>
      <c r="AY360" s="262"/>
      <c r="AZ360" s="262"/>
      <c r="BA360" s="262"/>
      <c r="BB360" s="262"/>
      <c r="BC360" s="262"/>
      <c r="BD360" s="262"/>
      <c r="BE360" s="262"/>
      <c r="BF360" s="262"/>
      <c r="BG360" s="262"/>
      <c r="BH360" s="262"/>
      <c r="BI360" s="262"/>
      <c r="BJ360" s="262"/>
      <c r="BK360" s="262"/>
    </row>
    <row r="361" spans="1:63" ht="12.75" x14ac:dyDescent="0.2">
      <c r="A361" s="263"/>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262"/>
      <c r="AE361" s="262"/>
      <c r="AF361" s="262"/>
      <c r="AG361" s="262"/>
      <c r="AH361" s="262"/>
      <c r="AI361" s="262"/>
      <c r="AJ361" s="262"/>
      <c r="AK361" s="262"/>
      <c r="AL361" s="262"/>
      <c r="AM361" s="262"/>
      <c r="AN361" s="262"/>
      <c r="AO361" s="262"/>
      <c r="AP361" s="262"/>
      <c r="AQ361" s="262"/>
      <c r="AR361" s="262"/>
      <c r="AS361" s="262"/>
      <c r="AT361" s="262"/>
      <c r="AU361" s="262"/>
      <c r="AV361" s="262"/>
      <c r="AW361" s="262"/>
      <c r="AX361" s="262"/>
      <c r="AY361" s="262"/>
      <c r="AZ361" s="262"/>
      <c r="BA361" s="262"/>
      <c r="BB361" s="262"/>
      <c r="BC361" s="262"/>
      <c r="BD361" s="262"/>
      <c r="BE361" s="262"/>
      <c r="BF361" s="262"/>
      <c r="BG361" s="262"/>
      <c r="BH361" s="262"/>
      <c r="BI361" s="262"/>
      <c r="BJ361" s="262"/>
      <c r="BK361" s="262"/>
    </row>
    <row r="362" spans="1:63" ht="12.75" x14ac:dyDescent="0.2">
      <c r="A362" s="263"/>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262"/>
      <c r="AE362" s="262"/>
      <c r="AF362" s="262"/>
      <c r="AG362" s="262"/>
      <c r="AH362" s="262"/>
      <c r="AI362" s="262"/>
      <c r="AJ362" s="262"/>
      <c r="AK362" s="262"/>
      <c r="AL362" s="262"/>
      <c r="AM362" s="262"/>
      <c r="AN362" s="262"/>
      <c r="AO362" s="262"/>
      <c r="AP362" s="262"/>
      <c r="AQ362" s="262"/>
      <c r="AR362" s="262"/>
      <c r="AS362" s="262"/>
      <c r="AT362" s="262"/>
      <c r="AU362" s="262"/>
      <c r="AV362" s="262"/>
      <c r="AW362" s="262"/>
      <c r="AX362" s="262"/>
      <c r="AY362" s="262"/>
      <c r="AZ362" s="262"/>
      <c r="BA362" s="262"/>
      <c r="BB362" s="262"/>
      <c r="BC362" s="262"/>
      <c r="BD362" s="262"/>
      <c r="BE362" s="262"/>
      <c r="BF362" s="262"/>
      <c r="BG362" s="262"/>
      <c r="BH362" s="262"/>
      <c r="BI362" s="262"/>
      <c r="BJ362" s="262"/>
      <c r="BK362" s="262"/>
    </row>
    <row r="363" spans="1:63" ht="12.75" x14ac:dyDescent="0.2">
      <c r="A363" s="263"/>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262"/>
      <c r="AE363" s="262"/>
      <c r="AF363" s="262"/>
      <c r="AG363" s="262"/>
      <c r="AH363" s="262"/>
      <c r="AI363" s="262"/>
      <c r="AJ363" s="262"/>
      <c r="AK363" s="262"/>
      <c r="AL363" s="262"/>
      <c r="AM363" s="262"/>
      <c r="AN363" s="262"/>
      <c r="AO363" s="262"/>
      <c r="AP363" s="262"/>
      <c r="AQ363" s="262"/>
      <c r="AR363" s="262"/>
      <c r="AS363" s="262"/>
      <c r="AT363" s="262"/>
      <c r="AU363" s="262"/>
      <c r="AV363" s="262"/>
      <c r="AW363" s="262"/>
      <c r="AX363" s="262"/>
      <c r="AY363" s="262"/>
      <c r="AZ363" s="262"/>
      <c r="BA363" s="262"/>
      <c r="BB363" s="262"/>
      <c r="BC363" s="262"/>
      <c r="BD363" s="262"/>
      <c r="BE363" s="262"/>
      <c r="BF363" s="262"/>
      <c r="BG363" s="262"/>
      <c r="BH363" s="262"/>
      <c r="BI363" s="262"/>
      <c r="BJ363" s="262"/>
      <c r="BK363" s="262"/>
    </row>
    <row r="364" spans="1:63" ht="12.75" x14ac:dyDescent="0.2">
      <c r="A364" s="263"/>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262"/>
      <c r="AE364" s="262"/>
      <c r="AF364" s="262"/>
      <c r="AG364" s="262"/>
      <c r="AH364" s="262"/>
      <c r="AI364" s="262"/>
      <c r="AJ364" s="262"/>
      <c r="AK364" s="262"/>
      <c r="AL364" s="262"/>
      <c r="AM364" s="262"/>
      <c r="AN364" s="262"/>
      <c r="AO364" s="262"/>
      <c r="AP364" s="262"/>
      <c r="AQ364" s="262"/>
      <c r="AR364" s="262"/>
      <c r="AS364" s="262"/>
      <c r="AT364" s="262"/>
      <c r="AU364" s="262"/>
      <c r="AV364" s="262"/>
      <c r="AW364" s="262"/>
      <c r="AX364" s="262"/>
      <c r="AY364" s="262"/>
      <c r="AZ364" s="262"/>
      <c r="BA364" s="262"/>
      <c r="BB364" s="262"/>
      <c r="BC364" s="262"/>
      <c r="BD364" s="262"/>
      <c r="BE364" s="262"/>
      <c r="BF364" s="262"/>
      <c r="BG364" s="262"/>
      <c r="BH364" s="262"/>
      <c r="BI364" s="262"/>
      <c r="BJ364" s="262"/>
      <c r="BK364" s="262"/>
    </row>
    <row r="365" spans="1:63" ht="12.75" x14ac:dyDescent="0.2">
      <c r="A365" s="263"/>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262"/>
      <c r="AE365" s="262"/>
      <c r="AF365" s="262"/>
      <c r="AG365" s="262"/>
      <c r="AH365" s="262"/>
      <c r="AI365" s="262"/>
      <c r="AJ365" s="262"/>
      <c r="AK365" s="262"/>
      <c r="AL365" s="262"/>
      <c r="AM365" s="262"/>
      <c r="AN365" s="262"/>
      <c r="AO365" s="262"/>
      <c r="AP365" s="262"/>
      <c r="AQ365" s="262"/>
      <c r="AR365" s="262"/>
      <c r="AS365" s="262"/>
      <c r="AT365" s="262"/>
      <c r="AU365" s="262"/>
      <c r="AV365" s="262"/>
      <c r="AW365" s="262"/>
      <c r="AX365" s="262"/>
      <c r="AY365" s="262"/>
      <c r="AZ365" s="262"/>
      <c r="BA365" s="262"/>
      <c r="BB365" s="262"/>
      <c r="BC365" s="262"/>
      <c r="BD365" s="262"/>
      <c r="BE365" s="262"/>
      <c r="BF365" s="262"/>
      <c r="BG365" s="262"/>
      <c r="BH365" s="262"/>
      <c r="BI365" s="262"/>
      <c r="BJ365" s="262"/>
      <c r="BK365" s="262"/>
    </row>
    <row r="366" spans="1:63" ht="12.75" x14ac:dyDescent="0.2">
      <c r="A366" s="263"/>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262"/>
      <c r="AE366" s="262"/>
      <c r="AF366" s="262"/>
      <c r="AG366" s="262"/>
      <c r="AH366" s="262"/>
      <c r="AI366" s="262"/>
      <c r="AJ366" s="262"/>
      <c r="AK366" s="262"/>
      <c r="AL366" s="262"/>
      <c r="AM366" s="262"/>
      <c r="AN366" s="262"/>
      <c r="AO366" s="262"/>
      <c r="AP366" s="262"/>
      <c r="AQ366" s="262"/>
      <c r="AR366" s="262"/>
      <c r="AS366" s="262"/>
      <c r="AT366" s="262"/>
      <c r="AU366" s="262"/>
      <c r="AV366" s="262"/>
      <c r="AW366" s="262"/>
      <c r="AX366" s="262"/>
      <c r="AY366" s="262"/>
      <c r="AZ366" s="262"/>
      <c r="BA366" s="262"/>
      <c r="BB366" s="262"/>
      <c r="BC366" s="262"/>
      <c r="BD366" s="262"/>
      <c r="BE366" s="262"/>
      <c r="BF366" s="262"/>
      <c r="BG366" s="262"/>
      <c r="BH366" s="262"/>
      <c r="BI366" s="262"/>
      <c r="BJ366" s="262"/>
      <c r="BK366" s="262"/>
    </row>
    <row r="367" spans="1:63" ht="12.75" x14ac:dyDescent="0.2">
      <c r="A367" s="263"/>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262"/>
      <c r="AF367" s="262"/>
      <c r="AG367" s="262"/>
      <c r="AH367" s="262"/>
      <c r="AI367" s="262"/>
      <c r="AJ367" s="262"/>
      <c r="AK367" s="262"/>
      <c r="AL367" s="262"/>
      <c r="AM367" s="262"/>
      <c r="AN367" s="262"/>
      <c r="AO367" s="262"/>
      <c r="AP367" s="262"/>
      <c r="AQ367" s="262"/>
      <c r="AR367" s="262"/>
      <c r="AS367" s="262"/>
      <c r="AT367" s="262"/>
      <c r="AU367" s="262"/>
      <c r="AV367" s="262"/>
      <c r="AW367" s="262"/>
      <c r="AX367" s="262"/>
      <c r="AY367" s="262"/>
      <c r="AZ367" s="262"/>
      <c r="BA367" s="262"/>
      <c r="BB367" s="262"/>
      <c r="BC367" s="262"/>
      <c r="BD367" s="262"/>
      <c r="BE367" s="262"/>
      <c r="BF367" s="262"/>
      <c r="BG367" s="262"/>
      <c r="BH367" s="262"/>
      <c r="BI367" s="262"/>
      <c r="BJ367" s="262"/>
      <c r="BK367" s="262"/>
    </row>
    <row r="368" spans="1:63" ht="12.75" x14ac:dyDescent="0.2">
      <c r="A368" s="263"/>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262"/>
      <c r="AE368" s="262"/>
      <c r="AF368" s="262"/>
      <c r="AG368" s="262"/>
      <c r="AH368" s="262"/>
      <c r="AI368" s="262"/>
      <c r="AJ368" s="262"/>
      <c r="AK368" s="262"/>
      <c r="AL368" s="262"/>
      <c r="AM368" s="262"/>
      <c r="AN368" s="262"/>
      <c r="AO368" s="262"/>
      <c r="AP368" s="262"/>
      <c r="AQ368" s="262"/>
      <c r="AR368" s="262"/>
      <c r="AS368" s="262"/>
      <c r="AT368" s="262"/>
      <c r="AU368" s="262"/>
      <c r="AV368" s="262"/>
      <c r="AW368" s="262"/>
      <c r="AX368" s="262"/>
      <c r="AY368" s="262"/>
      <c r="AZ368" s="262"/>
      <c r="BA368" s="262"/>
      <c r="BB368" s="262"/>
      <c r="BC368" s="262"/>
      <c r="BD368" s="262"/>
      <c r="BE368" s="262"/>
      <c r="BF368" s="262"/>
      <c r="BG368" s="262"/>
      <c r="BH368" s="262"/>
      <c r="BI368" s="262"/>
      <c r="BJ368" s="262"/>
      <c r="BK368" s="262"/>
    </row>
    <row r="369" spans="1:63" ht="12.75" x14ac:dyDescent="0.2">
      <c r="A369" s="263"/>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262"/>
      <c r="AE369" s="262"/>
      <c r="AF369" s="262"/>
      <c r="AG369" s="262"/>
      <c r="AH369" s="262"/>
      <c r="AI369" s="262"/>
      <c r="AJ369" s="262"/>
      <c r="AK369" s="262"/>
      <c r="AL369" s="262"/>
      <c r="AM369" s="262"/>
      <c r="AN369" s="262"/>
      <c r="AO369" s="262"/>
      <c r="AP369" s="262"/>
      <c r="AQ369" s="262"/>
      <c r="AR369" s="262"/>
      <c r="AS369" s="262"/>
      <c r="AT369" s="262"/>
      <c r="AU369" s="262"/>
      <c r="AV369" s="262"/>
      <c r="AW369" s="262"/>
      <c r="AX369" s="262"/>
      <c r="AY369" s="262"/>
      <c r="AZ369" s="262"/>
      <c r="BA369" s="262"/>
      <c r="BB369" s="262"/>
      <c r="BC369" s="262"/>
      <c r="BD369" s="262"/>
      <c r="BE369" s="262"/>
      <c r="BF369" s="262"/>
      <c r="BG369" s="262"/>
      <c r="BH369" s="262"/>
      <c r="BI369" s="262"/>
      <c r="BJ369" s="262"/>
      <c r="BK369" s="262"/>
    </row>
    <row r="370" spans="1:63" ht="12.75" x14ac:dyDescent="0.2">
      <c r="A370" s="263"/>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262"/>
      <c r="AE370" s="262"/>
      <c r="AF370" s="262"/>
      <c r="AG370" s="262"/>
      <c r="AH370" s="262"/>
      <c r="AI370" s="262"/>
      <c r="AJ370" s="262"/>
      <c r="AK370" s="262"/>
      <c r="AL370" s="262"/>
      <c r="AM370" s="262"/>
      <c r="AN370" s="262"/>
      <c r="AO370" s="262"/>
      <c r="AP370" s="262"/>
      <c r="AQ370" s="262"/>
      <c r="AR370" s="262"/>
      <c r="AS370" s="262"/>
      <c r="AT370" s="262"/>
      <c r="AU370" s="262"/>
      <c r="AV370" s="262"/>
      <c r="AW370" s="262"/>
      <c r="AX370" s="262"/>
      <c r="AY370" s="262"/>
      <c r="AZ370" s="262"/>
      <c r="BA370" s="262"/>
      <c r="BB370" s="262"/>
      <c r="BC370" s="262"/>
      <c r="BD370" s="262"/>
      <c r="BE370" s="262"/>
      <c r="BF370" s="262"/>
      <c r="BG370" s="262"/>
      <c r="BH370" s="262"/>
      <c r="BI370" s="262"/>
      <c r="BJ370" s="262"/>
      <c r="BK370" s="262"/>
    </row>
    <row r="371" spans="1:63" ht="12.75" x14ac:dyDescent="0.2">
      <c r="A371" s="263"/>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262"/>
      <c r="AE371" s="262"/>
      <c r="AF371" s="262"/>
      <c r="AG371" s="262"/>
      <c r="AH371" s="262"/>
      <c r="AI371" s="262"/>
      <c r="AJ371" s="262"/>
      <c r="AK371" s="262"/>
      <c r="AL371" s="262"/>
      <c r="AM371" s="262"/>
      <c r="AN371" s="262"/>
      <c r="AO371" s="262"/>
      <c r="AP371" s="262"/>
      <c r="AQ371" s="262"/>
      <c r="AR371" s="262"/>
      <c r="AS371" s="262"/>
      <c r="AT371" s="262"/>
      <c r="AU371" s="262"/>
      <c r="AV371" s="262"/>
      <c r="AW371" s="262"/>
      <c r="AX371" s="262"/>
      <c r="AY371" s="262"/>
      <c r="AZ371" s="262"/>
      <c r="BA371" s="262"/>
      <c r="BB371" s="262"/>
      <c r="BC371" s="262"/>
      <c r="BD371" s="262"/>
      <c r="BE371" s="262"/>
      <c r="BF371" s="262"/>
      <c r="BG371" s="262"/>
      <c r="BH371" s="262"/>
      <c r="BI371" s="262"/>
      <c r="BJ371" s="262"/>
      <c r="BK371" s="262"/>
    </row>
    <row r="372" spans="1:63" ht="12.75" x14ac:dyDescent="0.2">
      <c r="A372" s="263"/>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262"/>
      <c r="AE372" s="262"/>
      <c r="AF372" s="262"/>
      <c r="AG372" s="262"/>
      <c r="AH372" s="262"/>
      <c r="AI372" s="262"/>
      <c r="AJ372" s="262"/>
      <c r="AK372" s="262"/>
      <c r="AL372" s="262"/>
      <c r="AM372" s="262"/>
      <c r="AN372" s="262"/>
      <c r="AO372" s="262"/>
      <c r="AP372" s="262"/>
      <c r="AQ372" s="262"/>
      <c r="AR372" s="262"/>
      <c r="AS372" s="262"/>
      <c r="AT372" s="262"/>
      <c r="AU372" s="262"/>
      <c r="AV372" s="262"/>
      <c r="AW372" s="262"/>
      <c r="AX372" s="262"/>
      <c r="AY372" s="262"/>
      <c r="AZ372" s="262"/>
      <c r="BA372" s="262"/>
      <c r="BB372" s="262"/>
      <c r="BC372" s="262"/>
      <c r="BD372" s="262"/>
      <c r="BE372" s="262"/>
      <c r="BF372" s="262"/>
      <c r="BG372" s="262"/>
      <c r="BH372" s="262"/>
      <c r="BI372" s="262"/>
      <c r="BJ372" s="262"/>
      <c r="BK372" s="262"/>
    </row>
    <row r="373" spans="1:63" ht="12.75" x14ac:dyDescent="0.2">
      <c r="A373" s="263"/>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262"/>
      <c r="AE373" s="262"/>
      <c r="AF373" s="262"/>
      <c r="AG373" s="262"/>
      <c r="AH373" s="262"/>
      <c r="AI373" s="262"/>
      <c r="AJ373" s="262"/>
      <c r="AK373" s="262"/>
      <c r="AL373" s="262"/>
      <c r="AM373" s="262"/>
      <c r="AN373" s="262"/>
      <c r="AO373" s="262"/>
      <c r="AP373" s="262"/>
      <c r="AQ373" s="262"/>
      <c r="AR373" s="262"/>
      <c r="AS373" s="262"/>
      <c r="AT373" s="262"/>
      <c r="AU373" s="262"/>
      <c r="AV373" s="262"/>
      <c r="AW373" s="262"/>
      <c r="AX373" s="262"/>
      <c r="AY373" s="262"/>
      <c r="AZ373" s="262"/>
      <c r="BA373" s="262"/>
      <c r="BB373" s="262"/>
      <c r="BC373" s="262"/>
      <c r="BD373" s="262"/>
      <c r="BE373" s="262"/>
      <c r="BF373" s="262"/>
      <c r="BG373" s="262"/>
      <c r="BH373" s="262"/>
      <c r="BI373" s="262"/>
      <c r="BJ373" s="262"/>
      <c r="BK373" s="262"/>
    </row>
    <row r="374" spans="1:63" ht="12.75" x14ac:dyDescent="0.2">
      <c r="A374" s="263"/>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262"/>
      <c r="AE374" s="262"/>
      <c r="AF374" s="262"/>
      <c r="AG374" s="262"/>
      <c r="AH374" s="262"/>
      <c r="AI374" s="262"/>
      <c r="AJ374" s="262"/>
      <c r="AK374" s="262"/>
      <c r="AL374" s="262"/>
      <c r="AM374" s="262"/>
      <c r="AN374" s="262"/>
      <c r="AO374" s="262"/>
      <c r="AP374" s="262"/>
      <c r="AQ374" s="262"/>
      <c r="AR374" s="262"/>
      <c r="AS374" s="262"/>
      <c r="AT374" s="262"/>
      <c r="AU374" s="262"/>
      <c r="AV374" s="262"/>
      <c r="AW374" s="262"/>
      <c r="AX374" s="262"/>
      <c r="AY374" s="262"/>
      <c r="AZ374" s="262"/>
      <c r="BA374" s="262"/>
      <c r="BB374" s="262"/>
      <c r="BC374" s="262"/>
      <c r="BD374" s="262"/>
      <c r="BE374" s="262"/>
      <c r="BF374" s="262"/>
      <c r="BG374" s="262"/>
      <c r="BH374" s="262"/>
      <c r="BI374" s="262"/>
      <c r="BJ374" s="262"/>
      <c r="BK374" s="262"/>
    </row>
    <row r="375" spans="1:63" ht="12.75" x14ac:dyDescent="0.2">
      <c r="A375" s="263"/>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row>
    <row r="376" spans="1:63" ht="12.75" x14ac:dyDescent="0.2">
      <c r="A376" s="263"/>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262"/>
      <c r="AF376" s="262"/>
      <c r="AG376" s="262"/>
      <c r="AH376" s="262"/>
      <c r="AI376" s="262"/>
      <c r="AJ376" s="262"/>
      <c r="AK376" s="262"/>
      <c r="AL376" s="262"/>
      <c r="AM376" s="262"/>
      <c r="AN376" s="262"/>
      <c r="AO376" s="262"/>
      <c r="AP376" s="262"/>
      <c r="AQ376" s="262"/>
      <c r="AR376" s="262"/>
      <c r="AS376" s="262"/>
      <c r="AT376" s="262"/>
      <c r="AU376" s="262"/>
      <c r="AV376" s="262"/>
      <c r="AW376" s="262"/>
      <c r="AX376" s="262"/>
      <c r="AY376" s="262"/>
      <c r="AZ376" s="262"/>
      <c r="BA376" s="262"/>
      <c r="BB376" s="262"/>
      <c r="BC376" s="262"/>
      <c r="BD376" s="262"/>
      <c r="BE376" s="262"/>
      <c r="BF376" s="262"/>
      <c r="BG376" s="262"/>
      <c r="BH376" s="262"/>
      <c r="BI376" s="262"/>
      <c r="BJ376" s="262"/>
      <c r="BK376" s="262"/>
    </row>
    <row r="377" spans="1:63" ht="12.75" x14ac:dyDescent="0.2">
      <c r="A377" s="263"/>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F377" s="262"/>
      <c r="AG377" s="262"/>
      <c r="AH377" s="262"/>
      <c r="AI377" s="262"/>
      <c r="AJ377" s="262"/>
      <c r="AK377" s="262"/>
      <c r="AL377" s="262"/>
      <c r="AM377" s="262"/>
      <c r="AN377" s="262"/>
      <c r="AO377" s="262"/>
      <c r="AP377" s="262"/>
      <c r="AQ377" s="262"/>
      <c r="AR377" s="262"/>
      <c r="AS377" s="262"/>
      <c r="AT377" s="262"/>
      <c r="AU377" s="262"/>
      <c r="AV377" s="262"/>
      <c r="AW377" s="262"/>
      <c r="AX377" s="262"/>
      <c r="AY377" s="262"/>
      <c r="AZ377" s="262"/>
      <c r="BA377" s="262"/>
      <c r="BB377" s="262"/>
      <c r="BC377" s="262"/>
      <c r="BD377" s="262"/>
      <c r="BE377" s="262"/>
      <c r="BF377" s="262"/>
      <c r="BG377" s="262"/>
      <c r="BH377" s="262"/>
      <c r="BI377" s="262"/>
      <c r="BJ377" s="262"/>
      <c r="BK377" s="262"/>
    </row>
    <row r="378" spans="1:63" ht="12.75" x14ac:dyDescent="0.2">
      <c r="A378" s="263"/>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c r="AA378" s="262"/>
      <c r="AB378" s="262"/>
      <c r="AC378" s="262"/>
      <c r="AD378" s="262"/>
      <c r="AE378" s="262"/>
      <c r="AF378" s="262"/>
      <c r="AG378" s="262"/>
      <c r="AH378" s="262"/>
      <c r="AI378" s="262"/>
      <c r="AJ378" s="262"/>
      <c r="AK378" s="262"/>
      <c r="AL378" s="262"/>
      <c r="AM378" s="262"/>
      <c r="AN378" s="262"/>
      <c r="AO378" s="262"/>
      <c r="AP378" s="262"/>
      <c r="AQ378" s="262"/>
      <c r="AR378" s="262"/>
      <c r="AS378" s="262"/>
      <c r="AT378" s="262"/>
      <c r="AU378" s="262"/>
      <c r="AV378" s="262"/>
      <c r="AW378" s="262"/>
      <c r="AX378" s="262"/>
      <c r="AY378" s="262"/>
      <c r="AZ378" s="262"/>
      <c r="BA378" s="262"/>
      <c r="BB378" s="262"/>
      <c r="BC378" s="262"/>
      <c r="BD378" s="262"/>
      <c r="BE378" s="262"/>
      <c r="BF378" s="262"/>
      <c r="BG378" s="262"/>
      <c r="BH378" s="262"/>
      <c r="BI378" s="262"/>
      <c r="BJ378" s="262"/>
      <c r="BK378" s="262"/>
    </row>
    <row r="379" spans="1:63" ht="12.75" x14ac:dyDescent="0.2">
      <c r="A379" s="263"/>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c r="AA379" s="262"/>
      <c r="AB379" s="262"/>
      <c r="AC379" s="262"/>
      <c r="AD379" s="262"/>
      <c r="AE379" s="262"/>
      <c r="AF379" s="262"/>
      <c r="AG379" s="262"/>
      <c r="AH379" s="262"/>
      <c r="AI379" s="262"/>
      <c r="AJ379" s="262"/>
      <c r="AK379" s="262"/>
      <c r="AL379" s="262"/>
      <c r="AM379" s="262"/>
      <c r="AN379" s="262"/>
      <c r="AO379" s="262"/>
      <c r="AP379" s="262"/>
      <c r="AQ379" s="262"/>
      <c r="AR379" s="262"/>
      <c r="AS379" s="262"/>
      <c r="AT379" s="262"/>
      <c r="AU379" s="262"/>
      <c r="AV379" s="262"/>
      <c r="AW379" s="262"/>
      <c r="AX379" s="262"/>
      <c r="AY379" s="262"/>
      <c r="AZ379" s="262"/>
      <c r="BA379" s="262"/>
      <c r="BB379" s="262"/>
      <c r="BC379" s="262"/>
      <c r="BD379" s="262"/>
      <c r="BE379" s="262"/>
      <c r="BF379" s="262"/>
      <c r="BG379" s="262"/>
      <c r="BH379" s="262"/>
      <c r="BI379" s="262"/>
      <c r="BJ379" s="262"/>
      <c r="BK379" s="262"/>
    </row>
    <row r="380" spans="1:63" ht="12.75" x14ac:dyDescent="0.2">
      <c r="A380" s="263"/>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262"/>
      <c r="AE380" s="262"/>
      <c r="AF380" s="262"/>
      <c r="AG380" s="262"/>
      <c r="AH380" s="262"/>
      <c r="AI380" s="262"/>
      <c r="AJ380" s="262"/>
      <c r="AK380" s="262"/>
      <c r="AL380" s="262"/>
      <c r="AM380" s="262"/>
      <c r="AN380" s="262"/>
      <c r="AO380" s="262"/>
      <c r="AP380" s="262"/>
      <c r="AQ380" s="262"/>
      <c r="AR380" s="262"/>
      <c r="AS380" s="262"/>
      <c r="AT380" s="262"/>
      <c r="AU380" s="262"/>
      <c r="AV380" s="262"/>
      <c r="AW380" s="262"/>
      <c r="AX380" s="262"/>
      <c r="AY380" s="262"/>
      <c r="AZ380" s="262"/>
      <c r="BA380" s="262"/>
      <c r="BB380" s="262"/>
      <c r="BC380" s="262"/>
      <c r="BD380" s="262"/>
      <c r="BE380" s="262"/>
      <c r="BF380" s="262"/>
      <c r="BG380" s="262"/>
      <c r="BH380" s="262"/>
      <c r="BI380" s="262"/>
      <c r="BJ380" s="262"/>
      <c r="BK380" s="262"/>
    </row>
    <row r="381" spans="1:63" ht="12.75" x14ac:dyDescent="0.2">
      <c r="A381" s="263"/>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262"/>
      <c r="AE381" s="262"/>
      <c r="AF381" s="262"/>
      <c r="AG381" s="262"/>
      <c r="AH381" s="262"/>
      <c r="AI381" s="262"/>
      <c r="AJ381" s="262"/>
      <c r="AK381" s="262"/>
      <c r="AL381" s="262"/>
      <c r="AM381" s="262"/>
      <c r="AN381" s="262"/>
      <c r="AO381" s="262"/>
      <c r="AP381" s="262"/>
      <c r="AQ381" s="262"/>
      <c r="AR381" s="262"/>
      <c r="AS381" s="262"/>
      <c r="AT381" s="262"/>
      <c r="AU381" s="262"/>
      <c r="AV381" s="262"/>
      <c r="AW381" s="262"/>
      <c r="AX381" s="262"/>
      <c r="AY381" s="262"/>
      <c r="AZ381" s="262"/>
      <c r="BA381" s="262"/>
      <c r="BB381" s="262"/>
      <c r="BC381" s="262"/>
      <c r="BD381" s="262"/>
      <c r="BE381" s="262"/>
      <c r="BF381" s="262"/>
      <c r="BG381" s="262"/>
      <c r="BH381" s="262"/>
      <c r="BI381" s="262"/>
      <c r="BJ381" s="262"/>
      <c r="BK381" s="262"/>
    </row>
    <row r="382" spans="1:63" ht="12.75" x14ac:dyDescent="0.2">
      <c r="A382" s="263"/>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62"/>
      <c r="AE382" s="262"/>
      <c r="AF382" s="262"/>
      <c r="AG382" s="262"/>
      <c r="AH382" s="262"/>
      <c r="AI382" s="262"/>
      <c r="AJ382" s="262"/>
      <c r="AK382" s="262"/>
      <c r="AL382" s="262"/>
      <c r="AM382" s="262"/>
      <c r="AN382" s="262"/>
      <c r="AO382" s="262"/>
      <c r="AP382" s="262"/>
      <c r="AQ382" s="262"/>
      <c r="AR382" s="262"/>
      <c r="AS382" s="262"/>
      <c r="AT382" s="262"/>
      <c r="AU382" s="262"/>
      <c r="AV382" s="262"/>
      <c r="AW382" s="262"/>
      <c r="AX382" s="262"/>
      <c r="AY382" s="262"/>
      <c r="AZ382" s="262"/>
      <c r="BA382" s="262"/>
      <c r="BB382" s="262"/>
      <c r="BC382" s="262"/>
      <c r="BD382" s="262"/>
      <c r="BE382" s="262"/>
      <c r="BF382" s="262"/>
      <c r="BG382" s="262"/>
      <c r="BH382" s="262"/>
      <c r="BI382" s="262"/>
      <c r="BJ382" s="262"/>
      <c r="BK382" s="262"/>
    </row>
    <row r="383" spans="1:63" ht="12.75" x14ac:dyDescent="0.2">
      <c r="A383" s="263"/>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262"/>
      <c r="AE383" s="262"/>
      <c r="AF383" s="262"/>
      <c r="AG383" s="262"/>
      <c r="AH383" s="262"/>
      <c r="AI383" s="262"/>
      <c r="AJ383" s="262"/>
      <c r="AK383" s="262"/>
      <c r="AL383" s="262"/>
      <c r="AM383" s="262"/>
      <c r="AN383" s="262"/>
      <c r="AO383" s="262"/>
      <c r="AP383" s="262"/>
      <c r="AQ383" s="262"/>
      <c r="AR383" s="262"/>
      <c r="AS383" s="262"/>
      <c r="AT383" s="262"/>
      <c r="AU383" s="262"/>
      <c r="AV383" s="262"/>
      <c r="AW383" s="262"/>
      <c r="AX383" s="262"/>
      <c r="AY383" s="262"/>
      <c r="AZ383" s="262"/>
      <c r="BA383" s="262"/>
      <c r="BB383" s="262"/>
      <c r="BC383" s="262"/>
      <c r="BD383" s="262"/>
      <c r="BE383" s="262"/>
      <c r="BF383" s="262"/>
      <c r="BG383" s="262"/>
      <c r="BH383" s="262"/>
      <c r="BI383" s="262"/>
      <c r="BJ383" s="262"/>
      <c r="BK383" s="262"/>
    </row>
    <row r="384" spans="1:63" ht="12.75" x14ac:dyDescent="0.2">
      <c r="A384" s="263"/>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262"/>
      <c r="AE384" s="262"/>
      <c r="AF384" s="262"/>
      <c r="AG384" s="262"/>
      <c r="AH384" s="262"/>
      <c r="AI384" s="262"/>
      <c r="AJ384" s="262"/>
      <c r="AK384" s="262"/>
      <c r="AL384" s="262"/>
      <c r="AM384" s="262"/>
      <c r="AN384" s="262"/>
      <c r="AO384" s="262"/>
      <c r="AP384" s="262"/>
      <c r="AQ384" s="262"/>
      <c r="AR384" s="262"/>
      <c r="AS384" s="262"/>
      <c r="AT384" s="262"/>
      <c r="AU384" s="262"/>
      <c r="AV384" s="262"/>
      <c r="AW384" s="262"/>
      <c r="AX384" s="262"/>
      <c r="AY384" s="262"/>
      <c r="AZ384" s="262"/>
      <c r="BA384" s="262"/>
      <c r="BB384" s="262"/>
      <c r="BC384" s="262"/>
      <c r="BD384" s="262"/>
      <c r="BE384" s="262"/>
      <c r="BF384" s="262"/>
      <c r="BG384" s="262"/>
      <c r="BH384" s="262"/>
      <c r="BI384" s="262"/>
      <c r="BJ384" s="262"/>
      <c r="BK384" s="262"/>
    </row>
    <row r="385" spans="1:63" ht="12.75" x14ac:dyDescent="0.2">
      <c r="A385" s="263"/>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262"/>
      <c r="AF385" s="262"/>
      <c r="AG385" s="262"/>
      <c r="AH385" s="262"/>
      <c r="AI385" s="262"/>
      <c r="AJ385" s="262"/>
      <c r="AK385" s="262"/>
      <c r="AL385" s="262"/>
      <c r="AM385" s="262"/>
      <c r="AN385" s="262"/>
      <c r="AO385" s="262"/>
      <c r="AP385" s="262"/>
      <c r="AQ385" s="262"/>
      <c r="AR385" s="262"/>
      <c r="AS385" s="262"/>
      <c r="AT385" s="262"/>
      <c r="AU385" s="262"/>
      <c r="AV385" s="262"/>
      <c r="AW385" s="262"/>
      <c r="AX385" s="262"/>
      <c r="AY385" s="262"/>
      <c r="AZ385" s="262"/>
      <c r="BA385" s="262"/>
      <c r="BB385" s="262"/>
      <c r="BC385" s="262"/>
      <c r="BD385" s="262"/>
      <c r="BE385" s="262"/>
      <c r="BF385" s="262"/>
      <c r="BG385" s="262"/>
      <c r="BH385" s="262"/>
      <c r="BI385" s="262"/>
      <c r="BJ385" s="262"/>
      <c r="BK385" s="262"/>
    </row>
    <row r="386" spans="1:63" ht="12.75" x14ac:dyDescent="0.2">
      <c r="A386" s="263"/>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c r="AA386" s="262"/>
      <c r="AB386" s="262"/>
      <c r="AC386" s="262"/>
      <c r="AD386" s="262"/>
      <c r="AE386" s="262"/>
      <c r="AF386" s="262"/>
      <c r="AG386" s="262"/>
      <c r="AH386" s="262"/>
      <c r="AI386" s="262"/>
      <c r="AJ386" s="262"/>
      <c r="AK386" s="262"/>
      <c r="AL386" s="262"/>
      <c r="AM386" s="262"/>
      <c r="AN386" s="262"/>
      <c r="AO386" s="262"/>
      <c r="AP386" s="262"/>
      <c r="AQ386" s="262"/>
      <c r="AR386" s="262"/>
      <c r="AS386" s="262"/>
      <c r="AT386" s="262"/>
      <c r="AU386" s="262"/>
      <c r="AV386" s="262"/>
      <c r="AW386" s="262"/>
      <c r="AX386" s="262"/>
      <c r="AY386" s="262"/>
      <c r="AZ386" s="262"/>
      <c r="BA386" s="262"/>
      <c r="BB386" s="262"/>
      <c r="BC386" s="262"/>
      <c r="BD386" s="262"/>
      <c r="BE386" s="262"/>
      <c r="BF386" s="262"/>
      <c r="BG386" s="262"/>
      <c r="BH386" s="262"/>
      <c r="BI386" s="262"/>
      <c r="BJ386" s="262"/>
      <c r="BK386" s="262"/>
    </row>
    <row r="387" spans="1:63" ht="12.75" x14ac:dyDescent="0.2">
      <c r="A387" s="263"/>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c r="AA387" s="262"/>
      <c r="AB387" s="262"/>
      <c r="AC387" s="262"/>
      <c r="AD387" s="262"/>
      <c r="AE387" s="262"/>
      <c r="AF387" s="262"/>
      <c r="AG387" s="262"/>
      <c r="AH387" s="262"/>
      <c r="AI387" s="262"/>
      <c r="AJ387" s="262"/>
      <c r="AK387" s="262"/>
      <c r="AL387" s="262"/>
      <c r="AM387" s="262"/>
      <c r="AN387" s="262"/>
      <c r="AO387" s="262"/>
      <c r="AP387" s="262"/>
      <c r="AQ387" s="262"/>
      <c r="AR387" s="262"/>
      <c r="AS387" s="262"/>
      <c r="AT387" s="262"/>
      <c r="AU387" s="262"/>
      <c r="AV387" s="262"/>
      <c r="AW387" s="262"/>
      <c r="AX387" s="262"/>
      <c r="AY387" s="262"/>
      <c r="AZ387" s="262"/>
      <c r="BA387" s="262"/>
      <c r="BB387" s="262"/>
      <c r="BC387" s="262"/>
      <c r="BD387" s="262"/>
      <c r="BE387" s="262"/>
      <c r="BF387" s="262"/>
      <c r="BG387" s="262"/>
      <c r="BH387" s="262"/>
      <c r="BI387" s="262"/>
      <c r="BJ387" s="262"/>
      <c r="BK387" s="262"/>
    </row>
    <row r="388" spans="1:63" ht="12.75" x14ac:dyDescent="0.2">
      <c r="A388" s="263"/>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c r="AA388" s="262"/>
      <c r="AB388" s="262"/>
      <c r="AC388" s="262"/>
      <c r="AD388" s="262"/>
      <c r="AE388" s="262"/>
      <c r="AF388" s="262"/>
      <c r="AG388" s="262"/>
      <c r="AH388" s="262"/>
      <c r="AI388" s="262"/>
      <c r="AJ388" s="262"/>
      <c r="AK388" s="262"/>
      <c r="AL388" s="262"/>
      <c r="AM388" s="262"/>
      <c r="AN388" s="262"/>
      <c r="AO388" s="262"/>
      <c r="AP388" s="262"/>
      <c r="AQ388" s="262"/>
      <c r="AR388" s="262"/>
      <c r="AS388" s="262"/>
      <c r="AT388" s="262"/>
      <c r="AU388" s="262"/>
      <c r="AV388" s="262"/>
      <c r="AW388" s="262"/>
      <c r="AX388" s="262"/>
      <c r="AY388" s="262"/>
      <c r="AZ388" s="262"/>
      <c r="BA388" s="262"/>
      <c r="BB388" s="262"/>
      <c r="BC388" s="262"/>
      <c r="BD388" s="262"/>
      <c r="BE388" s="262"/>
      <c r="BF388" s="262"/>
      <c r="BG388" s="262"/>
      <c r="BH388" s="262"/>
      <c r="BI388" s="262"/>
      <c r="BJ388" s="262"/>
      <c r="BK388" s="262"/>
    </row>
    <row r="389" spans="1:63" ht="12.75" x14ac:dyDescent="0.2">
      <c r="A389" s="263"/>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c r="AA389" s="262"/>
      <c r="AB389" s="262"/>
      <c r="AC389" s="262"/>
      <c r="AD389" s="262"/>
      <c r="AE389" s="262"/>
      <c r="AF389" s="262"/>
      <c r="AG389" s="262"/>
      <c r="AH389" s="262"/>
      <c r="AI389" s="262"/>
      <c r="AJ389" s="262"/>
      <c r="AK389" s="262"/>
      <c r="AL389" s="262"/>
      <c r="AM389" s="262"/>
      <c r="AN389" s="262"/>
      <c r="AO389" s="262"/>
      <c r="AP389" s="262"/>
      <c r="AQ389" s="262"/>
      <c r="AR389" s="262"/>
      <c r="AS389" s="262"/>
      <c r="AT389" s="262"/>
      <c r="AU389" s="262"/>
      <c r="AV389" s="262"/>
      <c r="AW389" s="262"/>
      <c r="AX389" s="262"/>
      <c r="AY389" s="262"/>
      <c r="AZ389" s="262"/>
      <c r="BA389" s="262"/>
      <c r="BB389" s="262"/>
      <c r="BC389" s="262"/>
      <c r="BD389" s="262"/>
      <c r="BE389" s="262"/>
      <c r="BF389" s="262"/>
      <c r="BG389" s="262"/>
      <c r="BH389" s="262"/>
      <c r="BI389" s="262"/>
      <c r="BJ389" s="262"/>
      <c r="BK389" s="262"/>
    </row>
    <row r="390" spans="1:63" ht="12.75" x14ac:dyDescent="0.2">
      <c r="A390" s="263"/>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c r="AA390" s="262"/>
      <c r="AB390" s="262"/>
      <c r="AC390" s="262"/>
      <c r="AD390" s="262"/>
      <c r="AE390" s="262"/>
      <c r="AF390" s="262"/>
      <c r="AG390" s="262"/>
      <c r="AH390" s="262"/>
      <c r="AI390" s="262"/>
      <c r="AJ390" s="262"/>
      <c r="AK390" s="262"/>
      <c r="AL390" s="262"/>
      <c r="AM390" s="262"/>
      <c r="AN390" s="262"/>
      <c r="AO390" s="262"/>
      <c r="AP390" s="262"/>
      <c r="AQ390" s="262"/>
      <c r="AR390" s="262"/>
      <c r="AS390" s="262"/>
      <c r="AT390" s="262"/>
      <c r="AU390" s="262"/>
      <c r="AV390" s="262"/>
      <c r="AW390" s="262"/>
      <c r="AX390" s="262"/>
      <c r="AY390" s="262"/>
      <c r="AZ390" s="262"/>
      <c r="BA390" s="262"/>
      <c r="BB390" s="262"/>
      <c r="BC390" s="262"/>
      <c r="BD390" s="262"/>
      <c r="BE390" s="262"/>
      <c r="BF390" s="262"/>
      <c r="BG390" s="262"/>
      <c r="BH390" s="262"/>
      <c r="BI390" s="262"/>
      <c r="BJ390" s="262"/>
      <c r="BK390" s="262"/>
    </row>
    <row r="391" spans="1:63" ht="12.75" x14ac:dyDescent="0.2">
      <c r="A391" s="263"/>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c r="AA391" s="262"/>
      <c r="AB391" s="262"/>
      <c r="AC391" s="262"/>
      <c r="AD391" s="262"/>
      <c r="AE391" s="262"/>
      <c r="AF391" s="262"/>
      <c r="AG391" s="262"/>
      <c r="AH391" s="262"/>
      <c r="AI391" s="262"/>
      <c r="AJ391" s="262"/>
      <c r="AK391" s="262"/>
      <c r="AL391" s="262"/>
      <c r="AM391" s="262"/>
      <c r="AN391" s="262"/>
      <c r="AO391" s="262"/>
      <c r="AP391" s="262"/>
      <c r="AQ391" s="262"/>
      <c r="AR391" s="262"/>
      <c r="AS391" s="262"/>
      <c r="AT391" s="262"/>
      <c r="AU391" s="262"/>
      <c r="AV391" s="262"/>
      <c r="AW391" s="262"/>
      <c r="AX391" s="262"/>
      <c r="AY391" s="262"/>
      <c r="AZ391" s="262"/>
      <c r="BA391" s="262"/>
      <c r="BB391" s="262"/>
      <c r="BC391" s="262"/>
      <c r="BD391" s="262"/>
      <c r="BE391" s="262"/>
      <c r="BF391" s="262"/>
      <c r="BG391" s="262"/>
      <c r="BH391" s="262"/>
      <c r="BI391" s="262"/>
      <c r="BJ391" s="262"/>
      <c r="BK391" s="262"/>
    </row>
    <row r="392" spans="1:63" ht="12.75" x14ac:dyDescent="0.2">
      <c r="A392" s="263"/>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c r="AA392" s="262"/>
      <c r="AB392" s="262"/>
      <c r="AC392" s="262"/>
      <c r="AD392" s="262"/>
      <c r="AE392" s="262"/>
      <c r="AF392" s="262"/>
      <c r="AG392" s="262"/>
      <c r="AH392" s="262"/>
      <c r="AI392" s="262"/>
      <c r="AJ392" s="262"/>
      <c r="AK392" s="262"/>
      <c r="AL392" s="262"/>
      <c r="AM392" s="262"/>
      <c r="AN392" s="262"/>
      <c r="AO392" s="262"/>
      <c r="AP392" s="262"/>
      <c r="AQ392" s="262"/>
      <c r="AR392" s="262"/>
      <c r="AS392" s="262"/>
      <c r="AT392" s="262"/>
      <c r="AU392" s="262"/>
      <c r="AV392" s="262"/>
      <c r="AW392" s="262"/>
      <c r="AX392" s="262"/>
      <c r="AY392" s="262"/>
      <c r="AZ392" s="262"/>
      <c r="BA392" s="262"/>
      <c r="BB392" s="262"/>
      <c r="BC392" s="262"/>
      <c r="BD392" s="262"/>
      <c r="BE392" s="262"/>
      <c r="BF392" s="262"/>
      <c r="BG392" s="262"/>
      <c r="BH392" s="262"/>
      <c r="BI392" s="262"/>
      <c r="BJ392" s="262"/>
      <c r="BK392" s="262"/>
    </row>
    <row r="393" spans="1:63" ht="12.75" x14ac:dyDescent="0.2">
      <c r="A393" s="263"/>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62"/>
      <c r="AE393" s="262"/>
      <c r="AF393" s="262"/>
      <c r="AG393" s="262"/>
      <c r="AH393" s="262"/>
      <c r="AI393" s="262"/>
      <c r="AJ393" s="262"/>
      <c r="AK393" s="262"/>
      <c r="AL393" s="262"/>
      <c r="AM393" s="262"/>
      <c r="AN393" s="262"/>
      <c r="AO393" s="262"/>
      <c r="AP393" s="262"/>
      <c r="AQ393" s="262"/>
      <c r="AR393" s="262"/>
      <c r="AS393" s="262"/>
      <c r="AT393" s="262"/>
      <c r="AU393" s="262"/>
      <c r="AV393" s="262"/>
      <c r="AW393" s="262"/>
      <c r="AX393" s="262"/>
      <c r="AY393" s="262"/>
      <c r="AZ393" s="262"/>
      <c r="BA393" s="262"/>
      <c r="BB393" s="262"/>
      <c r="BC393" s="262"/>
      <c r="BD393" s="262"/>
      <c r="BE393" s="262"/>
      <c r="BF393" s="262"/>
      <c r="BG393" s="262"/>
      <c r="BH393" s="262"/>
      <c r="BI393" s="262"/>
      <c r="BJ393" s="262"/>
      <c r="BK393" s="262"/>
    </row>
    <row r="394" spans="1:63" ht="12.75" x14ac:dyDescent="0.2">
      <c r="A394" s="263"/>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262"/>
      <c r="AF394" s="262"/>
      <c r="AG394" s="262"/>
      <c r="AH394" s="262"/>
      <c r="AI394" s="262"/>
      <c r="AJ394" s="262"/>
      <c r="AK394" s="262"/>
      <c r="AL394" s="262"/>
      <c r="AM394" s="262"/>
      <c r="AN394" s="262"/>
      <c r="AO394" s="262"/>
      <c r="AP394" s="262"/>
      <c r="AQ394" s="262"/>
      <c r="AR394" s="262"/>
      <c r="AS394" s="262"/>
      <c r="AT394" s="262"/>
      <c r="AU394" s="262"/>
      <c r="AV394" s="262"/>
      <c r="AW394" s="262"/>
      <c r="AX394" s="262"/>
      <c r="AY394" s="262"/>
      <c r="AZ394" s="262"/>
      <c r="BA394" s="262"/>
      <c r="BB394" s="262"/>
      <c r="BC394" s="262"/>
      <c r="BD394" s="262"/>
      <c r="BE394" s="262"/>
      <c r="BF394" s="262"/>
      <c r="BG394" s="262"/>
      <c r="BH394" s="262"/>
      <c r="BI394" s="262"/>
      <c r="BJ394" s="262"/>
      <c r="BK394" s="262"/>
    </row>
    <row r="395" spans="1:63" ht="12.75" x14ac:dyDescent="0.2">
      <c r="A395" s="263"/>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262"/>
      <c r="AE395" s="262"/>
      <c r="AF395" s="262"/>
      <c r="AG395" s="262"/>
      <c r="AH395" s="262"/>
      <c r="AI395" s="262"/>
      <c r="AJ395" s="262"/>
      <c r="AK395" s="262"/>
      <c r="AL395" s="262"/>
      <c r="AM395" s="262"/>
      <c r="AN395" s="262"/>
      <c r="AO395" s="262"/>
      <c r="AP395" s="262"/>
      <c r="AQ395" s="262"/>
      <c r="AR395" s="262"/>
      <c r="AS395" s="262"/>
      <c r="AT395" s="262"/>
      <c r="AU395" s="262"/>
      <c r="AV395" s="262"/>
      <c r="AW395" s="262"/>
      <c r="AX395" s="262"/>
      <c r="AY395" s="262"/>
      <c r="AZ395" s="262"/>
      <c r="BA395" s="262"/>
      <c r="BB395" s="262"/>
      <c r="BC395" s="262"/>
      <c r="BD395" s="262"/>
      <c r="BE395" s="262"/>
      <c r="BF395" s="262"/>
      <c r="BG395" s="262"/>
      <c r="BH395" s="262"/>
      <c r="BI395" s="262"/>
      <c r="BJ395" s="262"/>
      <c r="BK395" s="262"/>
    </row>
    <row r="396" spans="1:63" ht="12.75" x14ac:dyDescent="0.2">
      <c r="A396" s="263"/>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262"/>
      <c r="AE396" s="262"/>
      <c r="AF396" s="262"/>
      <c r="AG396" s="262"/>
      <c r="AH396" s="262"/>
      <c r="AI396" s="262"/>
      <c r="AJ396" s="262"/>
      <c r="AK396" s="262"/>
      <c r="AL396" s="262"/>
      <c r="AM396" s="262"/>
      <c r="AN396" s="262"/>
      <c r="AO396" s="262"/>
      <c r="AP396" s="262"/>
      <c r="AQ396" s="262"/>
      <c r="AR396" s="262"/>
      <c r="AS396" s="262"/>
      <c r="AT396" s="262"/>
      <c r="AU396" s="262"/>
      <c r="AV396" s="262"/>
      <c r="AW396" s="262"/>
      <c r="AX396" s="262"/>
      <c r="AY396" s="262"/>
      <c r="AZ396" s="262"/>
      <c r="BA396" s="262"/>
      <c r="BB396" s="262"/>
      <c r="BC396" s="262"/>
      <c r="BD396" s="262"/>
      <c r="BE396" s="262"/>
      <c r="BF396" s="262"/>
      <c r="BG396" s="262"/>
      <c r="BH396" s="262"/>
      <c r="BI396" s="262"/>
      <c r="BJ396" s="262"/>
      <c r="BK396" s="262"/>
    </row>
    <row r="397" spans="1:63" ht="12.75" x14ac:dyDescent="0.2">
      <c r="A397" s="263"/>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262"/>
      <c r="AE397" s="262"/>
      <c r="AF397" s="262"/>
      <c r="AG397" s="262"/>
      <c r="AH397" s="262"/>
      <c r="AI397" s="262"/>
      <c r="AJ397" s="262"/>
      <c r="AK397" s="262"/>
      <c r="AL397" s="262"/>
      <c r="AM397" s="262"/>
      <c r="AN397" s="262"/>
      <c r="AO397" s="262"/>
      <c r="AP397" s="262"/>
      <c r="AQ397" s="262"/>
      <c r="AR397" s="262"/>
      <c r="AS397" s="262"/>
      <c r="AT397" s="262"/>
      <c r="AU397" s="262"/>
      <c r="AV397" s="262"/>
      <c r="AW397" s="262"/>
      <c r="AX397" s="262"/>
      <c r="AY397" s="262"/>
      <c r="AZ397" s="262"/>
      <c r="BA397" s="262"/>
      <c r="BB397" s="262"/>
      <c r="BC397" s="262"/>
      <c r="BD397" s="262"/>
      <c r="BE397" s="262"/>
      <c r="BF397" s="262"/>
      <c r="BG397" s="262"/>
      <c r="BH397" s="262"/>
      <c r="BI397" s="262"/>
      <c r="BJ397" s="262"/>
      <c r="BK397" s="262"/>
    </row>
    <row r="398" spans="1:63" ht="12.75" x14ac:dyDescent="0.2">
      <c r="A398" s="263"/>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262"/>
      <c r="AE398" s="262"/>
      <c r="AF398" s="262"/>
      <c r="AG398" s="262"/>
      <c r="AH398" s="262"/>
      <c r="AI398" s="262"/>
      <c r="AJ398" s="262"/>
      <c r="AK398" s="262"/>
      <c r="AL398" s="262"/>
      <c r="AM398" s="262"/>
      <c r="AN398" s="262"/>
      <c r="AO398" s="262"/>
      <c r="AP398" s="262"/>
      <c r="AQ398" s="262"/>
      <c r="AR398" s="262"/>
      <c r="AS398" s="262"/>
      <c r="AT398" s="262"/>
      <c r="AU398" s="262"/>
      <c r="AV398" s="262"/>
      <c r="AW398" s="262"/>
      <c r="AX398" s="262"/>
      <c r="AY398" s="262"/>
      <c r="AZ398" s="262"/>
      <c r="BA398" s="262"/>
      <c r="BB398" s="262"/>
      <c r="BC398" s="262"/>
      <c r="BD398" s="262"/>
      <c r="BE398" s="262"/>
      <c r="BF398" s="262"/>
      <c r="BG398" s="262"/>
      <c r="BH398" s="262"/>
      <c r="BI398" s="262"/>
      <c r="BJ398" s="262"/>
      <c r="BK398" s="262"/>
    </row>
    <row r="399" spans="1:63" ht="12.75" x14ac:dyDescent="0.2">
      <c r="A399" s="263"/>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62"/>
      <c r="AE399" s="262"/>
      <c r="AF399" s="262"/>
      <c r="AG399" s="262"/>
      <c r="AH399" s="262"/>
      <c r="AI399" s="262"/>
      <c r="AJ399" s="262"/>
      <c r="AK399" s="262"/>
      <c r="AL399" s="262"/>
      <c r="AM399" s="262"/>
      <c r="AN399" s="262"/>
      <c r="AO399" s="262"/>
      <c r="AP399" s="262"/>
      <c r="AQ399" s="262"/>
      <c r="AR399" s="262"/>
      <c r="AS399" s="262"/>
      <c r="AT399" s="262"/>
      <c r="AU399" s="262"/>
      <c r="AV399" s="262"/>
      <c r="AW399" s="262"/>
      <c r="AX399" s="262"/>
      <c r="AY399" s="262"/>
      <c r="AZ399" s="262"/>
      <c r="BA399" s="262"/>
      <c r="BB399" s="262"/>
      <c r="BC399" s="262"/>
      <c r="BD399" s="262"/>
      <c r="BE399" s="262"/>
      <c r="BF399" s="262"/>
      <c r="BG399" s="262"/>
      <c r="BH399" s="262"/>
      <c r="BI399" s="262"/>
      <c r="BJ399" s="262"/>
      <c r="BK399" s="262"/>
    </row>
    <row r="400" spans="1:63" ht="12.75" x14ac:dyDescent="0.2">
      <c r="A400" s="263"/>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262"/>
      <c r="AE400" s="262"/>
      <c r="AF400" s="262"/>
      <c r="AG400" s="262"/>
      <c r="AH400" s="262"/>
      <c r="AI400" s="262"/>
      <c r="AJ400" s="262"/>
      <c r="AK400" s="262"/>
      <c r="AL400" s="262"/>
      <c r="AM400" s="262"/>
      <c r="AN400" s="262"/>
      <c r="AO400" s="262"/>
      <c r="AP400" s="262"/>
      <c r="AQ400" s="262"/>
      <c r="AR400" s="262"/>
      <c r="AS400" s="262"/>
      <c r="AT400" s="262"/>
      <c r="AU400" s="262"/>
      <c r="AV400" s="262"/>
      <c r="AW400" s="262"/>
      <c r="AX400" s="262"/>
      <c r="AY400" s="262"/>
      <c r="AZ400" s="262"/>
      <c r="BA400" s="262"/>
      <c r="BB400" s="262"/>
      <c r="BC400" s="262"/>
      <c r="BD400" s="262"/>
      <c r="BE400" s="262"/>
      <c r="BF400" s="262"/>
      <c r="BG400" s="262"/>
      <c r="BH400" s="262"/>
      <c r="BI400" s="262"/>
      <c r="BJ400" s="262"/>
      <c r="BK400" s="262"/>
    </row>
    <row r="401" spans="1:63" ht="12.75" x14ac:dyDescent="0.2">
      <c r="A401" s="263"/>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262"/>
      <c r="AE401" s="262"/>
      <c r="AF401" s="262"/>
      <c r="AG401" s="262"/>
      <c r="AH401" s="262"/>
      <c r="AI401" s="262"/>
      <c r="AJ401" s="262"/>
      <c r="AK401" s="262"/>
      <c r="AL401" s="262"/>
      <c r="AM401" s="262"/>
      <c r="AN401" s="262"/>
      <c r="AO401" s="262"/>
      <c r="AP401" s="262"/>
      <c r="AQ401" s="262"/>
      <c r="AR401" s="262"/>
      <c r="AS401" s="262"/>
      <c r="AT401" s="262"/>
      <c r="AU401" s="262"/>
      <c r="AV401" s="262"/>
      <c r="AW401" s="262"/>
      <c r="AX401" s="262"/>
      <c r="AY401" s="262"/>
      <c r="AZ401" s="262"/>
      <c r="BA401" s="262"/>
      <c r="BB401" s="262"/>
      <c r="BC401" s="262"/>
      <c r="BD401" s="262"/>
      <c r="BE401" s="262"/>
      <c r="BF401" s="262"/>
      <c r="BG401" s="262"/>
      <c r="BH401" s="262"/>
      <c r="BI401" s="262"/>
      <c r="BJ401" s="262"/>
      <c r="BK401" s="262"/>
    </row>
    <row r="402" spans="1:63" ht="12.75" x14ac:dyDescent="0.2">
      <c r="A402" s="263"/>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262"/>
      <c r="AE402" s="262"/>
      <c r="AF402" s="262"/>
      <c r="AG402" s="262"/>
      <c r="AH402" s="262"/>
      <c r="AI402" s="262"/>
      <c r="AJ402" s="262"/>
      <c r="AK402" s="262"/>
      <c r="AL402" s="262"/>
      <c r="AM402" s="262"/>
      <c r="AN402" s="262"/>
      <c r="AO402" s="262"/>
      <c r="AP402" s="262"/>
      <c r="AQ402" s="262"/>
      <c r="AR402" s="262"/>
      <c r="AS402" s="262"/>
      <c r="AT402" s="262"/>
      <c r="AU402" s="262"/>
      <c r="AV402" s="262"/>
      <c r="AW402" s="262"/>
      <c r="AX402" s="262"/>
      <c r="AY402" s="262"/>
      <c r="AZ402" s="262"/>
      <c r="BA402" s="262"/>
      <c r="BB402" s="262"/>
      <c r="BC402" s="262"/>
      <c r="BD402" s="262"/>
      <c r="BE402" s="262"/>
      <c r="BF402" s="262"/>
      <c r="BG402" s="262"/>
      <c r="BH402" s="262"/>
      <c r="BI402" s="262"/>
      <c r="BJ402" s="262"/>
      <c r="BK402" s="262"/>
    </row>
    <row r="403" spans="1:63" ht="12.75" x14ac:dyDescent="0.2">
      <c r="A403" s="263"/>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262"/>
      <c r="AE403" s="262"/>
      <c r="AF403" s="262"/>
      <c r="AG403" s="262"/>
      <c r="AH403" s="262"/>
      <c r="AI403" s="262"/>
      <c r="AJ403" s="262"/>
      <c r="AK403" s="262"/>
      <c r="AL403" s="262"/>
      <c r="AM403" s="262"/>
      <c r="AN403" s="262"/>
      <c r="AO403" s="262"/>
      <c r="AP403" s="262"/>
      <c r="AQ403" s="262"/>
      <c r="AR403" s="262"/>
      <c r="AS403" s="262"/>
      <c r="AT403" s="262"/>
      <c r="AU403" s="262"/>
      <c r="AV403" s="262"/>
      <c r="AW403" s="262"/>
      <c r="AX403" s="262"/>
      <c r="AY403" s="262"/>
      <c r="AZ403" s="262"/>
      <c r="BA403" s="262"/>
      <c r="BB403" s="262"/>
      <c r="BC403" s="262"/>
      <c r="BD403" s="262"/>
      <c r="BE403" s="262"/>
      <c r="BF403" s="262"/>
      <c r="BG403" s="262"/>
      <c r="BH403" s="262"/>
      <c r="BI403" s="262"/>
      <c r="BJ403" s="262"/>
      <c r="BK403" s="262"/>
    </row>
    <row r="404" spans="1:63" ht="12.75" x14ac:dyDescent="0.2">
      <c r="A404" s="263"/>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262"/>
      <c r="AE404" s="262"/>
      <c r="AF404" s="262"/>
      <c r="AG404" s="262"/>
      <c r="AH404" s="262"/>
      <c r="AI404" s="262"/>
      <c r="AJ404" s="262"/>
      <c r="AK404" s="262"/>
      <c r="AL404" s="262"/>
      <c r="AM404" s="262"/>
      <c r="AN404" s="262"/>
      <c r="AO404" s="262"/>
      <c r="AP404" s="262"/>
      <c r="AQ404" s="262"/>
      <c r="AR404" s="262"/>
      <c r="AS404" s="262"/>
      <c r="AT404" s="262"/>
      <c r="AU404" s="262"/>
      <c r="AV404" s="262"/>
      <c r="AW404" s="262"/>
      <c r="AX404" s="262"/>
      <c r="AY404" s="262"/>
      <c r="AZ404" s="262"/>
      <c r="BA404" s="262"/>
      <c r="BB404" s="262"/>
      <c r="BC404" s="262"/>
      <c r="BD404" s="262"/>
      <c r="BE404" s="262"/>
      <c r="BF404" s="262"/>
      <c r="BG404" s="262"/>
      <c r="BH404" s="262"/>
      <c r="BI404" s="262"/>
      <c r="BJ404" s="262"/>
      <c r="BK404" s="262"/>
    </row>
    <row r="405" spans="1:63" ht="12.75" x14ac:dyDescent="0.2">
      <c r="A405" s="263"/>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262"/>
      <c r="AF405" s="262"/>
      <c r="AG405" s="262"/>
      <c r="AH405" s="262"/>
      <c r="AI405" s="262"/>
      <c r="AJ405" s="262"/>
      <c r="AK405" s="262"/>
      <c r="AL405" s="262"/>
      <c r="AM405" s="262"/>
      <c r="AN405" s="262"/>
      <c r="AO405" s="262"/>
      <c r="AP405" s="262"/>
      <c r="AQ405" s="262"/>
      <c r="AR405" s="262"/>
      <c r="AS405" s="262"/>
      <c r="AT405" s="262"/>
      <c r="AU405" s="262"/>
      <c r="AV405" s="262"/>
      <c r="AW405" s="262"/>
      <c r="AX405" s="262"/>
      <c r="AY405" s="262"/>
      <c r="AZ405" s="262"/>
      <c r="BA405" s="262"/>
      <c r="BB405" s="262"/>
      <c r="BC405" s="262"/>
      <c r="BD405" s="262"/>
      <c r="BE405" s="262"/>
      <c r="BF405" s="262"/>
      <c r="BG405" s="262"/>
      <c r="BH405" s="262"/>
      <c r="BI405" s="262"/>
      <c r="BJ405" s="262"/>
      <c r="BK405" s="262"/>
    </row>
    <row r="406" spans="1:63" ht="12.75" x14ac:dyDescent="0.2">
      <c r="A406" s="263"/>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262"/>
      <c r="AE406" s="262"/>
      <c r="AF406" s="262"/>
      <c r="AG406" s="262"/>
      <c r="AH406" s="262"/>
      <c r="AI406" s="262"/>
      <c r="AJ406" s="262"/>
      <c r="AK406" s="262"/>
      <c r="AL406" s="262"/>
      <c r="AM406" s="262"/>
      <c r="AN406" s="262"/>
      <c r="AO406" s="262"/>
      <c r="AP406" s="262"/>
      <c r="AQ406" s="262"/>
      <c r="AR406" s="262"/>
      <c r="AS406" s="262"/>
      <c r="AT406" s="262"/>
      <c r="AU406" s="262"/>
      <c r="AV406" s="262"/>
      <c r="AW406" s="262"/>
      <c r="AX406" s="262"/>
      <c r="AY406" s="262"/>
      <c r="AZ406" s="262"/>
      <c r="BA406" s="262"/>
      <c r="BB406" s="262"/>
      <c r="BC406" s="262"/>
      <c r="BD406" s="262"/>
      <c r="BE406" s="262"/>
      <c r="BF406" s="262"/>
      <c r="BG406" s="262"/>
      <c r="BH406" s="262"/>
      <c r="BI406" s="262"/>
      <c r="BJ406" s="262"/>
      <c r="BK406" s="262"/>
    </row>
    <row r="407" spans="1:63" ht="12.75" x14ac:dyDescent="0.2">
      <c r="A407" s="263"/>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262"/>
      <c r="AE407" s="262"/>
      <c r="AF407" s="262"/>
      <c r="AG407" s="262"/>
      <c r="AH407" s="262"/>
      <c r="AI407" s="262"/>
      <c r="AJ407" s="262"/>
      <c r="AK407" s="262"/>
      <c r="AL407" s="262"/>
      <c r="AM407" s="262"/>
      <c r="AN407" s="262"/>
      <c r="AO407" s="262"/>
      <c r="AP407" s="262"/>
      <c r="AQ407" s="262"/>
      <c r="AR407" s="262"/>
      <c r="AS407" s="262"/>
      <c r="AT407" s="262"/>
      <c r="AU407" s="262"/>
      <c r="AV407" s="262"/>
      <c r="AW407" s="262"/>
      <c r="AX407" s="262"/>
      <c r="AY407" s="262"/>
      <c r="AZ407" s="262"/>
      <c r="BA407" s="262"/>
      <c r="BB407" s="262"/>
      <c r="BC407" s="262"/>
      <c r="BD407" s="262"/>
      <c r="BE407" s="262"/>
      <c r="BF407" s="262"/>
      <c r="BG407" s="262"/>
      <c r="BH407" s="262"/>
      <c r="BI407" s="262"/>
      <c r="BJ407" s="262"/>
      <c r="BK407" s="262"/>
    </row>
    <row r="408" spans="1:63" ht="12.75" x14ac:dyDescent="0.2">
      <c r="A408" s="263"/>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262"/>
      <c r="AE408" s="262"/>
      <c r="AF408" s="262"/>
      <c r="AG408" s="262"/>
      <c r="AH408" s="262"/>
      <c r="AI408" s="262"/>
      <c r="AJ408" s="262"/>
      <c r="AK408" s="262"/>
      <c r="AL408" s="262"/>
      <c r="AM408" s="262"/>
      <c r="AN408" s="262"/>
      <c r="AO408" s="262"/>
      <c r="AP408" s="262"/>
      <c r="AQ408" s="262"/>
      <c r="AR408" s="262"/>
      <c r="AS408" s="262"/>
      <c r="AT408" s="262"/>
      <c r="AU408" s="262"/>
      <c r="AV408" s="262"/>
      <c r="AW408" s="262"/>
      <c r="AX408" s="262"/>
      <c r="AY408" s="262"/>
      <c r="AZ408" s="262"/>
      <c r="BA408" s="262"/>
      <c r="BB408" s="262"/>
      <c r="BC408" s="262"/>
      <c r="BD408" s="262"/>
      <c r="BE408" s="262"/>
      <c r="BF408" s="262"/>
      <c r="BG408" s="262"/>
      <c r="BH408" s="262"/>
      <c r="BI408" s="262"/>
      <c r="BJ408" s="262"/>
      <c r="BK408" s="262"/>
    </row>
    <row r="409" spans="1:63" ht="12.75" x14ac:dyDescent="0.2">
      <c r="A409" s="263"/>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F409" s="262"/>
      <c r="AG409" s="262"/>
      <c r="AH409" s="262"/>
      <c r="AI409" s="262"/>
      <c r="AJ409" s="262"/>
      <c r="AK409" s="262"/>
      <c r="AL409" s="262"/>
      <c r="AM409" s="262"/>
      <c r="AN409" s="262"/>
      <c r="AO409" s="262"/>
      <c r="AP409" s="262"/>
      <c r="AQ409" s="262"/>
      <c r="AR409" s="262"/>
      <c r="AS409" s="262"/>
      <c r="AT409" s="262"/>
      <c r="AU409" s="262"/>
      <c r="AV409" s="262"/>
      <c r="AW409" s="262"/>
      <c r="AX409" s="262"/>
      <c r="AY409" s="262"/>
      <c r="AZ409" s="262"/>
      <c r="BA409" s="262"/>
      <c r="BB409" s="262"/>
      <c r="BC409" s="262"/>
      <c r="BD409" s="262"/>
      <c r="BE409" s="262"/>
      <c r="BF409" s="262"/>
      <c r="BG409" s="262"/>
      <c r="BH409" s="262"/>
      <c r="BI409" s="262"/>
      <c r="BJ409" s="262"/>
      <c r="BK409" s="262"/>
    </row>
    <row r="410" spans="1:63" ht="12.75" x14ac:dyDescent="0.2">
      <c r="A410" s="263"/>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262"/>
      <c r="AF410" s="262"/>
      <c r="AG410" s="262"/>
      <c r="AH410" s="262"/>
      <c r="AI410" s="262"/>
      <c r="AJ410" s="262"/>
      <c r="AK410" s="262"/>
      <c r="AL410" s="262"/>
      <c r="AM410" s="262"/>
      <c r="AN410" s="262"/>
      <c r="AO410" s="262"/>
      <c r="AP410" s="262"/>
      <c r="AQ410" s="262"/>
      <c r="AR410" s="262"/>
      <c r="AS410" s="262"/>
      <c r="AT410" s="262"/>
      <c r="AU410" s="262"/>
      <c r="AV410" s="262"/>
      <c r="AW410" s="262"/>
      <c r="AX410" s="262"/>
      <c r="AY410" s="262"/>
      <c r="AZ410" s="262"/>
      <c r="BA410" s="262"/>
      <c r="BB410" s="262"/>
      <c r="BC410" s="262"/>
      <c r="BD410" s="262"/>
      <c r="BE410" s="262"/>
      <c r="BF410" s="262"/>
      <c r="BG410" s="262"/>
      <c r="BH410" s="262"/>
      <c r="BI410" s="262"/>
      <c r="BJ410" s="262"/>
      <c r="BK410" s="262"/>
    </row>
    <row r="411" spans="1:63" ht="12.75" x14ac:dyDescent="0.2">
      <c r="A411" s="263"/>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c r="AA411" s="262"/>
      <c r="AB411" s="262"/>
      <c r="AC411" s="262"/>
      <c r="AD411" s="262"/>
      <c r="AE411" s="262"/>
      <c r="AF411" s="262"/>
      <c r="AG411" s="262"/>
      <c r="AH411" s="262"/>
      <c r="AI411" s="262"/>
      <c r="AJ411" s="262"/>
      <c r="AK411" s="262"/>
      <c r="AL411" s="262"/>
      <c r="AM411" s="262"/>
      <c r="AN411" s="262"/>
      <c r="AO411" s="262"/>
      <c r="AP411" s="262"/>
      <c r="AQ411" s="262"/>
      <c r="AR411" s="262"/>
      <c r="AS411" s="262"/>
      <c r="AT411" s="262"/>
      <c r="AU411" s="262"/>
      <c r="AV411" s="262"/>
      <c r="AW411" s="262"/>
      <c r="AX411" s="262"/>
      <c r="AY411" s="262"/>
      <c r="AZ411" s="262"/>
      <c r="BA411" s="262"/>
      <c r="BB411" s="262"/>
      <c r="BC411" s="262"/>
      <c r="BD411" s="262"/>
      <c r="BE411" s="262"/>
      <c r="BF411" s="262"/>
      <c r="BG411" s="262"/>
      <c r="BH411" s="262"/>
      <c r="BI411" s="262"/>
      <c r="BJ411" s="262"/>
      <c r="BK411" s="262"/>
    </row>
    <row r="412" spans="1:63" ht="12.75" x14ac:dyDescent="0.2">
      <c r="A412" s="263"/>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c r="AA412" s="262"/>
      <c r="AB412" s="262"/>
      <c r="AC412" s="262"/>
      <c r="AD412" s="262"/>
      <c r="AE412" s="262"/>
      <c r="AF412" s="262"/>
      <c r="AG412" s="262"/>
      <c r="AH412" s="262"/>
      <c r="AI412" s="262"/>
      <c r="AJ412" s="262"/>
      <c r="AK412" s="262"/>
      <c r="AL412" s="262"/>
      <c r="AM412" s="262"/>
      <c r="AN412" s="262"/>
      <c r="AO412" s="262"/>
      <c r="AP412" s="262"/>
      <c r="AQ412" s="262"/>
      <c r="AR412" s="262"/>
      <c r="AS412" s="262"/>
      <c r="AT412" s="262"/>
      <c r="AU412" s="262"/>
      <c r="AV412" s="262"/>
      <c r="AW412" s="262"/>
      <c r="AX412" s="262"/>
      <c r="AY412" s="262"/>
      <c r="AZ412" s="262"/>
      <c r="BA412" s="262"/>
      <c r="BB412" s="262"/>
      <c r="BC412" s="262"/>
      <c r="BD412" s="262"/>
      <c r="BE412" s="262"/>
      <c r="BF412" s="262"/>
      <c r="BG412" s="262"/>
      <c r="BH412" s="262"/>
      <c r="BI412" s="262"/>
      <c r="BJ412" s="262"/>
      <c r="BK412" s="262"/>
    </row>
    <row r="413" spans="1:63" ht="12.75" x14ac:dyDescent="0.2">
      <c r="A413" s="263"/>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262"/>
      <c r="AF413" s="262"/>
      <c r="AG413" s="262"/>
      <c r="AH413" s="262"/>
      <c r="AI413" s="262"/>
      <c r="AJ413" s="262"/>
      <c r="AK413" s="262"/>
      <c r="AL413" s="262"/>
      <c r="AM413" s="262"/>
      <c r="AN413" s="262"/>
      <c r="AO413" s="262"/>
      <c r="AP413" s="262"/>
      <c r="AQ413" s="262"/>
      <c r="AR413" s="262"/>
      <c r="AS413" s="262"/>
      <c r="AT413" s="262"/>
      <c r="AU413" s="262"/>
      <c r="AV413" s="262"/>
      <c r="AW413" s="262"/>
      <c r="AX413" s="262"/>
      <c r="AY413" s="262"/>
      <c r="AZ413" s="262"/>
      <c r="BA413" s="262"/>
      <c r="BB413" s="262"/>
      <c r="BC413" s="262"/>
      <c r="BD413" s="262"/>
      <c r="BE413" s="262"/>
      <c r="BF413" s="262"/>
      <c r="BG413" s="262"/>
      <c r="BH413" s="262"/>
      <c r="BI413" s="262"/>
      <c r="BJ413" s="262"/>
      <c r="BK413" s="262"/>
    </row>
    <row r="414" spans="1:63" ht="12.75" x14ac:dyDescent="0.2">
      <c r="A414" s="263"/>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262"/>
      <c r="AE414" s="262"/>
      <c r="AF414" s="262"/>
      <c r="AG414" s="262"/>
      <c r="AH414" s="262"/>
      <c r="AI414" s="262"/>
      <c r="AJ414" s="262"/>
      <c r="AK414" s="262"/>
      <c r="AL414" s="262"/>
      <c r="AM414" s="262"/>
      <c r="AN414" s="262"/>
      <c r="AO414" s="262"/>
      <c r="AP414" s="262"/>
      <c r="AQ414" s="262"/>
      <c r="AR414" s="262"/>
      <c r="AS414" s="262"/>
      <c r="AT414" s="262"/>
      <c r="AU414" s="262"/>
      <c r="AV414" s="262"/>
      <c r="AW414" s="262"/>
      <c r="AX414" s="262"/>
      <c r="AY414" s="262"/>
      <c r="AZ414" s="262"/>
      <c r="BA414" s="262"/>
      <c r="BB414" s="262"/>
      <c r="BC414" s="262"/>
      <c r="BD414" s="262"/>
      <c r="BE414" s="262"/>
      <c r="BF414" s="262"/>
      <c r="BG414" s="262"/>
      <c r="BH414" s="262"/>
      <c r="BI414" s="262"/>
      <c r="BJ414" s="262"/>
      <c r="BK414" s="262"/>
    </row>
    <row r="415" spans="1:63" ht="12.75" x14ac:dyDescent="0.2">
      <c r="A415" s="263"/>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262"/>
      <c r="AE415" s="262"/>
      <c r="AF415" s="262"/>
      <c r="AG415" s="262"/>
      <c r="AH415" s="262"/>
      <c r="AI415" s="262"/>
      <c r="AJ415" s="262"/>
      <c r="AK415" s="262"/>
      <c r="AL415" s="262"/>
      <c r="AM415" s="262"/>
      <c r="AN415" s="262"/>
      <c r="AO415" s="262"/>
      <c r="AP415" s="262"/>
      <c r="AQ415" s="262"/>
      <c r="AR415" s="262"/>
      <c r="AS415" s="262"/>
      <c r="AT415" s="262"/>
      <c r="AU415" s="262"/>
      <c r="AV415" s="262"/>
      <c r="AW415" s="262"/>
      <c r="AX415" s="262"/>
      <c r="AY415" s="262"/>
      <c r="AZ415" s="262"/>
      <c r="BA415" s="262"/>
      <c r="BB415" s="262"/>
      <c r="BC415" s="262"/>
      <c r="BD415" s="262"/>
      <c r="BE415" s="262"/>
      <c r="BF415" s="262"/>
      <c r="BG415" s="262"/>
      <c r="BH415" s="262"/>
      <c r="BI415" s="262"/>
      <c r="BJ415" s="262"/>
      <c r="BK415" s="262"/>
    </row>
    <row r="416" spans="1:63" ht="12.75" x14ac:dyDescent="0.2">
      <c r="A416" s="263"/>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262"/>
      <c r="AE416" s="262"/>
      <c r="AF416" s="262"/>
      <c r="AG416" s="262"/>
      <c r="AH416" s="262"/>
      <c r="AI416" s="262"/>
      <c r="AJ416" s="262"/>
      <c r="AK416" s="262"/>
      <c r="AL416" s="262"/>
      <c r="AM416" s="262"/>
      <c r="AN416" s="262"/>
      <c r="AO416" s="262"/>
      <c r="AP416" s="262"/>
      <c r="AQ416" s="262"/>
      <c r="AR416" s="262"/>
      <c r="AS416" s="262"/>
      <c r="AT416" s="262"/>
      <c r="AU416" s="262"/>
      <c r="AV416" s="262"/>
      <c r="AW416" s="262"/>
      <c r="AX416" s="262"/>
      <c r="AY416" s="262"/>
      <c r="AZ416" s="262"/>
      <c r="BA416" s="262"/>
      <c r="BB416" s="262"/>
      <c r="BC416" s="262"/>
      <c r="BD416" s="262"/>
      <c r="BE416" s="262"/>
      <c r="BF416" s="262"/>
      <c r="BG416" s="262"/>
      <c r="BH416" s="262"/>
      <c r="BI416" s="262"/>
      <c r="BJ416" s="262"/>
      <c r="BK416" s="262"/>
    </row>
    <row r="417" spans="1:63" ht="12.75" x14ac:dyDescent="0.2">
      <c r="A417" s="263"/>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262"/>
      <c r="AE417" s="262"/>
      <c r="AF417" s="262"/>
      <c r="AG417" s="262"/>
      <c r="AH417" s="262"/>
      <c r="AI417" s="262"/>
      <c r="AJ417" s="262"/>
      <c r="AK417" s="262"/>
      <c r="AL417" s="262"/>
      <c r="AM417" s="262"/>
      <c r="AN417" s="262"/>
      <c r="AO417" s="262"/>
      <c r="AP417" s="262"/>
      <c r="AQ417" s="262"/>
      <c r="AR417" s="262"/>
      <c r="AS417" s="262"/>
      <c r="AT417" s="262"/>
      <c r="AU417" s="262"/>
      <c r="AV417" s="262"/>
      <c r="AW417" s="262"/>
      <c r="AX417" s="262"/>
      <c r="AY417" s="262"/>
      <c r="AZ417" s="262"/>
      <c r="BA417" s="262"/>
      <c r="BB417" s="262"/>
      <c r="BC417" s="262"/>
      <c r="BD417" s="262"/>
      <c r="BE417" s="262"/>
      <c r="BF417" s="262"/>
      <c r="BG417" s="262"/>
      <c r="BH417" s="262"/>
      <c r="BI417" s="262"/>
      <c r="BJ417" s="262"/>
      <c r="BK417" s="262"/>
    </row>
    <row r="418" spans="1:63" ht="12.75" x14ac:dyDescent="0.2">
      <c r="A418" s="263"/>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262"/>
      <c r="AE418" s="262"/>
      <c r="AF418" s="262"/>
      <c r="AG418" s="262"/>
      <c r="AH418" s="262"/>
      <c r="AI418" s="262"/>
      <c r="AJ418" s="262"/>
      <c r="AK418" s="262"/>
      <c r="AL418" s="262"/>
      <c r="AM418" s="262"/>
      <c r="AN418" s="262"/>
      <c r="AO418" s="262"/>
      <c r="AP418" s="262"/>
      <c r="AQ418" s="262"/>
      <c r="AR418" s="262"/>
      <c r="AS418" s="262"/>
      <c r="AT418" s="262"/>
      <c r="AU418" s="262"/>
      <c r="AV418" s="262"/>
      <c r="AW418" s="262"/>
      <c r="AX418" s="262"/>
      <c r="AY418" s="262"/>
      <c r="AZ418" s="262"/>
      <c r="BA418" s="262"/>
      <c r="BB418" s="262"/>
      <c r="BC418" s="262"/>
      <c r="BD418" s="262"/>
      <c r="BE418" s="262"/>
      <c r="BF418" s="262"/>
      <c r="BG418" s="262"/>
      <c r="BH418" s="262"/>
      <c r="BI418" s="262"/>
      <c r="BJ418" s="262"/>
      <c r="BK418" s="262"/>
    </row>
    <row r="419" spans="1:63" ht="12.75" x14ac:dyDescent="0.2">
      <c r="A419" s="263"/>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262"/>
      <c r="AF419" s="262"/>
      <c r="AG419" s="262"/>
      <c r="AH419" s="262"/>
      <c r="AI419" s="262"/>
      <c r="AJ419" s="262"/>
      <c r="AK419" s="262"/>
      <c r="AL419" s="262"/>
      <c r="AM419" s="262"/>
      <c r="AN419" s="262"/>
      <c r="AO419" s="262"/>
      <c r="AP419" s="262"/>
      <c r="AQ419" s="262"/>
      <c r="AR419" s="262"/>
      <c r="AS419" s="262"/>
      <c r="AT419" s="262"/>
      <c r="AU419" s="262"/>
      <c r="AV419" s="262"/>
      <c r="AW419" s="262"/>
      <c r="AX419" s="262"/>
      <c r="AY419" s="262"/>
      <c r="AZ419" s="262"/>
      <c r="BA419" s="262"/>
      <c r="BB419" s="262"/>
      <c r="BC419" s="262"/>
      <c r="BD419" s="262"/>
      <c r="BE419" s="262"/>
      <c r="BF419" s="262"/>
      <c r="BG419" s="262"/>
      <c r="BH419" s="262"/>
      <c r="BI419" s="262"/>
      <c r="BJ419" s="262"/>
      <c r="BK419" s="262"/>
    </row>
    <row r="420" spans="1:63" ht="12.75" x14ac:dyDescent="0.2">
      <c r="A420" s="263"/>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c r="AA420" s="262"/>
      <c r="AB420" s="262"/>
      <c r="AC420" s="262"/>
      <c r="AD420" s="262"/>
      <c r="AE420" s="262"/>
      <c r="AF420" s="262"/>
      <c r="AG420" s="262"/>
      <c r="AH420" s="262"/>
      <c r="AI420" s="262"/>
      <c r="AJ420" s="262"/>
      <c r="AK420" s="262"/>
      <c r="AL420" s="262"/>
      <c r="AM420" s="262"/>
      <c r="AN420" s="262"/>
      <c r="AO420" s="262"/>
      <c r="AP420" s="262"/>
      <c r="AQ420" s="262"/>
      <c r="AR420" s="262"/>
      <c r="AS420" s="262"/>
      <c r="AT420" s="262"/>
      <c r="AU420" s="262"/>
      <c r="AV420" s="262"/>
      <c r="AW420" s="262"/>
      <c r="AX420" s="262"/>
      <c r="AY420" s="262"/>
      <c r="AZ420" s="262"/>
      <c r="BA420" s="262"/>
      <c r="BB420" s="262"/>
      <c r="BC420" s="262"/>
      <c r="BD420" s="262"/>
      <c r="BE420" s="262"/>
      <c r="BF420" s="262"/>
      <c r="BG420" s="262"/>
      <c r="BH420" s="262"/>
      <c r="BI420" s="262"/>
      <c r="BJ420" s="262"/>
      <c r="BK420" s="262"/>
    </row>
    <row r="421" spans="1:63" ht="12.75" x14ac:dyDescent="0.2">
      <c r="A421" s="263"/>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c r="AA421" s="262"/>
      <c r="AB421" s="262"/>
      <c r="AC421" s="262"/>
      <c r="AD421" s="262"/>
      <c r="AE421" s="262"/>
      <c r="AF421" s="262"/>
      <c r="AG421" s="262"/>
      <c r="AH421" s="262"/>
      <c r="AI421" s="262"/>
      <c r="AJ421" s="262"/>
      <c r="AK421" s="262"/>
      <c r="AL421" s="262"/>
      <c r="AM421" s="262"/>
      <c r="AN421" s="262"/>
      <c r="AO421" s="262"/>
      <c r="AP421" s="262"/>
      <c r="AQ421" s="262"/>
      <c r="AR421" s="262"/>
      <c r="AS421" s="262"/>
      <c r="AT421" s="262"/>
      <c r="AU421" s="262"/>
      <c r="AV421" s="262"/>
      <c r="AW421" s="262"/>
      <c r="AX421" s="262"/>
      <c r="AY421" s="262"/>
      <c r="AZ421" s="262"/>
      <c r="BA421" s="262"/>
      <c r="BB421" s="262"/>
      <c r="BC421" s="262"/>
      <c r="BD421" s="262"/>
      <c r="BE421" s="262"/>
      <c r="BF421" s="262"/>
      <c r="BG421" s="262"/>
      <c r="BH421" s="262"/>
      <c r="BI421" s="262"/>
      <c r="BJ421" s="262"/>
      <c r="BK421" s="262"/>
    </row>
    <row r="422" spans="1:63" ht="12.75" x14ac:dyDescent="0.2">
      <c r="A422" s="263"/>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262"/>
      <c r="AF422" s="262"/>
      <c r="AG422" s="262"/>
      <c r="AH422" s="262"/>
      <c r="AI422" s="262"/>
      <c r="AJ422" s="262"/>
      <c r="AK422" s="262"/>
      <c r="AL422" s="262"/>
      <c r="AM422" s="262"/>
      <c r="AN422" s="262"/>
      <c r="AO422" s="262"/>
      <c r="AP422" s="262"/>
      <c r="AQ422" s="262"/>
      <c r="AR422" s="262"/>
      <c r="AS422" s="262"/>
      <c r="AT422" s="262"/>
      <c r="AU422" s="262"/>
      <c r="AV422" s="262"/>
      <c r="AW422" s="262"/>
      <c r="AX422" s="262"/>
      <c r="AY422" s="262"/>
      <c r="AZ422" s="262"/>
      <c r="BA422" s="262"/>
      <c r="BB422" s="262"/>
      <c r="BC422" s="262"/>
      <c r="BD422" s="262"/>
      <c r="BE422" s="262"/>
      <c r="BF422" s="262"/>
      <c r="BG422" s="262"/>
      <c r="BH422" s="262"/>
      <c r="BI422" s="262"/>
      <c r="BJ422" s="262"/>
      <c r="BK422" s="262"/>
    </row>
    <row r="423" spans="1:63" ht="12.75" x14ac:dyDescent="0.2">
      <c r="A423" s="263"/>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c r="AA423" s="262"/>
      <c r="AB423" s="262"/>
      <c r="AC423" s="262"/>
      <c r="AD423" s="262"/>
      <c r="AE423" s="262"/>
      <c r="AF423" s="262"/>
      <c r="AG423" s="262"/>
      <c r="AH423" s="262"/>
      <c r="AI423" s="262"/>
      <c r="AJ423" s="262"/>
      <c r="AK423" s="262"/>
      <c r="AL423" s="262"/>
      <c r="AM423" s="262"/>
      <c r="AN423" s="262"/>
      <c r="AO423" s="262"/>
      <c r="AP423" s="262"/>
      <c r="AQ423" s="262"/>
      <c r="AR423" s="262"/>
      <c r="AS423" s="262"/>
      <c r="AT423" s="262"/>
      <c r="AU423" s="262"/>
      <c r="AV423" s="262"/>
      <c r="AW423" s="262"/>
      <c r="AX423" s="262"/>
      <c r="AY423" s="262"/>
      <c r="AZ423" s="262"/>
      <c r="BA423" s="262"/>
      <c r="BB423" s="262"/>
      <c r="BC423" s="262"/>
      <c r="BD423" s="262"/>
      <c r="BE423" s="262"/>
      <c r="BF423" s="262"/>
      <c r="BG423" s="262"/>
      <c r="BH423" s="262"/>
      <c r="BI423" s="262"/>
      <c r="BJ423" s="262"/>
      <c r="BK423" s="262"/>
    </row>
    <row r="424" spans="1:63" ht="12.75" x14ac:dyDescent="0.2">
      <c r="A424" s="263"/>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c r="AA424" s="262"/>
      <c r="AB424" s="262"/>
      <c r="AC424" s="262"/>
      <c r="AD424" s="262"/>
      <c r="AE424" s="262"/>
      <c r="AF424" s="262"/>
      <c r="AG424" s="262"/>
      <c r="AH424" s="262"/>
      <c r="AI424" s="262"/>
      <c r="AJ424" s="262"/>
      <c r="AK424" s="262"/>
      <c r="AL424" s="262"/>
      <c r="AM424" s="262"/>
      <c r="AN424" s="262"/>
      <c r="AO424" s="262"/>
      <c r="AP424" s="262"/>
      <c r="AQ424" s="262"/>
      <c r="AR424" s="262"/>
      <c r="AS424" s="262"/>
      <c r="AT424" s="262"/>
      <c r="AU424" s="262"/>
      <c r="AV424" s="262"/>
      <c r="AW424" s="262"/>
      <c r="AX424" s="262"/>
      <c r="AY424" s="262"/>
      <c r="AZ424" s="262"/>
      <c r="BA424" s="262"/>
      <c r="BB424" s="262"/>
      <c r="BC424" s="262"/>
      <c r="BD424" s="262"/>
      <c r="BE424" s="262"/>
      <c r="BF424" s="262"/>
      <c r="BG424" s="262"/>
      <c r="BH424" s="262"/>
      <c r="BI424" s="262"/>
      <c r="BJ424" s="262"/>
      <c r="BK424" s="262"/>
    </row>
    <row r="425" spans="1:63" ht="12.75" x14ac:dyDescent="0.2">
      <c r="A425" s="263"/>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c r="AA425" s="262"/>
      <c r="AB425" s="262"/>
      <c r="AC425" s="262"/>
      <c r="AD425" s="262"/>
      <c r="AE425" s="262"/>
      <c r="AF425" s="262"/>
      <c r="AG425" s="262"/>
      <c r="AH425" s="262"/>
      <c r="AI425" s="262"/>
      <c r="AJ425" s="262"/>
      <c r="AK425" s="262"/>
      <c r="AL425" s="262"/>
      <c r="AM425" s="262"/>
      <c r="AN425" s="262"/>
      <c r="AO425" s="262"/>
      <c r="AP425" s="262"/>
      <c r="AQ425" s="262"/>
      <c r="AR425" s="262"/>
      <c r="AS425" s="262"/>
      <c r="AT425" s="262"/>
      <c r="AU425" s="262"/>
      <c r="AV425" s="262"/>
      <c r="AW425" s="262"/>
      <c r="AX425" s="262"/>
      <c r="AY425" s="262"/>
      <c r="AZ425" s="262"/>
      <c r="BA425" s="262"/>
      <c r="BB425" s="262"/>
      <c r="BC425" s="262"/>
      <c r="BD425" s="262"/>
      <c r="BE425" s="262"/>
      <c r="BF425" s="262"/>
      <c r="BG425" s="262"/>
      <c r="BH425" s="262"/>
      <c r="BI425" s="262"/>
      <c r="BJ425" s="262"/>
      <c r="BK425" s="262"/>
    </row>
    <row r="426" spans="1:63" ht="12.75" x14ac:dyDescent="0.2">
      <c r="A426" s="263"/>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c r="AA426" s="262"/>
      <c r="AB426" s="262"/>
      <c r="AC426" s="262"/>
      <c r="AD426" s="262"/>
      <c r="AE426" s="262"/>
      <c r="AF426" s="262"/>
      <c r="AG426" s="262"/>
      <c r="AH426" s="262"/>
      <c r="AI426" s="262"/>
      <c r="AJ426" s="262"/>
      <c r="AK426" s="262"/>
      <c r="AL426" s="262"/>
      <c r="AM426" s="262"/>
      <c r="AN426" s="262"/>
      <c r="AO426" s="262"/>
      <c r="AP426" s="262"/>
      <c r="AQ426" s="262"/>
      <c r="AR426" s="262"/>
      <c r="AS426" s="262"/>
      <c r="AT426" s="262"/>
      <c r="AU426" s="262"/>
      <c r="AV426" s="262"/>
      <c r="AW426" s="262"/>
      <c r="AX426" s="262"/>
      <c r="AY426" s="262"/>
      <c r="AZ426" s="262"/>
      <c r="BA426" s="262"/>
      <c r="BB426" s="262"/>
      <c r="BC426" s="262"/>
      <c r="BD426" s="262"/>
      <c r="BE426" s="262"/>
      <c r="BF426" s="262"/>
      <c r="BG426" s="262"/>
      <c r="BH426" s="262"/>
      <c r="BI426" s="262"/>
      <c r="BJ426" s="262"/>
      <c r="BK426" s="262"/>
    </row>
    <row r="427" spans="1:63" ht="12.75" x14ac:dyDescent="0.2">
      <c r="A427" s="263"/>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262"/>
      <c r="AE427" s="262"/>
      <c r="AF427" s="262"/>
      <c r="AG427" s="262"/>
      <c r="AH427" s="262"/>
      <c r="AI427" s="262"/>
      <c r="AJ427" s="262"/>
      <c r="AK427" s="262"/>
      <c r="AL427" s="262"/>
      <c r="AM427" s="262"/>
      <c r="AN427" s="262"/>
      <c r="AO427" s="262"/>
      <c r="AP427" s="262"/>
      <c r="AQ427" s="262"/>
      <c r="AR427" s="262"/>
      <c r="AS427" s="262"/>
      <c r="AT427" s="262"/>
      <c r="AU427" s="262"/>
      <c r="AV427" s="262"/>
      <c r="AW427" s="262"/>
      <c r="AX427" s="262"/>
      <c r="AY427" s="262"/>
      <c r="AZ427" s="262"/>
      <c r="BA427" s="262"/>
      <c r="BB427" s="262"/>
      <c r="BC427" s="262"/>
      <c r="BD427" s="262"/>
      <c r="BE427" s="262"/>
      <c r="BF427" s="262"/>
      <c r="BG427" s="262"/>
      <c r="BH427" s="262"/>
      <c r="BI427" s="262"/>
      <c r="BJ427" s="262"/>
      <c r="BK427" s="262"/>
    </row>
    <row r="428" spans="1:63" ht="12.75" x14ac:dyDescent="0.2">
      <c r="A428" s="263"/>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262"/>
      <c r="AE428" s="262"/>
      <c r="AF428" s="262"/>
      <c r="AG428" s="262"/>
      <c r="AH428" s="262"/>
      <c r="AI428" s="262"/>
      <c r="AJ428" s="262"/>
      <c r="AK428" s="262"/>
      <c r="AL428" s="262"/>
      <c r="AM428" s="262"/>
      <c r="AN428" s="262"/>
      <c r="AO428" s="262"/>
      <c r="AP428" s="262"/>
      <c r="AQ428" s="262"/>
      <c r="AR428" s="262"/>
      <c r="AS428" s="262"/>
      <c r="AT428" s="262"/>
      <c r="AU428" s="262"/>
      <c r="AV428" s="262"/>
      <c r="AW428" s="262"/>
      <c r="AX428" s="262"/>
      <c r="AY428" s="262"/>
      <c r="AZ428" s="262"/>
      <c r="BA428" s="262"/>
      <c r="BB428" s="262"/>
      <c r="BC428" s="262"/>
      <c r="BD428" s="262"/>
      <c r="BE428" s="262"/>
      <c r="BF428" s="262"/>
      <c r="BG428" s="262"/>
      <c r="BH428" s="262"/>
      <c r="BI428" s="262"/>
      <c r="BJ428" s="262"/>
      <c r="BK428" s="262"/>
    </row>
    <row r="429" spans="1:63" ht="12.75" x14ac:dyDescent="0.2">
      <c r="A429" s="263"/>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262"/>
      <c r="AE429" s="262"/>
      <c r="AF429" s="262"/>
      <c r="AG429" s="262"/>
      <c r="AH429" s="262"/>
      <c r="AI429" s="262"/>
      <c r="AJ429" s="262"/>
      <c r="AK429" s="262"/>
      <c r="AL429" s="262"/>
      <c r="AM429" s="262"/>
      <c r="AN429" s="262"/>
      <c r="AO429" s="262"/>
      <c r="AP429" s="262"/>
      <c r="AQ429" s="262"/>
      <c r="AR429" s="262"/>
      <c r="AS429" s="262"/>
      <c r="AT429" s="262"/>
      <c r="AU429" s="262"/>
      <c r="AV429" s="262"/>
      <c r="AW429" s="262"/>
      <c r="AX429" s="262"/>
      <c r="AY429" s="262"/>
      <c r="AZ429" s="262"/>
      <c r="BA429" s="262"/>
      <c r="BB429" s="262"/>
      <c r="BC429" s="262"/>
      <c r="BD429" s="262"/>
      <c r="BE429" s="262"/>
      <c r="BF429" s="262"/>
      <c r="BG429" s="262"/>
      <c r="BH429" s="262"/>
      <c r="BI429" s="262"/>
      <c r="BJ429" s="262"/>
      <c r="BK429" s="262"/>
    </row>
    <row r="430" spans="1:63" ht="12.75" x14ac:dyDescent="0.2">
      <c r="A430" s="263"/>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262"/>
      <c r="AE430" s="262"/>
      <c r="AF430" s="262"/>
      <c r="AG430" s="262"/>
      <c r="AH430" s="262"/>
      <c r="AI430" s="262"/>
      <c r="AJ430" s="262"/>
      <c r="AK430" s="262"/>
      <c r="AL430" s="262"/>
      <c r="AM430" s="262"/>
      <c r="AN430" s="262"/>
      <c r="AO430" s="262"/>
      <c r="AP430" s="262"/>
      <c r="AQ430" s="262"/>
      <c r="AR430" s="262"/>
      <c r="AS430" s="262"/>
      <c r="AT430" s="262"/>
      <c r="AU430" s="262"/>
      <c r="AV430" s="262"/>
      <c r="AW430" s="262"/>
      <c r="AX430" s="262"/>
      <c r="AY430" s="262"/>
      <c r="AZ430" s="262"/>
      <c r="BA430" s="262"/>
      <c r="BB430" s="262"/>
      <c r="BC430" s="262"/>
      <c r="BD430" s="262"/>
      <c r="BE430" s="262"/>
      <c r="BF430" s="262"/>
      <c r="BG430" s="262"/>
      <c r="BH430" s="262"/>
      <c r="BI430" s="262"/>
      <c r="BJ430" s="262"/>
      <c r="BK430" s="262"/>
    </row>
    <row r="431" spans="1:63" ht="12.75" x14ac:dyDescent="0.2">
      <c r="A431" s="263"/>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262"/>
      <c r="AE431" s="262"/>
      <c r="AF431" s="262"/>
      <c r="AG431" s="262"/>
      <c r="AH431" s="262"/>
      <c r="AI431" s="262"/>
      <c r="AJ431" s="262"/>
      <c r="AK431" s="262"/>
      <c r="AL431" s="262"/>
      <c r="AM431" s="262"/>
      <c r="AN431" s="262"/>
      <c r="AO431" s="262"/>
      <c r="AP431" s="262"/>
      <c r="AQ431" s="262"/>
      <c r="AR431" s="262"/>
      <c r="AS431" s="262"/>
      <c r="AT431" s="262"/>
      <c r="AU431" s="262"/>
      <c r="AV431" s="262"/>
      <c r="AW431" s="262"/>
      <c r="AX431" s="262"/>
      <c r="AY431" s="262"/>
      <c r="AZ431" s="262"/>
      <c r="BA431" s="262"/>
      <c r="BB431" s="262"/>
      <c r="BC431" s="262"/>
      <c r="BD431" s="262"/>
      <c r="BE431" s="262"/>
      <c r="BF431" s="262"/>
      <c r="BG431" s="262"/>
      <c r="BH431" s="262"/>
      <c r="BI431" s="262"/>
      <c r="BJ431" s="262"/>
      <c r="BK431" s="262"/>
    </row>
    <row r="432" spans="1:63" ht="12.75" x14ac:dyDescent="0.2">
      <c r="A432" s="263"/>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262"/>
      <c r="AE432" s="262"/>
      <c r="AF432" s="262"/>
      <c r="AG432" s="262"/>
      <c r="AH432" s="262"/>
      <c r="AI432" s="262"/>
      <c r="AJ432" s="262"/>
      <c r="AK432" s="262"/>
      <c r="AL432" s="262"/>
      <c r="AM432" s="262"/>
      <c r="AN432" s="262"/>
      <c r="AO432" s="262"/>
      <c r="AP432" s="262"/>
      <c r="AQ432" s="262"/>
      <c r="AR432" s="262"/>
      <c r="AS432" s="262"/>
      <c r="AT432" s="262"/>
      <c r="AU432" s="262"/>
      <c r="AV432" s="262"/>
      <c r="AW432" s="262"/>
      <c r="AX432" s="262"/>
      <c r="AY432" s="262"/>
      <c r="AZ432" s="262"/>
      <c r="BA432" s="262"/>
      <c r="BB432" s="262"/>
      <c r="BC432" s="262"/>
      <c r="BD432" s="262"/>
      <c r="BE432" s="262"/>
      <c r="BF432" s="262"/>
      <c r="BG432" s="262"/>
      <c r="BH432" s="262"/>
      <c r="BI432" s="262"/>
      <c r="BJ432" s="262"/>
      <c r="BK432" s="262"/>
    </row>
    <row r="433" spans="1:63" ht="12.75" x14ac:dyDescent="0.2">
      <c r="A433" s="263"/>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262"/>
      <c r="AE433" s="262"/>
      <c r="AF433" s="262"/>
      <c r="AG433" s="262"/>
      <c r="AH433" s="262"/>
      <c r="AI433" s="262"/>
      <c r="AJ433" s="262"/>
      <c r="AK433" s="262"/>
      <c r="AL433" s="262"/>
      <c r="AM433" s="262"/>
      <c r="AN433" s="262"/>
      <c r="AO433" s="262"/>
      <c r="AP433" s="262"/>
      <c r="AQ433" s="262"/>
      <c r="AR433" s="262"/>
      <c r="AS433" s="262"/>
      <c r="AT433" s="262"/>
      <c r="AU433" s="262"/>
      <c r="AV433" s="262"/>
      <c r="AW433" s="262"/>
      <c r="AX433" s="262"/>
      <c r="AY433" s="262"/>
      <c r="AZ433" s="262"/>
      <c r="BA433" s="262"/>
      <c r="BB433" s="262"/>
      <c r="BC433" s="262"/>
      <c r="BD433" s="262"/>
      <c r="BE433" s="262"/>
      <c r="BF433" s="262"/>
      <c r="BG433" s="262"/>
      <c r="BH433" s="262"/>
      <c r="BI433" s="262"/>
      <c r="BJ433" s="262"/>
      <c r="BK433" s="262"/>
    </row>
    <row r="434" spans="1:63" ht="12.75" x14ac:dyDescent="0.2">
      <c r="A434" s="263"/>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262"/>
      <c r="AE434" s="262"/>
      <c r="AF434" s="262"/>
      <c r="AG434" s="262"/>
      <c r="AH434" s="262"/>
      <c r="AI434" s="262"/>
      <c r="AJ434" s="262"/>
      <c r="AK434" s="262"/>
      <c r="AL434" s="262"/>
      <c r="AM434" s="262"/>
      <c r="AN434" s="262"/>
      <c r="AO434" s="262"/>
      <c r="AP434" s="262"/>
      <c r="AQ434" s="262"/>
      <c r="AR434" s="262"/>
      <c r="AS434" s="262"/>
      <c r="AT434" s="262"/>
      <c r="AU434" s="262"/>
      <c r="AV434" s="262"/>
      <c r="AW434" s="262"/>
      <c r="AX434" s="262"/>
      <c r="AY434" s="262"/>
      <c r="AZ434" s="262"/>
      <c r="BA434" s="262"/>
      <c r="BB434" s="262"/>
      <c r="BC434" s="262"/>
      <c r="BD434" s="262"/>
      <c r="BE434" s="262"/>
      <c r="BF434" s="262"/>
      <c r="BG434" s="262"/>
      <c r="BH434" s="262"/>
      <c r="BI434" s="262"/>
      <c r="BJ434" s="262"/>
      <c r="BK434" s="262"/>
    </row>
    <row r="435" spans="1:63" ht="12.75" x14ac:dyDescent="0.2">
      <c r="A435" s="263"/>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262"/>
      <c r="AE435" s="262"/>
      <c r="AF435" s="262"/>
      <c r="AG435" s="262"/>
      <c r="AH435" s="262"/>
      <c r="AI435" s="262"/>
      <c r="AJ435" s="262"/>
      <c r="AK435" s="262"/>
      <c r="AL435" s="262"/>
      <c r="AM435" s="262"/>
      <c r="AN435" s="262"/>
      <c r="AO435" s="262"/>
      <c r="AP435" s="262"/>
      <c r="AQ435" s="262"/>
      <c r="AR435" s="262"/>
      <c r="AS435" s="262"/>
      <c r="AT435" s="262"/>
      <c r="AU435" s="262"/>
      <c r="AV435" s="262"/>
      <c r="AW435" s="262"/>
      <c r="AX435" s="262"/>
      <c r="AY435" s="262"/>
      <c r="AZ435" s="262"/>
      <c r="BA435" s="262"/>
      <c r="BB435" s="262"/>
      <c r="BC435" s="262"/>
      <c r="BD435" s="262"/>
      <c r="BE435" s="262"/>
      <c r="BF435" s="262"/>
      <c r="BG435" s="262"/>
      <c r="BH435" s="262"/>
      <c r="BI435" s="262"/>
      <c r="BJ435" s="262"/>
      <c r="BK435" s="262"/>
    </row>
    <row r="436" spans="1:63" ht="12.75" x14ac:dyDescent="0.2">
      <c r="A436" s="263"/>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262"/>
      <c r="AE436" s="262"/>
      <c r="AF436" s="262"/>
      <c r="AG436" s="262"/>
      <c r="AH436" s="262"/>
      <c r="AI436" s="262"/>
      <c r="AJ436" s="262"/>
      <c r="AK436" s="262"/>
      <c r="AL436" s="262"/>
      <c r="AM436" s="262"/>
      <c r="AN436" s="262"/>
      <c r="AO436" s="262"/>
      <c r="AP436" s="262"/>
      <c r="AQ436" s="262"/>
      <c r="AR436" s="262"/>
      <c r="AS436" s="262"/>
      <c r="AT436" s="262"/>
      <c r="AU436" s="262"/>
      <c r="AV436" s="262"/>
      <c r="AW436" s="262"/>
      <c r="AX436" s="262"/>
      <c r="AY436" s="262"/>
      <c r="AZ436" s="262"/>
      <c r="BA436" s="262"/>
      <c r="BB436" s="262"/>
      <c r="BC436" s="262"/>
      <c r="BD436" s="262"/>
      <c r="BE436" s="262"/>
      <c r="BF436" s="262"/>
      <c r="BG436" s="262"/>
      <c r="BH436" s="262"/>
      <c r="BI436" s="262"/>
      <c r="BJ436" s="262"/>
      <c r="BK436" s="262"/>
    </row>
    <row r="437" spans="1:63" ht="12.75" x14ac:dyDescent="0.2">
      <c r="A437" s="263"/>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262"/>
      <c r="AE437" s="262"/>
      <c r="AF437" s="262"/>
      <c r="AG437" s="262"/>
      <c r="AH437" s="262"/>
      <c r="AI437" s="262"/>
      <c r="AJ437" s="262"/>
      <c r="AK437" s="262"/>
      <c r="AL437" s="262"/>
      <c r="AM437" s="262"/>
      <c r="AN437" s="262"/>
      <c r="AO437" s="262"/>
      <c r="AP437" s="262"/>
      <c r="AQ437" s="262"/>
      <c r="AR437" s="262"/>
      <c r="AS437" s="262"/>
      <c r="AT437" s="262"/>
      <c r="AU437" s="262"/>
      <c r="AV437" s="262"/>
      <c r="AW437" s="262"/>
      <c r="AX437" s="262"/>
      <c r="AY437" s="262"/>
      <c r="AZ437" s="262"/>
      <c r="BA437" s="262"/>
      <c r="BB437" s="262"/>
      <c r="BC437" s="262"/>
      <c r="BD437" s="262"/>
      <c r="BE437" s="262"/>
      <c r="BF437" s="262"/>
      <c r="BG437" s="262"/>
      <c r="BH437" s="262"/>
      <c r="BI437" s="262"/>
      <c r="BJ437" s="262"/>
      <c r="BK437" s="262"/>
    </row>
    <row r="438" spans="1:63" ht="12.75" x14ac:dyDescent="0.2">
      <c r="A438" s="263"/>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F438" s="262"/>
      <c r="AG438" s="262"/>
      <c r="AH438" s="262"/>
      <c r="AI438" s="262"/>
      <c r="AJ438" s="262"/>
      <c r="AK438" s="262"/>
      <c r="AL438" s="262"/>
      <c r="AM438" s="262"/>
      <c r="AN438" s="262"/>
      <c r="AO438" s="262"/>
      <c r="AP438" s="262"/>
      <c r="AQ438" s="262"/>
      <c r="AR438" s="262"/>
      <c r="AS438" s="262"/>
      <c r="AT438" s="262"/>
      <c r="AU438" s="262"/>
      <c r="AV438" s="262"/>
      <c r="AW438" s="262"/>
      <c r="AX438" s="262"/>
      <c r="AY438" s="262"/>
      <c r="AZ438" s="262"/>
      <c r="BA438" s="262"/>
      <c r="BB438" s="262"/>
      <c r="BC438" s="262"/>
      <c r="BD438" s="262"/>
      <c r="BE438" s="262"/>
      <c r="BF438" s="262"/>
      <c r="BG438" s="262"/>
      <c r="BH438" s="262"/>
      <c r="BI438" s="262"/>
      <c r="BJ438" s="262"/>
      <c r="BK438" s="262"/>
    </row>
    <row r="439" spans="1:63" ht="12.75" x14ac:dyDescent="0.2">
      <c r="A439" s="263"/>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262"/>
      <c r="AE439" s="262"/>
      <c r="AF439" s="262"/>
      <c r="AG439" s="262"/>
      <c r="AH439" s="262"/>
      <c r="AI439" s="262"/>
      <c r="AJ439" s="262"/>
      <c r="AK439" s="262"/>
      <c r="AL439" s="262"/>
      <c r="AM439" s="262"/>
      <c r="AN439" s="262"/>
      <c r="AO439" s="262"/>
      <c r="AP439" s="262"/>
      <c r="AQ439" s="262"/>
      <c r="AR439" s="262"/>
      <c r="AS439" s="262"/>
      <c r="AT439" s="262"/>
      <c r="AU439" s="262"/>
      <c r="AV439" s="262"/>
      <c r="AW439" s="262"/>
      <c r="AX439" s="262"/>
      <c r="AY439" s="262"/>
      <c r="AZ439" s="262"/>
      <c r="BA439" s="262"/>
      <c r="BB439" s="262"/>
      <c r="BC439" s="262"/>
      <c r="BD439" s="262"/>
      <c r="BE439" s="262"/>
      <c r="BF439" s="262"/>
      <c r="BG439" s="262"/>
      <c r="BH439" s="262"/>
      <c r="BI439" s="262"/>
      <c r="BJ439" s="262"/>
      <c r="BK439" s="262"/>
    </row>
    <row r="440" spans="1:63" ht="12.75" x14ac:dyDescent="0.2">
      <c r="A440" s="263"/>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262"/>
      <c r="AE440" s="262"/>
      <c r="AF440" s="262"/>
      <c r="AG440" s="262"/>
      <c r="AH440" s="262"/>
      <c r="AI440" s="262"/>
      <c r="AJ440" s="262"/>
      <c r="AK440" s="262"/>
      <c r="AL440" s="262"/>
      <c r="AM440" s="262"/>
      <c r="AN440" s="262"/>
      <c r="AO440" s="262"/>
      <c r="AP440" s="262"/>
      <c r="AQ440" s="262"/>
      <c r="AR440" s="262"/>
      <c r="AS440" s="262"/>
      <c r="AT440" s="262"/>
      <c r="AU440" s="262"/>
      <c r="AV440" s="262"/>
      <c r="AW440" s="262"/>
      <c r="AX440" s="262"/>
      <c r="AY440" s="262"/>
      <c r="AZ440" s="262"/>
      <c r="BA440" s="262"/>
      <c r="BB440" s="262"/>
      <c r="BC440" s="262"/>
      <c r="BD440" s="262"/>
      <c r="BE440" s="262"/>
      <c r="BF440" s="262"/>
      <c r="BG440" s="262"/>
      <c r="BH440" s="262"/>
      <c r="BI440" s="262"/>
      <c r="BJ440" s="262"/>
      <c r="BK440" s="262"/>
    </row>
    <row r="441" spans="1:63" ht="12.75" x14ac:dyDescent="0.2">
      <c r="A441" s="263"/>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262"/>
      <c r="AF441" s="262"/>
      <c r="AG441" s="262"/>
      <c r="AH441" s="262"/>
      <c r="AI441" s="262"/>
      <c r="AJ441" s="262"/>
      <c r="AK441" s="262"/>
      <c r="AL441" s="262"/>
      <c r="AM441" s="262"/>
      <c r="AN441" s="262"/>
      <c r="AO441" s="262"/>
      <c r="AP441" s="262"/>
      <c r="AQ441" s="262"/>
      <c r="AR441" s="262"/>
      <c r="AS441" s="262"/>
      <c r="AT441" s="262"/>
      <c r="AU441" s="262"/>
      <c r="AV441" s="262"/>
      <c r="AW441" s="262"/>
      <c r="AX441" s="262"/>
      <c r="AY441" s="262"/>
      <c r="AZ441" s="262"/>
      <c r="BA441" s="262"/>
      <c r="BB441" s="262"/>
      <c r="BC441" s="262"/>
      <c r="BD441" s="262"/>
      <c r="BE441" s="262"/>
      <c r="BF441" s="262"/>
      <c r="BG441" s="262"/>
      <c r="BH441" s="262"/>
      <c r="BI441" s="262"/>
      <c r="BJ441" s="262"/>
      <c r="BK441" s="262"/>
    </row>
    <row r="442" spans="1:63" ht="12.75" x14ac:dyDescent="0.2">
      <c r="A442" s="263"/>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c r="AA442" s="262"/>
      <c r="AB442" s="262"/>
      <c r="AC442" s="262"/>
      <c r="AD442" s="262"/>
      <c r="AE442" s="262"/>
      <c r="AF442" s="262"/>
      <c r="AG442" s="262"/>
      <c r="AH442" s="262"/>
      <c r="AI442" s="262"/>
      <c r="AJ442" s="262"/>
      <c r="AK442" s="262"/>
      <c r="AL442" s="262"/>
      <c r="AM442" s="262"/>
      <c r="AN442" s="262"/>
      <c r="AO442" s="262"/>
      <c r="AP442" s="262"/>
      <c r="AQ442" s="262"/>
      <c r="AR442" s="262"/>
      <c r="AS442" s="262"/>
      <c r="AT442" s="262"/>
      <c r="AU442" s="262"/>
      <c r="AV442" s="262"/>
      <c r="AW442" s="262"/>
      <c r="AX442" s="262"/>
      <c r="AY442" s="262"/>
      <c r="AZ442" s="262"/>
      <c r="BA442" s="262"/>
      <c r="BB442" s="262"/>
      <c r="BC442" s="262"/>
      <c r="BD442" s="262"/>
      <c r="BE442" s="262"/>
      <c r="BF442" s="262"/>
      <c r="BG442" s="262"/>
      <c r="BH442" s="262"/>
      <c r="BI442" s="262"/>
      <c r="BJ442" s="262"/>
      <c r="BK442" s="262"/>
    </row>
    <row r="443" spans="1:63" ht="12.75" x14ac:dyDescent="0.2">
      <c r="A443" s="263"/>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c r="AA443" s="262"/>
      <c r="AB443" s="262"/>
      <c r="AC443" s="262"/>
      <c r="AD443" s="262"/>
      <c r="AE443" s="262"/>
      <c r="AF443" s="262"/>
      <c r="AG443" s="262"/>
      <c r="AH443" s="262"/>
      <c r="AI443" s="262"/>
      <c r="AJ443" s="262"/>
      <c r="AK443" s="262"/>
      <c r="AL443" s="262"/>
      <c r="AM443" s="262"/>
      <c r="AN443" s="262"/>
      <c r="AO443" s="262"/>
      <c r="AP443" s="262"/>
      <c r="AQ443" s="262"/>
      <c r="AR443" s="262"/>
      <c r="AS443" s="262"/>
      <c r="AT443" s="262"/>
      <c r="AU443" s="262"/>
      <c r="AV443" s="262"/>
      <c r="AW443" s="262"/>
      <c r="AX443" s="262"/>
      <c r="AY443" s="262"/>
      <c r="AZ443" s="262"/>
      <c r="BA443" s="262"/>
      <c r="BB443" s="262"/>
      <c r="BC443" s="262"/>
      <c r="BD443" s="262"/>
      <c r="BE443" s="262"/>
      <c r="BF443" s="262"/>
      <c r="BG443" s="262"/>
      <c r="BH443" s="262"/>
      <c r="BI443" s="262"/>
      <c r="BJ443" s="262"/>
      <c r="BK443" s="262"/>
    </row>
    <row r="444" spans="1:63" ht="12.75" x14ac:dyDescent="0.2">
      <c r="A444" s="263"/>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c r="AA444" s="262"/>
      <c r="AB444" s="262"/>
      <c r="AC444" s="262"/>
      <c r="AD444" s="262"/>
      <c r="AE444" s="262"/>
      <c r="AF444" s="262"/>
      <c r="AG444" s="262"/>
      <c r="AH444" s="262"/>
      <c r="AI444" s="262"/>
      <c r="AJ444" s="262"/>
      <c r="AK444" s="262"/>
      <c r="AL444" s="262"/>
      <c r="AM444" s="262"/>
      <c r="AN444" s="262"/>
      <c r="AO444" s="262"/>
      <c r="AP444" s="262"/>
      <c r="AQ444" s="262"/>
      <c r="AR444" s="262"/>
      <c r="AS444" s="262"/>
      <c r="AT444" s="262"/>
      <c r="AU444" s="262"/>
      <c r="AV444" s="262"/>
      <c r="AW444" s="262"/>
      <c r="AX444" s="262"/>
      <c r="AY444" s="262"/>
      <c r="AZ444" s="262"/>
      <c r="BA444" s="262"/>
      <c r="BB444" s="262"/>
      <c r="BC444" s="262"/>
      <c r="BD444" s="262"/>
      <c r="BE444" s="262"/>
      <c r="BF444" s="262"/>
      <c r="BG444" s="262"/>
      <c r="BH444" s="262"/>
      <c r="BI444" s="262"/>
      <c r="BJ444" s="262"/>
      <c r="BK444" s="262"/>
    </row>
    <row r="445" spans="1:63" ht="12.75" x14ac:dyDescent="0.2">
      <c r="A445" s="263"/>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262"/>
      <c r="AE445" s="262"/>
      <c r="AF445" s="262"/>
      <c r="AG445" s="262"/>
      <c r="AH445" s="262"/>
      <c r="AI445" s="262"/>
      <c r="AJ445" s="262"/>
      <c r="AK445" s="262"/>
      <c r="AL445" s="262"/>
      <c r="AM445" s="262"/>
      <c r="AN445" s="262"/>
      <c r="AO445" s="262"/>
      <c r="AP445" s="262"/>
      <c r="AQ445" s="262"/>
      <c r="AR445" s="262"/>
      <c r="AS445" s="262"/>
      <c r="AT445" s="262"/>
      <c r="AU445" s="262"/>
      <c r="AV445" s="262"/>
      <c r="AW445" s="262"/>
      <c r="AX445" s="262"/>
      <c r="AY445" s="262"/>
      <c r="AZ445" s="262"/>
      <c r="BA445" s="262"/>
      <c r="BB445" s="262"/>
      <c r="BC445" s="262"/>
      <c r="BD445" s="262"/>
      <c r="BE445" s="262"/>
      <c r="BF445" s="262"/>
      <c r="BG445" s="262"/>
      <c r="BH445" s="262"/>
      <c r="BI445" s="262"/>
      <c r="BJ445" s="262"/>
      <c r="BK445" s="262"/>
    </row>
    <row r="446" spans="1:63" ht="12.75" x14ac:dyDescent="0.2">
      <c r="A446" s="263"/>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row>
    <row r="447" spans="1:63" ht="12.75" x14ac:dyDescent="0.2">
      <c r="A447" s="263"/>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262"/>
      <c r="AF447" s="262"/>
      <c r="AG447" s="262"/>
      <c r="AH447" s="262"/>
      <c r="AI447" s="262"/>
      <c r="AJ447" s="262"/>
      <c r="AK447" s="262"/>
      <c r="AL447" s="262"/>
      <c r="AM447" s="262"/>
      <c r="AN447" s="262"/>
      <c r="AO447" s="262"/>
      <c r="AP447" s="262"/>
      <c r="AQ447" s="262"/>
      <c r="AR447" s="262"/>
      <c r="AS447" s="262"/>
      <c r="AT447" s="262"/>
      <c r="AU447" s="262"/>
      <c r="AV447" s="262"/>
      <c r="AW447" s="262"/>
      <c r="AX447" s="262"/>
      <c r="AY447" s="262"/>
      <c r="AZ447" s="262"/>
      <c r="BA447" s="262"/>
      <c r="BB447" s="262"/>
      <c r="BC447" s="262"/>
      <c r="BD447" s="262"/>
      <c r="BE447" s="262"/>
      <c r="BF447" s="262"/>
      <c r="BG447" s="262"/>
      <c r="BH447" s="262"/>
      <c r="BI447" s="262"/>
      <c r="BJ447" s="262"/>
      <c r="BK447" s="262"/>
    </row>
    <row r="448" spans="1:63" ht="12.75" x14ac:dyDescent="0.2">
      <c r="A448" s="263"/>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262"/>
      <c r="AE448" s="262"/>
      <c r="AF448" s="262"/>
      <c r="AG448" s="262"/>
      <c r="AH448" s="262"/>
      <c r="AI448" s="262"/>
      <c r="AJ448" s="262"/>
      <c r="AK448" s="262"/>
      <c r="AL448" s="262"/>
      <c r="AM448" s="262"/>
      <c r="AN448" s="262"/>
      <c r="AO448" s="262"/>
      <c r="AP448" s="262"/>
      <c r="AQ448" s="262"/>
      <c r="AR448" s="262"/>
      <c r="AS448" s="262"/>
      <c r="AT448" s="262"/>
      <c r="AU448" s="262"/>
      <c r="AV448" s="262"/>
      <c r="AW448" s="262"/>
      <c r="AX448" s="262"/>
      <c r="AY448" s="262"/>
      <c r="AZ448" s="262"/>
      <c r="BA448" s="262"/>
      <c r="BB448" s="262"/>
      <c r="BC448" s="262"/>
      <c r="BD448" s="262"/>
      <c r="BE448" s="262"/>
      <c r="BF448" s="262"/>
      <c r="BG448" s="262"/>
      <c r="BH448" s="262"/>
      <c r="BI448" s="262"/>
      <c r="BJ448" s="262"/>
      <c r="BK448" s="262"/>
    </row>
    <row r="449" spans="1:63" ht="12.75" x14ac:dyDescent="0.2">
      <c r="A449" s="263"/>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262"/>
      <c r="AE449" s="262"/>
      <c r="AF449" s="262"/>
      <c r="AG449" s="262"/>
      <c r="AH449" s="262"/>
      <c r="AI449" s="262"/>
      <c r="AJ449" s="262"/>
      <c r="AK449" s="262"/>
      <c r="AL449" s="262"/>
      <c r="AM449" s="262"/>
      <c r="AN449" s="262"/>
      <c r="AO449" s="262"/>
      <c r="AP449" s="262"/>
      <c r="AQ449" s="262"/>
      <c r="AR449" s="262"/>
      <c r="AS449" s="262"/>
      <c r="AT449" s="262"/>
      <c r="AU449" s="262"/>
      <c r="AV449" s="262"/>
      <c r="AW449" s="262"/>
      <c r="AX449" s="262"/>
      <c r="AY449" s="262"/>
      <c r="AZ449" s="262"/>
      <c r="BA449" s="262"/>
      <c r="BB449" s="262"/>
      <c r="BC449" s="262"/>
      <c r="BD449" s="262"/>
      <c r="BE449" s="262"/>
      <c r="BF449" s="262"/>
      <c r="BG449" s="262"/>
      <c r="BH449" s="262"/>
      <c r="BI449" s="262"/>
      <c r="BJ449" s="262"/>
      <c r="BK449" s="262"/>
    </row>
    <row r="450" spans="1:63" ht="12.75" x14ac:dyDescent="0.2">
      <c r="A450" s="263"/>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262"/>
      <c r="AF450" s="262"/>
      <c r="AG450" s="262"/>
      <c r="AH450" s="262"/>
      <c r="AI450" s="262"/>
      <c r="AJ450" s="262"/>
      <c r="AK450" s="262"/>
      <c r="AL450" s="262"/>
      <c r="AM450" s="262"/>
      <c r="AN450" s="262"/>
      <c r="AO450" s="262"/>
      <c r="AP450" s="262"/>
      <c r="AQ450" s="262"/>
      <c r="AR450" s="262"/>
      <c r="AS450" s="262"/>
      <c r="AT450" s="262"/>
      <c r="AU450" s="262"/>
      <c r="AV450" s="262"/>
      <c r="AW450" s="262"/>
      <c r="AX450" s="262"/>
      <c r="AY450" s="262"/>
      <c r="AZ450" s="262"/>
      <c r="BA450" s="262"/>
      <c r="BB450" s="262"/>
      <c r="BC450" s="262"/>
      <c r="BD450" s="262"/>
      <c r="BE450" s="262"/>
      <c r="BF450" s="262"/>
      <c r="BG450" s="262"/>
      <c r="BH450" s="262"/>
      <c r="BI450" s="262"/>
      <c r="BJ450" s="262"/>
      <c r="BK450" s="262"/>
    </row>
    <row r="451" spans="1:63" ht="12.75" x14ac:dyDescent="0.2">
      <c r="A451" s="263"/>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c r="AA451" s="262"/>
      <c r="AB451" s="262"/>
      <c r="AC451" s="262"/>
      <c r="AD451" s="262"/>
      <c r="AE451" s="262"/>
      <c r="AF451" s="262"/>
      <c r="AG451" s="262"/>
      <c r="AH451" s="262"/>
      <c r="AI451" s="262"/>
      <c r="AJ451" s="262"/>
      <c r="AK451" s="262"/>
      <c r="AL451" s="262"/>
      <c r="AM451" s="262"/>
      <c r="AN451" s="262"/>
      <c r="AO451" s="262"/>
      <c r="AP451" s="262"/>
      <c r="AQ451" s="262"/>
      <c r="AR451" s="262"/>
      <c r="AS451" s="262"/>
      <c r="AT451" s="262"/>
      <c r="AU451" s="262"/>
      <c r="AV451" s="262"/>
      <c r="AW451" s="262"/>
      <c r="AX451" s="262"/>
      <c r="AY451" s="262"/>
      <c r="AZ451" s="262"/>
      <c r="BA451" s="262"/>
      <c r="BB451" s="262"/>
      <c r="BC451" s="262"/>
      <c r="BD451" s="262"/>
      <c r="BE451" s="262"/>
      <c r="BF451" s="262"/>
      <c r="BG451" s="262"/>
      <c r="BH451" s="262"/>
      <c r="BI451" s="262"/>
      <c r="BJ451" s="262"/>
      <c r="BK451" s="262"/>
    </row>
    <row r="452" spans="1:63" ht="12.75" x14ac:dyDescent="0.2">
      <c r="A452" s="263"/>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262"/>
      <c r="AF452" s="262"/>
      <c r="AG452" s="262"/>
      <c r="AH452" s="262"/>
      <c r="AI452" s="262"/>
      <c r="AJ452" s="262"/>
      <c r="AK452" s="262"/>
      <c r="AL452" s="262"/>
      <c r="AM452" s="262"/>
      <c r="AN452" s="262"/>
      <c r="AO452" s="262"/>
      <c r="AP452" s="262"/>
      <c r="AQ452" s="262"/>
      <c r="AR452" s="262"/>
      <c r="AS452" s="262"/>
      <c r="AT452" s="262"/>
      <c r="AU452" s="262"/>
      <c r="AV452" s="262"/>
      <c r="AW452" s="262"/>
      <c r="AX452" s="262"/>
      <c r="AY452" s="262"/>
      <c r="AZ452" s="262"/>
      <c r="BA452" s="262"/>
      <c r="BB452" s="262"/>
      <c r="BC452" s="262"/>
      <c r="BD452" s="262"/>
      <c r="BE452" s="262"/>
      <c r="BF452" s="262"/>
      <c r="BG452" s="262"/>
      <c r="BH452" s="262"/>
      <c r="BI452" s="262"/>
      <c r="BJ452" s="262"/>
      <c r="BK452" s="262"/>
    </row>
    <row r="453" spans="1:63" ht="12.75" x14ac:dyDescent="0.2">
      <c r="A453" s="263"/>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c r="AA453" s="262"/>
      <c r="AB453" s="262"/>
      <c r="AC453" s="262"/>
      <c r="AD453" s="262"/>
      <c r="AE453" s="262"/>
      <c r="AF453" s="262"/>
      <c r="AG453" s="262"/>
      <c r="AH453" s="262"/>
      <c r="AI453" s="262"/>
      <c r="AJ453" s="262"/>
      <c r="AK453" s="262"/>
      <c r="AL453" s="262"/>
      <c r="AM453" s="262"/>
      <c r="AN453" s="262"/>
      <c r="AO453" s="262"/>
      <c r="AP453" s="262"/>
      <c r="AQ453" s="262"/>
      <c r="AR453" s="262"/>
      <c r="AS453" s="262"/>
      <c r="AT453" s="262"/>
      <c r="AU453" s="262"/>
      <c r="AV453" s="262"/>
      <c r="AW453" s="262"/>
      <c r="AX453" s="262"/>
      <c r="AY453" s="262"/>
      <c r="AZ453" s="262"/>
      <c r="BA453" s="262"/>
      <c r="BB453" s="262"/>
      <c r="BC453" s="262"/>
      <c r="BD453" s="262"/>
      <c r="BE453" s="262"/>
      <c r="BF453" s="262"/>
      <c r="BG453" s="262"/>
      <c r="BH453" s="262"/>
      <c r="BI453" s="262"/>
      <c r="BJ453" s="262"/>
      <c r="BK453" s="262"/>
    </row>
    <row r="454" spans="1:63" ht="12.75" x14ac:dyDescent="0.2">
      <c r="A454" s="263"/>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c r="AA454" s="262"/>
      <c r="AB454" s="262"/>
      <c r="AC454" s="262"/>
      <c r="AD454" s="262"/>
      <c r="AE454" s="262"/>
      <c r="AF454" s="262"/>
      <c r="AG454" s="262"/>
      <c r="AH454" s="262"/>
      <c r="AI454" s="262"/>
      <c r="AJ454" s="262"/>
      <c r="AK454" s="262"/>
      <c r="AL454" s="262"/>
      <c r="AM454" s="262"/>
      <c r="AN454" s="262"/>
      <c r="AO454" s="262"/>
      <c r="AP454" s="262"/>
      <c r="AQ454" s="262"/>
      <c r="AR454" s="262"/>
      <c r="AS454" s="262"/>
      <c r="AT454" s="262"/>
      <c r="AU454" s="262"/>
      <c r="AV454" s="262"/>
      <c r="AW454" s="262"/>
      <c r="AX454" s="262"/>
      <c r="AY454" s="262"/>
      <c r="AZ454" s="262"/>
      <c r="BA454" s="262"/>
      <c r="BB454" s="262"/>
      <c r="BC454" s="262"/>
      <c r="BD454" s="262"/>
      <c r="BE454" s="262"/>
      <c r="BF454" s="262"/>
      <c r="BG454" s="262"/>
      <c r="BH454" s="262"/>
      <c r="BI454" s="262"/>
      <c r="BJ454" s="262"/>
      <c r="BK454" s="262"/>
    </row>
    <row r="455" spans="1:63" ht="12.75" x14ac:dyDescent="0.2">
      <c r="A455" s="263"/>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c r="AA455" s="262"/>
      <c r="AB455" s="262"/>
      <c r="AC455" s="262"/>
      <c r="AD455" s="262"/>
      <c r="AE455" s="262"/>
      <c r="AF455" s="262"/>
      <c r="AG455" s="262"/>
      <c r="AH455" s="262"/>
      <c r="AI455" s="262"/>
      <c r="AJ455" s="262"/>
      <c r="AK455" s="262"/>
      <c r="AL455" s="262"/>
      <c r="AM455" s="262"/>
      <c r="AN455" s="262"/>
      <c r="AO455" s="262"/>
      <c r="AP455" s="262"/>
      <c r="AQ455" s="262"/>
      <c r="AR455" s="262"/>
      <c r="AS455" s="262"/>
      <c r="AT455" s="262"/>
      <c r="AU455" s="262"/>
      <c r="AV455" s="262"/>
      <c r="AW455" s="262"/>
      <c r="AX455" s="262"/>
      <c r="AY455" s="262"/>
      <c r="AZ455" s="262"/>
      <c r="BA455" s="262"/>
      <c r="BB455" s="262"/>
      <c r="BC455" s="262"/>
      <c r="BD455" s="262"/>
      <c r="BE455" s="262"/>
      <c r="BF455" s="262"/>
      <c r="BG455" s="262"/>
      <c r="BH455" s="262"/>
      <c r="BI455" s="262"/>
      <c r="BJ455" s="262"/>
      <c r="BK455" s="262"/>
    </row>
    <row r="456" spans="1:63" ht="12.75" x14ac:dyDescent="0.2">
      <c r="A456" s="263"/>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262"/>
      <c r="AF456" s="262"/>
      <c r="AG456" s="262"/>
      <c r="AH456" s="262"/>
      <c r="AI456" s="262"/>
      <c r="AJ456" s="262"/>
      <c r="AK456" s="262"/>
      <c r="AL456" s="262"/>
      <c r="AM456" s="262"/>
      <c r="AN456" s="262"/>
      <c r="AO456" s="262"/>
      <c r="AP456" s="262"/>
      <c r="AQ456" s="262"/>
      <c r="AR456" s="262"/>
      <c r="AS456" s="262"/>
      <c r="AT456" s="262"/>
      <c r="AU456" s="262"/>
      <c r="AV456" s="262"/>
      <c r="AW456" s="262"/>
      <c r="AX456" s="262"/>
      <c r="AY456" s="262"/>
      <c r="AZ456" s="262"/>
      <c r="BA456" s="262"/>
      <c r="BB456" s="262"/>
      <c r="BC456" s="262"/>
      <c r="BD456" s="262"/>
      <c r="BE456" s="262"/>
      <c r="BF456" s="262"/>
      <c r="BG456" s="262"/>
      <c r="BH456" s="262"/>
      <c r="BI456" s="262"/>
      <c r="BJ456" s="262"/>
      <c r="BK456" s="262"/>
    </row>
    <row r="457" spans="1:63" ht="12.75" x14ac:dyDescent="0.2">
      <c r="A457" s="263"/>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c r="AA457" s="262"/>
      <c r="AB457" s="262"/>
      <c r="AC457" s="262"/>
      <c r="AD457" s="262"/>
      <c r="AE457" s="262"/>
      <c r="AF457" s="262"/>
      <c r="AG457" s="262"/>
      <c r="AH457" s="262"/>
      <c r="AI457" s="262"/>
      <c r="AJ457" s="262"/>
      <c r="AK457" s="262"/>
      <c r="AL457" s="262"/>
      <c r="AM457" s="262"/>
      <c r="AN457" s="262"/>
      <c r="AO457" s="262"/>
      <c r="AP457" s="262"/>
      <c r="AQ457" s="262"/>
      <c r="AR457" s="262"/>
      <c r="AS457" s="262"/>
      <c r="AT457" s="262"/>
      <c r="AU457" s="262"/>
      <c r="AV457" s="262"/>
      <c r="AW457" s="262"/>
      <c r="AX457" s="262"/>
      <c r="AY457" s="262"/>
      <c r="AZ457" s="262"/>
      <c r="BA457" s="262"/>
      <c r="BB457" s="262"/>
      <c r="BC457" s="262"/>
      <c r="BD457" s="262"/>
      <c r="BE457" s="262"/>
      <c r="BF457" s="262"/>
      <c r="BG457" s="262"/>
      <c r="BH457" s="262"/>
      <c r="BI457" s="262"/>
      <c r="BJ457" s="262"/>
      <c r="BK457" s="262"/>
    </row>
    <row r="458" spans="1:63" ht="12.75" x14ac:dyDescent="0.2">
      <c r="A458" s="263"/>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262"/>
      <c r="AE458" s="262"/>
      <c r="AF458" s="262"/>
      <c r="AG458" s="262"/>
      <c r="AH458" s="262"/>
      <c r="AI458" s="262"/>
      <c r="AJ458" s="262"/>
      <c r="AK458" s="262"/>
      <c r="AL458" s="262"/>
      <c r="AM458" s="262"/>
      <c r="AN458" s="262"/>
      <c r="AO458" s="262"/>
      <c r="AP458" s="262"/>
      <c r="AQ458" s="262"/>
      <c r="AR458" s="262"/>
      <c r="AS458" s="262"/>
      <c r="AT458" s="262"/>
      <c r="AU458" s="262"/>
      <c r="AV458" s="262"/>
      <c r="AW458" s="262"/>
      <c r="AX458" s="262"/>
      <c r="AY458" s="262"/>
      <c r="AZ458" s="262"/>
      <c r="BA458" s="262"/>
      <c r="BB458" s="262"/>
      <c r="BC458" s="262"/>
      <c r="BD458" s="262"/>
      <c r="BE458" s="262"/>
      <c r="BF458" s="262"/>
      <c r="BG458" s="262"/>
      <c r="BH458" s="262"/>
      <c r="BI458" s="262"/>
      <c r="BJ458" s="262"/>
      <c r="BK458" s="262"/>
    </row>
    <row r="459" spans="1:63" ht="12.75" x14ac:dyDescent="0.2">
      <c r="A459" s="263"/>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262"/>
      <c r="AE459" s="262"/>
      <c r="AF459" s="262"/>
      <c r="AG459" s="262"/>
      <c r="AH459" s="262"/>
      <c r="AI459" s="262"/>
      <c r="AJ459" s="262"/>
      <c r="AK459" s="262"/>
      <c r="AL459" s="262"/>
      <c r="AM459" s="262"/>
      <c r="AN459" s="262"/>
      <c r="AO459" s="262"/>
      <c r="AP459" s="262"/>
      <c r="AQ459" s="262"/>
      <c r="AR459" s="262"/>
      <c r="AS459" s="262"/>
      <c r="AT459" s="262"/>
      <c r="AU459" s="262"/>
      <c r="AV459" s="262"/>
      <c r="AW459" s="262"/>
      <c r="AX459" s="262"/>
      <c r="AY459" s="262"/>
      <c r="AZ459" s="262"/>
      <c r="BA459" s="262"/>
      <c r="BB459" s="262"/>
      <c r="BC459" s="262"/>
      <c r="BD459" s="262"/>
      <c r="BE459" s="262"/>
      <c r="BF459" s="262"/>
      <c r="BG459" s="262"/>
      <c r="BH459" s="262"/>
      <c r="BI459" s="262"/>
      <c r="BJ459" s="262"/>
      <c r="BK459" s="262"/>
    </row>
    <row r="460" spans="1:63" ht="12.75" x14ac:dyDescent="0.2">
      <c r="A460" s="263"/>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262"/>
      <c r="AE460" s="262"/>
      <c r="AF460" s="262"/>
      <c r="AG460" s="262"/>
      <c r="AH460" s="262"/>
      <c r="AI460" s="262"/>
      <c r="AJ460" s="262"/>
      <c r="AK460" s="262"/>
      <c r="AL460" s="262"/>
      <c r="AM460" s="262"/>
      <c r="AN460" s="262"/>
      <c r="AO460" s="262"/>
      <c r="AP460" s="262"/>
      <c r="AQ460" s="262"/>
      <c r="AR460" s="262"/>
      <c r="AS460" s="262"/>
      <c r="AT460" s="262"/>
      <c r="AU460" s="262"/>
      <c r="AV460" s="262"/>
      <c r="AW460" s="262"/>
      <c r="AX460" s="262"/>
      <c r="AY460" s="262"/>
      <c r="AZ460" s="262"/>
      <c r="BA460" s="262"/>
      <c r="BB460" s="262"/>
      <c r="BC460" s="262"/>
      <c r="BD460" s="262"/>
      <c r="BE460" s="262"/>
      <c r="BF460" s="262"/>
      <c r="BG460" s="262"/>
      <c r="BH460" s="262"/>
      <c r="BI460" s="262"/>
      <c r="BJ460" s="262"/>
      <c r="BK460" s="262"/>
    </row>
    <row r="461" spans="1:63" ht="12.75" x14ac:dyDescent="0.2">
      <c r="A461" s="263"/>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262"/>
      <c r="AE461" s="262"/>
      <c r="AF461" s="262"/>
      <c r="AG461" s="262"/>
      <c r="AH461" s="262"/>
      <c r="AI461" s="262"/>
      <c r="AJ461" s="262"/>
      <c r="AK461" s="262"/>
      <c r="AL461" s="262"/>
      <c r="AM461" s="262"/>
      <c r="AN461" s="262"/>
      <c r="AO461" s="262"/>
      <c r="AP461" s="262"/>
      <c r="AQ461" s="262"/>
      <c r="AR461" s="262"/>
      <c r="AS461" s="262"/>
      <c r="AT461" s="262"/>
      <c r="AU461" s="262"/>
      <c r="AV461" s="262"/>
      <c r="AW461" s="262"/>
      <c r="AX461" s="262"/>
      <c r="AY461" s="262"/>
      <c r="AZ461" s="262"/>
      <c r="BA461" s="262"/>
      <c r="BB461" s="262"/>
      <c r="BC461" s="262"/>
      <c r="BD461" s="262"/>
      <c r="BE461" s="262"/>
      <c r="BF461" s="262"/>
      <c r="BG461" s="262"/>
      <c r="BH461" s="262"/>
      <c r="BI461" s="262"/>
      <c r="BJ461" s="262"/>
      <c r="BK461" s="262"/>
    </row>
    <row r="462" spans="1:63" ht="12.75" x14ac:dyDescent="0.2">
      <c r="A462" s="263"/>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262"/>
      <c r="AE462" s="262"/>
      <c r="AF462" s="262"/>
      <c r="AG462" s="262"/>
      <c r="AH462" s="262"/>
      <c r="AI462" s="262"/>
      <c r="AJ462" s="262"/>
      <c r="AK462" s="262"/>
      <c r="AL462" s="262"/>
      <c r="AM462" s="262"/>
      <c r="AN462" s="262"/>
      <c r="AO462" s="262"/>
      <c r="AP462" s="262"/>
      <c r="AQ462" s="262"/>
      <c r="AR462" s="262"/>
      <c r="AS462" s="262"/>
      <c r="AT462" s="262"/>
      <c r="AU462" s="262"/>
      <c r="AV462" s="262"/>
      <c r="AW462" s="262"/>
      <c r="AX462" s="262"/>
      <c r="AY462" s="262"/>
      <c r="AZ462" s="262"/>
      <c r="BA462" s="262"/>
      <c r="BB462" s="262"/>
      <c r="BC462" s="262"/>
      <c r="BD462" s="262"/>
      <c r="BE462" s="262"/>
      <c r="BF462" s="262"/>
      <c r="BG462" s="262"/>
      <c r="BH462" s="262"/>
      <c r="BI462" s="262"/>
      <c r="BJ462" s="262"/>
      <c r="BK462" s="262"/>
    </row>
    <row r="463" spans="1:63" ht="12.75" x14ac:dyDescent="0.2">
      <c r="A463" s="263"/>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262"/>
      <c r="AE463" s="262"/>
      <c r="AF463" s="262"/>
      <c r="AG463" s="262"/>
      <c r="AH463" s="262"/>
      <c r="AI463" s="262"/>
      <c r="AJ463" s="262"/>
      <c r="AK463" s="262"/>
      <c r="AL463" s="262"/>
      <c r="AM463" s="262"/>
      <c r="AN463" s="262"/>
      <c r="AO463" s="262"/>
      <c r="AP463" s="262"/>
      <c r="AQ463" s="262"/>
      <c r="AR463" s="262"/>
      <c r="AS463" s="262"/>
      <c r="AT463" s="262"/>
      <c r="AU463" s="262"/>
      <c r="AV463" s="262"/>
      <c r="AW463" s="262"/>
      <c r="AX463" s="262"/>
      <c r="AY463" s="262"/>
      <c r="AZ463" s="262"/>
      <c r="BA463" s="262"/>
      <c r="BB463" s="262"/>
      <c r="BC463" s="262"/>
      <c r="BD463" s="262"/>
      <c r="BE463" s="262"/>
      <c r="BF463" s="262"/>
      <c r="BG463" s="262"/>
      <c r="BH463" s="262"/>
      <c r="BI463" s="262"/>
      <c r="BJ463" s="262"/>
      <c r="BK463" s="262"/>
    </row>
    <row r="464" spans="1:63" ht="12.75" x14ac:dyDescent="0.2">
      <c r="A464" s="263"/>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262"/>
      <c r="AE464" s="262"/>
      <c r="AF464" s="262"/>
      <c r="AG464" s="262"/>
      <c r="AH464" s="262"/>
      <c r="AI464" s="262"/>
      <c r="AJ464" s="262"/>
      <c r="AK464" s="262"/>
      <c r="AL464" s="262"/>
      <c r="AM464" s="262"/>
      <c r="AN464" s="262"/>
      <c r="AO464" s="262"/>
      <c r="AP464" s="262"/>
      <c r="AQ464" s="262"/>
      <c r="AR464" s="262"/>
      <c r="AS464" s="262"/>
      <c r="AT464" s="262"/>
      <c r="AU464" s="262"/>
      <c r="AV464" s="262"/>
      <c r="AW464" s="262"/>
      <c r="AX464" s="262"/>
      <c r="AY464" s="262"/>
      <c r="AZ464" s="262"/>
      <c r="BA464" s="262"/>
      <c r="BB464" s="262"/>
      <c r="BC464" s="262"/>
      <c r="BD464" s="262"/>
      <c r="BE464" s="262"/>
      <c r="BF464" s="262"/>
      <c r="BG464" s="262"/>
      <c r="BH464" s="262"/>
      <c r="BI464" s="262"/>
      <c r="BJ464" s="262"/>
      <c r="BK464" s="262"/>
    </row>
    <row r="465" spans="1:63" ht="12.75" x14ac:dyDescent="0.2">
      <c r="A465" s="263"/>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s="262"/>
      <c r="AG465" s="262"/>
      <c r="AH465" s="262"/>
      <c r="AI465" s="262"/>
      <c r="AJ465" s="262"/>
      <c r="AK465" s="262"/>
      <c r="AL465" s="262"/>
      <c r="AM465" s="262"/>
      <c r="AN465" s="262"/>
      <c r="AO465" s="262"/>
      <c r="AP465" s="262"/>
      <c r="AQ465" s="262"/>
      <c r="AR465" s="262"/>
      <c r="AS465" s="262"/>
      <c r="AT465" s="262"/>
      <c r="AU465" s="262"/>
      <c r="AV465" s="262"/>
      <c r="AW465" s="262"/>
      <c r="AX465" s="262"/>
      <c r="AY465" s="262"/>
      <c r="AZ465" s="262"/>
      <c r="BA465" s="262"/>
      <c r="BB465" s="262"/>
      <c r="BC465" s="262"/>
      <c r="BD465" s="262"/>
      <c r="BE465" s="262"/>
      <c r="BF465" s="262"/>
      <c r="BG465" s="262"/>
      <c r="BH465" s="262"/>
      <c r="BI465" s="262"/>
      <c r="BJ465" s="262"/>
      <c r="BK465" s="262"/>
    </row>
    <row r="466" spans="1:63" ht="12.75" x14ac:dyDescent="0.2">
      <c r="A466" s="263"/>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262"/>
      <c r="AE466" s="262"/>
      <c r="AF466" s="262"/>
      <c r="AG466" s="262"/>
      <c r="AH466" s="262"/>
      <c r="AI466" s="262"/>
      <c r="AJ466" s="262"/>
      <c r="AK466" s="262"/>
      <c r="AL466" s="262"/>
      <c r="AM466" s="262"/>
      <c r="AN466" s="262"/>
      <c r="AO466" s="262"/>
      <c r="AP466" s="262"/>
      <c r="AQ466" s="262"/>
      <c r="AR466" s="262"/>
      <c r="AS466" s="262"/>
      <c r="AT466" s="262"/>
      <c r="AU466" s="262"/>
      <c r="AV466" s="262"/>
      <c r="AW466" s="262"/>
      <c r="AX466" s="262"/>
      <c r="AY466" s="262"/>
      <c r="AZ466" s="262"/>
      <c r="BA466" s="262"/>
      <c r="BB466" s="262"/>
      <c r="BC466" s="262"/>
      <c r="BD466" s="262"/>
      <c r="BE466" s="262"/>
      <c r="BF466" s="262"/>
      <c r="BG466" s="262"/>
      <c r="BH466" s="262"/>
      <c r="BI466" s="262"/>
      <c r="BJ466" s="262"/>
      <c r="BK466" s="262"/>
    </row>
    <row r="467" spans="1:63" ht="12.75" x14ac:dyDescent="0.2">
      <c r="A467" s="263"/>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262"/>
      <c r="AK467" s="262"/>
      <c r="AL467" s="262"/>
      <c r="AM467" s="262"/>
      <c r="AN467" s="262"/>
      <c r="AO467" s="262"/>
      <c r="AP467" s="262"/>
      <c r="AQ467" s="262"/>
      <c r="AR467" s="262"/>
      <c r="AS467" s="262"/>
      <c r="AT467" s="262"/>
      <c r="AU467" s="262"/>
      <c r="AV467" s="262"/>
      <c r="AW467" s="262"/>
      <c r="AX467" s="262"/>
      <c r="AY467" s="262"/>
      <c r="AZ467" s="262"/>
      <c r="BA467" s="262"/>
      <c r="BB467" s="262"/>
      <c r="BC467" s="262"/>
      <c r="BD467" s="262"/>
      <c r="BE467" s="262"/>
      <c r="BF467" s="262"/>
      <c r="BG467" s="262"/>
      <c r="BH467" s="262"/>
      <c r="BI467" s="262"/>
      <c r="BJ467" s="262"/>
      <c r="BK467" s="262"/>
    </row>
    <row r="468" spans="1:63" ht="12.75" x14ac:dyDescent="0.2">
      <c r="A468" s="263"/>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262"/>
      <c r="AE468" s="262"/>
      <c r="AF468" s="262"/>
      <c r="AG468" s="262"/>
      <c r="AH468" s="262"/>
      <c r="AI468" s="262"/>
      <c r="AJ468" s="262"/>
      <c r="AK468" s="262"/>
      <c r="AL468" s="262"/>
      <c r="AM468" s="262"/>
      <c r="AN468" s="262"/>
      <c r="AO468" s="262"/>
      <c r="AP468" s="262"/>
      <c r="AQ468" s="262"/>
      <c r="AR468" s="262"/>
      <c r="AS468" s="262"/>
      <c r="AT468" s="262"/>
      <c r="AU468" s="262"/>
      <c r="AV468" s="262"/>
      <c r="AW468" s="262"/>
      <c r="AX468" s="262"/>
      <c r="AY468" s="262"/>
      <c r="AZ468" s="262"/>
      <c r="BA468" s="262"/>
      <c r="BB468" s="262"/>
      <c r="BC468" s="262"/>
      <c r="BD468" s="262"/>
      <c r="BE468" s="262"/>
      <c r="BF468" s="262"/>
      <c r="BG468" s="262"/>
      <c r="BH468" s="262"/>
      <c r="BI468" s="262"/>
      <c r="BJ468" s="262"/>
      <c r="BK468" s="262"/>
    </row>
    <row r="469" spans="1:63" ht="12.75" x14ac:dyDescent="0.2">
      <c r="A469" s="263"/>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262"/>
      <c r="AE469" s="262"/>
      <c r="AF469" s="262"/>
      <c r="AG469" s="262"/>
      <c r="AH469" s="262"/>
      <c r="AI469" s="262"/>
      <c r="AJ469" s="262"/>
      <c r="AK469" s="262"/>
      <c r="AL469" s="262"/>
      <c r="AM469" s="262"/>
      <c r="AN469" s="262"/>
      <c r="AO469" s="262"/>
      <c r="AP469" s="262"/>
      <c r="AQ469" s="262"/>
      <c r="AR469" s="262"/>
      <c r="AS469" s="262"/>
      <c r="AT469" s="262"/>
      <c r="AU469" s="262"/>
      <c r="AV469" s="262"/>
      <c r="AW469" s="262"/>
      <c r="AX469" s="262"/>
      <c r="AY469" s="262"/>
      <c r="AZ469" s="262"/>
      <c r="BA469" s="262"/>
      <c r="BB469" s="262"/>
      <c r="BC469" s="262"/>
      <c r="BD469" s="262"/>
      <c r="BE469" s="262"/>
      <c r="BF469" s="262"/>
      <c r="BG469" s="262"/>
      <c r="BH469" s="262"/>
      <c r="BI469" s="262"/>
      <c r="BJ469" s="262"/>
      <c r="BK469" s="262"/>
    </row>
    <row r="470" spans="1:63" ht="12.75" x14ac:dyDescent="0.2">
      <c r="A470" s="263"/>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2"/>
      <c r="AL470" s="262"/>
      <c r="AM470" s="262"/>
      <c r="AN470" s="262"/>
      <c r="AO470" s="262"/>
      <c r="AP470" s="262"/>
      <c r="AQ470" s="262"/>
      <c r="AR470" s="262"/>
      <c r="AS470" s="262"/>
      <c r="AT470" s="262"/>
      <c r="AU470" s="262"/>
      <c r="AV470" s="262"/>
      <c r="AW470" s="262"/>
      <c r="AX470" s="262"/>
      <c r="AY470" s="262"/>
      <c r="AZ470" s="262"/>
      <c r="BA470" s="262"/>
      <c r="BB470" s="262"/>
      <c r="BC470" s="262"/>
      <c r="BD470" s="262"/>
      <c r="BE470" s="262"/>
      <c r="BF470" s="262"/>
      <c r="BG470" s="262"/>
      <c r="BH470" s="262"/>
      <c r="BI470" s="262"/>
      <c r="BJ470" s="262"/>
      <c r="BK470" s="262"/>
    </row>
    <row r="471" spans="1:63" ht="12.75" x14ac:dyDescent="0.2">
      <c r="A471" s="263"/>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c r="AA471" s="262"/>
      <c r="AB471" s="262"/>
      <c r="AC471" s="262"/>
      <c r="AD471" s="262"/>
      <c r="AE471" s="262"/>
      <c r="AF471" s="262"/>
      <c r="AG471" s="262"/>
      <c r="AH471" s="262"/>
      <c r="AI471" s="262"/>
      <c r="AJ471" s="262"/>
      <c r="AK471" s="262"/>
      <c r="AL471" s="262"/>
      <c r="AM471" s="262"/>
      <c r="AN471" s="262"/>
      <c r="AO471" s="262"/>
      <c r="AP471" s="262"/>
      <c r="AQ471" s="262"/>
      <c r="AR471" s="262"/>
      <c r="AS471" s="262"/>
      <c r="AT471" s="262"/>
      <c r="AU471" s="262"/>
      <c r="AV471" s="262"/>
      <c r="AW471" s="262"/>
      <c r="AX471" s="262"/>
      <c r="AY471" s="262"/>
      <c r="AZ471" s="262"/>
      <c r="BA471" s="262"/>
      <c r="BB471" s="262"/>
      <c r="BC471" s="262"/>
      <c r="BD471" s="262"/>
      <c r="BE471" s="262"/>
      <c r="BF471" s="262"/>
      <c r="BG471" s="262"/>
      <c r="BH471" s="262"/>
      <c r="BI471" s="262"/>
      <c r="BJ471" s="262"/>
      <c r="BK471" s="262"/>
    </row>
    <row r="472" spans="1:63" ht="12.75" x14ac:dyDescent="0.2">
      <c r="A472" s="263"/>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c r="AA472" s="262"/>
      <c r="AB472" s="262"/>
      <c r="AC472" s="262"/>
      <c r="AD472" s="262"/>
      <c r="AE472" s="262"/>
      <c r="AF472" s="262"/>
      <c r="AG472" s="262"/>
      <c r="AH472" s="262"/>
      <c r="AI472" s="262"/>
      <c r="AJ472" s="262"/>
      <c r="AK472" s="262"/>
      <c r="AL472" s="262"/>
      <c r="AM472" s="262"/>
      <c r="AN472" s="262"/>
      <c r="AO472" s="262"/>
      <c r="AP472" s="262"/>
      <c r="AQ472" s="262"/>
      <c r="AR472" s="262"/>
      <c r="AS472" s="262"/>
      <c r="AT472" s="262"/>
      <c r="AU472" s="262"/>
      <c r="AV472" s="262"/>
      <c r="AW472" s="262"/>
      <c r="AX472" s="262"/>
      <c r="AY472" s="262"/>
      <c r="AZ472" s="262"/>
      <c r="BA472" s="262"/>
      <c r="BB472" s="262"/>
      <c r="BC472" s="262"/>
      <c r="BD472" s="262"/>
      <c r="BE472" s="262"/>
      <c r="BF472" s="262"/>
      <c r="BG472" s="262"/>
      <c r="BH472" s="262"/>
      <c r="BI472" s="262"/>
      <c r="BJ472" s="262"/>
      <c r="BK472" s="262"/>
    </row>
    <row r="473" spans="1:63" ht="12.75" x14ac:dyDescent="0.2">
      <c r="A473" s="263"/>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row>
    <row r="474" spans="1:63" ht="12.75" x14ac:dyDescent="0.2">
      <c r="A474" s="263"/>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row>
    <row r="475" spans="1:63" ht="12.75" x14ac:dyDescent="0.2">
      <c r="A475" s="263"/>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c r="AR475" s="262"/>
      <c r="AS475" s="262"/>
      <c r="AT475" s="262"/>
      <c r="AU475" s="262"/>
      <c r="AV475" s="262"/>
      <c r="AW475" s="262"/>
      <c r="AX475" s="262"/>
      <c r="AY475" s="262"/>
      <c r="AZ475" s="262"/>
      <c r="BA475" s="262"/>
      <c r="BB475" s="262"/>
      <c r="BC475" s="262"/>
      <c r="BD475" s="262"/>
      <c r="BE475" s="262"/>
      <c r="BF475" s="262"/>
      <c r="BG475" s="262"/>
      <c r="BH475" s="262"/>
      <c r="BI475" s="262"/>
      <c r="BJ475" s="262"/>
      <c r="BK475" s="262"/>
    </row>
    <row r="476" spans="1:63" ht="12.75" x14ac:dyDescent="0.2">
      <c r="A476" s="263"/>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262"/>
      <c r="AE476" s="262"/>
      <c r="AF476" s="262"/>
      <c r="AG476" s="262"/>
      <c r="AH476" s="262"/>
      <c r="AI476" s="262"/>
      <c r="AJ476" s="262"/>
      <c r="AK476" s="262"/>
      <c r="AL476" s="262"/>
      <c r="AM476" s="262"/>
      <c r="AN476" s="262"/>
      <c r="AO476" s="262"/>
      <c r="AP476" s="262"/>
      <c r="AQ476" s="262"/>
      <c r="AR476" s="262"/>
      <c r="AS476" s="262"/>
      <c r="AT476" s="262"/>
      <c r="AU476" s="262"/>
      <c r="AV476" s="262"/>
      <c r="AW476" s="262"/>
      <c r="AX476" s="262"/>
      <c r="AY476" s="262"/>
      <c r="AZ476" s="262"/>
      <c r="BA476" s="262"/>
      <c r="BB476" s="262"/>
      <c r="BC476" s="262"/>
      <c r="BD476" s="262"/>
      <c r="BE476" s="262"/>
      <c r="BF476" s="262"/>
      <c r="BG476" s="262"/>
      <c r="BH476" s="262"/>
      <c r="BI476" s="262"/>
      <c r="BJ476" s="262"/>
      <c r="BK476" s="262"/>
    </row>
    <row r="477" spans="1:63" ht="12.75" x14ac:dyDescent="0.2">
      <c r="A477" s="263"/>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262"/>
      <c r="AE477" s="262"/>
      <c r="AF477" s="262"/>
      <c r="AG477" s="262"/>
      <c r="AH477" s="262"/>
      <c r="AI477" s="262"/>
      <c r="AJ477" s="262"/>
      <c r="AK477" s="262"/>
      <c r="AL477" s="262"/>
      <c r="AM477" s="262"/>
      <c r="AN477" s="262"/>
      <c r="AO477" s="262"/>
      <c r="AP477" s="262"/>
      <c r="AQ477" s="262"/>
      <c r="AR477" s="262"/>
      <c r="AS477" s="262"/>
      <c r="AT477" s="262"/>
      <c r="AU477" s="262"/>
      <c r="AV477" s="262"/>
      <c r="AW477" s="262"/>
      <c r="AX477" s="262"/>
      <c r="AY477" s="262"/>
      <c r="AZ477" s="262"/>
      <c r="BA477" s="262"/>
      <c r="BB477" s="262"/>
      <c r="BC477" s="262"/>
      <c r="BD477" s="262"/>
      <c r="BE477" s="262"/>
      <c r="BF477" s="262"/>
      <c r="BG477" s="262"/>
      <c r="BH477" s="262"/>
      <c r="BI477" s="262"/>
      <c r="BJ477" s="262"/>
      <c r="BK477" s="262"/>
    </row>
    <row r="478" spans="1:63" ht="12.75" x14ac:dyDescent="0.2">
      <c r="A478" s="263"/>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262"/>
      <c r="AE478" s="262"/>
      <c r="AF478" s="262"/>
      <c r="AG478" s="262"/>
      <c r="AH478" s="262"/>
      <c r="AI478" s="262"/>
      <c r="AJ478" s="262"/>
      <c r="AK478" s="262"/>
      <c r="AL478" s="262"/>
      <c r="AM478" s="262"/>
      <c r="AN478" s="262"/>
      <c r="AO478" s="262"/>
      <c r="AP478" s="262"/>
      <c r="AQ478" s="262"/>
      <c r="AR478" s="262"/>
      <c r="AS478" s="262"/>
      <c r="AT478" s="262"/>
      <c r="AU478" s="262"/>
      <c r="AV478" s="262"/>
      <c r="AW478" s="262"/>
      <c r="AX478" s="262"/>
      <c r="AY478" s="262"/>
      <c r="AZ478" s="262"/>
      <c r="BA478" s="262"/>
      <c r="BB478" s="262"/>
      <c r="BC478" s="262"/>
      <c r="BD478" s="262"/>
      <c r="BE478" s="262"/>
      <c r="BF478" s="262"/>
      <c r="BG478" s="262"/>
      <c r="BH478" s="262"/>
      <c r="BI478" s="262"/>
      <c r="BJ478" s="262"/>
      <c r="BK478" s="262"/>
    </row>
    <row r="479" spans="1:63" ht="12.75" x14ac:dyDescent="0.2">
      <c r="A479" s="263"/>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262"/>
      <c r="AF479" s="262"/>
      <c r="AG479" s="262"/>
      <c r="AH479" s="262"/>
      <c r="AI479" s="262"/>
      <c r="AJ479" s="262"/>
      <c r="AK479" s="262"/>
      <c r="AL479" s="262"/>
      <c r="AM479" s="262"/>
      <c r="AN479" s="262"/>
      <c r="AO479" s="262"/>
      <c r="AP479" s="262"/>
      <c r="AQ479" s="262"/>
      <c r="AR479" s="262"/>
      <c r="AS479" s="262"/>
      <c r="AT479" s="262"/>
      <c r="AU479" s="262"/>
      <c r="AV479" s="262"/>
      <c r="AW479" s="262"/>
      <c r="AX479" s="262"/>
      <c r="AY479" s="262"/>
      <c r="AZ479" s="262"/>
      <c r="BA479" s="262"/>
      <c r="BB479" s="262"/>
      <c r="BC479" s="262"/>
      <c r="BD479" s="262"/>
      <c r="BE479" s="262"/>
      <c r="BF479" s="262"/>
      <c r="BG479" s="262"/>
      <c r="BH479" s="262"/>
      <c r="BI479" s="262"/>
      <c r="BJ479" s="262"/>
      <c r="BK479" s="262"/>
    </row>
    <row r="480" spans="1:63" ht="12.75" x14ac:dyDescent="0.2">
      <c r="A480" s="263"/>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2"/>
      <c r="AD480" s="262"/>
      <c r="AE480" s="262"/>
      <c r="AF480" s="262"/>
      <c r="AG480" s="262"/>
      <c r="AH480" s="262"/>
      <c r="AI480" s="262"/>
      <c r="AJ480" s="262"/>
      <c r="AK480" s="262"/>
      <c r="AL480" s="262"/>
      <c r="AM480" s="262"/>
      <c r="AN480" s="262"/>
      <c r="AO480" s="262"/>
      <c r="AP480" s="262"/>
      <c r="AQ480" s="262"/>
      <c r="AR480" s="262"/>
      <c r="AS480" s="262"/>
      <c r="AT480" s="262"/>
      <c r="AU480" s="262"/>
      <c r="AV480" s="262"/>
      <c r="AW480" s="262"/>
      <c r="AX480" s="262"/>
      <c r="AY480" s="262"/>
      <c r="AZ480" s="262"/>
      <c r="BA480" s="262"/>
      <c r="BB480" s="262"/>
      <c r="BC480" s="262"/>
      <c r="BD480" s="262"/>
      <c r="BE480" s="262"/>
      <c r="BF480" s="262"/>
      <c r="BG480" s="262"/>
      <c r="BH480" s="262"/>
      <c r="BI480" s="262"/>
      <c r="BJ480" s="262"/>
      <c r="BK480" s="262"/>
    </row>
    <row r="481" spans="1:63" ht="12.75" x14ac:dyDescent="0.2">
      <c r="A481" s="263"/>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c r="AA481" s="262"/>
      <c r="AB481" s="262"/>
      <c r="AC481" s="262"/>
      <c r="AD481" s="262"/>
      <c r="AE481" s="262"/>
      <c r="AF481" s="262"/>
      <c r="AG481" s="262"/>
      <c r="AH481" s="262"/>
      <c r="AI481" s="262"/>
      <c r="AJ481" s="262"/>
      <c r="AK481" s="262"/>
      <c r="AL481" s="262"/>
      <c r="AM481" s="262"/>
      <c r="AN481" s="262"/>
      <c r="AO481" s="262"/>
      <c r="AP481" s="262"/>
      <c r="AQ481" s="262"/>
      <c r="AR481" s="262"/>
      <c r="AS481" s="262"/>
      <c r="AT481" s="262"/>
      <c r="AU481" s="262"/>
      <c r="AV481" s="262"/>
      <c r="AW481" s="262"/>
      <c r="AX481" s="262"/>
      <c r="AY481" s="262"/>
      <c r="AZ481" s="262"/>
      <c r="BA481" s="262"/>
      <c r="BB481" s="262"/>
      <c r="BC481" s="262"/>
      <c r="BD481" s="262"/>
      <c r="BE481" s="262"/>
      <c r="BF481" s="262"/>
      <c r="BG481" s="262"/>
      <c r="BH481" s="262"/>
      <c r="BI481" s="262"/>
      <c r="BJ481" s="262"/>
      <c r="BK481" s="262"/>
    </row>
    <row r="482" spans="1:63" ht="12.75" x14ac:dyDescent="0.2">
      <c r="A482" s="263"/>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262"/>
      <c r="AK482" s="262"/>
      <c r="AL482" s="262"/>
      <c r="AM482" s="262"/>
      <c r="AN482" s="262"/>
      <c r="AO482" s="262"/>
      <c r="AP482" s="262"/>
      <c r="AQ482" s="262"/>
      <c r="AR482" s="262"/>
      <c r="AS482" s="262"/>
      <c r="AT482" s="262"/>
      <c r="AU482" s="262"/>
      <c r="AV482" s="262"/>
      <c r="AW482" s="262"/>
      <c r="AX482" s="262"/>
      <c r="AY482" s="262"/>
      <c r="AZ482" s="262"/>
      <c r="BA482" s="262"/>
      <c r="BB482" s="262"/>
      <c r="BC482" s="262"/>
      <c r="BD482" s="262"/>
      <c r="BE482" s="262"/>
      <c r="BF482" s="262"/>
      <c r="BG482" s="262"/>
      <c r="BH482" s="262"/>
      <c r="BI482" s="262"/>
      <c r="BJ482" s="262"/>
      <c r="BK482" s="262"/>
    </row>
    <row r="483" spans="1:63" ht="12.75" x14ac:dyDescent="0.2">
      <c r="A483" s="263"/>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262"/>
      <c r="AE483" s="262"/>
      <c r="AF483" s="262"/>
      <c r="AG483" s="262"/>
      <c r="AH483" s="262"/>
      <c r="AI483" s="262"/>
      <c r="AJ483" s="262"/>
      <c r="AK483" s="262"/>
      <c r="AL483" s="262"/>
      <c r="AM483" s="262"/>
      <c r="AN483" s="262"/>
      <c r="AO483" s="262"/>
      <c r="AP483" s="262"/>
      <c r="AQ483" s="262"/>
      <c r="AR483" s="262"/>
      <c r="AS483" s="262"/>
      <c r="AT483" s="262"/>
      <c r="AU483" s="262"/>
      <c r="AV483" s="262"/>
      <c r="AW483" s="262"/>
      <c r="AX483" s="262"/>
      <c r="AY483" s="262"/>
      <c r="AZ483" s="262"/>
      <c r="BA483" s="262"/>
      <c r="BB483" s="262"/>
      <c r="BC483" s="262"/>
      <c r="BD483" s="262"/>
      <c r="BE483" s="262"/>
      <c r="BF483" s="262"/>
      <c r="BG483" s="262"/>
      <c r="BH483" s="262"/>
      <c r="BI483" s="262"/>
      <c r="BJ483" s="262"/>
      <c r="BK483" s="262"/>
    </row>
    <row r="484" spans="1:63" ht="12.75" x14ac:dyDescent="0.2">
      <c r="A484" s="263"/>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262"/>
      <c r="AE484" s="262"/>
      <c r="AF484" s="262"/>
      <c r="AG484" s="262"/>
      <c r="AH484" s="262"/>
      <c r="AI484" s="262"/>
      <c r="AJ484" s="262"/>
      <c r="AK484" s="262"/>
      <c r="AL484" s="262"/>
      <c r="AM484" s="262"/>
      <c r="AN484" s="262"/>
      <c r="AO484" s="262"/>
      <c r="AP484" s="262"/>
      <c r="AQ484" s="262"/>
      <c r="AR484" s="262"/>
      <c r="AS484" s="262"/>
      <c r="AT484" s="262"/>
      <c r="AU484" s="262"/>
      <c r="AV484" s="262"/>
      <c r="AW484" s="262"/>
      <c r="AX484" s="262"/>
      <c r="AY484" s="262"/>
      <c r="AZ484" s="262"/>
      <c r="BA484" s="262"/>
      <c r="BB484" s="262"/>
      <c r="BC484" s="262"/>
      <c r="BD484" s="262"/>
      <c r="BE484" s="262"/>
      <c r="BF484" s="262"/>
      <c r="BG484" s="262"/>
      <c r="BH484" s="262"/>
      <c r="BI484" s="262"/>
      <c r="BJ484" s="262"/>
      <c r="BK484" s="262"/>
    </row>
    <row r="485" spans="1:63" ht="12.75" x14ac:dyDescent="0.2">
      <c r="A485" s="263"/>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262"/>
      <c r="AE485" s="262"/>
      <c r="AF485" s="262"/>
      <c r="AG485" s="262"/>
      <c r="AH485" s="262"/>
      <c r="AI485" s="262"/>
      <c r="AJ485" s="262"/>
      <c r="AK485" s="262"/>
      <c r="AL485" s="262"/>
      <c r="AM485" s="262"/>
      <c r="AN485" s="262"/>
      <c r="AO485" s="262"/>
      <c r="AP485" s="262"/>
      <c r="AQ485" s="262"/>
      <c r="AR485" s="262"/>
      <c r="AS485" s="262"/>
      <c r="AT485" s="262"/>
      <c r="AU485" s="262"/>
      <c r="AV485" s="262"/>
      <c r="AW485" s="262"/>
      <c r="AX485" s="262"/>
      <c r="AY485" s="262"/>
      <c r="AZ485" s="262"/>
      <c r="BA485" s="262"/>
      <c r="BB485" s="262"/>
      <c r="BC485" s="262"/>
      <c r="BD485" s="262"/>
      <c r="BE485" s="262"/>
      <c r="BF485" s="262"/>
      <c r="BG485" s="262"/>
      <c r="BH485" s="262"/>
      <c r="BI485" s="262"/>
      <c r="BJ485" s="262"/>
      <c r="BK485" s="262"/>
    </row>
    <row r="486" spans="1:63" ht="12.75" x14ac:dyDescent="0.2">
      <c r="A486" s="263"/>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262"/>
      <c r="AE486" s="262"/>
      <c r="AF486" s="262"/>
      <c r="AG486" s="262"/>
      <c r="AH486" s="262"/>
      <c r="AI486" s="262"/>
      <c r="AJ486" s="262"/>
      <c r="AK486" s="262"/>
      <c r="AL486" s="262"/>
      <c r="AM486" s="262"/>
      <c r="AN486" s="262"/>
      <c r="AO486" s="262"/>
      <c r="AP486" s="262"/>
      <c r="AQ486" s="262"/>
      <c r="AR486" s="262"/>
      <c r="AS486" s="262"/>
      <c r="AT486" s="262"/>
      <c r="AU486" s="262"/>
      <c r="AV486" s="262"/>
      <c r="AW486" s="262"/>
      <c r="AX486" s="262"/>
      <c r="AY486" s="262"/>
      <c r="AZ486" s="262"/>
      <c r="BA486" s="262"/>
      <c r="BB486" s="262"/>
      <c r="BC486" s="262"/>
      <c r="BD486" s="262"/>
      <c r="BE486" s="262"/>
      <c r="BF486" s="262"/>
      <c r="BG486" s="262"/>
      <c r="BH486" s="262"/>
      <c r="BI486" s="262"/>
      <c r="BJ486" s="262"/>
      <c r="BK486" s="262"/>
    </row>
    <row r="487" spans="1:63" ht="12.75" x14ac:dyDescent="0.2">
      <c r="A487" s="263"/>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262"/>
      <c r="AE487" s="262"/>
      <c r="AF487" s="262"/>
      <c r="AG487" s="262"/>
      <c r="AH487" s="262"/>
      <c r="AI487" s="262"/>
      <c r="AJ487" s="262"/>
      <c r="AK487" s="262"/>
      <c r="AL487" s="262"/>
      <c r="AM487" s="262"/>
      <c r="AN487" s="262"/>
      <c r="AO487" s="262"/>
      <c r="AP487" s="262"/>
      <c r="AQ487" s="262"/>
      <c r="AR487" s="262"/>
      <c r="AS487" s="262"/>
      <c r="AT487" s="262"/>
      <c r="AU487" s="262"/>
      <c r="AV487" s="262"/>
      <c r="AW487" s="262"/>
      <c r="AX487" s="262"/>
      <c r="AY487" s="262"/>
      <c r="AZ487" s="262"/>
      <c r="BA487" s="262"/>
      <c r="BB487" s="262"/>
      <c r="BC487" s="262"/>
      <c r="BD487" s="262"/>
      <c r="BE487" s="262"/>
      <c r="BF487" s="262"/>
      <c r="BG487" s="262"/>
      <c r="BH487" s="262"/>
      <c r="BI487" s="262"/>
      <c r="BJ487" s="262"/>
      <c r="BK487" s="262"/>
    </row>
    <row r="488" spans="1:63" ht="12.75" x14ac:dyDescent="0.2">
      <c r="A488" s="263"/>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262"/>
      <c r="AE488" s="262"/>
      <c r="AF488" s="262"/>
      <c r="AG488" s="262"/>
      <c r="AH488" s="262"/>
      <c r="AI488" s="262"/>
      <c r="AJ488" s="262"/>
      <c r="AK488" s="262"/>
      <c r="AL488" s="262"/>
      <c r="AM488" s="262"/>
      <c r="AN488" s="262"/>
      <c r="AO488" s="262"/>
      <c r="AP488" s="262"/>
      <c r="AQ488" s="262"/>
      <c r="AR488" s="262"/>
      <c r="AS488" s="262"/>
      <c r="AT488" s="262"/>
      <c r="AU488" s="262"/>
      <c r="AV488" s="262"/>
      <c r="AW488" s="262"/>
      <c r="AX488" s="262"/>
      <c r="AY488" s="262"/>
      <c r="AZ488" s="262"/>
      <c r="BA488" s="262"/>
      <c r="BB488" s="262"/>
      <c r="BC488" s="262"/>
      <c r="BD488" s="262"/>
      <c r="BE488" s="262"/>
      <c r="BF488" s="262"/>
      <c r="BG488" s="262"/>
      <c r="BH488" s="262"/>
      <c r="BI488" s="262"/>
      <c r="BJ488" s="262"/>
      <c r="BK488" s="262"/>
    </row>
    <row r="489" spans="1:63" ht="12.75" x14ac:dyDescent="0.2">
      <c r="A489" s="263"/>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62"/>
      <c r="AE489" s="262"/>
      <c r="AF489" s="262"/>
      <c r="AG489" s="262"/>
      <c r="AH489" s="262"/>
      <c r="AI489" s="262"/>
      <c r="AJ489" s="262"/>
      <c r="AK489" s="262"/>
      <c r="AL489" s="262"/>
      <c r="AM489" s="262"/>
      <c r="AN489" s="262"/>
      <c r="AO489" s="262"/>
      <c r="AP489" s="262"/>
      <c r="AQ489" s="262"/>
      <c r="AR489" s="262"/>
      <c r="AS489" s="262"/>
      <c r="AT489" s="262"/>
      <c r="AU489" s="262"/>
      <c r="AV489" s="262"/>
      <c r="AW489" s="262"/>
      <c r="AX489" s="262"/>
      <c r="AY489" s="262"/>
      <c r="AZ489" s="262"/>
      <c r="BA489" s="262"/>
      <c r="BB489" s="262"/>
      <c r="BC489" s="262"/>
      <c r="BD489" s="262"/>
      <c r="BE489" s="262"/>
      <c r="BF489" s="262"/>
      <c r="BG489" s="262"/>
      <c r="BH489" s="262"/>
      <c r="BI489" s="262"/>
      <c r="BJ489" s="262"/>
      <c r="BK489" s="262"/>
    </row>
    <row r="490" spans="1:63" ht="12.75" x14ac:dyDescent="0.2">
      <c r="A490" s="263"/>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262"/>
      <c r="AE490" s="262"/>
      <c r="AF490" s="262"/>
      <c r="AG490" s="262"/>
      <c r="AH490" s="262"/>
      <c r="AI490" s="262"/>
      <c r="AJ490" s="262"/>
      <c r="AK490" s="262"/>
      <c r="AL490" s="262"/>
      <c r="AM490" s="262"/>
      <c r="AN490" s="262"/>
      <c r="AO490" s="262"/>
      <c r="AP490" s="262"/>
      <c r="AQ490" s="262"/>
      <c r="AR490" s="262"/>
      <c r="AS490" s="262"/>
      <c r="AT490" s="262"/>
      <c r="AU490" s="262"/>
      <c r="AV490" s="262"/>
      <c r="AW490" s="262"/>
      <c r="AX490" s="262"/>
      <c r="AY490" s="262"/>
      <c r="AZ490" s="262"/>
      <c r="BA490" s="262"/>
      <c r="BB490" s="262"/>
      <c r="BC490" s="262"/>
      <c r="BD490" s="262"/>
      <c r="BE490" s="262"/>
      <c r="BF490" s="262"/>
      <c r="BG490" s="262"/>
      <c r="BH490" s="262"/>
      <c r="BI490" s="262"/>
      <c r="BJ490" s="262"/>
      <c r="BK490" s="262"/>
    </row>
    <row r="491" spans="1:63" ht="12.75" x14ac:dyDescent="0.2">
      <c r="A491" s="263"/>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F491" s="262"/>
      <c r="AG491" s="262"/>
      <c r="AH491" s="262"/>
      <c r="AI491" s="262"/>
      <c r="AJ491" s="262"/>
      <c r="AK491" s="262"/>
      <c r="AL491" s="262"/>
      <c r="AM491" s="262"/>
      <c r="AN491" s="262"/>
      <c r="AO491" s="262"/>
      <c r="AP491" s="262"/>
      <c r="AQ491" s="262"/>
      <c r="AR491" s="262"/>
      <c r="AS491" s="262"/>
      <c r="AT491" s="262"/>
      <c r="AU491" s="262"/>
      <c r="AV491" s="262"/>
      <c r="AW491" s="262"/>
      <c r="AX491" s="262"/>
      <c r="AY491" s="262"/>
      <c r="AZ491" s="262"/>
      <c r="BA491" s="262"/>
      <c r="BB491" s="262"/>
      <c r="BC491" s="262"/>
      <c r="BD491" s="262"/>
      <c r="BE491" s="262"/>
      <c r="BF491" s="262"/>
      <c r="BG491" s="262"/>
      <c r="BH491" s="262"/>
      <c r="BI491" s="262"/>
      <c r="BJ491" s="262"/>
      <c r="BK491" s="262"/>
    </row>
    <row r="492" spans="1:63" ht="12.75" x14ac:dyDescent="0.2">
      <c r="A492" s="263"/>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62"/>
      <c r="AE492" s="262"/>
      <c r="AF492" s="262"/>
      <c r="AG492" s="262"/>
      <c r="AH492" s="262"/>
      <c r="AI492" s="262"/>
      <c r="AJ492" s="262"/>
      <c r="AK492" s="262"/>
      <c r="AL492" s="262"/>
      <c r="AM492" s="262"/>
      <c r="AN492" s="262"/>
      <c r="AO492" s="262"/>
      <c r="AP492" s="262"/>
      <c r="AQ492" s="262"/>
      <c r="AR492" s="262"/>
      <c r="AS492" s="262"/>
      <c r="AT492" s="262"/>
      <c r="AU492" s="262"/>
      <c r="AV492" s="262"/>
      <c r="AW492" s="262"/>
      <c r="AX492" s="262"/>
      <c r="AY492" s="262"/>
      <c r="AZ492" s="262"/>
      <c r="BA492" s="262"/>
      <c r="BB492" s="262"/>
      <c r="BC492" s="262"/>
      <c r="BD492" s="262"/>
      <c r="BE492" s="262"/>
      <c r="BF492" s="262"/>
      <c r="BG492" s="262"/>
      <c r="BH492" s="262"/>
      <c r="BI492" s="262"/>
      <c r="BJ492" s="262"/>
      <c r="BK492" s="262"/>
    </row>
    <row r="493" spans="1:63" ht="12.75" x14ac:dyDescent="0.2">
      <c r="A493" s="263"/>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262"/>
      <c r="AE493" s="262"/>
      <c r="AF493" s="262"/>
      <c r="AG493" s="262"/>
      <c r="AH493" s="262"/>
      <c r="AI493" s="262"/>
      <c r="AJ493" s="262"/>
      <c r="AK493" s="262"/>
      <c r="AL493" s="262"/>
      <c r="AM493" s="262"/>
      <c r="AN493" s="262"/>
      <c r="AO493" s="262"/>
      <c r="AP493" s="262"/>
      <c r="AQ493" s="262"/>
      <c r="AR493" s="262"/>
      <c r="AS493" s="262"/>
      <c r="AT493" s="262"/>
      <c r="AU493" s="262"/>
      <c r="AV493" s="262"/>
      <c r="AW493" s="262"/>
      <c r="AX493" s="262"/>
      <c r="AY493" s="262"/>
      <c r="AZ493" s="262"/>
      <c r="BA493" s="262"/>
      <c r="BB493" s="262"/>
      <c r="BC493" s="262"/>
      <c r="BD493" s="262"/>
      <c r="BE493" s="262"/>
      <c r="BF493" s="262"/>
      <c r="BG493" s="262"/>
      <c r="BH493" s="262"/>
      <c r="BI493" s="262"/>
      <c r="BJ493" s="262"/>
      <c r="BK493" s="262"/>
    </row>
    <row r="494" spans="1:63" ht="12.75" x14ac:dyDescent="0.2">
      <c r="A494" s="263"/>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262"/>
      <c r="AE494" s="262"/>
      <c r="AF494" s="262"/>
      <c r="AG494" s="262"/>
      <c r="AH494" s="262"/>
      <c r="AI494" s="262"/>
      <c r="AJ494" s="262"/>
      <c r="AK494" s="262"/>
      <c r="AL494" s="262"/>
      <c r="AM494" s="262"/>
      <c r="AN494" s="262"/>
      <c r="AO494" s="262"/>
      <c r="AP494" s="262"/>
      <c r="AQ494" s="262"/>
      <c r="AR494" s="262"/>
      <c r="AS494" s="262"/>
      <c r="AT494" s="262"/>
      <c r="AU494" s="262"/>
      <c r="AV494" s="262"/>
      <c r="AW494" s="262"/>
      <c r="AX494" s="262"/>
      <c r="AY494" s="262"/>
      <c r="AZ494" s="262"/>
      <c r="BA494" s="262"/>
      <c r="BB494" s="262"/>
      <c r="BC494" s="262"/>
      <c r="BD494" s="262"/>
      <c r="BE494" s="262"/>
      <c r="BF494" s="262"/>
      <c r="BG494" s="262"/>
      <c r="BH494" s="262"/>
      <c r="BI494" s="262"/>
      <c r="BJ494" s="262"/>
      <c r="BK494" s="262"/>
    </row>
    <row r="495" spans="1:63" ht="12.75" x14ac:dyDescent="0.2">
      <c r="A495" s="263"/>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262"/>
      <c r="AE495" s="262"/>
      <c r="AF495" s="262"/>
      <c r="AG495" s="262"/>
      <c r="AH495" s="262"/>
      <c r="AI495" s="262"/>
      <c r="AJ495" s="262"/>
      <c r="AK495" s="262"/>
      <c r="AL495" s="262"/>
      <c r="AM495" s="262"/>
      <c r="AN495" s="262"/>
      <c r="AO495" s="262"/>
      <c r="AP495" s="262"/>
      <c r="AQ495" s="262"/>
      <c r="AR495" s="262"/>
      <c r="AS495" s="262"/>
      <c r="AT495" s="262"/>
      <c r="AU495" s="262"/>
      <c r="AV495" s="262"/>
      <c r="AW495" s="262"/>
      <c r="AX495" s="262"/>
      <c r="AY495" s="262"/>
      <c r="AZ495" s="262"/>
      <c r="BA495" s="262"/>
      <c r="BB495" s="262"/>
      <c r="BC495" s="262"/>
      <c r="BD495" s="262"/>
      <c r="BE495" s="262"/>
      <c r="BF495" s="262"/>
      <c r="BG495" s="262"/>
      <c r="BH495" s="262"/>
      <c r="BI495" s="262"/>
      <c r="BJ495" s="262"/>
      <c r="BK495" s="262"/>
    </row>
    <row r="496" spans="1:63" ht="12.75" x14ac:dyDescent="0.2">
      <c r="A496" s="263"/>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262"/>
      <c r="AE496" s="262"/>
      <c r="AF496" s="262"/>
      <c r="AG496" s="262"/>
      <c r="AH496" s="262"/>
      <c r="AI496" s="262"/>
      <c r="AJ496" s="262"/>
      <c r="AK496" s="262"/>
      <c r="AL496" s="262"/>
      <c r="AM496" s="262"/>
      <c r="AN496" s="262"/>
      <c r="AO496" s="262"/>
      <c r="AP496" s="262"/>
      <c r="AQ496" s="262"/>
      <c r="AR496" s="262"/>
      <c r="AS496" s="262"/>
      <c r="AT496" s="262"/>
      <c r="AU496" s="262"/>
      <c r="AV496" s="262"/>
      <c r="AW496" s="262"/>
      <c r="AX496" s="262"/>
      <c r="AY496" s="262"/>
      <c r="AZ496" s="262"/>
      <c r="BA496" s="262"/>
      <c r="BB496" s="262"/>
      <c r="BC496" s="262"/>
      <c r="BD496" s="262"/>
      <c r="BE496" s="262"/>
      <c r="BF496" s="262"/>
      <c r="BG496" s="262"/>
      <c r="BH496" s="262"/>
      <c r="BI496" s="262"/>
      <c r="BJ496" s="262"/>
      <c r="BK496" s="262"/>
    </row>
    <row r="497" spans="1:63" ht="12.75" x14ac:dyDescent="0.2">
      <c r="A497" s="263"/>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262"/>
      <c r="AE497" s="262"/>
      <c r="AF497" s="262"/>
      <c r="AG497" s="262"/>
      <c r="AH497" s="262"/>
      <c r="AI497" s="262"/>
      <c r="AJ497" s="262"/>
      <c r="AK497" s="262"/>
      <c r="AL497" s="262"/>
      <c r="AM497" s="262"/>
      <c r="AN497" s="262"/>
      <c r="AO497" s="262"/>
      <c r="AP497" s="262"/>
      <c r="AQ497" s="262"/>
      <c r="AR497" s="262"/>
      <c r="AS497" s="262"/>
      <c r="AT497" s="262"/>
      <c r="AU497" s="262"/>
      <c r="AV497" s="262"/>
      <c r="AW497" s="262"/>
      <c r="AX497" s="262"/>
      <c r="AY497" s="262"/>
      <c r="AZ497" s="262"/>
      <c r="BA497" s="262"/>
      <c r="BB497" s="262"/>
      <c r="BC497" s="262"/>
      <c r="BD497" s="262"/>
      <c r="BE497" s="262"/>
      <c r="BF497" s="262"/>
      <c r="BG497" s="262"/>
      <c r="BH497" s="262"/>
      <c r="BI497" s="262"/>
      <c r="BJ497" s="262"/>
      <c r="BK497" s="262"/>
    </row>
    <row r="498" spans="1:63" ht="12.75" x14ac:dyDescent="0.2">
      <c r="A498" s="263"/>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262"/>
      <c r="AF498" s="262"/>
      <c r="AG498" s="262"/>
      <c r="AH498" s="262"/>
      <c r="AI498" s="262"/>
      <c r="AJ498" s="262"/>
      <c r="AK498" s="262"/>
      <c r="AL498" s="262"/>
      <c r="AM498" s="262"/>
      <c r="AN498" s="262"/>
      <c r="AO498" s="262"/>
      <c r="AP498" s="262"/>
      <c r="AQ498" s="262"/>
      <c r="AR498" s="262"/>
      <c r="AS498" s="262"/>
      <c r="AT498" s="262"/>
      <c r="AU498" s="262"/>
      <c r="AV498" s="262"/>
      <c r="AW498" s="262"/>
      <c r="AX498" s="262"/>
      <c r="AY498" s="262"/>
      <c r="AZ498" s="262"/>
      <c r="BA498" s="262"/>
      <c r="BB498" s="262"/>
      <c r="BC498" s="262"/>
      <c r="BD498" s="262"/>
      <c r="BE498" s="262"/>
      <c r="BF498" s="262"/>
      <c r="BG498" s="262"/>
      <c r="BH498" s="262"/>
      <c r="BI498" s="262"/>
      <c r="BJ498" s="262"/>
      <c r="BK498" s="262"/>
    </row>
    <row r="499" spans="1:63" ht="12.75" x14ac:dyDescent="0.2">
      <c r="A499" s="263"/>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c r="AA499" s="262"/>
      <c r="AB499" s="262"/>
      <c r="AC499" s="262"/>
      <c r="AD499" s="262"/>
      <c r="AE499" s="262"/>
      <c r="AF499" s="262"/>
      <c r="AG499" s="262"/>
      <c r="AH499" s="262"/>
      <c r="AI499" s="262"/>
      <c r="AJ499" s="262"/>
      <c r="AK499" s="262"/>
      <c r="AL499" s="262"/>
      <c r="AM499" s="262"/>
      <c r="AN499" s="262"/>
      <c r="AO499" s="262"/>
      <c r="AP499" s="262"/>
      <c r="AQ499" s="262"/>
      <c r="AR499" s="262"/>
      <c r="AS499" s="262"/>
      <c r="AT499" s="262"/>
      <c r="AU499" s="262"/>
      <c r="AV499" s="262"/>
      <c r="AW499" s="262"/>
      <c r="AX499" s="262"/>
      <c r="AY499" s="262"/>
      <c r="AZ499" s="262"/>
      <c r="BA499" s="262"/>
      <c r="BB499" s="262"/>
      <c r="BC499" s="262"/>
      <c r="BD499" s="262"/>
      <c r="BE499" s="262"/>
      <c r="BF499" s="262"/>
      <c r="BG499" s="262"/>
      <c r="BH499" s="262"/>
      <c r="BI499" s="262"/>
      <c r="BJ499" s="262"/>
      <c r="BK499" s="262"/>
    </row>
    <row r="500" spans="1:63" ht="12.75" x14ac:dyDescent="0.2">
      <c r="A500" s="263"/>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s="262"/>
      <c r="AG500" s="262"/>
      <c r="AH500" s="262"/>
      <c r="AI500" s="262"/>
      <c r="AJ500" s="262"/>
      <c r="AK500" s="262"/>
      <c r="AL500" s="262"/>
      <c r="AM500" s="262"/>
      <c r="AN500" s="262"/>
      <c r="AO500" s="262"/>
      <c r="AP500" s="262"/>
      <c r="AQ500" s="262"/>
      <c r="AR500" s="262"/>
      <c r="AS500" s="262"/>
      <c r="AT500" s="262"/>
      <c r="AU500" s="262"/>
      <c r="AV500" s="262"/>
      <c r="AW500" s="262"/>
      <c r="AX500" s="262"/>
      <c r="AY500" s="262"/>
      <c r="AZ500" s="262"/>
      <c r="BA500" s="262"/>
      <c r="BB500" s="262"/>
      <c r="BC500" s="262"/>
      <c r="BD500" s="262"/>
      <c r="BE500" s="262"/>
      <c r="BF500" s="262"/>
      <c r="BG500" s="262"/>
      <c r="BH500" s="262"/>
      <c r="BI500" s="262"/>
      <c r="BJ500" s="262"/>
      <c r="BK500" s="262"/>
    </row>
    <row r="501" spans="1:63" ht="12.75" x14ac:dyDescent="0.2">
      <c r="A501" s="263"/>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c r="AA501" s="262"/>
      <c r="AB501" s="262"/>
      <c r="AC501" s="262"/>
      <c r="AD501" s="262"/>
      <c r="AE501" s="262"/>
      <c r="AF501" s="262"/>
      <c r="AG501" s="262"/>
      <c r="AH501" s="262"/>
      <c r="AI501" s="262"/>
      <c r="AJ501" s="262"/>
      <c r="AK501" s="262"/>
      <c r="AL501" s="262"/>
      <c r="AM501" s="262"/>
      <c r="AN501" s="262"/>
      <c r="AO501" s="262"/>
      <c r="AP501" s="262"/>
      <c r="AQ501" s="262"/>
      <c r="AR501" s="262"/>
      <c r="AS501" s="262"/>
      <c r="AT501" s="262"/>
      <c r="AU501" s="262"/>
      <c r="AV501" s="262"/>
      <c r="AW501" s="262"/>
      <c r="AX501" s="262"/>
      <c r="AY501" s="262"/>
      <c r="AZ501" s="262"/>
      <c r="BA501" s="262"/>
      <c r="BB501" s="262"/>
      <c r="BC501" s="262"/>
      <c r="BD501" s="262"/>
      <c r="BE501" s="262"/>
      <c r="BF501" s="262"/>
      <c r="BG501" s="262"/>
      <c r="BH501" s="262"/>
      <c r="BI501" s="262"/>
      <c r="BJ501" s="262"/>
      <c r="BK501" s="262"/>
    </row>
    <row r="502" spans="1:63" ht="12.75" x14ac:dyDescent="0.2">
      <c r="A502" s="263"/>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262"/>
      <c r="AE502" s="262"/>
      <c r="AF502" s="262"/>
      <c r="AG502" s="262"/>
      <c r="AH502" s="262"/>
      <c r="AI502" s="262"/>
      <c r="AJ502" s="262"/>
      <c r="AK502" s="262"/>
      <c r="AL502" s="262"/>
      <c r="AM502" s="262"/>
      <c r="AN502" s="262"/>
      <c r="AO502" s="262"/>
      <c r="AP502" s="262"/>
      <c r="AQ502" s="262"/>
      <c r="AR502" s="262"/>
      <c r="AS502" s="262"/>
      <c r="AT502" s="262"/>
      <c r="AU502" s="262"/>
      <c r="AV502" s="262"/>
      <c r="AW502" s="262"/>
      <c r="AX502" s="262"/>
      <c r="AY502" s="262"/>
      <c r="AZ502" s="262"/>
      <c r="BA502" s="262"/>
      <c r="BB502" s="262"/>
      <c r="BC502" s="262"/>
      <c r="BD502" s="262"/>
      <c r="BE502" s="262"/>
      <c r="BF502" s="262"/>
      <c r="BG502" s="262"/>
      <c r="BH502" s="262"/>
      <c r="BI502" s="262"/>
      <c r="BJ502" s="262"/>
      <c r="BK502" s="262"/>
    </row>
    <row r="503" spans="1:63" ht="12.75" x14ac:dyDescent="0.2">
      <c r="A503" s="263"/>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262"/>
      <c r="AE503" s="262"/>
      <c r="AF503" s="262"/>
      <c r="AG503" s="262"/>
      <c r="AH503" s="262"/>
      <c r="AI503" s="262"/>
      <c r="AJ503" s="262"/>
      <c r="AK503" s="262"/>
      <c r="AL503" s="262"/>
      <c r="AM503" s="262"/>
      <c r="AN503" s="262"/>
      <c r="AO503" s="262"/>
      <c r="AP503" s="262"/>
      <c r="AQ503" s="262"/>
      <c r="AR503" s="262"/>
      <c r="AS503" s="262"/>
      <c r="AT503" s="262"/>
      <c r="AU503" s="262"/>
      <c r="AV503" s="262"/>
      <c r="AW503" s="262"/>
      <c r="AX503" s="262"/>
      <c r="AY503" s="262"/>
      <c r="AZ503" s="262"/>
      <c r="BA503" s="262"/>
      <c r="BB503" s="262"/>
      <c r="BC503" s="262"/>
      <c r="BD503" s="262"/>
      <c r="BE503" s="262"/>
      <c r="BF503" s="262"/>
      <c r="BG503" s="262"/>
      <c r="BH503" s="262"/>
      <c r="BI503" s="262"/>
      <c r="BJ503" s="262"/>
      <c r="BK503" s="262"/>
    </row>
    <row r="504" spans="1:63" ht="12.75" x14ac:dyDescent="0.2">
      <c r="A504" s="263"/>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262"/>
      <c r="AE504" s="262"/>
      <c r="AF504" s="262"/>
      <c r="AG504" s="262"/>
      <c r="AH504" s="262"/>
      <c r="AI504" s="262"/>
      <c r="AJ504" s="262"/>
      <c r="AK504" s="262"/>
      <c r="AL504" s="262"/>
      <c r="AM504" s="262"/>
      <c r="AN504" s="262"/>
      <c r="AO504" s="262"/>
      <c r="AP504" s="262"/>
      <c r="AQ504" s="262"/>
      <c r="AR504" s="262"/>
      <c r="AS504" s="262"/>
      <c r="AT504" s="262"/>
      <c r="AU504" s="262"/>
      <c r="AV504" s="262"/>
      <c r="AW504" s="262"/>
      <c r="AX504" s="262"/>
      <c r="AY504" s="262"/>
      <c r="AZ504" s="262"/>
      <c r="BA504" s="262"/>
      <c r="BB504" s="262"/>
      <c r="BC504" s="262"/>
      <c r="BD504" s="262"/>
      <c r="BE504" s="262"/>
      <c r="BF504" s="262"/>
      <c r="BG504" s="262"/>
      <c r="BH504" s="262"/>
      <c r="BI504" s="262"/>
      <c r="BJ504" s="262"/>
      <c r="BK504" s="262"/>
    </row>
    <row r="505" spans="1:63" ht="12.75" x14ac:dyDescent="0.2">
      <c r="A505" s="263"/>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262"/>
      <c r="AE505" s="262"/>
      <c r="AF505" s="262"/>
      <c r="AG505" s="262"/>
      <c r="AH505" s="262"/>
      <c r="AI505" s="262"/>
      <c r="AJ505" s="262"/>
      <c r="AK505" s="262"/>
      <c r="AL505" s="262"/>
      <c r="AM505" s="262"/>
      <c r="AN505" s="262"/>
      <c r="AO505" s="262"/>
      <c r="AP505" s="262"/>
      <c r="AQ505" s="262"/>
      <c r="AR505" s="262"/>
      <c r="AS505" s="262"/>
      <c r="AT505" s="262"/>
      <c r="AU505" s="262"/>
      <c r="AV505" s="262"/>
      <c r="AW505" s="262"/>
      <c r="AX505" s="262"/>
      <c r="AY505" s="262"/>
      <c r="AZ505" s="262"/>
      <c r="BA505" s="262"/>
      <c r="BB505" s="262"/>
      <c r="BC505" s="262"/>
      <c r="BD505" s="262"/>
      <c r="BE505" s="262"/>
      <c r="BF505" s="262"/>
      <c r="BG505" s="262"/>
      <c r="BH505" s="262"/>
      <c r="BI505" s="262"/>
      <c r="BJ505" s="262"/>
      <c r="BK505" s="262"/>
    </row>
    <row r="506" spans="1:63" ht="12.75" x14ac:dyDescent="0.2">
      <c r="A506" s="263"/>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262"/>
      <c r="AE506" s="262"/>
      <c r="AF506" s="262"/>
      <c r="AG506" s="262"/>
      <c r="AH506" s="262"/>
      <c r="AI506" s="262"/>
      <c r="AJ506" s="262"/>
      <c r="AK506" s="262"/>
      <c r="AL506" s="262"/>
      <c r="AM506" s="262"/>
      <c r="AN506" s="262"/>
      <c r="AO506" s="262"/>
      <c r="AP506" s="262"/>
      <c r="AQ506" s="262"/>
      <c r="AR506" s="262"/>
      <c r="AS506" s="262"/>
      <c r="AT506" s="262"/>
      <c r="AU506" s="262"/>
      <c r="AV506" s="262"/>
      <c r="AW506" s="262"/>
      <c r="AX506" s="262"/>
      <c r="AY506" s="262"/>
      <c r="AZ506" s="262"/>
      <c r="BA506" s="262"/>
      <c r="BB506" s="262"/>
      <c r="BC506" s="262"/>
      <c r="BD506" s="262"/>
      <c r="BE506" s="262"/>
      <c r="BF506" s="262"/>
      <c r="BG506" s="262"/>
      <c r="BH506" s="262"/>
      <c r="BI506" s="262"/>
      <c r="BJ506" s="262"/>
      <c r="BK506" s="262"/>
    </row>
    <row r="507" spans="1:63" ht="12.75" x14ac:dyDescent="0.2">
      <c r="A507" s="263"/>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262"/>
      <c r="AF507" s="262"/>
      <c r="AG507" s="262"/>
      <c r="AH507" s="262"/>
      <c r="AI507" s="262"/>
      <c r="AJ507" s="262"/>
      <c r="AK507" s="262"/>
      <c r="AL507" s="262"/>
      <c r="AM507" s="262"/>
      <c r="AN507" s="262"/>
      <c r="AO507" s="262"/>
      <c r="AP507" s="262"/>
      <c r="AQ507" s="262"/>
      <c r="AR507" s="262"/>
      <c r="AS507" s="262"/>
      <c r="AT507" s="262"/>
      <c r="AU507" s="262"/>
      <c r="AV507" s="262"/>
      <c r="AW507" s="262"/>
      <c r="AX507" s="262"/>
      <c r="AY507" s="262"/>
      <c r="AZ507" s="262"/>
      <c r="BA507" s="262"/>
      <c r="BB507" s="262"/>
      <c r="BC507" s="262"/>
      <c r="BD507" s="262"/>
      <c r="BE507" s="262"/>
      <c r="BF507" s="262"/>
      <c r="BG507" s="262"/>
      <c r="BH507" s="262"/>
      <c r="BI507" s="262"/>
      <c r="BJ507" s="262"/>
      <c r="BK507" s="262"/>
    </row>
    <row r="508" spans="1:63" ht="12.75" x14ac:dyDescent="0.2">
      <c r="A508" s="263"/>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c r="AA508" s="262"/>
      <c r="AB508" s="262"/>
      <c r="AC508" s="262"/>
      <c r="AD508" s="262"/>
      <c r="AE508" s="262"/>
      <c r="AF508" s="262"/>
      <c r="AG508" s="262"/>
      <c r="AH508" s="262"/>
      <c r="AI508" s="262"/>
      <c r="AJ508" s="262"/>
      <c r="AK508" s="262"/>
      <c r="AL508" s="262"/>
      <c r="AM508" s="262"/>
      <c r="AN508" s="262"/>
      <c r="AO508" s="262"/>
      <c r="AP508" s="262"/>
      <c r="AQ508" s="262"/>
      <c r="AR508" s="262"/>
      <c r="AS508" s="262"/>
      <c r="AT508" s="262"/>
      <c r="AU508" s="262"/>
      <c r="AV508" s="262"/>
      <c r="AW508" s="262"/>
      <c r="AX508" s="262"/>
      <c r="AY508" s="262"/>
      <c r="AZ508" s="262"/>
      <c r="BA508" s="262"/>
      <c r="BB508" s="262"/>
      <c r="BC508" s="262"/>
      <c r="BD508" s="262"/>
      <c r="BE508" s="262"/>
      <c r="BF508" s="262"/>
      <c r="BG508" s="262"/>
      <c r="BH508" s="262"/>
      <c r="BI508" s="262"/>
      <c r="BJ508" s="262"/>
      <c r="BK508" s="262"/>
    </row>
    <row r="509" spans="1:63" ht="12.75" x14ac:dyDescent="0.2">
      <c r="A509" s="263"/>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c r="AA509" s="262"/>
      <c r="AB509" s="262"/>
      <c r="AC509" s="262"/>
      <c r="AD509" s="262"/>
      <c r="AE509" s="262"/>
      <c r="AF509" s="262"/>
      <c r="AG509" s="262"/>
      <c r="AH509" s="262"/>
      <c r="AI509" s="262"/>
      <c r="AJ509" s="262"/>
      <c r="AK509" s="262"/>
      <c r="AL509" s="262"/>
      <c r="AM509" s="262"/>
      <c r="AN509" s="262"/>
      <c r="AO509" s="262"/>
      <c r="AP509" s="262"/>
      <c r="AQ509" s="262"/>
      <c r="AR509" s="262"/>
      <c r="AS509" s="262"/>
      <c r="AT509" s="262"/>
      <c r="AU509" s="262"/>
      <c r="AV509" s="262"/>
      <c r="AW509" s="262"/>
      <c r="AX509" s="262"/>
      <c r="AY509" s="262"/>
      <c r="AZ509" s="262"/>
      <c r="BA509" s="262"/>
      <c r="BB509" s="262"/>
      <c r="BC509" s="262"/>
      <c r="BD509" s="262"/>
      <c r="BE509" s="262"/>
      <c r="BF509" s="262"/>
      <c r="BG509" s="262"/>
      <c r="BH509" s="262"/>
      <c r="BI509" s="262"/>
      <c r="BJ509" s="262"/>
      <c r="BK509" s="262"/>
    </row>
    <row r="510" spans="1:63" ht="12.75" x14ac:dyDescent="0.2">
      <c r="A510" s="263"/>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c r="AA510" s="262"/>
      <c r="AB510" s="262"/>
      <c r="AC510" s="262"/>
      <c r="AD510" s="262"/>
      <c r="AE510" s="262"/>
      <c r="AF510" s="262"/>
      <c r="AG510" s="262"/>
      <c r="AH510" s="262"/>
      <c r="AI510" s="262"/>
      <c r="AJ510" s="262"/>
      <c r="AK510" s="262"/>
      <c r="AL510" s="262"/>
      <c r="AM510" s="262"/>
      <c r="AN510" s="262"/>
      <c r="AO510" s="262"/>
      <c r="AP510" s="262"/>
      <c r="AQ510" s="262"/>
      <c r="AR510" s="262"/>
      <c r="AS510" s="262"/>
      <c r="AT510" s="262"/>
      <c r="AU510" s="262"/>
      <c r="AV510" s="262"/>
      <c r="AW510" s="262"/>
      <c r="AX510" s="262"/>
      <c r="AY510" s="262"/>
      <c r="AZ510" s="262"/>
      <c r="BA510" s="262"/>
      <c r="BB510" s="262"/>
      <c r="BC510" s="262"/>
      <c r="BD510" s="262"/>
      <c r="BE510" s="262"/>
      <c r="BF510" s="262"/>
      <c r="BG510" s="262"/>
      <c r="BH510" s="262"/>
      <c r="BI510" s="262"/>
      <c r="BJ510" s="262"/>
      <c r="BK510" s="262"/>
    </row>
    <row r="511" spans="1:63" ht="12.75" x14ac:dyDescent="0.2">
      <c r="A511" s="263"/>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c r="AA511" s="262"/>
      <c r="AB511" s="262"/>
      <c r="AC511" s="262"/>
      <c r="AD511" s="262"/>
      <c r="AE511" s="262"/>
      <c r="AF511" s="262"/>
      <c r="AG511" s="262"/>
      <c r="AH511" s="262"/>
      <c r="AI511" s="262"/>
      <c r="AJ511" s="262"/>
      <c r="AK511" s="262"/>
      <c r="AL511" s="262"/>
      <c r="AM511" s="262"/>
      <c r="AN511" s="262"/>
      <c r="AO511" s="262"/>
      <c r="AP511" s="262"/>
      <c r="AQ511" s="262"/>
      <c r="AR511" s="262"/>
      <c r="AS511" s="262"/>
      <c r="AT511" s="262"/>
      <c r="AU511" s="262"/>
      <c r="AV511" s="262"/>
      <c r="AW511" s="262"/>
      <c r="AX511" s="262"/>
      <c r="AY511" s="262"/>
      <c r="AZ511" s="262"/>
      <c r="BA511" s="262"/>
      <c r="BB511" s="262"/>
      <c r="BC511" s="262"/>
      <c r="BD511" s="262"/>
      <c r="BE511" s="262"/>
      <c r="BF511" s="262"/>
      <c r="BG511" s="262"/>
      <c r="BH511" s="262"/>
      <c r="BI511" s="262"/>
      <c r="BJ511" s="262"/>
      <c r="BK511" s="262"/>
    </row>
    <row r="512" spans="1:63" ht="12.75" x14ac:dyDescent="0.2">
      <c r="A512" s="263"/>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c r="AA512" s="262"/>
      <c r="AB512" s="262"/>
      <c r="AC512" s="262"/>
      <c r="AD512" s="262"/>
      <c r="AE512" s="262"/>
      <c r="AF512" s="262"/>
      <c r="AG512" s="262"/>
      <c r="AH512" s="262"/>
      <c r="AI512" s="262"/>
      <c r="AJ512" s="262"/>
      <c r="AK512" s="262"/>
      <c r="AL512" s="262"/>
      <c r="AM512" s="262"/>
      <c r="AN512" s="262"/>
      <c r="AO512" s="262"/>
      <c r="AP512" s="262"/>
      <c r="AQ512" s="262"/>
      <c r="AR512" s="262"/>
      <c r="AS512" s="262"/>
      <c r="AT512" s="262"/>
      <c r="AU512" s="262"/>
      <c r="AV512" s="262"/>
      <c r="AW512" s="262"/>
      <c r="AX512" s="262"/>
      <c r="AY512" s="262"/>
      <c r="AZ512" s="262"/>
      <c r="BA512" s="262"/>
      <c r="BB512" s="262"/>
      <c r="BC512" s="262"/>
      <c r="BD512" s="262"/>
      <c r="BE512" s="262"/>
      <c r="BF512" s="262"/>
      <c r="BG512" s="262"/>
      <c r="BH512" s="262"/>
      <c r="BI512" s="262"/>
      <c r="BJ512" s="262"/>
      <c r="BK512" s="262"/>
    </row>
    <row r="513" spans="1:63" ht="12.75" x14ac:dyDescent="0.2">
      <c r="A513" s="263"/>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c r="AA513" s="262"/>
      <c r="AB513" s="262"/>
      <c r="AC513" s="262"/>
      <c r="AD513" s="262"/>
      <c r="AE513" s="262"/>
      <c r="AF513" s="262"/>
      <c r="AG513" s="262"/>
      <c r="AH513" s="262"/>
      <c r="AI513" s="262"/>
      <c r="AJ513" s="262"/>
      <c r="AK513" s="262"/>
      <c r="AL513" s="262"/>
      <c r="AM513" s="262"/>
      <c r="AN513" s="262"/>
      <c r="AO513" s="262"/>
      <c r="AP513" s="262"/>
      <c r="AQ513" s="262"/>
      <c r="AR513" s="262"/>
      <c r="AS513" s="262"/>
      <c r="AT513" s="262"/>
      <c r="AU513" s="262"/>
      <c r="AV513" s="262"/>
      <c r="AW513" s="262"/>
      <c r="AX513" s="262"/>
      <c r="AY513" s="262"/>
      <c r="AZ513" s="262"/>
      <c r="BA513" s="262"/>
      <c r="BB513" s="262"/>
      <c r="BC513" s="262"/>
      <c r="BD513" s="262"/>
      <c r="BE513" s="262"/>
      <c r="BF513" s="262"/>
      <c r="BG513" s="262"/>
      <c r="BH513" s="262"/>
      <c r="BI513" s="262"/>
      <c r="BJ513" s="262"/>
      <c r="BK513" s="262"/>
    </row>
    <row r="514" spans="1:63" ht="12.75" x14ac:dyDescent="0.2">
      <c r="A514" s="263"/>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c r="AA514" s="262"/>
      <c r="AB514" s="262"/>
      <c r="AC514" s="262"/>
      <c r="AD514" s="262"/>
      <c r="AE514" s="262"/>
      <c r="AF514" s="262"/>
      <c r="AG514" s="262"/>
      <c r="AH514" s="262"/>
      <c r="AI514" s="262"/>
      <c r="AJ514" s="262"/>
      <c r="AK514" s="262"/>
      <c r="AL514" s="262"/>
      <c r="AM514" s="262"/>
      <c r="AN514" s="262"/>
      <c r="AO514" s="262"/>
      <c r="AP514" s="262"/>
      <c r="AQ514" s="262"/>
      <c r="AR514" s="262"/>
      <c r="AS514" s="262"/>
      <c r="AT514" s="262"/>
      <c r="AU514" s="262"/>
      <c r="AV514" s="262"/>
      <c r="AW514" s="262"/>
      <c r="AX514" s="262"/>
      <c r="AY514" s="262"/>
      <c r="AZ514" s="262"/>
      <c r="BA514" s="262"/>
      <c r="BB514" s="262"/>
      <c r="BC514" s="262"/>
      <c r="BD514" s="262"/>
      <c r="BE514" s="262"/>
      <c r="BF514" s="262"/>
      <c r="BG514" s="262"/>
      <c r="BH514" s="262"/>
      <c r="BI514" s="262"/>
      <c r="BJ514" s="262"/>
      <c r="BK514" s="262"/>
    </row>
    <row r="515" spans="1:63" ht="12.75" x14ac:dyDescent="0.2">
      <c r="A515" s="263"/>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262"/>
      <c r="AE515" s="262"/>
      <c r="AF515" s="262"/>
      <c r="AG515" s="262"/>
      <c r="AH515" s="262"/>
      <c r="AI515" s="262"/>
      <c r="AJ515" s="262"/>
      <c r="AK515" s="262"/>
      <c r="AL515" s="262"/>
      <c r="AM515" s="262"/>
      <c r="AN515" s="262"/>
      <c r="AO515" s="262"/>
      <c r="AP515" s="262"/>
      <c r="AQ515" s="262"/>
      <c r="AR515" s="262"/>
      <c r="AS515" s="262"/>
      <c r="AT515" s="262"/>
      <c r="AU515" s="262"/>
      <c r="AV515" s="262"/>
      <c r="AW515" s="262"/>
      <c r="AX515" s="262"/>
      <c r="AY515" s="262"/>
      <c r="AZ515" s="262"/>
      <c r="BA515" s="262"/>
      <c r="BB515" s="262"/>
      <c r="BC515" s="262"/>
      <c r="BD515" s="262"/>
      <c r="BE515" s="262"/>
      <c r="BF515" s="262"/>
      <c r="BG515" s="262"/>
      <c r="BH515" s="262"/>
      <c r="BI515" s="262"/>
      <c r="BJ515" s="262"/>
      <c r="BK515" s="262"/>
    </row>
    <row r="516" spans="1:63" ht="12.75" x14ac:dyDescent="0.2">
      <c r="A516" s="263"/>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262"/>
      <c r="AF516" s="262"/>
      <c r="AG516" s="262"/>
      <c r="AH516" s="262"/>
      <c r="AI516" s="262"/>
      <c r="AJ516" s="262"/>
      <c r="AK516" s="262"/>
      <c r="AL516" s="262"/>
      <c r="AM516" s="262"/>
      <c r="AN516" s="262"/>
      <c r="AO516" s="262"/>
      <c r="AP516" s="262"/>
      <c r="AQ516" s="262"/>
      <c r="AR516" s="262"/>
      <c r="AS516" s="262"/>
      <c r="AT516" s="262"/>
      <c r="AU516" s="262"/>
      <c r="AV516" s="262"/>
      <c r="AW516" s="262"/>
      <c r="AX516" s="262"/>
      <c r="AY516" s="262"/>
      <c r="AZ516" s="262"/>
      <c r="BA516" s="262"/>
      <c r="BB516" s="262"/>
      <c r="BC516" s="262"/>
      <c r="BD516" s="262"/>
      <c r="BE516" s="262"/>
      <c r="BF516" s="262"/>
      <c r="BG516" s="262"/>
      <c r="BH516" s="262"/>
      <c r="BI516" s="262"/>
      <c r="BJ516" s="262"/>
      <c r="BK516" s="262"/>
    </row>
    <row r="517" spans="1:63" ht="12.75" x14ac:dyDescent="0.2">
      <c r="A517" s="263"/>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262"/>
      <c r="AE517" s="262"/>
      <c r="AF517" s="262"/>
      <c r="AG517" s="262"/>
      <c r="AH517" s="262"/>
      <c r="AI517" s="262"/>
      <c r="AJ517" s="262"/>
      <c r="AK517" s="262"/>
      <c r="AL517" s="262"/>
      <c r="AM517" s="262"/>
      <c r="AN517" s="262"/>
      <c r="AO517" s="262"/>
      <c r="AP517" s="262"/>
      <c r="AQ517" s="262"/>
      <c r="AR517" s="262"/>
      <c r="AS517" s="262"/>
      <c r="AT517" s="262"/>
      <c r="AU517" s="262"/>
      <c r="AV517" s="262"/>
      <c r="AW517" s="262"/>
      <c r="AX517" s="262"/>
      <c r="AY517" s="262"/>
      <c r="AZ517" s="262"/>
      <c r="BA517" s="262"/>
      <c r="BB517" s="262"/>
      <c r="BC517" s="262"/>
      <c r="BD517" s="262"/>
      <c r="BE517" s="262"/>
      <c r="BF517" s="262"/>
      <c r="BG517" s="262"/>
      <c r="BH517" s="262"/>
      <c r="BI517" s="262"/>
      <c r="BJ517" s="262"/>
      <c r="BK517" s="262"/>
    </row>
    <row r="518" spans="1:63" ht="12.75" x14ac:dyDescent="0.2">
      <c r="A518" s="263"/>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262"/>
      <c r="AE518" s="262"/>
      <c r="AF518" s="262"/>
      <c r="AG518" s="262"/>
      <c r="AH518" s="262"/>
      <c r="AI518" s="262"/>
      <c r="AJ518" s="262"/>
      <c r="AK518" s="262"/>
      <c r="AL518" s="262"/>
      <c r="AM518" s="262"/>
      <c r="AN518" s="262"/>
      <c r="AO518" s="262"/>
      <c r="AP518" s="262"/>
      <c r="AQ518" s="262"/>
      <c r="AR518" s="262"/>
      <c r="AS518" s="262"/>
      <c r="AT518" s="262"/>
      <c r="AU518" s="262"/>
      <c r="AV518" s="262"/>
      <c r="AW518" s="262"/>
      <c r="AX518" s="262"/>
      <c r="AY518" s="262"/>
      <c r="AZ518" s="262"/>
      <c r="BA518" s="262"/>
      <c r="BB518" s="262"/>
      <c r="BC518" s="262"/>
      <c r="BD518" s="262"/>
      <c r="BE518" s="262"/>
      <c r="BF518" s="262"/>
      <c r="BG518" s="262"/>
      <c r="BH518" s="262"/>
      <c r="BI518" s="262"/>
      <c r="BJ518" s="262"/>
      <c r="BK518" s="262"/>
    </row>
    <row r="519" spans="1:63" ht="12.75" x14ac:dyDescent="0.2">
      <c r="A519" s="263"/>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262"/>
      <c r="AE519" s="262"/>
      <c r="AF519" s="262"/>
      <c r="AG519" s="262"/>
      <c r="AH519" s="262"/>
      <c r="AI519" s="262"/>
      <c r="AJ519" s="262"/>
      <c r="AK519" s="262"/>
      <c r="AL519" s="262"/>
      <c r="AM519" s="262"/>
      <c r="AN519" s="262"/>
      <c r="AO519" s="262"/>
      <c r="AP519" s="262"/>
      <c r="AQ519" s="262"/>
      <c r="AR519" s="262"/>
      <c r="AS519" s="262"/>
      <c r="AT519" s="262"/>
      <c r="AU519" s="262"/>
      <c r="AV519" s="262"/>
      <c r="AW519" s="262"/>
      <c r="AX519" s="262"/>
      <c r="AY519" s="262"/>
      <c r="AZ519" s="262"/>
      <c r="BA519" s="262"/>
      <c r="BB519" s="262"/>
      <c r="BC519" s="262"/>
      <c r="BD519" s="262"/>
      <c r="BE519" s="262"/>
      <c r="BF519" s="262"/>
      <c r="BG519" s="262"/>
      <c r="BH519" s="262"/>
      <c r="BI519" s="262"/>
      <c r="BJ519" s="262"/>
      <c r="BK519" s="262"/>
    </row>
    <row r="520" spans="1:63" ht="12.75" x14ac:dyDescent="0.2">
      <c r="A520" s="263"/>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262"/>
      <c r="AE520" s="262"/>
      <c r="AF520" s="262"/>
      <c r="AG520" s="262"/>
      <c r="AH520" s="262"/>
      <c r="AI520" s="262"/>
      <c r="AJ520" s="262"/>
      <c r="AK520" s="262"/>
      <c r="AL520" s="262"/>
      <c r="AM520" s="262"/>
      <c r="AN520" s="262"/>
      <c r="AO520" s="262"/>
      <c r="AP520" s="262"/>
      <c r="AQ520" s="262"/>
      <c r="AR520" s="262"/>
      <c r="AS520" s="262"/>
      <c r="AT520" s="262"/>
      <c r="AU520" s="262"/>
      <c r="AV520" s="262"/>
      <c r="AW520" s="262"/>
      <c r="AX520" s="262"/>
      <c r="AY520" s="262"/>
      <c r="AZ520" s="262"/>
      <c r="BA520" s="262"/>
      <c r="BB520" s="262"/>
      <c r="BC520" s="262"/>
      <c r="BD520" s="262"/>
      <c r="BE520" s="262"/>
      <c r="BF520" s="262"/>
      <c r="BG520" s="262"/>
      <c r="BH520" s="262"/>
      <c r="BI520" s="262"/>
      <c r="BJ520" s="262"/>
      <c r="BK520" s="262"/>
    </row>
    <row r="521" spans="1:63" ht="12.75" x14ac:dyDescent="0.2">
      <c r="A521" s="263"/>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62"/>
      <c r="AE521" s="262"/>
      <c r="AF521" s="262"/>
      <c r="AG521" s="262"/>
      <c r="AH521" s="262"/>
      <c r="AI521" s="262"/>
      <c r="AJ521" s="262"/>
      <c r="AK521" s="262"/>
      <c r="AL521" s="262"/>
      <c r="AM521" s="262"/>
      <c r="AN521" s="262"/>
      <c r="AO521" s="262"/>
      <c r="AP521" s="262"/>
      <c r="AQ521" s="262"/>
      <c r="AR521" s="262"/>
      <c r="AS521" s="262"/>
      <c r="AT521" s="262"/>
      <c r="AU521" s="262"/>
      <c r="AV521" s="262"/>
      <c r="AW521" s="262"/>
      <c r="AX521" s="262"/>
      <c r="AY521" s="262"/>
      <c r="AZ521" s="262"/>
      <c r="BA521" s="262"/>
      <c r="BB521" s="262"/>
      <c r="BC521" s="262"/>
      <c r="BD521" s="262"/>
      <c r="BE521" s="262"/>
      <c r="BF521" s="262"/>
      <c r="BG521" s="262"/>
      <c r="BH521" s="262"/>
      <c r="BI521" s="262"/>
      <c r="BJ521" s="262"/>
      <c r="BK521" s="262"/>
    </row>
    <row r="522" spans="1:63" ht="12.75" x14ac:dyDescent="0.2">
      <c r="A522" s="263"/>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262"/>
      <c r="AE522" s="262"/>
      <c r="AF522" s="262"/>
      <c r="AG522" s="262"/>
      <c r="AH522" s="262"/>
      <c r="AI522" s="262"/>
      <c r="AJ522" s="262"/>
      <c r="AK522" s="262"/>
      <c r="AL522" s="262"/>
      <c r="AM522" s="262"/>
      <c r="AN522" s="262"/>
      <c r="AO522" s="262"/>
      <c r="AP522" s="262"/>
      <c r="AQ522" s="262"/>
      <c r="AR522" s="262"/>
      <c r="AS522" s="262"/>
      <c r="AT522" s="262"/>
      <c r="AU522" s="262"/>
      <c r="AV522" s="262"/>
      <c r="AW522" s="262"/>
      <c r="AX522" s="262"/>
      <c r="AY522" s="262"/>
      <c r="AZ522" s="262"/>
      <c r="BA522" s="262"/>
      <c r="BB522" s="262"/>
      <c r="BC522" s="262"/>
      <c r="BD522" s="262"/>
      <c r="BE522" s="262"/>
      <c r="BF522" s="262"/>
      <c r="BG522" s="262"/>
      <c r="BH522" s="262"/>
      <c r="BI522" s="262"/>
      <c r="BJ522" s="262"/>
      <c r="BK522" s="262"/>
    </row>
    <row r="523" spans="1:63" ht="12.75" x14ac:dyDescent="0.2">
      <c r="A523" s="263"/>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262"/>
      <c r="AE523" s="262"/>
      <c r="AF523" s="262"/>
      <c r="AG523" s="262"/>
      <c r="AH523" s="262"/>
      <c r="AI523" s="262"/>
      <c r="AJ523" s="262"/>
      <c r="AK523" s="262"/>
      <c r="AL523" s="262"/>
      <c r="AM523" s="262"/>
      <c r="AN523" s="262"/>
      <c r="AO523" s="262"/>
      <c r="AP523" s="262"/>
      <c r="AQ523" s="262"/>
      <c r="AR523" s="262"/>
      <c r="AS523" s="262"/>
      <c r="AT523" s="262"/>
      <c r="AU523" s="262"/>
      <c r="AV523" s="262"/>
      <c r="AW523" s="262"/>
      <c r="AX523" s="262"/>
      <c r="AY523" s="262"/>
      <c r="AZ523" s="262"/>
      <c r="BA523" s="262"/>
      <c r="BB523" s="262"/>
      <c r="BC523" s="262"/>
      <c r="BD523" s="262"/>
      <c r="BE523" s="262"/>
      <c r="BF523" s="262"/>
      <c r="BG523" s="262"/>
      <c r="BH523" s="262"/>
      <c r="BI523" s="262"/>
      <c r="BJ523" s="262"/>
      <c r="BK523" s="262"/>
    </row>
    <row r="524" spans="1:63" ht="12.75" x14ac:dyDescent="0.2">
      <c r="A524" s="263"/>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262"/>
      <c r="AE524" s="262"/>
      <c r="AF524" s="262"/>
      <c r="AG524" s="262"/>
      <c r="AH524" s="262"/>
      <c r="AI524" s="262"/>
      <c r="AJ524" s="262"/>
      <c r="AK524" s="262"/>
      <c r="AL524" s="262"/>
      <c r="AM524" s="262"/>
      <c r="AN524" s="262"/>
      <c r="AO524" s="262"/>
      <c r="AP524" s="262"/>
      <c r="AQ524" s="262"/>
      <c r="AR524" s="262"/>
      <c r="AS524" s="262"/>
      <c r="AT524" s="262"/>
      <c r="AU524" s="262"/>
      <c r="AV524" s="262"/>
      <c r="AW524" s="262"/>
      <c r="AX524" s="262"/>
      <c r="AY524" s="262"/>
      <c r="AZ524" s="262"/>
      <c r="BA524" s="262"/>
      <c r="BB524" s="262"/>
      <c r="BC524" s="262"/>
      <c r="BD524" s="262"/>
      <c r="BE524" s="262"/>
      <c r="BF524" s="262"/>
      <c r="BG524" s="262"/>
      <c r="BH524" s="262"/>
      <c r="BI524" s="262"/>
      <c r="BJ524" s="262"/>
      <c r="BK524" s="262"/>
    </row>
    <row r="525" spans="1:63" ht="12.75" x14ac:dyDescent="0.2">
      <c r="A525" s="263"/>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F525" s="262"/>
      <c r="AG525" s="262"/>
      <c r="AH525" s="262"/>
      <c r="AI525" s="262"/>
      <c r="AJ525" s="262"/>
      <c r="AK525" s="262"/>
      <c r="AL525" s="262"/>
      <c r="AM525" s="262"/>
      <c r="AN525" s="262"/>
      <c r="AO525" s="262"/>
      <c r="AP525" s="262"/>
      <c r="AQ525" s="262"/>
      <c r="AR525" s="262"/>
      <c r="AS525" s="262"/>
      <c r="AT525" s="262"/>
      <c r="AU525" s="262"/>
      <c r="AV525" s="262"/>
      <c r="AW525" s="262"/>
      <c r="AX525" s="262"/>
      <c r="AY525" s="262"/>
      <c r="AZ525" s="262"/>
      <c r="BA525" s="262"/>
      <c r="BB525" s="262"/>
      <c r="BC525" s="262"/>
      <c r="BD525" s="262"/>
      <c r="BE525" s="262"/>
      <c r="BF525" s="262"/>
      <c r="BG525" s="262"/>
      <c r="BH525" s="262"/>
      <c r="BI525" s="262"/>
      <c r="BJ525" s="262"/>
      <c r="BK525" s="262"/>
    </row>
    <row r="526" spans="1:63" ht="12.75" x14ac:dyDescent="0.2">
      <c r="A526" s="263"/>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262"/>
      <c r="AE526" s="262"/>
      <c r="AF526" s="262"/>
      <c r="AG526" s="262"/>
      <c r="AH526" s="262"/>
      <c r="AI526" s="262"/>
      <c r="AJ526" s="262"/>
      <c r="AK526" s="262"/>
      <c r="AL526" s="262"/>
      <c r="AM526" s="262"/>
      <c r="AN526" s="262"/>
      <c r="AO526" s="262"/>
      <c r="AP526" s="262"/>
      <c r="AQ526" s="262"/>
      <c r="AR526" s="262"/>
      <c r="AS526" s="262"/>
      <c r="AT526" s="262"/>
      <c r="AU526" s="262"/>
      <c r="AV526" s="262"/>
      <c r="AW526" s="262"/>
      <c r="AX526" s="262"/>
      <c r="AY526" s="262"/>
      <c r="AZ526" s="262"/>
      <c r="BA526" s="262"/>
      <c r="BB526" s="262"/>
      <c r="BC526" s="262"/>
      <c r="BD526" s="262"/>
      <c r="BE526" s="262"/>
      <c r="BF526" s="262"/>
      <c r="BG526" s="262"/>
      <c r="BH526" s="262"/>
      <c r="BI526" s="262"/>
      <c r="BJ526" s="262"/>
      <c r="BK526" s="262"/>
    </row>
    <row r="527" spans="1:63" ht="12.75" x14ac:dyDescent="0.2">
      <c r="A527" s="263"/>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262"/>
      <c r="AE527" s="262"/>
      <c r="AF527" s="262"/>
      <c r="AG527" s="262"/>
      <c r="AH527" s="262"/>
      <c r="AI527" s="262"/>
      <c r="AJ527" s="262"/>
      <c r="AK527" s="262"/>
      <c r="AL527" s="262"/>
      <c r="AM527" s="262"/>
      <c r="AN527" s="262"/>
      <c r="AO527" s="262"/>
      <c r="AP527" s="262"/>
      <c r="AQ527" s="262"/>
      <c r="AR527" s="262"/>
      <c r="AS527" s="262"/>
      <c r="AT527" s="262"/>
      <c r="AU527" s="262"/>
      <c r="AV527" s="262"/>
      <c r="AW527" s="262"/>
      <c r="AX527" s="262"/>
      <c r="AY527" s="262"/>
      <c r="AZ527" s="262"/>
      <c r="BA527" s="262"/>
      <c r="BB527" s="262"/>
      <c r="BC527" s="262"/>
      <c r="BD527" s="262"/>
      <c r="BE527" s="262"/>
      <c r="BF527" s="262"/>
      <c r="BG527" s="262"/>
      <c r="BH527" s="262"/>
      <c r="BI527" s="262"/>
      <c r="BJ527" s="262"/>
      <c r="BK527" s="262"/>
    </row>
    <row r="528" spans="1:63" ht="12.75" x14ac:dyDescent="0.2">
      <c r="A528" s="263"/>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262"/>
      <c r="AE528" s="262"/>
      <c r="AF528" s="262"/>
      <c r="AG528" s="262"/>
      <c r="AH528" s="262"/>
      <c r="AI528" s="262"/>
      <c r="AJ528" s="262"/>
      <c r="AK528" s="262"/>
      <c r="AL528" s="262"/>
      <c r="AM528" s="262"/>
      <c r="AN528" s="262"/>
      <c r="AO528" s="262"/>
      <c r="AP528" s="262"/>
      <c r="AQ528" s="262"/>
      <c r="AR528" s="262"/>
      <c r="AS528" s="262"/>
      <c r="AT528" s="262"/>
      <c r="AU528" s="262"/>
      <c r="AV528" s="262"/>
      <c r="AW528" s="262"/>
      <c r="AX528" s="262"/>
      <c r="AY528" s="262"/>
      <c r="AZ528" s="262"/>
      <c r="BA528" s="262"/>
      <c r="BB528" s="262"/>
      <c r="BC528" s="262"/>
      <c r="BD528" s="262"/>
      <c r="BE528" s="262"/>
      <c r="BF528" s="262"/>
      <c r="BG528" s="262"/>
      <c r="BH528" s="262"/>
      <c r="BI528" s="262"/>
      <c r="BJ528" s="262"/>
      <c r="BK528" s="262"/>
    </row>
    <row r="529" spans="1:63" ht="12.75" x14ac:dyDescent="0.2">
      <c r="A529" s="263"/>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262"/>
      <c r="AE529" s="262"/>
      <c r="AF529" s="262"/>
      <c r="AG529" s="262"/>
      <c r="AH529" s="262"/>
      <c r="AI529" s="262"/>
      <c r="AJ529" s="262"/>
      <c r="AK529" s="262"/>
      <c r="AL529" s="262"/>
      <c r="AM529" s="262"/>
      <c r="AN529" s="262"/>
      <c r="AO529" s="262"/>
      <c r="AP529" s="262"/>
      <c r="AQ529" s="262"/>
      <c r="AR529" s="262"/>
      <c r="AS529" s="262"/>
      <c r="AT529" s="262"/>
      <c r="AU529" s="262"/>
      <c r="AV529" s="262"/>
      <c r="AW529" s="262"/>
      <c r="AX529" s="262"/>
      <c r="AY529" s="262"/>
      <c r="AZ529" s="262"/>
      <c r="BA529" s="262"/>
      <c r="BB529" s="262"/>
      <c r="BC529" s="262"/>
      <c r="BD529" s="262"/>
      <c r="BE529" s="262"/>
      <c r="BF529" s="262"/>
      <c r="BG529" s="262"/>
      <c r="BH529" s="262"/>
      <c r="BI529" s="262"/>
      <c r="BJ529" s="262"/>
      <c r="BK529" s="262"/>
    </row>
    <row r="530" spans="1:63" ht="12.75" x14ac:dyDescent="0.2">
      <c r="A530" s="263"/>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262"/>
      <c r="AE530" s="262"/>
      <c r="AF530" s="262"/>
      <c r="AG530" s="262"/>
      <c r="AH530" s="262"/>
      <c r="AI530" s="262"/>
      <c r="AJ530" s="262"/>
      <c r="AK530" s="262"/>
      <c r="AL530" s="262"/>
      <c r="AM530" s="262"/>
      <c r="AN530" s="262"/>
      <c r="AO530" s="262"/>
      <c r="AP530" s="262"/>
      <c r="AQ530" s="262"/>
      <c r="AR530" s="262"/>
      <c r="AS530" s="262"/>
      <c r="AT530" s="262"/>
      <c r="AU530" s="262"/>
      <c r="AV530" s="262"/>
      <c r="AW530" s="262"/>
      <c r="AX530" s="262"/>
      <c r="AY530" s="262"/>
      <c r="AZ530" s="262"/>
      <c r="BA530" s="262"/>
      <c r="BB530" s="262"/>
      <c r="BC530" s="262"/>
      <c r="BD530" s="262"/>
      <c r="BE530" s="262"/>
      <c r="BF530" s="262"/>
      <c r="BG530" s="262"/>
      <c r="BH530" s="262"/>
      <c r="BI530" s="262"/>
      <c r="BJ530" s="262"/>
      <c r="BK530" s="262"/>
    </row>
    <row r="531" spans="1:63" ht="12.75" x14ac:dyDescent="0.2">
      <c r="A531" s="263"/>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262"/>
      <c r="AE531" s="262"/>
      <c r="AF531" s="262"/>
      <c r="AG531" s="262"/>
      <c r="AH531" s="262"/>
      <c r="AI531" s="262"/>
      <c r="AJ531" s="262"/>
      <c r="AK531" s="262"/>
      <c r="AL531" s="262"/>
      <c r="AM531" s="262"/>
      <c r="AN531" s="262"/>
      <c r="AO531" s="262"/>
      <c r="AP531" s="262"/>
      <c r="AQ531" s="262"/>
      <c r="AR531" s="262"/>
      <c r="AS531" s="262"/>
      <c r="AT531" s="262"/>
      <c r="AU531" s="262"/>
      <c r="AV531" s="262"/>
      <c r="AW531" s="262"/>
      <c r="AX531" s="262"/>
      <c r="AY531" s="262"/>
      <c r="AZ531" s="262"/>
      <c r="BA531" s="262"/>
      <c r="BB531" s="262"/>
      <c r="BC531" s="262"/>
      <c r="BD531" s="262"/>
      <c r="BE531" s="262"/>
      <c r="BF531" s="262"/>
      <c r="BG531" s="262"/>
      <c r="BH531" s="262"/>
      <c r="BI531" s="262"/>
      <c r="BJ531" s="262"/>
      <c r="BK531" s="262"/>
    </row>
    <row r="532" spans="1:63" ht="12.75" x14ac:dyDescent="0.2">
      <c r="A532" s="263"/>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262"/>
      <c r="AE532" s="262"/>
      <c r="AF532" s="262"/>
      <c r="AG532" s="262"/>
      <c r="AH532" s="262"/>
      <c r="AI532" s="262"/>
      <c r="AJ532" s="262"/>
      <c r="AK532" s="262"/>
      <c r="AL532" s="262"/>
      <c r="AM532" s="262"/>
      <c r="AN532" s="262"/>
      <c r="AO532" s="262"/>
      <c r="AP532" s="262"/>
      <c r="AQ532" s="262"/>
      <c r="AR532" s="262"/>
      <c r="AS532" s="262"/>
      <c r="AT532" s="262"/>
      <c r="AU532" s="262"/>
      <c r="AV532" s="262"/>
      <c r="AW532" s="262"/>
      <c r="AX532" s="262"/>
      <c r="AY532" s="262"/>
      <c r="AZ532" s="262"/>
      <c r="BA532" s="262"/>
      <c r="BB532" s="262"/>
      <c r="BC532" s="262"/>
      <c r="BD532" s="262"/>
      <c r="BE532" s="262"/>
      <c r="BF532" s="262"/>
      <c r="BG532" s="262"/>
      <c r="BH532" s="262"/>
      <c r="BI532" s="262"/>
      <c r="BJ532" s="262"/>
      <c r="BK532" s="262"/>
    </row>
    <row r="533" spans="1:63" ht="12.75" x14ac:dyDescent="0.2">
      <c r="A533" s="263"/>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262"/>
      <c r="AE533" s="262"/>
      <c r="AF533" s="262"/>
      <c r="AG533" s="262"/>
      <c r="AH533" s="262"/>
      <c r="AI533" s="262"/>
      <c r="AJ533" s="262"/>
      <c r="AK533" s="262"/>
      <c r="AL533" s="262"/>
      <c r="AM533" s="262"/>
      <c r="AN533" s="262"/>
      <c r="AO533" s="262"/>
      <c r="AP533" s="262"/>
      <c r="AQ533" s="262"/>
      <c r="AR533" s="262"/>
      <c r="AS533" s="262"/>
      <c r="AT533" s="262"/>
      <c r="AU533" s="262"/>
      <c r="AV533" s="262"/>
      <c r="AW533" s="262"/>
      <c r="AX533" s="262"/>
      <c r="AY533" s="262"/>
      <c r="AZ533" s="262"/>
      <c r="BA533" s="262"/>
      <c r="BB533" s="262"/>
      <c r="BC533" s="262"/>
      <c r="BD533" s="262"/>
      <c r="BE533" s="262"/>
      <c r="BF533" s="262"/>
      <c r="BG533" s="262"/>
      <c r="BH533" s="262"/>
      <c r="BI533" s="262"/>
      <c r="BJ533" s="262"/>
      <c r="BK533" s="262"/>
    </row>
    <row r="534" spans="1:63" ht="12.75" x14ac:dyDescent="0.2">
      <c r="A534" s="263"/>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262"/>
      <c r="AF534" s="262"/>
      <c r="AG534" s="262"/>
      <c r="AH534" s="262"/>
      <c r="AI534" s="262"/>
      <c r="AJ534" s="262"/>
      <c r="AK534" s="262"/>
      <c r="AL534" s="262"/>
      <c r="AM534" s="262"/>
      <c r="AN534" s="262"/>
      <c r="AO534" s="262"/>
      <c r="AP534" s="262"/>
      <c r="AQ534" s="262"/>
      <c r="AR534" s="262"/>
      <c r="AS534" s="262"/>
      <c r="AT534" s="262"/>
      <c r="AU534" s="262"/>
      <c r="AV534" s="262"/>
      <c r="AW534" s="262"/>
      <c r="AX534" s="262"/>
      <c r="AY534" s="262"/>
      <c r="AZ534" s="262"/>
      <c r="BA534" s="262"/>
      <c r="BB534" s="262"/>
      <c r="BC534" s="262"/>
      <c r="BD534" s="262"/>
      <c r="BE534" s="262"/>
      <c r="BF534" s="262"/>
      <c r="BG534" s="262"/>
      <c r="BH534" s="262"/>
      <c r="BI534" s="262"/>
      <c r="BJ534" s="262"/>
      <c r="BK534" s="262"/>
    </row>
    <row r="535" spans="1:63" ht="12.75" x14ac:dyDescent="0.2">
      <c r="A535" s="263"/>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c r="AA535" s="262"/>
      <c r="AB535" s="262"/>
      <c r="AC535" s="262"/>
      <c r="AD535" s="262"/>
      <c r="AE535" s="262"/>
      <c r="AF535" s="262"/>
      <c r="AG535" s="262"/>
      <c r="AH535" s="262"/>
      <c r="AI535" s="262"/>
      <c r="AJ535" s="262"/>
      <c r="AK535" s="262"/>
      <c r="AL535" s="262"/>
      <c r="AM535" s="262"/>
      <c r="AN535" s="262"/>
      <c r="AO535" s="262"/>
      <c r="AP535" s="262"/>
      <c r="AQ535" s="262"/>
      <c r="AR535" s="262"/>
      <c r="AS535" s="262"/>
      <c r="AT535" s="262"/>
      <c r="AU535" s="262"/>
      <c r="AV535" s="262"/>
      <c r="AW535" s="262"/>
      <c r="AX535" s="262"/>
      <c r="AY535" s="262"/>
      <c r="AZ535" s="262"/>
      <c r="BA535" s="262"/>
      <c r="BB535" s="262"/>
      <c r="BC535" s="262"/>
      <c r="BD535" s="262"/>
      <c r="BE535" s="262"/>
      <c r="BF535" s="262"/>
      <c r="BG535" s="262"/>
      <c r="BH535" s="262"/>
      <c r="BI535" s="262"/>
      <c r="BJ535" s="262"/>
      <c r="BK535" s="262"/>
    </row>
    <row r="536" spans="1:63" ht="12.75" x14ac:dyDescent="0.2">
      <c r="A536" s="263"/>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c r="AA536" s="262"/>
      <c r="AB536" s="262"/>
      <c r="AC536" s="262"/>
      <c r="AD536" s="262"/>
      <c r="AE536" s="262"/>
      <c r="AF536" s="262"/>
      <c r="AG536" s="262"/>
      <c r="AH536" s="262"/>
      <c r="AI536" s="262"/>
      <c r="AJ536" s="262"/>
      <c r="AK536" s="262"/>
      <c r="AL536" s="262"/>
      <c r="AM536" s="262"/>
      <c r="AN536" s="262"/>
      <c r="AO536" s="262"/>
      <c r="AP536" s="262"/>
      <c r="AQ536" s="262"/>
      <c r="AR536" s="262"/>
      <c r="AS536" s="262"/>
      <c r="AT536" s="262"/>
      <c r="AU536" s="262"/>
      <c r="AV536" s="262"/>
      <c r="AW536" s="262"/>
      <c r="AX536" s="262"/>
      <c r="AY536" s="262"/>
      <c r="AZ536" s="262"/>
      <c r="BA536" s="262"/>
      <c r="BB536" s="262"/>
      <c r="BC536" s="262"/>
      <c r="BD536" s="262"/>
      <c r="BE536" s="262"/>
      <c r="BF536" s="262"/>
      <c r="BG536" s="262"/>
      <c r="BH536" s="262"/>
      <c r="BI536" s="262"/>
      <c r="BJ536" s="262"/>
      <c r="BK536" s="262"/>
    </row>
    <row r="537" spans="1:63" ht="12.75" x14ac:dyDescent="0.2">
      <c r="A537" s="263"/>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c r="AA537" s="262"/>
      <c r="AB537" s="262"/>
      <c r="AC537" s="262"/>
      <c r="AD537" s="262"/>
      <c r="AE537" s="262"/>
      <c r="AF537" s="262"/>
      <c r="AG537" s="262"/>
      <c r="AH537" s="262"/>
      <c r="AI537" s="262"/>
      <c r="AJ537" s="262"/>
      <c r="AK537" s="262"/>
      <c r="AL537" s="262"/>
      <c r="AM537" s="262"/>
      <c r="AN537" s="262"/>
      <c r="AO537" s="262"/>
      <c r="AP537" s="262"/>
      <c r="AQ537" s="262"/>
      <c r="AR537" s="262"/>
      <c r="AS537" s="262"/>
      <c r="AT537" s="262"/>
      <c r="AU537" s="262"/>
      <c r="AV537" s="262"/>
      <c r="AW537" s="262"/>
      <c r="AX537" s="262"/>
      <c r="AY537" s="262"/>
      <c r="AZ537" s="262"/>
      <c r="BA537" s="262"/>
      <c r="BB537" s="262"/>
      <c r="BC537" s="262"/>
      <c r="BD537" s="262"/>
      <c r="BE537" s="262"/>
      <c r="BF537" s="262"/>
      <c r="BG537" s="262"/>
      <c r="BH537" s="262"/>
      <c r="BI537" s="262"/>
      <c r="BJ537" s="262"/>
      <c r="BK537" s="262"/>
    </row>
    <row r="538" spans="1:63" ht="12.75" x14ac:dyDescent="0.2">
      <c r="A538" s="263"/>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262"/>
      <c r="AE538" s="262"/>
      <c r="AF538" s="262"/>
      <c r="AG538" s="262"/>
      <c r="AH538" s="262"/>
      <c r="AI538" s="262"/>
      <c r="AJ538" s="262"/>
      <c r="AK538" s="262"/>
      <c r="AL538" s="262"/>
      <c r="AM538" s="262"/>
      <c r="AN538" s="262"/>
      <c r="AO538" s="262"/>
      <c r="AP538" s="262"/>
      <c r="AQ538" s="262"/>
      <c r="AR538" s="262"/>
      <c r="AS538" s="262"/>
      <c r="AT538" s="262"/>
      <c r="AU538" s="262"/>
      <c r="AV538" s="262"/>
      <c r="AW538" s="262"/>
      <c r="AX538" s="262"/>
      <c r="AY538" s="262"/>
      <c r="AZ538" s="262"/>
      <c r="BA538" s="262"/>
      <c r="BB538" s="262"/>
      <c r="BC538" s="262"/>
      <c r="BD538" s="262"/>
      <c r="BE538" s="262"/>
      <c r="BF538" s="262"/>
      <c r="BG538" s="262"/>
      <c r="BH538" s="262"/>
      <c r="BI538" s="262"/>
      <c r="BJ538" s="262"/>
      <c r="BK538" s="262"/>
    </row>
    <row r="539" spans="1:63" ht="12.75" x14ac:dyDescent="0.2">
      <c r="A539" s="263"/>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262"/>
      <c r="AE539" s="262"/>
      <c r="AF539" s="262"/>
      <c r="AG539" s="262"/>
      <c r="AH539" s="262"/>
      <c r="AI539" s="262"/>
      <c r="AJ539" s="262"/>
      <c r="AK539" s="262"/>
      <c r="AL539" s="262"/>
      <c r="AM539" s="262"/>
      <c r="AN539" s="262"/>
      <c r="AO539" s="262"/>
      <c r="AP539" s="262"/>
      <c r="AQ539" s="262"/>
      <c r="AR539" s="262"/>
      <c r="AS539" s="262"/>
      <c r="AT539" s="262"/>
      <c r="AU539" s="262"/>
      <c r="AV539" s="262"/>
      <c r="AW539" s="262"/>
      <c r="AX539" s="262"/>
      <c r="AY539" s="262"/>
      <c r="AZ539" s="262"/>
      <c r="BA539" s="262"/>
      <c r="BB539" s="262"/>
      <c r="BC539" s="262"/>
      <c r="BD539" s="262"/>
      <c r="BE539" s="262"/>
      <c r="BF539" s="262"/>
      <c r="BG539" s="262"/>
      <c r="BH539" s="262"/>
      <c r="BI539" s="262"/>
      <c r="BJ539" s="262"/>
      <c r="BK539" s="262"/>
    </row>
    <row r="540" spans="1:63" ht="12.75" x14ac:dyDescent="0.2">
      <c r="A540" s="263"/>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262"/>
      <c r="AE540" s="262"/>
      <c r="AF540" s="262"/>
      <c r="AG540" s="262"/>
      <c r="AH540" s="262"/>
      <c r="AI540" s="262"/>
      <c r="AJ540" s="262"/>
      <c r="AK540" s="262"/>
      <c r="AL540" s="262"/>
      <c r="AM540" s="262"/>
      <c r="AN540" s="262"/>
      <c r="AO540" s="262"/>
      <c r="AP540" s="262"/>
      <c r="AQ540" s="262"/>
      <c r="AR540" s="262"/>
      <c r="AS540" s="262"/>
      <c r="AT540" s="262"/>
      <c r="AU540" s="262"/>
      <c r="AV540" s="262"/>
      <c r="AW540" s="262"/>
      <c r="AX540" s="262"/>
      <c r="AY540" s="262"/>
      <c r="AZ540" s="262"/>
      <c r="BA540" s="262"/>
      <c r="BB540" s="262"/>
      <c r="BC540" s="262"/>
      <c r="BD540" s="262"/>
      <c r="BE540" s="262"/>
      <c r="BF540" s="262"/>
      <c r="BG540" s="262"/>
      <c r="BH540" s="262"/>
      <c r="BI540" s="262"/>
      <c r="BJ540" s="262"/>
      <c r="BK540" s="262"/>
    </row>
    <row r="541" spans="1:63" ht="12.75" x14ac:dyDescent="0.2">
      <c r="A541" s="263"/>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262"/>
      <c r="AE541" s="262"/>
      <c r="AF541" s="262"/>
      <c r="AG541" s="262"/>
      <c r="AH541" s="262"/>
      <c r="AI541" s="262"/>
      <c r="AJ541" s="262"/>
      <c r="AK541" s="262"/>
      <c r="AL541" s="262"/>
      <c r="AM541" s="262"/>
      <c r="AN541" s="262"/>
      <c r="AO541" s="262"/>
      <c r="AP541" s="262"/>
      <c r="AQ541" s="262"/>
      <c r="AR541" s="262"/>
      <c r="AS541" s="262"/>
      <c r="AT541" s="262"/>
      <c r="AU541" s="262"/>
      <c r="AV541" s="262"/>
      <c r="AW541" s="262"/>
      <c r="AX541" s="262"/>
      <c r="AY541" s="262"/>
      <c r="AZ541" s="262"/>
      <c r="BA541" s="262"/>
      <c r="BB541" s="262"/>
      <c r="BC541" s="262"/>
      <c r="BD541" s="262"/>
      <c r="BE541" s="262"/>
      <c r="BF541" s="262"/>
      <c r="BG541" s="262"/>
      <c r="BH541" s="262"/>
      <c r="BI541" s="262"/>
      <c r="BJ541" s="262"/>
      <c r="BK541" s="262"/>
    </row>
    <row r="542" spans="1:63" ht="12.75" x14ac:dyDescent="0.2">
      <c r="A542" s="263"/>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262"/>
      <c r="AE542" s="262"/>
      <c r="AF542" s="262"/>
      <c r="AG542" s="262"/>
      <c r="AH542" s="262"/>
      <c r="AI542" s="262"/>
      <c r="AJ542" s="262"/>
      <c r="AK542" s="262"/>
      <c r="AL542" s="262"/>
      <c r="AM542" s="262"/>
      <c r="AN542" s="262"/>
      <c r="AO542" s="262"/>
      <c r="AP542" s="262"/>
      <c r="AQ542" s="262"/>
      <c r="AR542" s="262"/>
      <c r="AS542" s="262"/>
      <c r="AT542" s="262"/>
      <c r="AU542" s="262"/>
      <c r="AV542" s="262"/>
      <c r="AW542" s="262"/>
      <c r="AX542" s="262"/>
      <c r="AY542" s="262"/>
      <c r="AZ542" s="262"/>
      <c r="BA542" s="262"/>
      <c r="BB542" s="262"/>
      <c r="BC542" s="262"/>
      <c r="BD542" s="262"/>
      <c r="BE542" s="262"/>
      <c r="BF542" s="262"/>
      <c r="BG542" s="262"/>
      <c r="BH542" s="262"/>
      <c r="BI542" s="262"/>
      <c r="BJ542" s="262"/>
      <c r="BK542" s="262"/>
    </row>
    <row r="543" spans="1:63" ht="12.75" x14ac:dyDescent="0.2">
      <c r="A543" s="263"/>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262"/>
      <c r="AF543" s="262"/>
      <c r="AG543" s="262"/>
      <c r="AH543" s="262"/>
      <c r="AI543" s="262"/>
      <c r="AJ543" s="262"/>
      <c r="AK543" s="262"/>
      <c r="AL543" s="262"/>
      <c r="AM543" s="262"/>
      <c r="AN543" s="262"/>
      <c r="AO543" s="262"/>
      <c r="AP543" s="262"/>
      <c r="AQ543" s="262"/>
      <c r="AR543" s="262"/>
      <c r="AS543" s="262"/>
      <c r="AT543" s="262"/>
      <c r="AU543" s="262"/>
      <c r="AV543" s="262"/>
      <c r="AW543" s="262"/>
      <c r="AX543" s="262"/>
      <c r="AY543" s="262"/>
      <c r="AZ543" s="262"/>
      <c r="BA543" s="262"/>
      <c r="BB543" s="262"/>
      <c r="BC543" s="262"/>
      <c r="BD543" s="262"/>
      <c r="BE543" s="262"/>
      <c r="BF543" s="262"/>
      <c r="BG543" s="262"/>
      <c r="BH543" s="262"/>
      <c r="BI543" s="262"/>
      <c r="BJ543" s="262"/>
      <c r="BK543" s="262"/>
    </row>
    <row r="544" spans="1:63" ht="12.75" x14ac:dyDescent="0.2">
      <c r="A544" s="263"/>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c r="AA544" s="262"/>
      <c r="AB544" s="262"/>
      <c r="AC544" s="262"/>
      <c r="AD544" s="262"/>
      <c r="AE544" s="262"/>
      <c r="AF544" s="262"/>
      <c r="AG544" s="262"/>
      <c r="AH544" s="262"/>
      <c r="AI544" s="262"/>
      <c r="AJ544" s="262"/>
      <c r="AK544" s="262"/>
      <c r="AL544" s="262"/>
      <c r="AM544" s="262"/>
      <c r="AN544" s="262"/>
      <c r="AO544" s="262"/>
      <c r="AP544" s="262"/>
      <c r="AQ544" s="262"/>
      <c r="AR544" s="262"/>
      <c r="AS544" s="262"/>
      <c r="AT544" s="262"/>
      <c r="AU544" s="262"/>
      <c r="AV544" s="262"/>
      <c r="AW544" s="262"/>
      <c r="AX544" s="262"/>
      <c r="AY544" s="262"/>
      <c r="AZ544" s="262"/>
      <c r="BA544" s="262"/>
      <c r="BB544" s="262"/>
      <c r="BC544" s="262"/>
      <c r="BD544" s="262"/>
      <c r="BE544" s="262"/>
      <c r="BF544" s="262"/>
      <c r="BG544" s="262"/>
      <c r="BH544" s="262"/>
      <c r="BI544" s="262"/>
      <c r="BJ544" s="262"/>
      <c r="BK544" s="262"/>
    </row>
    <row r="545" spans="1:63" ht="12.75" x14ac:dyDescent="0.2">
      <c r="A545" s="263"/>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c r="AA545" s="262"/>
      <c r="AB545" s="262"/>
      <c r="AC545" s="262"/>
      <c r="AD545" s="262"/>
      <c r="AE545" s="262"/>
      <c r="AF545" s="262"/>
      <c r="AG545" s="262"/>
      <c r="AH545" s="262"/>
      <c r="AI545" s="262"/>
      <c r="AJ545" s="262"/>
      <c r="AK545" s="262"/>
      <c r="AL545" s="262"/>
      <c r="AM545" s="262"/>
      <c r="AN545" s="262"/>
      <c r="AO545" s="262"/>
      <c r="AP545" s="262"/>
      <c r="AQ545" s="262"/>
      <c r="AR545" s="262"/>
      <c r="AS545" s="262"/>
      <c r="AT545" s="262"/>
      <c r="AU545" s="262"/>
      <c r="AV545" s="262"/>
      <c r="AW545" s="262"/>
      <c r="AX545" s="262"/>
      <c r="AY545" s="262"/>
      <c r="AZ545" s="262"/>
      <c r="BA545" s="262"/>
      <c r="BB545" s="262"/>
      <c r="BC545" s="262"/>
      <c r="BD545" s="262"/>
      <c r="BE545" s="262"/>
      <c r="BF545" s="262"/>
      <c r="BG545" s="262"/>
      <c r="BH545" s="262"/>
      <c r="BI545" s="262"/>
      <c r="BJ545" s="262"/>
      <c r="BK545" s="262"/>
    </row>
    <row r="546" spans="1:63" ht="12.75" x14ac:dyDescent="0.2">
      <c r="A546" s="263"/>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c r="AA546" s="262"/>
      <c r="AB546" s="262"/>
      <c r="AC546" s="262"/>
      <c r="AD546" s="262"/>
      <c r="AE546" s="262"/>
      <c r="AF546" s="262"/>
      <c r="AG546" s="262"/>
      <c r="AH546" s="262"/>
      <c r="AI546" s="262"/>
      <c r="AJ546" s="262"/>
      <c r="AK546" s="262"/>
      <c r="AL546" s="262"/>
      <c r="AM546" s="262"/>
      <c r="AN546" s="262"/>
      <c r="AO546" s="262"/>
      <c r="AP546" s="262"/>
      <c r="AQ546" s="262"/>
      <c r="AR546" s="262"/>
      <c r="AS546" s="262"/>
      <c r="AT546" s="262"/>
      <c r="AU546" s="262"/>
      <c r="AV546" s="262"/>
      <c r="AW546" s="262"/>
      <c r="AX546" s="262"/>
      <c r="AY546" s="262"/>
      <c r="AZ546" s="262"/>
      <c r="BA546" s="262"/>
      <c r="BB546" s="262"/>
      <c r="BC546" s="262"/>
      <c r="BD546" s="262"/>
      <c r="BE546" s="262"/>
      <c r="BF546" s="262"/>
      <c r="BG546" s="262"/>
      <c r="BH546" s="262"/>
      <c r="BI546" s="262"/>
      <c r="BJ546" s="262"/>
      <c r="BK546" s="262"/>
    </row>
    <row r="547" spans="1:63" ht="12.75" x14ac:dyDescent="0.2">
      <c r="A547" s="263"/>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262"/>
      <c r="AE547" s="262"/>
      <c r="AF547" s="262"/>
      <c r="AG547" s="262"/>
      <c r="AH547" s="262"/>
      <c r="AI547" s="262"/>
      <c r="AJ547" s="262"/>
      <c r="AK547" s="262"/>
      <c r="AL547" s="262"/>
      <c r="AM547" s="262"/>
      <c r="AN547" s="262"/>
      <c r="AO547" s="262"/>
      <c r="AP547" s="262"/>
      <c r="AQ547" s="262"/>
      <c r="AR547" s="262"/>
      <c r="AS547" s="262"/>
      <c r="AT547" s="262"/>
      <c r="AU547" s="262"/>
      <c r="AV547" s="262"/>
      <c r="AW547" s="262"/>
      <c r="AX547" s="262"/>
      <c r="AY547" s="262"/>
      <c r="AZ547" s="262"/>
      <c r="BA547" s="262"/>
      <c r="BB547" s="262"/>
      <c r="BC547" s="262"/>
      <c r="BD547" s="262"/>
      <c r="BE547" s="262"/>
      <c r="BF547" s="262"/>
      <c r="BG547" s="262"/>
      <c r="BH547" s="262"/>
      <c r="BI547" s="262"/>
      <c r="BJ547" s="262"/>
      <c r="BK547" s="262"/>
    </row>
    <row r="548" spans="1:63" ht="12.75" x14ac:dyDescent="0.2">
      <c r="A548" s="263"/>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c r="AA548" s="262"/>
      <c r="AB548" s="262"/>
      <c r="AC548" s="262"/>
      <c r="AD548" s="262"/>
      <c r="AE548" s="262"/>
      <c r="AF548" s="262"/>
      <c r="AG548" s="262"/>
      <c r="AH548" s="262"/>
      <c r="AI548" s="262"/>
      <c r="AJ548" s="262"/>
      <c r="AK548" s="262"/>
      <c r="AL548" s="262"/>
      <c r="AM548" s="262"/>
      <c r="AN548" s="262"/>
      <c r="AO548" s="262"/>
      <c r="AP548" s="262"/>
      <c r="AQ548" s="262"/>
      <c r="AR548" s="262"/>
      <c r="AS548" s="262"/>
      <c r="AT548" s="262"/>
      <c r="AU548" s="262"/>
      <c r="AV548" s="262"/>
      <c r="AW548" s="262"/>
      <c r="AX548" s="262"/>
      <c r="AY548" s="262"/>
      <c r="AZ548" s="262"/>
      <c r="BA548" s="262"/>
      <c r="BB548" s="262"/>
      <c r="BC548" s="262"/>
      <c r="BD548" s="262"/>
      <c r="BE548" s="262"/>
      <c r="BF548" s="262"/>
      <c r="BG548" s="262"/>
      <c r="BH548" s="262"/>
      <c r="BI548" s="262"/>
      <c r="BJ548" s="262"/>
      <c r="BK548" s="262"/>
    </row>
    <row r="549" spans="1:63" ht="12.75" x14ac:dyDescent="0.2">
      <c r="A549" s="263"/>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c r="AA549" s="262"/>
      <c r="AB549" s="262"/>
      <c r="AC549" s="262"/>
      <c r="AD549" s="262"/>
      <c r="AE549" s="262"/>
      <c r="AF549" s="262"/>
      <c r="AG549" s="262"/>
      <c r="AH549" s="262"/>
      <c r="AI549" s="262"/>
      <c r="AJ549" s="262"/>
      <c r="AK549" s="262"/>
      <c r="AL549" s="262"/>
      <c r="AM549" s="262"/>
      <c r="AN549" s="262"/>
      <c r="AO549" s="262"/>
      <c r="AP549" s="262"/>
      <c r="AQ549" s="262"/>
      <c r="AR549" s="262"/>
      <c r="AS549" s="262"/>
      <c r="AT549" s="262"/>
      <c r="AU549" s="262"/>
      <c r="AV549" s="262"/>
      <c r="AW549" s="262"/>
      <c r="AX549" s="262"/>
      <c r="AY549" s="262"/>
      <c r="AZ549" s="262"/>
      <c r="BA549" s="262"/>
      <c r="BB549" s="262"/>
      <c r="BC549" s="262"/>
      <c r="BD549" s="262"/>
      <c r="BE549" s="262"/>
      <c r="BF549" s="262"/>
      <c r="BG549" s="262"/>
      <c r="BH549" s="262"/>
      <c r="BI549" s="262"/>
      <c r="BJ549" s="262"/>
      <c r="BK549" s="262"/>
    </row>
    <row r="550" spans="1:63" ht="12.75" x14ac:dyDescent="0.2">
      <c r="A550" s="263"/>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2"/>
      <c r="AD550" s="262"/>
      <c r="AE550" s="262"/>
      <c r="AF550" s="262"/>
      <c r="AG550" s="262"/>
      <c r="AH550" s="262"/>
      <c r="AI550" s="262"/>
      <c r="AJ550" s="262"/>
      <c r="AK550" s="262"/>
      <c r="AL550" s="262"/>
      <c r="AM550" s="262"/>
      <c r="AN550" s="262"/>
      <c r="AO550" s="262"/>
      <c r="AP550" s="262"/>
      <c r="AQ550" s="262"/>
      <c r="AR550" s="262"/>
      <c r="AS550" s="262"/>
      <c r="AT550" s="262"/>
      <c r="AU550" s="262"/>
      <c r="AV550" s="262"/>
      <c r="AW550" s="262"/>
      <c r="AX550" s="262"/>
      <c r="AY550" s="262"/>
      <c r="AZ550" s="262"/>
      <c r="BA550" s="262"/>
      <c r="BB550" s="262"/>
      <c r="BC550" s="262"/>
      <c r="BD550" s="262"/>
      <c r="BE550" s="262"/>
      <c r="BF550" s="262"/>
      <c r="BG550" s="262"/>
      <c r="BH550" s="262"/>
      <c r="BI550" s="262"/>
      <c r="BJ550" s="262"/>
      <c r="BK550" s="262"/>
    </row>
    <row r="551" spans="1:63" ht="12.75" x14ac:dyDescent="0.2">
      <c r="A551" s="263"/>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262"/>
      <c r="AE551" s="262"/>
      <c r="AF551" s="262"/>
      <c r="AG551" s="262"/>
      <c r="AH551" s="262"/>
      <c r="AI551" s="262"/>
      <c r="AJ551" s="262"/>
      <c r="AK551" s="262"/>
      <c r="AL551" s="262"/>
      <c r="AM551" s="262"/>
      <c r="AN551" s="262"/>
      <c r="AO551" s="262"/>
      <c r="AP551" s="262"/>
      <c r="AQ551" s="262"/>
      <c r="AR551" s="262"/>
      <c r="AS551" s="262"/>
      <c r="AT551" s="262"/>
      <c r="AU551" s="262"/>
      <c r="AV551" s="262"/>
      <c r="AW551" s="262"/>
      <c r="AX551" s="262"/>
      <c r="AY551" s="262"/>
      <c r="AZ551" s="262"/>
      <c r="BA551" s="262"/>
      <c r="BB551" s="262"/>
      <c r="BC551" s="262"/>
      <c r="BD551" s="262"/>
      <c r="BE551" s="262"/>
      <c r="BF551" s="262"/>
      <c r="BG551" s="262"/>
      <c r="BH551" s="262"/>
      <c r="BI551" s="262"/>
      <c r="BJ551" s="262"/>
      <c r="BK551" s="262"/>
    </row>
    <row r="552" spans="1:63" ht="12.75" x14ac:dyDescent="0.2">
      <c r="A552" s="263"/>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262"/>
      <c r="AE552" s="262"/>
      <c r="AF552" s="262"/>
      <c r="AG552" s="262"/>
      <c r="AH552" s="262"/>
      <c r="AI552" s="262"/>
      <c r="AJ552" s="262"/>
      <c r="AK552" s="262"/>
      <c r="AL552" s="262"/>
      <c r="AM552" s="262"/>
      <c r="AN552" s="262"/>
      <c r="AO552" s="262"/>
      <c r="AP552" s="262"/>
      <c r="AQ552" s="262"/>
      <c r="AR552" s="262"/>
      <c r="AS552" s="262"/>
      <c r="AT552" s="262"/>
      <c r="AU552" s="262"/>
      <c r="AV552" s="262"/>
      <c r="AW552" s="262"/>
      <c r="AX552" s="262"/>
      <c r="AY552" s="262"/>
      <c r="AZ552" s="262"/>
      <c r="BA552" s="262"/>
      <c r="BB552" s="262"/>
      <c r="BC552" s="262"/>
      <c r="BD552" s="262"/>
      <c r="BE552" s="262"/>
      <c r="BF552" s="262"/>
      <c r="BG552" s="262"/>
      <c r="BH552" s="262"/>
      <c r="BI552" s="262"/>
      <c r="BJ552" s="262"/>
      <c r="BK552" s="262"/>
    </row>
    <row r="553" spans="1:63" ht="12.75" x14ac:dyDescent="0.2">
      <c r="A553" s="263"/>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262"/>
      <c r="AE553" s="262"/>
      <c r="AF553" s="262"/>
      <c r="AG553" s="262"/>
      <c r="AH553" s="262"/>
      <c r="AI553" s="262"/>
      <c r="AJ553" s="262"/>
      <c r="AK553" s="262"/>
      <c r="AL553" s="262"/>
      <c r="AM553" s="262"/>
      <c r="AN553" s="262"/>
      <c r="AO553" s="262"/>
      <c r="AP553" s="262"/>
      <c r="AQ553" s="262"/>
      <c r="AR553" s="262"/>
      <c r="AS553" s="262"/>
      <c r="AT553" s="262"/>
      <c r="AU553" s="262"/>
      <c r="AV553" s="262"/>
      <c r="AW553" s="262"/>
      <c r="AX553" s="262"/>
      <c r="AY553" s="262"/>
      <c r="AZ553" s="262"/>
      <c r="BA553" s="262"/>
      <c r="BB553" s="262"/>
      <c r="BC553" s="262"/>
      <c r="BD553" s="262"/>
      <c r="BE553" s="262"/>
      <c r="BF553" s="262"/>
      <c r="BG553" s="262"/>
      <c r="BH553" s="262"/>
      <c r="BI553" s="262"/>
      <c r="BJ553" s="262"/>
      <c r="BK553" s="262"/>
    </row>
    <row r="554" spans="1:63" ht="12.75" x14ac:dyDescent="0.2">
      <c r="A554" s="263"/>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262"/>
      <c r="AE554" s="262"/>
      <c r="AF554" s="262"/>
      <c r="AG554" s="262"/>
      <c r="AH554" s="262"/>
      <c r="AI554" s="262"/>
      <c r="AJ554" s="262"/>
      <c r="AK554" s="262"/>
      <c r="AL554" s="262"/>
      <c r="AM554" s="262"/>
      <c r="AN554" s="262"/>
      <c r="AO554" s="262"/>
      <c r="AP554" s="262"/>
      <c r="AQ554" s="262"/>
      <c r="AR554" s="262"/>
      <c r="AS554" s="262"/>
      <c r="AT554" s="262"/>
      <c r="AU554" s="262"/>
      <c r="AV554" s="262"/>
      <c r="AW554" s="262"/>
      <c r="AX554" s="262"/>
      <c r="AY554" s="262"/>
      <c r="AZ554" s="262"/>
      <c r="BA554" s="262"/>
      <c r="BB554" s="262"/>
      <c r="BC554" s="262"/>
      <c r="BD554" s="262"/>
      <c r="BE554" s="262"/>
      <c r="BF554" s="262"/>
      <c r="BG554" s="262"/>
      <c r="BH554" s="262"/>
      <c r="BI554" s="262"/>
      <c r="BJ554" s="262"/>
      <c r="BK554" s="262"/>
    </row>
    <row r="555" spans="1:63" ht="12.75" x14ac:dyDescent="0.2">
      <c r="A555" s="263"/>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262"/>
      <c r="AE555" s="262"/>
      <c r="AF555" s="262"/>
      <c r="AG555" s="262"/>
      <c r="AH555" s="262"/>
      <c r="AI555" s="262"/>
      <c r="AJ555" s="262"/>
      <c r="AK555" s="262"/>
      <c r="AL555" s="262"/>
      <c r="AM555" s="262"/>
      <c r="AN555" s="262"/>
      <c r="AO555" s="262"/>
      <c r="AP555" s="262"/>
      <c r="AQ555" s="262"/>
      <c r="AR555" s="262"/>
      <c r="AS555" s="262"/>
      <c r="AT555" s="262"/>
      <c r="AU555" s="262"/>
      <c r="AV555" s="262"/>
      <c r="AW555" s="262"/>
      <c r="AX555" s="262"/>
      <c r="AY555" s="262"/>
      <c r="AZ555" s="262"/>
      <c r="BA555" s="262"/>
      <c r="BB555" s="262"/>
      <c r="BC555" s="262"/>
      <c r="BD555" s="262"/>
      <c r="BE555" s="262"/>
      <c r="BF555" s="262"/>
      <c r="BG555" s="262"/>
      <c r="BH555" s="262"/>
      <c r="BI555" s="262"/>
      <c r="BJ555" s="262"/>
      <c r="BK555" s="262"/>
    </row>
    <row r="556" spans="1:63" ht="12.75" x14ac:dyDescent="0.2">
      <c r="A556" s="263"/>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262"/>
      <c r="AE556" s="262"/>
      <c r="AF556" s="262"/>
      <c r="AG556" s="262"/>
      <c r="AH556" s="262"/>
      <c r="AI556" s="262"/>
      <c r="AJ556" s="262"/>
      <c r="AK556" s="262"/>
      <c r="AL556" s="262"/>
      <c r="AM556" s="262"/>
      <c r="AN556" s="262"/>
      <c r="AO556" s="262"/>
      <c r="AP556" s="262"/>
      <c r="AQ556" s="262"/>
      <c r="AR556" s="262"/>
      <c r="AS556" s="262"/>
      <c r="AT556" s="262"/>
      <c r="AU556" s="262"/>
      <c r="AV556" s="262"/>
      <c r="AW556" s="262"/>
      <c r="AX556" s="262"/>
      <c r="AY556" s="262"/>
      <c r="AZ556" s="262"/>
      <c r="BA556" s="262"/>
      <c r="BB556" s="262"/>
      <c r="BC556" s="262"/>
      <c r="BD556" s="262"/>
      <c r="BE556" s="262"/>
      <c r="BF556" s="262"/>
      <c r="BG556" s="262"/>
      <c r="BH556" s="262"/>
      <c r="BI556" s="262"/>
      <c r="BJ556" s="262"/>
      <c r="BK556" s="262"/>
    </row>
    <row r="557" spans="1:63" ht="12.75" x14ac:dyDescent="0.2">
      <c r="A557" s="263"/>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262"/>
      <c r="AE557" s="262"/>
      <c r="AF557" s="262"/>
      <c r="AG557" s="262"/>
      <c r="AH557" s="262"/>
      <c r="AI557" s="262"/>
      <c r="AJ557" s="262"/>
      <c r="AK557" s="262"/>
      <c r="AL557" s="262"/>
      <c r="AM557" s="262"/>
      <c r="AN557" s="262"/>
      <c r="AO557" s="262"/>
      <c r="AP557" s="262"/>
      <c r="AQ557" s="262"/>
      <c r="AR557" s="262"/>
      <c r="AS557" s="262"/>
      <c r="AT557" s="262"/>
      <c r="AU557" s="262"/>
      <c r="AV557" s="262"/>
      <c r="AW557" s="262"/>
      <c r="AX557" s="262"/>
      <c r="AY557" s="262"/>
      <c r="AZ557" s="262"/>
      <c r="BA557" s="262"/>
      <c r="BB557" s="262"/>
      <c r="BC557" s="262"/>
      <c r="BD557" s="262"/>
      <c r="BE557" s="262"/>
      <c r="BF557" s="262"/>
      <c r="BG557" s="262"/>
      <c r="BH557" s="262"/>
      <c r="BI557" s="262"/>
      <c r="BJ557" s="262"/>
      <c r="BK557" s="262"/>
    </row>
    <row r="558" spans="1:63" ht="12.75" x14ac:dyDescent="0.2">
      <c r="A558" s="263"/>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262"/>
      <c r="AE558" s="262"/>
      <c r="AF558" s="262"/>
      <c r="AG558" s="262"/>
      <c r="AH558" s="262"/>
      <c r="AI558" s="262"/>
      <c r="AJ558" s="262"/>
      <c r="AK558" s="262"/>
      <c r="AL558" s="262"/>
      <c r="AM558" s="262"/>
      <c r="AN558" s="262"/>
      <c r="AO558" s="262"/>
      <c r="AP558" s="262"/>
      <c r="AQ558" s="262"/>
      <c r="AR558" s="262"/>
      <c r="AS558" s="262"/>
      <c r="AT558" s="262"/>
      <c r="AU558" s="262"/>
      <c r="AV558" s="262"/>
      <c r="AW558" s="262"/>
      <c r="AX558" s="262"/>
      <c r="AY558" s="262"/>
      <c r="AZ558" s="262"/>
      <c r="BA558" s="262"/>
      <c r="BB558" s="262"/>
      <c r="BC558" s="262"/>
      <c r="BD558" s="262"/>
      <c r="BE558" s="262"/>
      <c r="BF558" s="262"/>
      <c r="BG558" s="262"/>
      <c r="BH558" s="262"/>
      <c r="BI558" s="262"/>
      <c r="BJ558" s="262"/>
      <c r="BK558" s="262"/>
    </row>
    <row r="559" spans="1:63" ht="12.75" x14ac:dyDescent="0.2">
      <c r="A559" s="263"/>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F559" s="262"/>
      <c r="AG559" s="262"/>
      <c r="AH559" s="262"/>
      <c r="AI559" s="262"/>
      <c r="AJ559" s="262"/>
      <c r="AK559" s="262"/>
      <c r="AL559" s="262"/>
      <c r="AM559" s="262"/>
      <c r="AN559" s="262"/>
      <c r="AO559" s="262"/>
      <c r="AP559" s="262"/>
      <c r="AQ559" s="262"/>
      <c r="AR559" s="262"/>
      <c r="AS559" s="262"/>
      <c r="AT559" s="262"/>
      <c r="AU559" s="262"/>
      <c r="AV559" s="262"/>
      <c r="AW559" s="262"/>
      <c r="AX559" s="262"/>
      <c r="AY559" s="262"/>
      <c r="AZ559" s="262"/>
      <c r="BA559" s="262"/>
      <c r="BB559" s="262"/>
      <c r="BC559" s="262"/>
      <c r="BD559" s="262"/>
      <c r="BE559" s="262"/>
      <c r="BF559" s="262"/>
      <c r="BG559" s="262"/>
      <c r="BH559" s="262"/>
      <c r="BI559" s="262"/>
      <c r="BJ559" s="262"/>
      <c r="BK559" s="262"/>
    </row>
    <row r="560" spans="1:63" ht="12.75" x14ac:dyDescent="0.2">
      <c r="A560" s="263"/>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262"/>
      <c r="AE560" s="262"/>
      <c r="AF560" s="262"/>
      <c r="AG560" s="262"/>
      <c r="AH560" s="262"/>
      <c r="AI560" s="262"/>
      <c r="AJ560" s="262"/>
      <c r="AK560" s="262"/>
      <c r="AL560" s="262"/>
      <c r="AM560" s="262"/>
      <c r="AN560" s="262"/>
      <c r="AO560" s="262"/>
      <c r="AP560" s="262"/>
      <c r="AQ560" s="262"/>
      <c r="AR560" s="262"/>
      <c r="AS560" s="262"/>
      <c r="AT560" s="262"/>
      <c r="AU560" s="262"/>
      <c r="AV560" s="262"/>
      <c r="AW560" s="262"/>
      <c r="AX560" s="262"/>
      <c r="AY560" s="262"/>
      <c r="AZ560" s="262"/>
      <c r="BA560" s="262"/>
      <c r="BB560" s="262"/>
      <c r="BC560" s="262"/>
      <c r="BD560" s="262"/>
      <c r="BE560" s="262"/>
      <c r="BF560" s="262"/>
      <c r="BG560" s="262"/>
      <c r="BH560" s="262"/>
      <c r="BI560" s="262"/>
      <c r="BJ560" s="262"/>
      <c r="BK560" s="262"/>
    </row>
    <row r="561" spans="1:63" ht="12.75" x14ac:dyDescent="0.2">
      <c r="A561" s="263"/>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262"/>
      <c r="AE561" s="262"/>
      <c r="AF561" s="262"/>
      <c r="AG561" s="262"/>
      <c r="AH561" s="262"/>
      <c r="AI561" s="262"/>
      <c r="AJ561" s="262"/>
      <c r="AK561" s="262"/>
      <c r="AL561" s="262"/>
      <c r="AM561" s="262"/>
      <c r="AN561" s="262"/>
      <c r="AO561" s="262"/>
      <c r="AP561" s="262"/>
      <c r="AQ561" s="262"/>
      <c r="AR561" s="262"/>
      <c r="AS561" s="262"/>
      <c r="AT561" s="262"/>
      <c r="AU561" s="262"/>
      <c r="AV561" s="262"/>
      <c r="AW561" s="262"/>
      <c r="AX561" s="262"/>
      <c r="AY561" s="262"/>
      <c r="AZ561" s="262"/>
      <c r="BA561" s="262"/>
      <c r="BB561" s="262"/>
      <c r="BC561" s="262"/>
      <c r="BD561" s="262"/>
      <c r="BE561" s="262"/>
      <c r="BF561" s="262"/>
      <c r="BG561" s="262"/>
      <c r="BH561" s="262"/>
      <c r="BI561" s="262"/>
      <c r="BJ561" s="262"/>
      <c r="BK561" s="262"/>
    </row>
    <row r="562" spans="1:63" ht="12.75" x14ac:dyDescent="0.2">
      <c r="A562" s="263"/>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262"/>
      <c r="AE562" s="262"/>
      <c r="AF562" s="262"/>
      <c r="AG562" s="262"/>
      <c r="AH562" s="262"/>
      <c r="AI562" s="262"/>
      <c r="AJ562" s="262"/>
      <c r="AK562" s="262"/>
      <c r="AL562" s="262"/>
      <c r="AM562" s="262"/>
      <c r="AN562" s="262"/>
      <c r="AO562" s="262"/>
      <c r="AP562" s="262"/>
      <c r="AQ562" s="262"/>
      <c r="AR562" s="262"/>
      <c r="AS562" s="262"/>
      <c r="AT562" s="262"/>
      <c r="AU562" s="262"/>
      <c r="AV562" s="262"/>
      <c r="AW562" s="262"/>
      <c r="AX562" s="262"/>
      <c r="AY562" s="262"/>
      <c r="AZ562" s="262"/>
      <c r="BA562" s="262"/>
      <c r="BB562" s="262"/>
      <c r="BC562" s="262"/>
      <c r="BD562" s="262"/>
      <c r="BE562" s="262"/>
      <c r="BF562" s="262"/>
      <c r="BG562" s="262"/>
      <c r="BH562" s="262"/>
      <c r="BI562" s="262"/>
      <c r="BJ562" s="262"/>
      <c r="BK562" s="262"/>
    </row>
    <row r="563" spans="1:63" ht="12.75" x14ac:dyDescent="0.2">
      <c r="A563" s="263"/>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262"/>
      <c r="AF563" s="262"/>
      <c r="AG563" s="262"/>
      <c r="AH563" s="262"/>
      <c r="AI563" s="262"/>
      <c r="AJ563" s="262"/>
      <c r="AK563" s="262"/>
      <c r="AL563" s="262"/>
      <c r="AM563" s="262"/>
      <c r="AN563" s="262"/>
      <c r="AO563" s="262"/>
      <c r="AP563" s="262"/>
      <c r="AQ563" s="262"/>
      <c r="AR563" s="262"/>
      <c r="AS563" s="262"/>
      <c r="AT563" s="262"/>
      <c r="AU563" s="262"/>
      <c r="AV563" s="262"/>
      <c r="AW563" s="262"/>
      <c r="AX563" s="262"/>
      <c r="AY563" s="262"/>
      <c r="AZ563" s="262"/>
      <c r="BA563" s="262"/>
      <c r="BB563" s="262"/>
      <c r="BC563" s="262"/>
      <c r="BD563" s="262"/>
      <c r="BE563" s="262"/>
      <c r="BF563" s="262"/>
      <c r="BG563" s="262"/>
      <c r="BH563" s="262"/>
      <c r="BI563" s="262"/>
      <c r="BJ563" s="262"/>
      <c r="BK563" s="262"/>
    </row>
    <row r="564" spans="1:63" ht="12.75" x14ac:dyDescent="0.2">
      <c r="A564" s="263"/>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262"/>
      <c r="AE564" s="262"/>
      <c r="AF564" s="262"/>
      <c r="AG564" s="262"/>
      <c r="AH564" s="262"/>
      <c r="AI564" s="262"/>
      <c r="AJ564" s="262"/>
      <c r="AK564" s="262"/>
      <c r="AL564" s="262"/>
      <c r="AM564" s="262"/>
      <c r="AN564" s="262"/>
      <c r="AO564" s="262"/>
      <c r="AP564" s="262"/>
      <c r="AQ564" s="262"/>
      <c r="AR564" s="262"/>
      <c r="AS564" s="262"/>
      <c r="AT564" s="262"/>
      <c r="AU564" s="262"/>
      <c r="AV564" s="262"/>
      <c r="AW564" s="262"/>
      <c r="AX564" s="262"/>
      <c r="AY564" s="262"/>
      <c r="AZ564" s="262"/>
      <c r="BA564" s="262"/>
      <c r="BB564" s="262"/>
      <c r="BC564" s="262"/>
      <c r="BD564" s="262"/>
      <c r="BE564" s="262"/>
      <c r="BF564" s="262"/>
      <c r="BG564" s="262"/>
      <c r="BH564" s="262"/>
      <c r="BI564" s="262"/>
      <c r="BJ564" s="262"/>
      <c r="BK564" s="262"/>
    </row>
    <row r="565" spans="1:63" ht="12.75" x14ac:dyDescent="0.2">
      <c r="A565" s="263"/>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62"/>
      <c r="AE565" s="262"/>
      <c r="AF565" s="262"/>
      <c r="AG565" s="262"/>
      <c r="AH565" s="262"/>
      <c r="AI565" s="262"/>
      <c r="AJ565" s="262"/>
      <c r="AK565" s="262"/>
      <c r="AL565" s="262"/>
      <c r="AM565" s="262"/>
      <c r="AN565" s="262"/>
      <c r="AO565" s="262"/>
      <c r="AP565" s="262"/>
      <c r="AQ565" s="262"/>
      <c r="AR565" s="262"/>
      <c r="AS565" s="262"/>
      <c r="AT565" s="262"/>
      <c r="AU565" s="262"/>
      <c r="AV565" s="262"/>
      <c r="AW565" s="262"/>
      <c r="AX565" s="262"/>
      <c r="AY565" s="262"/>
      <c r="AZ565" s="262"/>
      <c r="BA565" s="262"/>
      <c r="BB565" s="262"/>
      <c r="BC565" s="262"/>
      <c r="BD565" s="262"/>
      <c r="BE565" s="262"/>
      <c r="BF565" s="262"/>
      <c r="BG565" s="262"/>
      <c r="BH565" s="262"/>
      <c r="BI565" s="262"/>
      <c r="BJ565" s="262"/>
      <c r="BK565" s="262"/>
    </row>
    <row r="566" spans="1:63" ht="12.75" x14ac:dyDescent="0.2">
      <c r="A566" s="263"/>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262"/>
      <c r="AE566" s="262"/>
      <c r="AF566" s="262"/>
      <c r="AG566" s="262"/>
      <c r="AH566" s="262"/>
      <c r="AI566" s="262"/>
      <c r="AJ566" s="262"/>
      <c r="AK566" s="262"/>
      <c r="AL566" s="262"/>
      <c r="AM566" s="262"/>
      <c r="AN566" s="262"/>
      <c r="AO566" s="262"/>
      <c r="AP566" s="262"/>
      <c r="AQ566" s="262"/>
      <c r="AR566" s="262"/>
      <c r="AS566" s="262"/>
      <c r="AT566" s="262"/>
      <c r="AU566" s="262"/>
      <c r="AV566" s="262"/>
      <c r="AW566" s="262"/>
      <c r="AX566" s="262"/>
      <c r="AY566" s="262"/>
      <c r="AZ566" s="262"/>
      <c r="BA566" s="262"/>
      <c r="BB566" s="262"/>
      <c r="BC566" s="262"/>
      <c r="BD566" s="262"/>
      <c r="BE566" s="262"/>
      <c r="BF566" s="262"/>
      <c r="BG566" s="262"/>
      <c r="BH566" s="262"/>
      <c r="BI566" s="262"/>
      <c r="BJ566" s="262"/>
      <c r="BK566" s="262"/>
    </row>
    <row r="567" spans="1:63" ht="12.75" x14ac:dyDescent="0.2">
      <c r="A567" s="263"/>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262"/>
      <c r="AE567" s="262"/>
      <c r="AF567" s="262"/>
      <c r="AG567" s="262"/>
      <c r="AH567" s="262"/>
      <c r="AI567" s="262"/>
      <c r="AJ567" s="262"/>
      <c r="AK567" s="262"/>
      <c r="AL567" s="262"/>
      <c r="AM567" s="262"/>
      <c r="AN567" s="262"/>
      <c r="AO567" s="262"/>
      <c r="AP567" s="262"/>
      <c r="AQ567" s="262"/>
      <c r="AR567" s="262"/>
      <c r="AS567" s="262"/>
      <c r="AT567" s="262"/>
      <c r="AU567" s="262"/>
      <c r="AV567" s="262"/>
      <c r="AW567" s="262"/>
      <c r="AX567" s="262"/>
      <c r="AY567" s="262"/>
      <c r="AZ567" s="262"/>
      <c r="BA567" s="262"/>
      <c r="BB567" s="262"/>
      <c r="BC567" s="262"/>
      <c r="BD567" s="262"/>
      <c r="BE567" s="262"/>
      <c r="BF567" s="262"/>
      <c r="BG567" s="262"/>
      <c r="BH567" s="262"/>
      <c r="BI567" s="262"/>
      <c r="BJ567" s="262"/>
      <c r="BK567" s="262"/>
    </row>
    <row r="568" spans="1:63" ht="12.75" x14ac:dyDescent="0.2">
      <c r="A568" s="263"/>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262"/>
      <c r="AE568" s="262"/>
      <c r="AF568" s="262"/>
      <c r="AG568" s="262"/>
      <c r="AH568" s="262"/>
      <c r="AI568" s="262"/>
      <c r="AJ568" s="262"/>
      <c r="AK568" s="262"/>
      <c r="AL568" s="262"/>
      <c r="AM568" s="262"/>
      <c r="AN568" s="262"/>
      <c r="AO568" s="262"/>
      <c r="AP568" s="262"/>
      <c r="AQ568" s="262"/>
      <c r="AR568" s="262"/>
      <c r="AS568" s="262"/>
      <c r="AT568" s="262"/>
      <c r="AU568" s="262"/>
      <c r="AV568" s="262"/>
      <c r="AW568" s="262"/>
      <c r="AX568" s="262"/>
      <c r="AY568" s="262"/>
      <c r="AZ568" s="262"/>
      <c r="BA568" s="262"/>
      <c r="BB568" s="262"/>
      <c r="BC568" s="262"/>
      <c r="BD568" s="262"/>
      <c r="BE568" s="262"/>
      <c r="BF568" s="262"/>
      <c r="BG568" s="262"/>
      <c r="BH568" s="262"/>
      <c r="BI568" s="262"/>
      <c r="BJ568" s="262"/>
      <c r="BK568" s="262"/>
    </row>
    <row r="569" spans="1:63" ht="12.75" x14ac:dyDescent="0.2">
      <c r="A569" s="263"/>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262"/>
      <c r="AE569" s="262"/>
      <c r="AF569" s="262"/>
      <c r="AG569" s="262"/>
      <c r="AH569" s="262"/>
      <c r="AI569" s="262"/>
      <c r="AJ569" s="262"/>
      <c r="AK569" s="262"/>
      <c r="AL569" s="262"/>
      <c r="AM569" s="262"/>
      <c r="AN569" s="262"/>
      <c r="AO569" s="262"/>
      <c r="AP569" s="262"/>
      <c r="AQ569" s="262"/>
      <c r="AR569" s="262"/>
      <c r="AS569" s="262"/>
      <c r="AT569" s="262"/>
      <c r="AU569" s="262"/>
      <c r="AV569" s="262"/>
      <c r="AW569" s="262"/>
      <c r="AX569" s="262"/>
      <c r="AY569" s="262"/>
      <c r="AZ569" s="262"/>
      <c r="BA569" s="262"/>
      <c r="BB569" s="262"/>
      <c r="BC569" s="262"/>
      <c r="BD569" s="262"/>
      <c r="BE569" s="262"/>
      <c r="BF569" s="262"/>
      <c r="BG569" s="262"/>
      <c r="BH569" s="262"/>
      <c r="BI569" s="262"/>
      <c r="BJ569" s="262"/>
      <c r="BK569" s="262"/>
    </row>
    <row r="570" spans="1:63" ht="12.75" x14ac:dyDescent="0.2">
      <c r="A570" s="263"/>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262"/>
      <c r="AF570" s="262"/>
      <c r="AG570" s="262"/>
      <c r="AH570" s="262"/>
      <c r="AI570" s="262"/>
      <c r="AJ570" s="262"/>
      <c r="AK570" s="262"/>
      <c r="AL570" s="262"/>
      <c r="AM570" s="262"/>
      <c r="AN570" s="262"/>
      <c r="AO570" s="262"/>
      <c r="AP570" s="262"/>
      <c r="AQ570" s="262"/>
      <c r="AR570" s="262"/>
      <c r="AS570" s="262"/>
      <c r="AT570" s="262"/>
      <c r="AU570" s="262"/>
      <c r="AV570" s="262"/>
      <c r="AW570" s="262"/>
      <c r="AX570" s="262"/>
      <c r="AY570" s="262"/>
      <c r="AZ570" s="262"/>
      <c r="BA570" s="262"/>
      <c r="BB570" s="262"/>
      <c r="BC570" s="262"/>
      <c r="BD570" s="262"/>
      <c r="BE570" s="262"/>
      <c r="BF570" s="262"/>
      <c r="BG570" s="262"/>
      <c r="BH570" s="262"/>
      <c r="BI570" s="262"/>
      <c r="BJ570" s="262"/>
      <c r="BK570" s="262"/>
    </row>
    <row r="571" spans="1:63" ht="12.75" x14ac:dyDescent="0.2">
      <c r="A571" s="263"/>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2"/>
      <c r="AD571" s="262"/>
      <c r="AE571" s="262"/>
      <c r="AF571" s="262"/>
      <c r="AG571" s="262"/>
      <c r="AH571" s="262"/>
      <c r="AI571" s="262"/>
      <c r="AJ571" s="262"/>
      <c r="AK571" s="262"/>
      <c r="AL571" s="262"/>
      <c r="AM571" s="262"/>
      <c r="AN571" s="262"/>
      <c r="AO571" s="262"/>
      <c r="AP571" s="262"/>
      <c r="AQ571" s="262"/>
      <c r="AR571" s="262"/>
      <c r="AS571" s="262"/>
      <c r="AT571" s="262"/>
      <c r="AU571" s="262"/>
      <c r="AV571" s="262"/>
      <c r="AW571" s="262"/>
      <c r="AX571" s="262"/>
      <c r="AY571" s="262"/>
      <c r="AZ571" s="262"/>
      <c r="BA571" s="262"/>
      <c r="BB571" s="262"/>
      <c r="BC571" s="262"/>
      <c r="BD571" s="262"/>
      <c r="BE571" s="262"/>
      <c r="BF571" s="262"/>
      <c r="BG571" s="262"/>
      <c r="BH571" s="262"/>
      <c r="BI571" s="262"/>
      <c r="BJ571" s="262"/>
      <c r="BK571" s="262"/>
    </row>
    <row r="572" spans="1:63" ht="12.75" x14ac:dyDescent="0.2">
      <c r="A572" s="263"/>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262"/>
      <c r="AF572" s="262"/>
      <c r="AG572" s="262"/>
      <c r="AH572" s="262"/>
      <c r="AI572" s="262"/>
      <c r="AJ572" s="262"/>
      <c r="AK572" s="262"/>
      <c r="AL572" s="262"/>
      <c r="AM572" s="262"/>
      <c r="AN572" s="262"/>
      <c r="AO572" s="262"/>
      <c r="AP572" s="262"/>
      <c r="AQ572" s="262"/>
      <c r="AR572" s="262"/>
      <c r="AS572" s="262"/>
      <c r="AT572" s="262"/>
      <c r="AU572" s="262"/>
      <c r="AV572" s="262"/>
      <c r="AW572" s="262"/>
      <c r="AX572" s="262"/>
      <c r="AY572" s="262"/>
      <c r="AZ572" s="262"/>
      <c r="BA572" s="262"/>
      <c r="BB572" s="262"/>
      <c r="BC572" s="262"/>
      <c r="BD572" s="262"/>
      <c r="BE572" s="262"/>
      <c r="BF572" s="262"/>
      <c r="BG572" s="262"/>
      <c r="BH572" s="262"/>
      <c r="BI572" s="262"/>
      <c r="BJ572" s="262"/>
      <c r="BK572" s="262"/>
    </row>
    <row r="573" spans="1:63" ht="12.75" x14ac:dyDescent="0.2">
      <c r="A573" s="263"/>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2"/>
      <c r="AD573" s="262"/>
      <c r="AE573" s="262"/>
      <c r="AF573" s="262"/>
      <c r="AG573" s="262"/>
      <c r="AH573" s="262"/>
      <c r="AI573" s="262"/>
      <c r="AJ573" s="262"/>
      <c r="AK573" s="262"/>
      <c r="AL573" s="262"/>
      <c r="AM573" s="262"/>
      <c r="AN573" s="262"/>
      <c r="AO573" s="262"/>
      <c r="AP573" s="262"/>
      <c r="AQ573" s="262"/>
      <c r="AR573" s="262"/>
      <c r="AS573" s="262"/>
      <c r="AT573" s="262"/>
      <c r="AU573" s="262"/>
      <c r="AV573" s="262"/>
      <c r="AW573" s="262"/>
      <c r="AX573" s="262"/>
      <c r="AY573" s="262"/>
      <c r="AZ573" s="262"/>
      <c r="BA573" s="262"/>
      <c r="BB573" s="262"/>
      <c r="BC573" s="262"/>
      <c r="BD573" s="262"/>
      <c r="BE573" s="262"/>
      <c r="BF573" s="262"/>
      <c r="BG573" s="262"/>
      <c r="BH573" s="262"/>
      <c r="BI573" s="262"/>
      <c r="BJ573" s="262"/>
      <c r="BK573" s="262"/>
    </row>
    <row r="574" spans="1:63" ht="12.75" x14ac:dyDescent="0.2">
      <c r="A574" s="263"/>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262"/>
      <c r="AE574" s="262"/>
      <c r="AF574" s="262"/>
      <c r="AG574" s="262"/>
      <c r="AH574" s="262"/>
      <c r="AI574" s="262"/>
      <c r="AJ574" s="262"/>
      <c r="AK574" s="262"/>
      <c r="AL574" s="262"/>
      <c r="AM574" s="262"/>
      <c r="AN574" s="262"/>
      <c r="AO574" s="262"/>
      <c r="AP574" s="262"/>
      <c r="AQ574" s="262"/>
      <c r="AR574" s="262"/>
      <c r="AS574" s="262"/>
      <c r="AT574" s="262"/>
      <c r="AU574" s="262"/>
      <c r="AV574" s="262"/>
      <c r="AW574" s="262"/>
      <c r="AX574" s="262"/>
      <c r="AY574" s="262"/>
      <c r="AZ574" s="262"/>
      <c r="BA574" s="262"/>
      <c r="BB574" s="262"/>
      <c r="BC574" s="262"/>
      <c r="BD574" s="262"/>
      <c r="BE574" s="262"/>
      <c r="BF574" s="262"/>
      <c r="BG574" s="262"/>
      <c r="BH574" s="262"/>
      <c r="BI574" s="262"/>
      <c r="BJ574" s="262"/>
      <c r="BK574" s="262"/>
    </row>
    <row r="575" spans="1:63" ht="12.75" x14ac:dyDescent="0.2">
      <c r="A575" s="263"/>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262"/>
      <c r="AE575" s="262"/>
      <c r="AF575" s="262"/>
      <c r="AG575" s="262"/>
      <c r="AH575" s="262"/>
      <c r="AI575" s="262"/>
      <c r="AJ575" s="262"/>
      <c r="AK575" s="262"/>
      <c r="AL575" s="262"/>
      <c r="AM575" s="262"/>
      <c r="AN575" s="262"/>
      <c r="AO575" s="262"/>
      <c r="AP575" s="262"/>
      <c r="AQ575" s="262"/>
      <c r="AR575" s="262"/>
      <c r="AS575" s="262"/>
      <c r="AT575" s="262"/>
      <c r="AU575" s="262"/>
      <c r="AV575" s="262"/>
      <c r="AW575" s="262"/>
      <c r="AX575" s="262"/>
      <c r="AY575" s="262"/>
      <c r="AZ575" s="262"/>
      <c r="BA575" s="262"/>
      <c r="BB575" s="262"/>
      <c r="BC575" s="262"/>
      <c r="BD575" s="262"/>
      <c r="BE575" s="262"/>
      <c r="BF575" s="262"/>
      <c r="BG575" s="262"/>
      <c r="BH575" s="262"/>
      <c r="BI575" s="262"/>
      <c r="BJ575" s="262"/>
      <c r="BK575" s="262"/>
    </row>
    <row r="576" spans="1:63" ht="12.75" x14ac:dyDescent="0.2">
      <c r="A576" s="263"/>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262"/>
      <c r="AE576" s="262"/>
      <c r="AF576" s="262"/>
      <c r="AG576" s="262"/>
      <c r="AH576" s="262"/>
      <c r="AI576" s="262"/>
      <c r="AJ576" s="262"/>
      <c r="AK576" s="262"/>
      <c r="AL576" s="262"/>
      <c r="AM576" s="262"/>
      <c r="AN576" s="262"/>
      <c r="AO576" s="262"/>
      <c r="AP576" s="262"/>
      <c r="AQ576" s="262"/>
      <c r="AR576" s="262"/>
      <c r="AS576" s="262"/>
      <c r="AT576" s="262"/>
      <c r="AU576" s="262"/>
      <c r="AV576" s="262"/>
      <c r="AW576" s="262"/>
      <c r="AX576" s="262"/>
      <c r="AY576" s="262"/>
      <c r="AZ576" s="262"/>
      <c r="BA576" s="262"/>
      <c r="BB576" s="262"/>
      <c r="BC576" s="262"/>
      <c r="BD576" s="262"/>
      <c r="BE576" s="262"/>
      <c r="BF576" s="262"/>
      <c r="BG576" s="262"/>
      <c r="BH576" s="262"/>
      <c r="BI576" s="262"/>
      <c r="BJ576" s="262"/>
      <c r="BK576" s="262"/>
    </row>
    <row r="577" spans="1:63" ht="12.75" x14ac:dyDescent="0.2">
      <c r="A577" s="263"/>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262"/>
      <c r="AE577" s="262"/>
      <c r="AF577" s="262"/>
      <c r="AG577" s="262"/>
      <c r="AH577" s="262"/>
      <c r="AI577" s="262"/>
      <c r="AJ577" s="262"/>
      <c r="AK577" s="262"/>
      <c r="AL577" s="262"/>
      <c r="AM577" s="262"/>
      <c r="AN577" s="262"/>
      <c r="AO577" s="262"/>
      <c r="AP577" s="262"/>
      <c r="AQ577" s="262"/>
      <c r="AR577" s="262"/>
      <c r="AS577" s="262"/>
      <c r="AT577" s="262"/>
      <c r="AU577" s="262"/>
      <c r="AV577" s="262"/>
      <c r="AW577" s="262"/>
      <c r="AX577" s="262"/>
      <c r="AY577" s="262"/>
      <c r="AZ577" s="262"/>
      <c r="BA577" s="262"/>
      <c r="BB577" s="262"/>
      <c r="BC577" s="262"/>
      <c r="BD577" s="262"/>
      <c r="BE577" s="262"/>
      <c r="BF577" s="262"/>
      <c r="BG577" s="262"/>
      <c r="BH577" s="262"/>
      <c r="BI577" s="262"/>
      <c r="BJ577" s="262"/>
      <c r="BK577" s="262"/>
    </row>
    <row r="578" spans="1:63" ht="12.75" x14ac:dyDescent="0.2">
      <c r="A578" s="263"/>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262"/>
      <c r="AE578" s="262"/>
      <c r="AF578" s="262"/>
      <c r="AG578" s="262"/>
      <c r="AH578" s="262"/>
      <c r="AI578" s="262"/>
      <c r="AJ578" s="262"/>
      <c r="AK578" s="262"/>
      <c r="AL578" s="262"/>
      <c r="AM578" s="262"/>
      <c r="AN578" s="262"/>
      <c r="AO578" s="262"/>
      <c r="AP578" s="262"/>
      <c r="AQ578" s="262"/>
      <c r="AR578" s="262"/>
      <c r="AS578" s="262"/>
      <c r="AT578" s="262"/>
      <c r="AU578" s="262"/>
      <c r="AV578" s="262"/>
      <c r="AW578" s="262"/>
      <c r="AX578" s="262"/>
      <c r="AY578" s="262"/>
      <c r="AZ578" s="262"/>
      <c r="BA578" s="262"/>
      <c r="BB578" s="262"/>
      <c r="BC578" s="262"/>
      <c r="BD578" s="262"/>
      <c r="BE578" s="262"/>
      <c r="BF578" s="262"/>
      <c r="BG578" s="262"/>
      <c r="BH578" s="262"/>
      <c r="BI578" s="262"/>
      <c r="BJ578" s="262"/>
      <c r="BK578" s="262"/>
    </row>
    <row r="579" spans="1:63" ht="12.75" x14ac:dyDescent="0.2">
      <c r="A579" s="263"/>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262"/>
      <c r="AF579" s="262"/>
      <c r="AG579" s="262"/>
      <c r="AH579" s="262"/>
      <c r="AI579" s="262"/>
      <c r="AJ579" s="262"/>
      <c r="AK579" s="262"/>
      <c r="AL579" s="262"/>
      <c r="AM579" s="262"/>
      <c r="AN579" s="262"/>
      <c r="AO579" s="262"/>
      <c r="AP579" s="262"/>
      <c r="AQ579" s="262"/>
      <c r="AR579" s="262"/>
      <c r="AS579" s="262"/>
      <c r="AT579" s="262"/>
      <c r="AU579" s="262"/>
      <c r="AV579" s="262"/>
      <c r="AW579" s="262"/>
      <c r="AX579" s="262"/>
      <c r="AY579" s="262"/>
      <c r="AZ579" s="262"/>
      <c r="BA579" s="262"/>
      <c r="BB579" s="262"/>
      <c r="BC579" s="262"/>
      <c r="BD579" s="262"/>
      <c r="BE579" s="262"/>
      <c r="BF579" s="262"/>
      <c r="BG579" s="262"/>
      <c r="BH579" s="262"/>
      <c r="BI579" s="262"/>
      <c r="BJ579" s="262"/>
      <c r="BK579" s="262"/>
    </row>
    <row r="580" spans="1:63" ht="12.75" x14ac:dyDescent="0.2">
      <c r="A580" s="263"/>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c r="AA580" s="262"/>
      <c r="AB580" s="262"/>
      <c r="AC580" s="262"/>
      <c r="AD580" s="262"/>
      <c r="AE580" s="262"/>
      <c r="AF580" s="262"/>
      <c r="AG580" s="262"/>
      <c r="AH580" s="262"/>
      <c r="AI580" s="262"/>
      <c r="AJ580" s="262"/>
      <c r="AK580" s="262"/>
      <c r="AL580" s="262"/>
      <c r="AM580" s="262"/>
      <c r="AN580" s="262"/>
      <c r="AO580" s="262"/>
      <c r="AP580" s="262"/>
      <c r="AQ580" s="262"/>
      <c r="AR580" s="262"/>
      <c r="AS580" s="262"/>
      <c r="AT580" s="262"/>
      <c r="AU580" s="262"/>
      <c r="AV580" s="262"/>
      <c r="AW580" s="262"/>
      <c r="AX580" s="262"/>
      <c r="AY580" s="262"/>
      <c r="AZ580" s="262"/>
      <c r="BA580" s="262"/>
      <c r="BB580" s="262"/>
      <c r="BC580" s="262"/>
      <c r="BD580" s="262"/>
      <c r="BE580" s="262"/>
      <c r="BF580" s="262"/>
      <c r="BG580" s="262"/>
      <c r="BH580" s="262"/>
      <c r="BI580" s="262"/>
      <c r="BJ580" s="262"/>
      <c r="BK580" s="262"/>
    </row>
    <row r="581" spans="1:63" ht="12.75" x14ac:dyDescent="0.2">
      <c r="A581" s="263"/>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c r="AA581" s="262"/>
      <c r="AB581" s="262"/>
      <c r="AC581" s="262"/>
      <c r="AD581" s="262"/>
      <c r="AE581" s="262"/>
      <c r="AF581" s="262"/>
      <c r="AG581" s="262"/>
      <c r="AH581" s="262"/>
      <c r="AI581" s="262"/>
      <c r="AJ581" s="262"/>
      <c r="AK581" s="262"/>
      <c r="AL581" s="262"/>
      <c r="AM581" s="262"/>
      <c r="AN581" s="262"/>
      <c r="AO581" s="262"/>
      <c r="AP581" s="262"/>
      <c r="AQ581" s="262"/>
      <c r="AR581" s="262"/>
      <c r="AS581" s="262"/>
      <c r="AT581" s="262"/>
      <c r="AU581" s="262"/>
      <c r="AV581" s="262"/>
      <c r="AW581" s="262"/>
      <c r="AX581" s="262"/>
      <c r="AY581" s="262"/>
      <c r="AZ581" s="262"/>
      <c r="BA581" s="262"/>
      <c r="BB581" s="262"/>
      <c r="BC581" s="262"/>
      <c r="BD581" s="262"/>
      <c r="BE581" s="262"/>
      <c r="BF581" s="262"/>
      <c r="BG581" s="262"/>
      <c r="BH581" s="262"/>
      <c r="BI581" s="262"/>
      <c r="BJ581" s="262"/>
      <c r="BK581" s="262"/>
    </row>
    <row r="582" spans="1:63" ht="12.75" x14ac:dyDescent="0.2">
      <c r="A582" s="263"/>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c r="AA582" s="262"/>
      <c r="AB582" s="262"/>
      <c r="AC582" s="262"/>
      <c r="AD582" s="262"/>
      <c r="AE582" s="262"/>
      <c r="AF582" s="262"/>
      <c r="AG582" s="262"/>
      <c r="AH582" s="262"/>
      <c r="AI582" s="262"/>
      <c r="AJ582" s="262"/>
      <c r="AK582" s="262"/>
      <c r="AL582" s="262"/>
      <c r="AM582" s="262"/>
      <c r="AN582" s="262"/>
      <c r="AO582" s="262"/>
      <c r="AP582" s="262"/>
      <c r="AQ582" s="262"/>
      <c r="AR582" s="262"/>
      <c r="AS582" s="262"/>
      <c r="AT582" s="262"/>
      <c r="AU582" s="262"/>
      <c r="AV582" s="262"/>
      <c r="AW582" s="262"/>
      <c r="AX582" s="262"/>
      <c r="AY582" s="262"/>
      <c r="AZ582" s="262"/>
      <c r="BA582" s="262"/>
      <c r="BB582" s="262"/>
      <c r="BC582" s="262"/>
      <c r="BD582" s="262"/>
      <c r="BE582" s="262"/>
      <c r="BF582" s="262"/>
      <c r="BG582" s="262"/>
      <c r="BH582" s="262"/>
      <c r="BI582" s="262"/>
      <c r="BJ582" s="262"/>
      <c r="BK582" s="262"/>
    </row>
    <row r="583" spans="1:63" ht="12.75" x14ac:dyDescent="0.2">
      <c r="A583" s="263"/>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c r="AA583" s="262"/>
      <c r="AB583" s="262"/>
      <c r="AC583" s="262"/>
      <c r="AD583" s="262"/>
      <c r="AE583" s="262"/>
      <c r="AF583" s="262"/>
      <c r="AG583" s="262"/>
      <c r="AH583" s="262"/>
      <c r="AI583" s="262"/>
      <c r="AJ583" s="262"/>
      <c r="AK583" s="262"/>
      <c r="AL583" s="262"/>
      <c r="AM583" s="262"/>
      <c r="AN583" s="262"/>
      <c r="AO583" s="262"/>
      <c r="AP583" s="262"/>
      <c r="AQ583" s="262"/>
      <c r="AR583" s="262"/>
      <c r="AS583" s="262"/>
      <c r="AT583" s="262"/>
      <c r="AU583" s="262"/>
      <c r="AV583" s="262"/>
      <c r="AW583" s="262"/>
      <c r="AX583" s="262"/>
      <c r="AY583" s="262"/>
      <c r="AZ583" s="262"/>
      <c r="BA583" s="262"/>
      <c r="BB583" s="262"/>
      <c r="BC583" s="262"/>
      <c r="BD583" s="262"/>
      <c r="BE583" s="262"/>
      <c r="BF583" s="262"/>
      <c r="BG583" s="262"/>
      <c r="BH583" s="262"/>
      <c r="BI583" s="262"/>
      <c r="BJ583" s="262"/>
      <c r="BK583" s="262"/>
    </row>
    <row r="584" spans="1:63" ht="12.75" x14ac:dyDescent="0.2">
      <c r="A584" s="263"/>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c r="AA584" s="262"/>
      <c r="AB584" s="262"/>
      <c r="AC584" s="262"/>
      <c r="AD584" s="262"/>
      <c r="AE584" s="262"/>
      <c r="AF584" s="262"/>
      <c r="AG584" s="262"/>
      <c r="AH584" s="262"/>
      <c r="AI584" s="262"/>
      <c r="AJ584" s="262"/>
      <c r="AK584" s="262"/>
      <c r="AL584" s="262"/>
      <c r="AM584" s="262"/>
      <c r="AN584" s="262"/>
      <c r="AO584" s="262"/>
      <c r="AP584" s="262"/>
      <c r="AQ584" s="262"/>
      <c r="AR584" s="262"/>
      <c r="AS584" s="262"/>
      <c r="AT584" s="262"/>
      <c r="AU584" s="262"/>
      <c r="AV584" s="262"/>
      <c r="AW584" s="262"/>
      <c r="AX584" s="262"/>
      <c r="AY584" s="262"/>
      <c r="AZ584" s="262"/>
      <c r="BA584" s="262"/>
      <c r="BB584" s="262"/>
      <c r="BC584" s="262"/>
      <c r="BD584" s="262"/>
      <c r="BE584" s="262"/>
      <c r="BF584" s="262"/>
      <c r="BG584" s="262"/>
      <c r="BH584" s="262"/>
      <c r="BI584" s="262"/>
      <c r="BJ584" s="262"/>
      <c r="BK584" s="262"/>
    </row>
    <row r="585" spans="1:63" ht="12.75" x14ac:dyDescent="0.2">
      <c r="A585" s="263"/>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c r="AA585" s="262"/>
      <c r="AB585" s="262"/>
      <c r="AC585" s="262"/>
      <c r="AD585" s="262"/>
      <c r="AE585" s="262"/>
      <c r="AF585" s="262"/>
      <c r="AG585" s="262"/>
      <c r="AH585" s="262"/>
      <c r="AI585" s="262"/>
      <c r="AJ585" s="262"/>
      <c r="AK585" s="262"/>
      <c r="AL585" s="262"/>
      <c r="AM585" s="262"/>
      <c r="AN585" s="262"/>
      <c r="AO585" s="262"/>
      <c r="AP585" s="262"/>
      <c r="AQ585" s="262"/>
      <c r="AR585" s="262"/>
      <c r="AS585" s="262"/>
      <c r="AT585" s="262"/>
      <c r="AU585" s="262"/>
      <c r="AV585" s="262"/>
      <c r="AW585" s="262"/>
      <c r="AX585" s="262"/>
      <c r="AY585" s="262"/>
      <c r="AZ585" s="262"/>
      <c r="BA585" s="262"/>
      <c r="BB585" s="262"/>
      <c r="BC585" s="262"/>
      <c r="BD585" s="262"/>
      <c r="BE585" s="262"/>
      <c r="BF585" s="262"/>
      <c r="BG585" s="262"/>
      <c r="BH585" s="262"/>
      <c r="BI585" s="262"/>
      <c r="BJ585" s="262"/>
      <c r="BK585" s="262"/>
    </row>
    <row r="586" spans="1:63" ht="12.75" x14ac:dyDescent="0.2">
      <c r="A586" s="263"/>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c r="AA586" s="262"/>
      <c r="AB586" s="262"/>
      <c r="AC586" s="262"/>
      <c r="AD586" s="262"/>
      <c r="AE586" s="262"/>
      <c r="AF586" s="262"/>
      <c r="AG586" s="262"/>
      <c r="AH586" s="262"/>
      <c r="AI586" s="262"/>
      <c r="AJ586" s="262"/>
      <c r="AK586" s="262"/>
      <c r="AL586" s="262"/>
      <c r="AM586" s="262"/>
      <c r="AN586" s="262"/>
      <c r="AO586" s="262"/>
      <c r="AP586" s="262"/>
      <c r="AQ586" s="262"/>
      <c r="AR586" s="262"/>
      <c r="AS586" s="262"/>
      <c r="AT586" s="262"/>
      <c r="AU586" s="262"/>
      <c r="AV586" s="262"/>
      <c r="AW586" s="262"/>
      <c r="AX586" s="262"/>
      <c r="AY586" s="262"/>
      <c r="AZ586" s="262"/>
      <c r="BA586" s="262"/>
      <c r="BB586" s="262"/>
      <c r="BC586" s="262"/>
      <c r="BD586" s="262"/>
      <c r="BE586" s="262"/>
      <c r="BF586" s="262"/>
      <c r="BG586" s="262"/>
      <c r="BH586" s="262"/>
      <c r="BI586" s="262"/>
      <c r="BJ586" s="262"/>
      <c r="BK586" s="262"/>
    </row>
    <row r="587" spans="1:63" ht="12.75" x14ac:dyDescent="0.2">
      <c r="A587" s="263"/>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262"/>
      <c r="AE587" s="262"/>
      <c r="AF587" s="262"/>
      <c r="AG587" s="262"/>
      <c r="AH587" s="262"/>
      <c r="AI587" s="262"/>
      <c r="AJ587" s="262"/>
      <c r="AK587" s="262"/>
      <c r="AL587" s="262"/>
      <c r="AM587" s="262"/>
      <c r="AN587" s="262"/>
      <c r="AO587" s="262"/>
      <c r="AP587" s="262"/>
      <c r="AQ587" s="262"/>
      <c r="AR587" s="262"/>
      <c r="AS587" s="262"/>
      <c r="AT587" s="262"/>
      <c r="AU587" s="262"/>
      <c r="AV587" s="262"/>
      <c r="AW587" s="262"/>
      <c r="AX587" s="262"/>
      <c r="AY587" s="262"/>
      <c r="AZ587" s="262"/>
      <c r="BA587" s="262"/>
      <c r="BB587" s="262"/>
      <c r="BC587" s="262"/>
      <c r="BD587" s="262"/>
      <c r="BE587" s="262"/>
      <c r="BF587" s="262"/>
      <c r="BG587" s="262"/>
      <c r="BH587" s="262"/>
      <c r="BI587" s="262"/>
      <c r="BJ587" s="262"/>
      <c r="BK587" s="262"/>
    </row>
    <row r="588" spans="1:63" ht="12.75" x14ac:dyDescent="0.2">
      <c r="A588" s="263"/>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262"/>
      <c r="AE588" s="262"/>
      <c r="AF588" s="262"/>
      <c r="AG588" s="262"/>
      <c r="AH588" s="262"/>
      <c r="AI588" s="262"/>
      <c r="AJ588" s="262"/>
      <c r="AK588" s="262"/>
      <c r="AL588" s="262"/>
      <c r="AM588" s="262"/>
      <c r="AN588" s="262"/>
      <c r="AO588" s="262"/>
      <c r="AP588" s="262"/>
      <c r="AQ588" s="262"/>
      <c r="AR588" s="262"/>
      <c r="AS588" s="262"/>
      <c r="AT588" s="262"/>
      <c r="AU588" s="262"/>
      <c r="AV588" s="262"/>
      <c r="AW588" s="262"/>
      <c r="AX588" s="262"/>
      <c r="AY588" s="262"/>
      <c r="AZ588" s="262"/>
      <c r="BA588" s="262"/>
      <c r="BB588" s="262"/>
      <c r="BC588" s="262"/>
      <c r="BD588" s="262"/>
      <c r="BE588" s="262"/>
      <c r="BF588" s="262"/>
      <c r="BG588" s="262"/>
      <c r="BH588" s="262"/>
      <c r="BI588" s="262"/>
      <c r="BJ588" s="262"/>
      <c r="BK588" s="262"/>
    </row>
    <row r="589" spans="1:63" ht="12.75" x14ac:dyDescent="0.2">
      <c r="A589" s="263"/>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262"/>
      <c r="AE589" s="262"/>
      <c r="AF589" s="262"/>
      <c r="AG589" s="262"/>
      <c r="AH589" s="262"/>
      <c r="AI589" s="262"/>
      <c r="AJ589" s="262"/>
      <c r="AK589" s="262"/>
      <c r="AL589" s="262"/>
      <c r="AM589" s="262"/>
      <c r="AN589" s="262"/>
      <c r="AO589" s="262"/>
      <c r="AP589" s="262"/>
      <c r="AQ589" s="262"/>
      <c r="AR589" s="262"/>
      <c r="AS589" s="262"/>
      <c r="AT589" s="262"/>
      <c r="AU589" s="262"/>
      <c r="AV589" s="262"/>
      <c r="AW589" s="262"/>
      <c r="AX589" s="262"/>
      <c r="AY589" s="262"/>
      <c r="AZ589" s="262"/>
      <c r="BA589" s="262"/>
      <c r="BB589" s="262"/>
      <c r="BC589" s="262"/>
      <c r="BD589" s="262"/>
      <c r="BE589" s="262"/>
      <c r="BF589" s="262"/>
      <c r="BG589" s="262"/>
      <c r="BH589" s="262"/>
      <c r="BI589" s="262"/>
      <c r="BJ589" s="262"/>
      <c r="BK589" s="262"/>
    </row>
    <row r="590" spans="1:63" ht="12.75" x14ac:dyDescent="0.2">
      <c r="A590" s="263"/>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262"/>
      <c r="AE590" s="262"/>
      <c r="AF590" s="262"/>
      <c r="AG590" s="262"/>
      <c r="AH590" s="262"/>
      <c r="AI590" s="262"/>
      <c r="AJ590" s="262"/>
      <c r="AK590" s="262"/>
      <c r="AL590" s="262"/>
      <c r="AM590" s="262"/>
      <c r="AN590" s="262"/>
      <c r="AO590" s="262"/>
      <c r="AP590" s="262"/>
      <c r="AQ590" s="262"/>
      <c r="AR590" s="262"/>
      <c r="AS590" s="262"/>
      <c r="AT590" s="262"/>
      <c r="AU590" s="262"/>
      <c r="AV590" s="262"/>
      <c r="AW590" s="262"/>
      <c r="AX590" s="262"/>
      <c r="AY590" s="262"/>
      <c r="AZ590" s="262"/>
      <c r="BA590" s="262"/>
      <c r="BB590" s="262"/>
      <c r="BC590" s="262"/>
      <c r="BD590" s="262"/>
      <c r="BE590" s="262"/>
      <c r="BF590" s="262"/>
      <c r="BG590" s="262"/>
      <c r="BH590" s="262"/>
      <c r="BI590" s="262"/>
      <c r="BJ590" s="262"/>
      <c r="BK590" s="262"/>
    </row>
    <row r="591" spans="1:63" ht="12.75" x14ac:dyDescent="0.2">
      <c r="A591" s="263"/>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262"/>
      <c r="AF591" s="262"/>
      <c r="AG591" s="262"/>
      <c r="AH591" s="262"/>
      <c r="AI591" s="262"/>
      <c r="AJ591" s="262"/>
      <c r="AK591" s="262"/>
      <c r="AL591" s="262"/>
      <c r="AM591" s="262"/>
      <c r="AN591" s="262"/>
      <c r="AO591" s="262"/>
      <c r="AP591" s="262"/>
      <c r="AQ591" s="262"/>
      <c r="AR591" s="262"/>
      <c r="AS591" s="262"/>
      <c r="AT591" s="262"/>
      <c r="AU591" s="262"/>
      <c r="AV591" s="262"/>
      <c r="AW591" s="262"/>
      <c r="AX591" s="262"/>
      <c r="AY591" s="262"/>
      <c r="AZ591" s="262"/>
      <c r="BA591" s="262"/>
      <c r="BB591" s="262"/>
      <c r="BC591" s="262"/>
      <c r="BD591" s="262"/>
      <c r="BE591" s="262"/>
      <c r="BF591" s="262"/>
      <c r="BG591" s="262"/>
      <c r="BH591" s="262"/>
      <c r="BI591" s="262"/>
      <c r="BJ591" s="262"/>
      <c r="BK591" s="262"/>
    </row>
    <row r="592" spans="1:63" ht="12.75" x14ac:dyDescent="0.2">
      <c r="A592" s="263"/>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262"/>
      <c r="AE592" s="262"/>
      <c r="AF592" s="262"/>
      <c r="AG592" s="262"/>
      <c r="AH592" s="262"/>
      <c r="AI592" s="262"/>
      <c r="AJ592" s="262"/>
      <c r="AK592" s="262"/>
      <c r="AL592" s="262"/>
      <c r="AM592" s="262"/>
      <c r="AN592" s="262"/>
      <c r="AO592" s="262"/>
      <c r="AP592" s="262"/>
      <c r="AQ592" s="262"/>
      <c r="AR592" s="262"/>
      <c r="AS592" s="262"/>
      <c r="AT592" s="262"/>
      <c r="AU592" s="262"/>
      <c r="AV592" s="262"/>
      <c r="AW592" s="262"/>
      <c r="AX592" s="262"/>
      <c r="AY592" s="262"/>
      <c r="AZ592" s="262"/>
      <c r="BA592" s="262"/>
      <c r="BB592" s="262"/>
      <c r="BC592" s="262"/>
      <c r="BD592" s="262"/>
      <c r="BE592" s="262"/>
      <c r="BF592" s="262"/>
      <c r="BG592" s="262"/>
      <c r="BH592" s="262"/>
      <c r="BI592" s="262"/>
      <c r="BJ592" s="262"/>
      <c r="BK592" s="262"/>
    </row>
    <row r="593" spans="1:63" ht="12.75" x14ac:dyDescent="0.2">
      <c r="A593" s="263"/>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262"/>
      <c r="AE593" s="262"/>
      <c r="AF593" s="262"/>
      <c r="AG593" s="262"/>
      <c r="AH593" s="262"/>
      <c r="AI593" s="262"/>
      <c r="AJ593" s="262"/>
      <c r="AK593" s="262"/>
      <c r="AL593" s="262"/>
      <c r="AM593" s="262"/>
      <c r="AN593" s="262"/>
      <c r="AO593" s="262"/>
      <c r="AP593" s="262"/>
      <c r="AQ593" s="262"/>
      <c r="AR593" s="262"/>
      <c r="AS593" s="262"/>
      <c r="AT593" s="262"/>
      <c r="AU593" s="262"/>
      <c r="AV593" s="262"/>
      <c r="AW593" s="262"/>
      <c r="AX593" s="262"/>
      <c r="AY593" s="262"/>
      <c r="AZ593" s="262"/>
      <c r="BA593" s="262"/>
      <c r="BB593" s="262"/>
      <c r="BC593" s="262"/>
      <c r="BD593" s="262"/>
      <c r="BE593" s="262"/>
      <c r="BF593" s="262"/>
      <c r="BG593" s="262"/>
      <c r="BH593" s="262"/>
      <c r="BI593" s="262"/>
      <c r="BJ593" s="262"/>
      <c r="BK593" s="262"/>
    </row>
    <row r="594" spans="1:63" ht="12.75" x14ac:dyDescent="0.2">
      <c r="A594" s="263"/>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262"/>
      <c r="AE594" s="262"/>
      <c r="AF594" s="262"/>
      <c r="AG594" s="262"/>
      <c r="AH594" s="262"/>
      <c r="AI594" s="262"/>
      <c r="AJ594" s="262"/>
      <c r="AK594" s="262"/>
      <c r="AL594" s="262"/>
      <c r="AM594" s="262"/>
      <c r="AN594" s="262"/>
      <c r="AO594" s="262"/>
      <c r="AP594" s="262"/>
      <c r="AQ594" s="262"/>
      <c r="AR594" s="262"/>
      <c r="AS594" s="262"/>
      <c r="AT594" s="262"/>
      <c r="AU594" s="262"/>
      <c r="AV594" s="262"/>
      <c r="AW594" s="262"/>
      <c r="AX594" s="262"/>
      <c r="AY594" s="262"/>
      <c r="AZ594" s="262"/>
      <c r="BA594" s="262"/>
      <c r="BB594" s="262"/>
      <c r="BC594" s="262"/>
      <c r="BD594" s="262"/>
      <c r="BE594" s="262"/>
      <c r="BF594" s="262"/>
      <c r="BG594" s="262"/>
      <c r="BH594" s="262"/>
      <c r="BI594" s="262"/>
      <c r="BJ594" s="262"/>
      <c r="BK594" s="262"/>
    </row>
    <row r="595" spans="1:63" ht="12.75" x14ac:dyDescent="0.2">
      <c r="A595" s="263"/>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262"/>
      <c r="AE595" s="262"/>
      <c r="AF595" s="262"/>
      <c r="AG595" s="262"/>
      <c r="AH595" s="262"/>
      <c r="AI595" s="262"/>
      <c r="AJ595" s="262"/>
      <c r="AK595" s="262"/>
      <c r="AL595" s="262"/>
      <c r="AM595" s="262"/>
      <c r="AN595" s="262"/>
      <c r="AO595" s="262"/>
      <c r="AP595" s="262"/>
      <c r="AQ595" s="262"/>
      <c r="AR595" s="262"/>
      <c r="AS595" s="262"/>
      <c r="AT595" s="262"/>
      <c r="AU595" s="262"/>
      <c r="AV595" s="262"/>
      <c r="AW595" s="262"/>
      <c r="AX595" s="262"/>
      <c r="AY595" s="262"/>
      <c r="AZ595" s="262"/>
      <c r="BA595" s="262"/>
      <c r="BB595" s="262"/>
      <c r="BC595" s="262"/>
      <c r="BD595" s="262"/>
      <c r="BE595" s="262"/>
      <c r="BF595" s="262"/>
      <c r="BG595" s="262"/>
      <c r="BH595" s="262"/>
      <c r="BI595" s="262"/>
      <c r="BJ595" s="262"/>
      <c r="BK595" s="262"/>
    </row>
    <row r="596" spans="1:63" ht="12.75" x14ac:dyDescent="0.2">
      <c r="A596" s="263"/>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262"/>
      <c r="AE596" s="262"/>
      <c r="AF596" s="262"/>
      <c r="AG596" s="262"/>
      <c r="AH596" s="262"/>
      <c r="AI596" s="262"/>
      <c r="AJ596" s="262"/>
      <c r="AK596" s="262"/>
      <c r="AL596" s="262"/>
      <c r="AM596" s="262"/>
      <c r="AN596" s="262"/>
      <c r="AO596" s="262"/>
      <c r="AP596" s="262"/>
      <c r="AQ596" s="262"/>
      <c r="AR596" s="262"/>
      <c r="AS596" s="262"/>
      <c r="AT596" s="262"/>
      <c r="AU596" s="262"/>
      <c r="AV596" s="262"/>
      <c r="AW596" s="262"/>
      <c r="AX596" s="262"/>
      <c r="AY596" s="262"/>
      <c r="AZ596" s="262"/>
      <c r="BA596" s="262"/>
      <c r="BB596" s="262"/>
      <c r="BC596" s="262"/>
      <c r="BD596" s="262"/>
      <c r="BE596" s="262"/>
      <c r="BF596" s="262"/>
      <c r="BG596" s="262"/>
      <c r="BH596" s="262"/>
      <c r="BI596" s="262"/>
      <c r="BJ596" s="262"/>
      <c r="BK596" s="262"/>
    </row>
    <row r="597" spans="1:63" ht="12.75" x14ac:dyDescent="0.2">
      <c r="A597" s="263"/>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262"/>
      <c r="AE597" s="262"/>
      <c r="AF597" s="262"/>
      <c r="AG597" s="262"/>
      <c r="AH597" s="262"/>
      <c r="AI597" s="262"/>
      <c r="AJ597" s="262"/>
      <c r="AK597" s="262"/>
      <c r="AL597" s="262"/>
      <c r="AM597" s="262"/>
      <c r="AN597" s="262"/>
      <c r="AO597" s="262"/>
      <c r="AP597" s="262"/>
      <c r="AQ597" s="262"/>
      <c r="AR597" s="262"/>
      <c r="AS597" s="262"/>
      <c r="AT597" s="262"/>
      <c r="AU597" s="262"/>
      <c r="AV597" s="262"/>
      <c r="AW597" s="262"/>
      <c r="AX597" s="262"/>
      <c r="AY597" s="262"/>
      <c r="AZ597" s="262"/>
      <c r="BA597" s="262"/>
      <c r="BB597" s="262"/>
      <c r="BC597" s="262"/>
      <c r="BD597" s="262"/>
      <c r="BE597" s="262"/>
      <c r="BF597" s="262"/>
      <c r="BG597" s="262"/>
      <c r="BH597" s="262"/>
      <c r="BI597" s="262"/>
      <c r="BJ597" s="262"/>
      <c r="BK597" s="262"/>
    </row>
    <row r="598" spans="1:63" ht="12.75" x14ac:dyDescent="0.2">
      <c r="A598" s="263"/>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262"/>
      <c r="AE598" s="262"/>
      <c r="AF598" s="262"/>
      <c r="AG598" s="262"/>
      <c r="AH598" s="262"/>
      <c r="AI598" s="262"/>
      <c r="AJ598" s="262"/>
      <c r="AK598" s="262"/>
      <c r="AL598" s="262"/>
      <c r="AM598" s="262"/>
      <c r="AN598" s="262"/>
      <c r="AO598" s="262"/>
      <c r="AP598" s="262"/>
      <c r="AQ598" s="262"/>
      <c r="AR598" s="262"/>
      <c r="AS598" s="262"/>
      <c r="AT598" s="262"/>
      <c r="AU598" s="262"/>
      <c r="AV598" s="262"/>
      <c r="AW598" s="262"/>
      <c r="AX598" s="262"/>
      <c r="AY598" s="262"/>
      <c r="AZ598" s="262"/>
      <c r="BA598" s="262"/>
      <c r="BB598" s="262"/>
      <c r="BC598" s="262"/>
      <c r="BD598" s="262"/>
      <c r="BE598" s="262"/>
      <c r="BF598" s="262"/>
      <c r="BG598" s="262"/>
      <c r="BH598" s="262"/>
      <c r="BI598" s="262"/>
      <c r="BJ598" s="262"/>
      <c r="BK598" s="262"/>
    </row>
    <row r="599" spans="1:63" ht="12.75" x14ac:dyDescent="0.2">
      <c r="A599" s="263"/>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F599" s="262"/>
      <c r="AG599" s="262"/>
      <c r="AH599" s="262"/>
      <c r="AI599" s="262"/>
      <c r="AJ599" s="262"/>
      <c r="AK599" s="262"/>
      <c r="AL599" s="262"/>
      <c r="AM599" s="262"/>
      <c r="AN599" s="262"/>
      <c r="AO599" s="262"/>
      <c r="AP599" s="262"/>
      <c r="AQ599" s="262"/>
      <c r="AR599" s="262"/>
      <c r="AS599" s="262"/>
      <c r="AT599" s="262"/>
      <c r="AU599" s="262"/>
      <c r="AV599" s="262"/>
      <c r="AW599" s="262"/>
      <c r="AX599" s="262"/>
      <c r="AY599" s="262"/>
      <c r="AZ599" s="262"/>
      <c r="BA599" s="262"/>
      <c r="BB599" s="262"/>
      <c r="BC599" s="262"/>
      <c r="BD599" s="262"/>
      <c r="BE599" s="262"/>
      <c r="BF599" s="262"/>
      <c r="BG599" s="262"/>
      <c r="BH599" s="262"/>
      <c r="BI599" s="262"/>
      <c r="BJ599" s="262"/>
      <c r="BK599" s="262"/>
    </row>
    <row r="600" spans="1:63" ht="12.75" x14ac:dyDescent="0.2">
      <c r="A600" s="263"/>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262"/>
      <c r="AF600" s="262"/>
      <c r="AG600" s="262"/>
      <c r="AH600" s="262"/>
      <c r="AI600" s="262"/>
      <c r="AJ600" s="262"/>
      <c r="AK600" s="262"/>
      <c r="AL600" s="262"/>
      <c r="AM600" s="262"/>
      <c r="AN600" s="262"/>
      <c r="AO600" s="262"/>
      <c r="AP600" s="262"/>
      <c r="AQ600" s="262"/>
      <c r="AR600" s="262"/>
      <c r="AS600" s="262"/>
      <c r="AT600" s="262"/>
      <c r="AU600" s="262"/>
      <c r="AV600" s="262"/>
      <c r="AW600" s="262"/>
      <c r="AX600" s="262"/>
      <c r="AY600" s="262"/>
      <c r="AZ600" s="262"/>
      <c r="BA600" s="262"/>
      <c r="BB600" s="262"/>
      <c r="BC600" s="262"/>
      <c r="BD600" s="262"/>
      <c r="BE600" s="262"/>
      <c r="BF600" s="262"/>
      <c r="BG600" s="262"/>
      <c r="BH600" s="262"/>
      <c r="BI600" s="262"/>
      <c r="BJ600" s="262"/>
      <c r="BK600" s="262"/>
    </row>
    <row r="601" spans="1:63" ht="12.75" x14ac:dyDescent="0.2">
      <c r="A601" s="263"/>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262"/>
      <c r="AE601" s="262"/>
      <c r="AF601" s="262"/>
      <c r="AG601" s="262"/>
      <c r="AH601" s="262"/>
      <c r="AI601" s="262"/>
      <c r="AJ601" s="262"/>
      <c r="AK601" s="262"/>
      <c r="AL601" s="262"/>
      <c r="AM601" s="262"/>
      <c r="AN601" s="262"/>
      <c r="AO601" s="262"/>
      <c r="AP601" s="262"/>
      <c r="AQ601" s="262"/>
      <c r="AR601" s="262"/>
      <c r="AS601" s="262"/>
      <c r="AT601" s="262"/>
      <c r="AU601" s="262"/>
      <c r="AV601" s="262"/>
      <c r="AW601" s="262"/>
      <c r="AX601" s="262"/>
      <c r="AY601" s="262"/>
      <c r="AZ601" s="262"/>
      <c r="BA601" s="262"/>
      <c r="BB601" s="262"/>
      <c r="BC601" s="262"/>
      <c r="BD601" s="262"/>
      <c r="BE601" s="262"/>
      <c r="BF601" s="262"/>
      <c r="BG601" s="262"/>
      <c r="BH601" s="262"/>
      <c r="BI601" s="262"/>
      <c r="BJ601" s="262"/>
      <c r="BK601" s="262"/>
    </row>
    <row r="602" spans="1:63" ht="12.75" x14ac:dyDescent="0.2">
      <c r="A602" s="263"/>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262"/>
      <c r="AE602" s="262"/>
      <c r="AF602" s="262"/>
      <c r="AG602" s="262"/>
      <c r="AH602" s="262"/>
      <c r="AI602" s="262"/>
      <c r="AJ602" s="262"/>
      <c r="AK602" s="262"/>
      <c r="AL602" s="262"/>
      <c r="AM602" s="262"/>
      <c r="AN602" s="262"/>
      <c r="AO602" s="262"/>
      <c r="AP602" s="262"/>
      <c r="AQ602" s="262"/>
      <c r="AR602" s="262"/>
      <c r="AS602" s="262"/>
      <c r="AT602" s="262"/>
      <c r="AU602" s="262"/>
      <c r="AV602" s="262"/>
      <c r="AW602" s="262"/>
      <c r="AX602" s="262"/>
      <c r="AY602" s="262"/>
      <c r="AZ602" s="262"/>
      <c r="BA602" s="262"/>
      <c r="BB602" s="262"/>
      <c r="BC602" s="262"/>
      <c r="BD602" s="262"/>
      <c r="BE602" s="262"/>
      <c r="BF602" s="262"/>
      <c r="BG602" s="262"/>
      <c r="BH602" s="262"/>
      <c r="BI602" s="262"/>
      <c r="BJ602" s="262"/>
      <c r="BK602" s="262"/>
    </row>
    <row r="603" spans="1:63" ht="12.75" x14ac:dyDescent="0.2">
      <c r="A603" s="263"/>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262"/>
      <c r="AE603" s="262"/>
      <c r="AF603" s="262"/>
      <c r="AG603" s="262"/>
      <c r="AH603" s="262"/>
      <c r="AI603" s="262"/>
      <c r="AJ603" s="262"/>
      <c r="AK603" s="262"/>
      <c r="AL603" s="262"/>
      <c r="AM603" s="262"/>
      <c r="AN603" s="262"/>
      <c r="AO603" s="262"/>
      <c r="AP603" s="262"/>
      <c r="AQ603" s="262"/>
      <c r="AR603" s="262"/>
      <c r="AS603" s="262"/>
      <c r="AT603" s="262"/>
      <c r="AU603" s="262"/>
      <c r="AV603" s="262"/>
      <c r="AW603" s="262"/>
      <c r="AX603" s="262"/>
      <c r="AY603" s="262"/>
      <c r="AZ603" s="262"/>
      <c r="BA603" s="262"/>
      <c r="BB603" s="262"/>
      <c r="BC603" s="262"/>
      <c r="BD603" s="262"/>
      <c r="BE603" s="262"/>
      <c r="BF603" s="262"/>
      <c r="BG603" s="262"/>
      <c r="BH603" s="262"/>
      <c r="BI603" s="262"/>
      <c r="BJ603" s="262"/>
      <c r="BK603" s="262"/>
    </row>
    <row r="604" spans="1:63" ht="12.75" x14ac:dyDescent="0.2">
      <c r="A604" s="263"/>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262"/>
      <c r="AE604" s="262"/>
      <c r="AF604" s="262"/>
      <c r="AG604" s="262"/>
      <c r="AH604" s="262"/>
      <c r="AI604" s="262"/>
      <c r="AJ604" s="262"/>
      <c r="AK604" s="262"/>
      <c r="AL604" s="262"/>
      <c r="AM604" s="262"/>
      <c r="AN604" s="262"/>
      <c r="AO604" s="262"/>
      <c r="AP604" s="262"/>
      <c r="AQ604" s="262"/>
      <c r="AR604" s="262"/>
      <c r="AS604" s="262"/>
      <c r="AT604" s="262"/>
      <c r="AU604" s="262"/>
      <c r="AV604" s="262"/>
      <c r="AW604" s="262"/>
      <c r="AX604" s="262"/>
      <c r="AY604" s="262"/>
      <c r="AZ604" s="262"/>
      <c r="BA604" s="262"/>
      <c r="BB604" s="262"/>
      <c r="BC604" s="262"/>
      <c r="BD604" s="262"/>
      <c r="BE604" s="262"/>
      <c r="BF604" s="262"/>
      <c r="BG604" s="262"/>
      <c r="BH604" s="262"/>
      <c r="BI604" s="262"/>
      <c r="BJ604" s="262"/>
      <c r="BK604" s="262"/>
    </row>
    <row r="605" spans="1:63" ht="12.75" x14ac:dyDescent="0.2">
      <c r="A605" s="263"/>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262"/>
      <c r="AE605" s="262"/>
      <c r="AF605" s="262"/>
      <c r="AG605" s="262"/>
      <c r="AH605" s="262"/>
      <c r="AI605" s="262"/>
      <c r="AJ605" s="262"/>
      <c r="AK605" s="262"/>
      <c r="AL605" s="262"/>
      <c r="AM605" s="262"/>
      <c r="AN605" s="262"/>
      <c r="AO605" s="262"/>
      <c r="AP605" s="262"/>
      <c r="AQ605" s="262"/>
      <c r="AR605" s="262"/>
      <c r="AS605" s="262"/>
      <c r="AT605" s="262"/>
      <c r="AU605" s="262"/>
      <c r="AV605" s="262"/>
      <c r="AW605" s="262"/>
      <c r="AX605" s="262"/>
      <c r="AY605" s="262"/>
      <c r="AZ605" s="262"/>
      <c r="BA605" s="262"/>
      <c r="BB605" s="262"/>
      <c r="BC605" s="262"/>
      <c r="BD605" s="262"/>
      <c r="BE605" s="262"/>
      <c r="BF605" s="262"/>
      <c r="BG605" s="262"/>
      <c r="BH605" s="262"/>
      <c r="BI605" s="262"/>
      <c r="BJ605" s="262"/>
      <c r="BK605" s="262"/>
    </row>
    <row r="606" spans="1:63" ht="12.75" x14ac:dyDescent="0.2">
      <c r="A606" s="263"/>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262"/>
      <c r="AE606" s="262"/>
      <c r="AF606" s="262"/>
      <c r="AG606" s="262"/>
      <c r="AH606" s="262"/>
      <c r="AI606" s="262"/>
      <c r="AJ606" s="262"/>
      <c r="AK606" s="262"/>
      <c r="AL606" s="262"/>
      <c r="AM606" s="262"/>
      <c r="AN606" s="262"/>
      <c r="AO606" s="262"/>
      <c r="AP606" s="262"/>
      <c r="AQ606" s="262"/>
      <c r="AR606" s="262"/>
      <c r="AS606" s="262"/>
      <c r="AT606" s="262"/>
      <c r="AU606" s="262"/>
      <c r="AV606" s="262"/>
      <c r="AW606" s="262"/>
      <c r="AX606" s="262"/>
      <c r="AY606" s="262"/>
      <c r="AZ606" s="262"/>
      <c r="BA606" s="262"/>
      <c r="BB606" s="262"/>
      <c r="BC606" s="262"/>
      <c r="BD606" s="262"/>
      <c r="BE606" s="262"/>
      <c r="BF606" s="262"/>
      <c r="BG606" s="262"/>
      <c r="BH606" s="262"/>
      <c r="BI606" s="262"/>
      <c r="BJ606" s="262"/>
      <c r="BK606" s="262"/>
    </row>
    <row r="607" spans="1:63" ht="12.75" x14ac:dyDescent="0.2">
      <c r="A607" s="263"/>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262"/>
      <c r="AE607" s="262"/>
      <c r="AF607" s="262"/>
      <c r="AG607" s="262"/>
      <c r="AH607" s="262"/>
      <c r="AI607" s="262"/>
      <c r="AJ607" s="262"/>
      <c r="AK607" s="262"/>
      <c r="AL607" s="262"/>
      <c r="AM607" s="262"/>
      <c r="AN607" s="262"/>
      <c r="AO607" s="262"/>
      <c r="AP607" s="262"/>
      <c r="AQ607" s="262"/>
      <c r="AR607" s="262"/>
      <c r="AS607" s="262"/>
      <c r="AT607" s="262"/>
      <c r="AU607" s="262"/>
      <c r="AV607" s="262"/>
      <c r="AW607" s="262"/>
      <c r="AX607" s="262"/>
      <c r="AY607" s="262"/>
      <c r="AZ607" s="262"/>
      <c r="BA607" s="262"/>
      <c r="BB607" s="262"/>
      <c r="BC607" s="262"/>
      <c r="BD607" s="262"/>
      <c r="BE607" s="262"/>
      <c r="BF607" s="262"/>
      <c r="BG607" s="262"/>
      <c r="BH607" s="262"/>
      <c r="BI607" s="262"/>
      <c r="BJ607" s="262"/>
      <c r="BK607" s="262"/>
    </row>
    <row r="608" spans="1:63" ht="12.75" x14ac:dyDescent="0.2">
      <c r="A608" s="263"/>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262"/>
      <c r="AE608" s="262"/>
      <c r="AF608" s="262"/>
      <c r="AG608" s="262"/>
      <c r="AH608" s="262"/>
      <c r="AI608" s="262"/>
      <c r="AJ608" s="262"/>
      <c r="AK608" s="262"/>
      <c r="AL608" s="262"/>
      <c r="AM608" s="262"/>
      <c r="AN608" s="262"/>
      <c r="AO608" s="262"/>
      <c r="AP608" s="262"/>
      <c r="AQ608" s="262"/>
      <c r="AR608" s="262"/>
      <c r="AS608" s="262"/>
      <c r="AT608" s="262"/>
      <c r="AU608" s="262"/>
      <c r="AV608" s="262"/>
      <c r="AW608" s="262"/>
      <c r="AX608" s="262"/>
      <c r="AY608" s="262"/>
      <c r="AZ608" s="262"/>
      <c r="BA608" s="262"/>
      <c r="BB608" s="262"/>
      <c r="BC608" s="262"/>
      <c r="BD608" s="262"/>
      <c r="BE608" s="262"/>
      <c r="BF608" s="262"/>
      <c r="BG608" s="262"/>
      <c r="BH608" s="262"/>
      <c r="BI608" s="262"/>
      <c r="BJ608" s="262"/>
      <c r="BK608" s="262"/>
    </row>
    <row r="609" spans="1:63" ht="12.75" x14ac:dyDescent="0.2">
      <c r="A609" s="263"/>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262"/>
      <c r="AE609" s="262"/>
      <c r="AF609" s="262"/>
      <c r="AG609" s="262"/>
      <c r="AH609" s="262"/>
      <c r="AI609" s="262"/>
      <c r="AJ609" s="262"/>
      <c r="AK609" s="262"/>
      <c r="AL609" s="262"/>
      <c r="AM609" s="262"/>
      <c r="AN609" s="262"/>
      <c r="AO609" s="262"/>
      <c r="AP609" s="262"/>
      <c r="AQ609" s="262"/>
      <c r="AR609" s="262"/>
      <c r="AS609" s="262"/>
      <c r="AT609" s="262"/>
      <c r="AU609" s="262"/>
      <c r="AV609" s="262"/>
      <c r="AW609" s="262"/>
      <c r="AX609" s="262"/>
      <c r="AY609" s="262"/>
      <c r="AZ609" s="262"/>
      <c r="BA609" s="262"/>
      <c r="BB609" s="262"/>
      <c r="BC609" s="262"/>
      <c r="BD609" s="262"/>
      <c r="BE609" s="262"/>
      <c r="BF609" s="262"/>
      <c r="BG609" s="262"/>
      <c r="BH609" s="262"/>
      <c r="BI609" s="262"/>
      <c r="BJ609" s="262"/>
      <c r="BK609" s="262"/>
    </row>
    <row r="610" spans="1:63" ht="12.75" x14ac:dyDescent="0.2">
      <c r="A610" s="263"/>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262"/>
      <c r="AE610" s="262"/>
      <c r="AF610" s="262"/>
      <c r="AG610" s="262"/>
      <c r="AH610" s="262"/>
      <c r="AI610" s="262"/>
      <c r="AJ610" s="262"/>
      <c r="AK610" s="262"/>
      <c r="AL610" s="262"/>
      <c r="AM610" s="262"/>
      <c r="AN610" s="262"/>
      <c r="AO610" s="262"/>
      <c r="AP610" s="262"/>
      <c r="AQ610" s="262"/>
      <c r="AR610" s="262"/>
      <c r="AS610" s="262"/>
      <c r="AT610" s="262"/>
      <c r="AU610" s="262"/>
      <c r="AV610" s="262"/>
      <c r="AW610" s="262"/>
      <c r="AX610" s="262"/>
      <c r="AY610" s="262"/>
      <c r="AZ610" s="262"/>
      <c r="BA610" s="262"/>
      <c r="BB610" s="262"/>
      <c r="BC610" s="262"/>
      <c r="BD610" s="262"/>
      <c r="BE610" s="262"/>
      <c r="BF610" s="262"/>
      <c r="BG610" s="262"/>
      <c r="BH610" s="262"/>
      <c r="BI610" s="262"/>
      <c r="BJ610" s="262"/>
      <c r="BK610" s="262"/>
    </row>
    <row r="611" spans="1:63" ht="12.75" x14ac:dyDescent="0.2">
      <c r="A611" s="263"/>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262"/>
      <c r="AE611" s="262"/>
      <c r="AF611" s="262"/>
      <c r="AG611" s="262"/>
      <c r="AH611" s="262"/>
      <c r="AI611" s="262"/>
      <c r="AJ611" s="262"/>
      <c r="AK611" s="262"/>
      <c r="AL611" s="262"/>
      <c r="AM611" s="262"/>
      <c r="AN611" s="262"/>
      <c r="AO611" s="262"/>
      <c r="AP611" s="262"/>
      <c r="AQ611" s="262"/>
      <c r="AR611" s="262"/>
      <c r="AS611" s="262"/>
      <c r="AT611" s="262"/>
      <c r="AU611" s="262"/>
      <c r="AV611" s="262"/>
      <c r="AW611" s="262"/>
      <c r="AX611" s="262"/>
      <c r="AY611" s="262"/>
      <c r="AZ611" s="262"/>
      <c r="BA611" s="262"/>
      <c r="BB611" s="262"/>
      <c r="BC611" s="262"/>
      <c r="BD611" s="262"/>
      <c r="BE611" s="262"/>
      <c r="BF611" s="262"/>
      <c r="BG611" s="262"/>
      <c r="BH611" s="262"/>
      <c r="BI611" s="262"/>
      <c r="BJ611" s="262"/>
      <c r="BK611" s="262"/>
    </row>
    <row r="612" spans="1:63" ht="12.75" x14ac:dyDescent="0.2">
      <c r="A612" s="263"/>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262"/>
      <c r="AF612" s="262"/>
      <c r="AG612" s="262"/>
      <c r="AH612" s="262"/>
      <c r="AI612" s="262"/>
      <c r="AJ612" s="262"/>
      <c r="AK612" s="262"/>
      <c r="AL612" s="262"/>
      <c r="AM612" s="262"/>
      <c r="AN612" s="262"/>
      <c r="AO612" s="262"/>
      <c r="AP612" s="262"/>
      <c r="AQ612" s="262"/>
      <c r="AR612" s="262"/>
      <c r="AS612" s="262"/>
      <c r="AT612" s="262"/>
      <c r="AU612" s="262"/>
      <c r="AV612" s="262"/>
      <c r="AW612" s="262"/>
      <c r="AX612" s="262"/>
      <c r="AY612" s="262"/>
      <c r="AZ612" s="262"/>
      <c r="BA612" s="262"/>
      <c r="BB612" s="262"/>
      <c r="BC612" s="262"/>
      <c r="BD612" s="262"/>
      <c r="BE612" s="262"/>
      <c r="BF612" s="262"/>
      <c r="BG612" s="262"/>
      <c r="BH612" s="262"/>
      <c r="BI612" s="262"/>
      <c r="BJ612" s="262"/>
      <c r="BK612" s="262"/>
    </row>
    <row r="613" spans="1:63" ht="12.75" x14ac:dyDescent="0.2">
      <c r="A613" s="263"/>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c r="AA613" s="262"/>
      <c r="AB613" s="262"/>
      <c r="AC613" s="262"/>
      <c r="AD613" s="262"/>
      <c r="AE613" s="262"/>
      <c r="AF613" s="262"/>
      <c r="AG613" s="262"/>
      <c r="AH613" s="262"/>
      <c r="AI613" s="262"/>
      <c r="AJ613" s="262"/>
      <c r="AK613" s="262"/>
      <c r="AL613" s="262"/>
      <c r="AM613" s="262"/>
      <c r="AN613" s="262"/>
      <c r="AO613" s="262"/>
      <c r="AP613" s="262"/>
      <c r="AQ613" s="262"/>
      <c r="AR613" s="262"/>
      <c r="AS613" s="262"/>
      <c r="AT613" s="262"/>
      <c r="AU613" s="262"/>
      <c r="AV613" s="262"/>
      <c r="AW613" s="262"/>
      <c r="AX613" s="262"/>
      <c r="AY613" s="262"/>
      <c r="AZ613" s="262"/>
      <c r="BA613" s="262"/>
      <c r="BB613" s="262"/>
      <c r="BC613" s="262"/>
      <c r="BD613" s="262"/>
      <c r="BE613" s="262"/>
      <c r="BF613" s="262"/>
      <c r="BG613" s="262"/>
      <c r="BH613" s="262"/>
      <c r="BI613" s="262"/>
      <c r="BJ613" s="262"/>
      <c r="BK613" s="262"/>
    </row>
    <row r="614" spans="1:63" ht="12.75" x14ac:dyDescent="0.2">
      <c r="A614" s="263"/>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c r="AA614" s="262"/>
      <c r="AB614" s="262"/>
      <c r="AC614" s="262"/>
      <c r="AD614" s="262"/>
      <c r="AE614" s="262"/>
      <c r="AF614" s="262"/>
      <c r="AG614" s="262"/>
      <c r="AH614" s="262"/>
      <c r="AI614" s="262"/>
      <c r="AJ614" s="262"/>
      <c r="AK614" s="262"/>
      <c r="AL614" s="262"/>
      <c r="AM614" s="262"/>
      <c r="AN614" s="262"/>
      <c r="AO614" s="262"/>
      <c r="AP614" s="262"/>
      <c r="AQ614" s="262"/>
      <c r="AR614" s="262"/>
      <c r="AS614" s="262"/>
      <c r="AT614" s="262"/>
      <c r="AU614" s="262"/>
      <c r="AV614" s="262"/>
      <c r="AW614" s="262"/>
      <c r="AX614" s="262"/>
      <c r="AY614" s="262"/>
      <c r="AZ614" s="262"/>
      <c r="BA614" s="262"/>
      <c r="BB614" s="262"/>
      <c r="BC614" s="262"/>
      <c r="BD614" s="262"/>
      <c r="BE614" s="262"/>
      <c r="BF614" s="262"/>
      <c r="BG614" s="262"/>
      <c r="BH614" s="262"/>
      <c r="BI614" s="262"/>
      <c r="BJ614" s="262"/>
      <c r="BK614" s="262"/>
    </row>
    <row r="615" spans="1:63" ht="12.75" x14ac:dyDescent="0.2">
      <c r="A615" s="263"/>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c r="AA615" s="262"/>
      <c r="AB615" s="262"/>
      <c r="AC615" s="262"/>
      <c r="AD615" s="262"/>
      <c r="AE615" s="262"/>
      <c r="AF615" s="262"/>
      <c r="AG615" s="262"/>
      <c r="AH615" s="262"/>
      <c r="AI615" s="262"/>
      <c r="AJ615" s="262"/>
      <c r="AK615" s="262"/>
      <c r="AL615" s="262"/>
      <c r="AM615" s="262"/>
      <c r="AN615" s="262"/>
      <c r="AO615" s="262"/>
      <c r="AP615" s="262"/>
      <c r="AQ615" s="262"/>
      <c r="AR615" s="262"/>
      <c r="AS615" s="262"/>
      <c r="AT615" s="262"/>
      <c r="AU615" s="262"/>
      <c r="AV615" s="262"/>
      <c r="AW615" s="262"/>
      <c r="AX615" s="262"/>
      <c r="AY615" s="262"/>
      <c r="AZ615" s="262"/>
      <c r="BA615" s="262"/>
      <c r="BB615" s="262"/>
      <c r="BC615" s="262"/>
      <c r="BD615" s="262"/>
      <c r="BE615" s="262"/>
      <c r="BF615" s="262"/>
      <c r="BG615" s="262"/>
      <c r="BH615" s="262"/>
      <c r="BI615" s="262"/>
      <c r="BJ615" s="262"/>
      <c r="BK615" s="262"/>
    </row>
    <row r="616" spans="1:63" ht="12.75" x14ac:dyDescent="0.2">
      <c r="A616" s="263"/>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262"/>
      <c r="AE616" s="262"/>
      <c r="AF616" s="262"/>
      <c r="AG616" s="262"/>
      <c r="AH616" s="262"/>
      <c r="AI616" s="262"/>
      <c r="AJ616" s="262"/>
      <c r="AK616" s="262"/>
      <c r="AL616" s="262"/>
      <c r="AM616" s="262"/>
      <c r="AN616" s="262"/>
      <c r="AO616" s="262"/>
      <c r="AP616" s="262"/>
      <c r="AQ616" s="262"/>
      <c r="AR616" s="262"/>
      <c r="AS616" s="262"/>
      <c r="AT616" s="262"/>
      <c r="AU616" s="262"/>
      <c r="AV616" s="262"/>
      <c r="AW616" s="262"/>
      <c r="AX616" s="262"/>
      <c r="AY616" s="262"/>
      <c r="AZ616" s="262"/>
      <c r="BA616" s="262"/>
      <c r="BB616" s="262"/>
      <c r="BC616" s="262"/>
      <c r="BD616" s="262"/>
      <c r="BE616" s="262"/>
      <c r="BF616" s="262"/>
      <c r="BG616" s="262"/>
      <c r="BH616" s="262"/>
      <c r="BI616" s="262"/>
      <c r="BJ616" s="262"/>
      <c r="BK616" s="262"/>
    </row>
    <row r="617" spans="1:63" ht="12.75" x14ac:dyDescent="0.2">
      <c r="A617" s="263"/>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62"/>
      <c r="AE617" s="262"/>
      <c r="AF617" s="262"/>
      <c r="AG617" s="262"/>
      <c r="AH617" s="262"/>
      <c r="AI617" s="262"/>
      <c r="AJ617" s="262"/>
      <c r="AK617" s="262"/>
      <c r="AL617" s="262"/>
      <c r="AM617" s="262"/>
      <c r="AN617" s="262"/>
      <c r="AO617" s="262"/>
      <c r="AP617" s="262"/>
      <c r="AQ617" s="262"/>
      <c r="AR617" s="262"/>
      <c r="AS617" s="262"/>
      <c r="AT617" s="262"/>
      <c r="AU617" s="262"/>
      <c r="AV617" s="262"/>
      <c r="AW617" s="262"/>
      <c r="AX617" s="262"/>
      <c r="AY617" s="262"/>
      <c r="AZ617" s="262"/>
      <c r="BA617" s="262"/>
      <c r="BB617" s="262"/>
      <c r="BC617" s="262"/>
      <c r="BD617" s="262"/>
      <c r="BE617" s="262"/>
      <c r="BF617" s="262"/>
      <c r="BG617" s="262"/>
      <c r="BH617" s="262"/>
      <c r="BI617" s="262"/>
      <c r="BJ617" s="262"/>
      <c r="BK617" s="262"/>
    </row>
    <row r="618" spans="1:63" ht="12.75" x14ac:dyDescent="0.2">
      <c r="A618" s="263"/>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262"/>
      <c r="AE618" s="262"/>
      <c r="AF618" s="262"/>
      <c r="AG618" s="262"/>
      <c r="AH618" s="262"/>
      <c r="AI618" s="262"/>
      <c r="AJ618" s="262"/>
      <c r="AK618" s="262"/>
      <c r="AL618" s="262"/>
      <c r="AM618" s="262"/>
      <c r="AN618" s="262"/>
      <c r="AO618" s="262"/>
      <c r="AP618" s="262"/>
      <c r="AQ618" s="262"/>
      <c r="AR618" s="262"/>
      <c r="AS618" s="262"/>
      <c r="AT618" s="262"/>
      <c r="AU618" s="262"/>
      <c r="AV618" s="262"/>
      <c r="AW618" s="262"/>
      <c r="AX618" s="262"/>
      <c r="AY618" s="262"/>
      <c r="AZ618" s="262"/>
      <c r="BA618" s="262"/>
      <c r="BB618" s="262"/>
      <c r="BC618" s="262"/>
      <c r="BD618" s="262"/>
      <c r="BE618" s="262"/>
      <c r="BF618" s="262"/>
      <c r="BG618" s="262"/>
      <c r="BH618" s="262"/>
      <c r="BI618" s="262"/>
      <c r="BJ618" s="262"/>
      <c r="BK618" s="262"/>
    </row>
    <row r="619" spans="1:63" ht="12.75" x14ac:dyDescent="0.2">
      <c r="A619" s="263"/>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262"/>
      <c r="AF619" s="262"/>
      <c r="AG619" s="262"/>
      <c r="AH619" s="262"/>
      <c r="AI619" s="262"/>
      <c r="AJ619" s="262"/>
      <c r="AK619" s="262"/>
      <c r="AL619" s="262"/>
      <c r="AM619" s="262"/>
      <c r="AN619" s="262"/>
      <c r="AO619" s="262"/>
      <c r="AP619" s="262"/>
      <c r="AQ619" s="262"/>
      <c r="AR619" s="262"/>
      <c r="AS619" s="262"/>
      <c r="AT619" s="262"/>
      <c r="AU619" s="262"/>
      <c r="AV619" s="262"/>
      <c r="AW619" s="262"/>
      <c r="AX619" s="262"/>
      <c r="AY619" s="262"/>
      <c r="AZ619" s="262"/>
      <c r="BA619" s="262"/>
      <c r="BB619" s="262"/>
      <c r="BC619" s="262"/>
      <c r="BD619" s="262"/>
      <c r="BE619" s="262"/>
      <c r="BF619" s="262"/>
      <c r="BG619" s="262"/>
      <c r="BH619" s="262"/>
      <c r="BI619" s="262"/>
      <c r="BJ619" s="262"/>
      <c r="BK619" s="262"/>
    </row>
    <row r="620" spans="1:63" ht="12.75" x14ac:dyDescent="0.2">
      <c r="A620" s="263"/>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262"/>
      <c r="AE620" s="262"/>
      <c r="AF620" s="262"/>
      <c r="AG620" s="262"/>
      <c r="AH620" s="262"/>
      <c r="AI620" s="262"/>
      <c r="AJ620" s="262"/>
      <c r="AK620" s="262"/>
      <c r="AL620" s="262"/>
      <c r="AM620" s="262"/>
      <c r="AN620" s="262"/>
      <c r="AO620" s="262"/>
      <c r="AP620" s="262"/>
      <c r="AQ620" s="262"/>
      <c r="AR620" s="262"/>
      <c r="AS620" s="262"/>
      <c r="AT620" s="262"/>
      <c r="AU620" s="262"/>
      <c r="AV620" s="262"/>
      <c r="AW620" s="262"/>
      <c r="AX620" s="262"/>
      <c r="AY620" s="262"/>
      <c r="AZ620" s="262"/>
      <c r="BA620" s="262"/>
      <c r="BB620" s="262"/>
      <c r="BC620" s="262"/>
      <c r="BD620" s="262"/>
      <c r="BE620" s="262"/>
      <c r="BF620" s="262"/>
      <c r="BG620" s="262"/>
      <c r="BH620" s="262"/>
      <c r="BI620" s="262"/>
      <c r="BJ620" s="262"/>
      <c r="BK620" s="262"/>
    </row>
    <row r="621" spans="1:63" ht="12.75" x14ac:dyDescent="0.2">
      <c r="A621" s="263"/>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262"/>
      <c r="AF621" s="262"/>
      <c r="AG621" s="262"/>
      <c r="AH621" s="262"/>
      <c r="AI621" s="262"/>
      <c r="AJ621" s="262"/>
      <c r="AK621" s="262"/>
      <c r="AL621" s="262"/>
      <c r="AM621" s="262"/>
      <c r="AN621" s="262"/>
      <c r="AO621" s="262"/>
      <c r="AP621" s="262"/>
      <c r="AQ621" s="262"/>
      <c r="AR621" s="262"/>
      <c r="AS621" s="262"/>
      <c r="AT621" s="262"/>
      <c r="AU621" s="262"/>
      <c r="AV621" s="262"/>
      <c r="AW621" s="262"/>
      <c r="AX621" s="262"/>
      <c r="AY621" s="262"/>
      <c r="AZ621" s="262"/>
      <c r="BA621" s="262"/>
      <c r="BB621" s="262"/>
      <c r="BC621" s="262"/>
      <c r="BD621" s="262"/>
      <c r="BE621" s="262"/>
      <c r="BF621" s="262"/>
      <c r="BG621" s="262"/>
      <c r="BH621" s="262"/>
      <c r="BI621" s="262"/>
      <c r="BJ621" s="262"/>
      <c r="BK621" s="262"/>
    </row>
    <row r="622" spans="1:63" ht="12.75" x14ac:dyDescent="0.2">
      <c r="A622" s="263"/>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c r="AA622" s="262"/>
      <c r="AB622" s="262"/>
      <c r="AC622" s="262"/>
      <c r="AD622" s="262"/>
      <c r="AE622" s="262"/>
      <c r="AF622" s="262"/>
      <c r="AG622" s="262"/>
      <c r="AH622" s="262"/>
      <c r="AI622" s="262"/>
      <c r="AJ622" s="262"/>
      <c r="AK622" s="262"/>
      <c r="AL622" s="262"/>
      <c r="AM622" s="262"/>
      <c r="AN622" s="262"/>
      <c r="AO622" s="262"/>
      <c r="AP622" s="262"/>
      <c r="AQ622" s="262"/>
      <c r="AR622" s="262"/>
      <c r="AS622" s="262"/>
      <c r="AT622" s="262"/>
      <c r="AU622" s="262"/>
      <c r="AV622" s="262"/>
      <c r="AW622" s="262"/>
      <c r="AX622" s="262"/>
      <c r="AY622" s="262"/>
      <c r="AZ622" s="262"/>
      <c r="BA622" s="262"/>
      <c r="BB622" s="262"/>
      <c r="BC622" s="262"/>
      <c r="BD622" s="262"/>
      <c r="BE622" s="262"/>
      <c r="BF622" s="262"/>
      <c r="BG622" s="262"/>
      <c r="BH622" s="262"/>
      <c r="BI622" s="262"/>
      <c r="BJ622" s="262"/>
      <c r="BK622" s="262"/>
    </row>
    <row r="623" spans="1:63" ht="12.75" x14ac:dyDescent="0.2">
      <c r="A623" s="263"/>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c r="AA623" s="262"/>
      <c r="AB623" s="262"/>
      <c r="AC623" s="262"/>
      <c r="AD623" s="262"/>
      <c r="AE623" s="262"/>
      <c r="AF623" s="262"/>
      <c r="AG623" s="262"/>
      <c r="AH623" s="262"/>
      <c r="AI623" s="262"/>
      <c r="AJ623" s="262"/>
      <c r="AK623" s="262"/>
      <c r="AL623" s="262"/>
      <c r="AM623" s="262"/>
      <c r="AN623" s="262"/>
      <c r="AO623" s="262"/>
      <c r="AP623" s="262"/>
      <c r="AQ623" s="262"/>
      <c r="AR623" s="262"/>
      <c r="AS623" s="262"/>
      <c r="AT623" s="262"/>
      <c r="AU623" s="262"/>
      <c r="AV623" s="262"/>
      <c r="AW623" s="262"/>
      <c r="AX623" s="262"/>
      <c r="AY623" s="262"/>
      <c r="AZ623" s="262"/>
      <c r="BA623" s="262"/>
      <c r="BB623" s="262"/>
      <c r="BC623" s="262"/>
      <c r="BD623" s="262"/>
      <c r="BE623" s="262"/>
      <c r="BF623" s="262"/>
      <c r="BG623" s="262"/>
      <c r="BH623" s="262"/>
      <c r="BI623" s="262"/>
      <c r="BJ623" s="262"/>
      <c r="BK623" s="262"/>
    </row>
    <row r="624" spans="1:63" ht="12.75" x14ac:dyDescent="0.2">
      <c r="A624" s="263"/>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c r="AA624" s="262"/>
      <c r="AB624" s="262"/>
      <c r="AC624" s="262"/>
      <c r="AD624" s="262"/>
      <c r="AE624" s="262"/>
      <c r="AF624" s="262"/>
      <c r="AG624" s="262"/>
      <c r="AH624" s="262"/>
      <c r="AI624" s="262"/>
      <c r="AJ624" s="262"/>
      <c r="AK624" s="262"/>
      <c r="AL624" s="262"/>
      <c r="AM624" s="262"/>
      <c r="AN624" s="262"/>
      <c r="AO624" s="262"/>
      <c r="AP624" s="262"/>
      <c r="AQ624" s="262"/>
      <c r="AR624" s="262"/>
      <c r="AS624" s="262"/>
      <c r="AT624" s="262"/>
      <c r="AU624" s="262"/>
      <c r="AV624" s="262"/>
      <c r="AW624" s="262"/>
      <c r="AX624" s="262"/>
      <c r="AY624" s="262"/>
      <c r="AZ624" s="262"/>
      <c r="BA624" s="262"/>
      <c r="BB624" s="262"/>
      <c r="BC624" s="262"/>
      <c r="BD624" s="262"/>
      <c r="BE624" s="262"/>
      <c r="BF624" s="262"/>
      <c r="BG624" s="262"/>
      <c r="BH624" s="262"/>
      <c r="BI624" s="262"/>
      <c r="BJ624" s="262"/>
      <c r="BK624" s="262"/>
    </row>
    <row r="625" spans="1:63" ht="12.75" x14ac:dyDescent="0.2">
      <c r="A625" s="263"/>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c r="AA625" s="262"/>
      <c r="AB625" s="262"/>
      <c r="AC625" s="262"/>
      <c r="AD625" s="262"/>
      <c r="AE625" s="262"/>
      <c r="AF625" s="262"/>
      <c r="AG625" s="262"/>
      <c r="AH625" s="262"/>
      <c r="AI625" s="262"/>
      <c r="AJ625" s="262"/>
      <c r="AK625" s="262"/>
      <c r="AL625" s="262"/>
      <c r="AM625" s="262"/>
      <c r="AN625" s="262"/>
      <c r="AO625" s="262"/>
      <c r="AP625" s="262"/>
      <c r="AQ625" s="262"/>
      <c r="AR625" s="262"/>
      <c r="AS625" s="262"/>
      <c r="AT625" s="262"/>
      <c r="AU625" s="262"/>
      <c r="AV625" s="262"/>
      <c r="AW625" s="262"/>
      <c r="AX625" s="262"/>
      <c r="AY625" s="262"/>
      <c r="AZ625" s="262"/>
      <c r="BA625" s="262"/>
      <c r="BB625" s="262"/>
      <c r="BC625" s="262"/>
      <c r="BD625" s="262"/>
      <c r="BE625" s="262"/>
      <c r="BF625" s="262"/>
      <c r="BG625" s="262"/>
      <c r="BH625" s="262"/>
      <c r="BI625" s="262"/>
      <c r="BJ625" s="262"/>
      <c r="BK625" s="262"/>
    </row>
    <row r="626" spans="1:63" ht="12.75" x14ac:dyDescent="0.2">
      <c r="A626" s="263"/>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c r="AA626" s="262"/>
      <c r="AB626" s="262"/>
      <c r="AC626" s="262"/>
      <c r="AD626" s="262"/>
      <c r="AE626" s="262"/>
      <c r="AF626" s="262"/>
      <c r="AG626" s="262"/>
      <c r="AH626" s="262"/>
      <c r="AI626" s="262"/>
      <c r="AJ626" s="262"/>
      <c r="AK626" s="262"/>
      <c r="AL626" s="262"/>
      <c r="AM626" s="262"/>
      <c r="AN626" s="262"/>
      <c r="AO626" s="262"/>
      <c r="AP626" s="262"/>
      <c r="AQ626" s="262"/>
      <c r="AR626" s="262"/>
      <c r="AS626" s="262"/>
      <c r="AT626" s="262"/>
      <c r="AU626" s="262"/>
      <c r="AV626" s="262"/>
      <c r="AW626" s="262"/>
      <c r="AX626" s="262"/>
      <c r="AY626" s="262"/>
      <c r="AZ626" s="262"/>
      <c r="BA626" s="262"/>
      <c r="BB626" s="262"/>
      <c r="BC626" s="262"/>
      <c r="BD626" s="262"/>
      <c r="BE626" s="262"/>
      <c r="BF626" s="262"/>
      <c r="BG626" s="262"/>
      <c r="BH626" s="262"/>
      <c r="BI626" s="262"/>
      <c r="BJ626" s="262"/>
      <c r="BK626" s="262"/>
    </row>
    <row r="627" spans="1:63" ht="12.75" x14ac:dyDescent="0.2">
      <c r="A627" s="263"/>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c r="AA627" s="262"/>
      <c r="AB627" s="262"/>
      <c r="AC627" s="262"/>
      <c r="AD627" s="262"/>
      <c r="AE627" s="262"/>
      <c r="AF627" s="262"/>
      <c r="AG627" s="262"/>
      <c r="AH627" s="262"/>
      <c r="AI627" s="262"/>
      <c r="AJ627" s="262"/>
      <c r="AK627" s="262"/>
      <c r="AL627" s="262"/>
      <c r="AM627" s="262"/>
      <c r="AN627" s="262"/>
      <c r="AO627" s="262"/>
      <c r="AP627" s="262"/>
      <c r="AQ627" s="262"/>
      <c r="AR627" s="262"/>
      <c r="AS627" s="262"/>
      <c r="AT627" s="262"/>
      <c r="AU627" s="262"/>
      <c r="AV627" s="262"/>
      <c r="AW627" s="262"/>
      <c r="AX627" s="262"/>
      <c r="AY627" s="262"/>
      <c r="AZ627" s="262"/>
      <c r="BA627" s="262"/>
      <c r="BB627" s="262"/>
      <c r="BC627" s="262"/>
      <c r="BD627" s="262"/>
      <c r="BE627" s="262"/>
      <c r="BF627" s="262"/>
      <c r="BG627" s="262"/>
      <c r="BH627" s="262"/>
      <c r="BI627" s="262"/>
      <c r="BJ627" s="262"/>
      <c r="BK627" s="262"/>
    </row>
    <row r="628" spans="1:63" ht="12.75" x14ac:dyDescent="0.2">
      <c r="A628" s="263"/>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262"/>
      <c r="AF628" s="262"/>
      <c r="AG628" s="262"/>
      <c r="AH628" s="262"/>
      <c r="AI628" s="262"/>
      <c r="AJ628" s="262"/>
      <c r="AK628" s="262"/>
      <c r="AL628" s="262"/>
      <c r="AM628" s="262"/>
      <c r="AN628" s="262"/>
      <c r="AO628" s="262"/>
      <c r="AP628" s="262"/>
      <c r="AQ628" s="262"/>
      <c r="AR628" s="262"/>
      <c r="AS628" s="262"/>
      <c r="AT628" s="262"/>
      <c r="AU628" s="262"/>
      <c r="AV628" s="262"/>
      <c r="AW628" s="262"/>
      <c r="AX628" s="262"/>
      <c r="AY628" s="262"/>
      <c r="AZ628" s="262"/>
      <c r="BA628" s="262"/>
      <c r="BB628" s="262"/>
      <c r="BC628" s="262"/>
      <c r="BD628" s="262"/>
      <c r="BE628" s="262"/>
      <c r="BF628" s="262"/>
      <c r="BG628" s="262"/>
      <c r="BH628" s="262"/>
      <c r="BI628" s="262"/>
      <c r="BJ628" s="262"/>
      <c r="BK628" s="262"/>
    </row>
    <row r="629" spans="1:63" ht="12.75" x14ac:dyDescent="0.2">
      <c r="A629" s="263"/>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262"/>
      <c r="AE629" s="262"/>
      <c r="AF629" s="262"/>
      <c r="AG629" s="262"/>
      <c r="AH629" s="262"/>
      <c r="AI629" s="262"/>
      <c r="AJ629" s="262"/>
      <c r="AK629" s="262"/>
      <c r="AL629" s="262"/>
      <c r="AM629" s="262"/>
      <c r="AN629" s="262"/>
      <c r="AO629" s="262"/>
      <c r="AP629" s="262"/>
      <c r="AQ629" s="262"/>
      <c r="AR629" s="262"/>
      <c r="AS629" s="262"/>
      <c r="AT629" s="262"/>
      <c r="AU629" s="262"/>
      <c r="AV629" s="262"/>
      <c r="AW629" s="262"/>
      <c r="AX629" s="262"/>
      <c r="AY629" s="262"/>
      <c r="AZ629" s="262"/>
      <c r="BA629" s="262"/>
      <c r="BB629" s="262"/>
      <c r="BC629" s="262"/>
      <c r="BD629" s="262"/>
      <c r="BE629" s="262"/>
      <c r="BF629" s="262"/>
      <c r="BG629" s="262"/>
      <c r="BH629" s="262"/>
      <c r="BI629" s="262"/>
      <c r="BJ629" s="262"/>
      <c r="BK629" s="262"/>
    </row>
    <row r="630" spans="1:63" ht="12.75" x14ac:dyDescent="0.2">
      <c r="A630" s="263"/>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F630" s="262"/>
      <c r="AG630" s="262"/>
      <c r="AH630" s="262"/>
      <c r="AI630" s="262"/>
      <c r="AJ630" s="262"/>
      <c r="AK630" s="262"/>
      <c r="AL630" s="262"/>
      <c r="AM630" s="262"/>
      <c r="AN630" s="262"/>
      <c r="AO630" s="262"/>
      <c r="AP630" s="262"/>
      <c r="AQ630" s="262"/>
      <c r="AR630" s="262"/>
      <c r="AS630" s="262"/>
      <c r="AT630" s="262"/>
      <c r="AU630" s="262"/>
      <c r="AV630" s="262"/>
      <c r="AW630" s="262"/>
      <c r="AX630" s="262"/>
      <c r="AY630" s="262"/>
      <c r="AZ630" s="262"/>
      <c r="BA630" s="262"/>
      <c r="BB630" s="262"/>
      <c r="BC630" s="262"/>
      <c r="BD630" s="262"/>
      <c r="BE630" s="262"/>
      <c r="BF630" s="262"/>
      <c r="BG630" s="262"/>
      <c r="BH630" s="262"/>
      <c r="BI630" s="262"/>
      <c r="BJ630" s="262"/>
      <c r="BK630" s="262"/>
    </row>
    <row r="631" spans="1:63" ht="12.75" x14ac:dyDescent="0.2">
      <c r="A631" s="263"/>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262"/>
      <c r="AE631" s="262"/>
      <c r="AF631" s="262"/>
      <c r="AG631" s="262"/>
      <c r="AH631" s="262"/>
      <c r="AI631" s="262"/>
      <c r="AJ631" s="262"/>
      <c r="AK631" s="262"/>
      <c r="AL631" s="262"/>
      <c r="AM631" s="262"/>
      <c r="AN631" s="262"/>
      <c r="AO631" s="262"/>
      <c r="AP631" s="262"/>
      <c r="AQ631" s="262"/>
      <c r="AR631" s="262"/>
      <c r="AS631" s="262"/>
      <c r="AT631" s="262"/>
      <c r="AU631" s="262"/>
      <c r="AV631" s="262"/>
      <c r="AW631" s="262"/>
      <c r="AX631" s="262"/>
      <c r="AY631" s="262"/>
      <c r="AZ631" s="262"/>
      <c r="BA631" s="262"/>
      <c r="BB631" s="262"/>
      <c r="BC631" s="262"/>
      <c r="BD631" s="262"/>
      <c r="BE631" s="262"/>
      <c r="BF631" s="262"/>
      <c r="BG631" s="262"/>
      <c r="BH631" s="262"/>
      <c r="BI631" s="262"/>
      <c r="BJ631" s="262"/>
      <c r="BK631" s="262"/>
    </row>
    <row r="632" spans="1:63" ht="12.75" x14ac:dyDescent="0.2">
      <c r="A632" s="263"/>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262"/>
      <c r="AE632" s="262"/>
      <c r="AF632" s="262"/>
      <c r="AG632" s="262"/>
      <c r="AH632" s="262"/>
      <c r="AI632" s="262"/>
      <c r="AJ632" s="262"/>
      <c r="AK632" s="262"/>
      <c r="AL632" s="262"/>
      <c r="AM632" s="262"/>
      <c r="AN632" s="262"/>
      <c r="AO632" s="262"/>
      <c r="AP632" s="262"/>
      <c r="AQ632" s="262"/>
      <c r="AR632" s="262"/>
      <c r="AS632" s="262"/>
      <c r="AT632" s="262"/>
      <c r="AU632" s="262"/>
      <c r="AV632" s="262"/>
      <c r="AW632" s="262"/>
      <c r="AX632" s="262"/>
      <c r="AY632" s="262"/>
      <c r="AZ632" s="262"/>
      <c r="BA632" s="262"/>
      <c r="BB632" s="262"/>
      <c r="BC632" s="262"/>
      <c r="BD632" s="262"/>
      <c r="BE632" s="262"/>
      <c r="BF632" s="262"/>
      <c r="BG632" s="262"/>
      <c r="BH632" s="262"/>
      <c r="BI632" s="262"/>
      <c r="BJ632" s="262"/>
      <c r="BK632" s="262"/>
    </row>
    <row r="633" spans="1:63" ht="12.75" x14ac:dyDescent="0.2">
      <c r="A633" s="263"/>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262"/>
      <c r="AE633" s="262"/>
      <c r="AF633" s="262"/>
      <c r="AG633" s="262"/>
      <c r="AH633" s="262"/>
      <c r="AI633" s="262"/>
      <c r="AJ633" s="262"/>
      <c r="AK633" s="262"/>
      <c r="AL633" s="262"/>
      <c r="AM633" s="262"/>
      <c r="AN633" s="262"/>
      <c r="AO633" s="262"/>
      <c r="AP633" s="262"/>
      <c r="AQ633" s="262"/>
      <c r="AR633" s="262"/>
      <c r="AS633" s="262"/>
      <c r="AT633" s="262"/>
      <c r="AU633" s="262"/>
      <c r="AV633" s="262"/>
      <c r="AW633" s="262"/>
      <c r="AX633" s="262"/>
      <c r="AY633" s="262"/>
      <c r="AZ633" s="262"/>
      <c r="BA633" s="262"/>
      <c r="BB633" s="262"/>
      <c r="BC633" s="262"/>
      <c r="BD633" s="262"/>
      <c r="BE633" s="262"/>
      <c r="BF633" s="262"/>
      <c r="BG633" s="262"/>
      <c r="BH633" s="262"/>
      <c r="BI633" s="262"/>
      <c r="BJ633" s="262"/>
      <c r="BK633" s="262"/>
    </row>
    <row r="634" spans="1:63" ht="12.75" x14ac:dyDescent="0.2">
      <c r="A634" s="263"/>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262"/>
      <c r="AE634" s="262"/>
      <c r="AF634" s="262"/>
      <c r="AG634" s="262"/>
      <c r="AH634" s="262"/>
      <c r="AI634" s="262"/>
      <c r="AJ634" s="262"/>
      <c r="AK634" s="262"/>
      <c r="AL634" s="262"/>
      <c r="AM634" s="262"/>
      <c r="AN634" s="262"/>
      <c r="AO634" s="262"/>
      <c r="AP634" s="262"/>
      <c r="AQ634" s="262"/>
      <c r="AR634" s="262"/>
      <c r="AS634" s="262"/>
      <c r="AT634" s="262"/>
      <c r="AU634" s="262"/>
      <c r="AV634" s="262"/>
      <c r="AW634" s="262"/>
      <c r="AX634" s="262"/>
      <c r="AY634" s="262"/>
      <c r="AZ634" s="262"/>
      <c r="BA634" s="262"/>
      <c r="BB634" s="262"/>
      <c r="BC634" s="262"/>
      <c r="BD634" s="262"/>
      <c r="BE634" s="262"/>
      <c r="BF634" s="262"/>
      <c r="BG634" s="262"/>
      <c r="BH634" s="262"/>
      <c r="BI634" s="262"/>
      <c r="BJ634" s="262"/>
      <c r="BK634" s="262"/>
    </row>
    <row r="635" spans="1:63" ht="12.75" x14ac:dyDescent="0.2">
      <c r="A635" s="263"/>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262"/>
      <c r="AE635" s="262"/>
      <c r="AF635" s="262"/>
      <c r="AG635" s="262"/>
      <c r="AH635" s="262"/>
      <c r="AI635" s="262"/>
      <c r="AJ635" s="262"/>
      <c r="AK635" s="262"/>
      <c r="AL635" s="262"/>
      <c r="AM635" s="262"/>
      <c r="AN635" s="262"/>
      <c r="AO635" s="262"/>
      <c r="AP635" s="262"/>
      <c r="AQ635" s="262"/>
      <c r="AR635" s="262"/>
      <c r="AS635" s="262"/>
      <c r="AT635" s="262"/>
      <c r="AU635" s="262"/>
      <c r="AV635" s="262"/>
      <c r="AW635" s="262"/>
      <c r="AX635" s="262"/>
      <c r="AY635" s="262"/>
      <c r="AZ635" s="262"/>
      <c r="BA635" s="262"/>
      <c r="BB635" s="262"/>
      <c r="BC635" s="262"/>
      <c r="BD635" s="262"/>
      <c r="BE635" s="262"/>
      <c r="BF635" s="262"/>
      <c r="BG635" s="262"/>
      <c r="BH635" s="262"/>
      <c r="BI635" s="262"/>
      <c r="BJ635" s="262"/>
      <c r="BK635" s="262"/>
    </row>
    <row r="636" spans="1:63" ht="12.75" x14ac:dyDescent="0.2">
      <c r="A636" s="263"/>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262"/>
      <c r="AE636" s="262"/>
      <c r="AF636" s="262"/>
      <c r="AG636" s="262"/>
      <c r="AH636" s="262"/>
      <c r="AI636" s="262"/>
      <c r="AJ636" s="262"/>
      <c r="AK636" s="262"/>
      <c r="AL636" s="262"/>
      <c r="AM636" s="262"/>
      <c r="AN636" s="262"/>
      <c r="AO636" s="262"/>
      <c r="AP636" s="262"/>
      <c r="AQ636" s="262"/>
      <c r="AR636" s="262"/>
      <c r="AS636" s="262"/>
      <c r="AT636" s="262"/>
      <c r="AU636" s="262"/>
      <c r="AV636" s="262"/>
      <c r="AW636" s="262"/>
      <c r="AX636" s="262"/>
      <c r="AY636" s="262"/>
      <c r="AZ636" s="262"/>
      <c r="BA636" s="262"/>
      <c r="BB636" s="262"/>
      <c r="BC636" s="262"/>
      <c r="BD636" s="262"/>
      <c r="BE636" s="262"/>
      <c r="BF636" s="262"/>
      <c r="BG636" s="262"/>
      <c r="BH636" s="262"/>
      <c r="BI636" s="262"/>
      <c r="BJ636" s="262"/>
      <c r="BK636" s="262"/>
    </row>
    <row r="637" spans="1:63" ht="12.75" x14ac:dyDescent="0.2">
      <c r="A637" s="263"/>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262"/>
      <c r="AE637" s="262"/>
      <c r="AF637" s="262"/>
      <c r="AG637" s="262"/>
      <c r="AH637" s="262"/>
      <c r="AI637" s="262"/>
      <c r="AJ637" s="262"/>
      <c r="AK637" s="262"/>
      <c r="AL637" s="262"/>
      <c r="AM637" s="262"/>
      <c r="AN637" s="262"/>
      <c r="AO637" s="262"/>
      <c r="AP637" s="262"/>
      <c r="AQ637" s="262"/>
      <c r="AR637" s="262"/>
      <c r="AS637" s="262"/>
      <c r="AT637" s="262"/>
      <c r="AU637" s="262"/>
      <c r="AV637" s="262"/>
      <c r="AW637" s="262"/>
      <c r="AX637" s="262"/>
      <c r="AY637" s="262"/>
      <c r="AZ637" s="262"/>
      <c r="BA637" s="262"/>
      <c r="BB637" s="262"/>
      <c r="BC637" s="262"/>
      <c r="BD637" s="262"/>
      <c r="BE637" s="262"/>
      <c r="BF637" s="262"/>
      <c r="BG637" s="262"/>
      <c r="BH637" s="262"/>
      <c r="BI637" s="262"/>
      <c r="BJ637" s="262"/>
      <c r="BK637" s="262"/>
    </row>
    <row r="638" spans="1:63" ht="12.75" x14ac:dyDescent="0.2">
      <c r="A638" s="263"/>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262"/>
      <c r="AE638" s="262"/>
      <c r="AF638" s="262"/>
      <c r="AG638" s="262"/>
      <c r="AH638" s="262"/>
      <c r="AI638" s="262"/>
      <c r="AJ638" s="262"/>
      <c r="AK638" s="262"/>
      <c r="AL638" s="262"/>
      <c r="AM638" s="262"/>
      <c r="AN638" s="262"/>
      <c r="AO638" s="262"/>
      <c r="AP638" s="262"/>
      <c r="AQ638" s="262"/>
      <c r="AR638" s="262"/>
      <c r="AS638" s="262"/>
      <c r="AT638" s="262"/>
      <c r="AU638" s="262"/>
      <c r="AV638" s="262"/>
      <c r="AW638" s="262"/>
      <c r="AX638" s="262"/>
      <c r="AY638" s="262"/>
      <c r="AZ638" s="262"/>
      <c r="BA638" s="262"/>
      <c r="BB638" s="262"/>
      <c r="BC638" s="262"/>
      <c r="BD638" s="262"/>
      <c r="BE638" s="262"/>
      <c r="BF638" s="262"/>
      <c r="BG638" s="262"/>
      <c r="BH638" s="262"/>
      <c r="BI638" s="262"/>
      <c r="BJ638" s="262"/>
      <c r="BK638" s="262"/>
    </row>
    <row r="639" spans="1:63" ht="12.75" x14ac:dyDescent="0.2">
      <c r="A639" s="263"/>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262"/>
      <c r="AE639" s="262"/>
      <c r="AF639" s="262"/>
      <c r="AG639" s="262"/>
      <c r="AH639" s="262"/>
      <c r="AI639" s="262"/>
      <c r="AJ639" s="262"/>
      <c r="AK639" s="262"/>
      <c r="AL639" s="262"/>
      <c r="AM639" s="262"/>
      <c r="AN639" s="262"/>
      <c r="AO639" s="262"/>
      <c r="AP639" s="262"/>
      <c r="AQ639" s="262"/>
      <c r="AR639" s="262"/>
      <c r="AS639" s="262"/>
      <c r="AT639" s="262"/>
      <c r="AU639" s="262"/>
      <c r="AV639" s="262"/>
      <c r="AW639" s="262"/>
      <c r="AX639" s="262"/>
      <c r="AY639" s="262"/>
      <c r="AZ639" s="262"/>
      <c r="BA639" s="262"/>
      <c r="BB639" s="262"/>
      <c r="BC639" s="262"/>
      <c r="BD639" s="262"/>
      <c r="BE639" s="262"/>
      <c r="BF639" s="262"/>
      <c r="BG639" s="262"/>
      <c r="BH639" s="262"/>
      <c r="BI639" s="262"/>
      <c r="BJ639" s="262"/>
      <c r="BK639" s="262"/>
    </row>
    <row r="640" spans="1:63" ht="12.75" x14ac:dyDescent="0.2">
      <c r="A640" s="263"/>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262"/>
      <c r="AE640" s="262"/>
      <c r="AF640" s="262"/>
      <c r="AG640" s="262"/>
      <c r="AH640" s="262"/>
      <c r="AI640" s="262"/>
      <c r="AJ640" s="262"/>
      <c r="AK640" s="262"/>
      <c r="AL640" s="262"/>
      <c r="AM640" s="262"/>
      <c r="AN640" s="262"/>
      <c r="AO640" s="262"/>
      <c r="AP640" s="262"/>
      <c r="AQ640" s="262"/>
      <c r="AR640" s="262"/>
      <c r="AS640" s="262"/>
      <c r="AT640" s="262"/>
      <c r="AU640" s="262"/>
      <c r="AV640" s="262"/>
      <c r="AW640" s="262"/>
      <c r="AX640" s="262"/>
      <c r="AY640" s="262"/>
      <c r="AZ640" s="262"/>
      <c r="BA640" s="262"/>
      <c r="BB640" s="262"/>
      <c r="BC640" s="262"/>
      <c r="BD640" s="262"/>
      <c r="BE640" s="262"/>
      <c r="BF640" s="262"/>
      <c r="BG640" s="262"/>
      <c r="BH640" s="262"/>
      <c r="BI640" s="262"/>
      <c r="BJ640" s="262"/>
      <c r="BK640" s="262"/>
    </row>
    <row r="641" spans="1:63" ht="12.75" x14ac:dyDescent="0.2">
      <c r="A641" s="263"/>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62"/>
      <c r="AE641" s="262"/>
      <c r="AF641" s="262"/>
      <c r="AG641" s="262"/>
      <c r="AH641" s="262"/>
      <c r="AI641" s="262"/>
      <c r="AJ641" s="262"/>
      <c r="AK641" s="262"/>
      <c r="AL641" s="262"/>
      <c r="AM641" s="262"/>
      <c r="AN641" s="262"/>
      <c r="AO641" s="262"/>
      <c r="AP641" s="262"/>
      <c r="AQ641" s="262"/>
      <c r="AR641" s="262"/>
      <c r="AS641" s="262"/>
      <c r="AT641" s="262"/>
      <c r="AU641" s="262"/>
      <c r="AV641" s="262"/>
      <c r="AW641" s="262"/>
      <c r="AX641" s="262"/>
      <c r="AY641" s="262"/>
      <c r="AZ641" s="262"/>
      <c r="BA641" s="262"/>
      <c r="BB641" s="262"/>
      <c r="BC641" s="262"/>
      <c r="BD641" s="262"/>
      <c r="BE641" s="262"/>
      <c r="BF641" s="262"/>
      <c r="BG641" s="262"/>
      <c r="BH641" s="262"/>
      <c r="BI641" s="262"/>
      <c r="BJ641" s="262"/>
      <c r="BK641" s="262"/>
    </row>
    <row r="642" spans="1:63" ht="12.75" x14ac:dyDescent="0.2">
      <c r="A642" s="263"/>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262"/>
      <c r="AE642" s="262"/>
      <c r="AF642" s="262"/>
      <c r="AG642" s="262"/>
      <c r="AH642" s="262"/>
      <c r="AI642" s="262"/>
      <c r="AJ642" s="262"/>
      <c r="AK642" s="262"/>
      <c r="AL642" s="262"/>
      <c r="AM642" s="262"/>
      <c r="AN642" s="262"/>
      <c r="AO642" s="262"/>
      <c r="AP642" s="262"/>
      <c r="AQ642" s="262"/>
      <c r="AR642" s="262"/>
      <c r="AS642" s="262"/>
      <c r="AT642" s="262"/>
      <c r="AU642" s="262"/>
      <c r="AV642" s="262"/>
      <c r="AW642" s="262"/>
      <c r="AX642" s="262"/>
      <c r="AY642" s="262"/>
      <c r="AZ642" s="262"/>
      <c r="BA642" s="262"/>
      <c r="BB642" s="262"/>
      <c r="BC642" s="262"/>
      <c r="BD642" s="262"/>
      <c r="BE642" s="262"/>
      <c r="BF642" s="262"/>
      <c r="BG642" s="262"/>
      <c r="BH642" s="262"/>
      <c r="BI642" s="262"/>
      <c r="BJ642" s="262"/>
      <c r="BK642" s="262"/>
    </row>
    <row r="643" spans="1:63" ht="12.75" x14ac:dyDescent="0.2">
      <c r="A643" s="263"/>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262"/>
      <c r="AE643" s="262"/>
      <c r="AF643" s="262"/>
      <c r="AG643" s="262"/>
      <c r="AH643" s="262"/>
      <c r="AI643" s="262"/>
      <c r="AJ643" s="262"/>
      <c r="AK643" s="262"/>
      <c r="AL643" s="262"/>
      <c r="AM643" s="262"/>
      <c r="AN643" s="262"/>
      <c r="AO643" s="262"/>
      <c r="AP643" s="262"/>
      <c r="AQ643" s="262"/>
      <c r="AR643" s="262"/>
      <c r="AS643" s="262"/>
      <c r="AT643" s="262"/>
      <c r="AU643" s="262"/>
      <c r="AV643" s="262"/>
      <c r="AW643" s="262"/>
      <c r="AX643" s="262"/>
      <c r="AY643" s="262"/>
      <c r="AZ643" s="262"/>
      <c r="BA643" s="262"/>
      <c r="BB643" s="262"/>
      <c r="BC643" s="262"/>
      <c r="BD643" s="262"/>
      <c r="BE643" s="262"/>
      <c r="BF643" s="262"/>
      <c r="BG643" s="262"/>
      <c r="BH643" s="262"/>
      <c r="BI643" s="262"/>
      <c r="BJ643" s="262"/>
      <c r="BK643" s="262"/>
    </row>
    <row r="644" spans="1:63" ht="12.75" x14ac:dyDescent="0.2">
      <c r="A644" s="263"/>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262"/>
      <c r="AE644" s="262"/>
      <c r="AF644" s="262"/>
      <c r="AG644" s="262"/>
      <c r="AH644" s="262"/>
      <c r="AI644" s="262"/>
      <c r="AJ644" s="262"/>
      <c r="AK644" s="262"/>
      <c r="AL644" s="262"/>
      <c r="AM644" s="262"/>
      <c r="AN644" s="262"/>
      <c r="AO644" s="262"/>
      <c r="AP644" s="262"/>
      <c r="AQ644" s="262"/>
      <c r="AR644" s="262"/>
      <c r="AS644" s="262"/>
      <c r="AT644" s="262"/>
      <c r="AU644" s="262"/>
      <c r="AV644" s="262"/>
      <c r="AW644" s="262"/>
      <c r="AX644" s="262"/>
      <c r="AY644" s="262"/>
      <c r="AZ644" s="262"/>
      <c r="BA644" s="262"/>
      <c r="BB644" s="262"/>
      <c r="BC644" s="262"/>
      <c r="BD644" s="262"/>
      <c r="BE644" s="262"/>
      <c r="BF644" s="262"/>
      <c r="BG644" s="262"/>
      <c r="BH644" s="262"/>
      <c r="BI644" s="262"/>
      <c r="BJ644" s="262"/>
      <c r="BK644" s="262"/>
    </row>
    <row r="645" spans="1:63" ht="12.75" x14ac:dyDescent="0.2">
      <c r="A645" s="263"/>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262"/>
      <c r="AF645" s="262"/>
      <c r="AG645" s="262"/>
      <c r="AH645" s="262"/>
      <c r="AI645" s="262"/>
      <c r="AJ645" s="262"/>
      <c r="AK645" s="262"/>
      <c r="AL645" s="262"/>
      <c r="AM645" s="262"/>
      <c r="AN645" s="262"/>
      <c r="AO645" s="262"/>
      <c r="AP645" s="262"/>
      <c r="AQ645" s="262"/>
      <c r="AR645" s="262"/>
      <c r="AS645" s="262"/>
      <c r="AT645" s="262"/>
      <c r="AU645" s="262"/>
      <c r="AV645" s="262"/>
      <c r="AW645" s="262"/>
      <c r="AX645" s="262"/>
      <c r="AY645" s="262"/>
      <c r="AZ645" s="262"/>
      <c r="BA645" s="262"/>
      <c r="BB645" s="262"/>
      <c r="BC645" s="262"/>
      <c r="BD645" s="262"/>
      <c r="BE645" s="262"/>
      <c r="BF645" s="262"/>
      <c r="BG645" s="262"/>
      <c r="BH645" s="262"/>
      <c r="BI645" s="262"/>
      <c r="BJ645" s="262"/>
      <c r="BK645" s="262"/>
    </row>
    <row r="646" spans="1:63" ht="12.75" x14ac:dyDescent="0.2">
      <c r="A646" s="263"/>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c r="AA646" s="262"/>
      <c r="AB646" s="262"/>
      <c r="AC646" s="262"/>
      <c r="AD646" s="262"/>
      <c r="AE646" s="262"/>
      <c r="AF646" s="262"/>
      <c r="AG646" s="262"/>
      <c r="AH646" s="262"/>
      <c r="AI646" s="262"/>
      <c r="AJ646" s="262"/>
      <c r="AK646" s="262"/>
      <c r="AL646" s="262"/>
      <c r="AM646" s="262"/>
      <c r="AN646" s="262"/>
      <c r="AO646" s="262"/>
      <c r="AP646" s="262"/>
      <c r="AQ646" s="262"/>
      <c r="AR646" s="262"/>
      <c r="AS646" s="262"/>
      <c r="AT646" s="262"/>
      <c r="AU646" s="262"/>
      <c r="AV646" s="262"/>
      <c r="AW646" s="262"/>
      <c r="AX646" s="262"/>
      <c r="AY646" s="262"/>
      <c r="AZ646" s="262"/>
      <c r="BA646" s="262"/>
      <c r="BB646" s="262"/>
      <c r="BC646" s="262"/>
      <c r="BD646" s="262"/>
      <c r="BE646" s="262"/>
      <c r="BF646" s="262"/>
      <c r="BG646" s="262"/>
      <c r="BH646" s="262"/>
      <c r="BI646" s="262"/>
      <c r="BJ646" s="262"/>
      <c r="BK646" s="262"/>
    </row>
    <row r="647" spans="1:63" ht="12.75" x14ac:dyDescent="0.2">
      <c r="A647" s="263"/>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c r="AA647" s="262"/>
      <c r="AB647" s="262"/>
      <c r="AC647" s="262"/>
      <c r="AD647" s="262"/>
      <c r="AE647" s="262"/>
      <c r="AF647" s="262"/>
      <c r="AG647" s="262"/>
      <c r="AH647" s="262"/>
      <c r="AI647" s="262"/>
      <c r="AJ647" s="262"/>
      <c r="AK647" s="262"/>
      <c r="AL647" s="262"/>
      <c r="AM647" s="262"/>
      <c r="AN647" s="262"/>
      <c r="AO647" s="262"/>
      <c r="AP647" s="262"/>
      <c r="AQ647" s="262"/>
      <c r="AR647" s="262"/>
      <c r="AS647" s="262"/>
      <c r="AT647" s="262"/>
      <c r="AU647" s="262"/>
      <c r="AV647" s="262"/>
      <c r="AW647" s="262"/>
      <c r="AX647" s="262"/>
      <c r="AY647" s="262"/>
      <c r="AZ647" s="262"/>
      <c r="BA647" s="262"/>
      <c r="BB647" s="262"/>
      <c r="BC647" s="262"/>
      <c r="BD647" s="262"/>
      <c r="BE647" s="262"/>
      <c r="BF647" s="262"/>
      <c r="BG647" s="262"/>
      <c r="BH647" s="262"/>
      <c r="BI647" s="262"/>
      <c r="BJ647" s="262"/>
      <c r="BK647" s="262"/>
    </row>
    <row r="648" spans="1:63" ht="12.75" x14ac:dyDescent="0.2">
      <c r="A648" s="263"/>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c r="AA648" s="262"/>
      <c r="AB648" s="262"/>
      <c r="AC648" s="262"/>
      <c r="AD648" s="262"/>
      <c r="AE648" s="262"/>
      <c r="AF648" s="262"/>
      <c r="AG648" s="262"/>
      <c r="AH648" s="262"/>
      <c r="AI648" s="262"/>
      <c r="AJ648" s="262"/>
      <c r="AK648" s="262"/>
      <c r="AL648" s="262"/>
      <c r="AM648" s="262"/>
      <c r="AN648" s="262"/>
      <c r="AO648" s="262"/>
      <c r="AP648" s="262"/>
      <c r="AQ648" s="262"/>
      <c r="AR648" s="262"/>
      <c r="AS648" s="262"/>
      <c r="AT648" s="262"/>
      <c r="AU648" s="262"/>
      <c r="AV648" s="262"/>
      <c r="AW648" s="262"/>
      <c r="AX648" s="262"/>
      <c r="AY648" s="262"/>
      <c r="AZ648" s="262"/>
      <c r="BA648" s="262"/>
      <c r="BB648" s="262"/>
      <c r="BC648" s="262"/>
      <c r="BD648" s="262"/>
      <c r="BE648" s="262"/>
      <c r="BF648" s="262"/>
      <c r="BG648" s="262"/>
      <c r="BH648" s="262"/>
      <c r="BI648" s="262"/>
      <c r="BJ648" s="262"/>
      <c r="BK648" s="262"/>
    </row>
    <row r="649" spans="1:63" ht="12.75" x14ac:dyDescent="0.2">
      <c r="A649" s="263"/>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262"/>
      <c r="AE649" s="262"/>
      <c r="AF649" s="262"/>
      <c r="AG649" s="262"/>
      <c r="AH649" s="262"/>
      <c r="AI649" s="262"/>
      <c r="AJ649" s="262"/>
      <c r="AK649" s="262"/>
      <c r="AL649" s="262"/>
      <c r="AM649" s="262"/>
      <c r="AN649" s="262"/>
      <c r="AO649" s="262"/>
      <c r="AP649" s="262"/>
      <c r="AQ649" s="262"/>
      <c r="AR649" s="262"/>
      <c r="AS649" s="262"/>
      <c r="AT649" s="262"/>
      <c r="AU649" s="262"/>
      <c r="AV649" s="262"/>
      <c r="AW649" s="262"/>
      <c r="AX649" s="262"/>
      <c r="AY649" s="262"/>
      <c r="AZ649" s="262"/>
      <c r="BA649" s="262"/>
      <c r="BB649" s="262"/>
      <c r="BC649" s="262"/>
      <c r="BD649" s="262"/>
      <c r="BE649" s="262"/>
      <c r="BF649" s="262"/>
      <c r="BG649" s="262"/>
      <c r="BH649" s="262"/>
      <c r="BI649" s="262"/>
      <c r="BJ649" s="262"/>
      <c r="BK649" s="262"/>
    </row>
    <row r="650" spans="1:63" ht="12.75" x14ac:dyDescent="0.2">
      <c r="A650" s="263"/>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262"/>
      <c r="AE650" s="262"/>
      <c r="AF650" s="262"/>
      <c r="AG650" s="262"/>
      <c r="AH650" s="262"/>
      <c r="AI650" s="262"/>
      <c r="AJ650" s="262"/>
      <c r="AK650" s="262"/>
      <c r="AL650" s="262"/>
      <c r="AM650" s="262"/>
      <c r="AN650" s="262"/>
      <c r="AO650" s="262"/>
      <c r="AP650" s="262"/>
      <c r="AQ650" s="262"/>
      <c r="AR650" s="262"/>
      <c r="AS650" s="262"/>
      <c r="AT650" s="262"/>
      <c r="AU650" s="262"/>
      <c r="AV650" s="262"/>
      <c r="AW650" s="262"/>
      <c r="AX650" s="262"/>
      <c r="AY650" s="262"/>
      <c r="AZ650" s="262"/>
      <c r="BA650" s="262"/>
      <c r="BB650" s="262"/>
      <c r="BC650" s="262"/>
      <c r="BD650" s="262"/>
      <c r="BE650" s="262"/>
      <c r="BF650" s="262"/>
      <c r="BG650" s="262"/>
      <c r="BH650" s="262"/>
      <c r="BI650" s="262"/>
      <c r="BJ650" s="262"/>
      <c r="BK650" s="262"/>
    </row>
    <row r="651" spans="1:63" ht="12.75" x14ac:dyDescent="0.2">
      <c r="A651" s="263"/>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262"/>
      <c r="AE651" s="262"/>
      <c r="AF651" s="262"/>
      <c r="AG651" s="262"/>
      <c r="AH651" s="262"/>
      <c r="AI651" s="262"/>
      <c r="AJ651" s="262"/>
      <c r="AK651" s="262"/>
      <c r="AL651" s="262"/>
      <c r="AM651" s="262"/>
      <c r="AN651" s="262"/>
      <c r="AO651" s="262"/>
      <c r="AP651" s="262"/>
      <c r="AQ651" s="262"/>
      <c r="AR651" s="262"/>
      <c r="AS651" s="262"/>
      <c r="AT651" s="262"/>
      <c r="AU651" s="262"/>
      <c r="AV651" s="262"/>
      <c r="AW651" s="262"/>
      <c r="AX651" s="262"/>
      <c r="AY651" s="262"/>
      <c r="AZ651" s="262"/>
      <c r="BA651" s="262"/>
      <c r="BB651" s="262"/>
      <c r="BC651" s="262"/>
      <c r="BD651" s="262"/>
      <c r="BE651" s="262"/>
      <c r="BF651" s="262"/>
      <c r="BG651" s="262"/>
      <c r="BH651" s="262"/>
      <c r="BI651" s="262"/>
      <c r="BJ651" s="262"/>
      <c r="BK651" s="262"/>
    </row>
    <row r="652" spans="1:63" ht="12.75" x14ac:dyDescent="0.2">
      <c r="A652" s="263"/>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262"/>
      <c r="AE652" s="262"/>
      <c r="AF652" s="262"/>
      <c r="AG652" s="262"/>
      <c r="AH652" s="262"/>
      <c r="AI652" s="262"/>
      <c r="AJ652" s="262"/>
      <c r="AK652" s="262"/>
      <c r="AL652" s="262"/>
      <c r="AM652" s="262"/>
      <c r="AN652" s="262"/>
      <c r="AO652" s="262"/>
      <c r="AP652" s="262"/>
      <c r="AQ652" s="262"/>
      <c r="AR652" s="262"/>
      <c r="AS652" s="262"/>
      <c r="AT652" s="262"/>
      <c r="AU652" s="262"/>
      <c r="AV652" s="262"/>
      <c r="AW652" s="262"/>
      <c r="AX652" s="262"/>
      <c r="AY652" s="262"/>
      <c r="AZ652" s="262"/>
      <c r="BA652" s="262"/>
      <c r="BB652" s="262"/>
      <c r="BC652" s="262"/>
      <c r="BD652" s="262"/>
      <c r="BE652" s="262"/>
      <c r="BF652" s="262"/>
      <c r="BG652" s="262"/>
      <c r="BH652" s="262"/>
      <c r="BI652" s="262"/>
      <c r="BJ652" s="262"/>
      <c r="BK652" s="262"/>
    </row>
    <row r="653" spans="1:63" ht="12.75" x14ac:dyDescent="0.2">
      <c r="A653" s="263"/>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262"/>
      <c r="AE653" s="262"/>
      <c r="AF653" s="262"/>
      <c r="AG653" s="262"/>
      <c r="AH653" s="262"/>
      <c r="AI653" s="262"/>
      <c r="AJ653" s="262"/>
      <c r="AK653" s="262"/>
      <c r="AL653" s="262"/>
      <c r="AM653" s="262"/>
      <c r="AN653" s="262"/>
      <c r="AO653" s="262"/>
      <c r="AP653" s="262"/>
      <c r="AQ653" s="262"/>
      <c r="AR653" s="262"/>
      <c r="AS653" s="262"/>
      <c r="AT653" s="262"/>
      <c r="AU653" s="262"/>
      <c r="AV653" s="262"/>
      <c r="AW653" s="262"/>
      <c r="AX653" s="262"/>
      <c r="AY653" s="262"/>
      <c r="AZ653" s="262"/>
      <c r="BA653" s="262"/>
      <c r="BB653" s="262"/>
      <c r="BC653" s="262"/>
      <c r="BD653" s="262"/>
      <c r="BE653" s="262"/>
      <c r="BF653" s="262"/>
      <c r="BG653" s="262"/>
      <c r="BH653" s="262"/>
      <c r="BI653" s="262"/>
      <c r="BJ653" s="262"/>
      <c r="BK653" s="262"/>
    </row>
    <row r="654" spans="1:63" ht="12.75" x14ac:dyDescent="0.2">
      <c r="A654" s="263"/>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262"/>
      <c r="AF654" s="262"/>
      <c r="AG654" s="262"/>
      <c r="AH654" s="262"/>
      <c r="AI654" s="262"/>
      <c r="AJ654" s="262"/>
      <c r="AK654" s="262"/>
      <c r="AL654" s="262"/>
      <c r="AM654" s="262"/>
      <c r="AN654" s="262"/>
      <c r="AO654" s="262"/>
      <c r="AP654" s="262"/>
      <c r="AQ654" s="262"/>
      <c r="AR654" s="262"/>
      <c r="AS654" s="262"/>
      <c r="AT654" s="262"/>
      <c r="AU654" s="262"/>
      <c r="AV654" s="262"/>
      <c r="AW654" s="262"/>
      <c r="AX654" s="262"/>
      <c r="AY654" s="262"/>
      <c r="AZ654" s="262"/>
      <c r="BA654" s="262"/>
      <c r="BB654" s="262"/>
      <c r="BC654" s="262"/>
      <c r="BD654" s="262"/>
      <c r="BE654" s="262"/>
      <c r="BF654" s="262"/>
      <c r="BG654" s="262"/>
      <c r="BH654" s="262"/>
      <c r="BI654" s="262"/>
      <c r="BJ654" s="262"/>
      <c r="BK654" s="262"/>
    </row>
    <row r="655" spans="1:63" ht="12.75" x14ac:dyDescent="0.2">
      <c r="A655" s="263"/>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c r="AA655" s="262"/>
      <c r="AB655" s="262"/>
      <c r="AC655" s="262"/>
      <c r="AD655" s="262"/>
      <c r="AE655" s="262"/>
      <c r="AF655" s="262"/>
      <c r="AG655" s="262"/>
      <c r="AH655" s="262"/>
      <c r="AI655" s="262"/>
      <c r="AJ655" s="262"/>
      <c r="AK655" s="262"/>
      <c r="AL655" s="262"/>
      <c r="AM655" s="262"/>
      <c r="AN655" s="262"/>
      <c r="AO655" s="262"/>
      <c r="AP655" s="262"/>
      <c r="AQ655" s="262"/>
      <c r="AR655" s="262"/>
      <c r="AS655" s="262"/>
      <c r="AT655" s="262"/>
      <c r="AU655" s="262"/>
      <c r="AV655" s="262"/>
      <c r="AW655" s="262"/>
      <c r="AX655" s="262"/>
      <c r="AY655" s="262"/>
      <c r="AZ655" s="262"/>
      <c r="BA655" s="262"/>
      <c r="BB655" s="262"/>
      <c r="BC655" s="262"/>
      <c r="BD655" s="262"/>
      <c r="BE655" s="262"/>
      <c r="BF655" s="262"/>
      <c r="BG655" s="262"/>
      <c r="BH655" s="262"/>
      <c r="BI655" s="262"/>
      <c r="BJ655" s="262"/>
      <c r="BK655" s="262"/>
    </row>
    <row r="656" spans="1:63" ht="12.75" x14ac:dyDescent="0.2">
      <c r="A656" s="263"/>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c r="AA656" s="262"/>
      <c r="AB656" s="262"/>
      <c r="AC656" s="262"/>
      <c r="AD656" s="262"/>
      <c r="AE656" s="262"/>
      <c r="AF656" s="262"/>
      <c r="AG656" s="262"/>
      <c r="AH656" s="262"/>
      <c r="AI656" s="262"/>
      <c r="AJ656" s="262"/>
      <c r="AK656" s="262"/>
      <c r="AL656" s="262"/>
      <c r="AM656" s="262"/>
      <c r="AN656" s="262"/>
      <c r="AO656" s="262"/>
      <c r="AP656" s="262"/>
      <c r="AQ656" s="262"/>
      <c r="AR656" s="262"/>
      <c r="AS656" s="262"/>
      <c r="AT656" s="262"/>
      <c r="AU656" s="262"/>
      <c r="AV656" s="262"/>
      <c r="AW656" s="262"/>
      <c r="AX656" s="262"/>
      <c r="AY656" s="262"/>
      <c r="AZ656" s="262"/>
      <c r="BA656" s="262"/>
      <c r="BB656" s="262"/>
      <c r="BC656" s="262"/>
      <c r="BD656" s="262"/>
      <c r="BE656" s="262"/>
      <c r="BF656" s="262"/>
      <c r="BG656" s="262"/>
      <c r="BH656" s="262"/>
      <c r="BI656" s="262"/>
      <c r="BJ656" s="262"/>
      <c r="BK656" s="262"/>
    </row>
    <row r="657" spans="1:63" ht="12.75" x14ac:dyDescent="0.2">
      <c r="A657" s="263"/>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c r="AA657" s="262"/>
      <c r="AB657" s="262"/>
      <c r="AC657" s="262"/>
      <c r="AD657" s="262"/>
      <c r="AE657" s="262"/>
      <c r="AF657" s="262"/>
      <c r="AG657" s="262"/>
      <c r="AH657" s="262"/>
      <c r="AI657" s="262"/>
      <c r="AJ657" s="262"/>
      <c r="AK657" s="262"/>
      <c r="AL657" s="262"/>
      <c r="AM657" s="262"/>
      <c r="AN657" s="262"/>
      <c r="AO657" s="262"/>
      <c r="AP657" s="262"/>
      <c r="AQ657" s="262"/>
      <c r="AR657" s="262"/>
      <c r="AS657" s="262"/>
      <c r="AT657" s="262"/>
      <c r="AU657" s="262"/>
      <c r="AV657" s="262"/>
      <c r="AW657" s="262"/>
      <c r="AX657" s="262"/>
      <c r="AY657" s="262"/>
      <c r="AZ657" s="262"/>
      <c r="BA657" s="262"/>
      <c r="BB657" s="262"/>
      <c r="BC657" s="262"/>
      <c r="BD657" s="262"/>
      <c r="BE657" s="262"/>
      <c r="BF657" s="262"/>
      <c r="BG657" s="262"/>
      <c r="BH657" s="262"/>
      <c r="BI657" s="262"/>
      <c r="BJ657" s="262"/>
      <c r="BK657" s="262"/>
    </row>
    <row r="658" spans="1:63" ht="12.75" x14ac:dyDescent="0.2">
      <c r="A658" s="263"/>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c r="AA658" s="262"/>
      <c r="AB658" s="262"/>
      <c r="AC658" s="262"/>
      <c r="AD658" s="262"/>
      <c r="AE658" s="262"/>
      <c r="AF658" s="262"/>
      <c r="AG658" s="262"/>
      <c r="AH658" s="262"/>
      <c r="AI658" s="262"/>
      <c r="AJ658" s="262"/>
      <c r="AK658" s="262"/>
      <c r="AL658" s="262"/>
      <c r="AM658" s="262"/>
      <c r="AN658" s="262"/>
      <c r="AO658" s="262"/>
      <c r="AP658" s="262"/>
      <c r="AQ658" s="262"/>
      <c r="AR658" s="262"/>
      <c r="AS658" s="262"/>
      <c r="AT658" s="262"/>
      <c r="AU658" s="262"/>
      <c r="AV658" s="262"/>
      <c r="AW658" s="262"/>
      <c r="AX658" s="262"/>
      <c r="AY658" s="262"/>
      <c r="AZ658" s="262"/>
      <c r="BA658" s="262"/>
      <c r="BB658" s="262"/>
      <c r="BC658" s="262"/>
      <c r="BD658" s="262"/>
      <c r="BE658" s="262"/>
      <c r="BF658" s="262"/>
      <c r="BG658" s="262"/>
      <c r="BH658" s="262"/>
      <c r="BI658" s="262"/>
      <c r="BJ658" s="262"/>
      <c r="BK658" s="262"/>
    </row>
    <row r="659" spans="1:63" ht="12.75" x14ac:dyDescent="0.2">
      <c r="A659" s="263"/>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c r="AA659" s="262"/>
      <c r="AB659" s="262"/>
      <c r="AC659" s="262"/>
      <c r="AD659" s="262"/>
      <c r="AE659" s="262"/>
      <c r="AF659" s="262"/>
      <c r="AG659" s="262"/>
      <c r="AH659" s="262"/>
      <c r="AI659" s="262"/>
      <c r="AJ659" s="262"/>
      <c r="AK659" s="262"/>
      <c r="AL659" s="262"/>
      <c r="AM659" s="262"/>
      <c r="AN659" s="262"/>
      <c r="AO659" s="262"/>
      <c r="AP659" s="262"/>
      <c r="AQ659" s="262"/>
      <c r="AR659" s="262"/>
      <c r="AS659" s="262"/>
      <c r="AT659" s="262"/>
      <c r="AU659" s="262"/>
      <c r="AV659" s="262"/>
      <c r="AW659" s="262"/>
      <c r="AX659" s="262"/>
      <c r="AY659" s="262"/>
      <c r="AZ659" s="262"/>
      <c r="BA659" s="262"/>
      <c r="BB659" s="262"/>
      <c r="BC659" s="262"/>
      <c r="BD659" s="262"/>
      <c r="BE659" s="262"/>
      <c r="BF659" s="262"/>
      <c r="BG659" s="262"/>
      <c r="BH659" s="262"/>
      <c r="BI659" s="262"/>
      <c r="BJ659" s="262"/>
      <c r="BK659" s="262"/>
    </row>
    <row r="660" spans="1:63" ht="12.75" x14ac:dyDescent="0.2">
      <c r="A660" s="263"/>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c r="AA660" s="262"/>
      <c r="AB660" s="262"/>
      <c r="AC660" s="262"/>
      <c r="AD660" s="262"/>
      <c r="AE660" s="262"/>
      <c r="AF660" s="262"/>
      <c r="AG660" s="262"/>
      <c r="AH660" s="262"/>
      <c r="AI660" s="262"/>
      <c r="AJ660" s="262"/>
      <c r="AK660" s="262"/>
      <c r="AL660" s="262"/>
      <c r="AM660" s="262"/>
      <c r="AN660" s="262"/>
      <c r="AO660" s="262"/>
      <c r="AP660" s="262"/>
      <c r="AQ660" s="262"/>
      <c r="AR660" s="262"/>
      <c r="AS660" s="262"/>
      <c r="AT660" s="262"/>
      <c r="AU660" s="262"/>
      <c r="AV660" s="262"/>
      <c r="AW660" s="262"/>
      <c r="AX660" s="262"/>
      <c r="AY660" s="262"/>
      <c r="AZ660" s="262"/>
      <c r="BA660" s="262"/>
      <c r="BB660" s="262"/>
      <c r="BC660" s="262"/>
      <c r="BD660" s="262"/>
      <c r="BE660" s="262"/>
      <c r="BF660" s="262"/>
      <c r="BG660" s="262"/>
      <c r="BH660" s="262"/>
      <c r="BI660" s="262"/>
      <c r="BJ660" s="262"/>
      <c r="BK660" s="262"/>
    </row>
    <row r="661" spans="1:63" ht="12.75" x14ac:dyDescent="0.2">
      <c r="A661" s="263"/>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c r="AA661" s="262"/>
      <c r="AB661" s="262"/>
      <c r="AC661" s="262"/>
      <c r="AD661" s="262"/>
      <c r="AE661" s="262"/>
      <c r="AF661" s="262"/>
      <c r="AG661" s="262"/>
      <c r="AH661" s="262"/>
      <c r="AI661" s="262"/>
      <c r="AJ661" s="262"/>
      <c r="AK661" s="262"/>
      <c r="AL661" s="262"/>
      <c r="AM661" s="262"/>
      <c r="AN661" s="262"/>
      <c r="AO661" s="262"/>
      <c r="AP661" s="262"/>
      <c r="AQ661" s="262"/>
      <c r="AR661" s="262"/>
      <c r="AS661" s="262"/>
      <c r="AT661" s="262"/>
      <c r="AU661" s="262"/>
      <c r="AV661" s="262"/>
      <c r="AW661" s="262"/>
      <c r="AX661" s="262"/>
      <c r="AY661" s="262"/>
      <c r="AZ661" s="262"/>
      <c r="BA661" s="262"/>
      <c r="BB661" s="262"/>
      <c r="BC661" s="262"/>
      <c r="BD661" s="262"/>
      <c r="BE661" s="262"/>
      <c r="BF661" s="262"/>
      <c r="BG661" s="262"/>
      <c r="BH661" s="262"/>
      <c r="BI661" s="262"/>
      <c r="BJ661" s="262"/>
      <c r="BK661" s="262"/>
    </row>
    <row r="662" spans="1:63" ht="12.75" x14ac:dyDescent="0.2">
      <c r="A662" s="263"/>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262"/>
      <c r="AE662" s="262"/>
      <c r="AF662" s="262"/>
      <c r="AG662" s="262"/>
      <c r="AH662" s="262"/>
      <c r="AI662" s="262"/>
      <c r="AJ662" s="262"/>
      <c r="AK662" s="262"/>
      <c r="AL662" s="262"/>
      <c r="AM662" s="262"/>
      <c r="AN662" s="262"/>
      <c r="AO662" s="262"/>
      <c r="AP662" s="262"/>
      <c r="AQ662" s="262"/>
      <c r="AR662" s="262"/>
      <c r="AS662" s="262"/>
      <c r="AT662" s="262"/>
      <c r="AU662" s="262"/>
      <c r="AV662" s="262"/>
      <c r="AW662" s="262"/>
      <c r="AX662" s="262"/>
      <c r="AY662" s="262"/>
      <c r="AZ662" s="262"/>
      <c r="BA662" s="262"/>
      <c r="BB662" s="262"/>
      <c r="BC662" s="262"/>
      <c r="BD662" s="262"/>
      <c r="BE662" s="262"/>
      <c r="BF662" s="262"/>
      <c r="BG662" s="262"/>
      <c r="BH662" s="262"/>
      <c r="BI662" s="262"/>
      <c r="BJ662" s="262"/>
      <c r="BK662" s="262"/>
    </row>
    <row r="663" spans="1:63" ht="12.75" x14ac:dyDescent="0.2">
      <c r="A663" s="263"/>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262"/>
      <c r="AF663" s="262"/>
      <c r="AG663" s="262"/>
      <c r="AH663" s="262"/>
      <c r="AI663" s="262"/>
      <c r="AJ663" s="262"/>
      <c r="AK663" s="262"/>
      <c r="AL663" s="262"/>
      <c r="AM663" s="262"/>
      <c r="AN663" s="262"/>
      <c r="AO663" s="262"/>
      <c r="AP663" s="262"/>
      <c r="AQ663" s="262"/>
      <c r="AR663" s="262"/>
      <c r="AS663" s="262"/>
      <c r="AT663" s="262"/>
      <c r="AU663" s="262"/>
      <c r="AV663" s="262"/>
      <c r="AW663" s="262"/>
      <c r="AX663" s="262"/>
      <c r="AY663" s="262"/>
      <c r="AZ663" s="262"/>
      <c r="BA663" s="262"/>
      <c r="BB663" s="262"/>
      <c r="BC663" s="262"/>
      <c r="BD663" s="262"/>
      <c r="BE663" s="262"/>
      <c r="BF663" s="262"/>
      <c r="BG663" s="262"/>
      <c r="BH663" s="262"/>
      <c r="BI663" s="262"/>
      <c r="BJ663" s="262"/>
      <c r="BK663" s="262"/>
    </row>
    <row r="664" spans="1:63" ht="12.75" x14ac:dyDescent="0.2">
      <c r="A664" s="263"/>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262"/>
      <c r="AE664" s="262"/>
      <c r="AF664" s="262"/>
      <c r="AG664" s="262"/>
      <c r="AH664" s="262"/>
      <c r="AI664" s="262"/>
      <c r="AJ664" s="262"/>
      <c r="AK664" s="262"/>
      <c r="AL664" s="262"/>
      <c r="AM664" s="262"/>
      <c r="AN664" s="262"/>
      <c r="AO664" s="262"/>
      <c r="AP664" s="262"/>
      <c r="AQ664" s="262"/>
      <c r="AR664" s="262"/>
      <c r="AS664" s="262"/>
      <c r="AT664" s="262"/>
      <c r="AU664" s="262"/>
      <c r="AV664" s="262"/>
      <c r="AW664" s="262"/>
      <c r="AX664" s="262"/>
      <c r="AY664" s="262"/>
      <c r="AZ664" s="262"/>
      <c r="BA664" s="262"/>
      <c r="BB664" s="262"/>
      <c r="BC664" s="262"/>
      <c r="BD664" s="262"/>
      <c r="BE664" s="262"/>
      <c r="BF664" s="262"/>
      <c r="BG664" s="262"/>
      <c r="BH664" s="262"/>
      <c r="BI664" s="262"/>
      <c r="BJ664" s="262"/>
      <c r="BK664" s="262"/>
    </row>
    <row r="665" spans="1:63" ht="12.75" x14ac:dyDescent="0.2">
      <c r="A665" s="263"/>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262"/>
      <c r="AE665" s="262"/>
      <c r="AF665" s="262"/>
      <c r="AG665" s="262"/>
      <c r="AH665" s="262"/>
      <c r="AI665" s="262"/>
      <c r="AJ665" s="262"/>
      <c r="AK665" s="262"/>
      <c r="AL665" s="262"/>
      <c r="AM665" s="262"/>
      <c r="AN665" s="262"/>
      <c r="AO665" s="262"/>
      <c r="AP665" s="262"/>
      <c r="AQ665" s="262"/>
      <c r="AR665" s="262"/>
      <c r="AS665" s="262"/>
      <c r="AT665" s="262"/>
      <c r="AU665" s="262"/>
      <c r="AV665" s="262"/>
      <c r="AW665" s="262"/>
      <c r="AX665" s="262"/>
      <c r="AY665" s="262"/>
      <c r="AZ665" s="262"/>
      <c r="BA665" s="262"/>
      <c r="BB665" s="262"/>
      <c r="BC665" s="262"/>
      <c r="BD665" s="262"/>
      <c r="BE665" s="262"/>
      <c r="BF665" s="262"/>
      <c r="BG665" s="262"/>
      <c r="BH665" s="262"/>
      <c r="BI665" s="262"/>
      <c r="BJ665" s="262"/>
      <c r="BK665" s="262"/>
    </row>
    <row r="666" spans="1:63" ht="12.75" x14ac:dyDescent="0.2">
      <c r="A666" s="263"/>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262"/>
      <c r="AE666" s="262"/>
      <c r="AF666" s="262"/>
      <c r="AG666" s="262"/>
      <c r="AH666" s="262"/>
      <c r="AI666" s="262"/>
      <c r="AJ666" s="262"/>
      <c r="AK666" s="262"/>
      <c r="AL666" s="262"/>
      <c r="AM666" s="262"/>
      <c r="AN666" s="262"/>
      <c r="AO666" s="262"/>
      <c r="AP666" s="262"/>
      <c r="AQ666" s="262"/>
      <c r="AR666" s="262"/>
      <c r="AS666" s="262"/>
      <c r="AT666" s="262"/>
      <c r="AU666" s="262"/>
      <c r="AV666" s="262"/>
      <c r="AW666" s="262"/>
      <c r="AX666" s="262"/>
      <c r="AY666" s="262"/>
      <c r="AZ666" s="262"/>
      <c r="BA666" s="262"/>
      <c r="BB666" s="262"/>
      <c r="BC666" s="262"/>
      <c r="BD666" s="262"/>
      <c r="BE666" s="262"/>
      <c r="BF666" s="262"/>
      <c r="BG666" s="262"/>
      <c r="BH666" s="262"/>
      <c r="BI666" s="262"/>
      <c r="BJ666" s="262"/>
      <c r="BK666" s="262"/>
    </row>
    <row r="667" spans="1:63" ht="12.75" x14ac:dyDescent="0.2">
      <c r="A667" s="263"/>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262"/>
      <c r="AE667" s="262"/>
      <c r="AF667" s="262"/>
      <c r="AG667" s="262"/>
      <c r="AH667" s="262"/>
      <c r="AI667" s="262"/>
      <c r="AJ667" s="262"/>
      <c r="AK667" s="262"/>
      <c r="AL667" s="262"/>
      <c r="AM667" s="262"/>
      <c r="AN667" s="262"/>
      <c r="AO667" s="262"/>
      <c r="AP667" s="262"/>
      <c r="AQ667" s="262"/>
      <c r="AR667" s="262"/>
      <c r="AS667" s="262"/>
      <c r="AT667" s="262"/>
      <c r="AU667" s="262"/>
      <c r="AV667" s="262"/>
      <c r="AW667" s="262"/>
      <c r="AX667" s="262"/>
      <c r="AY667" s="262"/>
      <c r="AZ667" s="262"/>
      <c r="BA667" s="262"/>
      <c r="BB667" s="262"/>
      <c r="BC667" s="262"/>
      <c r="BD667" s="262"/>
      <c r="BE667" s="262"/>
      <c r="BF667" s="262"/>
      <c r="BG667" s="262"/>
      <c r="BH667" s="262"/>
      <c r="BI667" s="262"/>
      <c r="BJ667" s="262"/>
      <c r="BK667" s="262"/>
    </row>
    <row r="668" spans="1:63" ht="12.75" x14ac:dyDescent="0.2">
      <c r="A668" s="263"/>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262"/>
      <c r="AE668" s="262"/>
      <c r="AF668" s="262"/>
      <c r="AG668" s="262"/>
      <c r="AH668" s="262"/>
      <c r="AI668" s="262"/>
      <c r="AJ668" s="262"/>
      <c r="AK668" s="262"/>
      <c r="AL668" s="262"/>
      <c r="AM668" s="262"/>
      <c r="AN668" s="262"/>
      <c r="AO668" s="262"/>
      <c r="AP668" s="262"/>
      <c r="AQ668" s="262"/>
      <c r="AR668" s="262"/>
      <c r="AS668" s="262"/>
      <c r="AT668" s="262"/>
      <c r="AU668" s="262"/>
      <c r="AV668" s="262"/>
      <c r="AW668" s="262"/>
      <c r="AX668" s="262"/>
      <c r="AY668" s="262"/>
      <c r="AZ668" s="262"/>
      <c r="BA668" s="262"/>
      <c r="BB668" s="262"/>
      <c r="BC668" s="262"/>
      <c r="BD668" s="262"/>
      <c r="BE668" s="262"/>
      <c r="BF668" s="262"/>
      <c r="BG668" s="262"/>
      <c r="BH668" s="262"/>
      <c r="BI668" s="262"/>
      <c r="BJ668" s="262"/>
      <c r="BK668" s="262"/>
    </row>
    <row r="669" spans="1:63" ht="12.75" x14ac:dyDescent="0.2">
      <c r="A669" s="263"/>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262"/>
      <c r="AE669" s="262"/>
      <c r="AF669" s="262"/>
      <c r="AG669" s="262"/>
      <c r="AH669" s="262"/>
      <c r="AI669" s="262"/>
      <c r="AJ669" s="262"/>
      <c r="AK669" s="262"/>
      <c r="AL669" s="262"/>
      <c r="AM669" s="262"/>
      <c r="AN669" s="262"/>
      <c r="AO669" s="262"/>
      <c r="AP669" s="262"/>
      <c r="AQ669" s="262"/>
      <c r="AR669" s="262"/>
      <c r="AS669" s="262"/>
      <c r="AT669" s="262"/>
      <c r="AU669" s="262"/>
      <c r="AV669" s="262"/>
      <c r="AW669" s="262"/>
      <c r="AX669" s="262"/>
      <c r="AY669" s="262"/>
      <c r="AZ669" s="262"/>
      <c r="BA669" s="262"/>
      <c r="BB669" s="262"/>
      <c r="BC669" s="262"/>
      <c r="BD669" s="262"/>
      <c r="BE669" s="262"/>
      <c r="BF669" s="262"/>
      <c r="BG669" s="262"/>
      <c r="BH669" s="262"/>
      <c r="BI669" s="262"/>
      <c r="BJ669" s="262"/>
      <c r="BK669" s="262"/>
    </row>
    <row r="670" spans="1:63" ht="12.75" x14ac:dyDescent="0.2">
      <c r="A670" s="263"/>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62"/>
      <c r="AE670" s="262"/>
      <c r="AF670" s="262"/>
      <c r="AG670" s="262"/>
      <c r="AH670" s="262"/>
      <c r="AI670" s="262"/>
      <c r="AJ670" s="262"/>
      <c r="AK670" s="262"/>
      <c r="AL670" s="262"/>
      <c r="AM670" s="262"/>
      <c r="AN670" s="262"/>
      <c r="AO670" s="262"/>
      <c r="AP670" s="262"/>
      <c r="AQ670" s="262"/>
      <c r="AR670" s="262"/>
      <c r="AS670" s="262"/>
      <c r="AT670" s="262"/>
      <c r="AU670" s="262"/>
      <c r="AV670" s="262"/>
      <c r="AW670" s="262"/>
      <c r="AX670" s="262"/>
      <c r="AY670" s="262"/>
      <c r="AZ670" s="262"/>
      <c r="BA670" s="262"/>
      <c r="BB670" s="262"/>
      <c r="BC670" s="262"/>
      <c r="BD670" s="262"/>
      <c r="BE670" s="262"/>
      <c r="BF670" s="262"/>
      <c r="BG670" s="262"/>
      <c r="BH670" s="262"/>
      <c r="BI670" s="262"/>
      <c r="BJ670" s="262"/>
      <c r="BK670" s="262"/>
    </row>
    <row r="671" spans="1:63" ht="12.75" x14ac:dyDescent="0.2">
      <c r="A671" s="263"/>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262"/>
      <c r="AE671" s="262"/>
      <c r="AF671" s="262"/>
      <c r="AG671" s="262"/>
      <c r="AH671" s="262"/>
      <c r="AI671" s="262"/>
      <c r="AJ671" s="262"/>
      <c r="AK671" s="262"/>
      <c r="AL671" s="262"/>
      <c r="AM671" s="262"/>
      <c r="AN671" s="262"/>
      <c r="AO671" s="262"/>
      <c r="AP671" s="262"/>
      <c r="AQ671" s="262"/>
      <c r="AR671" s="262"/>
      <c r="AS671" s="262"/>
      <c r="AT671" s="262"/>
      <c r="AU671" s="262"/>
      <c r="AV671" s="262"/>
      <c r="AW671" s="262"/>
      <c r="AX671" s="262"/>
      <c r="AY671" s="262"/>
      <c r="AZ671" s="262"/>
      <c r="BA671" s="262"/>
      <c r="BB671" s="262"/>
      <c r="BC671" s="262"/>
      <c r="BD671" s="262"/>
      <c r="BE671" s="262"/>
      <c r="BF671" s="262"/>
      <c r="BG671" s="262"/>
      <c r="BH671" s="262"/>
      <c r="BI671" s="262"/>
      <c r="BJ671" s="262"/>
      <c r="BK671" s="262"/>
    </row>
    <row r="672" spans="1:63" ht="12.75" x14ac:dyDescent="0.2">
      <c r="A672" s="263"/>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262"/>
      <c r="AE672" s="262"/>
      <c r="AF672" s="262"/>
      <c r="AG672" s="262"/>
      <c r="AH672" s="262"/>
      <c r="AI672" s="262"/>
      <c r="AJ672" s="262"/>
      <c r="AK672" s="262"/>
      <c r="AL672" s="262"/>
      <c r="AM672" s="262"/>
      <c r="AN672" s="262"/>
      <c r="AO672" s="262"/>
      <c r="AP672" s="262"/>
      <c r="AQ672" s="262"/>
      <c r="AR672" s="262"/>
      <c r="AS672" s="262"/>
      <c r="AT672" s="262"/>
      <c r="AU672" s="262"/>
      <c r="AV672" s="262"/>
      <c r="AW672" s="262"/>
      <c r="AX672" s="262"/>
      <c r="AY672" s="262"/>
      <c r="AZ672" s="262"/>
      <c r="BA672" s="262"/>
      <c r="BB672" s="262"/>
      <c r="BC672" s="262"/>
      <c r="BD672" s="262"/>
      <c r="BE672" s="262"/>
      <c r="BF672" s="262"/>
      <c r="BG672" s="262"/>
      <c r="BH672" s="262"/>
      <c r="BI672" s="262"/>
      <c r="BJ672" s="262"/>
      <c r="BK672" s="262"/>
    </row>
    <row r="673" spans="1:63" ht="12.75" x14ac:dyDescent="0.2">
      <c r="A673" s="263"/>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F673" s="262"/>
      <c r="AG673" s="262"/>
      <c r="AH673" s="262"/>
      <c r="AI673" s="262"/>
      <c r="AJ673" s="262"/>
      <c r="AK673" s="262"/>
      <c r="AL673" s="262"/>
      <c r="AM673" s="262"/>
      <c r="AN673" s="262"/>
      <c r="AO673" s="262"/>
      <c r="AP673" s="262"/>
      <c r="AQ673" s="262"/>
      <c r="AR673" s="262"/>
      <c r="AS673" s="262"/>
      <c r="AT673" s="262"/>
      <c r="AU673" s="262"/>
      <c r="AV673" s="262"/>
      <c r="AW673" s="262"/>
      <c r="AX673" s="262"/>
      <c r="AY673" s="262"/>
      <c r="AZ673" s="262"/>
      <c r="BA673" s="262"/>
      <c r="BB673" s="262"/>
      <c r="BC673" s="262"/>
      <c r="BD673" s="262"/>
      <c r="BE673" s="262"/>
      <c r="BF673" s="262"/>
      <c r="BG673" s="262"/>
      <c r="BH673" s="262"/>
      <c r="BI673" s="262"/>
      <c r="BJ673" s="262"/>
      <c r="BK673" s="262"/>
    </row>
    <row r="674" spans="1:63" ht="12.75" x14ac:dyDescent="0.2">
      <c r="A674" s="263"/>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262"/>
      <c r="AE674" s="262"/>
      <c r="AF674" s="262"/>
      <c r="AG674" s="262"/>
      <c r="AH674" s="262"/>
      <c r="AI674" s="262"/>
      <c r="AJ674" s="262"/>
      <c r="AK674" s="262"/>
      <c r="AL674" s="262"/>
      <c r="AM674" s="262"/>
      <c r="AN674" s="262"/>
      <c r="AO674" s="262"/>
      <c r="AP674" s="262"/>
      <c r="AQ674" s="262"/>
      <c r="AR674" s="262"/>
      <c r="AS674" s="262"/>
      <c r="AT674" s="262"/>
      <c r="AU674" s="262"/>
      <c r="AV674" s="262"/>
      <c r="AW674" s="262"/>
      <c r="AX674" s="262"/>
      <c r="AY674" s="262"/>
      <c r="AZ674" s="262"/>
      <c r="BA674" s="262"/>
      <c r="BB674" s="262"/>
      <c r="BC674" s="262"/>
      <c r="BD674" s="262"/>
      <c r="BE674" s="262"/>
      <c r="BF674" s="262"/>
      <c r="BG674" s="262"/>
      <c r="BH674" s="262"/>
      <c r="BI674" s="262"/>
      <c r="BJ674" s="262"/>
      <c r="BK674" s="262"/>
    </row>
    <row r="675" spans="1:63" ht="12.75" x14ac:dyDescent="0.2">
      <c r="A675" s="263"/>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262"/>
      <c r="AE675" s="262"/>
      <c r="AF675" s="262"/>
      <c r="AG675" s="262"/>
      <c r="AH675" s="262"/>
      <c r="AI675" s="262"/>
      <c r="AJ675" s="262"/>
      <c r="AK675" s="262"/>
      <c r="AL675" s="262"/>
      <c r="AM675" s="262"/>
      <c r="AN675" s="262"/>
      <c r="AO675" s="262"/>
      <c r="AP675" s="262"/>
      <c r="AQ675" s="262"/>
      <c r="AR675" s="262"/>
      <c r="AS675" s="262"/>
      <c r="AT675" s="262"/>
      <c r="AU675" s="262"/>
      <c r="AV675" s="262"/>
      <c r="AW675" s="262"/>
      <c r="AX675" s="262"/>
      <c r="AY675" s="262"/>
      <c r="AZ675" s="262"/>
      <c r="BA675" s="262"/>
      <c r="BB675" s="262"/>
      <c r="BC675" s="262"/>
      <c r="BD675" s="262"/>
      <c r="BE675" s="262"/>
      <c r="BF675" s="262"/>
      <c r="BG675" s="262"/>
      <c r="BH675" s="262"/>
      <c r="BI675" s="262"/>
      <c r="BJ675" s="262"/>
      <c r="BK675" s="262"/>
    </row>
    <row r="676" spans="1:63" ht="12.75" x14ac:dyDescent="0.2">
      <c r="A676" s="263"/>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262"/>
      <c r="AE676" s="262"/>
      <c r="AF676" s="262"/>
      <c r="AG676" s="262"/>
      <c r="AH676" s="262"/>
      <c r="AI676" s="262"/>
      <c r="AJ676" s="262"/>
      <c r="AK676" s="262"/>
      <c r="AL676" s="262"/>
      <c r="AM676" s="262"/>
      <c r="AN676" s="262"/>
      <c r="AO676" s="262"/>
      <c r="AP676" s="262"/>
      <c r="AQ676" s="262"/>
      <c r="AR676" s="262"/>
      <c r="AS676" s="262"/>
      <c r="AT676" s="262"/>
      <c r="AU676" s="262"/>
      <c r="AV676" s="262"/>
      <c r="AW676" s="262"/>
      <c r="AX676" s="262"/>
      <c r="AY676" s="262"/>
      <c r="AZ676" s="262"/>
      <c r="BA676" s="262"/>
      <c r="BB676" s="262"/>
      <c r="BC676" s="262"/>
      <c r="BD676" s="262"/>
      <c r="BE676" s="262"/>
      <c r="BF676" s="262"/>
      <c r="BG676" s="262"/>
      <c r="BH676" s="262"/>
      <c r="BI676" s="262"/>
      <c r="BJ676" s="262"/>
      <c r="BK676" s="262"/>
    </row>
    <row r="677" spans="1:63" ht="12.75" x14ac:dyDescent="0.2">
      <c r="A677" s="263"/>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262"/>
      <c r="AE677" s="262"/>
      <c r="AF677" s="262"/>
      <c r="AG677" s="262"/>
      <c r="AH677" s="262"/>
      <c r="AI677" s="262"/>
      <c r="AJ677" s="262"/>
      <c r="AK677" s="262"/>
      <c r="AL677" s="262"/>
      <c r="AM677" s="262"/>
      <c r="AN677" s="262"/>
      <c r="AO677" s="262"/>
      <c r="AP677" s="262"/>
      <c r="AQ677" s="262"/>
      <c r="AR677" s="262"/>
      <c r="AS677" s="262"/>
      <c r="AT677" s="262"/>
      <c r="AU677" s="262"/>
      <c r="AV677" s="262"/>
      <c r="AW677" s="262"/>
      <c r="AX677" s="262"/>
      <c r="AY677" s="262"/>
      <c r="AZ677" s="262"/>
      <c r="BA677" s="262"/>
      <c r="BB677" s="262"/>
      <c r="BC677" s="262"/>
      <c r="BD677" s="262"/>
      <c r="BE677" s="262"/>
      <c r="BF677" s="262"/>
      <c r="BG677" s="262"/>
      <c r="BH677" s="262"/>
      <c r="BI677" s="262"/>
      <c r="BJ677" s="262"/>
      <c r="BK677" s="262"/>
    </row>
    <row r="678" spans="1:63" ht="12.75" x14ac:dyDescent="0.2">
      <c r="A678" s="263"/>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262"/>
      <c r="AE678" s="262"/>
      <c r="AF678" s="262"/>
      <c r="AG678" s="262"/>
      <c r="AH678" s="262"/>
      <c r="AI678" s="262"/>
      <c r="AJ678" s="262"/>
      <c r="AK678" s="262"/>
      <c r="AL678" s="262"/>
      <c r="AM678" s="262"/>
      <c r="AN678" s="262"/>
      <c r="AO678" s="262"/>
      <c r="AP678" s="262"/>
      <c r="AQ678" s="262"/>
      <c r="AR678" s="262"/>
      <c r="AS678" s="262"/>
      <c r="AT678" s="262"/>
      <c r="AU678" s="262"/>
      <c r="AV678" s="262"/>
      <c r="AW678" s="262"/>
      <c r="AX678" s="262"/>
      <c r="AY678" s="262"/>
      <c r="AZ678" s="262"/>
      <c r="BA678" s="262"/>
      <c r="BB678" s="262"/>
      <c r="BC678" s="262"/>
      <c r="BD678" s="262"/>
      <c r="BE678" s="262"/>
      <c r="BF678" s="262"/>
      <c r="BG678" s="262"/>
      <c r="BH678" s="262"/>
      <c r="BI678" s="262"/>
      <c r="BJ678" s="262"/>
      <c r="BK678" s="262"/>
    </row>
    <row r="679" spans="1:63" ht="12.75" x14ac:dyDescent="0.2">
      <c r="A679" s="263"/>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262"/>
      <c r="AE679" s="262"/>
      <c r="AF679" s="262"/>
      <c r="AG679" s="262"/>
      <c r="AH679" s="262"/>
      <c r="AI679" s="262"/>
      <c r="AJ679" s="262"/>
      <c r="AK679" s="262"/>
      <c r="AL679" s="262"/>
      <c r="AM679" s="262"/>
      <c r="AN679" s="262"/>
      <c r="AO679" s="262"/>
      <c r="AP679" s="262"/>
      <c r="AQ679" s="262"/>
      <c r="AR679" s="262"/>
      <c r="AS679" s="262"/>
      <c r="AT679" s="262"/>
      <c r="AU679" s="262"/>
      <c r="AV679" s="262"/>
      <c r="AW679" s="262"/>
      <c r="AX679" s="262"/>
      <c r="AY679" s="262"/>
      <c r="AZ679" s="262"/>
      <c r="BA679" s="262"/>
      <c r="BB679" s="262"/>
      <c r="BC679" s="262"/>
      <c r="BD679" s="262"/>
      <c r="BE679" s="262"/>
      <c r="BF679" s="262"/>
      <c r="BG679" s="262"/>
      <c r="BH679" s="262"/>
      <c r="BI679" s="262"/>
      <c r="BJ679" s="262"/>
      <c r="BK679" s="262"/>
    </row>
    <row r="680" spans="1:63" ht="12.75" x14ac:dyDescent="0.2">
      <c r="A680" s="263"/>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262"/>
      <c r="AE680" s="262"/>
      <c r="AF680" s="262"/>
      <c r="AG680" s="262"/>
      <c r="AH680" s="262"/>
      <c r="AI680" s="262"/>
      <c r="AJ680" s="262"/>
      <c r="AK680" s="262"/>
      <c r="AL680" s="262"/>
      <c r="AM680" s="262"/>
      <c r="AN680" s="262"/>
      <c r="AO680" s="262"/>
      <c r="AP680" s="262"/>
      <c r="AQ680" s="262"/>
      <c r="AR680" s="262"/>
      <c r="AS680" s="262"/>
      <c r="AT680" s="262"/>
      <c r="AU680" s="262"/>
      <c r="AV680" s="262"/>
      <c r="AW680" s="262"/>
      <c r="AX680" s="262"/>
      <c r="AY680" s="262"/>
      <c r="AZ680" s="262"/>
      <c r="BA680" s="262"/>
      <c r="BB680" s="262"/>
      <c r="BC680" s="262"/>
      <c r="BD680" s="262"/>
      <c r="BE680" s="262"/>
      <c r="BF680" s="262"/>
      <c r="BG680" s="262"/>
      <c r="BH680" s="262"/>
      <c r="BI680" s="262"/>
      <c r="BJ680" s="262"/>
      <c r="BK680" s="262"/>
    </row>
    <row r="681" spans="1:63" ht="12.75" x14ac:dyDescent="0.2">
      <c r="A681" s="263"/>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262"/>
      <c r="AE681" s="262"/>
      <c r="AF681" s="262"/>
      <c r="AG681" s="262"/>
      <c r="AH681" s="262"/>
      <c r="AI681" s="262"/>
      <c r="AJ681" s="262"/>
      <c r="AK681" s="262"/>
      <c r="AL681" s="262"/>
      <c r="AM681" s="262"/>
      <c r="AN681" s="262"/>
      <c r="AO681" s="262"/>
      <c r="AP681" s="262"/>
      <c r="AQ681" s="262"/>
      <c r="AR681" s="262"/>
      <c r="AS681" s="262"/>
      <c r="AT681" s="262"/>
      <c r="AU681" s="262"/>
      <c r="AV681" s="262"/>
      <c r="AW681" s="262"/>
      <c r="AX681" s="262"/>
      <c r="AY681" s="262"/>
      <c r="AZ681" s="262"/>
      <c r="BA681" s="262"/>
      <c r="BB681" s="262"/>
      <c r="BC681" s="262"/>
      <c r="BD681" s="262"/>
      <c r="BE681" s="262"/>
      <c r="BF681" s="262"/>
      <c r="BG681" s="262"/>
      <c r="BH681" s="262"/>
      <c r="BI681" s="262"/>
      <c r="BJ681" s="262"/>
      <c r="BK681" s="262"/>
    </row>
    <row r="682" spans="1:63" ht="12.75" x14ac:dyDescent="0.2">
      <c r="A682" s="263"/>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262"/>
      <c r="AE682" s="262"/>
      <c r="AF682" s="262"/>
      <c r="AG682" s="262"/>
      <c r="AH682" s="262"/>
      <c r="AI682" s="262"/>
      <c r="AJ682" s="262"/>
      <c r="AK682" s="262"/>
      <c r="AL682" s="262"/>
      <c r="AM682" s="262"/>
      <c r="AN682" s="262"/>
      <c r="AO682" s="262"/>
      <c r="AP682" s="262"/>
      <c r="AQ682" s="262"/>
      <c r="AR682" s="262"/>
      <c r="AS682" s="262"/>
      <c r="AT682" s="262"/>
      <c r="AU682" s="262"/>
      <c r="AV682" s="262"/>
      <c r="AW682" s="262"/>
      <c r="AX682" s="262"/>
      <c r="AY682" s="262"/>
      <c r="AZ682" s="262"/>
      <c r="BA682" s="262"/>
      <c r="BB682" s="262"/>
      <c r="BC682" s="262"/>
      <c r="BD682" s="262"/>
      <c r="BE682" s="262"/>
      <c r="BF682" s="262"/>
      <c r="BG682" s="262"/>
      <c r="BH682" s="262"/>
      <c r="BI682" s="262"/>
      <c r="BJ682" s="262"/>
      <c r="BK682" s="262"/>
    </row>
    <row r="683" spans="1:63" ht="12.75" x14ac:dyDescent="0.2">
      <c r="A683" s="263"/>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262"/>
      <c r="AE683" s="262"/>
      <c r="AF683" s="262"/>
      <c r="AG683" s="262"/>
      <c r="AH683" s="262"/>
      <c r="AI683" s="262"/>
      <c r="AJ683" s="262"/>
      <c r="AK683" s="262"/>
      <c r="AL683" s="262"/>
      <c r="AM683" s="262"/>
      <c r="AN683" s="262"/>
      <c r="AO683" s="262"/>
      <c r="AP683" s="262"/>
      <c r="AQ683" s="262"/>
      <c r="AR683" s="262"/>
      <c r="AS683" s="262"/>
      <c r="AT683" s="262"/>
      <c r="AU683" s="262"/>
      <c r="AV683" s="262"/>
      <c r="AW683" s="262"/>
      <c r="AX683" s="262"/>
      <c r="AY683" s="262"/>
      <c r="AZ683" s="262"/>
      <c r="BA683" s="262"/>
      <c r="BB683" s="262"/>
      <c r="BC683" s="262"/>
      <c r="BD683" s="262"/>
      <c r="BE683" s="262"/>
      <c r="BF683" s="262"/>
      <c r="BG683" s="262"/>
      <c r="BH683" s="262"/>
      <c r="BI683" s="262"/>
      <c r="BJ683" s="262"/>
      <c r="BK683" s="262"/>
    </row>
    <row r="684" spans="1:63" ht="12.75" x14ac:dyDescent="0.2">
      <c r="A684" s="263"/>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262"/>
      <c r="AE684" s="262"/>
      <c r="AF684" s="262"/>
      <c r="AG684" s="262"/>
      <c r="AH684" s="262"/>
      <c r="AI684" s="262"/>
      <c r="AJ684" s="262"/>
      <c r="AK684" s="262"/>
      <c r="AL684" s="262"/>
      <c r="AM684" s="262"/>
      <c r="AN684" s="262"/>
      <c r="AO684" s="262"/>
      <c r="AP684" s="262"/>
      <c r="AQ684" s="262"/>
      <c r="AR684" s="262"/>
      <c r="AS684" s="262"/>
      <c r="AT684" s="262"/>
      <c r="AU684" s="262"/>
      <c r="AV684" s="262"/>
      <c r="AW684" s="262"/>
      <c r="AX684" s="262"/>
      <c r="AY684" s="262"/>
      <c r="AZ684" s="262"/>
      <c r="BA684" s="262"/>
      <c r="BB684" s="262"/>
      <c r="BC684" s="262"/>
      <c r="BD684" s="262"/>
      <c r="BE684" s="262"/>
      <c r="BF684" s="262"/>
      <c r="BG684" s="262"/>
      <c r="BH684" s="262"/>
      <c r="BI684" s="262"/>
      <c r="BJ684" s="262"/>
      <c r="BK684" s="262"/>
    </row>
    <row r="685" spans="1:63" ht="12.75" x14ac:dyDescent="0.2">
      <c r="A685" s="263"/>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262"/>
      <c r="AE685" s="262"/>
      <c r="AF685" s="262"/>
      <c r="AG685" s="262"/>
      <c r="AH685" s="262"/>
      <c r="AI685" s="262"/>
      <c r="AJ685" s="262"/>
      <c r="AK685" s="262"/>
      <c r="AL685" s="262"/>
      <c r="AM685" s="262"/>
      <c r="AN685" s="262"/>
      <c r="AO685" s="262"/>
      <c r="AP685" s="262"/>
      <c r="AQ685" s="262"/>
      <c r="AR685" s="262"/>
      <c r="AS685" s="262"/>
      <c r="AT685" s="262"/>
      <c r="AU685" s="262"/>
      <c r="AV685" s="262"/>
      <c r="AW685" s="262"/>
      <c r="AX685" s="262"/>
      <c r="AY685" s="262"/>
      <c r="AZ685" s="262"/>
      <c r="BA685" s="262"/>
      <c r="BB685" s="262"/>
      <c r="BC685" s="262"/>
      <c r="BD685" s="262"/>
      <c r="BE685" s="262"/>
      <c r="BF685" s="262"/>
      <c r="BG685" s="262"/>
      <c r="BH685" s="262"/>
      <c r="BI685" s="262"/>
      <c r="BJ685" s="262"/>
      <c r="BK685" s="262"/>
    </row>
    <row r="686" spans="1:63" ht="12.75" x14ac:dyDescent="0.2">
      <c r="A686" s="263"/>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262"/>
      <c r="AE686" s="262"/>
      <c r="AF686" s="262"/>
      <c r="AG686" s="262"/>
      <c r="AH686" s="262"/>
      <c r="AI686" s="262"/>
      <c r="AJ686" s="262"/>
      <c r="AK686" s="262"/>
      <c r="AL686" s="262"/>
      <c r="AM686" s="262"/>
      <c r="AN686" s="262"/>
      <c r="AO686" s="262"/>
      <c r="AP686" s="262"/>
      <c r="AQ686" s="262"/>
      <c r="AR686" s="262"/>
      <c r="AS686" s="262"/>
      <c r="AT686" s="262"/>
      <c r="AU686" s="262"/>
      <c r="AV686" s="262"/>
      <c r="AW686" s="262"/>
      <c r="AX686" s="262"/>
      <c r="AY686" s="262"/>
      <c r="AZ686" s="262"/>
      <c r="BA686" s="262"/>
      <c r="BB686" s="262"/>
      <c r="BC686" s="262"/>
      <c r="BD686" s="262"/>
      <c r="BE686" s="262"/>
      <c r="BF686" s="262"/>
      <c r="BG686" s="262"/>
      <c r="BH686" s="262"/>
      <c r="BI686" s="262"/>
      <c r="BJ686" s="262"/>
      <c r="BK686" s="262"/>
    </row>
    <row r="687" spans="1:63" ht="12.75" x14ac:dyDescent="0.2">
      <c r="A687" s="263"/>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262"/>
      <c r="AE687" s="262"/>
      <c r="AF687" s="262"/>
      <c r="AG687" s="262"/>
      <c r="AH687" s="262"/>
      <c r="AI687" s="262"/>
      <c r="AJ687" s="262"/>
      <c r="AK687" s="262"/>
      <c r="AL687" s="262"/>
      <c r="AM687" s="262"/>
      <c r="AN687" s="262"/>
      <c r="AO687" s="262"/>
      <c r="AP687" s="262"/>
      <c r="AQ687" s="262"/>
      <c r="AR687" s="262"/>
      <c r="AS687" s="262"/>
      <c r="AT687" s="262"/>
      <c r="AU687" s="262"/>
      <c r="AV687" s="262"/>
      <c r="AW687" s="262"/>
      <c r="AX687" s="262"/>
      <c r="AY687" s="262"/>
      <c r="AZ687" s="262"/>
      <c r="BA687" s="262"/>
      <c r="BB687" s="262"/>
      <c r="BC687" s="262"/>
      <c r="BD687" s="262"/>
      <c r="BE687" s="262"/>
      <c r="BF687" s="262"/>
      <c r="BG687" s="262"/>
      <c r="BH687" s="262"/>
      <c r="BI687" s="262"/>
      <c r="BJ687" s="262"/>
      <c r="BK687" s="262"/>
    </row>
    <row r="688" spans="1:63" ht="12.75" x14ac:dyDescent="0.2">
      <c r="A688" s="263"/>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262"/>
      <c r="AE688" s="262"/>
      <c r="AF688" s="262"/>
      <c r="AG688" s="262"/>
      <c r="AH688" s="262"/>
      <c r="AI688" s="262"/>
      <c r="AJ688" s="262"/>
      <c r="AK688" s="262"/>
      <c r="AL688" s="262"/>
      <c r="AM688" s="262"/>
      <c r="AN688" s="262"/>
      <c r="AO688" s="262"/>
      <c r="AP688" s="262"/>
      <c r="AQ688" s="262"/>
      <c r="AR688" s="262"/>
      <c r="AS688" s="262"/>
      <c r="AT688" s="262"/>
      <c r="AU688" s="262"/>
      <c r="AV688" s="262"/>
      <c r="AW688" s="262"/>
      <c r="AX688" s="262"/>
      <c r="AY688" s="262"/>
      <c r="AZ688" s="262"/>
      <c r="BA688" s="262"/>
      <c r="BB688" s="262"/>
      <c r="BC688" s="262"/>
      <c r="BD688" s="262"/>
      <c r="BE688" s="262"/>
      <c r="BF688" s="262"/>
      <c r="BG688" s="262"/>
      <c r="BH688" s="262"/>
      <c r="BI688" s="262"/>
      <c r="BJ688" s="262"/>
      <c r="BK688" s="262"/>
    </row>
    <row r="689" spans="1:63" ht="12.75" x14ac:dyDescent="0.2">
      <c r="A689" s="263"/>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262"/>
      <c r="AE689" s="262"/>
      <c r="AF689" s="262"/>
      <c r="AG689" s="262"/>
      <c r="AH689" s="262"/>
      <c r="AI689" s="262"/>
      <c r="AJ689" s="262"/>
      <c r="AK689" s="262"/>
      <c r="AL689" s="262"/>
      <c r="AM689" s="262"/>
      <c r="AN689" s="262"/>
      <c r="AO689" s="262"/>
      <c r="AP689" s="262"/>
      <c r="AQ689" s="262"/>
      <c r="AR689" s="262"/>
      <c r="AS689" s="262"/>
      <c r="AT689" s="262"/>
      <c r="AU689" s="262"/>
      <c r="AV689" s="262"/>
      <c r="AW689" s="262"/>
      <c r="AX689" s="262"/>
      <c r="AY689" s="262"/>
      <c r="AZ689" s="262"/>
      <c r="BA689" s="262"/>
      <c r="BB689" s="262"/>
      <c r="BC689" s="262"/>
      <c r="BD689" s="262"/>
      <c r="BE689" s="262"/>
      <c r="BF689" s="262"/>
      <c r="BG689" s="262"/>
      <c r="BH689" s="262"/>
      <c r="BI689" s="262"/>
      <c r="BJ689" s="262"/>
      <c r="BK689" s="262"/>
    </row>
    <row r="690" spans="1:63" ht="12.75" x14ac:dyDescent="0.2">
      <c r="A690" s="263"/>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262"/>
      <c r="AF690" s="262"/>
      <c r="AG690" s="262"/>
      <c r="AH690" s="262"/>
      <c r="AI690" s="262"/>
      <c r="AJ690" s="262"/>
      <c r="AK690" s="262"/>
      <c r="AL690" s="262"/>
      <c r="AM690" s="262"/>
      <c r="AN690" s="262"/>
      <c r="AO690" s="262"/>
      <c r="AP690" s="262"/>
      <c r="AQ690" s="262"/>
      <c r="AR690" s="262"/>
      <c r="AS690" s="262"/>
      <c r="AT690" s="262"/>
      <c r="AU690" s="262"/>
      <c r="AV690" s="262"/>
      <c r="AW690" s="262"/>
      <c r="AX690" s="262"/>
      <c r="AY690" s="262"/>
      <c r="AZ690" s="262"/>
      <c r="BA690" s="262"/>
      <c r="BB690" s="262"/>
      <c r="BC690" s="262"/>
      <c r="BD690" s="262"/>
      <c r="BE690" s="262"/>
      <c r="BF690" s="262"/>
      <c r="BG690" s="262"/>
      <c r="BH690" s="262"/>
      <c r="BI690" s="262"/>
      <c r="BJ690" s="262"/>
      <c r="BK690" s="262"/>
    </row>
    <row r="691" spans="1:63" ht="12.75" x14ac:dyDescent="0.2">
      <c r="A691" s="263"/>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c r="AA691" s="262"/>
      <c r="AB691" s="262"/>
      <c r="AC691" s="262"/>
      <c r="AD691" s="262"/>
      <c r="AE691" s="262"/>
      <c r="AF691" s="262"/>
      <c r="AG691" s="262"/>
      <c r="AH691" s="262"/>
      <c r="AI691" s="262"/>
      <c r="AJ691" s="262"/>
      <c r="AK691" s="262"/>
      <c r="AL691" s="262"/>
      <c r="AM691" s="262"/>
      <c r="AN691" s="262"/>
      <c r="AO691" s="262"/>
      <c r="AP691" s="262"/>
      <c r="AQ691" s="262"/>
      <c r="AR691" s="262"/>
      <c r="AS691" s="262"/>
      <c r="AT691" s="262"/>
      <c r="AU691" s="262"/>
      <c r="AV691" s="262"/>
      <c r="AW691" s="262"/>
      <c r="AX691" s="262"/>
      <c r="AY691" s="262"/>
      <c r="AZ691" s="262"/>
      <c r="BA691" s="262"/>
      <c r="BB691" s="262"/>
      <c r="BC691" s="262"/>
      <c r="BD691" s="262"/>
      <c r="BE691" s="262"/>
      <c r="BF691" s="262"/>
      <c r="BG691" s="262"/>
      <c r="BH691" s="262"/>
      <c r="BI691" s="262"/>
      <c r="BJ691" s="262"/>
      <c r="BK691" s="262"/>
    </row>
    <row r="692" spans="1:63" ht="12.75" x14ac:dyDescent="0.2">
      <c r="A692" s="263"/>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c r="AA692" s="262"/>
      <c r="AB692" s="262"/>
      <c r="AC692" s="262"/>
      <c r="AD692" s="262"/>
      <c r="AE692" s="262"/>
      <c r="AF692" s="262"/>
      <c r="AG692" s="262"/>
      <c r="AH692" s="262"/>
      <c r="AI692" s="262"/>
      <c r="AJ692" s="262"/>
      <c r="AK692" s="262"/>
      <c r="AL692" s="262"/>
      <c r="AM692" s="262"/>
      <c r="AN692" s="262"/>
      <c r="AO692" s="262"/>
      <c r="AP692" s="262"/>
      <c r="AQ692" s="262"/>
      <c r="AR692" s="262"/>
      <c r="AS692" s="262"/>
      <c r="AT692" s="262"/>
      <c r="AU692" s="262"/>
      <c r="AV692" s="262"/>
      <c r="AW692" s="262"/>
      <c r="AX692" s="262"/>
      <c r="AY692" s="262"/>
      <c r="AZ692" s="262"/>
      <c r="BA692" s="262"/>
      <c r="BB692" s="262"/>
      <c r="BC692" s="262"/>
      <c r="BD692" s="262"/>
      <c r="BE692" s="262"/>
      <c r="BF692" s="262"/>
      <c r="BG692" s="262"/>
      <c r="BH692" s="262"/>
      <c r="BI692" s="262"/>
      <c r="BJ692" s="262"/>
      <c r="BK692" s="262"/>
    </row>
    <row r="693" spans="1:63" ht="12.75" x14ac:dyDescent="0.2">
      <c r="A693" s="263"/>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c r="AA693" s="262"/>
      <c r="AB693" s="262"/>
      <c r="AC693" s="262"/>
      <c r="AD693" s="262"/>
      <c r="AE693" s="262"/>
      <c r="AF693" s="262"/>
      <c r="AG693" s="262"/>
      <c r="AH693" s="262"/>
      <c r="AI693" s="262"/>
      <c r="AJ693" s="262"/>
      <c r="AK693" s="262"/>
      <c r="AL693" s="262"/>
      <c r="AM693" s="262"/>
      <c r="AN693" s="262"/>
      <c r="AO693" s="262"/>
      <c r="AP693" s="262"/>
      <c r="AQ693" s="262"/>
      <c r="AR693" s="262"/>
      <c r="AS693" s="262"/>
      <c r="AT693" s="262"/>
      <c r="AU693" s="262"/>
      <c r="AV693" s="262"/>
      <c r="AW693" s="262"/>
      <c r="AX693" s="262"/>
      <c r="AY693" s="262"/>
      <c r="AZ693" s="262"/>
      <c r="BA693" s="262"/>
      <c r="BB693" s="262"/>
      <c r="BC693" s="262"/>
      <c r="BD693" s="262"/>
      <c r="BE693" s="262"/>
      <c r="BF693" s="262"/>
      <c r="BG693" s="262"/>
      <c r="BH693" s="262"/>
      <c r="BI693" s="262"/>
      <c r="BJ693" s="262"/>
      <c r="BK693" s="262"/>
    </row>
    <row r="694" spans="1:63" ht="12.75" x14ac:dyDescent="0.2">
      <c r="A694" s="263"/>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262"/>
      <c r="AE694" s="262"/>
      <c r="AF694" s="262"/>
      <c r="AG694" s="262"/>
      <c r="AH694" s="262"/>
      <c r="AI694" s="262"/>
      <c r="AJ694" s="262"/>
      <c r="AK694" s="262"/>
      <c r="AL694" s="262"/>
      <c r="AM694" s="262"/>
      <c r="AN694" s="262"/>
      <c r="AO694" s="262"/>
      <c r="AP694" s="262"/>
      <c r="AQ694" s="262"/>
      <c r="AR694" s="262"/>
      <c r="AS694" s="262"/>
      <c r="AT694" s="262"/>
      <c r="AU694" s="262"/>
      <c r="AV694" s="262"/>
      <c r="AW694" s="262"/>
      <c r="AX694" s="262"/>
      <c r="AY694" s="262"/>
      <c r="AZ694" s="262"/>
      <c r="BA694" s="262"/>
      <c r="BB694" s="262"/>
      <c r="BC694" s="262"/>
      <c r="BD694" s="262"/>
      <c r="BE694" s="262"/>
      <c r="BF694" s="262"/>
      <c r="BG694" s="262"/>
      <c r="BH694" s="262"/>
      <c r="BI694" s="262"/>
      <c r="BJ694" s="262"/>
      <c r="BK694" s="262"/>
    </row>
    <row r="695" spans="1:63" ht="12.75" x14ac:dyDescent="0.2">
      <c r="A695" s="263"/>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62"/>
      <c r="AE695" s="262"/>
      <c r="AF695" s="262"/>
      <c r="AG695" s="262"/>
      <c r="AH695" s="262"/>
      <c r="AI695" s="262"/>
      <c r="AJ695" s="262"/>
      <c r="AK695" s="262"/>
      <c r="AL695" s="262"/>
      <c r="AM695" s="262"/>
      <c r="AN695" s="262"/>
      <c r="AO695" s="262"/>
      <c r="AP695" s="262"/>
      <c r="AQ695" s="262"/>
      <c r="AR695" s="262"/>
      <c r="AS695" s="262"/>
      <c r="AT695" s="262"/>
      <c r="AU695" s="262"/>
      <c r="AV695" s="262"/>
      <c r="AW695" s="262"/>
      <c r="AX695" s="262"/>
      <c r="AY695" s="262"/>
      <c r="AZ695" s="262"/>
      <c r="BA695" s="262"/>
      <c r="BB695" s="262"/>
      <c r="BC695" s="262"/>
      <c r="BD695" s="262"/>
      <c r="BE695" s="262"/>
      <c r="BF695" s="262"/>
      <c r="BG695" s="262"/>
      <c r="BH695" s="262"/>
      <c r="BI695" s="262"/>
      <c r="BJ695" s="262"/>
      <c r="BK695" s="262"/>
    </row>
    <row r="696" spans="1:63" ht="12.75" x14ac:dyDescent="0.2">
      <c r="A696" s="263"/>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262"/>
      <c r="AE696" s="262"/>
      <c r="AF696" s="262"/>
      <c r="AG696" s="262"/>
      <c r="AH696" s="262"/>
      <c r="AI696" s="262"/>
      <c r="AJ696" s="262"/>
      <c r="AK696" s="262"/>
      <c r="AL696" s="262"/>
      <c r="AM696" s="262"/>
      <c r="AN696" s="262"/>
      <c r="AO696" s="262"/>
      <c r="AP696" s="262"/>
      <c r="AQ696" s="262"/>
      <c r="AR696" s="262"/>
      <c r="AS696" s="262"/>
      <c r="AT696" s="262"/>
      <c r="AU696" s="262"/>
      <c r="AV696" s="262"/>
      <c r="AW696" s="262"/>
      <c r="AX696" s="262"/>
      <c r="AY696" s="262"/>
      <c r="AZ696" s="262"/>
      <c r="BA696" s="262"/>
      <c r="BB696" s="262"/>
      <c r="BC696" s="262"/>
      <c r="BD696" s="262"/>
      <c r="BE696" s="262"/>
      <c r="BF696" s="262"/>
      <c r="BG696" s="262"/>
      <c r="BH696" s="262"/>
      <c r="BI696" s="262"/>
      <c r="BJ696" s="262"/>
      <c r="BK696" s="262"/>
    </row>
    <row r="697" spans="1:63" ht="12.75" x14ac:dyDescent="0.2">
      <c r="A697" s="263"/>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262"/>
      <c r="AE697" s="262"/>
      <c r="AF697" s="262"/>
      <c r="AG697" s="262"/>
      <c r="AH697" s="262"/>
      <c r="AI697" s="262"/>
      <c r="AJ697" s="262"/>
      <c r="AK697" s="262"/>
      <c r="AL697" s="262"/>
      <c r="AM697" s="262"/>
      <c r="AN697" s="262"/>
      <c r="AO697" s="262"/>
      <c r="AP697" s="262"/>
      <c r="AQ697" s="262"/>
      <c r="AR697" s="262"/>
      <c r="AS697" s="262"/>
      <c r="AT697" s="262"/>
      <c r="AU697" s="262"/>
      <c r="AV697" s="262"/>
      <c r="AW697" s="262"/>
      <c r="AX697" s="262"/>
      <c r="AY697" s="262"/>
      <c r="AZ697" s="262"/>
      <c r="BA697" s="262"/>
      <c r="BB697" s="262"/>
      <c r="BC697" s="262"/>
      <c r="BD697" s="262"/>
      <c r="BE697" s="262"/>
      <c r="BF697" s="262"/>
      <c r="BG697" s="262"/>
      <c r="BH697" s="262"/>
      <c r="BI697" s="262"/>
      <c r="BJ697" s="262"/>
      <c r="BK697" s="262"/>
    </row>
    <row r="698" spans="1:63" ht="12.75" x14ac:dyDescent="0.2">
      <c r="A698" s="263"/>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262"/>
      <c r="AE698" s="262"/>
      <c r="AF698" s="262"/>
      <c r="AG698" s="262"/>
      <c r="AH698" s="262"/>
      <c r="AI698" s="262"/>
      <c r="AJ698" s="262"/>
      <c r="AK698" s="262"/>
      <c r="AL698" s="262"/>
      <c r="AM698" s="262"/>
      <c r="AN698" s="262"/>
      <c r="AO698" s="262"/>
      <c r="AP698" s="262"/>
      <c r="AQ698" s="262"/>
      <c r="AR698" s="262"/>
      <c r="AS698" s="262"/>
      <c r="AT698" s="262"/>
      <c r="AU698" s="262"/>
      <c r="AV698" s="262"/>
      <c r="AW698" s="262"/>
      <c r="AX698" s="262"/>
      <c r="AY698" s="262"/>
      <c r="AZ698" s="262"/>
      <c r="BA698" s="262"/>
      <c r="BB698" s="262"/>
      <c r="BC698" s="262"/>
      <c r="BD698" s="262"/>
      <c r="BE698" s="262"/>
      <c r="BF698" s="262"/>
      <c r="BG698" s="262"/>
      <c r="BH698" s="262"/>
      <c r="BI698" s="262"/>
      <c r="BJ698" s="262"/>
      <c r="BK698" s="262"/>
    </row>
    <row r="699" spans="1:63" ht="12.75" x14ac:dyDescent="0.2">
      <c r="A699" s="263"/>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262"/>
      <c r="AF699" s="262"/>
      <c r="AG699" s="262"/>
      <c r="AH699" s="262"/>
      <c r="AI699" s="262"/>
      <c r="AJ699" s="262"/>
      <c r="AK699" s="262"/>
      <c r="AL699" s="262"/>
      <c r="AM699" s="262"/>
      <c r="AN699" s="262"/>
      <c r="AO699" s="262"/>
      <c r="AP699" s="262"/>
      <c r="AQ699" s="262"/>
      <c r="AR699" s="262"/>
      <c r="AS699" s="262"/>
      <c r="AT699" s="262"/>
      <c r="AU699" s="262"/>
      <c r="AV699" s="262"/>
      <c r="AW699" s="262"/>
      <c r="AX699" s="262"/>
      <c r="AY699" s="262"/>
      <c r="AZ699" s="262"/>
      <c r="BA699" s="262"/>
      <c r="BB699" s="262"/>
      <c r="BC699" s="262"/>
      <c r="BD699" s="262"/>
      <c r="BE699" s="262"/>
      <c r="BF699" s="262"/>
      <c r="BG699" s="262"/>
      <c r="BH699" s="262"/>
      <c r="BI699" s="262"/>
      <c r="BJ699" s="262"/>
      <c r="BK699" s="262"/>
    </row>
    <row r="700" spans="1:63" ht="12.75" x14ac:dyDescent="0.2">
      <c r="A700" s="263"/>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262"/>
      <c r="AF700" s="262"/>
      <c r="AG700" s="262"/>
      <c r="AH700" s="262"/>
      <c r="AI700" s="262"/>
      <c r="AJ700" s="262"/>
      <c r="AK700" s="262"/>
      <c r="AL700" s="262"/>
      <c r="AM700" s="262"/>
      <c r="AN700" s="262"/>
      <c r="AO700" s="262"/>
      <c r="AP700" s="262"/>
      <c r="AQ700" s="262"/>
      <c r="AR700" s="262"/>
      <c r="AS700" s="262"/>
      <c r="AT700" s="262"/>
      <c r="AU700" s="262"/>
      <c r="AV700" s="262"/>
      <c r="AW700" s="262"/>
      <c r="AX700" s="262"/>
      <c r="AY700" s="262"/>
      <c r="AZ700" s="262"/>
      <c r="BA700" s="262"/>
      <c r="BB700" s="262"/>
      <c r="BC700" s="262"/>
      <c r="BD700" s="262"/>
      <c r="BE700" s="262"/>
      <c r="BF700" s="262"/>
      <c r="BG700" s="262"/>
      <c r="BH700" s="262"/>
      <c r="BI700" s="262"/>
      <c r="BJ700" s="262"/>
      <c r="BK700" s="262"/>
    </row>
    <row r="701" spans="1:63" ht="12.75" x14ac:dyDescent="0.2">
      <c r="A701" s="263"/>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c r="AA701" s="262"/>
      <c r="AB701" s="262"/>
      <c r="AC701" s="262"/>
      <c r="AD701" s="262"/>
      <c r="AE701" s="262"/>
      <c r="AF701" s="262"/>
      <c r="AG701" s="262"/>
      <c r="AH701" s="262"/>
      <c r="AI701" s="262"/>
      <c r="AJ701" s="262"/>
      <c r="AK701" s="262"/>
      <c r="AL701" s="262"/>
      <c r="AM701" s="262"/>
      <c r="AN701" s="262"/>
      <c r="AO701" s="262"/>
      <c r="AP701" s="262"/>
      <c r="AQ701" s="262"/>
      <c r="AR701" s="262"/>
      <c r="AS701" s="262"/>
      <c r="AT701" s="262"/>
      <c r="AU701" s="262"/>
      <c r="AV701" s="262"/>
      <c r="AW701" s="262"/>
      <c r="AX701" s="262"/>
      <c r="AY701" s="262"/>
      <c r="AZ701" s="262"/>
      <c r="BA701" s="262"/>
      <c r="BB701" s="262"/>
      <c r="BC701" s="262"/>
      <c r="BD701" s="262"/>
      <c r="BE701" s="262"/>
      <c r="BF701" s="262"/>
      <c r="BG701" s="262"/>
      <c r="BH701" s="262"/>
      <c r="BI701" s="262"/>
      <c r="BJ701" s="262"/>
      <c r="BK701" s="262"/>
    </row>
    <row r="702" spans="1:63" ht="12.75" x14ac:dyDescent="0.2">
      <c r="A702" s="263"/>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c r="AA702" s="262"/>
      <c r="AB702" s="262"/>
      <c r="AC702" s="262"/>
      <c r="AD702" s="262"/>
      <c r="AE702" s="262"/>
      <c r="AF702" s="262"/>
      <c r="AG702" s="262"/>
      <c r="AH702" s="262"/>
      <c r="AI702" s="262"/>
      <c r="AJ702" s="262"/>
      <c r="AK702" s="262"/>
      <c r="AL702" s="262"/>
      <c r="AM702" s="262"/>
      <c r="AN702" s="262"/>
      <c r="AO702" s="262"/>
      <c r="AP702" s="262"/>
      <c r="AQ702" s="262"/>
      <c r="AR702" s="262"/>
      <c r="AS702" s="262"/>
      <c r="AT702" s="262"/>
      <c r="AU702" s="262"/>
      <c r="AV702" s="262"/>
      <c r="AW702" s="262"/>
      <c r="AX702" s="262"/>
      <c r="AY702" s="262"/>
      <c r="AZ702" s="262"/>
      <c r="BA702" s="262"/>
      <c r="BB702" s="262"/>
      <c r="BC702" s="262"/>
      <c r="BD702" s="262"/>
      <c r="BE702" s="262"/>
      <c r="BF702" s="262"/>
      <c r="BG702" s="262"/>
      <c r="BH702" s="262"/>
      <c r="BI702" s="262"/>
      <c r="BJ702" s="262"/>
      <c r="BK702" s="262"/>
    </row>
    <row r="703" spans="1:63" ht="12.75" x14ac:dyDescent="0.2">
      <c r="A703" s="263"/>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c r="AA703" s="262"/>
      <c r="AB703" s="262"/>
      <c r="AC703" s="262"/>
      <c r="AD703" s="262"/>
      <c r="AE703" s="262"/>
      <c r="AF703" s="262"/>
      <c r="AG703" s="262"/>
      <c r="AH703" s="262"/>
      <c r="AI703" s="262"/>
      <c r="AJ703" s="262"/>
      <c r="AK703" s="262"/>
      <c r="AL703" s="262"/>
      <c r="AM703" s="262"/>
      <c r="AN703" s="262"/>
      <c r="AO703" s="262"/>
      <c r="AP703" s="262"/>
      <c r="AQ703" s="262"/>
      <c r="AR703" s="262"/>
      <c r="AS703" s="262"/>
      <c r="AT703" s="262"/>
      <c r="AU703" s="262"/>
      <c r="AV703" s="262"/>
      <c r="AW703" s="262"/>
      <c r="AX703" s="262"/>
      <c r="AY703" s="262"/>
      <c r="AZ703" s="262"/>
      <c r="BA703" s="262"/>
      <c r="BB703" s="262"/>
      <c r="BC703" s="262"/>
      <c r="BD703" s="262"/>
      <c r="BE703" s="262"/>
      <c r="BF703" s="262"/>
      <c r="BG703" s="262"/>
      <c r="BH703" s="262"/>
      <c r="BI703" s="262"/>
      <c r="BJ703" s="262"/>
      <c r="BK703" s="262"/>
    </row>
    <row r="704" spans="1:63" ht="12.75" x14ac:dyDescent="0.2">
      <c r="A704" s="263"/>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c r="AA704" s="262"/>
      <c r="AB704" s="262"/>
      <c r="AC704" s="262"/>
      <c r="AD704" s="262"/>
      <c r="AE704" s="262"/>
      <c r="AF704" s="262"/>
      <c r="AG704" s="262"/>
      <c r="AH704" s="262"/>
      <c r="AI704" s="262"/>
      <c r="AJ704" s="262"/>
      <c r="AK704" s="262"/>
      <c r="AL704" s="262"/>
      <c r="AM704" s="262"/>
      <c r="AN704" s="262"/>
      <c r="AO704" s="262"/>
      <c r="AP704" s="262"/>
      <c r="AQ704" s="262"/>
      <c r="AR704" s="262"/>
      <c r="AS704" s="262"/>
      <c r="AT704" s="262"/>
      <c r="AU704" s="262"/>
      <c r="AV704" s="262"/>
      <c r="AW704" s="262"/>
      <c r="AX704" s="262"/>
      <c r="AY704" s="262"/>
      <c r="AZ704" s="262"/>
      <c r="BA704" s="262"/>
      <c r="BB704" s="262"/>
      <c r="BC704" s="262"/>
      <c r="BD704" s="262"/>
      <c r="BE704" s="262"/>
      <c r="BF704" s="262"/>
      <c r="BG704" s="262"/>
      <c r="BH704" s="262"/>
      <c r="BI704" s="262"/>
      <c r="BJ704" s="262"/>
      <c r="BK704" s="262"/>
    </row>
    <row r="705" spans="1:63" ht="12.75" x14ac:dyDescent="0.2">
      <c r="A705" s="263"/>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c r="AA705" s="262"/>
      <c r="AB705" s="262"/>
      <c r="AC705" s="262"/>
      <c r="AD705" s="262"/>
      <c r="AE705" s="262"/>
      <c r="AF705" s="262"/>
      <c r="AG705" s="262"/>
      <c r="AH705" s="262"/>
      <c r="AI705" s="262"/>
      <c r="AJ705" s="262"/>
      <c r="AK705" s="262"/>
      <c r="AL705" s="262"/>
      <c r="AM705" s="262"/>
      <c r="AN705" s="262"/>
      <c r="AO705" s="262"/>
      <c r="AP705" s="262"/>
      <c r="AQ705" s="262"/>
      <c r="AR705" s="262"/>
      <c r="AS705" s="262"/>
      <c r="AT705" s="262"/>
      <c r="AU705" s="262"/>
      <c r="AV705" s="262"/>
      <c r="AW705" s="262"/>
      <c r="AX705" s="262"/>
      <c r="AY705" s="262"/>
      <c r="AZ705" s="262"/>
      <c r="BA705" s="262"/>
      <c r="BB705" s="262"/>
      <c r="BC705" s="262"/>
      <c r="BD705" s="262"/>
      <c r="BE705" s="262"/>
      <c r="BF705" s="262"/>
      <c r="BG705" s="262"/>
      <c r="BH705" s="262"/>
      <c r="BI705" s="262"/>
      <c r="BJ705" s="262"/>
      <c r="BK705" s="262"/>
    </row>
    <row r="706" spans="1:63" ht="12.75" x14ac:dyDescent="0.2">
      <c r="A706" s="263"/>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c r="AA706" s="262"/>
      <c r="AB706" s="262"/>
      <c r="AC706" s="262"/>
      <c r="AD706" s="262"/>
      <c r="AE706" s="262"/>
      <c r="AF706" s="262"/>
      <c r="AG706" s="262"/>
      <c r="AH706" s="262"/>
      <c r="AI706" s="262"/>
      <c r="AJ706" s="262"/>
      <c r="AK706" s="262"/>
      <c r="AL706" s="262"/>
      <c r="AM706" s="262"/>
      <c r="AN706" s="262"/>
      <c r="AO706" s="262"/>
      <c r="AP706" s="262"/>
      <c r="AQ706" s="262"/>
      <c r="AR706" s="262"/>
      <c r="AS706" s="262"/>
      <c r="AT706" s="262"/>
      <c r="AU706" s="262"/>
      <c r="AV706" s="262"/>
      <c r="AW706" s="262"/>
      <c r="AX706" s="262"/>
      <c r="AY706" s="262"/>
      <c r="AZ706" s="262"/>
      <c r="BA706" s="262"/>
      <c r="BB706" s="262"/>
      <c r="BC706" s="262"/>
      <c r="BD706" s="262"/>
      <c r="BE706" s="262"/>
      <c r="BF706" s="262"/>
      <c r="BG706" s="262"/>
      <c r="BH706" s="262"/>
      <c r="BI706" s="262"/>
      <c r="BJ706" s="262"/>
      <c r="BK706" s="262"/>
    </row>
    <row r="707" spans="1:63" ht="12.75" x14ac:dyDescent="0.2">
      <c r="A707" s="263"/>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262"/>
      <c r="AE707" s="262"/>
      <c r="AF707" s="262"/>
      <c r="AG707" s="262"/>
      <c r="AH707" s="262"/>
      <c r="AI707" s="262"/>
      <c r="AJ707" s="262"/>
      <c r="AK707" s="262"/>
      <c r="AL707" s="262"/>
      <c r="AM707" s="262"/>
      <c r="AN707" s="262"/>
      <c r="AO707" s="262"/>
      <c r="AP707" s="262"/>
      <c r="AQ707" s="262"/>
      <c r="AR707" s="262"/>
      <c r="AS707" s="262"/>
      <c r="AT707" s="262"/>
      <c r="AU707" s="262"/>
      <c r="AV707" s="262"/>
      <c r="AW707" s="262"/>
      <c r="AX707" s="262"/>
      <c r="AY707" s="262"/>
      <c r="AZ707" s="262"/>
      <c r="BA707" s="262"/>
      <c r="BB707" s="262"/>
      <c r="BC707" s="262"/>
      <c r="BD707" s="262"/>
      <c r="BE707" s="262"/>
      <c r="BF707" s="262"/>
      <c r="BG707" s="262"/>
      <c r="BH707" s="262"/>
      <c r="BI707" s="262"/>
      <c r="BJ707" s="262"/>
      <c r="BK707" s="262"/>
    </row>
    <row r="708" spans="1:63" ht="12.75" x14ac:dyDescent="0.2">
      <c r="A708" s="263"/>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262"/>
      <c r="AE708" s="262"/>
      <c r="AF708" s="262"/>
      <c r="AG708" s="262"/>
      <c r="AH708" s="262"/>
      <c r="AI708" s="262"/>
      <c r="AJ708" s="262"/>
      <c r="AK708" s="262"/>
      <c r="AL708" s="262"/>
      <c r="AM708" s="262"/>
      <c r="AN708" s="262"/>
      <c r="AO708" s="262"/>
      <c r="AP708" s="262"/>
      <c r="AQ708" s="262"/>
      <c r="AR708" s="262"/>
      <c r="AS708" s="262"/>
      <c r="AT708" s="262"/>
      <c r="AU708" s="262"/>
      <c r="AV708" s="262"/>
      <c r="AW708" s="262"/>
      <c r="AX708" s="262"/>
      <c r="AY708" s="262"/>
      <c r="AZ708" s="262"/>
      <c r="BA708" s="262"/>
      <c r="BB708" s="262"/>
      <c r="BC708" s="262"/>
      <c r="BD708" s="262"/>
      <c r="BE708" s="262"/>
      <c r="BF708" s="262"/>
      <c r="BG708" s="262"/>
      <c r="BH708" s="262"/>
      <c r="BI708" s="262"/>
      <c r="BJ708" s="262"/>
      <c r="BK708" s="262"/>
    </row>
    <row r="709" spans="1:63" ht="12.75" x14ac:dyDescent="0.2">
      <c r="A709" s="263"/>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262"/>
      <c r="AF709" s="262"/>
      <c r="AG709" s="262"/>
      <c r="AH709" s="262"/>
      <c r="AI709" s="262"/>
      <c r="AJ709" s="262"/>
      <c r="AK709" s="262"/>
      <c r="AL709" s="262"/>
      <c r="AM709" s="262"/>
      <c r="AN709" s="262"/>
      <c r="AO709" s="262"/>
      <c r="AP709" s="262"/>
      <c r="AQ709" s="262"/>
      <c r="AR709" s="262"/>
      <c r="AS709" s="262"/>
      <c r="AT709" s="262"/>
      <c r="AU709" s="262"/>
      <c r="AV709" s="262"/>
      <c r="AW709" s="262"/>
      <c r="AX709" s="262"/>
      <c r="AY709" s="262"/>
      <c r="AZ709" s="262"/>
      <c r="BA709" s="262"/>
      <c r="BB709" s="262"/>
      <c r="BC709" s="262"/>
      <c r="BD709" s="262"/>
      <c r="BE709" s="262"/>
      <c r="BF709" s="262"/>
      <c r="BG709" s="262"/>
      <c r="BH709" s="262"/>
      <c r="BI709" s="262"/>
      <c r="BJ709" s="262"/>
      <c r="BK709" s="262"/>
    </row>
    <row r="710" spans="1:63" ht="12.75" x14ac:dyDescent="0.2">
      <c r="A710" s="263"/>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262"/>
      <c r="AE710" s="262"/>
      <c r="AF710" s="262"/>
      <c r="AG710" s="262"/>
      <c r="AH710" s="262"/>
      <c r="AI710" s="262"/>
      <c r="AJ710" s="262"/>
      <c r="AK710" s="262"/>
      <c r="AL710" s="262"/>
      <c r="AM710" s="262"/>
      <c r="AN710" s="262"/>
      <c r="AO710" s="262"/>
      <c r="AP710" s="262"/>
      <c r="AQ710" s="262"/>
      <c r="AR710" s="262"/>
      <c r="AS710" s="262"/>
      <c r="AT710" s="262"/>
      <c r="AU710" s="262"/>
      <c r="AV710" s="262"/>
      <c r="AW710" s="262"/>
      <c r="AX710" s="262"/>
      <c r="AY710" s="262"/>
      <c r="AZ710" s="262"/>
      <c r="BA710" s="262"/>
      <c r="BB710" s="262"/>
      <c r="BC710" s="262"/>
      <c r="BD710" s="262"/>
      <c r="BE710" s="262"/>
      <c r="BF710" s="262"/>
      <c r="BG710" s="262"/>
      <c r="BH710" s="262"/>
      <c r="BI710" s="262"/>
      <c r="BJ710" s="262"/>
      <c r="BK710" s="262"/>
    </row>
    <row r="711" spans="1:63" ht="12.75" x14ac:dyDescent="0.2">
      <c r="A711" s="263"/>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262"/>
      <c r="AE711" s="262"/>
      <c r="AF711" s="262"/>
      <c r="AG711" s="262"/>
      <c r="AH711" s="262"/>
      <c r="AI711" s="262"/>
      <c r="AJ711" s="262"/>
      <c r="AK711" s="262"/>
      <c r="AL711" s="262"/>
      <c r="AM711" s="262"/>
      <c r="AN711" s="262"/>
      <c r="AO711" s="262"/>
      <c r="AP711" s="262"/>
      <c r="AQ711" s="262"/>
      <c r="AR711" s="262"/>
      <c r="AS711" s="262"/>
      <c r="AT711" s="262"/>
      <c r="AU711" s="262"/>
      <c r="AV711" s="262"/>
      <c r="AW711" s="262"/>
      <c r="AX711" s="262"/>
      <c r="AY711" s="262"/>
      <c r="AZ711" s="262"/>
      <c r="BA711" s="262"/>
      <c r="BB711" s="262"/>
      <c r="BC711" s="262"/>
      <c r="BD711" s="262"/>
      <c r="BE711" s="262"/>
      <c r="BF711" s="262"/>
      <c r="BG711" s="262"/>
      <c r="BH711" s="262"/>
      <c r="BI711" s="262"/>
      <c r="BJ711" s="262"/>
      <c r="BK711" s="262"/>
    </row>
    <row r="712" spans="1:63" ht="12.75" x14ac:dyDescent="0.2">
      <c r="A712" s="263"/>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262"/>
      <c r="AE712" s="262"/>
      <c r="AF712" s="262"/>
      <c r="AG712" s="262"/>
      <c r="AH712" s="262"/>
      <c r="AI712" s="262"/>
      <c r="AJ712" s="262"/>
      <c r="AK712" s="262"/>
      <c r="AL712" s="262"/>
      <c r="AM712" s="262"/>
      <c r="AN712" s="262"/>
      <c r="AO712" s="262"/>
      <c r="AP712" s="262"/>
      <c r="AQ712" s="262"/>
      <c r="AR712" s="262"/>
      <c r="AS712" s="262"/>
      <c r="AT712" s="262"/>
      <c r="AU712" s="262"/>
      <c r="AV712" s="262"/>
      <c r="AW712" s="262"/>
      <c r="AX712" s="262"/>
      <c r="AY712" s="262"/>
      <c r="AZ712" s="262"/>
      <c r="BA712" s="262"/>
      <c r="BB712" s="262"/>
      <c r="BC712" s="262"/>
      <c r="BD712" s="262"/>
      <c r="BE712" s="262"/>
      <c r="BF712" s="262"/>
      <c r="BG712" s="262"/>
      <c r="BH712" s="262"/>
      <c r="BI712" s="262"/>
      <c r="BJ712" s="262"/>
      <c r="BK712" s="262"/>
    </row>
    <row r="713" spans="1:63" ht="12.75" x14ac:dyDescent="0.2">
      <c r="A713" s="263"/>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262"/>
      <c r="AE713" s="262"/>
      <c r="AF713" s="262"/>
      <c r="AG713" s="262"/>
      <c r="AH713" s="262"/>
      <c r="AI713" s="262"/>
      <c r="AJ713" s="262"/>
      <c r="AK713" s="262"/>
      <c r="AL713" s="262"/>
      <c r="AM713" s="262"/>
      <c r="AN713" s="262"/>
      <c r="AO713" s="262"/>
      <c r="AP713" s="262"/>
      <c r="AQ713" s="262"/>
      <c r="AR713" s="262"/>
      <c r="AS713" s="262"/>
      <c r="AT713" s="262"/>
      <c r="AU713" s="262"/>
      <c r="AV713" s="262"/>
      <c r="AW713" s="262"/>
      <c r="AX713" s="262"/>
      <c r="AY713" s="262"/>
      <c r="AZ713" s="262"/>
      <c r="BA713" s="262"/>
      <c r="BB713" s="262"/>
      <c r="BC713" s="262"/>
      <c r="BD713" s="262"/>
      <c r="BE713" s="262"/>
      <c r="BF713" s="262"/>
      <c r="BG713" s="262"/>
      <c r="BH713" s="262"/>
      <c r="BI713" s="262"/>
      <c r="BJ713" s="262"/>
      <c r="BK713" s="262"/>
    </row>
    <row r="714" spans="1:63" ht="12.75" x14ac:dyDescent="0.2">
      <c r="A714" s="263"/>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262"/>
      <c r="AE714" s="262"/>
      <c r="AF714" s="262"/>
      <c r="AG714" s="262"/>
      <c r="AH714" s="262"/>
      <c r="AI714" s="262"/>
      <c r="AJ714" s="262"/>
      <c r="AK714" s="262"/>
      <c r="AL714" s="262"/>
      <c r="AM714" s="262"/>
      <c r="AN714" s="262"/>
      <c r="AO714" s="262"/>
      <c r="AP714" s="262"/>
      <c r="AQ714" s="262"/>
      <c r="AR714" s="262"/>
      <c r="AS714" s="262"/>
      <c r="AT714" s="262"/>
      <c r="AU714" s="262"/>
      <c r="AV714" s="262"/>
      <c r="AW714" s="262"/>
      <c r="AX714" s="262"/>
      <c r="AY714" s="262"/>
      <c r="AZ714" s="262"/>
      <c r="BA714" s="262"/>
      <c r="BB714" s="262"/>
      <c r="BC714" s="262"/>
      <c r="BD714" s="262"/>
      <c r="BE714" s="262"/>
      <c r="BF714" s="262"/>
      <c r="BG714" s="262"/>
      <c r="BH714" s="262"/>
      <c r="BI714" s="262"/>
      <c r="BJ714" s="262"/>
      <c r="BK714" s="262"/>
    </row>
    <row r="715" spans="1:63" ht="12.75" x14ac:dyDescent="0.2">
      <c r="A715" s="263"/>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262"/>
      <c r="AE715" s="262"/>
      <c r="AF715" s="262"/>
      <c r="AG715" s="262"/>
      <c r="AH715" s="262"/>
      <c r="AI715" s="262"/>
      <c r="AJ715" s="262"/>
      <c r="AK715" s="262"/>
      <c r="AL715" s="262"/>
      <c r="AM715" s="262"/>
      <c r="AN715" s="262"/>
      <c r="AO715" s="262"/>
      <c r="AP715" s="262"/>
      <c r="AQ715" s="262"/>
      <c r="AR715" s="262"/>
      <c r="AS715" s="262"/>
      <c r="AT715" s="262"/>
      <c r="AU715" s="262"/>
      <c r="AV715" s="262"/>
      <c r="AW715" s="262"/>
      <c r="AX715" s="262"/>
      <c r="AY715" s="262"/>
      <c r="AZ715" s="262"/>
      <c r="BA715" s="262"/>
      <c r="BB715" s="262"/>
      <c r="BC715" s="262"/>
      <c r="BD715" s="262"/>
      <c r="BE715" s="262"/>
      <c r="BF715" s="262"/>
      <c r="BG715" s="262"/>
      <c r="BH715" s="262"/>
      <c r="BI715" s="262"/>
      <c r="BJ715" s="262"/>
      <c r="BK715" s="262"/>
    </row>
    <row r="716" spans="1:63" ht="12.75" x14ac:dyDescent="0.2">
      <c r="A716" s="263"/>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262"/>
      <c r="AE716" s="262"/>
      <c r="AF716" s="262"/>
      <c r="AG716" s="262"/>
      <c r="AH716" s="262"/>
      <c r="AI716" s="262"/>
      <c r="AJ716" s="262"/>
      <c r="AK716" s="262"/>
      <c r="AL716" s="262"/>
      <c r="AM716" s="262"/>
      <c r="AN716" s="262"/>
      <c r="AO716" s="262"/>
      <c r="AP716" s="262"/>
      <c r="AQ716" s="262"/>
      <c r="AR716" s="262"/>
      <c r="AS716" s="262"/>
      <c r="AT716" s="262"/>
      <c r="AU716" s="262"/>
      <c r="AV716" s="262"/>
      <c r="AW716" s="262"/>
      <c r="AX716" s="262"/>
      <c r="AY716" s="262"/>
      <c r="AZ716" s="262"/>
      <c r="BA716" s="262"/>
      <c r="BB716" s="262"/>
      <c r="BC716" s="262"/>
      <c r="BD716" s="262"/>
      <c r="BE716" s="262"/>
      <c r="BF716" s="262"/>
      <c r="BG716" s="262"/>
      <c r="BH716" s="262"/>
      <c r="BI716" s="262"/>
      <c r="BJ716" s="262"/>
      <c r="BK716" s="262"/>
    </row>
    <row r="717" spans="1:63" ht="12.75" x14ac:dyDescent="0.2">
      <c r="A717" s="263"/>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F717" s="262"/>
      <c r="AG717" s="262"/>
      <c r="AH717" s="262"/>
      <c r="AI717" s="262"/>
      <c r="AJ717" s="262"/>
      <c r="AK717" s="262"/>
      <c r="AL717" s="262"/>
      <c r="AM717" s="262"/>
      <c r="AN717" s="262"/>
      <c r="AO717" s="262"/>
      <c r="AP717" s="262"/>
      <c r="AQ717" s="262"/>
      <c r="AR717" s="262"/>
      <c r="AS717" s="262"/>
      <c r="AT717" s="262"/>
      <c r="AU717" s="262"/>
      <c r="AV717" s="262"/>
      <c r="AW717" s="262"/>
      <c r="AX717" s="262"/>
      <c r="AY717" s="262"/>
      <c r="AZ717" s="262"/>
      <c r="BA717" s="262"/>
      <c r="BB717" s="262"/>
      <c r="BC717" s="262"/>
      <c r="BD717" s="262"/>
      <c r="BE717" s="262"/>
      <c r="BF717" s="262"/>
      <c r="BG717" s="262"/>
      <c r="BH717" s="262"/>
      <c r="BI717" s="262"/>
      <c r="BJ717" s="262"/>
      <c r="BK717" s="262"/>
    </row>
    <row r="718" spans="1:63" ht="12.75" x14ac:dyDescent="0.2">
      <c r="A718" s="263"/>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262"/>
      <c r="AE718" s="262"/>
      <c r="AF718" s="262"/>
      <c r="AG718" s="262"/>
      <c r="AH718" s="262"/>
      <c r="AI718" s="262"/>
      <c r="AJ718" s="262"/>
      <c r="AK718" s="262"/>
      <c r="AL718" s="262"/>
      <c r="AM718" s="262"/>
      <c r="AN718" s="262"/>
      <c r="AO718" s="262"/>
      <c r="AP718" s="262"/>
      <c r="AQ718" s="262"/>
      <c r="AR718" s="262"/>
      <c r="AS718" s="262"/>
      <c r="AT718" s="262"/>
      <c r="AU718" s="262"/>
      <c r="AV718" s="262"/>
      <c r="AW718" s="262"/>
      <c r="AX718" s="262"/>
      <c r="AY718" s="262"/>
      <c r="AZ718" s="262"/>
      <c r="BA718" s="262"/>
      <c r="BB718" s="262"/>
      <c r="BC718" s="262"/>
      <c r="BD718" s="262"/>
      <c r="BE718" s="262"/>
      <c r="BF718" s="262"/>
      <c r="BG718" s="262"/>
      <c r="BH718" s="262"/>
      <c r="BI718" s="262"/>
      <c r="BJ718" s="262"/>
      <c r="BK718" s="262"/>
    </row>
    <row r="719" spans="1:63" ht="12.75" x14ac:dyDescent="0.2">
      <c r="A719" s="263"/>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262"/>
      <c r="AE719" s="262"/>
      <c r="AF719" s="262"/>
      <c r="AG719" s="262"/>
      <c r="AH719" s="262"/>
      <c r="AI719" s="262"/>
      <c r="AJ719" s="262"/>
      <c r="AK719" s="262"/>
      <c r="AL719" s="262"/>
      <c r="AM719" s="262"/>
      <c r="AN719" s="262"/>
      <c r="AO719" s="262"/>
      <c r="AP719" s="262"/>
      <c r="AQ719" s="262"/>
      <c r="AR719" s="262"/>
      <c r="AS719" s="262"/>
      <c r="AT719" s="262"/>
      <c r="AU719" s="262"/>
      <c r="AV719" s="262"/>
      <c r="AW719" s="262"/>
      <c r="AX719" s="262"/>
      <c r="AY719" s="262"/>
      <c r="AZ719" s="262"/>
      <c r="BA719" s="262"/>
      <c r="BB719" s="262"/>
      <c r="BC719" s="262"/>
      <c r="BD719" s="262"/>
      <c r="BE719" s="262"/>
      <c r="BF719" s="262"/>
      <c r="BG719" s="262"/>
      <c r="BH719" s="262"/>
      <c r="BI719" s="262"/>
      <c r="BJ719" s="262"/>
      <c r="BK719" s="262"/>
    </row>
    <row r="720" spans="1:63" ht="12.75" x14ac:dyDescent="0.2">
      <c r="A720" s="263"/>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262"/>
      <c r="AE720" s="262"/>
      <c r="AF720" s="262"/>
      <c r="AG720" s="262"/>
      <c r="AH720" s="262"/>
      <c r="AI720" s="262"/>
      <c r="AJ720" s="262"/>
      <c r="AK720" s="262"/>
      <c r="AL720" s="262"/>
      <c r="AM720" s="262"/>
      <c r="AN720" s="262"/>
      <c r="AO720" s="262"/>
      <c r="AP720" s="262"/>
      <c r="AQ720" s="262"/>
      <c r="AR720" s="262"/>
      <c r="AS720" s="262"/>
      <c r="AT720" s="262"/>
      <c r="AU720" s="262"/>
      <c r="AV720" s="262"/>
      <c r="AW720" s="262"/>
      <c r="AX720" s="262"/>
      <c r="AY720" s="262"/>
      <c r="AZ720" s="262"/>
      <c r="BA720" s="262"/>
      <c r="BB720" s="262"/>
      <c r="BC720" s="262"/>
      <c r="BD720" s="262"/>
      <c r="BE720" s="262"/>
      <c r="BF720" s="262"/>
      <c r="BG720" s="262"/>
      <c r="BH720" s="262"/>
      <c r="BI720" s="262"/>
      <c r="BJ720" s="262"/>
      <c r="BK720" s="262"/>
    </row>
    <row r="721" spans="1:63" ht="12.75" x14ac:dyDescent="0.2">
      <c r="A721" s="263"/>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262"/>
      <c r="AE721" s="262"/>
      <c r="AF721" s="262"/>
      <c r="AG721" s="262"/>
      <c r="AH721" s="262"/>
      <c r="AI721" s="262"/>
      <c r="AJ721" s="262"/>
      <c r="AK721" s="262"/>
      <c r="AL721" s="262"/>
      <c r="AM721" s="262"/>
      <c r="AN721" s="262"/>
      <c r="AO721" s="262"/>
      <c r="AP721" s="262"/>
      <c r="AQ721" s="262"/>
      <c r="AR721" s="262"/>
      <c r="AS721" s="262"/>
      <c r="AT721" s="262"/>
      <c r="AU721" s="262"/>
      <c r="AV721" s="262"/>
      <c r="AW721" s="262"/>
      <c r="AX721" s="262"/>
      <c r="AY721" s="262"/>
      <c r="AZ721" s="262"/>
      <c r="BA721" s="262"/>
      <c r="BB721" s="262"/>
      <c r="BC721" s="262"/>
      <c r="BD721" s="262"/>
      <c r="BE721" s="262"/>
      <c r="BF721" s="262"/>
      <c r="BG721" s="262"/>
      <c r="BH721" s="262"/>
      <c r="BI721" s="262"/>
      <c r="BJ721" s="262"/>
      <c r="BK721" s="262"/>
    </row>
    <row r="722" spans="1:63" ht="12.75" x14ac:dyDescent="0.2">
      <c r="A722" s="263"/>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c r="AA722" s="262"/>
      <c r="AB722" s="262"/>
      <c r="AC722" s="262"/>
      <c r="AD722" s="262"/>
      <c r="AE722" s="262"/>
      <c r="AF722" s="262"/>
      <c r="AG722" s="262"/>
      <c r="AH722" s="262"/>
      <c r="AI722" s="262"/>
      <c r="AJ722" s="262"/>
      <c r="AK722" s="262"/>
      <c r="AL722" s="262"/>
      <c r="AM722" s="262"/>
      <c r="AN722" s="262"/>
      <c r="AO722" s="262"/>
      <c r="AP722" s="262"/>
      <c r="AQ722" s="262"/>
      <c r="AR722" s="262"/>
      <c r="AS722" s="262"/>
      <c r="AT722" s="262"/>
      <c r="AU722" s="262"/>
      <c r="AV722" s="262"/>
      <c r="AW722" s="262"/>
      <c r="AX722" s="262"/>
      <c r="AY722" s="262"/>
      <c r="AZ722" s="262"/>
      <c r="BA722" s="262"/>
      <c r="BB722" s="262"/>
      <c r="BC722" s="262"/>
      <c r="BD722" s="262"/>
      <c r="BE722" s="262"/>
      <c r="BF722" s="262"/>
      <c r="BG722" s="262"/>
      <c r="BH722" s="262"/>
      <c r="BI722" s="262"/>
      <c r="BJ722" s="262"/>
      <c r="BK722" s="262"/>
    </row>
    <row r="723" spans="1:63" ht="12.75" x14ac:dyDescent="0.2">
      <c r="A723" s="263"/>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c r="AA723" s="262"/>
      <c r="AB723" s="262"/>
      <c r="AC723" s="262"/>
      <c r="AD723" s="262"/>
      <c r="AE723" s="262"/>
      <c r="AF723" s="262"/>
      <c r="AG723" s="262"/>
      <c r="AH723" s="262"/>
      <c r="AI723" s="262"/>
      <c r="AJ723" s="262"/>
      <c r="AK723" s="262"/>
      <c r="AL723" s="262"/>
      <c r="AM723" s="262"/>
      <c r="AN723" s="262"/>
      <c r="AO723" s="262"/>
      <c r="AP723" s="262"/>
      <c r="AQ723" s="262"/>
      <c r="AR723" s="262"/>
      <c r="AS723" s="262"/>
      <c r="AT723" s="262"/>
      <c r="AU723" s="262"/>
      <c r="AV723" s="262"/>
      <c r="AW723" s="262"/>
      <c r="AX723" s="262"/>
      <c r="AY723" s="262"/>
      <c r="AZ723" s="262"/>
      <c r="BA723" s="262"/>
      <c r="BB723" s="262"/>
      <c r="BC723" s="262"/>
      <c r="BD723" s="262"/>
      <c r="BE723" s="262"/>
      <c r="BF723" s="262"/>
      <c r="BG723" s="262"/>
      <c r="BH723" s="262"/>
      <c r="BI723" s="262"/>
      <c r="BJ723" s="262"/>
      <c r="BK723" s="262"/>
    </row>
    <row r="724" spans="1:63" ht="12.75" x14ac:dyDescent="0.2">
      <c r="A724" s="263"/>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c r="AA724" s="262"/>
      <c r="AB724" s="262"/>
      <c r="AC724" s="262"/>
      <c r="AD724" s="262"/>
      <c r="AE724" s="262"/>
      <c r="AF724" s="262"/>
      <c r="AG724" s="262"/>
      <c r="AH724" s="262"/>
      <c r="AI724" s="262"/>
      <c r="AJ724" s="262"/>
      <c r="AK724" s="262"/>
      <c r="AL724" s="262"/>
      <c r="AM724" s="262"/>
      <c r="AN724" s="262"/>
      <c r="AO724" s="262"/>
      <c r="AP724" s="262"/>
      <c r="AQ724" s="262"/>
      <c r="AR724" s="262"/>
      <c r="AS724" s="262"/>
      <c r="AT724" s="262"/>
      <c r="AU724" s="262"/>
      <c r="AV724" s="262"/>
      <c r="AW724" s="262"/>
      <c r="AX724" s="262"/>
      <c r="AY724" s="262"/>
      <c r="AZ724" s="262"/>
      <c r="BA724" s="262"/>
      <c r="BB724" s="262"/>
      <c r="BC724" s="262"/>
      <c r="BD724" s="262"/>
      <c r="BE724" s="262"/>
      <c r="BF724" s="262"/>
      <c r="BG724" s="262"/>
      <c r="BH724" s="262"/>
      <c r="BI724" s="262"/>
      <c r="BJ724" s="262"/>
      <c r="BK724" s="262"/>
    </row>
    <row r="725" spans="1:63" ht="12.75" x14ac:dyDescent="0.2">
      <c r="A725" s="263"/>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c r="AA725" s="262"/>
      <c r="AB725" s="262"/>
      <c r="AC725" s="262"/>
      <c r="AD725" s="262"/>
      <c r="AE725" s="262"/>
      <c r="AF725" s="262"/>
      <c r="AG725" s="262"/>
      <c r="AH725" s="262"/>
      <c r="AI725" s="262"/>
      <c r="AJ725" s="262"/>
      <c r="AK725" s="262"/>
      <c r="AL725" s="262"/>
      <c r="AM725" s="262"/>
      <c r="AN725" s="262"/>
      <c r="AO725" s="262"/>
      <c r="AP725" s="262"/>
      <c r="AQ725" s="262"/>
      <c r="AR725" s="262"/>
      <c r="AS725" s="262"/>
      <c r="AT725" s="262"/>
      <c r="AU725" s="262"/>
      <c r="AV725" s="262"/>
      <c r="AW725" s="262"/>
      <c r="AX725" s="262"/>
      <c r="AY725" s="262"/>
      <c r="AZ725" s="262"/>
      <c r="BA725" s="262"/>
      <c r="BB725" s="262"/>
      <c r="BC725" s="262"/>
      <c r="BD725" s="262"/>
      <c r="BE725" s="262"/>
      <c r="BF725" s="262"/>
      <c r="BG725" s="262"/>
      <c r="BH725" s="262"/>
      <c r="BI725" s="262"/>
      <c r="BJ725" s="262"/>
      <c r="BK725" s="262"/>
    </row>
    <row r="726" spans="1:63" ht="12.75" x14ac:dyDescent="0.2">
      <c r="A726" s="263"/>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262"/>
      <c r="AF726" s="262"/>
      <c r="AG726" s="262"/>
      <c r="AH726" s="262"/>
      <c r="AI726" s="262"/>
      <c r="AJ726" s="262"/>
      <c r="AK726" s="262"/>
      <c r="AL726" s="262"/>
      <c r="AM726" s="262"/>
      <c r="AN726" s="262"/>
      <c r="AO726" s="262"/>
      <c r="AP726" s="262"/>
      <c r="AQ726" s="262"/>
      <c r="AR726" s="262"/>
      <c r="AS726" s="262"/>
      <c r="AT726" s="262"/>
      <c r="AU726" s="262"/>
      <c r="AV726" s="262"/>
      <c r="AW726" s="262"/>
      <c r="AX726" s="262"/>
      <c r="AY726" s="262"/>
      <c r="AZ726" s="262"/>
      <c r="BA726" s="262"/>
      <c r="BB726" s="262"/>
      <c r="BC726" s="262"/>
      <c r="BD726" s="262"/>
      <c r="BE726" s="262"/>
      <c r="BF726" s="262"/>
      <c r="BG726" s="262"/>
      <c r="BH726" s="262"/>
      <c r="BI726" s="262"/>
      <c r="BJ726" s="262"/>
      <c r="BK726" s="262"/>
    </row>
    <row r="727" spans="1:63" ht="12.75" x14ac:dyDescent="0.2">
      <c r="A727" s="263"/>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c r="AA727" s="262"/>
      <c r="AB727" s="262"/>
      <c r="AC727" s="262"/>
      <c r="AD727" s="262"/>
      <c r="AE727" s="262"/>
      <c r="AF727" s="262"/>
      <c r="AG727" s="262"/>
      <c r="AH727" s="262"/>
      <c r="AI727" s="262"/>
      <c r="AJ727" s="262"/>
      <c r="AK727" s="262"/>
      <c r="AL727" s="262"/>
      <c r="AM727" s="262"/>
      <c r="AN727" s="262"/>
      <c r="AO727" s="262"/>
      <c r="AP727" s="262"/>
      <c r="AQ727" s="262"/>
      <c r="AR727" s="262"/>
      <c r="AS727" s="262"/>
      <c r="AT727" s="262"/>
      <c r="AU727" s="262"/>
      <c r="AV727" s="262"/>
      <c r="AW727" s="262"/>
      <c r="AX727" s="262"/>
      <c r="AY727" s="262"/>
      <c r="AZ727" s="262"/>
      <c r="BA727" s="262"/>
      <c r="BB727" s="262"/>
      <c r="BC727" s="262"/>
      <c r="BD727" s="262"/>
      <c r="BE727" s="262"/>
      <c r="BF727" s="262"/>
      <c r="BG727" s="262"/>
      <c r="BH727" s="262"/>
      <c r="BI727" s="262"/>
      <c r="BJ727" s="262"/>
      <c r="BK727" s="262"/>
    </row>
    <row r="728" spans="1:63" ht="12.75" x14ac:dyDescent="0.2">
      <c r="A728" s="263"/>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c r="AA728" s="262"/>
      <c r="AB728" s="262"/>
      <c r="AC728" s="262"/>
      <c r="AD728" s="262"/>
      <c r="AE728" s="262"/>
      <c r="AF728" s="262"/>
      <c r="AG728" s="262"/>
      <c r="AH728" s="262"/>
      <c r="AI728" s="262"/>
      <c r="AJ728" s="262"/>
      <c r="AK728" s="262"/>
      <c r="AL728" s="262"/>
      <c r="AM728" s="262"/>
      <c r="AN728" s="262"/>
      <c r="AO728" s="262"/>
      <c r="AP728" s="262"/>
      <c r="AQ728" s="262"/>
      <c r="AR728" s="262"/>
      <c r="AS728" s="262"/>
      <c r="AT728" s="262"/>
      <c r="AU728" s="262"/>
      <c r="AV728" s="262"/>
      <c r="AW728" s="262"/>
      <c r="AX728" s="262"/>
      <c r="AY728" s="262"/>
      <c r="AZ728" s="262"/>
      <c r="BA728" s="262"/>
      <c r="BB728" s="262"/>
      <c r="BC728" s="262"/>
      <c r="BD728" s="262"/>
      <c r="BE728" s="262"/>
      <c r="BF728" s="262"/>
      <c r="BG728" s="262"/>
      <c r="BH728" s="262"/>
      <c r="BI728" s="262"/>
      <c r="BJ728" s="262"/>
      <c r="BK728" s="262"/>
    </row>
    <row r="729" spans="1:63" ht="12.75" x14ac:dyDescent="0.2">
      <c r="A729" s="263"/>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c r="AA729" s="262"/>
      <c r="AB729" s="262"/>
      <c r="AC729" s="262"/>
      <c r="AD729" s="262"/>
      <c r="AE729" s="262"/>
      <c r="AF729" s="262"/>
      <c r="AG729" s="262"/>
      <c r="AH729" s="262"/>
      <c r="AI729" s="262"/>
      <c r="AJ729" s="262"/>
      <c r="AK729" s="262"/>
      <c r="AL729" s="262"/>
      <c r="AM729" s="262"/>
      <c r="AN729" s="262"/>
      <c r="AO729" s="262"/>
      <c r="AP729" s="262"/>
      <c r="AQ729" s="262"/>
      <c r="AR729" s="262"/>
      <c r="AS729" s="262"/>
      <c r="AT729" s="262"/>
      <c r="AU729" s="262"/>
      <c r="AV729" s="262"/>
      <c r="AW729" s="262"/>
      <c r="AX729" s="262"/>
      <c r="AY729" s="262"/>
      <c r="AZ729" s="262"/>
      <c r="BA729" s="262"/>
      <c r="BB729" s="262"/>
      <c r="BC729" s="262"/>
      <c r="BD729" s="262"/>
      <c r="BE729" s="262"/>
      <c r="BF729" s="262"/>
      <c r="BG729" s="262"/>
      <c r="BH729" s="262"/>
      <c r="BI729" s="262"/>
      <c r="BJ729" s="262"/>
      <c r="BK729" s="262"/>
    </row>
    <row r="730" spans="1:63" ht="12.75" x14ac:dyDescent="0.2">
      <c r="A730" s="263"/>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c r="AA730" s="262"/>
      <c r="AB730" s="262"/>
      <c r="AC730" s="262"/>
      <c r="AD730" s="262"/>
      <c r="AE730" s="262"/>
      <c r="AF730" s="262"/>
      <c r="AG730" s="262"/>
      <c r="AH730" s="262"/>
      <c r="AI730" s="262"/>
      <c r="AJ730" s="262"/>
      <c r="AK730" s="262"/>
      <c r="AL730" s="262"/>
      <c r="AM730" s="262"/>
      <c r="AN730" s="262"/>
      <c r="AO730" s="262"/>
      <c r="AP730" s="262"/>
      <c r="AQ730" s="262"/>
      <c r="AR730" s="262"/>
      <c r="AS730" s="262"/>
      <c r="AT730" s="262"/>
      <c r="AU730" s="262"/>
      <c r="AV730" s="262"/>
      <c r="AW730" s="262"/>
      <c r="AX730" s="262"/>
      <c r="AY730" s="262"/>
      <c r="AZ730" s="262"/>
      <c r="BA730" s="262"/>
      <c r="BB730" s="262"/>
      <c r="BC730" s="262"/>
      <c r="BD730" s="262"/>
      <c r="BE730" s="262"/>
      <c r="BF730" s="262"/>
      <c r="BG730" s="262"/>
      <c r="BH730" s="262"/>
      <c r="BI730" s="262"/>
      <c r="BJ730" s="262"/>
      <c r="BK730" s="262"/>
    </row>
    <row r="731" spans="1:63" ht="12.75" x14ac:dyDescent="0.2">
      <c r="A731" s="263"/>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c r="AA731" s="262"/>
      <c r="AB731" s="262"/>
      <c r="AC731" s="262"/>
      <c r="AD731" s="262"/>
      <c r="AE731" s="262"/>
      <c r="AF731" s="262"/>
      <c r="AG731" s="262"/>
      <c r="AH731" s="262"/>
      <c r="AI731" s="262"/>
      <c r="AJ731" s="262"/>
      <c r="AK731" s="262"/>
      <c r="AL731" s="262"/>
      <c r="AM731" s="262"/>
      <c r="AN731" s="262"/>
      <c r="AO731" s="262"/>
      <c r="AP731" s="262"/>
      <c r="AQ731" s="262"/>
      <c r="AR731" s="262"/>
      <c r="AS731" s="262"/>
      <c r="AT731" s="262"/>
      <c r="AU731" s="262"/>
      <c r="AV731" s="262"/>
      <c r="AW731" s="262"/>
      <c r="AX731" s="262"/>
      <c r="AY731" s="262"/>
      <c r="AZ731" s="262"/>
      <c r="BA731" s="262"/>
      <c r="BB731" s="262"/>
      <c r="BC731" s="262"/>
      <c r="BD731" s="262"/>
      <c r="BE731" s="262"/>
      <c r="BF731" s="262"/>
      <c r="BG731" s="262"/>
      <c r="BH731" s="262"/>
      <c r="BI731" s="262"/>
      <c r="BJ731" s="262"/>
      <c r="BK731" s="262"/>
    </row>
    <row r="732" spans="1:63" ht="12.75" x14ac:dyDescent="0.2">
      <c r="A732" s="263"/>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c r="AA732" s="262"/>
      <c r="AB732" s="262"/>
      <c r="AC732" s="262"/>
      <c r="AD732" s="262"/>
      <c r="AE732" s="262"/>
      <c r="AF732" s="262"/>
      <c r="AG732" s="262"/>
      <c r="AH732" s="262"/>
      <c r="AI732" s="262"/>
      <c r="AJ732" s="262"/>
      <c r="AK732" s="262"/>
      <c r="AL732" s="262"/>
      <c r="AM732" s="262"/>
      <c r="AN732" s="262"/>
      <c r="AO732" s="262"/>
      <c r="AP732" s="262"/>
      <c r="AQ732" s="262"/>
      <c r="AR732" s="262"/>
      <c r="AS732" s="262"/>
      <c r="AT732" s="262"/>
      <c r="AU732" s="262"/>
      <c r="AV732" s="262"/>
      <c r="AW732" s="262"/>
      <c r="AX732" s="262"/>
      <c r="AY732" s="262"/>
      <c r="AZ732" s="262"/>
      <c r="BA732" s="262"/>
      <c r="BB732" s="262"/>
      <c r="BC732" s="262"/>
      <c r="BD732" s="262"/>
      <c r="BE732" s="262"/>
      <c r="BF732" s="262"/>
      <c r="BG732" s="262"/>
      <c r="BH732" s="262"/>
      <c r="BI732" s="262"/>
      <c r="BJ732" s="262"/>
      <c r="BK732" s="262"/>
    </row>
    <row r="733" spans="1:63" ht="12.75" x14ac:dyDescent="0.2">
      <c r="A733" s="263"/>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c r="AA733" s="262"/>
      <c r="AB733" s="262"/>
      <c r="AC733" s="262"/>
      <c r="AD733" s="262"/>
      <c r="AE733" s="262"/>
      <c r="AF733" s="262"/>
      <c r="AG733" s="262"/>
      <c r="AH733" s="262"/>
      <c r="AI733" s="262"/>
      <c r="AJ733" s="262"/>
      <c r="AK733" s="262"/>
      <c r="AL733" s="262"/>
      <c r="AM733" s="262"/>
      <c r="AN733" s="262"/>
      <c r="AO733" s="262"/>
      <c r="AP733" s="262"/>
      <c r="AQ733" s="262"/>
      <c r="AR733" s="262"/>
      <c r="AS733" s="262"/>
      <c r="AT733" s="262"/>
      <c r="AU733" s="262"/>
      <c r="AV733" s="262"/>
      <c r="AW733" s="262"/>
      <c r="AX733" s="262"/>
      <c r="AY733" s="262"/>
      <c r="AZ733" s="262"/>
      <c r="BA733" s="262"/>
      <c r="BB733" s="262"/>
      <c r="BC733" s="262"/>
      <c r="BD733" s="262"/>
      <c r="BE733" s="262"/>
      <c r="BF733" s="262"/>
      <c r="BG733" s="262"/>
      <c r="BH733" s="262"/>
      <c r="BI733" s="262"/>
      <c r="BJ733" s="262"/>
      <c r="BK733" s="262"/>
    </row>
    <row r="734" spans="1:63" ht="12.75" x14ac:dyDescent="0.2">
      <c r="A734" s="263"/>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c r="AA734" s="262"/>
      <c r="AB734" s="262"/>
      <c r="AC734" s="262"/>
      <c r="AD734" s="262"/>
      <c r="AE734" s="262"/>
      <c r="AF734" s="262"/>
      <c r="AG734" s="262"/>
      <c r="AH734" s="262"/>
      <c r="AI734" s="262"/>
      <c r="AJ734" s="262"/>
      <c r="AK734" s="262"/>
      <c r="AL734" s="262"/>
      <c r="AM734" s="262"/>
      <c r="AN734" s="262"/>
      <c r="AO734" s="262"/>
      <c r="AP734" s="262"/>
      <c r="AQ734" s="262"/>
      <c r="AR734" s="262"/>
      <c r="AS734" s="262"/>
      <c r="AT734" s="262"/>
      <c r="AU734" s="262"/>
      <c r="AV734" s="262"/>
      <c r="AW734" s="262"/>
      <c r="AX734" s="262"/>
      <c r="AY734" s="262"/>
      <c r="AZ734" s="262"/>
      <c r="BA734" s="262"/>
      <c r="BB734" s="262"/>
      <c r="BC734" s="262"/>
      <c r="BD734" s="262"/>
      <c r="BE734" s="262"/>
      <c r="BF734" s="262"/>
      <c r="BG734" s="262"/>
      <c r="BH734" s="262"/>
      <c r="BI734" s="262"/>
      <c r="BJ734" s="262"/>
      <c r="BK734" s="262"/>
    </row>
    <row r="735" spans="1:63" ht="12.75" x14ac:dyDescent="0.2">
      <c r="A735" s="263"/>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262"/>
      <c r="AF735" s="262"/>
      <c r="AG735" s="262"/>
      <c r="AH735" s="262"/>
      <c r="AI735" s="262"/>
      <c r="AJ735" s="262"/>
      <c r="AK735" s="262"/>
      <c r="AL735" s="262"/>
      <c r="AM735" s="262"/>
      <c r="AN735" s="262"/>
      <c r="AO735" s="262"/>
      <c r="AP735" s="262"/>
      <c r="AQ735" s="262"/>
      <c r="AR735" s="262"/>
      <c r="AS735" s="262"/>
      <c r="AT735" s="262"/>
      <c r="AU735" s="262"/>
      <c r="AV735" s="262"/>
      <c r="AW735" s="262"/>
      <c r="AX735" s="262"/>
      <c r="AY735" s="262"/>
      <c r="AZ735" s="262"/>
      <c r="BA735" s="262"/>
      <c r="BB735" s="262"/>
      <c r="BC735" s="262"/>
      <c r="BD735" s="262"/>
      <c r="BE735" s="262"/>
      <c r="BF735" s="262"/>
      <c r="BG735" s="262"/>
      <c r="BH735" s="262"/>
      <c r="BI735" s="262"/>
      <c r="BJ735" s="262"/>
      <c r="BK735" s="262"/>
    </row>
    <row r="736" spans="1:63" ht="12.75" x14ac:dyDescent="0.2">
      <c r="A736" s="263"/>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262"/>
      <c r="AF736" s="262"/>
      <c r="AG736" s="262"/>
      <c r="AH736" s="262"/>
      <c r="AI736" s="262"/>
      <c r="AJ736" s="262"/>
      <c r="AK736" s="262"/>
      <c r="AL736" s="262"/>
      <c r="AM736" s="262"/>
      <c r="AN736" s="262"/>
      <c r="AO736" s="262"/>
      <c r="AP736" s="262"/>
      <c r="AQ736" s="262"/>
      <c r="AR736" s="262"/>
      <c r="AS736" s="262"/>
      <c r="AT736" s="262"/>
      <c r="AU736" s="262"/>
      <c r="AV736" s="262"/>
      <c r="AW736" s="262"/>
      <c r="AX736" s="262"/>
      <c r="AY736" s="262"/>
      <c r="AZ736" s="262"/>
      <c r="BA736" s="262"/>
      <c r="BB736" s="262"/>
      <c r="BC736" s="262"/>
      <c r="BD736" s="262"/>
      <c r="BE736" s="262"/>
      <c r="BF736" s="262"/>
      <c r="BG736" s="262"/>
      <c r="BH736" s="262"/>
      <c r="BI736" s="262"/>
      <c r="BJ736" s="262"/>
      <c r="BK736" s="262"/>
    </row>
    <row r="737" spans="1:63" ht="12.75" x14ac:dyDescent="0.2">
      <c r="A737" s="263"/>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c r="AA737" s="262"/>
      <c r="AB737" s="262"/>
      <c r="AC737" s="262"/>
      <c r="AD737" s="262"/>
      <c r="AE737" s="262"/>
      <c r="AF737" s="262"/>
      <c r="AG737" s="262"/>
      <c r="AH737" s="262"/>
      <c r="AI737" s="262"/>
      <c r="AJ737" s="262"/>
      <c r="AK737" s="262"/>
      <c r="AL737" s="262"/>
      <c r="AM737" s="262"/>
      <c r="AN737" s="262"/>
      <c r="AO737" s="262"/>
      <c r="AP737" s="262"/>
      <c r="AQ737" s="262"/>
      <c r="AR737" s="262"/>
      <c r="AS737" s="262"/>
      <c r="AT737" s="262"/>
      <c r="AU737" s="262"/>
      <c r="AV737" s="262"/>
      <c r="AW737" s="262"/>
      <c r="AX737" s="262"/>
      <c r="AY737" s="262"/>
      <c r="AZ737" s="262"/>
      <c r="BA737" s="262"/>
      <c r="BB737" s="262"/>
      <c r="BC737" s="262"/>
      <c r="BD737" s="262"/>
      <c r="BE737" s="262"/>
      <c r="BF737" s="262"/>
      <c r="BG737" s="262"/>
      <c r="BH737" s="262"/>
      <c r="BI737" s="262"/>
      <c r="BJ737" s="262"/>
      <c r="BK737" s="262"/>
    </row>
    <row r="738" spans="1:63" ht="12.75" x14ac:dyDescent="0.2">
      <c r="A738" s="263"/>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c r="AA738" s="262"/>
      <c r="AB738" s="262"/>
      <c r="AC738" s="262"/>
      <c r="AD738" s="262"/>
      <c r="AE738" s="262"/>
      <c r="AF738" s="262"/>
      <c r="AG738" s="262"/>
      <c r="AH738" s="262"/>
      <c r="AI738" s="262"/>
      <c r="AJ738" s="262"/>
      <c r="AK738" s="262"/>
      <c r="AL738" s="262"/>
      <c r="AM738" s="262"/>
      <c r="AN738" s="262"/>
      <c r="AO738" s="262"/>
      <c r="AP738" s="262"/>
      <c r="AQ738" s="262"/>
      <c r="AR738" s="262"/>
      <c r="AS738" s="262"/>
      <c r="AT738" s="262"/>
      <c r="AU738" s="262"/>
      <c r="AV738" s="262"/>
      <c r="AW738" s="262"/>
      <c r="AX738" s="262"/>
      <c r="AY738" s="262"/>
      <c r="AZ738" s="262"/>
      <c r="BA738" s="262"/>
      <c r="BB738" s="262"/>
      <c r="BC738" s="262"/>
      <c r="BD738" s="262"/>
      <c r="BE738" s="262"/>
      <c r="BF738" s="262"/>
      <c r="BG738" s="262"/>
      <c r="BH738" s="262"/>
      <c r="BI738" s="262"/>
      <c r="BJ738" s="262"/>
      <c r="BK738" s="262"/>
    </row>
    <row r="739" spans="1:63" ht="12.75" x14ac:dyDescent="0.2">
      <c r="A739" s="263"/>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c r="AA739" s="262"/>
      <c r="AB739" s="262"/>
      <c r="AC739" s="262"/>
      <c r="AD739" s="262"/>
      <c r="AE739" s="262"/>
      <c r="AF739" s="262"/>
      <c r="AG739" s="262"/>
      <c r="AH739" s="262"/>
      <c r="AI739" s="262"/>
      <c r="AJ739" s="262"/>
      <c r="AK739" s="262"/>
      <c r="AL739" s="262"/>
      <c r="AM739" s="262"/>
      <c r="AN739" s="262"/>
      <c r="AO739" s="262"/>
      <c r="AP739" s="262"/>
      <c r="AQ739" s="262"/>
      <c r="AR739" s="262"/>
      <c r="AS739" s="262"/>
      <c r="AT739" s="262"/>
      <c r="AU739" s="262"/>
      <c r="AV739" s="262"/>
      <c r="AW739" s="262"/>
      <c r="AX739" s="262"/>
      <c r="AY739" s="262"/>
      <c r="AZ739" s="262"/>
      <c r="BA739" s="262"/>
      <c r="BB739" s="262"/>
      <c r="BC739" s="262"/>
      <c r="BD739" s="262"/>
      <c r="BE739" s="262"/>
      <c r="BF739" s="262"/>
      <c r="BG739" s="262"/>
      <c r="BH739" s="262"/>
      <c r="BI739" s="262"/>
      <c r="BJ739" s="262"/>
      <c r="BK739" s="262"/>
    </row>
    <row r="740" spans="1:63" ht="12.75" x14ac:dyDescent="0.2">
      <c r="A740" s="263"/>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262"/>
      <c r="AE740" s="262"/>
      <c r="AF740" s="262"/>
      <c r="AG740" s="262"/>
      <c r="AH740" s="262"/>
      <c r="AI740" s="262"/>
      <c r="AJ740" s="262"/>
      <c r="AK740" s="262"/>
      <c r="AL740" s="262"/>
      <c r="AM740" s="262"/>
      <c r="AN740" s="262"/>
      <c r="AO740" s="262"/>
      <c r="AP740" s="262"/>
      <c r="AQ740" s="262"/>
      <c r="AR740" s="262"/>
      <c r="AS740" s="262"/>
      <c r="AT740" s="262"/>
      <c r="AU740" s="262"/>
      <c r="AV740" s="262"/>
      <c r="AW740" s="262"/>
      <c r="AX740" s="262"/>
      <c r="AY740" s="262"/>
      <c r="AZ740" s="262"/>
      <c r="BA740" s="262"/>
      <c r="BB740" s="262"/>
      <c r="BC740" s="262"/>
      <c r="BD740" s="262"/>
      <c r="BE740" s="262"/>
      <c r="BF740" s="262"/>
      <c r="BG740" s="262"/>
      <c r="BH740" s="262"/>
      <c r="BI740" s="262"/>
      <c r="BJ740" s="262"/>
      <c r="BK740" s="262"/>
    </row>
    <row r="741" spans="1:63" ht="12.75" x14ac:dyDescent="0.2">
      <c r="A741" s="263"/>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262"/>
      <c r="AE741" s="262"/>
      <c r="AF741" s="262"/>
      <c r="AG741" s="262"/>
      <c r="AH741" s="262"/>
      <c r="AI741" s="262"/>
      <c r="AJ741" s="262"/>
      <c r="AK741" s="262"/>
      <c r="AL741" s="262"/>
      <c r="AM741" s="262"/>
      <c r="AN741" s="262"/>
      <c r="AO741" s="262"/>
      <c r="AP741" s="262"/>
      <c r="AQ741" s="262"/>
      <c r="AR741" s="262"/>
      <c r="AS741" s="262"/>
      <c r="AT741" s="262"/>
      <c r="AU741" s="262"/>
      <c r="AV741" s="262"/>
      <c r="AW741" s="262"/>
      <c r="AX741" s="262"/>
      <c r="AY741" s="262"/>
      <c r="AZ741" s="262"/>
      <c r="BA741" s="262"/>
      <c r="BB741" s="262"/>
      <c r="BC741" s="262"/>
      <c r="BD741" s="262"/>
      <c r="BE741" s="262"/>
      <c r="BF741" s="262"/>
      <c r="BG741" s="262"/>
      <c r="BH741" s="262"/>
      <c r="BI741" s="262"/>
      <c r="BJ741" s="262"/>
      <c r="BK741" s="262"/>
    </row>
    <row r="742" spans="1:63" ht="12.75" x14ac:dyDescent="0.2">
      <c r="A742" s="263"/>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262"/>
      <c r="AE742" s="262"/>
      <c r="AF742" s="262"/>
      <c r="AG742" s="262"/>
      <c r="AH742" s="262"/>
      <c r="AI742" s="262"/>
      <c r="AJ742" s="262"/>
      <c r="AK742" s="262"/>
      <c r="AL742" s="262"/>
      <c r="AM742" s="262"/>
      <c r="AN742" s="262"/>
      <c r="AO742" s="262"/>
      <c r="AP742" s="262"/>
      <c r="AQ742" s="262"/>
      <c r="AR742" s="262"/>
      <c r="AS742" s="262"/>
      <c r="AT742" s="262"/>
      <c r="AU742" s="262"/>
      <c r="AV742" s="262"/>
      <c r="AW742" s="262"/>
      <c r="AX742" s="262"/>
      <c r="AY742" s="262"/>
      <c r="AZ742" s="262"/>
      <c r="BA742" s="262"/>
      <c r="BB742" s="262"/>
      <c r="BC742" s="262"/>
      <c r="BD742" s="262"/>
      <c r="BE742" s="262"/>
      <c r="BF742" s="262"/>
      <c r="BG742" s="262"/>
      <c r="BH742" s="262"/>
      <c r="BI742" s="262"/>
      <c r="BJ742" s="262"/>
      <c r="BK742" s="262"/>
    </row>
    <row r="743" spans="1:63" ht="12.75" x14ac:dyDescent="0.2">
      <c r="A743" s="263"/>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262"/>
      <c r="AE743" s="262"/>
      <c r="AF743" s="262"/>
      <c r="AG743" s="262"/>
      <c r="AH743" s="262"/>
      <c r="AI743" s="262"/>
      <c r="AJ743" s="262"/>
      <c r="AK743" s="262"/>
      <c r="AL743" s="262"/>
      <c r="AM743" s="262"/>
      <c r="AN743" s="262"/>
      <c r="AO743" s="262"/>
      <c r="AP743" s="262"/>
      <c r="AQ743" s="262"/>
      <c r="AR743" s="262"/>
      <c r="AS743" s="262"/>
      <c r="AT743" s="262"/>
      <c r="AU743" s="262"/>
      <c r="AV743" s="262"/>
      <c r="AW743" s="262"/>
      <c r="AX743" s="262"/>
      <c r="AY743" s="262"/>
      <c r="AZ743" s="262"/>
      <c r="BA743" s="262"/>
      <c r="BB743" s="262"/>
      <c r="BC743" s="262"/>
      <c r="BD743" s="262"/>
      <c r="BE743" s="262"/>
      <c r="BF743" s="262"/>
      <c r="BG743" s="262"/>
      <c r="BH743" s="262"/>
      <c r="BI743" s="262"/>
      <c r="BJ743" s="262"/>
      <c r="BK743" s="262"/>
    </row>
    <row r="744" spans="1:63" ht="12.75" x14ac:dyDescent="0.2">
      <c r="A744" s="263"/>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62"/>
      <c r="AE744" s="262"/>
      <c r="AF744" s="262"/>
      <c r="AG744" s="262"/>
      <c r="AH744" s="262"/>
      <c r="AI744" s="262"/>
      <c r="AJ744" s="262"/>
      <c r="AK744" s="262"/>
      <c r="AL744" s="262"/>
      <c r="AM744" s="262"/>
      <c r="AN744" s="262"/>
      <c r="AO744" s="262"/>
      <c r="AP744" s="262"/>
      <c r="AQ744" s="262"/>
      <c r="AR744" s="262"/>
      <c r="AS744" s="262"/>
      <c r="AT744" s="262"/>
      <c r="AU744" s="262"/>
      <c r="AV744" s="262"/>
      <c r="AW744" s="262"/>
      <c r="AX744" s="262"/>
      <c r="AY744" s="262"/>
      <c r="AZ744" s="262"/>
      <c r="BA744" s="262"/>
      <c r="BB744" s="262"/>
      <c r="BC744" s="262"/>
      <c r="BD744" s="262"/>
      <c r="BE744" s="262"/>
      <c r="BF744" s="262"/>
      <c r="BG744" s="262"/>
      <c r="BH744" s="262"/>
      <c r="BI744" s="262"/>
      <c r="BJ744" s="262"/>
      <c r="BK744" s="262"/>
    </row>
    <row r="745" spans="1:63" ht="12.75" x14ac:dyDescent="0.2">
      <c r="A745" s="263"/>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262"/>
      <c r="AF745" s="262"/>
      <c r="AG745" s="262"/>
      <c r="AH745" s="262"/>
      <c r="AI745" s="262"/>
      <c r="AJ745" s="262"/>
      <c r="AK745" s="262"/>
      <c r="AL745" s="262"/>
      <c r="AM745" s="262"/>
      <c r="AN745" s="262"/>
      <c r="AO745" s="262"/>
      <c r="AP745" s="262"/>
      <c r="AQ745" s="262"/>
      <c r="AR745" s="262"/>
      <c r="AS745" s="262"/>
      <c r="AT745" s="262"/>
      <c r="AU745" s="262"/>
      <c r="AV745" s="262"/>
      <c r="AW745" s="262"/>
      <c r="AX745" s="262"/>
      <c r="AY745" s="262"/>
      <c r="AZ745" s="262"/>
      <c r="BA745" s="262"/>
      <c r="BB745" s="262"/>
      <c r="BC745" s="262"/>
      <c r="BD745" s="262"/>
      <c r="BE745" s="262"/>
      <c r="BF745" s="262"/>
      <c r="BG745" s="262"/>
      <c r="BH745" s="262"/>
      <c r="BI745" s="262"/>
      <c r="BJ745" s="262"/>
      <c r="BK745" s="262"/>
    </row>
    <row r="746" spans="1:63" ht="12.75" x14ac:dyDescent="0.2">
      <c r="A746" s="263"/>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c r="AA746" s="262"/>
      <c r="AB746" s="262"/>
      <c r="AC746" s="262"/>
      <c r="AD746" s="262"/>
      <c r="AE746" s="262"/>
      <c r="AF746" s="262"/>
      <c r="AG746" s="262"/>
      <c r="AH746" s="262"/>
      <c r="AI746" s="262"/>
      <c r="AJ746" s="262"/>
      <c r="AK746" s="262"/>
      <c r="AL746" s="262"/>
      <c r="AM746" s="262"/>
      <c r="AN746" s="262"/>
      <c r="AO746" s="262"/>
      <c r="AP746" s="262"/>
      <c r="AQ746" s="262"/>
      <c r="AR746" s="262"/>
      <c r="AS746" s="262"/>
      <c r="AT746" s="262"/>
      <c r="AU746" s="262"/>
      <c r="AV746" s="262"/>
      <c r="AW746" s="262"/>
      <c r="AX746" s="262"/>
      <c r="AY746" s="262"/>
      <c r="AZ746" s="262"/>
      <c r="BA746" s="262"/>
      <c r="BB746" s="262"/>
      <c r="BC746" s="262"/>
      <c r="BD746" s="262"/>
      <c r="BE746" s="262"/>
      <c r="BF746" s="262"/>
      <c r="BG746" s="262"/>
      <c r="BH746" s="262"/>
      <c r="BI746" s="262"/>
      <c r="BJ746" s="262"/>
      <c r="BK746" s="262"/>
    </row>
    <row r="747" spans="1:63" ht="12.75" x14ac:dyDescent="0.2">
      <c r="A747" s="263"/>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c r="AA747" s="262"/>
      <c r="AB747" s="262"/>
      <c r="AC747" s="262"/>
      <c r="AD747" s="262"/>
      <c r="AE747" s="262"/>
      <c r="AF747" s="262"/>
      <c r="AG747" s="262"/>
      <c r="AH747" s="262"/>
      <c r="AI747" s="262"/>
      <c r="AJ747" s="262"/>
      <c r="AK747" s="262"/>
      <c r="AL747" s="262"/>
      <c r="AM747" s="262"/>
      <c r="AN747" s="262"/>
      <c r="AO747" s="262"/>
      <c r="AP747" s="262"/>
      <c r="AQ747" s="262"/>
      <c r="AR747" s="262"/>
      <c r="AS747" s="262"/>
      <c r="AT747" s="262"/>
      <c r="AU747" s="262"/>
      <c r="AV747" s="262"/>
      <c r="AW747" s="262"/>
      <c r="AX747" s="262"/>
      <c r="AY747" s="262"/>
      <c r="AZ747" s="262"/>
      <c r="BA747" s="262"/>
      <c r="BB747" s="262"/>
      <c r="BC747" s="262"/>
      <c r="BD747" s="262"/>
      <c r="BE747" s="262"/>
      <c r="BF747" s="262"/>
      <c r="BG747" s="262"/>
      <c r="BH747" s="262"/>
      <c r="BI747" s="262"/>
      <c r="BJ747" s="262"/>
      <c r="BK747" s="262"/>
    </row>
    <row r="748" spans="1:63" ht="12.75" x14ac:dyDescent="0.2">
      <c r="A748" s="263"/>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c r="AA748" s="262"/>
      <c r="AB748" s="262"/>
      <c r="AC748" s="262"/>
      <c r="AD748" s="262"/>
      <c r="AE748" s="262"/>
      <c r="AF748" s="262"/>
      <c r="AG748" s="262"/>
      <c r="AH748" s="262"/>
      <c r="AI748" s="262"/>
      <c r="AJ748" s="262"/>
      <c r="AK748" s="262"/>
      <c r="AL748" s="262"/>
      <c r="AM748" s="262"/>
      <c r="AN748" s="262"/>
      <c r="AO748" s="262"/>
      <c r="AP748" s="262"/>
      <c r="AQ748" s="262"/>
      <c r="AR748" s="262"/>
      <c r="AS748" s="262"/>
      <c r="AT748" s="262"/>
      <c r="AU748" s="262"/>
      <c r="AV748" s="262"/>
      <c r="AW748" s="262"/>
      <c r="AX748" s="262"/>
      <c r="AY748" s="262"/>
      <c r="AZ748" s="262"/>
      <c r="BA748" s="262"/>
      <c r="BB748" s="262"/>
      <c r="BC748" s="262"/>
      <c r="BD748" s="262"/>
      <c r="BE748" s="262"/>
      <c r="BF748" s="262"/>
      <c r="BG748" s="262"/>
      <c r="BH748" s="262"/>
      <c r="BI748" s="262"/>
      <c r="BJ748" s="262"/>
      <c r="BK748" s="262"/>
    </row>
    <row r="749" spans="1:63" ht="12.75" x14ac:dyDescent="0.2">
      <c r="A749" s="263"/>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c r="AA749" s="262"/>
      <c r="AB749" s="262"/>
      <c r="AC749" s="262"/>
      <c r="AD749" s="262"/>
      <c r="AE749" s="262"/>
      <c r="AF749" s="262"/>
      <c r="AG749" s="262"/>
      <c r="AH749" s="262"/>
      <c r="AI749" s="262"/>
      <c r="AJ749" s="262"/>
      <c r="AK749" s="262"/>
      <c r="AL749" s="262"/>
      <c r="AM749" s="262"/>
      <c r="AN749" s="262"/>
      <c r="AO749" s="262"/>
      <c r="AP749" s="262"/>
      <c r="AQ749" s="262"/>
      <c r="AR749" s="262"/>
      <c r="AS749" s="262"/>
      <c r="AT749" s="262"/>
      <c r="AU749" s="262"/>
      <c r="AV749" s="262"/>
      <c r="AW749" s="262"/>
      <c r="AX749" s="262"/>
      <c r="AY749" s="262"/>
      <c r="AZ749" s="262"/>
      <c r="BA749" s="262"/>
      <c r="BB749" s="262"/>
      <c r="BC749" s="262"/>
      <c r="BD749" s="262"/>
      <c r="BE749" s="262"/>
      <c r="BF749" s="262"/>
      <c r="BG749" s="262"/>
      <c r="BH749" s="262"/>
      <c r="BI749" s="262"/>
      <c r="BJ749" s="262"/>
      <c r="BK749" s="262"/>
    </row>
    <row r="750" spans="1:63" ht="12.75" x14ac:dyDescent="0.2">
      <c r="A750" s="263"/>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c r="AA750" s="262"/>
      <c r="AB750" s="262"/>
      <c r="AC750" s="262"/>
      <c r="AD750" s="262"/>
      <c r="AE750" s="262"/>
      <c r="AF750" s="262"/>
      <c r="AG750" s="262"/>
      <c r="AH750" s="262"/>
      <c r="AI750" s="262"/>
      <c r="AJ750" s="262"/>
      <c r="AK750" s="262"/>
      <c r="AL750" s="262"/>
      <c r="AM750" s="262"/>
      <c r="AN750" s="262"/>
      <c r="AO750" s="262"/>
      <c r="AP750" s="262"/>
      <c r="AQ750" s="262"/>
      <c r="AR750" s="262"/>
      <c r="AS750" s="262"/>
      <c r="AT750" s="262"/>
      <c r="AU750" s="262"/>
      <c r="AV750" s="262"/>
      <c r="AW750" s="262"/>
      <c r="AX750" s="262"/>
      <c r="AY750" s="262"/>
      <c r="AZ750" s="262"/>
      <c r="BA750" s="262"/>
      <c r="BB750" s="262"/>
      <c r="BC750" s="262"/>
      <c r="BD750" s="262"/>
      <c r="BE750" s="262"/>
      <c r="BF750" s="262"/>
      <c r="BG750" s="262"/>
      <c r="BH750" s="262"/>
      <c r="BI750" s="262"/>
      <c r="BJ750" s="262"/>
      <c r="BK750" s="262"/>
    </row>
    <row r="751" spans="1:63" ht="12.75" x14ac:dyDescent="0.2">
      <c r="A751" s="263"/>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c r="AA751" s="262"/>
      <c r="AB751" s="262"/>
      <c r="AC751" s="262"/>
      <c r="AD751" s="262"/>
      <c r="AE751" s="262"/>
      <c r="AF751" s="262"/>
      <c r="AG751" s="262"/>
      <c r="AH751" s="262"/>
      <c r="AI751" s="262"/>
      <c r="AJ751" s="262"/>
      <c r="AK751" s="262"/>
      <c r="AL751" s="262"/>
      <c r="AM751" s="262"/>
      <c r="AN751" s="262"/>
      <c r="AO751" s="262"/>
      <c r="AP751" s="262"/>
      <c r="AQ751" s="262"/>
      <c r="AR751" s="262"/>
      <c r="AS751" s="262"/>
      <c r="AT751" s="262"/>
      <c r="AU751" s="262"/>
      <c r="AV751" s="262"/>
      <c r="AW751" s="262"/>
      <c r="AX751" s="262"/>
      <c r="AY751" s="262"/>
      <c r="AZ751" s="262"/>
      <c r="BA751" s="262"/>
      <c r="BB751" s="262"/>
      <c r="BC751" s="262"/>
      <c r="BD751" s="262"/>
      <c r="BE751" s="262"/>
      <c r="BF751" s="262"/>
      <c r="BG751" s="262"/>
      <c r="BH751" s="262"/>
      <c r="BI751" s="262"/>
      <c r="BJ751" s="262"/>
      <c r="BK751" s="262"/>
    </row>
    <row r="752" spans="1:63" ht="12.75" x14ac:dyDescent="0.2">
      <c r="A752" s="263"/>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262"/>
      <c r="AF752" s="262"/>
      <c r="AG752" s="262"/>
      <c r="AH752" s="262"/>
      <c r="AI752" s="262"/>
      <c r="AJ752" s="262"/>
      <c r="AK752" s="262"/>
      <c r="AL752" s="262"/>
      <c r="AM752" s="262"/>
      <c r="AN752" s="262"/>
      <c r="AO752" s="262"/>
      <c r="AP752" s="262"/>
      <c r="AQ752" s="262"/>
      <c r="AR752" s="262"/>
      <c r="AS752" s="262"/>
      <c r="AT752" s="262"/>
      <c r="AU752" s="262"/>
      <c r="AV752" s="262"/>
      <c r="AW752" s="262"/>
      <c r="AX752" s="262"/>
      <c r="AY752" s="262"/>
      <c r="AZ752" s="262"/>
      <c r="BA752" s="262"/>
      <c r="BB752" s="262"/>
      <c r="BC752" s="262"/>
      <c r="BD752" s="262"/>
      <c r="BE752" s="262"/>
      <c r="BF752" s="262"/>
      <c r="BG752" s="262"/>
      <c r="BH752" s="262"/>
      <c r="BI752" s="262"/>
      <c r="BJ752" s="262"/>
      <c r="BK752" s="262"/>
    </row>
    <row r="753" spans="1:63" ht="12.75" x14ac:dyDescent="0.2">
      <c r="A753" s="263"/>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262"/>
      <c r="AE753" s="262"/>
      <c r="AF753" s="262"/>
      <c r="AG753" s="262"/>
      <c r="AH753" s="262"/>
      <c r="AI753" s="262"/>
      <c r="AJ753" s="262"/>
      <c r="AK753" s="262"/>
      <c r="AL753" s="262"/>
      <c r="AM753" s="262"/>
      <c r="AN753" s="262"/>
      <c r="AO753" s="262"/>
      <c r="AP753" s="262"/>
      <c r="AQ753" s="262"/>
      <c r="AR753" s="262"/>
      <c r="AS753" s="262"/>
      <c r="AT753" s="262"/>
      <c r="AU753" s="262"/>
      <c r="AV753" s="262"/>
      <c r="AW753" s="262"/>
      <c r="AX753" s="262"/>
      <c r="AY753" s="262"/>
      <c r="AZ753" s="262"/>
      <c r="BA753" s="262"/>
      <c r="BB753" s="262"/>
      <c r="BC753" s="262"/>
      <c r="BD753" s="262"/>
      <c r="BE753" s="262"/>
      <c r="BF753" s="262"/>
      <c r="BG753" s="262"/>
      <c r="BH753" s="262"/>
      <c r="BI753" s="262"/>
      <c r="BJ753" s="262"/>
      <c r="BK753" s="262"/>
    </row>
    <row r="754" spans="1:63" ht="12.75" x14ac:dyDescent="0.2">
      <c r="A754" s="263"/>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262"/>
      <c r="AE754" s="262"/>
      <c r="AF754" s="262"/>
      <c r="AG754" s="262"/>
      <c r="AH754" s="262"/>
      <c r="AI754" s="262"/>
      <c r="AJ754" s="262"/>
      <c r="AK754" s="262"/>
      <c r="AL754" s="262"/>
      <c r="AM754" s="262"/>
      <c r="AN754" s="262"/>
      <c r="AO754" s="262"/>
      <c r="AP754" s="262"/>
      <c r="AQ754" s="262"/>
      <c r="AR754" s="262"/>
      <c r="AS754" s="262"/>
      <c r="AT754" s="262"/>
      <c r="AU754" s="262"/>
      <c r="AV754" s="262"/>
      <c r="AW754" s="262"/>
      <c r="AX754" s="262"/>
      <c r="AY754" s="262"/>
      <c r="AZ754" s="262"/>
      <c r="BA754" s="262"/>
      <c r="BB754" s="262"/>
      <c r="BC754" s="262"/>
      <c r="BD754" s="262"/>
      <c r="BE754" s="262"/>
      <c r="BF754" s="262"/>
      <c r="BG754" s="262"/>
      <c r="BH754" s="262"/>
      <c r="BI754" s="262"/>
      <c r="BJ754" s="262"/>
      <c r="BK754" s="262"/>
    </row>
    <row r="755" spans="1:63" ht="12.75" x14ac:dyDescent="0.2">
      <c r="A755" s="263"/>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262"/>
      <c r="AE755" s="262"/>
      <c r="AF755" s="262"/>
      <c r="AG755" s="262"/>
      <c r="AH755" s="262"/>
      <c r="AI755" s="262"/>
      <c r="AJ755" s="262"/>
      <c r="AK755" s="262"/>
      <c r="AL755" s="262"/>
      <c r="AM755" s="262"/>
      <c r="AN755" s="262"/>
      <c r="AO755" s="262"/>
      <c r="AP755" s="262"/>
      <c r="AQ755" s="262"/>
      <c r="AR755" s="262"/>
      <c r="AS755" s="262"/>
      <c r="AT755" s="262"/>
      <c r="AU755" s="262"/>
      <c r="AV755" s="262"/>
      <c r="AW755" s="262"/>
      <c r="AX755" s="262"/>
      <c r="AY755" s="262"/>
      <c r="AZ755" s="262"/>
      <c r="BA755" s="262"/>
      <c r="BB755" s="262"/>
      <c r="BC755" s="262"/>
      <c r="BD755" s="262"/>
      <c r="BE755" s="262"/>
      <c r="BF755" s="262"/>
      <c r="BG755" s="262"/>
      <c r="BH755" s="262"/>
      <c r="BI755" s="262"/>
      <c r="BJ755" s="262"/>
      <c r="BK755" s="262"/>
    </row>
    <row r="756" spans="1:63" ht="12.75" x14ac:dyDescent="0.2">
      <c r="A756" s="263"/>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262"/>
      <c r="AE756" s="262"/>
      <c r="AF756" s="262"/>
      <c r="AG756" s="262"/>
      <c r="AH756" s="262"/>
      <c r="AI756" s="262"/>
      <c r="AJ756" s="262"/>
      <c r="AK756" s="262"/>
      <c r="AL756" s="262"/>
      <c r="AM756" s="262"/>
      <c r="AN756" s="262"/>
      <c r="AO756" s="262"/>
      <c r="AP756" s="262"/>
      <c r="AQ756" s="262"/>
      <c r="AR756" s="262"/>
      <c r="AS756" s="262"/>
      <c r="AT756" s="262"/>
      <c r="AU756" s="262"/>
      <c r="AV756" s="262"/>
      <c r="AW756" s="262"/>
      <c r="AX756" s="262"/>
      <c r="AY756" s="262"/>
      <c r="AZ756" s="262"/>
      <c r="BA756" s="262"/>
      <c r="BB756" s="262"/>
      <c r="BC756" s="262"/>
      <c r="BD756" s="262"/>
      <c r="BE756" s="262"/>
      <c r="BF756" s="262"/>
      <c r="BG756" s="262"/>
      <c r="BH756" s="262"/>
      <c r="BI756" s="262"/>
      <c r="BJ756" s="262"/>
      <c r="BK756" s="262"/>
    </row>
    <row r="757" spans="1:63" ht="12.75" x14ac:dyDescent="0.2">
      <c r="A757" s="263"/>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262"/>
      <c r="AE757" s="262"/>
      <c r="AF757" s="262"/>
      <c r="AG757" s="262"/>
      <c r="AH757" s="262"/>
      <c r="AI757" s="262"/>
      <c r="AJ757" s="262"/>
      <c r="AK757" s="262"/>
      <c r="AL757" s="262"/>
      <c r="AM757" s="262"/>
      <c r="AN757" s="262"/>
      <c r="AO757" s="262"/>
      <c r="AP757" s="262"/>
      <c r="AQ757" s="262"/>
      <c r="AR757" s="262"/>
      <c r="AS757" s="262"/>
      <c r="AT757" s="262"/>
      <c r="AU757" s="262"/>
      <c r="AV757" s="262"/>
      <c r="AW757" s="262"/>
      <c r="AX757" s="262"/>
      <c r="AY757" s="262"/>
      <c r="AZ757" s="262"/>
      <c r="BA757" s="262"/>
      <c r="BB757" s="262"/>
      <c r="BC757" s="262"/>
      <c r="BD757" s="262"/>
      <c r="BE757" s="262"/>
      <c r="BF757" s="262"/>
      <c r="BG757" s="262"/>
      <c r="BH757" s="262"/>
      <c r="BI757" s="262"/>
      <c r="BJ757" s="262"/>
      <c r="BK757" s="262"/>
    </row>
    <row r="758" spans="1:63" ht="12.75" x14ac:dyDescent="0.2">
      <c r="A758" s="263"/>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262"/>
      <c r="AE758" s="262"/>
      <c r="AF758" s="262"/>
      <c r="AG758" s="262"/>
      <c r="AH758" s="262"/>
      <c r="AI758" s="262"/>
      <c r="AJ758" s="262"/>
      <c r="AK758" s="262"/>
      <c r="AL758" s="262"/>
      <c r="AM758" s="262"/>
      <c r="AN758" s="262"/>
      <c r="AO758" s="262"/>
      <c r="AP758" s="262"/>
      <c r="AQ758" s="262"/>
      <c r="AR758" s="262"/>
      <c r="AS758" s="262"/>
      <c r="AT758" s="262"/>
      <c r="AU758" s="262"/>
      <c r="AV758" s="262"/>
      <c r="AW758" s="262"/>
      <c r="AX758" s="262"/>
      <c r="AY758" s="262"/>
      <c r="AZ758" s="262"/>
      <c r="BA758" s="262"/>
      <c r="BB758" s="262"/>
      <c r="BC758" s="262"/>
      <c r="BD758" s="262"/>
      <c r="BE758" s="262"/>
      <c r="BF758" s="262"/>
      <c r="BG758" s="262"/>
      <c r="BH758" s="262"/>
      <c r="BI758" s="262"/>
      <c r="BJ758" s="262"/>
      <c r="BK758" s="262"/>
    </row>
    <row r="759" spans="1:63" ht="12.75" x14ac:dyDescent="0.2">
      <c r="A759" s="263"/>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262"/>
      <c r="AE759" s="262"/>
      <c r="AF759" s="262"/>
      <c r="AG759" s="262"/>
      <c r="AH759" s="262"/>
      <c r="AI759" s="262"/>
      <c r="AJ759" s="262"/>
      <c r="AK759" s="262"/>
      <c r="AL759" s="262"/>
      <c r="AM759" s="262"/>
      <c r="AN759" s="262"/>
      <c r="AO759" s="262"/>
      <c r="AP759" s="262"/>
      <c r="AQ759" s="262"/>
      <c r="AR759" s="262"/>
      <c r="AS759" s="262"/>
      <c r="AT759" s="262"/>
      <c r="AU759" s="262"/>
      <c r="AV759" s="262"/>
      <c r="AW759" s="262"/>
      <c r="AX759" s="262"/>
      <c r="AY759" s="262"/>
      <c r="AZ759" s="262"/>
      <c r="BA759" s="262"/>
      <c r="BB759" s="262"/>
      <c r="BC759" s="262"/>
      <c r="BD759" s="262"/>
      <c r="BE759" s="262"/>
      <c r="BF759" s="262"/>
      <c r="BG759" s="262"/>
      <c r="BH759" s="262"/>
      <c r="BI759" s="262"/>
      <c r="BJ759" s="262"/>
      <c r="BK759" s="262"/>
    </row>
    <row r="760" spans="1:63" ht="12.75" x14ac:dyDescent="0.2">
      <c r="A760" s="263"/>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262"/>
      <c r="AE760" s="262"/>
      <c r="AF760" s="262"/>
      <c r="AG760" s="262"/>
      <c r="AH760" s="262"/>
      <c r="AI760" s="262"/>
      <c r="AJ760" s="262"/>
      <c r="AK760" s="262"/>
      <c r="AL760" s="262"/>
      <c r="AM760" s="262"/>
      <c r="AN760" s="262"/>
      <c r="AO760" s="262"/>
      <c r="AP760" s="262"/>
      <c r="AQ760" s="262"/>
      <c r="AR760" s="262"/>
      <c r="AS760" s="262"/>
      <c r="AT760" s="262"/>
      <c r="AU760" s="262"/>
      <c r="AV760" s="262"/>
      <c r="AW760" s="262"/>
      <c r="AX760" s="262"/>
      <c r="AY760" s="262"/>
      <c r="AZ760" s="262"/>
      <c r="BA760" s="262"/>
      <c r="BB760" s="262"/>
      <c r="BC760" s="262"/>
      <c r="BD760" s="262"/>
      <c r="BE760" s="262"/>
      <c r="BF760" s="262"/>
      <c r="BG760" s="262"/>
      <c r="BH760" s="262"/>
      <c r="BI760" s="262"/>
      <c r="BJ760" s="262"/>
      <c r="BK760" s="262"/>
    </row>
    <row r="761" spans="1:63" ht="12.75" x14ac:dyDescent="0.2">
      <c r="A761" s="263"/>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262"/>
      <c r="AF761" s="262"/>
      <c r="AG761" s="262"/>
      <c r="AH761" s="262"/>
      <c r="AI761" s="262"/>
      <c r="AJ761" s="262"/>
      <c r="AK761" s="262"/>
      <c r="AL761" s="262"/>
      <c r="AM761" s="262"/>
      <c r="AN761" s="262"/>
      <c r="AO761" s="262"/>
      <c r="AP761" s="262"/>
      <c r="AQ761" s="262"/>
      <c r="AR761" s="262"/>
      <c r="AS761" s="262"/>
      <c r="AT761" s="262"/>
      <c r="AU761" s="262"/>
      <c r="AV761" s="262"/>
      <c r="AW761" s="262"/>
      <c r="AX761" s="262"/>
      <c r="AY761" s="262"/>
      <c r="AZ761" s="262"/>
      <c r="BA761" s="262"/>
      <c r="BB761" s="262"/>
      <c r="BC761" s="262"/>
      <c r="BD761" s="262"/>
      <c r="BE761" s="262"/>
      <c r="BF761" s="262"/>
      <c r="BG761" s="262"/>
      <c r="BH761" s="262"/>
      <c r="BI761" s="262"/>
      <c r="BJ761" s="262"/>
      <c r="BK761" s="262"/>
    </row>
    <row r="762" spans="1:63" ht="12.75" x14ac:dyDescent="0.2">
      <c r="A762" s="263"/>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262"/>
      <c r="AE762" s="262"/>
      <c r="AF762" s="262"/>
      <c r="AG762" s="262"/>
      <c r="AH762" s="262"/>
      <c r="AI762" s="262"/>
      <c r="AJ762" s="262"/>
      <c r="AK762" s="262"/>
      <c r="AL762" s="262"/>
      <c r="AM762" s="262"/>
      <c r="AN762" s="262"/>
      <c r="AO762" s="262"/>
      <c r="AP762" s="262"/>
      <c r="AQ762" s="262"/>
      <c r="AR762" s="262"/>
      <c r="AS762" s="262"/>
      <c r="AT762" s="262"/>
      <c r="AU762" s="262"/>
      <c r="AV762" s="262"/>
      <c r="AW762" s="262"/>
      <c r="AX762" s="262"/>
      <c r="AY762" s="262"/>
      <c r="AZ762" s="262"/>
      <c r="BA762" s="262"/>
      <c r="BB762" s="262"/>
      <c r="BC762" s="262"/>
      <c r="BD762" s="262"/>
      <c r="BE762" s="262"/>
      <c r="BF762" s="262"/>
      <c r="BG762" s="262"/>
      <c r="BH762" s="262"/>
      <c r="BI762" s="262"/>
      <c r="BJ762" s="262"/>
      <c r="BK762" s="262"/>
    </row>
    <row r="763" spans="1:63" ht="12.75" x14ac:dyDescent="0.2">
      <c r="A763" s="263"/>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262"/>
      <c r="AE763" s="262"/>
      <c r="AF763" s="262"/>
      <c r="AG763" s="262"/>
      <c r="AH763" s="262"/>
      <c r="AI763" s="262"/>
      <c r="AJ763" s="262"/>
      <c r="AK763" s="262"/>
      <c r="AL763" s="262"/>
      <c r="AM763" s="262"/>
      <c r="AN763" s="262"/>
      <c r="AO763" s="262"/>
      <c r="AP763" s="262"/>
      <c r="AQ763" s="262"/>
      <c r="AR763" s="262"/>
      <c r="AS763" s="262"/>
      <c r="AT763" s="262"/>
      <c r="AU763" s="262"/>
      <c r="AV763" s="262"/>
      <c r="AW763" s="262"/>
      <c r="AX763" s="262"/>
      <c r="AY763" s="262"/>
      <c r="AZ763" s="262"/>
      <c r="BA763" s="262"/>
      <c r="BB763" s="262"/>
      <c r="BC763" s="262"/>
      <c r="BD763" s="262"/>
      <c r="BE763" s="262"/>
      <c r="BF763" s="262"/>
      <c r="BG763" s="262"/>
      <c r="BH763" s="262"/>
      <c r="BI763" s="262"/>
      <c r="BJ763" s="262"/>
      <c r="BK763" s="262"/>
    </row>
    <row r="764" spans="1:63" ht="12.75" x14ac:dyDescent="0.2">
      <c r="A764" s="263"/>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262"/>
      <c r="AE764" s="262"/>
      <c r="AF764" s="262"/>
      <c r="AG764" s="262"/>
      <c r="AH764" s="262"/>
      <c r="AI764" s="262"/>
      <c r="AJ764" s="262"/>
      <c r="AK764" s="262"/>
      <c r="AL764" s="262"/>
      <c r="AM764" s="262"/>
      <c r="AN764" s="262"/>
      <c r="AO764" s="262"/>
      <c r="AP764" s="262"/>
      <c r="AQ764" s="262"/>
      <c r="AR764" s="262"/>
      <c r="AS764" s="262"/>
      <c r="AT764" s="262"/>
      <c r="AU764" s="262"/>
      <c r="AV764" s="262"/>
      <c r="AW764" s="262"/>
      <c r="AX764" s="262"/>
      <c r="AY764" s="262"/>
      <c r="AZ764" s="262"/>
      <c r="BA764" s="262"/>
      <c r="BB764" s="262"/>
      <c r="BC764" s="262"/>
      <c r="BD764" s="262"/>
      <c r="BE764" s="262"/>
      <c r="BF764" s="262"/>
      <c r="BG764" s="262"/>
      <c r="BH764" s="262"/>
      <c r="BI764" s="262"/>
      <c r="BJ764" s="262"/>
      <c r="BK764" s="262"/>
    </row>
    <row r="765" spans="1:63" ht="12.75" x14ac:dyDescent="0.2">
      <c r="A765" s="263"/>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262"/>
      <c r="AE765" s="262"/>
      <c r="AF765" s="262"/>
      <c r="AG765" s="262"/>
      <c r="AH765" s="262"/>
      <c r="AI765" s="262"/>
      <c r="AJ765" s="262"/>
      <c r="AK765" s="262"/>
      <c r="AL765" s="262"/>
      <c r="AM765" s="262"/>
      <c r="AN765" s="262"/>
      <c r="AO765" s="262"/>
      <c r="AP765" s="262"/>
      <c r="AQ765" s="262"/>
      <c r="AR765" s="262"/>
      <c r="AS765" s="262"/>
      <c r="AT765" s="262"/>
      <c r="AU765" s="262"/>
      <c r="AV765" s="262"/>
      <c r="AW765" s="262"/>
      <c r="AX765" s="262"/>
      <c r="AY765" s="262"/>
      <c r="AZ765" s="262"/>
      <c r="BA765" s="262"/>
      <c r="BB765" s="262"/>
      <c r="BC765" s="262"/>
      <c r="BD765" s="262"/>
      <c r="BE765" s="262"/>
      <c r="BF765" s="262"/>
      <c r="BG765" s="262"/>
      <c r="BH765" s="262"/>
      <c r="BI765" s="262"/>
      <c r="BJ765" s="262"/>
      <c r="BK765" s="262"/>
    </row>
    <row r="766" spans="1:63" ht="12.75" x14ac:dyDescent="0.2">
      <c r="A766" s="263"/>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262"/>
      <c r="AE766" s="262"/>
      <c r="AF766" s="262"/>
      <c r="AG766" s="262"/>
      <c r="AH766" s="262"/>
      <c r="AI766" s="262"/>
      <c r="AJ766" s="262"/>
      <c r="AK766" s="262"/>
      <c r="AL766" s="262"/>
      <c r="AM766" s="262"/>
      <c r="AN766" s="262"/>
      <c r="AO766" s="262"/>
      <c r="AP766" s="262"/>
      <c r="AQ766" s="262"/>
      <c r="AR766" s="262"/>
      <c r="AS766" s="262"/>
      <c r="AT766" s="262"/>
      <c r="AU766" s="262"/>
      <c r="AV766" s="262"/>
      <c r="AW766" s="262"/>
      <c r="AX766" s="262"/>
      <c r="AY766" s="262"/>
      <c r="AZ766" s="262"/>
      <c r="BA766" s="262"/>
      <c r="BB766" s="262"/>
      <c r="BC766" s="262"/>
      <c r="BD766" s="262"/>
      <c r="BE766" s="262"/>
      <c r="BF766" s="262"/>
      <c r="BG766" s="262"/>
      <c r="BH766" s="262"/>
      <c r="BI766" s="262"/>
      <c r="BJ766" s="262"/>
      <c r="BK766" s="262"/>
    </row>
    <row r="767" spans="1:63" ht="12.75" x14ac:dyDescent="0.2">
      <c r="A767" s="263"/>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262"/>
      <c r="AE767" s="262"/>
      <c r="AF767" s="262"/>
      <c r="AG767" s="262"/>
      <c r="AH767" s="262"/>
      <c r="AI767" s="262"/>
      <c r="AJ767" s="262"/>
      <c r="AK767" s="262"/>
      <c r="AL767" s="262"/>
      <c r="AM767" s="262"/>
      <c r="AN767" s="262"/>
      <c r="AO767" s="262"/>
      <c r="AP767" s="262"/>
      <c r="AQ767" s="262"/>
      <c r="AR767" s="262"/>
      <c r="AS767" s="262"/>
      <c r="AT767" s="262"/>
      <c r="AU767" s="262"/>
      <c r="AV767" s="262"/>
      <c r="AW767" s="262"/>
      <c r="AX767" s="262"/>
      <c r="AY767" s="262"/>
      <c r="AZ767" s="262"/>
      <c r="BA767" s="262"/>
      <c r="BB767" s="262"/>
      <c r="BC767" s="262"/>
      <c r="BD767" s="262"/>
      <c r="BE767" s="262"/>
      <c r="BF767" s="262"/>
      <c r="BG767" s="262"/>
      <c r="BH767" s="262"/>
      <c r="BI767" s="262"/>
      <c r="BJ767" s="262"/>
      <c r="BK767" s="262"/>
    </row>
    <row r="768" spans="1:63" ht="12.75" x14ac:dyDescent="0.2">
      <c r="A768" s="263"/>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62"/>
      <c r="AE768" s="262"/>
      <c r="AF768" s="262"/>
      <c r="AG768" s="262"/>
      <c r="AH768" s="262"/>
      <c r="AI768" s="262"/>
      <c r="AJ768" s="262"/>
      <c r="AK768" s="262"/>
      <c r="AL768" s="262"/>
      <c r="AM768" s="262"/>
      <c r="AN768" s="262"/>
      <c r="AO768" s="262"/>
      <c r="AP768" s="262"/>
      <c r="AQ768" s="262"/>
      <c r="AR768" s="262"/>
      <c r="AS768" s="262"/>
      <c r="AT768" s="262"/>
      <c r="AU768" s="262"/>
      <c r="AV768" s="262"/>
      <c r="AW768" s="262"/>
      <c r="AX768" s="262"/>
      <c r="AY768" s="262"/>
      <c r="AZ768" s="262"/>
      <c r="BA768" s="262"/>
      <c r="BB768" s="262"/>
      <c r="BC768" s="262"/>
      <c r="BD768" s="262"/>
      <c r="BE768" s="262"/>
      <c r="BF768" s="262"/>
      <c r="BG768" s="262"/>
      <c r="BH768" s="262"/>
      <c r="BI768" s="262"/>
      <c r="BJ768" s="262"/>
      <c r="BK768" s="262"/>
    </row>
    <row r="769" spans="1:63" ht="12.75" x14ac:dyDescent="0.2">
      <c r="A769" s="263"/>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262"/>
      <c r="AE769" s="262"/>
      <c r="AF769" s="262"/>
      <c r="AG769" s="262"/>
      <c r="AH769" s="262"/>
      <c r="AI769" s="262"/>
      <c r="AJ769" s="262"/>
      <c r="AK769" s="262"/>
      <c r="AL769" s="262"/>
      <c r="AM769" s="262"/>
      <c r="AN769" s="262"/>
      <c r="AO769" s="262"/>
      <c r="AP769" s="262"/>
      <c r="AQ769" s="262"/>
      <c r="AR769" s="262"/>
      <c r="AS769" s="262"/>
      <c r="AT769" s="262"/>
      <c r="AU769" s="262"/>
      <c r="AV769" s="262"/>
      <c r="AW769" s="262"/>
      <c r="AX769" s="262"/>
      <c r="AY769" s="262"/>
      <c r="AZ769" s="262"/>
      <c r="BA769" s="262"/>
      <c r="BB769" s="262"/>
      <c r="BC769" s="262"/>
      <c r="BD769" s="262"/>
      <c r="BE769" s="262"/>
      <c r="BF769" s="262"/>
      <c r="BG769" s="262"/>
      <c r="BH769" s="262"/>
      <c r="BI769" s="262"/>
      <c r="BJ769" s="262"/>
      <c r="BK769" s="262"/>
    </row>
    <row r="770" spans="1:63" ht="12.75" x14ac:dyDescent="0.2">
      <c r="A770" s="263"/>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262"/>
      <c r="AE770" s="262"/>
      <c r="AF770" s="262"/>
      <c r="AG770" s="262"/>
      <c r="AH770" s="262"/>
      <c r="AI770" s="262"/>
      <c r="AJ770" s="262"/>
      <c r="AK770" s="262"/>
      <c r="AL770" s="262"/>
      <c r="AM770" s="262"/>
      <c r="AN770" s="262"/>
      <c r="AO770" s="262"/>
      <c r="AP770" s="262"/>
      <c r="AQ770" s="262"/>
      <c r="AR770" s="262"/>
      <c r="AS770" s="262"/>
      <c r="AT770" s="262"/>
      <c r="AU770" s="262"/>
      <c r="AV770" s="262"/>
      <c r="AW770" s="262"/>
      <c r="AX770" s="262"/>
      <c r="AY770" s="262"/>
      <c r="AZ770" s="262"/>
      <c r="BA770" s="262"/>
      <c r="BB770" s="262"/>
      <c r="BC770" s="262"/>
      <c r="BD770" s="262"/>
      <c r="BE770" s="262"/>
      <c r="BF770" s="262"/>
      <c r="BG770" s="262"/>
      <c r="BH770" s="262"/>
      <c r="BI770" s="262"/>
      <c r="BJ770" s="262"/>
      <c r="BK770" s="262"/>
    </row>
    <row r="771" spans="1:63" ht="12.75" x14ac:dyDescent="0.2">
      <c r="A771" s="263"/>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262"/>
      <c r="AE771" s="262"/>
      <c r="AF771" s="262"/>
      <c r="AG771" s="262"/>
      <c r="AH771" s="262"/>
      <c r="AI771" s="262"/>
      <c r="AJ771" s="262"/>
      <c r="AK771" s="262"/>
      <c r="AL771" s="262"/>
      <c r="AM771" s="262"/>
      <c r="AN771" s="262"/>
      <c r="AO771" s="262"/>
      <c r="AP771" s="262"/>
      <c r="AQ771" s="262"/>
      <c r="AR771" s="262"/>
      <c r="AS771" s="262"/>
      <c r="AT771" s="262"/>
      <c r="AU771" s="262"/>
      <c r="AV771" s="262"/>
      <c r="AW771" s="262"/>
      <c r="AX771" s="262"/>
      <c r="AY771" s="262"/>
      <c r="AZ771" s="262"/>
      <c r="BA771" s="262"/>
      <c r="BB771" s="262"/>
      <c r="BC771" s="262"/>
      <c r="BD771" s="262"/>
      <c r="BE771" s="262"/>
      <c r="BF771" s="262"/>
      <c r="BG771" s="262"/>
      <c r="BH771" s="262"/>
      <c r="BI771" s="262"/>
      <c r="BJ771" s="262"/>
      <c r="BK771" s="262"/>
    </row>
    <row r="772" spans="1:63" ht="12.75" x14ac:dyDescent="0.2">
      <c r="A772" s="263"/>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262"/>
      <c r="AE772" s="262"/>
      <c r="AF772" s="262"/>
      <c r="AG772" s="262"/>
      <c r="AH772" s="262"/>
      <c r="AI772" s="262"/>
      <c r="AJ772" s="262"/>
      <c r="AK772" s="262"/>
      <c r="AL772" s="262"/>
      <c r="AM772" s="262"/>
      <c r="AN772" s="262"/>
      <c r="AO772" s="262"/>
      <c r="AP772" s="262"/>
      <c r="AQ772" s="262"/>
      <c r="AR772" s="262"/>
      <c r="AS772" s="262"/>
      <c r="AT772" s="262"/>
      <c r="AU772" s="262"/>
      <c r="AV772" s="262"/>
      <c r="AW772" s="262"/>
      <c r="AX772" s="262"/>
      <c r="AY772" s="262"/>
      <c r="AZ772" s="262"/>
      <c r="BA772" s="262"/>
      <c r="BB772" s="262"/>
      <c r="BC772" s="262"/>
      <c r="BD772" s="262"/>
      <c r="BE772" s="262"/>
      <c r="BF772" s="262"/>
      <c r="BG772" s="262"/>
      <c r="BH772" s="262"/>
      <c r="BI772" s="262"/>
      <c r="BJ772" s="262"/>
      <c r="BK772" s="262"/>
    </row>
    <row r="773" spans="1:63" ht="12.75" x14ac:dyDescent="0.2">
      <c r="A773" s="263"/>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262"/>
      <c r="AE773" s="262"/>
      <c r="AF773" s="262"/>
      <c r="AG773" s="262"/>
      <c r="AH773" s="262"/>
      <c r="AI773" s="262"/>
      <c r="AJ773" s="262"/>
      <c r="AK773" s="262"/>
      <c r="AL773" s="262"/>
      <c r="AM773" s="262"/>
      <c r="AN773" s="262"/>
      <c r="AO773" s="262"/>
      <c r="AP773" s="262"/>
      <c r="AQ773" s="262"/>
      <c r="AR773" s="262"/>
      <c r="AS773" s="262"/>
      <c r="AT773" s="262"/>
      <c r="AU773" s="262"/>
      <c r="AV773" s="262"/>
      <c r="AW773" s="262"/>
      <c r="AX773" s="262"/>
      <c r="AY773" s="262"/>
      <c r="AZ773" s="262"/>
      <c r="BA773" s="262"/>
      <c r="BB773" s="262"/>
      <c r="BC773" s="262"/>
      <c r="BD773" s="262"/>
      <c r="BE773" s="262"/>
      <c r="BF773" s="262"/>
      <c r="BG773" s="262"/>
      <c r="BH773" s="262"/>
      <c r="BI773" s="262"/>
      <c r="BJ773" s="262"/>
      <c r="BK773" s="262"/>
    </row>
    <row r="774" spans="1:63" ht="12.75" x14ac:dyDescent="0.2">
      <c r="A774" s="263"/>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262"/>
      <c r="AE774" s="262"/>
      <c r="AF774" s="262"/>
      <c r="AG774" s="262"/>
      <c r="AH774" s="262"/>
      <c r="AI774" s="262"/>
      <c r="AJ774" s="262"/>
      <c r="AK774" s="262"/>
      <c r="AL774" s="262"/>
      <c r="AM774" s="262"/>
      <c r="AN774" s="262"/>
      <c r="AO774" s="262"/>
      <c r="AP774" s="262"/>
      <c r="AQ774" s="262"/>
      <c r="AR774" s="262"/>
      <c r="AS774" s="262"/>
      <c r="AT774" s="262"/>
      <c r="AU774" s="262"/>
      <c r="AV774" s="262"/>
      <c r="AW774" s="262"/>
      <c r="AX774" s="262"/>
      <c r="AY774" s="262"/>
      <c r="AZ774" s="262"/>
      <c r="BA774" s="262"/>
      <c r="BB774" s="262"/>
      <c r="BC774" s="262"/>
      <c r="BD774" s="262"/>
      <c r="BE774" s="262"/>
      <c r="BF774" s="262"/>
      <c r="BG774" s="262"/>
      <c r="BH774" s="262"/>
      <c r="BI774" s="262"/>
      <c r="BJ774" s="262"/>
      <c r="BK774" s="262"/>
    </row>
    <row r="775" spans="1:63" ht="12.75" x14ac:dyDescent="0.2">
      <c r="A775" s="263"/>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262"/>
      <c r="AE775" s="262"/>
      <c r="AF775" s="262"/>
      <c r="AG775" s="262"/>
      <c r="AH775" s="262"/>
      <c r="AI775" s="262"/>
      <c r="AJ775" s="262"/>
      <c r="AK775" s="262"/>
      <c r="AL775" s="262"/>
      <c r="AM775" s="262"/>
      <c r="AN775" s="262"/>
      <c r="AO775" s="262"/>
      <c r="AP775" s="262"/>
      <c r="AQ775" s="262"/>
      <c r="AR775" s="262"/>
      <c r="AS775" s="262"/>
      <c r="AT775" s="262"/>
      <c r="AU775" s="262"/>
      <c r="AV775" s="262"/>
      <c r="AW775" s="262"/>
      <c r="AX775" s="262"/>
      <c r="AY775" s="262"/>
      <c r="AZ775" s="262"/>
      <c r="BA775" s="262"/>
      <c r="BB775" s="262"/>
      <c r="BC775" s="262"/>
      <c r="BD775" s="262"/>
      <c r="BE775" s="262"/>
      <c r="BF775" s="262"/>
      <c r="BG775" s="262"/>
      <c r="BH775" s="262"/>
      <c r="BI775" s="262"/>
      <c r="BJ775" s="262"/>
      <c r="BK775" s="262"/>
    </row>
    <row r="776" spans="1:63" ht="12.75" x14ac:dyDescent="0.2">
      <c r="A776" s="263"/>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262"/>
      <c r="AE776" s="262"/>
      <c r="AF776" s="262"/>
      <c r="AG776" s="262"/>
      <c r="AH776" s="262"/>
      <c r="AI776" s="262"/>
      <c r="AJ776" s="262"/>
      <c r="AK776" s="262"/>
      <c r="AL776" s="262"/>
      <c r="AM776" s="262"/>
      <c r="AN776" s="262"/>
      <c r="AO776" s="262"/>
      <c r="AP776" s="262"/>
      <c r="AQ776" s="262"/>
      <c r="AR776" s="262"/>
      <c r="AS776" s="262"/>
      <c r="AT776" s="262"/>
      <c r="AU776" s="262"/>
      <c r="AV776" s="262"/>
      <c r="AW776" s="262"/>
      <c r="AX776" s="262"/>
      <c r="AY776" s="262"/>
      <c r="AZ776" s="262"/>
      <c r="BA776" s="262"/>
      <c r="BB776" s="262"/>
      <c r="BC776" s="262"/>
      <c r="BD776" s="262"/>
      <c r="BE776" s="262"/>
      <c r="BF776" s="262"/>
      <c r="BG776" s="262"/>
      <c r="BH776" s="262"/>
      <c r="BI776" s="262"/>
      <c r="BJ776" s="262"/>
      <c r="BK776" s="262"/>
    </row>
    <row r="777" spans="1:63" ht="12.75" x14ac:dyDescent="0.2">
      <c r="A777" s="263"/>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262"/>
      <c r="AE777" s="262"/>
      <c r="AF777" s="262"/>
      <c r="AG777" s="262"/>
      <c r="AH777" s="262"/>
      <c r="AI777" s="262"/>
      <c r="AJ777" s="262"/>
      <c r="AK777" s="262"/>
      <c r="AL777" s="262"/>
      <c r="AM777" s="262"/>
      <c r="AN777" s="262"/>
      <c r="AO777" s="262"/>
      <c r="AP777" s="262"/>
      <c r="AQ777" s="262"/>
      <c r="AR777" s="262"/>
      <c r="AS777" s="262"/>
      <c r="AT777" s="262"/>
      <c r="AU777" s="262"/>
      <c r="AV777" s="262"/>
      <c r="AW777" s="262"/>
      <c r="AX777" s="262"/>
      <c r="AY777" s="262"/>
      <c r="AZ777" s="262"/>
      <c r="BA777" s="262"/>
      <c r="BB777" s="262"/>
      <c r="BC777" s="262"/>
      <c r="BD777" s="262"/>
      <c r="BE777" s="262"/>
      <c r="BF777" s="262"/>
      <c r="BG777" s="262"/>
      <c r="BH777" s="262"/>
      <c r="BI777" s="262"/>
      <c r="BJ777" s="262"/>
      <c r="BK777" s="262"/>
    </row>
    <row r="778" spans="1:63" ht="12.75" x14ac:dyDescent="0.2">
      <c r="A778" s="263"/>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262"/>
      <c r="AE778" s="262"/>
      <c r="AF778" s="262"/>
      <c r="AG778" s="262"/>
      <c r="AH778" s="262"/>
      <c r="AI778" s="262"/>
      <c r="AJ778" s="262"/>
      <c r="AK778" s="262"/>
      <c r="AL778" s="262"/>
      <c r="AM778" s="262"/>
      <c r="AN778" s="262"/>
      <c r="AO778" s="262"/>
      <c r="AP778" s="262"/>
      <c r="AQ778" s="262"/>
      <c r="AR778" s="262"/>
      <c r="AS778" s="262"/>
      <c r="AT778" s="262"/>
      <c r="AU778" s="262"/>
      <c r="AV778" s="262"/>
      <c r="AW778" s="262"/>
      <c r="AX778" s="262"/>
      <c r="AY778" s="262"/>
      <c r="AZ778" s="262"/>
      <c r="BA778" s="262"/>
      <c r="BB778" s="262"/>
      <c r="BC778" s="262"/>
      <c r="BD778" s="262"/>
      <c r="BE778" s="262"/>
      <c r="BF778" s="262"/>
      <c r="BG778" s="262"/>
      <c r="BH778" s="262"/>
      <c r="BI778" s="262"/>
      <c r="BJ778" s="262"/>
      <c r="BK778" s="262"/>
    </row>
    <row r="779" spans="1:63" ht="12.75" x14ac:dyDescent="0.2">
      <c r="A779" s="263"/>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262"/>
      <c r="AE779" s="262"/>
      <c r="AF779" s="262"/>
      <c r="AG779" s="262"/>
      <c r="AH779" s="262"/>
      <c r="AI779" s="262"/>
      <c r="AJ779" s="262"/>
      <c r="AK779" s="262"/>
      <c r="AL779" s="262"/>
      <c r="AM779" s="262"/>
      <c r="AN779" s="262"/>
      <c r="AO779" s="262"/>
      <c r="AP779" s="262"/>
      <c r="AQ779" s="262"/>
      <c r="AR779" s="262"/>
      <c r="AS779" s="262"/>
      <c r="AT779" s="262"/>
      <c r="AU779" s="262"/>
      <c r="AV779" s="262"/>
      <c r="AW779" s="262"/>
      <c r="AX779" s="262"/>
      <c r="AY779" s="262"/>
      <c r="AZ779" s="262"/>
      <c r="BA779" s="262"/>
      <c r="BB779" s="262"/>
      <c r="BC779" s="262"/>
      <c r="BD779" s="262"/>
      <c r="BE779" s="262"/>
      <c r="BF779" s="262"/>
      <c r="BG779" s="262"/>
      <c r="BH779" s="262"/>
      <c r="BI779" s="262"/>
      <c r="BJ779" s="262"/>
      <c r="BK779" s="262"/>
    </row>
    <row r="780" spans="1:63" ht="12.75" x14ac:dyDescent="0.2">
      <c r="A780" s="263"/>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262"/>
      <c r="AE780" s="262"/>
      <c r="AF780" s="262"/>
      <c r="AG780" s="262"/>
      <c r="AH780" s="262"/>
      <c r="AI780" s="262"/>
      <c r="AJ780" s="262"/>
      <c r="AK780" s="262"/>
      <c r="AL780" s="262"/>
      <c r="AM780" s="262"/>
      <c r="AN780" s="262"/>
      <c r="AO780" s="262"/>
      <c r="AP780" s="262"/>
      <c r="AQ780" s="262"/>
      <c r="AR780" s="262"/>
      <c r="AS780" s="262"/>
      <c r="AT780" s="262"/>
      <c r="AU780" s="262"/>
      <c r="AV780" s="262"/>
      <c r="AW780" s="262"/>
      <c r="AX780" s="262"/>
      <c r="AY780" s="262"/>
      <c r="AZ780" s="262"/>
      <c r="BA780" s="262"/>
      <c r="BB780" s="262"/>
      <c r="BC780" s="262"/>
      <c r="BD780" s="262"/>
      <c r="BE780" s="262"/>
      <c r="BF780" s="262"/>
      <c r="BG780" s="262"/>
      <c r="BH780" s="262"/>
      <c r="BI780" s="262"/>
      <c r="BJ780" s="262"/>
      <c r="BK780" s="262"/>
    </row>
    <row r="781" spans="1:63" ht="12.75" x14ac:dyDescent="0.2">
      <c r="A781" s="263"/>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262"/>
      <c r="AF781" s="262"/>
      <c r="AG781" s="262"/>
      <c r="AH781" s="262"/>
      <c r="AI781" s="262"/>
      <c r="AJ781" s="262"/>
      <c r="AK781" s="262"/>
      <c r="AL781" s="262"/>
      <c r="AM781" s="262"/>
      <c r="AN781" s="262"/>
      <c r="AO781" s="262"/>
      <c r="AP781" s="262"/>
      <c r="AQ781" s="262"/>
      <c r="AR781" s="262"/>
      <c r="AS781" s="262"/>
      <c r="AT781" s="262"/>
      <c r="AU781" s="262"/>
      <c r="AV781" s="262"/>
      <c r="AW781" s="262"/>
      <c r="AX781" s="262"/>
      <c r="AY781" s="262"/>
      <c r="AZ781" s="262"/>
      <c r="BA781" s="262"/>
      <c r="BB781" s="262"/>
      <c r="BC781" s="262"/>
      <c r="BD781" s="262"/>
      <c r="BE781" s="262"/>
      <c r="BF781" s="262"/>
      <c r="BG781" s="262"/>
      <c r="BH781" s="262"/>
      <c r="BI781" s="262"/>
      <c r="BJ781" s="262"/>
      <c r="BK781" s="262"/>
    </row>
    <row r="782" spans="1:63" ht="12.75" x14ac:dyDescent="0.2">
      <c r="A782" s="263"/>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262"/>
      <c r="AE782" s="262"/>
      <c r="AF782" s="262"/>
      <c r="AG782" s="262"/>
      <c r="AH782" s="262"/>
      <c r="AI782" s="262"/>
      <c r="AJ782" s="262"/>
      <c r="AK782" s="262"/>
      <c r="AL782" s="262"/>
      <c r="AM782" s="262"/>
      <c r="AN782" s="262"/>
      <c r="AO782" s="262"/>
      <c r="AP782" s="262"/>
      <c r="AQ782" s="262"/>
      <c r="AR782" s="262"/>
      <c r="AS782" s="262"/>
      <c r="AT782" s="262"/>
      <c r="AU782" s="262"/>
      <c r="AV782" s="262"/>
      <c r="AW782" s="262"/>
      <c r="AX782" s="262"/>
      <c r="AY782" s="262"/>
      <c r="AZ782" s="262"/>
      <c r="BA782" s="262"/>
      <c r="BB782" s="262"/>
      <c r="BC782" s="262"/>
      <c r="BD782" s="262"/>
      <c r="BE782" s="262"/>
      <c r="BF782" s="262"/>
      <c r="BG782" s="262"/>
      <c r="BH782" s="262"/>
      <c r="BI782" s="262"/>
      <c r="BJ782" s="262"/>
      <c r="BK782" s="262"/>
    </row>
    <row r="783" spans="1:63" ht="12.75" x14ac:dyDescent="0.2">
      <c r="A783" s="263"/>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262"/>
      <c r="AE783" s="262"/>
      <c r="AF783" s="262"/>
      <c r="AG783" s="262"/>
      <c r="AH783" s="262"/>
      <c r="AI783" s="262"/>
      <c r="AJ783" s="262"/>
      <c r="AK783" s="262"/>
      <c r="AL783" s="262"/>
      <c r="AM783" s="262"/>
      <c r="AN783" s="262"/>
      <c r="AO783" s="262"/>
      <c r="AP783" s="262"/>
      <c r="AQ783" s="262"/>
      <c r="AR783" s="262"/>
      <c r="AS783" s="262"/>
      <c r="AT783" s="262"/>
      <c r="AU783" s="262"/>
      <c r="AV783" s="262"/>
      <c r="AW783" s="262"/>
      <c r="AX783" s="262"/>
      <c r="AY783" s="262"/>
      <c r="AZ783" s="262"/>
      <c r="BA783" s="262"/>
      <c r="BB783" s="262"/>
      <c r="BC783" s="262"/>
      <c r="BD783" s="262"/>
      <c r="BE783" s="262"/>
      <c r="BF783" s="262"/>
      <c r="BG783" s="262"/>
      <c r="BH783" s="262"/>
      <c r="BI783" s="262"/>
      <c r="BJ783" s="262"/>
      <c r="BK783" s="262"/>
    </row>
    <row r="784" spans="1:63" ht="12.75" x14ac:dyDescent="0.2">
      <c r="A784" s="263"/>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262"/>
      <c r="AE784" s="262"/>
      <c r="AF784" s="262"/>
      <c r="AG784" s="262"/>
      <c r="AH784" s="262"/>
      <c r="AI784" s="262"/>
      <c r="AJ784" s="262"/>
      <c r="AK784" s="262"/>
      <c r="AL784" s="262"/>
      <c r="AM784" s="262"/>
      <c r="AN784" s="262"/>
      <c r="AO784" s="262"/>
      <c r="AP784" s="262"/>
      <c r="AQ784" s="262"/>
      <c r="AR784" s="262"/>
      <c r="AS784" s="262"/>
      <c r="AT784" s="262"/>
      <c r="AU784" s="262"/>
      <c r="AV784" s="262"/>
      <c r="AW784" s="262"/>
      <c r="AX784" s="262"/>
      <c r="AY784" s="262"/>
      <c r="AZ784" s="262"/>
      <c r="BA784" s="262"/>
      <c r="BB784" s="262"/>
      <c r="BC784" s="262"/>
      <c r="BD784" s="262"/>
      <c r="BE784" s="262"/>
      <c r="BF784" s="262"/>
      <c r="BG784" s="262"/>
      <c r="BH784" s="262"/>
      <c r="BI784" s="262"/>
      <c r="BJ784" s="262"/>
      <c r="BK784" s="262"/>
    </row>
    <row r="785" spans="1:63" ht="12.75" x14ac:dyDescent="0.2">
      <c r="A785" s="263"/>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262"/>
      <c r="AE785" s="262"/>
      <c r="AF785" s="262"/>
      <c r="AG785" s="262"/>
      <c r="AH785" s="262"/>
      <c r="AI785" s="262"/>
      <c r="AJ785" s="262"/>
      <c r="AK785" s="262"/>
      <c r="AL785" s="262"/>
      <c r="AM785" s="262"/>
      <c r="AN785" s="262"/>
      <c r="AO785" s="262"/>
      <c r="AP785" s="262"/>
      <c r="AQ785" s="262"/>
      <c r="AR785" s="262"/>
      <c r="AS785" s="262"/>
      <c r="AT785" s="262"/>
      <c r="AU785" s="262"/>
      <c r="AV785" s="262"/>
      <c r="AW785" s="262"/>
      <c r="AX785" s="262"/>
      <c r="AY785" s="262"/>
      <c r="AZ785" s="262"/>
      <c r="BA785" s="262"/>
      <c r="BB785" s="262"/>
      <c r="BC785" s="262"/>
      <c r="BD785" s="262"/>
      <c r="BE785" s="262"/>
      <c r="BF785" s="262"/>
      <c r="BG785" s="262"/>
      <c r="BH785" s="262"/>
      <c r="BI785" s="262"/>
      <c r="BJ785" s="262"/>
      <c r="BK785" s="262"/>
    </row>
    <row r="786" spans="1:63" ht="12.75" x14ac:dyDescent="0.2">
      <c r="A786" s="263"/>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262"/>
      <c r="AE786" s="262"/>
      <c r="AF786" s="262"/>
      <c r="AG786" s="262"/>
      <c r="AH786" s="262"/>
      <c r="AI786" s="262"/>
      <c r="AJ786" s="262"/>
      <c r="AK786" s="262"/>
      <c r="AL786" s="262"/>
      <c r="AM786" s="262"/>
      <c r="AN786" s="262"/>
      <c r="AO786" s="262"/>
      <c r="AP786" s="262"/>
      <c r="AQ786" s="262"/>
      <c r="AR786" s="262"/>
      <c r="AS786" s="262"/>
      <c r="AT786" s="262"/>
      <c r="AU786" s="262"/>
      <c r="AV786" s="262"/>
      <c r="AW786" s="262"/>
      <c r="AX786" s="262"/>
      <c r="AY786" s="262"/>
      <c r="AZ786" s="262"/>
      <c r="BA786" s="262"/>
      <c r="BB786" s="262"/>
      <c r="BC786" s="262"/>
      <c r="BD786" s="262"/>
      <c r="BE786" s="262"/>
      <c r="BF786" s="262"/>
      <c r="BG786" s="262"/>
      <c r="BH786" s="262"/>
      <c r="BI786" s="262"/>
      <c r="BJ786" s="262"/>
      <c r="BK786" s="262"/>
    </row>
    <row r="787" spans="1:63" ht="12.75" x14ac:dyDescent="0.2">
      <c r="A787" s="263"/>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262"/>
      <c r="AE787" s="262"/>
      <c r="AF787" s="262"/>
      <c r="AG787" s="262"/>
      <c r="AH787" s="262"/>
      <c r="AI787" s="262"/>
      <c r="AJ787" s="262"/>
      <c r="AK787" s="262"/>
      <c r="AL787" s="262"/>
      <c r="AM787" s="262"/>
      <c r="AN787" s="262"/>
      <c r="AO787" s="262"/>
      <c r="AP787" s="262"/>
      <c r="AQ787" s="262"/>
      <c r="AR787" s="262"/>
      <c r="AS787" s="262"/>
      <c r="AT787" s="262"/>
      <c r="AU787" s="262"/>
      <c r="AV787" s="262"/>
      <c r="AW787" s="262"/>
      <c r="AX787" s="262"/>
      <c r="AY787" s="262"/>
      <c r="AZ787" s="262"/>
      <c r="BA787" s="262"/>
      <c r="BB787" s="262"/>
      <c r="BC787" s="262"/>
      <c r="BD787" s="262"/>
      <c r="BE787" s="262"/>
      <c r="BF787" s="262"/>
      <c r="BG787" s="262"/>
      <c r="BH787" s="262"/>
      <c r="BI787" s="262"/>
      <c r="BJ787" s="262"/>
      <c r="BK787" s="262"/>
    </row>
    <row r="788" spans="1:63" ht="12.75" x14ac:dyDescent="0.2">
      <c r="A788" s="263"/>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F788" s="262"/>
      <c r="AG788" s="262"/>
      <c r="AH788" s="262"/>
      <c r="AI788" s="262"/>
      <c r="AJ788" s="262"/>
      <c r="AK788" s="262"/>
      <c r="AL788" s="262"/>
      <c r="AM788" s="262"/>
      <c r="AN788" s="262"/>
      <c r="AO788" s="262"/>
      <c r="AP788" s="262"/>
      <c r="AQ788" s="262"/>
      <c r="AR788" s="262"/>
      <c r="AS788" s="262"/>
      <c r="AT788" s="262"/>
      <c r="AU788" s="262"/>
      <c r="AV788" s="262"/>
      <c r="AW788" s="262"/>
      <c r="AX788" s="262"/>
      <c r="AY788" s="262"/>
      <c r="AZ788" s="262"/>
      <c r="BA788" s="262"/>
      <c r="BB788" s="262"/>
      <c r="BC788" s="262"/>
      <c r="BD788" s="262"/>
      <c r="BE788" s="262"/>
      <c r="BF788" s="262"/>
      <c r="BG788" s="262"/>
      <c r="BH788" s="262"/>
      <c r="BI788" s="262"/>
      <c r="BJ788" s="262"/>
      <c r="BK788" s="262"/>
    </row>
    <row r="789" spans="1:63" ht="12.75" x14ac:dyDescent="0.2">
      <c r="A789" s="263"/>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262"/>
      <c r="AE789" s="262"/>
      <c r="AF789" s="262"/>
      <c r="AG789" s="262"/>
      <c r="AH789" s="262"/>
      <c r="AI789" s="262"/>
      <c r="AJ789" s="262"/>
      <c r="AK789" s="262"/>
      <c r="AL789" s="262"/>
      <c r="AM789" s="262"/>
      <c r="AN789" s="262"/>
      <c r="AO789" s="262"/>
      <c r="AP789" s="262"/>
      <c r="AQ789" s="262"/>
      <c r="AR789" s="262"/>
      <c r="AS789" s="262"/>
      <c r="AT789" s="262"/>
      <c r="AU789" s="262"/>
      <c r="AV789" s="262"/>
      <c r="AW789" s="262"/>
      <c r="AX789" s="262"/>
      <c r="AY789" s="262"/>
      <c r="AZ789" s="262"/>
      <c r="BA789" s="262"/>
      <c r="BB789" s="262"/>
      <c r="BC789" s="262"/>
      <c r="BD789" s="262"/>
      <c r="BE789" s="262"/>
      <c r="BF789" s="262"/>
      <c r="BG789" s="262"/>
      <c r="BH789" s="262"/>
      <c r="BI789" s="262"/>
      <c r="BJ789" s="262"/>
      <c r="BK789" s="262"/>
    </row>
    <row r="790" spans="1:63" ht="12.75" x14ac:dyDescent="0.2">
      <c r="A790" s="263"/>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262"/>
      <c r="AF790" s="262"/>
      <c r="AG790" s="262"/>
      <c r="AH790" s="262"/>
      <c r="AI790" s="262"/>
      <c r="AJ790" s="262"/>
      <c r="AK790" s="262"/>
      <c r="AL790" s="262"/>
      <c r="AM790" s="262"/>
      <c r="AN790" s="262"/>
      <c r="AO790" s="262"/>
      <c r="AP790" s="262"/>
      <c r="AQ790" s="262"/>
      <c r="AR790" s="262"/>
      <c r="AS790" s="262"/>
      <c r="AT790" s="262"/>
      <c r="AU790" s="262"/>
      <c r="AV790" s="262"/>
      <c r="AW790" s="262"/>
      <c r="AX790" s="262"/>
      <c r="AY790" s="262"/>
      <c r="AZ790" s="262"/>
      <c r="BA790" s="262"/>
      <c r="BB790" s="262"/>
      <c r="BC790" s="262"/>
      <c r="BD790" s="262"/>
      <c r="BE790" s="262"/>
      <c r="BF790" s="262"/>
      <c r="BG790" s="262"/>
      <c r="BH790" s="262"/>
      <c r="BI790" s="262"/>
      <c r="BJ790" s="262"/>
      <c r="BK790" s="262"/>
    </row>
    <row r="791" spans="1:63" ht="12.75" x14ac:dyDescent="0.2">
      <c r="A791" s="263"/>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262"/>
      <c r="AE791" s="262"/>
      <c r="AF791" s="262"/>
      <c r="AG791" s="262"/>
      <c r="AH791" s="262"/>
      <c r="AI791" s="262"/>
      <c r="AJ791" s="262"/>
      <c r="AK791" s="262"/>
      <c r="AL791" s="262"/>
      <c r="AM791" s="262"/>
      <c r="AN791" s="262"/>
      <c r="AO791" s="262"/>
      <c r="AP791" s="262"/>
      <c r="AQ791" s="262"/>
      <c r="AR791" s="262"/>
      <c r="AS791" s="262"/>
      <c r="AT791" s="262"/>
      <c r="AU791" s="262"/>
      <c r="AV791" s="262"/>
      <c r="AW791" s="262"/>
      <c r="AX791" s="262"/>
      <c r="AY791" s="262"/>
      <c r="AZ791" s="262"/>
      <c r="BA791" s="262"/>
      <c r="BB791" s="262"/>
      <c r="BC791" s="262"/>
      <c r="BD791" s="262"/>
      <c r="BE791" s="262"/>
      <c r="BF791" s="262"/>
      <c r="BG791" s="262"/>
      <c r="BH791" s="262"/>
      <c r="BI791" s="262"/>
      <c r="BJ791" s="262"/>
      <c r="BK791" s="262"/>
    </row>
    <row r="792" spans="1:63" ht="12.75" x14ac:dyDescent="0.2">
      <c r="A792" s="263"/>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262"/>
      <c r="AE792" s="262"/>
      <c r="AF792" s="262"/>
      <c r="AG792" s="262"/>
      <c r="AH792" s="262"/>
      <c r="AI792" s="262"/>
      <c r="AJ792" s="262"/>
      <c r="AK792" s="262"/>
      <c r="AL792" s="262"/>
      <c r="AM792" s="262"/>
      <c r="AN792" s="262"/>
      <c r="AO792" s="262"/>
      <c r="AP792" s="262"/>
      <c r="AQ792" s="262"/>
      <c r="AR792" s="262"/>
      <c r="AS792" s="262"/>
      <c r="AT792" s="262"/>
      <c r="AU792" s="262"/>
      <c r="AV792" s="262"/>
      <c r="AW792" s="262"/>
      <c r="AX792" s="262"/>
      <c r="AY792" s="262"/>
      <c r="AZ792" s="262"/>
      <c r="BA792" s="262"/>
      <c r="BB792" s="262"/>
      <c r="BC792" s="262"/>
      <c r="BD792" s="262"/>
      <c r="BE792" s="262"/>
      <c r="BF792" s="262"/>
      <c r="BG792" s="262"/>
      <c r="BH792" s="262"/>
      <c r="BI792" s="262"/>
      <c r="BJ792" s="262"/>
      <c r="BK792" s="262"/>
    </row>
    <row r="793" spans="1:63" ht="12.75" x14ac:dyDescent="0.2">
      <c r="A793" s="263"/>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262"/>
      <c r="AE793" s="262"/>
      <c r="AF793" s="262"/>
      <c r="AG793" s="262"/>
      <c r="AH793" s="262"/>
      <c r="AI793" s="262"/>
      <c r="AJ793" s="262"/>
      <c r="AK793" s="262"/>
      <c r="AL793" s="262"/>
      <c r="AM793" s="262"/>
      <c r="AN793" s="262"/>
      <c r="AO793" s="262"/>
      <c r="AP793" s="262"/>
      <c r="AQ793" s="262"/>
      <c r="AR793" s="262"/>
      <c r="AS793" s="262"/>
      <c r="AT793" s="262"/>
      <c r="AU793" s="262"/>
      <c r="AV793" s="262"/>
      <c r="AW793" s="262"/>
      <c r="AX793" s="262"/>
      <c r="AY793" s="262"/>
      <c r="AZ793" s="262"/>
      <c r="BA793" s="262"/>
      <c r="BB793" s="262"/>
      <c r="BC793" s="262"/>
      <c r="BD793" s="262"/>
      <c r="BE793" s="262"/>
      <c r="BF793" s="262"/>
      <c r="BG793" s="262"/>
      <c r="BH793" s="262"/>
      <c r="BI793" s="262"/>
      <c r="BJ793" s="262"/>
      <c r="BK793" s="262"/>
    </row>
    <row r="794" spans="1:63" ht="12.75" x14ac:dyDescent="0.2">
      <c r="A794" s="263"/>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62"/>
      <c r="AE794" s="262"/>
      <c r="AF794" s="262"/>
      <c r="AG794" s="262"/>
      <c r="AH794" s="262"/>
      <c r="AI794" s="262"/>
      <c r="AJ794" s="262"/>
      <c r="AK794" s="262"/>
      <c r="AL794" s="262"/>
      <c r="AM794" s="262"/>
      <c r="AN794" s="262"/>
      <c r="AO794" s="262"/>
      <c r="AP794" s="262"/>
      <c r="AQ794" s="262"/>
      <c r="AR794" s="262"/>
      <c r="AS794" s="262"/>
      <c r="AT794" s="262"/>
      <c r="AU794" s="262"/>
      <c r="AV794" s="262"/>
      <c r="AW794" s="262"/>
      <c r="AX794" s="262"/>
      <c r="AY794" s="262"/>
      <c r="AZ794" s="262"/>
      <c r="BA794" s="262"/>
      <c r="BB794" s="262"/>
      <c r="BC794" s="262"/>
      <c r="BD794" s="262"/>
      <c r="BE794" s="262"/>
      <c r="BF794" s="262"/>
      <c r="BG794" s="262"/>
      <c r="BH794" s="262"/>
      <c r="BI794" s="262"/>
      <c r="BJ794" s="262"/>
      <c r="BK794" s="262"/>
    </row>
    <row r="795" spans="1:63" ht="12.75" x14ac:dyDescent="0.2">
      <c r="A795" s="263"/>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262"/>
      <c r="AE795" s="262"/>
      <c r="AF795" s="262"/>
      <c r="AG795" s="262"/>
      <c r="AH795" s="262"/>
      <c r="AI795" s="262"/>
      <c r="AJ795" s="262"/>
      <c r="AK795" s="262"/>
      <c r="AL795" s="262"/>
      <c r="AM795" s="262"/>
      <c r="AN795" s="262"/>
      <c r="AO795" s="262"/>
      <c r="AP795" s="262"/>
      <c r="AQ795" s="262"/>
      <c r="AR795" s="262"/>
      <c r="AS795" s="262"/>
      <c r="AT795" s="262"/>
      <c r="AU795" s="262"/>
      <c r="AV795" s="262"/>
      <c r="AW795" s="262"/>
      <c r="AX795" s="262"/>
      <c r="AY795" s="262"/>
      <c r="AZ795" s="262"/>
      <c r="BA795" s="262"/>
      <c r="BB795" s="262"/>
      <c r="BC795" s="262"/>
      <c r="BD795" s="262"/>
      <c r="BE795" s="262"/>
      <c r="BF795" s="262"/>
      <c r="BG795" s="262"/>
      <c r="BH795" s="262"/>
      <c r="BI795" s="262"/>
      <c r="BJ795" s="262"/>
      <c r="BK795" s="262"/>
    </row>
    <row r="796" spans="1:63" ht="12.75" x14ac:dyDescent="0.2">
      <c r="A796" s="263"/>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262"/>
      <c r="AE796" s="262"/>
      <c r="AF796" s="262"/>
      <c r="AG796" s="262"/>
      <c r="AH796" s="262"/>
      <c r="AI796" s="262"/>
      <c r="AJ796" s="262"/>
      <c r="AK796" s="262"/>
      <c r="AL796" s="262"/>
      <c r="AM796" s="262"/>
      <c r="AN796" s="262"/>
      <c r="AO796" s="262"/>
      <c r="AP796" s="262"/>
      <c r="AQ796" s="262"/>
      <c r="AR796" s="262"/>
      <c r="AS796" s="262"/>
      <c r="AT796" s="262"/>
      <c r="AU796" s="262"/>
      <c r="AV796" s="262"/>
      <c r="AW796" s="262"/>
      <c r="AX796" s="262"/>
      <c r="AY796" s="262"/>
      <c r="AZ796" s="262"/>
      <c r="BA796" s="262"/>
      <c r="BB796" s="262"/>
      <c r="BC796" s="262"/>
      <c r="BD796" s="262"/>
      <c r="BE796" s="262"/>
      <c r="BF796" s="262"/>
      <c r="BG796" s="262"/>
      <c r="BH796" s="262"/>
      <c r="BI796" s="262"/>
      <c r="BJ796" s="262"/>
      <c r="BK796" s="262"/>
    </row>
    <row r="797" spans="1:63" ht="12.75" x14ac:dyDescent="0.2">
      <c r="A797" s="263"/>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262"/>
      <c r="AE797" s="262"/>
      <c r="AF797" s="262"/>
      <c r="AG797" s="262"/>
      <c r="AH797" s="262"/>
      <c r="AI797" s="262"/>
      <c r="AJ797" s="262"/>
      <c r="AK797" s="262"/>
      <c r="AL797" s="262"/>
      <c r="AM797" s="262"/>
      <c r="AN797" s="262"/>
      <c r="AO797" s="262"/>
      <c r="AP797" s="262"/>
      <c r="AQ797" s="262"/>
      <c r="AR797" s="262"/>
      <c r="AS797" s="262"/>
      <c r="AT797" s="262"/>
      <c r="AU797" s="262"/>
      <c r="AV797" s="262"/>
      <c r="AW797" s="262"/>
      <c r="AX797" s="262"/>
      <c r="AY797" s="262"/>
      <c r="AZ797" s="262"/>
      <c r="BA797" s="262"/>
      <c r="BB797" s="262"/>
      <c r="BC797" s="262"/>
      <c r="BD797" s="262"/>
      <c r="BE797" s="262"/>
      <c r="BF797" s="262"/>
      <c r="BG797" s="262"/>
      <c r="BH797" s="262"/>
      <c r="BI797" s="262"/>
      <c r="BJ797" s="262"/>
      <c r="BK797" s="262"/>
    </row>
    <row r="798" spans="1:63" ht="12.75" x14ac:dyDescent="0.2">
      <c r="A798" s="263"/>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262"/>
      <c r="AE798" s="262"/>
      <c r="AF798" s="262"/>
      <c r="AG798" s="262"/>
      <c r="AH798" s="262"/>
      <c r="AI798" s="262"/>
      <c r="AJ798" s="262"/>
      <c r="AK798" s="262"/>
      <c r="AL798" s="262"/>
      <c r="AM798" s="262"/>
      <c r="AN798" s="262"/>
      <c r="AO798" s="262"/>
      <c r="AP798" s="262"/>
      <c r="AQ798" s="262"/>
      <c r="AR798" s="262"/>
      <c r="AS798" s="262"/>
      <c r="AT798" s="262"/>
      <c r="AU798" s="262"/>
      <c r="AV798" s="262"/>
      <c r="AW798" s="262"/>
      <c r="AX798" s="262"/>
      <c r="AY798" s="262"/>
      <c r="AZ798" s="262"/>
      <c r="BA798" s="262"/>
      <c r="BB798" s="262"/>
      <c r="BC798" s="262"/>
      <c r="BD798" s="262"/>
      <c r="BE798" s="262"/>
      <c r="BF798" s="262"/>
      <c r="BG798" s="262"/>
      <c r="BH798" s="262"/>
      <c r="BI798" s="262"/>
      <c r="BJ798" s="262"/>
      <c r="BK798" s="262"/>
    </row>
    <row r="799" spans="1:63" ht="12.75" x14ac:dyDescent="0.2">
      <c r="A799" s="263"/>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262"/>
      <c r="AE799" s="262"/>
      <c r="AF799" s="262"/>
      <c r="AG799" s="262"/>
      <c r="AH799" s="262"/>
      <c r="AI799" s="262"/>
      <c r="AJ799" s="262"/>
      <c r="AK799" s="262"/>
      <c r="AL799" s="262"/>
      <c r="AM799" s="262"/>
      <c r="AN799" s="262"/>
      <c r="AO799" s="262"/>
      <c r="AP799" s="262"/>
      <c r="AQ799" s="262"/>
      <c r="AR799" s="262"/>
      <c r="AS799" s="262"/>
      <c r="AT799" s="262"/>
      <c r="AU799" s="262"/>
      <c r="AV799" s="262"/>
      <c r="AW799" s="262"/>
      <c r="AX799" s="262"/>
      <c r="AY799" s="262"/>
      <c r="AZ799" s="262"/>
      <c r="BA799" s="262"/>
      <c r="BB799" s="262"/>
      <c r="BC799" s="262"/>
      <c r="BD799" s="262"/>
      <c r="BE799" s="262"/>
      <c r="BF799" s="262"/>
      <c r="BG799" s="262"/>
      <c r="BH799" s="262"/>
      <c r="BI799" s="262"/>
      <c r="BJ799" s="262"/>
      <c r="BK799" s="262"/>
    </row>
    <row r="800" spans="1:63" ht="12.75" x14ac:dyDescent="0.2">
      <c r="A800" s="263"/>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262"/>
      <c r="AE800" s="262"/>
      <c r="AF800" s="262"/>
      <c r="AG800" s="262"/>
      <c r="AH800" s="262"/>
      <c r="AI800" s="262"/>
      <c r="AJ800" s="262"/>
      <c r="AK800" s="262"/>
      <c r="AL800" s="262"/>
      <c r="AM800" s="262"/>
      <c r="AN800" s="262"/>
      <c r="AO800" s="262"/>
      <c r="AP800" s="262"/>
      <c r="AQ800" s="262"/>
      <c r="AR800" s="262"/>
      <c r="AS800" s="262"/>
      <c r="AT800" s="262"/>
      <c r="AU800" s="262"/>
      <c r="AV800" s="262"/>
      <c r="AW800" s="262"/>
      <c r="AX800" s="262"/>
      <c r="AY800" s="262"/>
      <c r="AZ800" s="262"/>
      <c r="BA800" s="262"/>
      <c r="BB800" s="262"/>
      <c r="BC800" s="262"/>
      <c r="BD800" s="262"/>
      <c r="BE800" s="262"/>
      <c r="BF800" s="262"/>
      <c r="BG800" s="262"/>
      <c r="BH800" s="262"/>
      <c r="BI800" s="262"/>
      <c r="BJ800" s="262"/>
      <c r="BK800" s="262"/>
    </row>
    <row r="801" spans="1:63" ht="12.75" x14ac:dyDescent="0.2">
      <c r="A801" s="263"/>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262"/>
      <c r="AE801" s="262"/>
      <c r="AF801" s="262"/>
      <c r="AG801" s="262"/>
      <c r="AH801" s="262"/>
      <c r="AI801" s="262"/>
      <c r="AJ801" s="262"/>
      <c r="AK801" s="262"/>
      <c r="AL801" s="262"/>
      <c r="AM801" s="262"/>
      <c r="AN801" s="262"/>
      <c r="AO801" s="262"/>
      <c r="AP801" s="262"/>
      <c r="AQ801" s="262"/>
      <c r="AR801" s="262"/>
      <c r="AS801" s="262"/>
      <c r="AT801" s="262"/>
      <c r="AU801" s="262"/>
      <c r="AV801" s="262"/>
      <c r="AW801" s="262"/>
      <c r="AX801" s="262"/>
      <c r="AY801" s="262"/>
      <c r="AZ801" s="262"/>
      <c r="BA801" s="262"/>
      <c r="BB801" s="262"/>
      <c r="BC801" s="262"/>
      <c r="BD801" s="262"/>
      <c r="BE801" s="262"/>
      <c r="BF801" s="262"/>
      <c r="BG801" s="262"/>
      <c r="BH801" s="262"/>
      <c r="BI801" s="262"/>
      <c r="BJ801" s="262"/>
      <c r="BK801" s="262"/>
    </row>
    <row r="802" spans="1:63" ht="12.75" x14ac:dyDescent="0.2">
      <c r="A802" s="263"/>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262"/>
      <c r="AE802" s="262"/>
      <c r="AF802" s="262"/>
      <c r="AG802" s="262"/>
      <c r="AH802" s="262"/>
      <c r="AI802" s="262"/>
      <c r="AJ802" s="262"/>
      <c r="AK802" s="262"/>
      <c r="AL802" s="262"/>
      <c r="AM802" s="262"/>
      <c r="AN802" s="262"/>
      <c r="AO802" s="262"/>
      <c r="AP802" s="262"/>
      <c r="AQ802" s="262"/>
      <c r="AR802" s="262"/>
      <c r="AS802" s="262"/>
      <c r="AT802" s="262"/>
      <c r="AU802" s="262"/>
      <c r="AV802" s="262"/>
      <c r="AW802" s="262"/>
      <c r="AX802" s="262"/>
      <c r="AY802" s="262"/>
      <c r="AZ802" s="262"/>
      <c r="BA802" s="262"/>
      <c r="BB802" s="262"/>
      <c r="BC802" s="262"/>
      <c r="BD802" s="262"/>
      <c r="BE802" s="262"/>
      <c r="BF802" s="262"/>
      <c r="BG802" s="262"/>
      <c r="BH802" s="262"/>
      <c r="BI802" s="262"/>
      <c r="BJ802" s="262"/>
      <c r="BK802" s="262"/>
    </row>
    <row r="803" spans="1:63" ht="12.75" x14ac:dyDescent="0.2">
      <c r="A803" s="263"/>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262"/>
      <c r="AE803" s="262"/>
      <c r="AF803" s="262"/>
      <c r="AG803" s="262"/>
      <c r="AH803" s="262"/>
      <c r="AI803" s="262"/>
      <c r="AJ803" s="262"/>
      <c r="AK803" s="262"/>
      <c r="AL803" s="262"/>
      <c r="AM803" s="262"/>
      <c r="AN803" s="262"/>
      <c r="AO803" s="262"/>
      <c r="AP803" s="262"/>
      <c r="AQ803" s="262"/>
      <c r="AR803" s="262"/>
      <c r="AS803" s="262"/>
      <c r="AT803" s="262"/>
      <c r="AU803" s="262"/>
      <c r="AV803" s="262"/>
      <c r="AW803" s="262"/>
      <c r="AX803" s="262"/>
      <c r="AY803" s="262"/>
      <c r="AZ803" s="262"/>
      <c r="BA803" s="262"/>
      <c r="BB803" s="262"/>
      <c r="BC803" s="262"/>
      <c r="BD803" s="262"/>
      <c r="BE803" s="262"/>
      <c r="BF803" s="262"/>
      <c r="BG803" s="262"/>
      <c r="BH803" s="262"/>
      <c r="BI803" s="262"/>
      <c r="BJ803" s="262"/>
      <c r="BK803" s="262"/>
    </row>
    <row r="804" spans="1:63" ht="12.75" x14ac:dyDescent="0.2">
      <c r="A804" s="263"/>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262"/>
      <c r="AE804" s="262"/>
      <c r="AF804" s="262"/>
      <c r="AG804" s="262"/>
      <c r="AH804" s="262"/>
      <c r="AI804" s="262"/>
      <c r="AJ804" s="262"/>
      <c r="AK804" s="262"/>
      <c r="AL804" s="262"/>
      <c r="AM804" s="262"/>
      <c r="AN804" s="262"/>
      <c r="AO804" s="262"/>
      <c r="AP804" s="262"/>
      <c r="AQ804" s="262"/>
      <c r="AR804" s="262"/>
      <c r="AS804" s="262"/>
      <c r="AT804" s="262"/>
      <c r="AU804" s="262"/>
      <c r="AV804" s="262"/>
      <c r="AW804" s="262"/>
      <c r="AX804" s="262"/>
      <c r="AY804" s="262"/>
      <c r="AZ804" s="262"/>
      <c r="BA804" s="262"/>
      <c r="BB804" s="262"/>
      <c r="BC804" s="262"/>
      <c r="BD804" s="262"/>
      <c r="BE804" s="262"/>
      <c r="BF804" s="262"/>
      <c r="BG804" s="262"/>
      <c r="BH804" s="262"/>
      <c r="BI804" s="262"/>
      <c r="BJ804" s="262"/>
      <c r="BK804" s="262"/>
    </row>
    <row r="805" spans="1:63" ht="12.75" x14ac:dyDescent="0.2">
      <c r="A805" s="263"/>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262"/>
      <c r="AE805" s="262"/>
      <c r="AF805" s="262"/>
      <c r="AG805" s="262"/>
      <c r="AH805" s="262"/>
      <c r="AI805" s="262"/>
      <c r="AJ805" s="262"/>
      <c r="AK805" s="262"/>
      <c r="AL805" s="262"/>
      <c r="AM805" s="262"/>
      <c r="AN805" s="262"/>
      <c r="AO805" s="262"/>
      <c r="AP805" s="262"/>
      <c r="AQ805" s="262"/>
      <c r="AR805" s="262"/>
      <c r="AS805" s="262"/>
      <c r="AT805" s="262"/>
      <c r="AU805" s="262"/>
      <c r="AV805" s="262"/>
      <c r="AW805" s="262"/>
      <c r="AX805" s="262"/>
      <c r="AY805" s="262"/>
      <c r="AZ805" s="262"/>
      <c r="BA805" s="262"/>
      <c r="BB805" s="262"/>
      <c r="BC805" s="262"/>
      <c r="BD805" s="262"/>
      <c r="BE805" s="262"/>
      <c r="BF805" s="262"/>
      <c r="BG805" s="262"/>
      <c r="BH805" s="262"/>
      <c r="BI805" s="262"/>
      <c r="BJ805" s="262"/>
      <c r="BK805" s="262"/>
    </row>
    <row r="806" spans="1:63" ht="12.75" x14ac:dyDescent="0.2">
      <c r="A806" s="263"/>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262"/>
      <c r="AE806" s="262"/>
      <c r="AF806" s="262"/>
      <c r="AG806" s="262"/>
      <c r="AH806" s="262"/>
      <c r="AI806" s="262"/>
      <c r="AJ806" s="262"/>
      <c r="AK806" s="262"/>
      <c r="AL806" s="262"/>
      <c r="AM806" s="262"/>
      <c r="AN806" s="262"/>
      <c r="AO806" s="262"/>
      <c r="AP806" s="262"/>
      <c r="AQ806" s="262"/>
      <c r="AR806" s="262"/>
      <c r="AS806" s="262"/>
      <c r="AT806" s="262"/>
      <c r="AU806" s="262"/>
      <c r="AV806" s="262"/>
      <c r="AW806" s="262"/>
      <c r="AX806" s="262"/>
      <c r="AY806" s="262"/>
      <c r="AZ806" s="262"/>
      <c r="BA806" s="262"/>
      <c r="BB806" s="262"/>
      <c r="BC806" s="262"/>
      <c r="BD806" s="262"/>
      <c r="BE806" s="262"/>
      <c r="BF806" s="262"/>
      <c r="BG806" s="262"/>
      <c r="BH806" s="262"/>
      <c r="BI806" s="262"/>
      <c r="BJ806" s="262"/>
      <c r="BK806" s="262"/>
    </row>
    <row r="807" spans="1:63" ht="12.75" x14ac:dyDescent="0.2">
      <c r="A807" s="263"/>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262"/>
      <c r="AE807" s="262"/>
      <c r="AF807" s="262"/>
      <c r="AG807" s="262"/>
      <c r="AH807" s="262"/>
      <c r="AI807" s="262"/>
      <c r="AJ807" s="262"/>
      <c r="AK807" s="262"/>
      <c r="AL807" s="262"/>
      <c r="AM807" s="262"/>
      <c r="AN807" s="262"/>
      <c r="AO807" s="262"/>
      <c r="AP807" s="262"/>
      <c r="AQ807" s="262"/>
      <c r="AR807" s="262"/>
      <c r="AS807" s="262"/>
      <c r="AT807" s="262"/>
      <c r="AU807" s="262"/>
      <c r="AV807" s="262"/>
      <c r="AW807" s="262"/>
      <c r="AX807" s="262"/>
      <c r="AY807" s="262"/>
      <c r="AZ807" s="262"/>
      <c r="BA807" s="262"/>
      <c r="BB807" s="262"/>
      <c r="BC807" s="262"/>
      <c r="BD807" s="262"/>
      <c r="BE807" s="262"/>
      <c r="BF807" s="262"/>
      <c r="BG807" s="262"/>
      <c r="BH807" s="262"/>
      <c r="BI807" s="262"/>
      <c r="BJ807" s="262"/>
      <c r="BK807" s="262"/>
    </row>
    <row r="808" spans="1:63" ht="12.75" x14ac:dyDescent="0.2">
      <c r="A808" s="263"/>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262"/>
      <c r="AE808" s="262"/>
      <c r="AF808" s="262"/>
      <c r="AG808" s="262"/>
      <c r="AH808" s="262"/>
      <c r="AI808" s="262"/>
      <c r="AJ808" s="262"/>
      <c r="AK808" s="262"/>
      <c r="AL808" s="262"/>
      <c r="AM808" s="262"/>
      <c r="AN808" s="262"/>
      <c r="AO808" s="262"/>
      <c r="AP808" s="262"/>
      <c r="AQ808" s="262"/>
      <c r="AR808" s="262"/>
      <c r="AS808" s="262"/>
      <c r="AT808" s="262"/>
      <c r="AU808" s="262"/>
      <c r="AV808" s="262"/>
      <c r="AW808" s="262"/>
      <c r="AX808" s="262"/>
      <c r="AY808" s="262"/>
      <c r="AZ808" s="262"/>
      <c r="BA808" s="262"/>
      <c r="BB808" s="262"/>
      <c r="BC808" s="262"/>
      <c r="BD808" s="262"/>
      <c r="BE808" s="262"/>
      <c r="BF808" s="262"/>
      <c r="BG808" s="262"/>
      <c r="BH808" s="262"/>
      <c r="BI808" s="262"/>
      <c r="BJ808" s="262"/>
      <c r="BK808" s="262"/>
    </row>
    <row r="809" spans="1:63" ht="12.75" x14ac:dyDescent="0.2">
      <c r="A809" s="263"/>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262"/>
      <c r="AF809" s="262"/>
      <c r="AG809" s="262"/>
      <c r="AH809" s="262"/>
      <c r="AI809" s="262"/>
      <c r="AJ809" s="262"/>
      <c r="AK809" s="262"/>
      <c r="AL809" s="262"/>
      <c r="AM809" s="262"/>
      <c r="AN809" s="262"/>
      <c r="AO809" s="262"/>
      <c r="AP809" s="262"/>
      <c r="AQ809" s="262"/>
      <c r="AR809" s="262"/>
      <c r="AS809" s="262"/>
      <c r="AT809" s="262"/>
      <c r="AU809" s="262"/>
      <c r="AV809" s="262"/>
      <c r="AW809" s="262"/>
      <c r="AX809" s="262"/>
      <c r="AY809" s="262"/>
      <c r="AZ809" s="262"/>
      <c r="BA809" s="262"/>
      <c r="BB809" s="262"/>
      <c r="BC809" s="262"/>
      <c r="BD809" s="262"/>
      <c r="BE809" s="262"/>
      <c r="BF809" s="262"/>
      <c r="BG809" s="262"/>
      <c r="BH809" s="262"/>
      <c r="BI809" s="262"/>
      <c r="BJ809" s="262"/>
      <c r="BK809" s="262"/>
    </row>
    <row r="810" spans="1:63" ht="12.75" x14ac:dyDescent="0.2">
      <c r="A810" s="263"/>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c r="AA810" s="262"/>
      <c r="AB810" s="262"/>
      <c r="AC810" s="262"/>
      <c r="AD810" s="262"/>
      <c r="AE810" s="262"/>
      <c r="AF810" s="262"/>
      <c r="AG810" s="262"/>
      <c r="AH810" s="262"/>
      <c r="AI810" s="262"/>
      <c r="AJ810" s="262"/>
      <c r="AK810" s="262"/>
      <c r="AL810" s="262"/>
      <c r="AM810" s="262"/>
      <c r="AN810" s="262"/>
      <c r="AO810" s="262"/>
      <c r="AP810" s="262"/>
      <c r="AQ810" s="262"/>
      <c r="AR810" s="262"/>
      <c r="AS810" s="262"/>
      <c r="AT810" s="262"/>
      <c r="AU810" s="262"/>
      <c r="AV810" s="262"/>
      <c r="AW810" s="262"/>
      <c r="AX810" s="262"/>
      <c r="AY810" s="262"/>
      <c r="AZ810" s="262"/>
      <c r="BA810" s="262"/>
      <c r="BB810" s="262"/>
      <c r="BC810" s="262"/>
      <c r="BD810" s="262"/>
      <c r="BE810" s="262"/>
      <c r="BF810" s="262"/>
      <c r="BG810" s="262"/>
      <c r="BH810" s="262"/>
      <c r="BI810" s="262"/>
      <c r="BJ810" s="262"/>
      <c r="BK810" s="262"/>
    </row>
    <row r="811" spans="1:63" ht="12.75" x14ac:dyDescent="0.2">
      <c r="A811" s="263"/>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262"/>
      <c r="AF811" s="262"/>
      <c r="AG811" s="262"/>
      <c r="AH811" s="262"/>
      <c r="AI811" s="262"/>
      <c r="AJ811" s="262"/>
      <c r="AK811" s="262"/>
      <c r="AL811" s="262"/>
      <c r="AM811" s="262"/>
      <c r="AN811" s="262"/>
      <c r="AO811" s="262"/>
      <c r="AP811" s="262"/>
      <c r="AQ811" s="262"/>
      <c r="AR811" s="262"/>
      <c r="AS811" s="262"/>
      <c r="AT811" s="262"/>
      <c r="AU811" s="262"/>
      <c r="AV811" s="262"/>
      <c r="AW811" s="262"/>
      <c r="AX811" s="262"/>
      <c r="AY811" s="262"/>
      <c r="AZ811" s="262"/>
      <c r="BA811" s="262"/>
      <c r="BB811" s="262"/>
      <c r="BC811" s="262"/>
      <c r="BD811" s="262"/>
      <c r="BE811" s="262"/>
      <c r="BF811" s="262"/>
      <c r="BG811" s="262"/>
      <c r="BH811" s="262"/>
      <c r="BI811" s="262"/>
      <c r="BJ811" s="262"/>
      <c r="BK811" s="262"/>
    </row>
    <row r="812" spans="1:63" ht="12.75" x14ac:dyDescent="0.2">
      <c r="A812" s="263"/>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c r="AA812" s="262"/>
      <c r="AB812" s="262"/>
      <c r="AC812" s="262"/>
      <c r="AD812" s="262"/>
      <c r="AE812" s="262"/>
      <c r="AF812" s="262"/>
      <c r="AG812" s="262"/>
      <c r="AH812" s="262"/>
      <c r="AI812" s="262"/>
      <c r="AJ812" s="262"/>
      <c r="AK812" s="262"/>
      <c r="AL812" s="262"/>
      <c r="AM812" s="262"/>
      <c r="AN812" s="262"/>
      <c r="AO812" s="262"/>
      <c r="AP812" s="262"/>
      <c r="AQ812" s="262"/>
      <c r="AR812" s="262"/>
      <c r="AS812" s="262"/>
      <c r="AT812" s="262"/>
      <c r="AU812" s="262"/>
      <c r="AV812" s="262"/>
      <c r="AW812" s="262"/>
      <c r="AX812" s="262"/>
      <c r="AY812" s="262"/>
      <c r="AZ812" s="262"/>
      <c r="BA812" s="262"/>
      <c r="BB812" s="262"/>
      <c r="BC812" s="262"/>
      <c r="BD812" s="262"/>
      <c r="BE812" s="262"/>
      <c r="BF812" s="262"/>
      <c r="BG812" s="262"/>
      <c r="BH812" s="262"/>
      <c r="BI812" s="262"/>
      <c r="BJ812" s="262"/>
      <c r="BK812" s="262"/>
    </row>
    <row r="813" spans="1:63" ht="12.75" x14ac:dyDescent="0.2">
      <c r="A813" s="263"/>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F813" s="262"/>
      <c r="AG813" s="262"/>
      <c r="AH813" s="262"/>
      <c r="AI813" s="262"/>
      <c r="AJ813" s="262"/>
      <c r="AK813" s="262"/>
      <c r="AL813" s="262"/>
      <c r="AM813" s="262"/>
      <c r="AN813" s="262"/>
      <c r="AO813" s="262"/>
      <c r="AP813" s="262"/>
      <c r="AQ813" s="262"/>
      <c r="AR813" s="262"/>
      <c r="AS813" s="262"/>
      <c r="AT813" s="262"/>
      <c r="AU813" s="262"/>
      <c r="AV813" s="262"/>
      <c r="AW813" s="262"/>
      <c r="AX813" s="262"/>
      <c r="AY813" s="262"/>
      <c r="AZ813" s="262"/>
      <c r="BA813" s="262"/>
      <c r="BB813" s="262"/>
      <c r="BC813" s="262"/>
      <c r="BD813" s="262"/>
      <c r="BE813" s="262"/>
      <c r="BF813" s="262"/>
      <c r="BG813" s="262"/>
      <c r="BH813" s="262"/>
      <c r="BI813" s="262"/>
      <c r="BJ813" s="262"/>
      <c r="BK813" s="262"/>
    </row>
    <row r="814" spans="1:63" ht="12.75" x14ac:dyDescent="0.2">
      <c r="A814" s="263"/>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262"/>
      <c r="AE814" s="262"/>
      <c r="AF814" s="262"/>
      <c r="AG814" s="262"/>
      <c r="AH814" s="262"/>
      <c r="AI814" s="262"/>
      <c r="AJ814" s="262"/>
      <c r="AK814" s="262"/>
      <c r="AL814" s="262"/>
      <c r="AM814" s="262"/>
      <c r="AN814" s="262"/>
      <c r="AO814" s="262"/>
      <c r="AP814" s="262"/>
      <c r="AQ814" s="262"/>
      <c r="AR814" s="262"/>
      <c r="AS814" s="262"/>
      <c r="AT814" s="262"/>
      <c r="AU814" s="262"/>
      <c r="AV814" s="262"/>
      <c r="AW814" s="262"/>
      <c r="AX814" s="262"/>
      <c r="AY814" s="262"/>
      <c r="AZ814" s="262"/>
      <c r="BA814" s="262"/>
      <c r="BB814" s="262"/>
      <c r="BC814" s="262"/>
      <c r="BD814" s="262"/>
      <c r="BE814" s="262"/>
      <c r="BF814" s="262"/>
      <c r="BG814" s="262"/>
      <c r="BH814" s="262"/>
      <c r="BI814" s="262"/>
      <c r="BJ814" s="262"/>
      <c r="BK814" s="262"/>
    </row>
    <row r="815" spans="1:63" ht="12.75" x14ac:dyDescent="0.2">
      <c r="A815" s="263"/>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262"/>
      <c r="AE815" s="262"/>
      <c r="AF815" s="262"/>
      <c r="AG815" s="262"/>
      <c r="AH815" s="262"/>
      <c r="AI815" s="262"/>
      <c r="AJ815" s="262"/>
      <c r="AK815" s="262"/>
      <c r="AL815" s="262"/>
      <c r="AM815" s="262"/>
      <c r="AN815" s="262"/>
      <c r="AO815" s="262"/>
      <c r="AP815" s="262"/>
      <c r="AQ815" s="262"/>
      <c r="AR815" s="262"/>
      <c r="AS815" s="262"/>
      <c r="AT815" s="262"/>
      <c r="AU815" s="262"/>
      <c r="AV815" s="262"/>
      <c r="AW815" s="262"/>
      <c r="AX815" s="262"/>
      <c r="AY815" s="262"/>
      <c r="AZ815" s="262"/>
      <c r="BA815" s="262"/>
      <c r="BB815" s="262"/>
      <c r="BC815" s="262"/>
      <c r="BD815" s="262"/>
      <c r="BE815" s="262"/>
      <c r="BF815" s="262"/>
      <c r="BG815" s="262"/>
      <c r="BH815" s="262"/>
      <c r="BI815" s="262"/>
      <c r="BJ815" s="262"/>
      <c r="BK815" s="262"/>
    </row>
    <row r="816" spans="1:63" ht="12.75" x14ac:dyDescent="0.2">
      <c r="A816" s="263"/>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262"/>
      <c r="AE816" s="262"/>
      <c r="AF816" s="262"/>
      <c r="AG816" s="262"/>
      <c r="AH816" s="262"/>
      <c r="AI816" s="262"/>
      <c r="AJ816" s="262"/>
      <c r="AK816" s="262"/>
      <c r="AL816" s="262"/>
      <c r="AM816" s="262"/>
      <c r="AN816" s="262"/>
      <c r="AO816" s="262"/>
      <c r="AP816" s="262"/>
      <c r="AQ816" s="262"/>
      <c r="AR816" s="262"/>
      <c r="AS816" s="262"/>
      <c r="AT816" s="262"/>
      <c r="AU816" s="262"/>
      <c r="AV816" s="262"/>
      <c r="AW816" s="262"/>
      <c r="AX816" s="262"/>
      <c r="AY816" s="262"/>
      <c r="AZ816" s="262"/>
      <c r="BA816" s="262"/>
      <c r="BB816" s="262"/>
      <c r="BC816" s="262"/>
      <c r="BD816" s="262"/>
      <c r="BE816" s="262"/>
      <c r="BF816" s="262"/>
      <c r="BG816" s="262"/>
      <c r="BH816" s="262"/>
      <c r="BI816" s="262"/>
      <c r="BJ816" s="262"/>
      <c r="BK816" s="262"/>
    </row>
    <row r="817" spans="1:63" ht="12.75" x14ac:dyDescent="0.2">
      <c r="A817" s="263"/>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262"/>
      <c r="AE817" s="262"/>
      <c r="AF817" s="262"/>
      <c r="AG817" s="262"/>
      <c r="AH817" s="262"/>
      <c r="AI817" s="262"/>
      <c r="AJ817" s="262"/>
      <c r="AK817" s="262"/>
      <c r="AL817" s="262"/>
      <c r="AM817" s="262"/>
      <c r="AN817" s="262"/>
      <c r="AO817" s="262"/>
      <c r="AP817" s="262"/>
      <c r="AQ817" s="262"/>
      <c r="AR817" s="262"/>
      <c r="AS817" s="262"/>
      <c r="AT817" s="262"/>
      <c r="AU817" s="262"/>
      <c r="AV817" s="262"/>
      <c r="AW817" s="262"/>
      <c r="AX817" s="262"/>
      <c r="AY817" s="262"/>
      <c r="AZ817" s="262"/>
      <c r="BA817" s="262"/>
      <c r="BB817" s="262"/>
      <c r="BC817" s="262"/>
      <c r="BD817" s="262"/>
      <c r="BE817" s="262"/>
      <c r="BF817" s="262"/>
      <c r="BG817" s="262"/>
      <c r="BH817" s="262"/>
      <c r="BI817" s="262"/>
      <c r="BJ817" s="262"/>
      <c r="BK817" s="262"/>
    </row>
    <row r="818" spans="1:63" ht="12.75" x14ac:dyDescent="0.2">
      <c r="A818" s="263"/>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262"/>
      <c r="AF818" s="262"/>
      <c r="AG818" s="262"/>
      <c r="AH818" s="262"/>
      <c r="AI818" s="262"/>
      <c r="AJ818" s="262"/>
      <c r="AK818" s="262"/>
      <c r="AL818" s="262"/>
      <c r="AM818" s="262"/>
      <c r="AN818" s="262"/>
      <c r="AO818" s="262"/>
      <c r="AP818" s="262"/>
      <c r="AQ818" s="262"/>
      <c r="AR818" s="262"/>
      <c r="AS818" s="262"/>
      <c r="AT818" s="262"/>
      <c r="AU818" s="262"/>
      <c r="AV818" s="262"/>
      <c r="AW818" s="262"/>
      <c r="AX818" s="262"/>
      <c r="AY818" s="262"/>
      <c r="AZ818" s="262"/>
      <c r="BA818" s="262"/>
      <c r="BB818" s="262"/>
      <c r="BC818" s="262"/>
      <c r="BD818" s="262"/>
      <c r="BE818" s="262"/>
      <c r="BF818" s="262"/>
      <c r="BG818" s="262"/>
      <c r="BH818" s="262"/>
      <c r="BI818" s="262"/>
      <c r="BJ818" s="262"/>
      <c r="BK818" s="262"/>
    </row>
    <row r="819" spans="1:63" ht="12.75" x14ac:dyDescent="0.2">
      <c r="A819" s="263"/>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c r="AA819" s="262"/>
      <c r="AB819" s="262"/>
      <c r="AC819" s="262"/>
      <c r="AD819" s="262"/>
      <c r="AE819" s="262"/>
      <c r="AF819" s="262"/>
      <c r="AG819" s="262"/>
      <c r="AH819" s="262"/>
      <c r="AI819" s="262"/>
      <c r="AJ819" s="262"/>
      <c r="AK819" s="262"/>
      <c r="AL819" s="262"/>
      <c r="AM819" s="262"/>
      <c r="AN819" s="262"/>
      <c r="AO819" s="262"/>
      <c r="AP819" s="262"/>
      <c r="AQ819" s="262"/>
      <c r="AR819" s="262"/>
      <c r="AS819" s="262"/>
      <c r="AT819" s="262"/>
      <c r="AU819" s="262"/>
      <c r="AV819" s="262"/>
      <c r="AW819" s="262"/>
      <c r="AX819" s="262"/>
      <c r="AY819" s="262"/>
      <c r="AZ819" s="262"/>
      <c r="BA819" s="262"/>
      <c r="BB819" s="262"/>
      <c r="BC819" s="262"/>
      <c r="BD819" s="262"/>
      <c r="BE819" s="262"/>
      <c r="BF819" s="262"/>
      <c r="BG819" s="262"/>
      <c r="BH819" s="262"/>
      <c r="BI819" s="262"/>
      <c r="BJ819" s="262"/>
      <c r="BK819" s="262"/>
    </row>
    <row r="820" spans="1:63" ht="12.75" x14ac:dyDescent="0.2">
      <c r="A820" s="263"/>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262"/>
      <c r="AF820" s="262"/>
      <c r="AG820" s="262"/>
      <c r="AH820" s="262"/>
      <c r="AI820" s="262"/>
      <c r="AJ820" s="262"/>
      <c r="AK820" s="262"/>
      <c r="AL820" s="262"/>
      <c r="AM820" s="262"/>
      <c r="AN820" s="262"/>
      <c r="AO820" s="262"/>
      <c r="AP820" s="262"/>
      <c r="AQ820" s="262"/>
      <c r="AR820" s="262"/>
      <c r="AS820" s="262"/>
      <c r="AT820" s="262"/>
      <c r="AU820" s="262"/>
      <c r="AV820" s="262"/>
      <c r="AW820" s="262"/>
      <c r="AX820" s="262"/>
      <c r="AY820" s="262"/>
      <c r="AZ820" s="262"/>
      <c r="BA820" s="262"/>
      <c r="BB820" s="262"/>
      <c r="BC820" s="262"/>
      <c r="BD820" s="262"/>
      <c r="BE820" s="262"/>
      <c r="BF820" s="262"/>
      <c r="BG820" s="262"/>
      <c r="BH820" s="262"/>
      <c r="BI820" s="262"/>
      <c r="BJ820" s="262"/>
      <c r="BK820" s="262"/>
    </row>
    <row r="821" spans="1:63" ht="12.75" x14ac:dyDescent="0.2">
      <c r="A821" s="263"/>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c r="AA821" s="262"/>
      <c r="AB821" s="262"/>
      <c r="AC821" s="262"/>
      <c r="AD821" s="262"/>
      <c r="AE821" s="262"/>
      <c r="AF821" s="262"/>
      <c r="AG821" s="262"/>
      <c r="AH821" s="262"/>
      <c r="AI821" s="262"/>
      <c r="AJ821" s="262"/>
      <c r="AK821" s="262"/>
      <c r="AL821" s="262"/>
      <c r="AM821" s="262"/>
      <c r="AN821" s="262"/>
      <c r="AO821" s="262"/>
      <c r="AP821" s="262"/>
      <c r="AQ821" s="262"/>
      <c r="AR821" s="262"/>
      <c r="AS821" s="262"/>
      <c r="AT821" s="262"/>
      <c r="AU821" s="262"/>
      <c r="AV821" s="262"/>
      <c r="AW821" s="262"/>
      <c r="AX821" s="262"/>
      <c r="AY821" s="262"/>
      <c r="AZ821" s="262"/>
      <c r="BA821" s="262"/>
      <c r="BB821" s="262"/>
      <c r="BC821" s="262"/>
      <c r="BD821" s="262"/>
      <c r="BE821" s="262"/>
      <c r="BF821" s="262"/>
      <c r="BG821" s="262"/>
      <c r="BH821" s="262"/>
      <c r="BI821" s="262"/>
      <c r="BJ821" s="262"/>
      <c r="BK821" s="262"/>
    </row>
    <row r="822" spans="1:63" ht="12.75" x14ac:dyDescent="0.2">
      <c r="A822" s="263"/>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c r="AA822" s="262"/>
      <c r="AB822" s="262"/>
      <c r="AC822" s="262"/>
      <c r="AD822" s="262"/>
      <c r="AE822" s="262"/>
      <c r="AF822" s="262"/>
      <c r="AG822" s="262"/>
      <c r="AH822" s="262"/>
      <c r="AI822" s="262"/>
      <c r="AJ822" s="262"/>
      <c r="AK822" s="262"/>
      <c r="AL822" s="262"/>
      <c r="AM822" s="262"/>
      <c r="AN822" s="262"/>
      <c r="AO822" s="262"/>
      <c r="AP822" s="262"/>
      <c r="AQ822" s="262"/>
      <c r="AR822" s="262"/>
      <c r="AS822" s="262"/>
      <c r="AT822" s="262"/>
      <c r="AU822" s="262"/>
      <c r="AV822" s="262"/>
      <c r="AW822" s="262"/>
      <c r="AX822" s="262"/>
      <c r="AY822" s="262"/>
      <c r="AZ822" s="262"/>
      <c r="BA822" s="262"/>
      <c r="BB822" s="262"/>
      <c r="BC822" s="262"/>
      <c r="BD822" s="262"/>
      <c r="BE822" s="262"/>
      <c r="BF822" s="262"/>
      <c r="BG822" s="262"/>
      <c r="BH822" s="262"/>
      <c r="BI822" s="262"/>
      <c r="BJ822" s="262"/>
      <c r="BK822" s="262"/>
    </row>
    <row r="823" spans="1:63" ht="12.75" x14ac:dyDescent="0.2">
      <c r="A823" s="263"/>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c r="AA823" s="262"/>
      <c r="AB823" s="262"/>
      <c r="AC823" s="262"/>
      <c r="AD823" s="262"/>
      <c r="AE823" s="262"/>
      <c r="AF823" s="262"/>
      <c r="AG823" s="262"/>
      <c r="AH823" s="262"/>
      <c r="AI823" s="262"/>
      <c r="AJ823" s="262"/>
      <c r="AK823" s="262"/>
      <c r="AL823" s="262"/>
      <c r="AM823" s="262"/>
      <c r="AN823" s="262"/>
      <c r="AO823" s="262"/>
      <c r="AP823" s="262"/>
      <c r="AQ823" s="262"/>
      <c r="AR823" s="262"/>
      <c r="AS823" s="262"/>
      <c r="AT823" s="262"/>
      <c r="AU823" s="262"/>
      <c r="AV823" s="262"/>
      <c r="AW823" s="262"/>
      <c r="AX823" s="262"/>
      <c r="AY823" s="262"/>
      <c r="AZ823" s="262"/>
      <c r="BA823" s="262"/>
      <c r="BB823" s="262"/>
      <c r="BC823" s="262"/>
      <c r="BD823" s="262"/>
      <c r="BE823" s="262"/>
      <c r="BF823" s="262"/>
      <c r="BG823" s="262"/>
      <c r="BH823" s="262"/>
      <c r="BI823" s="262"/>
      <c r="BJ823" s="262"/>
      <c r="BK823" s="262"/>
    </row>
    <row r="824" spans="1:63" ht="12.75" x14ac:dyDescent="0.2">
      <c r="A824" s="263"/>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c r="AA824" s="262"/>
      <c r="AB824" s="262"/>
      <c r="AC824" s="262"/>
      <c r="AD824" s="262"/>
      <c r="AE824" s="262"/>
      <c r="AF824" s="262"/>
      <c r="AG824" s="262"/>
      <c r="AH824" s="262"/>
      <c r="AI824" s="262"/>
      <c r="AJ824" s="262"/>
      <c r="AK824" s="262"/>
      <c r="AL824" s="262"/>
      <c r="AM824" s="262"/>
      <c r="AN824" s="262"/>
      <c r="AO824" s="262"/>
      <c r="AP824" s="262"/>
      <c r="AQ824" s="262"/>
      <c r="AR824" s="262"/>
      <c r="AS824" s="262"/>
      <c r="AT824" s="262"/>
      <c r="AU824" s="262"/>
      <c r="AV824" s="262"/>
      <c r="AW824" s="262"/>
      <c r="AX824" s="262"/>
      <c r="AY824" s="262"/>
      <c r="AZ824" s="262"/>
      <c r="BA824" s="262"/>
      <c r="BB824" s="262"/>
      <c r="BC824" s="262"/>
      <c r="BD824" s="262"/>
      <c r="BE824" s="262"/>
      <c r="BF824" s="262"/>
      <c r="BG824" s="262"/>
      <c r="BH824" s="262"/>
      <c r="BI824" s="262"/>
      <c r="BJ824" s="262"/>
      <c r="BK824" s="262"/>
    </row>
    <row r="825" spans="1:63" ht="12.75" x14ac:dyDescent="0.2">
      <c r="A825" s="263"/>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c r="AA825" s="262"/>
      <c r="AB825" s="262"/>
      <c r="AC825" s="262"/>
      <c r="AD825" s="262"/>
      <c r="AE825" s="262"/>
      <c r="AF825" s="262"/>
      <c r="AG825" s="262"/>
      <c r="AH825" s="262"/>
      <c r="AI825" s="262"/>
      <c r="AJ825" s="262"/>
      <c r="AK825" s="262"/>
      <c r="AL825" s="262"/>
      <c r="AM825" s="262"/>
      <c r="AN825" s="262"/>
      <c r="AO825" s="262"/>
      <c r="AP825" s="262"/>
      <c r="AQ825" s="262"/>
      <c r="AR825" s="262"/>
      <c r="AS825" s="262"/>
      <c r="AT825" s="262"/>
      <c r="AU825" s="262"/>
      <c r="AV825" s="262"/>
      <c r="AW825" s="262"/>
      <c r="AX825" s="262"/>
      <c r="AY825" s="262"/>
      <c r="AZ825" s="262"/>
      <c r="BA825" s="262"/>
      <c r="BB825" s="262"/>
      <c r="BC825" s="262"/>
      <c r="BD825" s="262"/>
      <c r="BE825" s="262"/>
      <c r="BF825" s="262"/>
      <c r="BG825" s="262"/>
      <c r="BH825" s="262"/>
      <c r="BI825" s="262"/>
      <c r="BJ825" s="262"/>
      <c r="BK825" s="262"/>
    </row>
    <row r="826" spans="1:63" ht="12.75" x14ac:dyDescent="0.2">
      <c r="A826" s="263"/>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262"/>
      <c r="AE826" s="262"/>
      <c r="AF826" s="262"/>
      <c r="AG826" s="262"/>
      <c r="AH826" s="262"/>
      <c r="AI826" s="262"/>
      <c r="AJ826" s="262"/>
      <c r="AK826" s="262"/>
      <c r="AL826" s="262"/>
      <c r="AM826" s="262"/>
      <c r="AN826" s="262"/>
      <c r="AO826" s="262"/>
      <c r="AP826" s="262"/>
      <c r="AQ826" s="262"/>
      <c r="AR826" s="262"/>
      <c r="AS826" s="262"/>
      <c r="AT826" s="262"/>
      <c r="AU826" s="262"/>
      <c r="AV826" s="262"/>
      <c r="AW826" s="262"/>
      <c r="AX826" s="262"/>
      <c r="AY826" s="262"/>
      <c r="AZ826" s="262"/>
      <c r="BA826" s="262"/>
      <c r="BB826" s="262"/>
      <c r="BC826" s="262"/>
      <c r="BD826" s="262"/>
      <c r="BE826" s="262"/>
      <c r="BF826" s="262"/>
      <c r="BG826" s="262"/>
      <c r="BH826" s="262"/>
      <c r="BI826" s="262"/>
      <c r="BJ826" s="262"/>
      <c r="BK826" s="262"/>
    </row>
    <row r="827" spans="1:63" ht="12.75" x14ac:dyDescent="0.2">
      <c r="A827" s="263"/>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262"/>
      <c r="AE827" s="262"/>
      <c r="AF827" s="262"/>
      <c r="AG827" s="262"/>
      <c r="AH827" s="262"/>
      <c r="AI827" s="262"/>
      <c r="AJ827" s="262"/>
      <c r="AK827" s="262"/>
      <c r="AL827" s="262"/>
      <c r="AM827" s="262"/>
      <c r="AN827" s="262"/>
      <c r="AO827" s="262"/>
      <c r="AP827" s="262"/>
      <c r="AQ827" s="262"/>
      <c r="AR827" s="262"/>
      <c r="AS827" s="262"/>
      <c r="AT827" s="262"/>
      <c r="AU827" s="262"/>
      <c r="AV827" s="262"/>
      <c r="AW827" s="262"/>
      <c r="AX827" s="262"/>
      <c r="AY827" s="262"/>
      <c r="AZ827" s="262"/>
      <c r="BA827" s="262"/>
      <c r="BB827" s="262"/>
      <c r="BC827" s="262"/>
      <c r="BD827" s="262"/>
      <c r="BE827" s="262"/>
      <c r="BF827" s="262"/>
      <c r="BG827" s="262"/>
      <c r="BH827" s="262"/>
      <c r="BI827" s="262"/>
      <c r="BJ827" s="262"/>
      <c r="BK827" s="262"/>
    </row>
    <row r="828" spans="1:63" ht="12.75" x14ac:dyDescent="0.2">
      <c r="A828" s="263"/>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262"/>
      <c r="AE828" s="262"/>
      <c r="AF828" s="262"/>
      <c r="AG828" s="262"/>
      <c r="AH828" s="262"/>
      <c r="AI828" s="262"/>
      <c r="AJ828" s="262"/>
      <c r="AK828" s="262"/>
      <c r="AL828" s="262"/>
      <c r="AM828" s="262"/>
      <c r="AN828" s="262"/>
      <c r="AO828" s="262"/>
      <c r="AP828" s="262"/>
      <c r="AQ828" s="262"/>
      <c r="AR828" s="262"/>
      <c r="AS828" s="262"/>
      <c r="AT828" s="262"/>
      <c r="AU828" s="262"/>
      <c r="AV828" s="262"/>
      <c r="AW828" s="262"/>
      <c r="AX828" s="262"/>
      <c r="AY828" s="262"/>
      <c r="AZ828" s="262"/>
      <c r="BA828" s="262"/>
      <c r="BB828" s="262"/>
      <c r="BC828" s="262"/>
      <c r="BD828" s="262"/>
      <c r="BE828" s="262"/>
      <c r="BF828" s="262"/>
      <c r="BG828" s="262"/>
      <c r="BH828" s="262"/>
      <c r="BI828" s="262"/>
      <c r="BJ828" s="262"/>
      <c r="BK828" s="262"/>
    </row>
    <row r="829" spans="1:63" ht="12.75" x14ac:dyDescent="0.2">
      <c r="A829" s="263"/>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262"/>
      <c r="AE829" s="262"/>
      <c r="AF829" s="262"/>
      <c r="AG829" s="262"/>
      <c r="AH829" s="262"/>
      <c r="AI829" s="262"/>
      <c r="AJ829" s="262"/>
      <c r="AK829" s="262"/>
      <c r="AL829" s="262"/>
      <c r="AM829" s="262"/>
      <c r="AN829" s="262"/>
      <c r="AO829" s="262"/>
      <c r="AP829" s="262"/>
      <c r="AQ829" s="262"/>
      <c r="AR829" s="262"/>
      <c r="AS829" s="262"/>
      <c r="AT829" s="262"/>
      <c r="AU829" s="262"/>
      <c r="AV829" s="262"/>
      <c r="AW829" s="262"/>
      <c r="AX829" s="262"/>
      <c r="AY829" s="262"/>
      <c r="AZ829" s="262"/>
      <c r="BA829" s="262"/>
      <c r="BB829" s="262"/>
      <c r="BC829" s="262"/>
      <c r="BD829" s="262"/>
      <c r="BE829" s="262"/>
      <c r="BF829" s="262"/>
      <c r="BG829" s="262"/>
      <c r="BH829" s="262"/>
      <c r="BI829" s="262"/>
      <c r="BJ829" s="262"/>
      <c r="BK829" s="262"/>
    </row>
    <row r="830" spans="1:63" ht="12.75" x14ac:dyDescent="0.2">
      <c r="A830" s="263"/>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262"/>
      <c r="AE830" s="262"/>
      <c r="AF830" s="262"/>
      <c r="AG830" s="262"/>
      <c r="AH830" s="262"/>
      <c r="AI830" s="262"/>
      <c r="AJ830" s="262"/>
      <c r="AK830" s="262"/>
      <c r="AL830" s="262"/>
      <c r="AM830" s="262"/>
      <c r="AN830" s="262"/>
      <c r="AO830" s="262"/>
      <c r="AP830" s="262"/>
      <c r="AQ830" s="262"/>
      <c r="AR830" s="262"/>
      <c r="AS830" s="262"/>
      <c r="AT830" s="262"/>
      <c r="AU830" s="262"/>
      <c r="AV830" s="262"/>
      <c r="AW830" s="262"/>
      <c r="AX830" s="262"/>
      <c r="AY830" s="262"/>
      <c r="AZ830" s="262"/>
      <c r="BA830" s="262"/>
      <c r="BB830" s="262"/>
      <c r="BC830" s="262"/>
      <c r="BD830" s="262"/>
      <c r="BE830" s="262"/>
      <c r="BF830" s="262"/>
      <c r="BG830" s="262"/>
      <c r="BH830" s="262"/>
      <c r="BI830" s="262"/>
      <c r="BJ830" s="262"/>
      <c r="BK830" s="262"/>
    </row>
    <row r="831" spans="1:63" ht="12.75" x14ac:dyDescent="0.2">
      <c r="A831" s="263"/>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F831" s="262"/>
      <c r="AG831" s="262"/>
      <c r="AH831" s="262"/>
      <c r="AI831" s="262"/>
      <c r="AJ831" s="262"/>
      <c r="AK831" s="262"/>
      <c r="AL831" s="262"/>
      <c r="AM831" s="262"/>
      <c r="AN831" s="262"/>
      <c r="AO831" s="262"/>
      <c r="AP831" s="262"/>
      <c r="AQ831" s="262"/>
      <c r="AR831" s="262"/>
      <c r="AS831" s="262"/>
      <c r="AT831" s="262"/>
      <c r="AU831" s="262"/>
      <c r="AV831" s="262"/>
      <c r="AW831" s="262"/>
      <c r="AX831" s="262"/>
      <c r="AY831" s="262"/>
      <c r="AZ831" s="262"/>
      <c r="BA831" s="262"/>
      <c r="BB831" s="262"/>
      <c r="BC831" s="262"/>
      <c r="BD831" s="262"/>
      <c r="BE831" s="262"/>
      <c r="BF831" s="262"/>
      <c r="BG831" s="262"/>
      <c r="BH831" s="262"/>
      <c r="BI831" s="262"/>
      <c r="BJ831" s="262"/>
      <c r="BK831" s="262"/>
    </row>
    <row r="832" spans="1:63" ht="12.75" x14ac:dyDescent="0.2">
      <c r="A832" s="263"/>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262"/>
      <c r="AE832" s="262"/>
      <c r="AF832" s="262"/>
      <c r="AG832" s="262"/>
      <c r="AH832" s="262"/>
      <c r="AI832" s="262"/>
      <c r="AJ832" s="262"/>
      <c r="AK832" s="262"/>
      <c r="AL832" s="262"/>
      <c r="AM832" s="262"/>
      <c r="AN832" s="262"/>
      <c r="AO832" s="262"/>
      <c r="AP832" s="262"/>
      <c r="AQ832" s="262"/>
      <c r="AR832" s="262"/>
      <c r="AS832" s="262"/>
      <c r="AT832" s="262"/>
      <c r="AU832" s="262"/>
      <c r="AV832" s="262"/>
      <c r="AW832" s="262"/>
      <c r="AX832" s="262"/>
      <c r="AY832" s="262"/>
      <c r="AZ832" s="262"/>
      <c r="BA832" s="262"/>
      <c r="BB832" s="262"/>
      <c r="BC832" s="262"/>
      <c r="BD832" s="262"/>
      <c r="BE832" s="262"/>
      <c r="BF832" s="262"/>
      <c r="BG832" s="262"/>
      <c r="BH832" s="262"/>
      <c r="BI832" s="262"/>
      <c r="BJ832" s="262"/>
      <c r="BK832" s="262"/>
    </row>
    <row r="833" spans="1:63" ht="12.75" x14ac:dyDescent="0.2">
      <c r="A833" s="263"/>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262"/>
      <c r="AE833" s="262"/>
      <c r="AF833" s="262"/>
      <c r="AG833" s="262"/>
      <c r="AH833" s="262"/>
      <c r="AI833" s="262"/>
      <c r="AJ833" s="262"/>
      <c r="AK833" s="262"/>
      <c r="AL833" s="262"/>
      <c r="AM833" s="262"/>
      <c r="AN833" s="262"/>
      <c r="AO833" s="262"/>
      <c r="AP833" s="262"/>
      <c r="AQ833" s="262"/>
      <c r="AR833" s="262"/>
      <c r="AS833" s="262"/>
      <c r="AT833" s="262"/>
      <c r="AU833" s="262"/>
      <c r="AV833" s="262"/>
      <c r="AW833" s="262"/>
      <c r="AX833" s="262"/>
      <c r="AY833" s="262"/>
      <c r="AZ833" s="262"/>
      <c r="BA833" s="262"/>
      <c r="BB833" s="262"/>
      <c r="BC833" s="262"/>
      <c r="BD833" s="262"/>
      <c r="BE833" s="262"/>
      <c r="BF833" s="262"/>
      <c r="BG833" s="262"/>
      <c r="BH833" s="262"/>
      <c r="BI833" s="262"/>
      <c r="BJ833" s="262"/>
      <c r="BK833" s="262"/>
    </row>
    <row r="834" spans="1:63" ht="12.75" x14ac:dyDescent="0.2">
      <c r="A834" s="263"/>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262"/>
      <c r="AF834" s="262"/>
      <c r="AG834" s="262"/>
      <c r="AH834" s="262"/>
      <c r="AI834" s="262"/>
      <c r="AJ834" s="262"/>
      <c r="AK834" s="262"/>
      <c r="AL834" s="262"/>
      <c r="AM834" s="262"/>
      <c r="AN834" s="262"/>
      <c r="AO834" s="262"/>
      <c r="AP834" s="262"/>
      <c r="AQ834" s="262"/>
      <c r="AR834" s="262"/>
      <c r="AS834" s="262"/>
      <c r="AT834" s="262"/>
      <c r="AU834" s="262"/>
      <c r="AV834" s="262"/>
      <c r="AW834" s="262"/>
      <c r="AX834" s="262"/>
      <c r="AY834" s="262"/>
      <c r="AZ834" s="262"/>
      <c r="BA834" s="262"/>
      <c r="BB834" s="262"/>
      <c r="BC834" s="262"/>
      <c r="BD834" s="262"/>
      <c r="BE834" s="262"/>
      <c r="BF834" s="262"/>
      <c r="BG834" s="262"/>
      <c r="BH834" s="262"/>
      <c r="BI834" s="262"/>
      <c r="BJ834" s="262"/>
      <c r="BK834" s="262"/>
    </row>
    <row r="835" spans="1:63" ht="12.75" x14ac:dyDescent="0.2">
      <c r="A835" s="263"/>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262"/>
      <c r="AE835" s="262"/>
      <c r="AF835" s="262"/>
      <c r="AG835" s="262"/>
      <c r="AH835" s="262"/>
      <c r="AI835" s="262"/>
      <c r="AJ835" s="262"/>
      <c r="AK835" s="262"/>
      <c r="AL835" s="262"/>
      <c r="AM835" s="262"/>
      <c r="AN835" s="262"/>
      <c r="AO835" s="262"/>
      <c r="AP835" s="262"/>
      <c r="AQ835" s="262"/>
      <c r="AR835" s="262"/>
      <c r="AS835" s="262"/>
      <c r="AT835" s="262"/>
      <c r="AU835" s="262"/>
      <c r="AV835" s="262"/>
      <c r="AW835" s="262"/>
      <c r="AX835" s="262"/>
      <c r="AY835" s="262"/>
      <c r="AZ835" s="262"/>
      <c r="BA835" s="262"/>
      <c r="BB835" s="262"/>
      <c r="BC835" s="262"/>
      <c r="BD835" s="262"/>
      <c r="BE835" s="262"/>
      <c r="BF835" s="262"/>
      <c r="BG835" s="262"/>
      <c r="BH835" s="262"/>
      <c r="BI835" s="262"/>
      <c r="BJ835" s="262"/>
      <c r="BK835" s="262"/>
    </row>
    <row r="836" spans="1:63" ht="12.75" x14ac:dyDescent="0.2">
      <c r="A836" s="263"/>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262"/>
      <c r="AF836" s="262"/>
      <c r="AG836" s="262"/>
      <c r="AH836" s="262"/>
      <c r="AI836" s="262"/>
      <c r="AJ836" s="262"/>
      <c r="AK836" s="262"/>
      <c r="AL836" s="262"/>
      <c r="AM836" s="262"/>
      <c r="AN836" s="262"/>
      <c r="AO836" s="262"/>
      <c r="AP836" s="262"/>
      <c r="AQ836" s="262"/>
      <c r="AR836" s="262"/>
      <c r="AS836" s="262"/>
      <c r="AT836" s="262"/>
      <c r="AU836" s="262"/>
      <c r="AV836" s="262"/>
      <c r="AW836" s="262"/>
      <c r="AX836" s="262"/>
      <c r="AY836" s="262"/>
      <c r="AZ836" s="262"/>
      <c r="BA836" s="262"/>
      <c r="BB836" s="262"/>
      <c r="BC836" s="262"/>
      <c r="BD836" s="262"/>
      <c r="BE836" s="262"/>
      <c r="BF836" s="262"/>
      <c r="BG836" s="262"/>
      <c r="BH836" s="262"/>
      <c r="BI836" s="262"/>
      <c r="BJ836" s="262"/>
      <c r="BK836" s="262"/>
    </row>
    <row r="837" spans="1:63" ht="12.75" x14ac:dyDescent="0.2">
      <c r="A837" s="263"/>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c r="AA837" s="262"/>
      <c r="AB837" s="262"/>
      <c r="AC837" s="262"/>
      <c r="AD837" s="262"/>
      <c r="AE837" s="262"/>
      <c r="AF837" s="262"/>
      <c r="AG837" s="262"/>
      <c r="AH837" s="262"/>
      <c r="AI837" s="262"/>
      <c r="AJ837" s="262"/>
      <c r="AK837" s="262"/>
      <c r="AL837" s="262"/>
      <c r="AM837" s="262"/>
      <c r="AN837" s="262"/>
      <c r="AO837" s="262"/>
      <c r="AP837" s="262"/>
      <c r="AQ837" s="262"/>
      <c r="AR837" s="262"/>
      <c r="AS837" s="262"/>
      <c r="AT837" s="262"/>
      <c r="AU837" s="262"/>
      <c r="AV837" s="262"/>
      <c r="AW837" s="262"/>
      <c r="AX837" s="262"/>
      <c r="AY837" s="262"/>
      <c r="AZ837" s="262"/>
      <c r="BA837" s="262"/>
      <c r="BB837" s="262"/>
      <c r="BC837" s="262"/>
      <c r="BD837" s="262"/>
      <c r="BE837" s="262"/>
      <c r="BF837" s="262"/>
      <c r="BG837" s="262"/>
      <c r="BH837" s="262"/>
      <c r="BI837" s="262"/>
      <c r="BJ837" s="262"/>
      <c r="BK837" s="262"/>
    </row>
    <row r="838" spans="1:63" ht="12.75" x14ac:dyDescent="0.2">
      <c r="A838" s="263"/>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c r="AA838" s="262"/>
      <c r="AB838" s="262"/>
      <c r="AC838" s="262"/>
      <c r="AD838" s="262"/>
      <c r="AE838" s="262"/>
      <c r="AF838" s="262"/>
      <c r="AG838" s="262"/>
      <c r="AH838" s="262"/>
      <c r="AI838" s="262"/>
      <c r="AJ838" s="262"/>
      <c r="AK838" s="262"/>
      <c r="AL838" s="262"/>
      <c r="AM838" s="262"/>
      <c r="AN838" s="262"/>
      <c r="AO838" s="262"/>
      <c r="AP838" s="262"/>
      <c r="AQ838" s="262"/>
      <c r="AR838" s="262"/>
      <c r="AS838" s="262"/>
      <c r="AT838" s="262"/>
      <c r="AU838" s="262"/>
      <c r="AV838" s="262"/>
      <c r="AW838" s="262"/>
      <c r="AX838" s="262"/>
      <c r="AY838" s="262"/>
      <c r="AZ838" s="262"/>
      <c r="BA838" s="262"/>
      <c r="BB838" s="262"/>
      <c r="BC838" s="262"/>
      <c r="BD838" s="262"/>
      <c r="BE838" s="262"/>
      <c r="BF838" s="262"/>
      <c r="BG838" s="262"/>
      <c r="BH838" s="262"/>
      <c r="BI838" s="262"/>
      <c r="BJ838" s="262"/>
      <c r="BK838" s="262"/>
    </row>
    <row r="839" spans="1:63" ht="12.75" x14ac:dyDescent="0.2">
      <c r="A839" s="263"/>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c r="AA839" s="262"/>
      <c r="AB839" s="262"/>
      <c r="AC839" s="262"/>
      <c r="AD839" s="262"/>
      <c r="AE839" s="262"/>
      <c r="AF839" s="262"/>
      <c r="AG839" s="262"/>
      <c r="AH839" s="262"/>
      <c r="AI839" s="262"/>
      <c r="AJ839" s="262"/>
      <c r="AK839" s="262"/>
      <c r="AL839" s="262"/>
      <c r="AM839" s="262"/>
      <c r="AN839" s="262"/>
      <c r="AO839" s="262"/>
      <c r="AP839" s="262"/>
      <c r="AQ839" s="262"/>
      <c r="AR839" s="262"/>
      <c r="AS839" s="262"/>
      <c r="AT839" s="262"/>
      <c r="AU839" s="262"/>
      <c r="AV839" s="262"/>
      <c r="AW839" s="262"/>
      <c r="AX839" s="262"/>
      <c r="AY839" s="262"/>
      <c r="AZ839" s="262"/>
      <c r="BA839" s="262"/>
      <c r="BB839" s="262"/>
      <c r="BC839" s="262"/>
      <c r="BD839" s="262"/>
      <c r="BE839" s="262"/>
      <c r="BF839" s="262"/>
      <c r="BG839" s="262"/>
      <c r="BH839" s="262"/>
      <c r="BI839" s="262"/>
      <c r="BJ839" s="262"/>
      <c r="BK839" s="262"/>
    </row>
    <row r="840" spans="1:63" ht="12.75" x14ac:dyDescent="0.2">
      <c r="A840" s="263"/>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262"/>
      <c r="AE840" s="262"/>
      <c r="AF840" s="262"/>
      <c r="AG840" s="262"/>
      <c r="AH840" s="262"/>
      <c r="AI840" s="262"/>
      <c r="AJ840" s="262"/>
      <c r="AK840" s="262"/>
      <c r="AL840" s="262"/>
      <c r="AM840" s="262"/>
      <c r="AN840" s="262"/>
      <c r="AO840" s="262"/>
      <c r="AP840" s="262"/>
      <c r="AQ840" s="262"/>
      <c r="AR840" s="262"/>
      <c r="AS840" s="262"/>
      <c r="AT840" s="262"/>
      <c r="AU840" s="262"/>
      <c r="AV840" s="262"/>
      <c r="AW840" s="262"/>
      <c r="AX840" s="262"/>
      <c r="AY840" s="262"/>
      <c r="AZ840" s="262"/>
      <c r="BA840" s="262"/>
      <c r="BB840" s="262"/>
      <c r="BC840" s="262"/>
      <c r="BD840" s="262"/>
      <c r="BE840" s="262"/>
      <c r="BF840" s="262"/>
      <c r="BG840" s="262"/>
      <c r="BH840" s="262"/>
      <c r="BI840" s="262"/>
      <c r="BJ840" s="262"/>
      <c r="BK840" s="262"/>
    </row>
    <row r="841" spans="1:63" ht="12.75" x14ac:dyDescent="0.2">
      <c r="A841" s="263"/>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262"/>
      <c r="AE841" s="262"/>
      <c r="AF841" s="262"/>
      <c r="AG841" s="262"/>
      <c r="AH841" s="262"/>
      <c r="AI841" s="262"/>
      <c r="AJ841" s="262"/>
      <c r="AK841" s="262"/>
      <c r="AL841" s="262"/>
      <c r="AM841" s="262"/>
      <c r="AN841" s="262"/>
      <c r="AO841" s="262"/>
      <c r="AP841" s="262"/>
      <c r="AQ841" s="262"/>
      <c r="AR841" s="262"/>
      <c r="AS841" s="262"/>
      <c r="AT841" s="262"/>
      <c r="AU841" s="262"/>
      <c r="AV841" s="262"/>
      <c r="AW841" s="262"/>
      <c r="AX841" s="262"/>
      <c r="AY841" s="262"/>
      <c r="AZ841" s="262"/>
      <c r="BA841" s="262"/>
      <c r="BB841" s="262"/>
      <c r="BC841" s="262"/>
      <c r="BD841" s="262"/>
      <c r="BE841" s="262"/>
      <c r="BF841" s="262"/>
      <c r="BG841" s="262"/>
      <c r="BH841" s="262"/>
      <c r="BI841" s="262"/>
      <c r="BJ841" s="262"/>
      <c r="BK841" s="262"/>
    </row>
    <row r="842" spans="1:63" ht="12.75" x14ac:dyDescent="0.2">
      <c r="A842" s="263"/>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262"/>
      <c r="AE842" s="262"/>
      <c r="AF842" s="262"/>
      <c r="AG842" s="262"/>
      <c r="AH842" s="262"/>
      <c r="AI842" s="262"/>
      <c r="AJ842" s="262"/>
      <c r="AK842" s="262"/>
      <c r="AL842" s="262"/>
      <c r="AM842" s="262"/>
      <c r="AN842" s="262"/>
      <c r="AO842" s="262"/>
      <c r="AP842" s="262"/>
      <c r="AQ842" s="262"/>
      <c r="AR842" s="262"/>
      <c r="AS842" s="262"/>
      <c r="AT842" s="262"/>
      <c r="AU842" s="262"/>
      <c r="AV842" s="262"/>
      <c r="AW842" s="262"/>
      <c r="AX842" s="262"/>
      <c r="AY842" s="262"/>
      <c r="AZ842" s="262"/>
      <c r="BA842" s="262"/>
      <c r="BB842" s="262"/>
      <c r="BC842" s="262"/>
      <c r="BD842" s="262"/>
      <c r="BE842" s="262"/>
      <c r="BF842" s="262"/>
      <c r="BG842" s="262"/>
      <c r="BH842" s="262"/>
      <c r="BI842" s="262"/>
      <c r="BJ842" s="262"/>
      <c r="BK842" s="262"/>
    </row>
    <row r="843" spans="1:63" ht="12.75" x14ac:dyDescent="0.2">
      <c r="A843" s="263"/>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262"/>
      <c r="AF843" s="262"/>
      <c r="AG843" s="262"/>
      <c r="AH843" s="262"/>
      <c r="AI843" s="262"/>
      <c r="AJ843" s="262"/>
      <c r="AK843" s="262"/>
      <c r="AL843" s="262"/>
      <c r="AM843" s="262"/>
      <c r="AN843" s="262"/>
      <c r="AO843" s="262"/>
      <c r="AP843" s="262"/>
      <c r="AQ843" s="262"/>
      <c r="AR843" s="262"/>
      <c r="AS843" s="262"/>
      <c r="AT843" s="262"/>
      <c r="AU843" s="262"/>
      <c r="AV843" s="262"/>
      <c r="AW843" s="262"/>
      <c r="AX843" s="262"/>
      <c r="AY843" s="262"/>
      <c r="AZ843" s="262"/>
      <c r="BA843" s="262"/>
      <c r="BB843" s="262"/>
      <c r="BC843" s="262"/>
      <c r="BD843" s="262"/>
      <c r="BE843" s="262"/>
      <c r="BF843" s="262"/>
      <c r="BG843" s="262"/>
      <c r="BH843" s="262"/>
      <c r="BI843" s="262"/>
      <c r="BJ843" s="262"/>
      <c r="BK843" s="262"/>
    </row>
    <row r="844" spans="1:63" ht="12.75" x14ac:dyDescent="0.2">
      <c r="A844" s="263"/>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262"/>
      <c r="AE844" s="262"/>
      <c r="AF844" s="262"/>
      <c r="AG844" s="262"/>
      <c r="AH844" s="262"/>
      <c r="AI844" s="262"/>
      <c r="AJ844" s="262"/>
      <c r="AK844" s="262"/>
      <c r="AL844" s="262"/>
      <c r="AM844" s="262"/>
      <c r="AN844" s="262"/>
      <c r="AO844" s="262"/>
      <c r="AP844" s="262"/>
      <c r="AQ844" s="262"/>
      <c r="AR844" s="262"/>
      <c r="AS844" s="262"/>
      <c r="AT844" s="262"/>
      <c r="AU844" s="262"/>
      <c r="AV844" s="262"/>
      <c r="AW844" s="262"/>
      <c r="AX844" s="262"/>
      <c r="AY844" s="262"/>
      <c r="AZ844" s="262"/>
      <c r="BA844" s="262"/>
      <c r="BB844" s="262"/>
      <c r="BC844" s="262"/>
      <c r="BD844" s="262"/>
      <c r="BE844" s="262"/>
      <c r="BF844" s="262"/>
      <c r="BG844" s="262"/>
      <c r="BH844" s="262"/>
      <c r="BI844" s="262"/>
      <c r="BJ844" s="262"/>
      <c r="BK844" s="262"/>
    </row>
    <row r="845" spans="1:63" ht="12.75" x14ac:dyDescent="0.2">
      <c r="A845" s="263"/>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262"/>
      <c r="AF845" s="262"/>
      <c r="AG845" s="262"/>
      <c r="AH845" s="262"/>
      <c r="AI845" s="262"/>
      <c r="AJ845" s="262"/>
      <c r="AK845" s="262"/>
      <c r="AL845" s="262"/>
      <c r="AM845" s="262"/>
      <c r="AN845" s="262"/>
      <c r="AO845" s="262"/>
      <c r="AP845" s="262"/>
      <c r="AQ845" s="262"/>
      <c r="AR845" s="262"/>
      <c r="AS845" s="262"/>
      <c r="AT845" s="262"/>
      <c r="AU845" s="262"/>
      <c r="AV845" s="262"/>
      <c r="AW845" s="262"/>
      <c r="AX845" s="262"/>
      <c r="AY845" s="262"/>
      <c r="AZ845" s="262"/>
      <c r="BA845" s="262"/>
      <c r="BB845" s="262"/>
      <c r="BC845" s="262"/>
      <c r="BD845" s="262"/>
      <c r="BE845" s="262"/>
      <c r="BF845" s="262"/>
      <c r="BG845" s="262"/>
      <c r="BH845" s="262"/>
      <c r="BI845" s="262"/>
      <c r="BJ845" s="262"/>
      <c r="BK845" s="262"/>
    </row>
    <row r="846" spans="1:63" ht="12.75" x14ac:dyDescent="0.2">
      <c r="A846" s="263"/>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c r="AA846" s="262"/>
      <c r="AB846" s="262"/>
      <c r="AC846" s="262"/>
      <c r="AD846" s="262"/>
      <c r="AE846" s="262"/>
      <c r="AF846" s="262"/>
      <c r="AG846" s="262"/>
      <c r="AH846" s="262"/>
      <c r="AI846" s="262"/>
      <c r="AJ846" s="262"/>
      <c r="AK846" s="262"/>
      <c r="AL846" s="262"/>
      <c r="AM846" s="262"/>
      <c r="AN846" s="262"/>
      <c r="AO846" s="262"/>
      <c r="AP846" s="262"/>
      <c r="AQ846" s="262"/>
      <c r="AR846" s="262"/>
      <c r="AS846" s="262"/>
      <c r="AT846" s="262"/>
      <c r="AU846" s="262"/>
      <c r="AV846" s="262"/>
      <c r="AW846" s="262"/>
      <c r="AX846" s="262"/>
      <c r="AY846" s="262"/>
      <c r="AZ846" s="262"/>
      <c r="BA846" s="262"/>
      <c r="BB846" s="262"/>
      <c r="BC846" s="262"/>
      <c r="BD846" s="262"/>
      <c r="BE846" s="262"/>
      <c r="BF846" s="262"/>
      <c r="BG846" s="262"/>
      <c r="BH846" s="262"/>
      <c r="BI846" s="262"/>
      <c r="BJ846" s="262"/>
      <c r="BK846" s="262"/>
    </row>
    <row r="847" spans="1:63" ht="12.75" x14ac:dyDescent="0.2">
      <c r="A847" s="263"/>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c r="AA847" s="262"/>
      <c r="AB847" s="262"/>
      <c r="AC847" s="262"/>
      <c r="AD847" s="262"/>
      <c r="AE847" s="262"/>
      <c r="AF847" s="262"/>
      <c r="AG847" s="262"/>
      <c r="AH847" s="262"/>
      <c r="AI847" s="262"/>
      <c r="AJ847" s="262"/>
      <c r="AK847" s="262"/>
      <c r="AL847" s="262"/>
      <c r="AM847" s="262"/>
      <c r="AN847" s="262"/>
      <c r="AO847" s="262"/>
      <c r="AP847" s="262"/>
      <c r="AQ847" s="262"/>
      <c r="AR847" s="262"/>
      <c r="AS847" s="262"/>
      <c r="AT847" s="262"/>
      <c r="AU847" s="262"/>
      <c r="AV847" s="262"/>
      <c r="AW847" s="262"/>
      <c r="AX847" s="262"/>
      <c r="AY847" s="262"/>
      <c r="AZ847" s="262"/>
      <c r="BA847" s="262"/>
      <c r="BB847" s="262"/>
      <c r="BC847" s="262"/>
      <c r="BD847" s="262"/>
      <c r="BE847" s="262"/>
      <c r="BF847" s="262"/>
      <c r="BG847" s="262"/>
      <c r="BH847" s="262"/>
      <c r="BI847" s="262"/>
      <c r="BJ847" s="262"/>
      <c r="BK847" s="262"/>
    </row>
    <row r="848" spans="1:63" ht="12.75" x14ac:dyDescent="0.2">
      <c r="A848" s="263"/>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c r="AA848" s="262"/>
      <c r="AB848" s="262"/>
      <c r="AC848" s="262"/>
      <c r="AD848" s="262"/>
      <c r="AE848" s="262"/>
      <c r="AF848" s="262"/>
      <c r="AG848" s="262"/>
      <c r="AH848" s="262"/>
      <c r="AI848" s="262"/>
      <c r="AJ848" s="262"/>
      <c r="AK848" s="262"/>
      <c r="AL848" s="262"/>
      <c r="AM848" s="262"/>
      <c r="AN848" s="262"/>
      <c r="AO848" s="262"/>
      <c r="AP848" s="262"/>
      <c r="AQ848" s="262"/>
      <c r="AR848" s="262"/>
      <c r="AS848" s="262"/>
      <c r="AT848" s="262"/>
      <c r="AU848" s="262"/>
      <c r="AV848" s="262"/>
      <c r="AW848" s="262"/>
      <c r="AX848" s="262"/>
      <c r="AY848" s="262"/>
      <c r="AZ848" s="262"/>
      <c r="BA848" s="262"/>
      <c r="BB848" s="262"/>
      <c r="BC848" s="262"/>
      <c r="BD848" s="262"/>
      <c r="BE848" s="262"/>
      <c r="BF848" s="262"/>
      <c r="BG848" s="262"/>
      <c r="BH848" s="262"/>
      <c r="BI848" s="262"/>
      <c r="BJ848" s="262"/>
      <c r="BK848" s="262"/>
    </row>
    <row r="849" spans="1:63" ht="12.75" x14ac:dyDescent="0.2">
      <c r="A849" s="263"/>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c r="AA849" s="262"/>
      <c r="AB849" s="262"/>
      <c r="AC849" s="262"/>
      <c r="AD849" s="262"/>
      <c r="AE849" s="262"/>
      <c r="AF849" s="262"/>
      <c r="AG849" s="262"/>
      <c r="AH849" s="262"/>
      <c r="AI849" s="262"/>
      <c r="AJ849" s="262"/>
      <c r="AK849" s="262"/>
      <c r="AL849" s="262"/>
      <c r="AM849" s="262"/>
      <c r="AN849" s="262"/>
      <c r="AO849" s="262"/>
      <c r="AP849" s="262"/>
      <c r="AQ849" s="262"/>
      <c r="AR849" s="262"/>
      <c r="AS849" s="262"/>
      <c r="AT849" s="262"/>
      <c r="AU849" s="262"/>
      <c r="AV849" s="262"/>
      <c r="AW849" s="262"/>
      <c r="AX849" s="262"/>
      <c r="AY849" s="262"/>
      <c r="AZ849" s="262"/>
      <c r="BA849" s="262"/>
      <c r="BB849" s="262"/>
      <c r="BC849" s="262"/>
      <c r="BD849" s="262"/>
      <c r="BE849" s="262"/>
      <c r="BF849" s="262"/>
      <c r="BG849" s="262"/>
      <c r="BH849" s="262"/>
      <c r="BI849" s="262"/>
      <c r="BJ849" s="262"/>
      <c r="BK849" s="262"/>
    </row>
    <row r="850" spans="1:63" ht="12.75" x14ac:dyDescent="0.2">
      <c r="A850" s="263"/>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c r="AA850" s="262"/>
      <c r="AB850" s="262"/>
      <c r="AC850" s="262"/>
      <c r="AD850" s="262"/>
      <c r="AE850" s="262"/>
      <c r="AF850" s="262"/>
      <c r="AG850" s="262"/>
      <c r="AH850" s="262"/>
      <c r="AI850" s="262"/>
      <c r="AJ850" s="262"/>
      <c r="AK850" s="262"/>
      <c r="AL850" s="262"/>
      <c r="AM850" s="262"/>
      <c r="AN850" s="262"/>
      <c r="AO850" s="262"/>
      <c r="AP850" s="262"/>
      <c r="AQ850" s="262"/>
      <c r="AR850" s="262"/>
      <c r="AS850" s="262"/>
      <c r="AT850" s="262"/>
      <c r="AU850" s="262"/>
      <c r="AV850" s="262"/>
      <c r="AW850" s="262"/>
      <c r="AX850" s="262"/>
      <c r="AY850" s="262"/>
      <c r="AZ850" s="262"/>
      <c r="BA850" s="262"/>
      <c r="BB850" s="262"/>
      <c r="BC850" s="262"/>
      <c r="BD850" s="262"/>
      <c r="BE850" s="262"/>
      <c r="BF850" s="262"/>
      <c r="BG850" s="262"/>
      <c r="BH850" s="262"/>
      <c r="BI850" s="262"/>
      <c r="BJ850" s="262"/>
      <c r="BK850" s="262"/>
    </row>
    <row r="851" spans="1:63" ht="12.75" x14ac:dyDescent="0.2">
      <c r="A851" s="263"/>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c r="AA851" s="262"/>
      <c r="AB851" s="262"/>
      <c r="AC851" s="262"/>
      <c r="AD851" s="262"/>
      <c r="AE851" s="262"/>
      <c r="AF851" s="262"/>
      <c r="AG851" s="262"/>
      <c r="AH851" s="262"/>
      <c r="AI851" s="262"/>
      <c r="AJ851" s="262"/>
      <c r="AK851" s="262"/>
      <c r="AL851" s="262"/>
      <c r="AM851" s="262"/>
      <c r="AN851" s="262"/>
      <c r="AO851" s="262"/>
      <c r="AP851" s="262"/>
      <c r="AQ851" s="262"/>
      <c r="AR851" s="262"/>
      <c r="AS851" s="262"/>
      <c r="AT851" s="262"/>
      <c r="AU851" s="262"/>
      <c r="AV851" s="262"/>
      <c r="AW851" s="262"/>
      <c r="AX851" s="262"/>
      <c r="AY851" s="262"/>
      <c r="AZ851" s="262"/>
      <c r="BA851" s="262"/>
      <c r="BB851" s="262"/>
      <c r="BC851" s="262"/>
      <c r="BD851" s="262"/>
      <c r="BE851" s="262"/>
      <c r="BF851" s="262"/>
      <c r="BG851" s="262"/>
      <c r="BH851" s="262"/>
      <c r="BI851" s="262"/>
      <c r="BJ851" s="262"/>
      <c r="BK851" s="262"/>
    </row>
    <row r="852" spans="1:63" ht="12.75" x14ac:dyDescent="0.2">
      <c r="A852" s="263"/>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c r="AA852" s="262"/>
      <c r="AB852" s="262"/>
      <c r="AC852" s="262"/>
      <c r="AD852" s="262"/>
      <c r="AE852" s="262"/>
      <c r="AF852" s="262"/>
      <c r="AG852" s="262"/>
      <c r="AH852" s="262"/>
      <c r="AI852" s="262"/>
      <c r="AJ852" s="262"/>
      <c r="AK852" s="262"/>
      <c r="AL852" s="262"/>
      <c r="AM852" s="262"/>
      <c r="AN852" s="262"/>
      <c r="AO852" s="262"/>
      <c r="AP852" s="262"/>
      <c r="AQ852" s="262"/>
      <c r="AR852" s="262"/>
      <c r="AS852" s="262"/>
      <c r="AT852" s="262"/>
      <c r="AU852" s="262"/>
      <c r="AV852" s="262"/>
      <c r="AW852" s="262"/>
      <c r="AX852" s="262"/>
      <c r="AY852" s="262"/>
      <c r="AZ852" s="262"/>
      <c r="BA852" s="262"/>
      <c r="BB852" s="262"/>
      <c r="BC852" s="262"/>
      <c r="BD852" s="262"/>
      <c r="BE852" s="262"/>
      <c r="BF852" s="262"/>
      <c r="BG852" s="262"/>
      <c r="BH852" s="262"/>
      <c r="BI852" s="262"/>
      <c r="BJ852" s="262"/>
      <c r="BK852" s="262"/>
    </row>
    <row r="853" spans="1:63" ht="12.75" x14ac:dyDescent="0.2">
      <c r="A853" s="263"/>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262"/>
      <c r="AE853" s="262"/>
      <c r="AF853" s="262"/>
      <c r="AG853" s="262"/>
      <c r="AH853" s="262"/>
      <c r="AI853" s="262"/>
      <c r="AJ853" s="262"/>
      <c r="AK853" s="262"/>
      <c r="AL853" s="262"/>
      <c r="AM853" s="262"/>
      <c r="AN853" s="262"/>
      <c r="AO853" s="262"/>
      <c r="AP853" s="262"/>
      <c r="AQ853" s="262"/>
      <c r="AR853" s="262"/>
      <c r="AS853" s="262"/>
      <c r="AT853" s="262"/>
      <c r="AU853" s="262"/>
      <c r="AV853" s="262"/>
      <c r="AW853" s="262"/>
      <c r="AX853" s="262"/>
      <c r="AY853" s="262"/>
      <c r="AZ853" s="262"/>
      <c r="BA853" s="262"/>
      <c r="BB853" s="262"/>
      <c r="BC853" s="262"/>
      <c r="BD853" s="262"/>
      <c r="BE853" s="262"/>
      <c r="BF853" s="262"/>
      <c r="BG853" s="262"/>
      <c r="BH853" s="262"/>
      <c r="BI853" s="262"/>
      <c r="BJ853" s="262"/>
      <c r="BK853" s="262"/>
    </row>
    <row r="854" spans="1:63" ht="12.75" x14ac:dyDescent="0.2">
      <c r="A854" s="263"/>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262"/>
      <c r="AF854" s="262"/>
      <c r="AG854" s="262"/>
      <c r="AH854" s="262"/>
      <c r="AI854" s="262"/>
      <c r="AJ854" s="262"/>
      <c r="AK854" s="262"/>
      <c r="AL854" s="262"/>
      <c r="AM854" s="262"/>
      <c r="AN854" s="262"/>
      <c r="AO854" s="262"/>
      <c r="AP854" s="262"/>
      <c r="AQ854" s="262"/>
      <c r="AR854" s="262"/>
      <c r="AS854" s="262"/>
      <c r="AT854" s="262"/>
      <c r="AU854" s="262"/>
      <c r="AV854" s="262"/>
      <c r="AW854" s="262"/>
      <c r="AX854" s="262"/>
      <c r="AY854" s="262"/>
      <c r="AZ854" s="262"/>
      <c r="BA854" s="262"/>
      <c r="BB854" s="262"/>
      <c r="BC854" s="262"/>
      <c r="BD854" s="262"/>
      <c r="BE854" s="262"/>
      <c r="BF854" s="262"/>
      <c r="BG854" s="262"/>
      <c r="BH854" s="262"/>
      <c r="BI854" s="262"/>
      <c r="BJ854" s="262"/>
      <c r="BK854" s="262"/>
    </row>
    <row r="855" spans="1:63" ht="12.75" x14ac:dyDescent="0.2">
      <c r="A855" s="263"/>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c r="AA855" s="262"/>
      <c r="AB855" s="262"/>
      <c r="AC855" s="262"/>
      <c r="AD855" s="262"/>
      <c r="AE855" s="262"/>
      <c r="AF855" s="262"/>
      <c r="AG855" s="262"/>
      <c r="AH855" s="262"/>
      <c r="AI855" s="262"/>
      <c r="AJ855" s="262"/>
      <c r="AK855" s="262"/>
      <c r="AL855" s="262"/>
      <c r="AM855" s="262"/>
      <c r="AN855" s="262"/>
      <c r="AO855" s="262"/>
      <c r="AP855" s="262"/>
      <c r="AQ855" s="262"/>
      <c r="AR855" s="262"/>
      <c r="AS855" s="262"/>
      <c r="AT855" s="262"/>
      <c r="AU855" s="262"/>
      <c r="AV855" s="262"/>
      <c r="AW855" s="262"/>
      <c r="AX855" s="262"/>
      <c r="AY855" s="262"/>
      <c r="AZ855" s="262"/>
      <c r="BA855" s="262"/>
      <c r="BB855" s="262"/>
      <c r="BC855" s="262"/>
      <c r="BD855" s="262"/>
      <c r="BE855" s="262"/>
      <c r="BF855" s="262"/>
      <c r="BG855" s="262"/>
      <c r="BH855" s="262"/>
      <c r="BI855" s="262"/>
      <c r="BJ855" s="262"/>
      <c r="BK855" s="262"/>
    </row>
    <row r="856" spans="1:63" ht="12.75" x14ac:dyDescent="0.2">
      <c r="A856" s="263"/>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c r="AA856" s="262"/>
      <c r="AB856" s="262"/>
      <c r="AC856" s="262"/>
      <c r="AD856" s="262"/>
      <c r="AE856" s="262"/>
      <c r="AF856" s="262"/>
      <c r="AG856" s="262"/>
      <c r="AH856" s="262"/>
      <c r="AI856" s="262"/>
      <c r="AJ856" s="262"/>
      <c r="AK856" s="262"/>
      <c r="AL856" s="262"/>
      <c r="AM856" s="262"/>
      <c r="AN856" s="262"/>
      <c r="AO856" s="262"/>
      <c r="AP856" s="262"/>
      <c r="AQ856" s="262"/>
      <c r="AR856" s="262"/>
      <c r="AS856" s="262"/>
      <c r="AT856" s="262"/>
      <c r="AU856" s="262"/>
      <c r="AV856" s="262"/>
      <c r="AW856" s="262"/>
      <c r="AX856" s="262"/>
      <c r="AY856" s="262"/>
      <c r="AZ856" s="262"/>
      <c r="BA856" s="262"/>
      <c r="BB856" s="262"/>
      <c r="BC856" s="262"/>
      <c r="BD856" s="262"/>
      <c r="BE856" s="262"/>
      <c r="BF856" s="262"/>
      <c r="BG856" s="262"/>
      <c r="BH856" s="262"/>
      <c r="BI856" s="262"/>
      <c r="BJ856" s="262"/>
      <c r="BK856" s="262"/>
    </row>
    <row r="857" spans="1:63" ht="12.75" x14ac:dyDescent="0.2">
      <c r="A857" s="263"/>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c r="AA857" s="262"/>
      <c r="AB857" s="262"/>
      <c r="AC857" s="262"/>
      <c r="AD857" s="262"/>
      <c r="AE857" s="262"/>
      <c r="AF857" s="262"/>
      <c r="AG857" s="262"/>
      <c r="AH857" s="262"/>
      <c r="AI857" s="262"/>
      <c r="AJ857" s="262"/>
      <c r="AK857" s="262"/>
      <c r="AL857" s="262"/>
      <c r="AM857" s="262"/>
      <c r="AN857" s="262"/>
      <c r="AO857" s="262"/>
      <c r="AP857" s="262"/>
      <c r="AQ857" s="262"/>
      <c r="AR857" s="262"/>
      <c r="AS857" s="262"/>
      <c r="AT857" s="262"/>
      <c r="AU857" s="262"/>
      <c r="AV857" s="262"/>
      <c r="AW857" s="262"/>
      <c r="AX857" s="262"/>
      <c r="AY857" s="262"/>
      <c r="AZ857" s="262"/>
      <c r="BA857" s="262"/>
      <c r="BB857" s="262"/>
      <c r="BC857" s="262"/>
      <c r="BD857" s="262"/>
      <c r="BE857" s="262"/>
      <c r="BF857" s="262"/>
      <c r="BG857" s="262"/>
      <c r="BH857" s="262"/>
      <c r="BI857" s="262"/>
      <c r="BJ857" s="262"/>
      <c r="BK857" s="262"/>
    </row>
    <row r="858" spans="1:63" ht="12.75" x14ac:dyDescent="0.2">
      <c r="A858" s="263"/>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262"/>
      <c r="AE858" s="262"/>
      <c r="AF858" s="262"/>
      <c r="AG858" s="262"/>
      <c r="AH858" s="262"/>
      <c r="AI858" s="262"/>
      <c r="AJ858" s="262"/>
      <c r="AK858" s="262"/>
      <c r="AL858" s="262"/>
      <c r="AM858" s="262"/>
      <c r="AN858" s="262"/>
      <c r="AO858" s="262"/>
      <c r="AP858" s="262"/>
      <c r="AQ858" s="262"/>
      <c r="AR858" s="262"/>
      <c r="AS858" s="262"/>
      <c r="AT858" s="262"/>
      <c r="AU858" s="262"/>
      <c r="AV858" s="262"/>
      <c r="AW858" s="262"/>
      <c r="AX858" s="262"/>
      <c r="AY858" s="262"/>
      <c r="AZ858" s="262"/>
      <c r="BA858" s="262"/>
      <c r="BB858" s="262"/>
      <c r="BC858" s="262"/>
      <c r="BD858" s="262"/>
      <c r="BE858" s="262"/>
      <c r="BF858" s="262"/>
      <c r="BG858" s="262"/>
      <c r="BH858" s="262"/>
      <c r="BI858" s="262"/>
      <c r="BJ858" s="262"/>
      <c r="BK858" s="262"/>
    </row>
    <row r="859" spans="1:63" ht="12.75" x14ac:dyDescent="0.2">
      <c r="A859" s="263"/>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262"/>
      <c r="AE859" s="262"/>
      <c r="AF859" s="262"/>
      <c r="AG859" s="262"/>
      <c r="AH859" s="262"/>
      <c r="AI859" s="262"/>
      <c r="AJ859" s="262"/>
      <c r="AK859" s="262"/>
      <c r="AL859" s="262"/>
      <c r="AM859" s="262"/>
      <c r="AN859" s="262"/>
      <c r="AO859" s="262"/>
      <c r="AP859" s="262"/>
      <c r="AQ859" s="262"/>
      <c r="AR859" s="262"/>
      <c r="AS859" s="262"/>
      <c r="AT859" s="262"/>
      <c r="AU859" s="262"/>
      <c r="AV859" s="262"/>
      <c r="AW859" s="262"/>
      <c r="AX859" s="262"/>
      <c r="AY859" s="262"/>
      <c r="AZ859" s="262"/>
      <c r="BA859" s="262"/>
      <c r="BB859" s="262"/>
      <c r="BC859" s="262"/>
      <c r="BD859" s="262"/>
      <c r="BE859" s="262"/>
      <c r="BF859" s="262"/>
      <c r="BG859" s="262"/>
      <c r="BH859" s="262"/>
      <c r="BI859" s="262"/>
      <c r="BJ859" s="262"/>
      <c r="BK859" s="262"/>
    </row>
    <row r="860" spans="1:63" ht="12.75" x14ac:dyDescent="0.2">
      <c r="A860" s="263"/>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262"/>
      <c r="AE860" s="262"/>
      <c r="AF860" s="262"/>
      <c r="AG860" s="262"/>
      <c r="AH860" s="262"/>
      <c r="AI860" s="262"/>
      <c r="AJ860" s="262"/>
      <c r="AK860" s="262"/>
      <c r="AL860" s="262"/>
      <c r="AM860" s="262"/>
      <c r="AN860" s="262"/>
      <c r="AO860" s="262"/>
      <c r="AP860" s="262"/>
      <c r="AQ860" s="262"/>
      <c r="AR860" s="262"/>
      <c r="AS860" s="262"/>
      <c r="AT860" s="262"/>
      <c r="AU860" s="262"/>
      <c r="AV860" s="262"/>
      <c r="AW860" s="262"/>
      <c r="AX860" s="262"/>
      <c r="AY860" s="262"/>
      <c r="AZ860" s="262"/>
      <c r="BA860" s="262"/>
      <c r="BB860" s="262"/>
      <c r="BC860" s="262"/>
      <c r="BD860" s="262"/>
      <c r="BE860" s="262"/>
      <c r="BF860" s="262"/>
      <c r="BG860" s="262"/>
      <c r="BH860" s="262"/>
      <c r="BI860" s="262"/>
      <c r="BJ860" s="262"/>
      <c r="BK860" s="262"/>
    </row>
    <row r="861" spans="1:63" ht="12.75" x14ac:dyDescent="0.2">
      <c r="A861" s="263"/>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262"/>
      <c r="AE861" s="262"/>
      <c r="AF861" s="262"/>
      <c r="AG861" s="262"/>
      <c r="AH861" s="262"/>
      <c r="AI861" s="262"/>
      <c r="AJ861" s="262"/>
      <c r="AK861" s="262"/>
      <c r="AL861" s="262"/>
      <c r="AM861" s="262"/>
      <c r="AN861" s="262"/>
      <c r="AO861" s="262"/>
      <c r="AP861" s="262"/>
      <c r="AQ861" s="262"/>
      <c r="AR861" s="262"/>
      <c r="AS861" s="262"/>
      <c r="AT861" s="262"/>
      <c r="AU861" s="262"/>
      <c r="AV861" s="262"/>
      <c r="AW861" s="262"/>
      <c r="AX861" s="262"/>
      <c r="AY861" s="262"/>
      <c r="AZ861" s="262"/>
      <c r="BA861" s="262"/>
      <c r="BB861" s="262"/>
      <c r="BC861" s="262"/>
      <c r="BD861" s="262"/>
      <c r="BE861" s="262"/>
      <c r="BF861" s="262"/>
      <c r="BG861" s="262"/>
      <c r="BH861" s="262"/>
      <c r="BI861" s="262"/>
      <c r="BJ861" s="262"/>
      <c r="BK861" s="262"/>
    </row>
    <row r="862" spans="1:63" ht="12.75" x14ac:dyDescent="0.2">
      <c r="A862" s="263"/>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262"/>
      <c r="AE862" s="262"/>
      <c r="AF862" s="262"/>
      <c r="AG862" s="262"/>
      <c r="AH862" s="262"/>
      <c r="AI862" s="262"/>
      <c r="AJ862" s="262"/>
      <c r="AK862" s="262"/>
      <c r="AL862" s="262"/>
      <c r="AM862" s="262"/>
      <c r="AN862" s="262"/>
      <c r="AO862" s="262"/>
      <c r="AP862" s="262"/>
      <c r="AQ862" s="262"/>
      <c r="AR862" s="262"/>
      <c r="AS862" s="262"/>
      <c r="AT862" s="262"/>
      <c r="AU862" s="262"/>
      <c r="AV862" s="262"/>
      <c r="AW862" s="262"/>
      <c r="AX862" s="262"/>
      <c r="AY862" s="262"/>
      <c r="AZ862" s="262"/>
      <c r="BA862" s="262"/>
      <c r="BB862" s="262"/>
      <c r="BC862" s="262"/>
      <c r="BD862" s="262"/>
      <c r="BE862" s="262"/>
      <c r="BF862" s="262"/>
      <c r="BG862" s="262"/>
      <c r="BH862" s="262"/>
      <c r="BI862" s="262"/>
      <c r="BJ862" s="262"/>
      <c r="BK862" s="262"/>
    </row>
    <row r="863" spans="1:63" ht="12.75" x14ac:dyDescent="0.2">
      <c r="A863" s="263"/>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262"/>
      <c r="AE863" s="262"/>
      <c r="AF863" s="262"/>
      <c r="AG863" s="262"/>
      <c r="AH863" s="262"/>
      <c r="AI863" s="262"/>
      <c r="AJ863" s="262"/>
      <c r="AK863" s="262"/>
      <c r="AL863" s="262"/>
      <c r="AM863" s="262"/>
      <c r="AN863" s="262"/>
      <c r="AO863" s="262"/>
      <c r="AP863" s="262"/>
      <c r="AQ863" s="262"/>
      <c r="AR863" s="262"/>
      <c r="AS863" s="262"/>
      <c r="AT863" s="262"/>
      <c r="AU863" s="262"/>
      <c r="AV863" s="262"/>
      <c r="AW863" s="262"/>
      <c r="AX863" s="262"/>
      <c r="AY863" s="262"/>
      <c r="AZ863" s="262"/>
      <c r="BA863" s="262"/>
      <c r="BB863" s="262"/>
      <c r="BC863" s="262"/>
      <c r="BD863" s="262"/>
      <c r="BE863" s="262"/>
      <c r="BF863" s="262"/>
      <c r="BG863" s="262"/>
      <c r="BH863" s="262"/>
      <c r="BI863" s="262"/>
      <c r="BJ863" s="262"/>
      <c r="BK863" s="262"/>
    </row>
    <row r="864" spans="1:63" ht="12.75" x14ac:dyDescent="0.2">
      <c r="A864" s="263"/>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262"/>
      <c r="AE864" s="262"/>
      <c r="AF864" s="262"/>
      <c r="AG864" s="262"/>
      <c r="AH864" s="262"/>
      <c r="AI864" s="262"/>
      <c r="AJ864" s="262"/>
      <c r="AK864" s="262"/>
      <c r="AL864" s="262"/>
      <c r="AM864" s="262"/>
      <c r="AN864" s="262"/>
      <c r="AO864" s="262"/>
      <c r="AP864" s="262"/>
      <c r="AQ864" s="262"/>
      <c r="AR864" s="262"/>
      <c r="AS864" s="262"/>
      <c r="AT864" s="262"/>
      <c r="AU864" s="262"/>
      <c r="AV864" s="262"/>
      <c r="AW864" s="262"/>
      <c r="AX864" s="262"/>
      <c r="AY864" s="262"/>
      <c r="AZ864" s="262"/>
      <c r="BA864" s="262"/>
      <c r="BB864" s="262"/>
      <c r="BC864" s="262"/>
      <c r="BD864" s="262"/>
      <c r="BE864" s="262"/>
      <c r="BF864" s="262"/>
      <c r="BG864" s="262"/>
      <c r="BH864" s="262"/>
      <c r="BI864" s="262"/>
      <c r="BJ864" s="262"/>
      <c r="BK864" s="262"/>
    </row>
    <row r="865" spans="1:63" ht="12.75" x14ac:dyDescent="0.2">
      <c r="A865" s="263"/>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262"/>
      <c r="AF865" s="262"/>
      <c r="AG865" s="262"/>
      <c r="AH865" s="262"/>
      <c r="AI865" s="262"/>
      <c r="AJ865" s="262"/>
      <c r="AK865" s="262"/>
      <c r="AL865" s="262"/>
      <c r="AM865" s="262"/>
      <c r="AN865" s="262"/>
      <c r="AO865" s="262"/>
      <c r="AP865" s="262"/>
      <c r="AQ865" s="262"/>
      <c r="AR865" s="262"/>
      <c r="AS865" s="262"/>
      <c r="AT865" s="262"/>
      <c r="AU865" s="262"/>
      <c r="AV865" s="262"/>
      <c r="AW865" s="262"/>
      <c r="AX865" s="262"/>
      <c r="AY865" s="262"/>
      <c r="AZ865" s="262"/>
      <c r="BA865" s="262"/>
      <c r="BB865" s="262"/>
      <c r="BC865" s="262"/>
      <c r="BD865" s="262"/>
      <c r="BE865" s="262"/>
      <c r="BF865" s="262"/>
      <c r="BG865" s="262"/>
      <c r="BH865" s="262"/>
      <c r="BI865" s="262"/>
      <c r="BJ865" s="262"/>
      <c r="BK865" s="262"/>
    </row>
    <row r="866" spans="1:63" ht="12.75" x14ac:dyDescent="0.2">
      <c r="A866" s="263"/>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c r="AA866" s="262"/>
      <c r="AB866" s="262"/>
      <c r="AC866" s="262"/>
      <c r="AD866" s="262"/>
      <c r="AE866" s="262"/>
      <c r="AF866" s="262"/>
      <c r="AG866" s="262"/>
      <c r="AH866" s="262"/>
      <c r="AI866" s="262"/>
      <c r="AJ866" s="262"/>
      <c r="AK866" s="262"/>
      <c r="AL866" s="262"/>
      <c r="AM866" s="262"/>
      <c r="AN866" s="262"/>
      <c r="AO866" s="262"/>
      <c r="AP866" s="262"/>
      <c r="AQ866" s="262"/>
      <c r="AR866" s="262"/>
      <c r="AS866" s="262"/>
      <c r="AT866" s="262"/>
      <c r="AU866" s="262"/>
      <c r="AV866" s="262"/>
      <c r="AW866" s="262"/>
      <c r="AX866" s="262"/>
      <c r="AY866" s="262"/>
      <c r="AZ866" s="262"/>
      <c r="BA866" s="262"/>
      <c r="BB866" s="262"/>
      <c r="BC866" s="262"/>
      <c r="BD866" s="262"/>
      <c r="BE866" s="262"/>
      <c r="BF866" s="262"/>
      <c r="BG866" s="262"/>
      <c r="BH866" s="262"/>
      <c r="BI866" s="262"/>
      <c r="BJ866" s="262"/>
      <c r="BK866" s="262"/>
    </row>
    <row r="867" spans="1:63" ht="12.75" x14ac:dyDescent="0.2">
      <c r="A867" s="263"/>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c r="AA867" s="262"/>
      <c r="AB867" s="262"/>
      <c r="AC867" s="262"/>
      <c r="AD867" s="262"/>
      <c r="AE867" s="262"/>
      <c r="AF867" s="262"/>
      <c r="AG867" s="262"/>
      <c r="AH867" s="262"/>
      <c r="AI867" s="262"/>
      <c r="AJ867" s="262"/>
      <c r="AK867" s="262"/>
      <c r="AL867" s="262"/>
      <c r="AM867" s="262"/>
      <c r="AN867" s="262"/>
      <c r="AO867" s="262"/>
      <c r="AP867" s="262"/>
      <c r="AQ867" s="262"/>
      <c r="AR867" s="262"/>
      <c r="AS867" s="262"/>
      <c r="AT867" s="262"/>
      <c r="AU867" s="262"/>
      <c r="AV867" s="262"/>
      <c r="AW867" s="262"/>
      <c r="AX867" s="262"/>
      <c r="AY867" s="262"/>
      <c r="AZ867" s="262"/>
      <c r="BA867" s="262"/>
      <c r="BB867" s="262"/>
      <c r="BC867" s="262"/>
      <c r="BD867" s="262"/>
      <c r="BE867" s="262"/>
      <c r="BF867" s="262"/>
      <c r="BG867" s="262"/>
      <c r="BH867" s="262"/>
      <c r="BI867" s="262"/>
      <c r="BJ867" s="262"/>
      <c r="BK867" s="262"/>
    </row>
    <row r="868" spans="1:63" ht="12.75" x14ac:dyDescent="0.2">
      <c r="A868" s="263"/>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c r="AA868" s="262"/>
      <c r="AB868" s="262"/>
      <c r="AC868" s="262"/>
      <c r="AD868" s="262"/>
      <c r="AE868" s="262"/>
      <c r="AF868" s="262"/>
      <c r="AG868" s="262"/>
      <c r="AH868" s="262"/>
      <c r="AI868" s="262"/>
      <c r="AJ868" s="262"/>
      <c r="AK868" s="262"/>
      <c r="AL868" s="262"/>
      <c r="AM868" s="262"/>
      <c r="AN868" s="262"/>
      <c r="AO868" s="262"/>
      <c r="AP868" s="262"/>
      <c r="AQ868" s="262"/>
      <c r="AR868" s="262"/>
      <c r="AS868" s="262"/>
      <c r="AT868" s="262"/>
      <c r="AU868" s="262"/>
      <c r="AV868" s="262"/>
      <c r="AW868" s="262"/>
      <c r="AX868" s="262"/>
      <c r="AY868" s="262"/>
      <c r="AZ868" s="262"/>
      <c r="BA868" s="262"/>
      <c r="BB868" s="262"/>
      <c r="BC868" s="262"/>
      <c r="BD868" s="262"/>
      <c r="BE868" s="262"/>
      <c r="BF868" s="262"/>
      <c r="BG868" s="262"/>
      <c r="BH868" s="262"/>
      <c r="BI868" s="262"/>
      <c r="BJ868" s="262"/>
      <c r="BK868" s="262"/>
    </row>
    <row r="869" spans="1:63" ht="12.75" x14ac:dyDescent="0.2">
      <c r="A869" s="263"/>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c r="AA869" s="262"/>
      <c r="AB869" s="262"/>
      <c r="AC869" s="262"/>
      <c r="AD869" s="262"/>
      <c r="AE869" s="262"/>
      <c r="AF869" s="262"/>
      <c r="AG869" s="262"/>
      <c r="AH869" s="262"/>
      <c r="AI869" s="262"/>
      <c r="AJ869" s="262"/>
      <c r="AK869" s="262"/>
      <c r="AL869" s="262"/>
      <c r="AM869" s="262"/>
      <c r="AN869" s="262"/>
      <c r="AO869" s="262"/>
      <c r="AP869" s="262"/>
      <c r="AQ869" s="262"/>
      <c r="AR869" s="262"/>
      <c r="AS869" s="262"/>
      <c r="AT869" s="262"/>
      <c r="AU869" s="262"/>
      <c r="AV869" s="262"/>
      <c r="AW869" s="262"/>
      <c r="AX869" s="262"/>
      <c r="AY869" s="262"/>
      <c r="AZ869" s="262"/>
      <c r="BA869" s="262"/>
      <c r="BB869" s="262"/>
      <c r="BC869" s="262"/>
      <c r="BD869" s="262"/>
      <c r="BE869" s="262"/>
      <c r="BF869" s="262"/>
      <c r="BG869" s="262"/>
      <c r="BH869" s="262"/>
      <c r="BI869" s="262"/>
      <c r="BJ869" s="262"/>
      <c r="BK869" s="262"/>
    </row>
    <row r="870" spans="1:63" ht="12.75" x14ac:dyDescent="0.2">
      <c r="A870" s="263"/>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c r="AA870" s="262"/>
      <c r="AB870" s="262"/>
      <c r="AC870" s="262"/>
      <c r="AD870" s="262"/>
      <c r="AE870" s="262"/>
      <c r="AF870" s="262"/>
      <c r="AG870" s="262"/>
      <c r="AH870" s="262"/>
      <c r="AI870" s="262"/>
      <c r="AJ870" s="262"/>
      <c r="AK870" s="262"/>
      <c r="AL870" s="262"/>
      <c r="AM870" s="262"/>
      <c r="AN870" s="262"/>
      <c r="AO870" s="262"/>
      <c r="AP870" s="262"/>
      <c r="AQ870" s="262"/>
      <c r="AR870" s="262"/>
      <c r="AS870" s="262"/>
      <c r="AT870" s="262"/>
      <c r="AU870" s="262"/>
      <c r="AV870" s="262"/>
      <c r="AW870" s="262"/>
      <c r="AX870" s="262"/>
      <c r="AY870" s="262"/>
      <c r="AZ870" s="262"/>
      <c r="BA870" s="262"/>
      <c r="BB870" s="262"/>
      <c r="BC870" s="262"/>
      <c r="BD870" s="262"/>
      <c r="BE870" s="262"/>
      <c r="BF870" s="262"/>
      <c r="BG870" s="262"/>
      <c r="BH870" s="262"/>
      <c r="BI870" s="262"/>
      <c r="BJ870" s="262"/>
      <c r="BK870" s="262"/>
    </row>
    <row r="871" spans="1:63" ht="12.75" x14ac:dyDescent="0.2">
      <c r="A871" s="263"/>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c r="AA871" s="262"/>
      <c r="AB871" s="262"/>
      <c r="AC871" s="262"/>
      <c r="AD871" s="262"/>
      <c r="AE871" s="262"/>
      <c r="AF871" s="262"/>
      <c r="AG871" s="262"/>
      <c r="AH871" s="262"/>
      <c r="AI871" s="262"/>
      <c r="AJ871" s="262"/>
      <c r="AK871" s="262"/>
      <c r="AL871" s="262"/>
      <c r="AM871" s="262"/>
      <c r="AN871" s="262"/>
      <c r="AO871" s="262"/>
      <c r="AP871" s="262"/>
      <c r="AQ871" s="262"/>
      <c r="AR871" s="262"/>
      <c r="AS871" s="262"/>
      <c r="AT871" s="262"/>
      <c r="AU871" s="262"/>
      <c r="AV871" s="262"/>
      <c r="AW871" s="262"/>
      <c r="AX871" s="262"/>
      <c r="AY871" s="262"/>
      <c r="AZ871" s="262"/>
      <c r="BA871" s="262"/>
      <c r="BB871" s="262"/>
      <c r="BC871" s="262"/>
      <c r="BD871" s="262"/>
      <c r="BE871" s="262"/>
      <c r="BF871" s="262"/>
      <c r="BG871" s="262"/>
      <c r="BH871" s="262"/>
      <c r="BI871" s="262"/>
      <c r="BJ871" s="262"/>
      <c r="BK871" s="262"/>
    </row>
    <row r="872" spans="1:63" ht="12.75" x14ac:dyDescent="0.2">
      <c r="A872" s="263"/>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F872" s="262"/>
      <c r="AG872" s="262"/>
      <c r="AH872" s="262"/>
      <c r="AI872" s="262"/>
      <c r="AJ872" s="262"/>
      <c r="AK872" s="262"/>
      <c r="AL872" s="262"/>
      <c r="AM872" s="262"/>
      <c r="AN872" s="262"/>
      <c r="AO872" s="262"/>
      <c r="AP872" s="262"/>
      <c r="AQ872" s="262"/>
      <c r="AR872" s="262"/>
      <c r="AS872" s="262"/>
      <c r="AT872" s="262"/>
      <c r="AU872" s="262"/>
      <c r="AV872" s="262"/>
      <c r="AW872" s="262"/>
      <c r="AX872" s="262"/>
      <c r="AY872" s="262"/>
      <c r="AZ872" s="262"/>
      <c r="BA872" s="262"/>
      <c r="BB872" s="262"/>
      <c r="BC872" s="262"/>
      <c r="BD872" s="262"/>
      <c r="BE872" s="262"/>
      <c r="BF872" s="262"/>
      <c r="BG872" s="262"/>
      <c r="BH872" s="262"/>
      <c r="BI872" s="262"/>
      <c r="BJ872" s="262"/>
      <c r="BK872" s="262"/>
    </row>
    <row r="873" spans="1:63" ht="12.75" x14ac:dyDescent="0.2">
      <c r="A873" s="263"/>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262"/>
      <c r="AE873" s="262"/>
      <c r="AF873" s="262"/>
      <c r="AG873" s="262"/>
      <c r="AH873" s="262"/>
      <c r="AI873" s="262"/>
      <c r="AJ873" s="262"/>
      <c r="AK873" s="262"/>
      <c r="AL873" s="262"/>
      <c r="AM873" s="262"/>
      <c r="AN873" s="262"/>
      <c r="AO873" s="262"/>
      <c r="AP873" s="262"/>
      <c r="AQ873" s="262"/>
      <c r="AR873" s="262"/>
      <c r="AS873" s="262"/>
      <c r="AT873" s="262"/>
      <c r="AU873" s="262"/>
      <c r="AV873" s="262"/>
      <c r="AW873" s="262"/>
      <c r="AX873" s="262"/>
      <c r="AY873" s="262"/>
      <c r="AZ873" s="262"/>
      <c r="BA873" s="262"/>
      <c r="BB873" s="262"/>
      <c r="BC873" s="262"/>
      <c r="BD873" s="262"/>
      <c r="BE873" s="262"/>
      <c r="BF873" s="262"/>
      <c r="BG873" s="262"/>
      <c r="BH873" s="262"/>
      <c r="BI873" s="262"/>
      <c r="BJ873" s="262"/>
      <c r="BK873" s="262"/>
    </row>
    <row r="874" spans="1:63" ht="12.75" x14ac:dyDescent="0.2">
      <c r="A874" s="263"/>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262"/>
      <c r="AE874" s="262"/>
      <c r="AF874" s="262"/>
      <c r="AG874" s="262"/>
      <c r="AH874" s="262"/>
      <c r="AI874" s="262"/>
      <c r="AJ874" s="262"/>
      <c r="AK874" s="262"/>
      <c r="AL874" s="262"/>
      <c r="AM874" s="262"/>
      <c r="AN874" s="262"/>
      <c r="AO874" s="262"/>
      <c r="AP874" s="262"/>
      <c r="AQ874" s="262"/>
      <c r="AR874" s="262"/>
      <c r="AS874" s="262"/>
      <c r="AT874" s="262"/>
      <c r="AU874" s="262"/>
      <c r="AV874" s="262"/>
      <c r="AW874" s="262"/>
      <c r="AX874" s="262"/>
      <c r="AY874" s="262"/>
      <c r="AZ874" s="262"/>
      <c r="BA874" s="262"/>
      <c r="BB874" s="262"/>
      <c r="BC874" s="262"/>
      <c r="BD874" s="262"/>
      <c r="BE874" s="262"/>
      <c r="BF874" s="262"/>
      <c r="BG874" s="262"/>
      <c r="BH874" s="262"/>
      <c r="BI874" s="262"/>
      <c r="BJ874" s="262"/>
      <c r="BK874" s="262"/>
    </row>
    <row r="875" spans="1:63" ht="12.75" x14ac:dyDescent="0.2">
      <c r="A875" s="263"/>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262"/>
      <c r="AE875" s="262"/>
      <c r="AF875" s="262"/>
      <c r="AG875" s="262"/>
      <c r="AH875" s="262"/>
      <c r="AI875" s="262"/>
      <c r="AJ875" s="262"/>
      <c r="AK875" s="262"/>
      <c r="AL875" s="262"/>
      <c r="AM875" s="262"/>
      <c r="AN875" s="262"/>
      <c r="AO875" s="262"/>
      <c r="AP875" s="262"/>
      <c r="AQ875" s="262"/>
      <c r="AR875" s="262"/>
      <c r="AS875" s="262"/>
      <c r="AT875" s="262"/>
      <c r="AU875" s="262"/>
      <c r="AV875" s="262"/>
      <c r="AW875" s="262"/>
      <c r="AX875" s="262"/>
      <c r="AY875" s="262"/>
      <c r="AZ875" s="262"/>
      <c r="BA875" s="262"/>
      <c r="BB875" s="262"/>
      <c r="BC875" s="262"/>
      <c r="BD875" s="262"/>
      <c r="BE875" s="262"/>
      <c r="BF875" s="262"/>
      <c r="BG875" s="262"/>
      <c r="BH875" s="262"/>
      <c r="BI875" s="262"/>
      <c r="BJ875" s="262"/>
      <c r="BK875" s="262"/>
    </row>
    <row r="876" spans="1:63" ht="12.75" x14ac:dyDescent="0.2">
      <c r="A876" s="263"/>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262"/>
      <c r="AE876" s="262"/>
      <c r="AF876" s="262"/>
      <c r="AG876" s="262"/>
      <c r="AH876" s="262"/>
      <c r="AI876" s="262"/>
      <c r="AJ876" s="262"/>
      <c r="AK876" s="262"/>
      <c r="AL876" s="262"/>
      <c r="AM876" s="262"/>
      <c r="AN876" s="262"/>
      <c r="AO876" s="262"/>
      <c r="AP876" s="262"/>
      <c r="AQ876" s="262"/>
      <c r="AR876" s="262"/>
      <c r="AS876" s="262"/>
      <c r="AT876" s="262"/>
      <c r="AU876" s="262"/>
      <c r="AV876" s="262"/>
      <c r="AW876" s="262"/>
      <c r="AX876" s="262"/>
      <c r="AY876" s="262"/>
      <c r="AZ876" s="262"/>
      <c r="BA876" s="262"/>
      <c r="BB876" s="262"/>
      <c r="BC876" s="262"/>
      <c r="BD876" s="262"/>
      <c r="BE876" s="262"/>
      <c r="BF876" s="262"/>
      <c r="BG876" s="262"/>
      <c r="BH876" s="262"/>
      <c r="BI876" s="262"/>
      <c r="BJ876" s="262"/>
      <c r="BK876" s="262"/>
    </row>
    <row r="877" spans="1:63" ht="12.75" x14ac:dyDescent="0.2">
      <c r="A877" s="263"/>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262"/>
      <c r="AE877" s="262"/>
      <c r="AF877" s="262"/>
      <c r="AG877" s="262"/>
      <c r="AH877" s="262"/>
      <c r="AI877" s="262"/>
      <c r="AJ877" s="262"/>
      <c r="AK877" s="262"/>
      <c r="AL877" s="262"/>
      <c r="AM877" s="262"/>
      <c r="AN877" s="262"/>
      <c r="AO877" s="262"/>
      <c r="AP877" s="262"/>
      <c r="AQ877" s="262"/>
      <c r="AR877" s="262"/>
      <c r="AS877" s="262"/>
      <c r="AT877" s="262"/>
      <c r="AU877" s="262"/>
      <c r="AV877" s="262"/>
      <c r="AW877" s="262"/>
      <c r="AX877" s="262"/>
      <c r="AY877" s="262"/>
      <c r="AZ877" s="262"/>
      <c r="BA877" s="262"/>
      <c r="BB877" s="262"/>
      <c r="BC877" s="262"/>
      <c r="BD877" s="262"/>
      <c r="BE877" s="262"/>
      <c r="BF877" s="262"/>
      <c r="BG877" s="262"/>
      <c r="BH877" s="262"/>
      <c r="BI877" s="262"/>
      <c r="BJ877" s="262"/>
      <c r="BK877" s="262"/>
    </row>
    <row r="878" spans="1:63" ht="12.75" x14ac:dyDescent="0.2">
      <c r="A878" s="263"/>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262"/>
      <c r="AE878" s="262"/>
      <c r="AF878" s="262"/>
      <c r="AG878" s="262"/>
      <c r="AH878" s="262"/>
      <c r="AI878" s="262"/>
      <c r="AJ878" s="262"/>
      <c r="AK878" s="262"/>
      <c r="AL878" s="262"/>
      <c r="AM878" s="262"/>
      <c r="AN878" s="262"/>
      <c r="AO878" s="262"/>
      <c r="AP878" s="262"/>
      <c r="AQ878" s="262"/>
      <c r="AR878" s="262"/>
      <c r="AS878" s="262"/>
      <c r="AT878" s="262"/>
      <c r="AU878" s="262"/>
      <c r="AV878" s="262"/>
      <c r="AW878" s="262"/>
      <c r="AX878" s="262"/>
      <c r="AY878" s="262"/>
      <c r="AZ878" s="262"/>
      <c r="BA878" s="262"/>
      <c r="BB878" s="262"/>
      <c r="BC878" s="262"/>
      <c r="BD878" s="262"/>
      <c r="BE878" s="262"/>
      <c r="BF878" s="262"/>
      <c r="BG878" s="262"/>
      <c r="BH878" s="262"/>
      <c r="BI878" s="262"/>
      <c r="BJ878" s="262"/>
      <c r="BK878" s="262"/>
    </row>
    <row r="879" spans="1:63" ht="12.75" x14ac:dyDescent="0.2">
      <c r="A879" s="263"/>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262"/>
      <c r="AE879" s="262"/>
      <c r="AF879" s="262"/>
      <c r="AG879" s="262"/>
      <c r="AH879" s="262"/>
      <c r="AI879" s="262"/>
      <c r="AJ879" s="262"/>
      <c r="AK879" s="262"/>
      <c r="AL879" s="262"/>
      <c r="AM879" s="262"/>
      <c r="AN879" s="262"/>
      <c r="AO879" s="262"/>
      <c r="AP879" s="262"/>
      <c r="AQ879" s="262"/>
      <c r="AR879" s="262"/>
      <c r="AS879" s="262"/>
      <c r="AT879" s="262"/>
      <c r="AU879" s="262"/>
      <c r="AV879" s="262"/>
      <c r="AW879" s="262"/>
      <c r="AX879" s="262"/>
      <c r="AY879" s="262"/>
      <c r="AZ879" s="262"/>
      <c r="BA879" s="262"/>
      <c r="BB879" s="262"/>
      <c r="BC879" s="262"/>
      <c r="BD879" s="262"/>
      <c r="BE879" s="262"/>
      <c r="BF879" s="262"/>
      <c r="BG879" s="262"/>
      <c r="BH879" s="262"/>
      <c r="BI879" s="262"/>
      <c r="BJ879" s="262"/>
      <c r="BK879" s="262"/>
    </row>
    <row r="880" spans="1:63" ht="12.75" x14ac:dyDescent="0.2">
      <c r="A880" s="263"/>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262"/>
      <c r="AE880" s="262"/>
      <c r="AF880" s="262"/>
      <c r="AG880" s="262"/>
      <c r="AH880" s="262"/>
      <c r="AI880" s="262"/>
      <c r="AJ880" s="262"/>
      <c r="AK880" s="262"/>
      <c r="AL880" s="262"/>
      <c r="AM880" s="262"/>
      <c r="AN880" s="262"/>
      <c r="AO880" s="262"/>
      <c r="AP880" s="262"/>
      <c r="AQ880" s="262"/>
      <c r="AR880" s="262"/>
      <c r="AS880" s="262"/>
      <c r="AT880" s="262"/>
      <c r="AU880" s="262"/>
      <c r="AV880" s="262"/>
      <c r="AW880" s="262"/>
      <c r="AX880" s="262"/>
      <c r="AY880" s="262"/>
      <c r="AZ880" s="262"/>
      <c r="BA880" s="262"/>
      <c r="BB880" s="262"/>
      <c r="BC880" s="262"/>
      <c r="BD880" s="262"/>
      <c r="BE880" s="262"/>
      <c r="BF880" s="262"/>
      <c r="BG880" s="262"/>
      <c r="BH880" s="262"/>
      <c r="BI880" s="262"/>
      <c r="BJ880" s="262"/>
      <c r="BK880" s="262"/>
    </row>
    <row r="881" spans="1:63" ht="12.75" x14ac:dyDescent="0.2">
      <c r="A881" s="263"/>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262"/>
      <c r="AE881" s="262"/>
      <c r="AF881" s="262"/>
      <c r="AG881" s="262"/>
      <c r="AH881" s="262"/>
      <c r="AI881" s="262"/>
      <c r="AJ881" s="262"/>
      <c r="AK881" s="262"/>
      <c r="AL881" s="262"/>
      <c r="AM881" s="262"/>
      <c r="AN881" s="262"/>
      <c r="AO881" s="262"/>
      <c r="AP881" s="262"/>
      <c r="AQ881" s="262"/>
      <c r="AR881" s="262"/>
      <c r="AS881" s="262"/>
      <c r="AT881" s="262"/>
      <c r="AU881" s="262"/>
      <c r="AV881" s="262"/>
      <c r="AW881" s="262"/>
      <c r="AX881" s="262"/>
      <c r="AY881" s="262"/>
      <c r="AZ881" s="262"/>
      <c r="BA881" s="262"/>
      <c r="BB881" s="262"/>
      <c r="BC881" s="262"/>
      <c r="BD881" s="262"/>
      <c r="BE881" s="262"/>
      <c r="BF881" s="262"/>
      <c r="BG881" s="262"/>
      <c r="BH881" s="262"/>
      <c r="BI881" s="262"/>
      <c r="BJ881" s="262"/>
      <c r="BK881" s="262"/>
    </row>
    <row r="882" spans="1:63" ht="12.75" x14ac:dyDescent="0.2">
      <c r="A882" s="263"/>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262"/>
      <c r="AE882" s="262"/>
      <c r="AF882" s="262"/>
      <c r="AG882" s="262"/>
      <c r="AH882" s="262"/>
      <c r="AI882" s="262"/>
      <c r="AJ882" s="262"/>
      <c r="AK882" s="262"/>
      <c r="AL882" s="262"/>
      <c r="AM882" s="262"/>
      <c r="AN882" s="262"/>
      <c r="AO882" s="262"/>
      <c r="AP882" s="262"/>
      <c r="AQ882" s="262"/>
      <c r="AR882" s="262"/>
      <c r="AS882" s="262"/>
      <c r="AT882" s="262"/>
      <c r="AU882" s="262"/>
      <c r="AV882" s="262"/>
      <c r="AW882" s="262"/>
      <c r="AX882" s="262"/>
      <c r="AY882" s="262"/>
      <c r="AZ882" s="262"/>
      <c r="BA882" s="262"/>
      <c r="BB882" s="262"/>
      <c r="BC882" s="262"/>
      <c r="BD882" s="262"/>
      <c r="BE882" s="262"/>
      <c r="BF882" s="262"/>
      <c r="BG882" s="262"/>
      <c r="BH882" s="262"/>
      <c r="BI882" s="262"/>
      <c r="BJ882" s="262"/>
      <c r="BK882" s="262"/>
    </row>
    <row r="883" spans="1:63" ht="12.75" x14ac:dyDescent="0.2">
      <c r="A883" s="263"/>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262"/>
      <c r="AE883" s="262"/>
      <c r="AF883" s="262"/>
      <c r="AG883" s="262"/>
      <c r="AH883" s="262"/>
      <c r="AI883" s="262"/>
      <c r="AJ883" s="262"/>
      <c r="AK883" s="262"/>
      <c r="AL883" s="262"/>
      <c r="AM883" s="262"/>
      <c r="AN883" s="262"/>
      <c r="AO883" s="262"/>
      <c r="AP883" s="262"/>
      <c r="AQ883" s="262"/>
      <c r="AR883" s="262"/>
      <c r="AS883" s="262"/>
      <c r="AT883" s="262"/>
      <c r="AU883" s="262"/>
      <c r="AV883" s="262"/>
      <c r="AW883" s="262"/>
      <c r="AX883" s="262"/>
      <c r="AY883" s="262"/>
      <c r="AZ883" s="262"/>
      <c r="BA883" s="262"/>
      <c r="BB883" s="262"/>
      <c r="BC883" s="262"/>
      <c r="BD883" s="262"/>
      <c r="BE883" s="262"/>
      <c r="BF883" s="262"/>
      <c r="BG883" s="262"/>
      <c r="BH883" s="262"/>
      <c r="BI883" s="262"/>
      <c r="BJ883" s="262"/>
      <c r="BK883" s="262"/>
    </row>
    <row r="884" spans="1:63" ht="12.75" x14ac:dyDescent="0.2">
      <c r="A884" s="263"/>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262"/>
      <c r="AE884" s="262"/>
      <c r="AF884" s="262"/>
      <c r="AG884" s="262"/>
      <c r="AH884" s="262"/>
      <c r="AI884" s="262"/>
      <c r="AJ884" s="262"/>
      <c r="AK884" s="262"/>
      <c r="AL884" s="262"/>
      <c r="AM884" s="262"/>
      <c r="AN884" s="262"/>
      <c r="AO884" s="262"/>
      <c r="AP884" s="262"/>
      <c r="AQ884" s="262"/>
      <c r="AR884" s="262"/>
      <c r="AS884" s="262"/>
      <c r="AT884" s="262"/>
      <c r="AU884" s="262"/>
      <c r="AV884" s="262"/>
      <c r="AW884" s="262"/>
      <c r="AX884" s="262"/>
      <c r="AY884" s="262"/>
      <c r="AZ884" s="262"/>
      <c r="BA884" s="262"/>
      <c r="BB884" s="262"/>
      <c r="BC884" s="262"/>
      <c r="BD884" s="262"/>
      <c r="BE884" s="262"/>
      <c r="BF884" s="262"/>
      <c r="BG884" s="262"/>
      <c r="BH884" s="262"/>
      <c r="BI884" s="262"/>
      <c r="BJ884" s="262"/>
      <c r="BK884" s="262"/>
    </row>
    <row r="885" spans="1:63" ht="12.75" x14ac:dyDescent="0.2">
      <c r="A885" s="263"/>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262"/>
      <c r="AE885" s="262"/>
      <c r="AF885" s="262"/>
      <c r="AG885" s="262"/>
      <c r="AH885" s="262"/>
      <c r="AI885" s="262"/>
      <c r="AJ885" s="262"/>
      <c r="AK885" s="262"/>
      <c r="AL885" s="262"/>
      <c r="AM885" s="262"/>
      <c r="AN885" s="262"/>
      <c r="AO885" s="262"/>
      <c r="AP885" s="262"/>
      <c r="AQ885" s="262"/>
      <c r="AR885" s="262"/>
      <c r="AS885" s="262"/>
      <c r="AT885" s="262"/>
      <c r="AU885" s="262"/>
      <c r="AV885" s="262"/>
      <c r="AW885" s="262"/>
      <c r="AX885" s="262"/>
      <c r="AY885" s="262"/>
      <c r="AZ885" s="262"/>
      <c r="BA885" s="262"/>
      <c r="BB885" s="262"/>
      <c r="BC885" s="262"/>
      <c r="BD885" s="262"/>
      <c r="BE885" s="262"/>
      <c r="BF885" s="262"/>
      <c r="BG885" s="262"/>
      <c r="BH885" s="262"/>
      <c r="BI885" s="262"/>
      <c r="BJ885" s="262"/>
      <c r="BK885" s="262"/>
    </row>
    <row r="886" spans="1:63" ht="12.75" x14ac:dyDescent="0.2">
      <c r="A886" s="263"/>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262"/>
      <c r="AE886" s="262"/>
      <c r="AF886" s="262"/>
      <c r="AG886" s="262"/>
      <c r="AH886" s="262"/>
      <c r="AI886" s="262"/>
      <c r="AJ886" s="262"/>
      <c r="AK886" s="262"/>
      <c r="AL886" s="262"/>
      <c r="AM886" s="262"/>
      <c r="AN886" s="262"/>
      <c r="AO886" s="262"/>
      <c r="AP886" s="262"/>
      <c r="AQ886" s="262"/>
      <c r="AR886" s="262"/>
      <c r="AS886" s="262"/>
      <c r="AT886" s="262"/>
      <c r="AU886" s="262"/>
      <c r="AV886" s="262"/>
      <c r="AW886" s="262"/>
      <c r="AX886" s="262"/>
      <c r="AY886" s="262"/>
      <c r="AZ886" s="262"/>
      <c r="BA886" s="262"/>
      <c r="BB886" s="262"/>
      <c r="BC886" s="262"/>
      <c r="BD886" s="262"/>
      <c r="BE886" s="262"/>
      <c r="BF886" s="262"/>
      <c r="BG886" s="262"/>
      <c r="BH886" s="262"/>
      <c r="BI886" s="262"/>
      <c r="BJ886" s="262"/>
      <c r="BK886" s="262"/>
    </row>
    <row r="887" spans="1:63" ht="12.75" x14ac:dyDescent="0.2">
      <c r="A887" s="263"/>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262"/>
      <c r="AE887" s="262"/>
      <c r="AF887" s="262"/>
      <c r="AG887" s="262"/>
      <c r="AH887" s="262"/>
      <c r="AI887" s="262"/>
      <c r="AJ887" s="262"/>
      <c r="AK887" s="262"/>
      <c r="AL887" s="262"/>
      <c r="AM887" s="262"/>
      <c r="AN887" s="262"/>
      <c r="AO887" s="262"/>
      <c r="AP887" s="262"/>
      <c r="AQ887" s="262"/>
      <c r="AR887" s="262"/>
      <c r="AS887" s="262"/>
      <c r="AT887" s="262"/>
      <c r="AU887" s="262"/>
      <c r="AV887" s="262"/>
      <c r="AW887" s="262"/>
      <c r="AX887" s="262"/>
      <c r="AY887" s="262"/>
      <c r="AZ887" s="262"/>
      <c r="BA887" s="262"/>
      <c r="BB887" s="262"/>
      <c r="BC887" s="262"/>
      <c r="BD887" s="262"/>
      <c r="BE887" s="262"/>
      <c r="BF887" s="262"/>
      <c r="BG887" s="262"/>
      <c r="BH887" s="262"/>
      <c r="BI887" s="262"/>
      <c r="BJ887" s="262"/>
      <c r="BK887" s="262"/>
    </row>
    <row r="888" spans="1:63" ht="12.75" x14ac:dyDescent="0.2">
      <c r="A888" s="263"/>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262"/>
      <c r="AE888" s="262"/>
      <c r="AF888" s="262"/>
      <c r="AG888" s="262"/>
      <c r="AH888" s="262"/>
      <c r="AI888" s="262"/>
      <c r="AJ888" s="262"/>
      <c r="AK888" s="262"/>
      <c r="AL888" s="262"/>
      <c r="AM888" s="262"/>
      <c r="AN888" s="262"/>
      <c r="AO888" s="262"/>
      <c r="AP888" s="262"/>
      <c r="AQ888" s="262"/>
      <c r="AR888" s="262"/>
      <c r="AS888" s="262"/>
      <c r="AT888" s="262"/>
      <c r="AU888" s="262"/>
      <c r="AV888" s="262"/>
      <c r="AW888" s="262"/>
      <c r="AX888" s="262"/>
      <c r="AY888" s="262"/>
      <c r="AZ888" s="262"/>
      <c r="BA888" s="262"/>
      <c r="BB888" s="262"/>
      <c r="BC888" s="262"/>
      <c r="BD888" s="262"/>
      <c r="BE888" s="262"/>
      <c r="BF888" s="262"/>
      <c r="BG888" s="262"/>
      <c r="BH888" s="262"/>
      <c r="BI888" s="262"/>
      <c r="BJ888" s="262"/>
      <c r="BK888" s="262"/>
    </row>
    <row r="889" spans="1:63" ht="12.75" x14ac:dyDescent="0.2">
      <c r="A889" s="263"/>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262"/>
      <c r="AE889" s="262"/>
      <c r="AF889" s="262"/>
      <c r="AG889" s="262"/>
      <c r="AH889" s="262"/>
      <c r="AI889" s="262"/>
      <c r="AJ889" s="262"/>
      <c r="AK889" s="262"/>
      <c r="AL889" s="262"/>
      <c r="AM889" s="262"/>
      <c r="AN889" s="262"/>
      <c r="AO889" s="262"/>
      <c r="AP889" s="262"/>
      <c r="AQ889" s="262"/>
      <c r="AR889" s="262"/>
      <c r="AS889" s="262"/>
      <c r="AT889" s="262"/>
      <c r="AU889" s="262"/>
      <c r="AV889" s="262"/>
      <c r="AW889" s="262"/>
      <c r="AX889" s="262"/>
      <c r="AY889" s="262"/>
      <c r="AZ889" s="262"/>
      <c r="BA889" s="262"/>
      <c r="BB889" s="262"/>
      <c r="BC889" s="262"/>
      <c r="BD889" s="262"/>
      <c r="BE889" s="262"/>
      <c r="BF889" s="262"/>
      <c r="BG889" s="262"/>
      <c r="BH889" s="262"/>
      <c r="BI889" s="262"/>
      <c r="BJ889" s="262"/>
      <c r="BK889" s="262"/>
    </row>
    <row r="890" spans="1:63" ht="12.75" x14ac:dyDescent="0.2">
      <c r="A890" s="263"/>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262"/>
      <c r="AE890" s="262"/>
      <c r="AF890" s="262"/>
      <c r="AG890" s="262"/>
      <c r="AH890" s="262"/>
      <c r="AI890" s="262"/>
      <c r="AJ890" s="262"/>
      <c r="AK890" s="262"/>
      <c r="AL890" s="262"/>
      <c r="AM890" s="262"/>
      <c r="AN890" s="262"/>
      <c r="AO890" s="262"/>
      <c r="AP890" s="262"/>
      <c r="AQ890" s="262"/>
      <c r="AR890" s="262"/>
      <c r="AS890" s="262"/>
      <c r="AT890" s="262"/>
      <c r="AU890" s="262"/>
      <c r="AV890" s="262"/>
      <c r="AW890" s="262"/>
      <c r="AX890" s="262"/>
      <c r="AY890" s="262"/>
      <c r="AZ890" s="262"/>
      <c r="BA890" s="262"/>
      <c r="BB890" s="262"/>
      <c r="BC890" s="262"/>
      <c r="BD890" s="262"/>
      <c r="BE890" s="262"/>
      <c r="BF890" s="262"/>
      <c r="BG890" s="262"/>
      <c r="BH890" s="262"/>
      <c r="BI890" s="262"/>
      <c r="BJ890" s="262"/>
      <c r="BK890" s="262"/>
    </row>
    <row r="891" spans="1:63" ht="12.75" x14ac:dyDescent="0.2">
      <c r="A891" s="263"/>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262"/>
      <c r="AE891" s="262"/>
      <c r="AF891" s="262"/>
      <c r="AG891" s="262"/>
      <c r="AH891" s="262"/>
      <c r="AI891" s="262"/>
      <c r="AJ891" s="262"/>
      <c r="AK891" s="262"/>
      <c r="AL891" s="262"/>
      <c r="AM891" s="262"/>
      <c r="AN891" s="262"/>
      <c r="AO891" s="262"/>
      <c r="AP891" s="262"/>
      <c r="AQ891" s="262"/>
      <c r="AR891" s="262"/>
      <c r="AS891" s="262"/>
      <c r="AT891" s="262"/>
      <c r="AU891" s="262"/>
      <c r="AV891" s="262"/>
      <c r="AW891" s="262"/>
      <c r="AX891" s="262"/>
      <c r="AY891" s="262"/>
      <c r="AZ891" s="262"/>
      <c r="BA891" s="262"/>
      <c r="BB891" s="262"/>
      <c r="BC891" s="262"/>
      <c r="BD891" s="262"/>
      <c r="BE891" s="262"/>
      <c r="BF891" s="262"/>
      <c r="BG891" s="262"/>
      <c r="BH891" s="262"/>
      <c r="BI891" s="262"/>
      <c r="BJ891" s="262"/>
      <c r="BK891" s="262"/>
    </row>
    <row r="892" spans="1:63" ht="12.75" x14ac:dyDescent="0.2">
      <c r="A892" s="263"/>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262"/>
      <c r="AE892" s="262"/>
      <c r="AF892" s="262"/>
      <c r="AG892" s="262"/>
      <c r="AH892" s="262"/>
      <c r="AI892" s="262"/>
      <c r="AJ892" s="262"/>
      <c r="AK892" s="262"/>
      <c r="AL892" s="262"/>
      <c r="AM892" s="262"/>
      <c r="AN892" s="262"/>
      <c r="AO892" s="262"/>
      <c r="AP892" s="262"/>
      <c r="AQ892" s="262"/>
      <c r="AR892" s="262"/>
      <c r="AS892" s="262"/>
      <c r="AT892" s="262"/>
      <c r="AU892" s="262"/>
      <c r="AV892" s="262"/>
      <c r="AW892" s="262"/>
      <c r="AX892" s="262"/>
      <c r="AY892" s="262"/>
      <c r="AZ892" s="262"/>
      <c r="BA892" s="262"/>
      <c r="BB892" s="262"/>
      <c r="BC892" s="262"/>
      <c r="BD892" s="262"/>
      <c r="BE892" s="262"/>
      <c r="BF892" s="262"/>
      <c r="BG892" s="262"/>
      <c r="BH892" s="262"/>
      <c r="BI892" s="262"/>
      <c r="BJ892" s="262"/>
      <c r="BK892" s="262"/>
    </row>
    <row r="893" spans="1:63" ht="12.75" x14ac:dyDescent="0.2">
      <c r="A893" s="263"/>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262"/>
      <c r="AE893" s="262"/>
      <c r="AF893" s="262"/>
      <c r="AG893" s="262"/>
      <c r="AH893" s="262"/>
      <c r="AI893" s="262"/>
      <c r="AJ893" s="262"/>
      <c r="AK893" s="262"/>
      <c r="AL893" s="262"/>
      <c r="AM893" s="262"/>
      <c r="AN893" s="262"/>
      <c r="AO893" s="262"/>
      <c r="AP893" s="262"/>
      <c r="AQ893" s="262"/>
      <c r="AR893" s="262"/>
      <c r="AS893" s="262"/>
      <c r="AT893" s="262"/>
      <c r="AU893" s="262"/>
      <c r="AV893" s="262"/>
      <c r="AW893" s="262"/>
      <c r="AX893" s="262"/>
      <c r="AY893" s="262"/>
      <c r="AZ893" s="262"/>
      <c r="BA893" s="262"/>
      <c r="BB893" s="262"/>
      <c r="BC893" s="262"/>
      <c r="BD893" s="262"/>
      <c r="BE893" s="262"/>
      <c r="BF893" s="262"/>
      <c r="BG893" s="262"/>
      <c r="BH893" s="262"/>
      <c r="BI893" s="262"/>
      <c r="BJ893" s="262"/>
      <c r="BK893" s="262"/>
    </row>
    <row r="894" spans="1:63" ht="12.75" x14ac:dyDescent="0.2">
      <c r="A894" s="263"/>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262"/>
      <c r="AE894" s="262"/>
      <c r="AF894" s="262"/>
      <c r="AG894" s="262"/>
      <c r="AH894" s="262"/>
      <c r="AI894" s="262"/>
      <c r="AJ894" s="262"/>
      <c r="AK894" s="262"/>
      <c r="AL894" s="262"/>
      <c r="AM894" s="262"/>
      <c r="AN894" s="262"/>
      <c r="AO894" s="262"/>
      <c r="AP894" s="262"/>
      <c r="AQ894" s="262"/>
      <c r="AR894" s="262"/>
      <c r="AS894" s="262"/>
      <c r="AT894" s="262"/>
      <c r="AU894" s="262"/>
      <c r="AV894" s="262"/>
      <c r="AW894" s="262"/>
      <c r="AX894" s="262"/>
      <c r="AY894" s="262"/>
      <c r="AZ894" s="262"/>
      <c r="BA894" s="262"/>
      <c r="BB894" s="262"/>
      <c r="BC894" s="262"/>
      <c r="BD894" s="262"/>
      <c r="BE894" s="262"/>
      <c r="BF894" s="262"/>
      <c r="BG894" s="262"/>
      <c r="BH894" s="262"/>
      <c r="BI894" s="262"/>
      <c r="BJ894" s="262"/>
      <c r="BK894" s="262"/>
    </row>
    <row r="895" spans="1:63" ht="12.75" x14ac:dyDescent="0.2">
      <c r="A895" s="263"/>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262"/>
      <c r="AE895" s="262"/>
      <c r="AF895" s="262"/>
      <c r="AG895" s="262"/>
      <c r="AH895" s="262"/>
      <c r="AI895" s="262"/>
      <c r="AJ895" s="262"/>
      <c r="AK895" s="262"/>
      <c r="AL895" s="262"/>
      <c r="AM895" s="262"/>
      <c r="AN895" s="262"/>
      <c r="AO895" s="262"/>
      <c r="AP895" s="262"/>
      <c r="AQ895" s="262"/>
      <c r="AR895" s="262"/>
      <c r="AS895" s="262"/>
      <c r="AT895" s="262"/>
      <c r="AU895" s="262"/>
      <c r="AV895" s="262"/>
      <c r="AW895" s="262"/>
      <c r="AX895" s="262"/>
      <c r="AY895" s="262"/>
      <c r="AZ895" s="262"/>
      <c r="BA895" s="262"/>
      <c r="BB895" s="262"/>
      <c r="BC895" s="262"/>
      <c r="BD895" s="262"/>
      <c r="BE895" s="262"/>
      <c r="BF895" s="262"/>
      <c r="BG895" s="262"/>
      <c r="BH895" s="262"/>
      <c r="BI895" s="262"/>
      <c r="BJ895" s="262"/>
      <c r="BK895" s="262"/>
    </row>
    <row r="896" spans="1:63" ht="12.75" x14ac:dyDescent="0.2">
      <c r="A896" s="263"/>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262"/>
      <c r="AE896" s="262"/>
      <c r="AF896" s="262"/>
      <c r="AG896" s="262"/>
      <c r="AH896" s="262"/>
      <c r="AI896" s="262"/>
      <c r="AJ896" s="262"/>
      <c r="AK896" s="262"/>
      <c r="AL896" s="262"/>
      <c r="AM896" s="262"/>
      <c r="AN896" s="262"/>
      <c r="AO896" s="262"/>
      <c r="AP896" s="262"/>
      <c r="AQ896" s="262"/>
      <c r="AR896" s="262"/>
      <c r="AS896" s="262"/>
      <c r="AT896" s="262"/>
      <c r="AU896" s="262"/>
      <c r="AV896" s="262"/>
      <c r="AW896" s="262"/>
      <c r="AX896" s="262"/>
      <c r="AY896" s="262"/>
      <c r="AZ896" s="262"/>
      <c r="BA896" s="262"/>
      <c r="BB896" s="262"/>
      <c r="BC896" s="262"/>
      <c r="BD896" s="262"/>
      <c r="BE896" s="262"/>
      <c r="BF896" s="262"/>
      <c r="BG896" s="262"/>
      <c r="BH896" s="262"/>
      <c r="BI896" s="262"/>
      <c r="BJ896" s="262"/>
      <c r="BK896" s="262"/>
    </row>
    <row r="897" spans="1:63" ht="12.75" x14ac:dyDescent="0.2">
      <c r="A897" s="263"/>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262"/>
      <c r="AE897" s="262"/>
      <c r="AF897" s="262"/>
      <c r="AG897" s="262"/>
      <c r="AH897" s="262"/>
      <c r="AI897" s="262"/>
      <c r="AJ897" s="262"/>
      <c r="AK897" s="262"/>
      <c r="AL897" s="262"/>
      <c r="AM897" s="262"/>
      <c r="AN897" s="262"/>
      <c r="AO897" s="262"/>
      <c r="AP897" s="262"/>
      <c r="AQ897" s="262"/>
      <c r="AR897" s="262"/>
      <c r="AS897" s="262"/>
      <c r="AT897" s="262"/>
      <c r="AU897" s="262"/>
      <c r="AV897" s="262"/>
      <c r="AW897" s="262"/>
      <c r="AX897" s="262"/>
      <c r="AY897" s="262"/>
      <c r="AZ897" s="262"/>
      <c r="BA897" s="262"/>
      <c r="BB897" s="262"/>
      <c r="BC897" s="262"/>
      <c r="BD897" s="262"/>
      <c r="BE897" s="262"/>
      <c r="BF897" s="262"/>
      <c r="BG897" s="262"/>
      <c r="BH897" s="262"/>
      <c r="BI897" s="262"/>
      <c r="BJ897" s="262"/>
      <c r="BK897" s="262"/>
    </row>
    <row r="898" spans="1:63" ht="12.75" x14ac:dyDescent="0.2">
      <c r="A898" s="263"/>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262"/>
      <c r="AE898" s="262"/>
      <c r="AF898" s="262"/>
      <c r="AG898" s="262"/>
      <c r="AH898" s="262"/>
      <c r="AI898" s="262"/>
      <c r="AJ898" s="262"/>
      <c r="AK898" s="262"/>
      <c r="AL898" s="262"/>
      <c r="AM898" s="262"/>
      <c r="AN898" s="262"/>
      <c r="AO898" s="262"/>
      <c r="AP898" s="262"/>
      <c r="AQ898" s="262"/>
      <c r="AR898" s="262"/>
      <c r="AS898" s="262"/>
      <c r="AT898" s="262"/>
      <c r="AU898" s="262"/>
      <c r="AV898" s="262"/>
      <c r="AW898" s="262"/>
      <c r="AX898" s="262"/>
      <c r="AY898" s="262"/>
      <c r="AZ898" s="262"/>
      <c r="BA898" s="262"/>
      <c r="BB898" s="262"/>
      <c r="BC898" s="262"/>
      <c r="BD898" s="262"/>
      <c r="BE898" s="262"/>
      <c r="BF898" s="262"/>
      <c r="BG898" s="262"/>
      <c r="BH898" s="262"/>
      <c r="BI898" s="262"/>
      <c r="BJ898" s="262"/>
      <c r="BK898" s="262"/>
    </row>
    <row r="899" spans="1:63" ht="12.75" x14ac:dyDescent="0.2">
      <c r="A899" s="263"/>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262"/>
      <c r="AF899" s="262"/>
      <c r="AG899" s="262"/>
      <c r="AH899" s="262"/>
      <c r="AI899" s="262"/>
      <c r="AJ899" s="262"/>
      <c r="AK899" s="262"/>
      <c r="AL899" s="262"/>
      <c r="AM899" s="262"/>
      <c r="AN899" s="262"/>
      <c r="AO899" s="262"/>
      <c r="AP899" s="262"/>
      <c r="AQ899" s="262"/>
      <c r="AR899" s="262"/>
      <c r="AS899" s="262"/>
      <c r="AT899" s="262"/>
      <c r="AU899" s="262"/>
      <c r="AV899" s="262"/>
      <c r="AW899" s="262"/>
      <c r="AX899" s="262"/>
      <c r="AY899" s="262"/>
      <c r="AZ899" s="262"/>
      <c r="BA899" s="262"/>
      <c r="BB899" s="262"/>
      <c r="BC899" s="262"/>
      <c r="BD899" s="262"/>
      <c r="BE899" s="262"/>
      <c r="BF899" s="262"/>
      <c r="BG899" s="262"/>
      <c r="BH899" s="262"/>
      <c r="BI899" s="262"/>
      <c r="BJ899" s="262"/>
      <c r="BK899" s="262"/>
    </row>
    <row r="900" spans="1:63" ht="12.75" x14ac:dyDescent="0.2">
      <c r="A900" s="263"/>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c r="AA900" s="262"/>
      <c r="AB900" s="262"/>
      <c r="AC900" s="262"/>
      <c r="AD900" s="262"/>
      <c r="AE900" s="262"/>
      <c r="AF900" s="262"/>
      <c r="AG900" s="262"/>
      <c r="AH900" s="262"/>
      <c r="AI900" s="262"/>
      <c r="AJ900" s="262"/>
      <c r="AK900" s="262"/>
      <c r="AL900" s="262"/>
      <c r="AM900" s="262"/>
      <c r="AN900" s="262"/>
      <c r="AO900" s="262"/>
      <c r="AP900" s="262"/>
      <c r="AQ900" s="262"/>
      <c r="AR900" s="262"/>
      <c r="AS900" s="262"/>
      <c r="AT900" s="262"/>
      <c r="AU900" s="262"/>
      <c r="AV900" s="262"/>
      <c r="AW900" s="262"/>
      <c r="AX900" s="262"/>
      <c r="AY900" s="262"/>
      <c r="AZ900" s="262"/>
      <c r="BA900" s="262"/>
      <c r="BB900" s="262"/>
      <c r="BC900" s="262"/>
      <c r="BD900" s="262"/>
      <c r="BE900" s="262"/>
      <c r="BF900" s="262"/>
      <c r="BG900" s="262"/>
      <c r="BH900" s="262"/>
      <c r="BI900" s="262"/>
      <c r="BJ900" s="262"/>
      <c r="BK900" s="262"/>
    </row>
    <row r="901" spans="1:63" ht="12.75" x14ac:dyDescent="0.2">
      <c r="A901" s="263"/>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c r="AA901" s="262"/>
      <c r="AB901" s="262"/>
      <c r="AC901" s="262"/>
      <c r="AD901" s="262"/>
      <c r="AE901" s="262"/>
      <c r="AF901" s="262"/>
      <c r="AG901" s="262"/>
      <c r="AH901" s="262"/>
      <c r="AI901" s="262"/>
      <c r="AJ901" s="262"/>
      <c r="AK901" s="262"/>
      <c r="AL901" s="262"/>
      <c r="AM901" s="262"/>
      <c r="AN901" s="262"/>
      <c r="AO901" s="262"/>
      <c r="AP901" s="262"/>
      <c r="AQ901" s="262"/>
      <c r="AR901" s="262"/>
      <c r="AS901" s="262"/>
      <c r="AT901" s="262"/>
      <c r="AU901" s="262"/>
      <c r="AV901" s="262"/>
      <c r="AW901" s="262"/>
      <c r="AX901" s="262"/>
      <c r="AY901" s="262"/>
      <c r="AZ901" s="262"/>
      <c r="BA901" s="262"/>
      <c r="BB901" s="262"/>
      <c r="BC901" s="262"/>
      <c r="BD901" s="262"/>
      <c r="BE901" s="262"/>
      <c r="BF901" s="262"/>
      <c r="BG901" s="262"/>
      <c r="BH901" s="262"/>
      <c r="BI901" s="262"/>
      <c r="BJ901" s="262"/>
      <c r="BK901" s="262"/>
    </row>
    <row r="902" spans="1:63" ht="12.75" x14ac:dyDescent="0.2">
      <c r="A902" s="263"/>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c r="AA902" s="262"/>
      <c r="AB902" s="262"/>
      <c r="AC902" s="262"/>
      <c r="AD902" s="262"/>
      <c r="AE902" s="262"/>
      <c r="AF902" s="262"/>
      <c r="AG902" s="262"/>
      <c r="AH902" s="262"/>
      <c r="AI902" s="262"/>
      <c r="AJ902" s="262"/>
      <c r="AK902" s="262"/>
      <c r="AL902" s="262"/>
      <c r="AM902" s="262"/>
      <c r="AN902" s="262"/>
      <c r="AO902" s="262"/>
      <c r="AP902" s="262"/>
      <c r="AQ902" s="262"/>
      <c r="AR902" s="262"/>
      <c r="AS902" s="262"/>
      <c r="AT902" s="262"/>
      <c r="AU902" s="262"/>
      <c r="AV902" s="262"/>
      <c r="AW902" s="262"/>
      <c r="AX902" s="262"/>
      <c r="AY902" s="262"/>
      <c r="AZ902" s="262"/>
      <c r="BA902" s="262"/>
      <c r="BB902" s="262"/>
      <c r="BC902" s="262"/>
      <c r="BD902" s="262"/>
      <c r="BE902" s="262"/>
      <c r="BF902" s="262"/>
      <c r="BG902" s="262"/>
      <c r="BH902" s="262"/>
      <c r="BI902" s="262"/>
      <c r="BJ902" s="262"/>
      <c r="BK902" s="262"/>
    </row>
    <row r="903" spans="1:63" ht="12.75" x14ac:dyDescent="0.2">
      <c r="A903" s="263"/>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262"/>
      <c r="AE903" s="262"/>
      <c r="AF903" s="262"/>
      <c r="AG903" s="262"/>
      <c r="AH903" s="262"/>
      <c r="AI903" s="262"/>
      <c r="AJ903" s="262"/>
      <c r="AK903" s="262"/>
      <c r="AL903" s="262"/>
      <c r="AM903" s="262"/>
      <c r="AN903" s="262"/>
      <c r="AO903" s="262"/>
      <c r="AP903" s="262"/>
      <c r="AQ903" s="262"/>
      <c r="AR903" s="262"/>
      <c r="AS903" s="262"/>
      <c r="AT903" s="262"/>
      <c r="AU903" s="262"/>
      <c r="AV903" s="262"/>
      <c r="AW903" s="262"/>
      <c r="AX903" s="262"/>
      <c r="AY903" s="262"/>
      <c r="AZ903" s="262"/>
      <c r="BA903" s="262"/>
      <c r="BB903" s="262"/>
      <c r="BC903" s="262"/>
      <c r="BD903" s="262"/>
      <c r="BE903" s="262"/>
      <c r="BF903" s="262"/>
      <c r="BG903" s="262"/>
      <c r="BH903" s="262"/>
      <c r="BI903" s="262"/>
      <c r="BJ903" s="262"/>
      <c r="BK903" s="262"/>
    </row>
    <row r="904" spans="1:63" ht="12.75" x14ac:dyDescent="0.2">
      <c r="A904" s="263"/>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262"/>
      <c r="AE904" s="262"/>
      <c r="AF904" s="262"/>
      <c r="AG904" s="262"/>
      <c r="AH904" s="262"/>
      <c r="AI904" s="262"/>
      <c r="AJ904" s="262"/>
      <c r="AK904" s="262"/>
      <c r="AL904" s="262"/>
      <c r="AM904" s="262"/>
      <c r="AN904" s="262"/>
      <c r="AO904" s="262"/>
      <c r="AP904" s="262"/>
      <c r="AQ904" s="262"/>
      <c r="AR904" s="262"/>
      <c r="AS904" s="262"/>
      <c r="AT904" s="262"/>
      <c r="AU904" s="262"/>
      <c r="AV904" s="262"/>
      <c r="AW904" s="262"/>
      <c r="AX904" s="262"/>
      <c r="AY904" s="262"/>
      <c r="AZ904" s="262"/>
      <c r="BA904" s="262"/>
      <c r="BB904" s="262"/>
      <c r="BC904" s="262"/>
      <c r="BD904" s="262"/>
      <c r="BE904" s="262"/>
      <c r="BF904" s="262"/>
      <c r="BG904" s="262"/>
      <c r="BH904" s="262"/>
      <c r="BI904" s="262"/>
      <c r="BJ904" s="262"/>
      <c r="BK904" s="262"/>
    </row>
    <row r="905" spans="1:63" ht="12.75" x14ac:dyDescent="0.2">
      <c r="A905" s="263"/>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262"/>
      <c r="AE905" s="262"/>
      <c r="AF905" s="262"/>
      <c r="AG905" s="262"/>
      <c r="AH905" s="262"/>
      <c r="AI905" s="262"/>
      <c r="AJ905" s="262"/>
      <c r="AK905" s="262"/>
      <c r="AL905" s="262"/>
      <c r="AM905" s="262"/>
      <c r="AN905" s="262"/>
      <c r="AO905" s="262"/>
      <c r="AP905" s="262"/>
      <c r="AQ905" s="262"/>
      <c r="AR905" s="262"/>
      <c r="AS905" s="262"/>
      <c r="AT905" s="262"/>
      <c r="AU905" s="262"/>
      <c r="AV905" s="262"/>
      <c r="AW905" s="262"/>
      <c r="AX905" s="262"/>
      <c r="AY905" s="262"/>
      <c r="AZ905" s="262"/>
      <c r="BA905" s="262"/>
      <c r="BB905" s="262"/>
      <c r="BC905" s="262"/>
      <c r="BD905" s="262"/>
      <c r="BE905" s="262"/>
      <c r="BF905" s="262"/>
      <c r="BG905" s="262"/>
      <c r="BH905" s="262"/>
      <c r="BI905" s="262"/>
      <c r="BJ905" s="262"/>
      <c r="BK905" s="262"/>
    </row>
    <row r="906" spans="1:63" ht="12.75" x14ac:dyDescent="0.2">
      <c r="A906" s="263"/>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262"/>
      <c r="AE906" s="262"/>
      <c r="AF906" s="262"/>
      <c r="AG906" s="262"/>
      <c r="AH906" s="262"/>
      <c r="AI906" s="262"/>
      <c r="AJ906" s="262"/>
      <c r="AK906" s="262"/>
      <c r="AL906" s="262"/>
      <c r="AM906" s="262"/>
      <c r="AN906" s="262"/>
      <c r="AO906" s="262"/>
      <c r="AP906" s="262"/>
      <c r="AQ906" s="262"/>
      <c r="AR906" s="262"/>
      <c r="AS906" s="262"/>
      <c r="AT906" s="262"/>
      <c r="AU906" s="262"/>
      <c r="AV906" s="262"/>
      <c r="AW906" s="262"/>
      <c r="AX906" s="262"/>
      <c r="AY906" s="262"/>
      <c r="AZ906" s="262"/>
      <c r="BA906" s="262"/>
      <c r="BB906" s="262"/>
      <c r="BC906" s="262"/>
      <c r="BD906" s="262"/>
      <c r="BE906" s="262"/>
      <c r="BF906" s="262"/>
      <c r="BG906" s="262"/>
      <c r="BH906" s="262"/>
      <c r="BI906" s="262"/>
      <c r="BJ906" s="262"/>
      <c r="BK906" s="262"/>
    </row>
    <row r="907" spans="1:63" ht="12.75" x14ac:dyDescent="0.2">
      <c r="A907" s="263"/>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262"/>
      <c r="AE907" s="262"/>
      <c r="AF907" s="262"/>
      <c r="AG907" s="262"/>
      <c r="AH907" s="262"/>
      <c r="AI907" s="262"/>
      <c r="AJ907" s="262"/>
      <c r="AK907" s="262"/>
      <c r="AL907" s="262"/>
      <c r="AM907" s="262"/>
      <c r="AN907" s="262"/>
      <c r="AO907" s="262"/>
      <c r="AP907" s="262"/>
      <c r="AQ907" s="262"/>
      <c r="AR907" s="262"/>
      <c r="AS907" s="262"/>
      <c r="AT907" s="262"/>
      <c r="AU907" s="262"/>
      <c r="AV907" s="262"/>
      <c r="AW907" s="262"/>
      <c r="AX907" s="262"/>
      <c r="AY907" s="262"/>
      <c r="AZ907" s="262"/>
      <c r="BA907" s="262"/>
      <c r="BB907" s="262"/>
      <c r="BC907" s="262"/>
      <c r="BD907" s="262"/>
      <c r="BE907" s="262"/>
      <c r="BF907" s="262"/>
      <c r="BG907" s="262"/>
      <c r="BH907" s="262"/>
      <c r="BI907" s="262"/>
      <c r="BJ907" s="262"/>
      <c r="BK907" s="262"/>
    </row>
    <row r="908" spans="1:63" ht="12.75" x14ac:dyDescent="0.2">
      <c r="A908" s="263"/>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262"/>
      <c r="AF908" s="262"/>
      <c r="AG908" s="262"/>
      <c r="AH908" s="262"/>
      <c r="AI908" s="262"/>
      <c r="AJ908" s="262"/>
      <c r="AK908" s="262"/>
      <c r="AL908" s="262"/>
      <c r="AM908" s="262"/>
      <c r="AN908" s="262"/>
      <c r="AO908" s="262"/>
      <c r="AP908" s="262"/>
      <c r="AQ908" s="262"/>
      <c r="AR908" s="262"/>
      <c r="AS908" s="262"/>
      <c r="AT908" s="262"/>
      <c r="AU908" s="262"/>
      <c r="AV908" s="262"/>
      <c r="AW908" s="262"/>
      <c r="AX908" s="262"/>
      <c r="AY908" s="262"/>
      <c r="AZ908" s="262"/>
      <c r="BA908" s="262"/>
      <c r="BB908" s="262"/>
      <c r="BC908" s="262"/>
      <c r="BD908" s="262"/>
      <c r="BE908" s="262"/>
      <c r="BF908" s="262"/>
      <c r="BG908" s="262"/>
      <c r="BH908" s="262"/>
      <c r="BI908" s="262"/>
      <c r="BJ908" s="262"/>
      <c r="BK908" s="262"/>
    </row>
    <row r="909" spans="1:63" ht="12.75" x14ac:dyDescent="0.2">
      <c r="A909" s="263"/>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c r="AA909" s="262"/>
      <c r="AB909" s="262"/>
      <c r="AC909" s="262"/>
      <c r="AD909" s="262"/>
      <c r="AE909" s="262"/>
      <c r="AF909" s="262"/>
      <c r="AG909" s="262"/>
      <c r="AH909" s="262"/>
      <c r="AI909" s="262"/>
      <c r="AJ909" s="262"/>
      <c r="AK909" s="262"/>
      <c r="AL909" s="262"/>
      <c r="AM909" s="262"/>
      <c r="AN909" s="262"/>
      <c r="AO909" s="262"/>
      <c r="AP909" s="262"/>
      <c r="AQ909" s="262"/>
      <c r="AR909" s="262"/>
      <c r="AS909" s="262"/>
      <c r="AT909" s="262"/>
      <c r="AU909" s="262"/>
      <c r="AV909" s="262"/>
      <c r="AW909" s="262"/>
      <c r="AX909" s="262"/>
      <c r="AY909" s="262"/>
      <c r="AZ909" s="262"/>
      <c r="BA909" s="262"/>
      <c r="BB909" s="262"/>
      <c r="BC909" s="262"/>
      <c r="BD909" s="262"/>
      <c r="BE909" s="262"/>
      <c r="BF909" s="262"/>
      <c r="BG909" s="262"/>
      <c r="BH909" s="262"/>
      <c r="BI909" s="262"/>
      <c r="BJ909" s="262"/>
      <c r="BK909" s="262"/>
    </row>
    <row r="910" spans="1:63" ht="12.75" x14ac:dyDescent="0.2">
      <c r="A910" s="263"/>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c r="AA910" s="262"/>
      <c r="AB910" s="262"/>
      <c r="AC910" s="262"/>
      <c r="AD910" s="262"/>
      <c r="AE910" s="262"/>
      <c r="AF910" s="262"/>
      <c r="AG910" s="262"/>
      <c r="AH910" s="262"/>
      <c r="AI910" s="262"/>
      <c r="AJ910" s="262"/>
      <c r="AK910" s="262"/>
      <c r="AL910" s="262"/>
      <c r="AM910" s="262"/>
      <c r="AN910" s="262"/>
      <c r="AO910" s="262"/>
      <c r="AP910" s="262"/>
      <c r="AQ910" s="262"/>
      <c r="AR910" s="262"/>
      <c r="AS910" s="262"/>
      <c r="AT910" s="262"/>
      <c r="AU910" s="262"/>
      <c r="AV910" s="262"/>
      <c r="AW910" s="262"/>
      <c r="AX910" s="262"/>
      <c r="AY910" s="262"/>
      <c r="AZ910" s="262"/>
      <c r="BA910" s="262"/>
      <c r="BB910" s="262"/>
      <c r="BC910" s="262"/>
      <c r="BD910" s="262"/>
      <c r="BE910" s="262"/>
      <c r="BF910" s="262"/>
      <c r="BG910" s="262"/>
      <c r="BH910" s="262"/>
      <c r="BI910" s="262"/>
      <c r="BJ910" s="262"/>
      <c r="BK910" s="26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K86"/>
  <sheetViews>
    <sheetView workbookViewId="0"/>
  </sheetViews>
  <sheetFormatPr defaultColWidth="14.42578125" defaultRowHeight="15.75" customHeight="1" x14ac:dyDescent="0.2"/>
  <cols>
    <col min="1" max="1" width="43.42578125" customWidth="1"/>
  </cols>
  <sheetData>
    <row r="1" spans="1:37" ht="18" x14ac:dyDescent="0.25">
      <c r="A1" s="287" t="s">
        <v>433</v>
      </c>
      <c r="B1" s="288" t="str">
        <f t="shared" ref="B1:AC1" si="0">"PnL_"&amp;TEXT(B5,"mmm")&amp;"_"&amp;TEXT(B5,"yyyy")</f>
        <v>PnL_Jan_2018</v>
      </c>
      <c r="C1" s="288" t="str">
        <f t="shared" si="0"/>
        <v>PnL_Feb_2018</v>
      </c>
      <c r="D1" s="288" t="str">
        <f t="shared" si="0"/>
        <v>PnL_Mar_2018</v>
      </c>
      <c r="E1" s="288" t="str">
        <f t="shared" si="0"/>
        <v>PnL_Apr_2018</v>
      </c>
      <c r="F1" s="288" t="str">
        <f t="shared" si="0"/>
        <v>PnL_May_2018</v>
      </c>
      <c r="G1" s="288" t="str">
        <f t="shared" si="0"/>
        <v>PnL_Jun_2018</v>
      </c>
      <c r="H1" s="288" t="str">
        <f t="shared" si="0"/>
        <v>PnL_Jul_2018</v>
      </c>
      <c r="I1" s="288" t="str">
        <f t="shared" si="0"/>
        <v>PnL_Aug_2018</v>
      </c>
      <c r="J1" s="288" t="str">
        <f t="shared" si="0"/>
        <v>PnL_Sep_2018</v>
      </c>
      <c r="K1" s="288" t="str">
        <f t="shared" si="0"/>
        <v>PnL_Oct_2018</v>
      </c>
      <c r="L1" s="288" t="str">
        <f t="shared" si="0"/>
        <v>PnL_Nov_2018</v>
      </c>
      <c r="M1" s="288" t="str">
        <f t="shared" si="0"/>
        <v>PnL_Dec_2018</v>
      </c>
      <c r="N1" s="288" t="str">
        <f t="shared" si="0"/>
        <v>PnL_Jan_2019</v>
      </c>
      <c r="O1" s="288" t="str">
        <f t="shared" si="0"/>
        <v>PnL_Feb_2019</v>
      </c>
      <c r="P1" s="288" t="str">
        <f t="shared" si="0"/>
        <v>PnL_Mar_2019</v>
      </c>
      <c r="Q1" s="288" t="str">
        <f t="shared" si="0"/>
        <v>PnL_Apr_2019</v>
      </c>
      <c r="R1" s="288" t="str">
        <f t="shared" si="0"/>
        <v>PnL_May_2019</v>
      </c>
      <c r="S1" s="288" t="str">
        <f t="shared" si="0"/>
        <v>PnL_Jun_2019</v>
      </c>
      <c r="T1" s="288" t="str">
        <f t="shared" si="0"/>
        <v>PnL_Jul_2019</v>
      </c>
      <c r="U1" s="288" t="str">
        <f t="shared" si="0"/>
        <v>PnL_Aug_2019</v>
      </c>
      <c r="V1" s="288" t="str">
        <f t="shared" si="0"/>
        <v>PnL_Sep_2019</v>
      </c>
      <c r="W1" s="288" t="str">
        <f t="shared" si="0"/>
        <v>PnL_Oct_2019</v>
      </c>
      <c r="X1" s="288" t="str">
        <f t="shared" si="0"/>
        <v>PnL_Nov_2019</v>
      </c>
      <c r="Y1" s="288" t="str">
        <f t="shared" si="0"/>
        <v>PnL_Dec_2019</v>
      </c>
      <c r="Z1" s="288" t="str">
        <f t="shared" si="0"/>
        <v>PnL_Jan_2020</v>
      </c>
      <c r="AA1" s="288" t="str">
        <f t="shared" si="0"/>
        <v>PnL_Feb_2020</v>
      </c>
      <c r="AB1" s="288" t="str">
        <f t="shared" si="0"/>
        <v>PnL_Mar_2020</v>
      </c>
      <c r="AC1" s="288" t="str">
        <f t="shared" si="0"/>
        <v>PnL_Apr_2020</v>
      </c>
      <c r="AD1" s="288"/>
      <c r="AE1" s="288"/>
      <c r="AF1" s="288"/>
      <c r="AG1" s="288"/>
      <c r="AH1" s="288"/>
      <c r="AI1" s="288"/>
      <c r="AJ1" s="288"/>
      <c r="AK1" s="288"/>
    </row>
    <row r="2" spans="1:37" ht="18" x14ac:dyDescent="0.25">
      <c r="A2" s="287" t="s">
        <v>434</v>
      </c>
      <c r="B2" s="289"/>
      <c r="C2" s="289"/>
      <c r="D2" s="289"/>
      <c r="E2" s="289"/>
      <c r="F2" s="289"/>
      <c r="G2" s="289"/>
      <c r="H2" s="289"/>
      <c r="I2" s="289"/>
      <c r="J2" s="289"/>
      <c r="K2" s="289"/>
      <c r="L2" s="289"/>
      <c r="M2" s="289"/>
      <c r="N2" s="289"/>
      <c r="O2" s="289"/>
      <c r="P2" s="289"/>
      <c r="Q2" s="289"/>
      <c r="R2" s="289"/>
      <c r="S2" s="289"/>
      <c r="T2" s="289"/>
      <c r="U2" s="289"/>
      <c r="V2" s="289"/>
      <c r="W2" s="289"/>
    </row>
    <row r="3" spans="1:37" ht="15.75" customHeight="1" x14ac:dyDescent="0.2">
      <c r="A3" s="290" t="s">
        <v>435</v>
      </c>
      <c r="B3" s="291"/>
      <c r="C3" s="291"/>
      <c r="D3" s="291"/>
      <c r="E3" s="291"/>
      <c r="F3" s="291"/>
      <c r="G3" s="291"/>
      <c r="H3" s="291"/>
      <c r="I3" s="291"/>
      <c r="J3" s="291"/>
      <c r="K3" s="291"/>
      <c r="L3" s="291"/>
      <c r="M3" s="291"/>
      <c r="N3" s="291"/>
      <c r="O3" s="291"/>
      <c r="P3" s="291"/>
      <c r="Q3" s="291"/>
      <c r="R3" s="291"/>
      <c r="S3" s="291"/>
      <c r="T3" s="291"/>
      <c r="U3" s="291"/>
      <c r="V3" s="291"/>
      <c r="W3" s="291"/>
    </row>
    <row r="4" spans="1:37" ht="15" x14ac:dyDescent="0.25">
      <c r="A4" s="292"/>
      <c r="B4" s="292"/>
      <c r="C4" s="292"/>
      <c r="D4" s="292"/>
      <c r="E4" s="292"/>
      <c r="F4" s="292"/>
      <c r="G4" s="292"/>
      <c r="H4" s="292"/>
      <c r="I4" s="292"/>
      <c r="J4" s="292"/>
      <c r="K4" s="292"/>
      <c r="L4" s="292"/>
      <c r="M4" s="292"/>
      <c r="N4" s="292"/>
      <c r="O4" s="292"/>
      <c r="P4" s="292"/>
      <c r="Q4" s="292"/>
      <c r="R4" s="292"/>
      <c r="S4" s="292"/>
      <c r="T4" s="292"/>
      <c r="U4" s="292"/>
      <c r="V4" s="292"/>
      <c r="W4" s="292"/>
    </row>
    <row r="5" spans="1:37" ht="15" x14ac:dyDescent="0.25">
      <c r="A5" s="293"/>
      <c r="B5" s="294">
        <v>43101</v>
      </c>
      <c r="C5" s="294">
        <v>43132</v>
      </c>
      <c r="D5" s="294">
        <v>43160</v>
      </c>
      <c r="E5" s="294">
        <v>43191</v>
      </c>
      <c r="F5" s="295">
        <v>43221</v>
      </c>
      <c r="G5" s="294">
        <v>43252</v>
      </c>
      <c r="H5" s="294">
        <v>43282</v>
      </c>
      <c r="I5" s="294">
        <v>43313</v>
      </c>
      <c r="J5" s="294">
        <v>43344</v>
      </c>
      <c r="K5" s="294">
        <v>43374</v>
      </c>
      <c r="L5" s="294">
        <v>43405</v>
      </c>
      <c r="M5" s="294">
        <v>43435</v>
      </c>
      <c r="N5" s="294">
        <v>43466</v>
      </c>
      <c r="O5" s="294">
        <v>43497</v>
      </c>
      <c r="P5" s="294">
        <v>43525</v>
      </c>
      <c r="Q5" s="294">
        <v>43556</v>
      </c>
      <c r="R5" s="295">
        <v>43586</v>
      </c>
      <c r="S5" s="294">
        <v>43617</v>
      </c>
      <c r="T5" s="294">
        <v>43647</v>
      </c>
      <c r="U5" s="294">
        <v>43678</v>
      </c>
      <c r="V5" s="294">
        <v>43709</v>
      </c>
      <c r="W5" s="294">
        <v>43739</v>
      </c>
      <c r="X5" s="294">
        <v>43770</v>
      </c>
      <c r="Y5" s="294">
        <v>43800</v>
      </c>
      <c r="Z5" s="294">
        <v>43831</v>
      </c>
      <c r="AA5" s="294">
        <v>43862</v>
      </c>
      <c r="AB5" s="294">
        <v>43891</v>
      </c>
      <c r="AC5" s="294">
        <v>43922</v>
      </c>
    </row>
    <row r="6" spans="1:37" ht="15.75" customHeight="1" x14ac:dyDescent="0.2">
      <c r="A6" s="296" t="s">
        <v>240</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row>
    <row r="7" spans="1:37" ht="15.75" customHeight="1" x14ac:dyDescent="0.2">
      <c r="A7" s="296" t="s">
        <v>436</v>
      </c>
      <c r="B7" s="298">
        <v>303373</v>
      </c>
      <c r="C7" s="298">
        <v>321057</v>
      </c>
      <c r="D7" s="298">
        <v>340521</v>
      </c>
      <c r="E7" s="298">
        <v>360770</v>
      </c>
      <c r="F7" s="298">
        <v>386024</v>
      </c>
      <c r="G7" s="298">
        <v>401465</v>
      </c>
      <c r="H7" s="298">
        <v>424939</v>
      </c>
      <c r="I7" s="298">
        <v>438925</v>
      </c>
      <c r="J7" s="298">
        <v>452768</v>
      </c>
      <c r="K7" s="298">
        <v>465957</v>
      </c>
      <c r="L7" s="298">
        <v>479118</v>
      </c>
      <c r="M7" s="298">
        <v>491501</v>
      </c>
      <c r="N7" s="298">
        <v>505058</v>
      </c>
      <c r="O7" s="298">
        <v>525437</v>
      </c>
      <c r="P7" s="298">
        <v>542733</v>
      </c>
      <c r="Q7" s="298">
        <v>598887</v>
      </c>
      <c r="R7" s="298">
        <v>614053</v>
      </c>
      <c r="S7" s="298">
        <v>637488</v>
      </c>
      <c r="T7" s="298">
        <v>657516</v>
      </c>
      <c r="U7" s="298">
        <v>685483</v>
      </c>
      <c r="V7" s="298">
        <v>718774</v>
      </c>
      <c r="W7" s="298">
        <v>754542</v>
      </c>
      <c r="X7" s="298">
        <v>787554</v>
      </c>
      <c r="Y7" s="298">
        <v>808046</v>
      </c>
      <c r="Z7" s="298">
        <v>824529</v>
      </c>
      <c r="AA7" s="298">
        <v>844626</v>
      </c>
      <c r="AB7" s="298">
        <v>819162.19</v>
      </c>
      <c r="AC7" s="298">
        <v>796507</v>
      </c>
    </row>
    <row r="8" spans="1:37" ht="15.75" customHeight="1" x14ac:dyDescent="0.2">
      <c r="A8" s="296" t="s">
        <v>242</v>
      </c>
      <c r="B8" s="299">
        <v>303373</v>
      </c>
      <c r="C8" s="299">
        <v>321057</v>
      </c>
      <c r="D8" s="299">
        <v>340521</v>
      </c>
      <c r="E8" s="299">
        <v>360770</v>
      </c>
      <c r="F8" s="299">
        <v>386024</v>
      </c>
      <c r="G8" s="299">
        <v>401465</v>
      </c>
      <c r="H8" s="299">
        <v>424939</v>
      </c>
      <c r="I8" s="299">
        <v>438925</v>
      </c>
      <c r="J8" s="299">
        <v>452768</v>
      </c>
      <c r="K8" s="299">
        <v>465957</v>
      </c>
      <c r="L8" s="299">
        <v>479118</v>
      </c>
      <c r="M8" s="299">
        <v>491501</v>
      </c>
      <c r="N8" s="299">
        <v>505058</v>
      </c>
      <c r="O8" s="299">
        <v>525437</v>
      </c>
      <c r="P8" s="299">
        <v>542733</v>
      </c>
      <c r="Q8" s="299">
        <v>598887</v>
      </c>
      <c r="R8" s="299">
        <v>614053</v>
      </c>
      <c r="S8" s="299">
        <v>637488</v>
      </c>
      <c r="T8" s="299">
        <v>657516</v>
      </c>
      <c r="U8" s="299">
        <v>685483</v>
      </c>
      <c r="V8" s="299">
        <v>718774</v>
      </c>
      <c r="W8" s="299">
        <v>754542</v>
      </c>
      <c r="X8" s="299">
        <v>787554</v>
      </c>
      <c r="Y8" s="299">
        <v>808046</v>
      </c>
      <c r="Z8" s="299">
        <v>824529</v>
      </c>
      <c r="AA8" s="299">
        <v>844626</v>
      </c>
      <c r="AB8" s="299">
        <v>819162.19</v>
      </c>
      <c r="AC8" s="299">
        <v>796507</v>
      </c>
    </row>
    <row r="9" spans="1:37" ht="15.75" customHeight="1" x14ac:dyDescent="0.2">
      <c r="A9" s="296" t="s">
        <v>437</v>
      </c>
      <c r="B9" s="297"/>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7" ht="15.75" customHeight="1" x14ac:dyDescent="0.2">
      <c r="A10" s="296" t="s">
        <v>438</v>
      </c>
      <c r="B10" s="297"/>
      <c r="C10" s="297"/>
      <c r="D10" s="297"/>
      <c r="E10" s="297"/>
      <c r="F10" s="297"/>
      <c r="G10" s="297"/>
      <c r="H10" s="297"/>
      <c r="I10" s="297"/>
      <c r="J10" s="297"/>
      <c r="K10" s="297"/>
      <c r="L10" s="297"/>
      <c r="M10" s="297"/>
      <c r="N10" s="297"/>
      <c r="O10" s="297"/>
      <c r="P10" s="297"/>
      <c r="Q10" s="297"/>
      <c r="R10" s="297"/>
      <c r="S10" s="297"/>
      <c r="T10" s="297"/>
      <c r="U10" s="297"/>
      <c r="V10" s="297"/>
      <c r="W10" s="300"/>
      <c r="X10" s="297"/>
      <c r="Y10" s="297"/>
      <c r="Z10" s="297"/>
      <c r="AA10" s="297"/>
      <c r="AB10" s="297"/>
      <c r="AC10" s="297"/>
    </row>
    <row r="11" spans="1:37" ht="15.75" customHeight="1" x14ac:dyDescent="0.2">
      <c r="A11" s="296" t="s">
        <v>439</v>
      </c>
      <c r="B11" s="297"/>
      <c r="C11" s="297"/>
      <c r="D11" s="297"/>
      <c r="E11" s="297"/>
      <c r="F11" s="297"/>
      <c r="G11" s="297"/>
      <c r="H11" s="297"/>
      <c r="I11" s="297"/>
      <c r="J11" s="297"/>
      <c r="K11" s="297"/>
      <c r="L11" s="297"/>
      <c r="M11" s="297"/>
      <c r="N11" s="297"/>
      <c r="O11" s="297"/>
      <c r="P11" s="297"/>
      <c r="Q11" s="297"/>
      <c r="R11" s="297"/>
      <c r="S11" s="297"/>
      <c r="T11" s="297"/>
      <c r="U11" s="297"/>
      <c r="V11" s="297"/>
      <c r="W11" s="300"/>
      <c r="X11" s="297"/>
      <c r="Y11" s="297"/>
      <c r="Z11" s="297"/>
      <c r="AA11" s="297"/>
      <c r="AB11" s="297"/>
      <c r="AC11" s="297"/>
    </row>
    <row r="12" spans="1:37" ht="15.75" customHeight="1" x14ac:dyDescent="0.2">
      <c r="A12" s="296" t="s">
        <v>440</v>
      </c>
      <c r="B12" s="301">
        <v>985</v>
      </c>
      <c r="C12" s="301">
        <v>985</v>
      </c>
      <c r="D12" s="301">
        <v>985</v>
      </c>
      <c r="E12" s="298">
        <v>1182</v>
      </c>
      <c r="F12" s="298">
        <v>1182</v>
      </c>
      <c r="G12" s="298">
        <v>1182</v>
      </c>
      <c r="H12" s="298">
        <v>1379</v>
      </c>
      <c r="I12" s="298">
        <v>1379</v>
      </c>
      <c r="J12" s="298">
        <v>1576</v>
      </c>
      <c r="K12" s="298">
        <v>1576</v>
      </c>
      <c r="L12" s="298">
        <v>1576</v>
      </c>
      <c r="M12" s="298">
        <v>1773</v>
      </c>
      <c r="N12" s="298">
        <v>1773</v>
      </c>
      <c r="O12" s="298">
        <v>1773</v>
      </c>
      <c r="P12" s="298">
        <v>1773</v>
      </c>
      <c r="Q12" s="298">
        <v>2773</v>
      </c>
      <c r="R12" s="298">
        <v>2973</v>
      </c>
      <c r="S12" s="298">
        <v>2973</v>
      </c>
      <c r="T12" s="298">
        <v>2973</v>
      </c>
      <c r="U12" s="298">
        <v>2973</v>
      </c>
      <c r="V12" s="298">
        <v>2973</v>
      </c>
      <c r="W12" s="298">
        <v>2973</v>
      </c>
      <c r="X12" s="298">
        <v>2973</v>
      </c>
      <c r="Y12" s="298">
        <v>2973</v>
      </c>
      <c r="Z12" s="298">
        <v>2973</v>
      </c>
      <c r="AA12" s="298">
        <v>2973</v>
      </c>
      <c r="AB12" s="298">
        <v>2973</v>
      </c>
      <c r="AC12" s="298">
        <v>2973</v>
      </c>
    </row>
    <row r="13" spans="1:37" ht="15.75" customHeight="1" x14ac:dyDescent="0.2">
      <c r="A13" s="296" t="s">
        <v>441</v>
      </c>
      <c r="B13" s="298">
        <v>2340</v>
      </c>
      <c r="C13" s="298">
        <v>2340</v>
      </c>
      <c r="D13" s="298">
        <v>2340</v>
      </c>
      <c r="E13" s="298">
        <v>2808</v>
      </c>
      <c r="F13" s="298">
        <v>2808</v>
      </c>
      <c r="G13" s="298">
        <v>2808</v>
      </c>
      <c r="H13" s="298">
        <v>3258</v>
      </c>
      <c r="I13" s="298">
        <v>3258</v>
      </c>
      <c r="J13" s="298">
        <v>3699</v>
      </c>
      <c r="K13" s="298">
        <v>3699</v>
      </c>
      <c r="L13" s="298">
        <v>3699</v>
      </c>
      <c r="M13" s="298">
        <v>5067</v>
      </c>
      <c r="N13" s="298">
        <v>5067</v>
      </c>
      <c r="O13" s="298">
        <v>5067</v>
      </c>
      <c r="P13" s="298">
        <v>5067</v>
      </c>
      <c r="Q13" s="298">
        <v>5067</v>
      </c>
      <c r="R13" s="298">
        <v>5567</v>
      </c>
      <c r="S13" s="298">
        <v>5567</v>
      </c>
      <c r="T13" s="298">
        <v>5567</v>
      </c>
      <c r="U13" s="298">
        <v>5567</v>
      </c>
      <c r="V13" s="298">
        <v>5567</v>
      </c>
      <c r="W13" s="298">
        <v>5567</v>
      </c>
      <c r="X13" s="298">
        <v>5567</v>
      </c>
      <c r="Y13" s="298">
        <v>5567</v>
      </c>
      <c r="Z13" s="298">
        <v>5567</v>
      </c>
      <c r="AA13" s="298">
        <v>5567</v>
      </c>
      <c r="AB13" s="298">
        <v>5567</v>
      </c>
      <c r="AC13" s="298">
        <v>5567</v>
      </c>
    </row>
    <row r="14" spans="1:37" ht="15.75" customHeight="1" x14ac:dyDescent="0.2">
      <c r="A14" s="296" t="s">
        <v>442</v>
      </c>
      <c r="B14" s="298">
        <v>26000</v>
      </c>
      <c r="C14" s="298">
        <v>26000</v>
      </c>
      <c r="D14" s="298">
        <v>26000</v>
      </c>
      <c r="E14" s="298">
        <v>31200</v>
      </c>
      <c r="F14" s="298">
        <v>31200</v>
      </c>
      <c r="G14" s="298">
        <v>31200</v>
      </c>
      <c r="H14" s="298">
        <v>36200</v>
      </c>
      <c r="I14" s="298">
        <v>36200</v>
      </c>
      <c r="J14" s="298">
        <v>41100</v>
      </c>
      <c r="K14" s="298">
        <v>41100</v>
      </c>
      <c r="L14" s="298">
        <v>41100</v>
      </c>
      <c r="M14" s="298">
        <v>56300</v>
      </c>
      <c r="N14" s="298">
        <v>56300</v>
      </c>
      <c r="O14" s="298">
        <v>56500</v>
      </c>
      <c r="P14" s="298">
        <v>56500</v>
      </c>
      <c r="Q14" s="298">
        <v>56500</v>
      </c>
      <c r="R14" s="298">
        <v>59501</v>
      </c>
      <c r="S14" s="298">
        <v>59501</v>
      </c>
      <c r="T14" s="298">
        <v>59501</v>
      </c>
      <c r="U14" s="298">
        <v>59501</v>
      </c>
      <c r="V14" s="298">
        <v>59501</v>
      </c>
      <c r="W14" s="298">
        <v>59501</v>
      </c>
      <c r="X14" s="298">
        <v>59501</v>
      </c>
      <c r="Y14" s="298">
        <v>59501</v>
      </c>
      <c r="Z14" s="298">
        <v>59501</v>
      </c>
      <c r="AA14" s="298">
        <v>59501</v>
      </c>
      <c r="AB14" s="298">
        <v>59501</v>
      </c>
      <c r="AC14" s="298">
        <v>59501</v>
      </c>
    </row>
    <row r="15" spans="1:37" ht="15.75" customHeight="1" x14ac:dyDescent="0.2">
      <c r="A15" s="296" t="s">
        <v>443</v>
      </c>
      <c r="B15" s="299">
        <v>29325</v>
      </c>
      <c r="C15" s="299">
        <v>29325</v>
      </c>
      <c r="D15" s="299">
        <v>29325</v>
      </c>
      <c r="E15" s="299">
        <v>35190</v>
      </c>
      <c r="F15" s="299">
        <v>35190</v>
      </c>
      <c r="G15" s="299">
        <v>35190</v>
      </c>
      <c r="H15" s="299">
        <v>40837</v>
      </c>
      <c r="I15" s="299">
        <v>40837</v>
      </c>
      <c r="J15" s="299">
        <v>46375</v>
      </c>
      <c r="K15" s="299">
        <v>46375</v>
      </c>
      <c r="L15" s="299">
        <v>46375</v>
      </c>
      <c r="M15" s="299">
        <v>63140</v>
      </c>
      <c r="N15" s="299">
        <v>63140</v>
      </c>
      <c r="O15" s="299">
        <v>63340</v>
      </c>
      <c r="P15" s="299">
        <v>63340</v>
      </c>
      <c r="Q15" s="299">
        <v>64340</v>
      </c>
      <c r="R15" s="299">
        <v>68041</v>
      </c>
      <c r="S15" s="299">
        <v>68041</v>
      </c>
      <c r="T15" s="299">
        <v>68041</v>
      </c>
      <c r="U15" s="299">
        <v>68041</v>
      </c>
      <c r="V15" s="299">
        <v>68041</v>
      </c>
      <c r="W15" s="299">
        <v>68041</v>
      </c>
      <c r="X15" s="299">
        <v>68041</v>
      </c>
      <c r="Y15" s="299">
        <v>68041</v>
      </c>
      <c r="Z15" s="299">
        <v>68041</v>
      </c>
      <c r="AA15" s="299">
        <v>68041</v>
      </c>
      <c r="AB15" s="299">
        <v>68041</v>
      </c>
      <c r="AC15" s="299">
        <v>68041</v>
      </c>
    </row>
    <row r="16" spans="1:37" ht="15.75" customHeight="1" x14ac:dyDescent="0.2">
      <c r="A16" s="296" t="s">
        <v>444</v>
      </c>
      <c r="B16" s="298">
        <v>4958</v>
      </c>
      <c r="C16" s="298">
        <v>5068</v>
      </c>
      <c r="D16" s="298">
        <v>5152</v>
      </c>
      <c r="E16" s="298">
        <v>5195</v>
      </c>
      <c r="F16" s="298">
        <v>5317</v>
      </c>
      <c r="G16" s="298">
        <v>5443</v>
      </c>
      <c r="H16" s="298">
        <v>5525</v>
      </c>
      <c r="I16" s="298">
        <v>5460</v>
      </c>
      <c r="J16" s="298">
        <v>5320</v>
      </c>
      <c r="K16" s="298">
        <v>5497</v>
      </c>
      <c r="L16" s="298">
        <v>5687</v>
      </c>
      <c r="M16" s="298">
        <v>5824</v>
      </c>
      <c r="N16" s="298">
        <v>4830</v>
      </c>
      <c r="O16" s="298">
        <v>6476</v>
      </c>
      <c r="P16" s="298">
        <v>6788</v>
      </c>
      <c r="Q16" s="298">
        <v>6788</v>
      </c>
      <c r="R16" s="298">
        <v>7214</v>
      </c>
      <c r="S16" s="298">
        <v>7433</v>
      </c>
      <c r="T16" s="298">
        <v>7296</v>
      </c>
      <c r="U16" s="298">
        <v>7521</v>
      </c>
      <c r="V16" s="298">
        <v>7521</v>
      </c>
      <c r="W16" s="298">
        <v>7521</v>
      </c>
      <c r="X16" s="298">
        <v>7599</v>
      </c>
      <c r="Y16" s="298">
        <v>8976</v>
      </c>
      <c r="Z16" s="298">
        <v>8976</v>
      </c>
      <c r="AA16" s="298">
        <v>8155</v>
      </c>
      <c r="AB16" s="298">
        <v>7155</v>
      </c>
      <c r="AC16" s="298">
        <v>6974</v>
      </c>
    </row>
    <row r="17" spans="1:29" ht="15.75" customHeight="1" x14ac:dyDescent="0.2">
      <c r="A17" s="296" t="s">
        <v>445</v>
      </c>
      <c r="B17" s="299">
        <v>34283</v>
      </c>
      <c r="C17" s="299">
        <v>34393</v>
      </c>
      <c r="D17" s="299">
        <v>34477</v>
      </c>
      <c r="E17" s="299">
        <v>40385</v>
      </c>
      <c r="F17" s="299">
        <v>40507</v>
      </c>
      <c r="G17" s="299">
        <v>40633</v>
      </c>
      <c r="H17" s="299">
        <v>46362</v>
      </c>
      <c r="I17" s="299">
        <v>46297</v>
      </c>
      <c r="J17" s="299">
        <v>51695</v>
      </c>
      <c r="K17" s="299">
        <v>51872</v>
      </c>
      <c r="L17" s="299">
        <v>52062</v>
      </c>
      <c r="M17" s="299">
        <v>68964</v>
      </c>
      <c r="N17" s="299">
        <v>67970</v>
      </c>
      <c r="O17" s="299">
        <v>69816</v>
      </c>
      <c r="P17" s="299">
        <v>70128</v>
      </c>
      <c r="Q17" s="299">
        <v>71128</v>
      </c>
      <c r="R17" s="299">
        <v>75255</v>
      </c>
      <c r="S17" s="299">
        <v>75474</v>
      </c>
      <c r="T17" s="299">
        <v>75337</v>
      </c>
      <c r="U17" s="299">
        <v>75562</v>
      </c>
      <c r="V17" s="299">
        <v>75562</v>
      </c>
      <c r="W17" s="299">
        <v>75562</v>
      </c>
      <c r="X17" s="299">
        <v>75640</v>
      </c>
      <c r="Y17" s="299">
        <v>77017</v>
      </c>
      <c r="Z17" s="299">
        <v>77017</v>
      </c>
      <c r="AA17" s="299">
        <v>76196</v>
      </c>
      <c r="AB17" s="299">
        <v>75196</v>
      </c>
      <c r="AC17" s="299">
        <v>75015</v>
      </c>
    </row>
    <row r="18" spans="1:29" ht="15.75" customHeight="1" x14ac:dyDescent="0.2">
      <c r="A18" s="296" t="s">
        <v>446</v>
      </c>
      <c r="B18" s="297"/>
      <c r="C18" s="297"/>
      <c r="D18" s="297"/>
      <c r="E18" s="297"/>
      <c r="F18" s="297"/>
      <c r="G18" s="297"/>
      <c r="H18" s="297"/>
      <c r="I18" s="297"/>
      <c r="J18" s="297"/>
      <c r="K18" s="297"/>
      <c r="L18" s="297"/>
      <c r="M18" s="297"/>
      <c r="N18" s="297"/>
      <c r="O18" s="297"/>
      <c r="P18" s="297"/>
      <c r="Q18" s="297"/>
      <c r="R18" s="297"/>
      <c r="S18" s="297"/>
      <c r="T18" s="297"/>
      <c r="U18" s="297"/>
      <c r="V18" s="297"/>
      <c r="W18" s="300"/>
      <c r="X18" s="297"/>
      <c r="Y18" s="297"/>
      <c r="Z18" s="297"/>
      <c r="AA18" s="297"/>
      <c r="AB18" s="297"/>
      <c r="AC18" s="297"/>
    </row>
    <row r="19" spans="1:29" ht="15.75" customHeight="1" x14ac:dyDescent="0.2">
      <c r="A19" s="296" t="s">
        <v>447</v>
      </c>
      <c r="B19" s="298">
        <v>30517</v>
      </c>
      <c r="C19" s="298">
        <v>32284</v>
      </c>
      <c r="D19" s="298">
        <v>35963</v>
      </c>
      <c r="E19" s="298">
        <v>36287</v>
      </c>
      <c r="F19" s="298">
        <v>38013</v>
      </c>
      <c r="G19" s="298">
        <v>38336</v>
      </c>
      <c r="H19" s="298">
        <v>39177</v>
      </c>
      <c r="I19" s="298">
        <v>40408</v>
      </c>
      <c r="J19" s="298">
        <v>38739</v>
      </c>
      <c r="K19" s="298">
        <v>44005</v>
      </c>
      <c r="L19" s="298">
        <v>44227</v>
      </c>
      <c r="M19" s="298">
        <v>44405</v>
      </c>
      <c r="N19" s="298">
        <v>43894</v>
      </c>
      <c r="O19" s="298">
        <v>41517</v>
      </c>
      <c r="P19" s="298">
        <v>44678</v>
      </c>
      <c r="Q19" s="298">
        <v>44685</v>
      </c>
      <c r="R19" s="298">
        <v>48061</v>
      </c>
      <c r="S19" s="298">
        <v>46218</v>
      </c>
      <c r="T19" s="298">
        <v>47477</v>
      </c>
      <c r="U19" s="298">
        <v>49233</v>
      </c>
      <c r="V19" s="298">
        <v>51225</v>
      </c>
      <c r="W19" s="298">
        <v>57243</v>
      </c>
      <c r="X19" s="298">
        <v>62451</v>
      </c>
      <c r="Y19" s="298">
        <v>65739</v>
      </c>
      <c r="Z19" s="298">
        <v>67542</v>
      </c>
      <c r="AA19" s="298">
        <v>71275</v>
      </c>
      <c r="AB19" s="298">
        <v>71648</v>
      </c>
      <c r="AC19" s="298">
        <v>70756</v>
      </c>
    </row>
    <row r="20" spans="1:29" ht="15.75" customHeight="1" x14ac:dyDescent="0.2">
      <c r="A20" s="296" t="s">
        <v>448</v>
      </c>
      <c r="B20" s="299">
        <v>30517</v>
      </c>
      <c r="C20" s="299">
        <v>32284</v>
      </c>
      <c r="D20" s="299">
        <v>35963</v>
      </c>
      <c r="E20" s="299">
        <v>36287</v>
      </c>
      <c r="F20" s="299">
        <v>38013</v>
      </c>
      <c r="G20" s="299">
        <v>38336</v>
      </c>
      <c r="H20" s="299">
        <v>39177</v>
      </c>
      <c r="I20" s="299">
        <v>40408</v>
      </c>
      <c r="J20" s="299">
        <v>38739</v>
      </c>
      <c r="K20" s="299">
        <v>44005</v>
      </c>
      <c r="L20" s="299">
        <v>44227</v>
      </c>
      <c r="M20" s="299">
        <v>44405</v>
      </c>
      <c r="N20" s="299">
        <v>43894</v>
      </c>
      <c r="O20" s="299">
        <v>41517</v>
      </c>
      <c r="P20" s="299">
        <v>44678</v>
      </c>
      <c r="Q20" s="299">
        <v>44685</v>
      </c>
      <c r="R20" s="299">
        <v>48061</v>
      </c>
      <c r="S20" s="299">
        <v>46218</v>
      </c>
      <c r="T20" s="299">
        <v>47477</v>
      </c>
      <c r="U20" s="299">
        <v>49233</v>
      </c>
      <c r="V20" s="299">
        <v>51225</v>
      </c>
      <c r="W20" s="299">
        <v>57243</v>
      </c>
      <c r="X20" s="299">
        <v>62451</v>
      </c>
      <c r="Y20" s="299">
        <v>65739</v>
      </c>
      <c r="Z20" s="299">
        <v>67542</v>
      </c>
      <c r="AA20" s="299">
        <v>71275</v>
      </c>
      <c r="AB20" s="299">
        <v>71648</v>
      </c>
      <c r="AC20" s="299">
        <v>70756</v>
      </c>
    </row>
    <row r="21" spans="1:29" ht="15.75" customHeight="1" x14ac:dyDescent="0.2">
      <c r="A21" s="296" t="s">
        <v>449</v>
      </c>
      <c r="B21" s="299">
        <v>64800</v>
      </c>
      <c r="C21" s="299">
        <v>66677</v>
      </c>
      <c r="D21" s="299">
        <v>70440</v>
      </c>
      <c r="E21" s="299">
        <v>76672</v>
      </c>
      <c r="F21" s="299">
        <v>78520</v>
      </c>
      <c r="G21" s="299">
        <v>78969</v>
      </c>
      <c r="H21" s="299">
        <v>85539</v>
      </c>
      <c r="I21" s="299">
        <v>86705</v>
      </c>
      <c r="J21" s="299">
        <v>90434</v>
      </c>
      <c r="K21" s="299">
        <v>95877</v>
      </c>
      <c r="L21" s="299">
        <v>96289</v>
      </c>
      <c r="M21" s="299">
        <v>113369</v>
      </c>
      <c r="N21" s="299">
        <v>111864</v>
      </c>
      <c r="O21" s="299">
        <v>111333</v>
      </c>
      <c r="P21" s="299">
        <v>114806</v>
      </c>
      <c r="Q21" s="299">
        <v>115813</v>
      </c>
      <c r="R21" s="299">
        <v>123316</v>
      </c>
      <c r="S21" s="299">
        <v>121692</v>
      </c>
      <c r="T21" s="299">
        <v>122814</v>
      </c>
      <c r="U21" s="299">
        <v>124795</v>
      </c>
      <c r="V21" s="299">
        <v>126787</v>
      </c>
      <c r="W21" s="299">
        <v>132805</v>
      </c>
      <c r="X21" s="299">
        <v>138091</v>
      </c>
      <c r="Y21" s="299">
        <v>142756</v>
      </c>
      <c r="Z21" s="299">
        <v>144559</v>
      </c>
      <c r="AA21" s="299">
        <v>147471</v>
      </c>
      <c r="AB21" s="299">
        <v>146844</v>
      </c>
      <c r="AC21" s="299">
        <v>145771</v>
      </c>
    </row>
    <row r="22" spans="1:29" ht="15.75" customHeight="1" x14ac:dyDescent="0.2">
      <c r="A22" s="296" t="s">
        <v>16</v>
      </c>
      <c r="B22" s="299">
        <v>238573</v>
      </c>
      <c r="C22" s="299">
        <v>254380</v>
      </c>
      <c r="D22" s="299">
        <v>270081</v>
      </c>
      <c r="E22" s="299">
        <v>284098</v>
      </c>
      <c r="F22" s="299">
        <v>307504</v>
      </c>
      <c r="G22" s="299">
        <v>322496</v>
      </c>
      <c r="H22" s="299">
        <v>339400</v>
      </c>
      <c r="I22" s="299">
        <v>352220</v>
      </c>
      <c r="J22" s="299">
        <v>362334</v>
      </c>
      <c r="K22" s="299">
        <v>370080</v>
      </c>
      <c r="L22" s="299">
        <v>382829</v>
      </c>
      <c r="M22" s="299">
        <v>378132</v>
      </c>
      <c r="N22" s="299">
        <v>393194</v>
      </c>
      <c r="O22" s="299">
        <v>414104</v>
      </c>
      <c r="P22" s="299">
        <v>427927</v>
      </c>
      <c r="Q22" s="299">
        <v>483074</v>
      </c>
      <c r="R22" s="299">
        <v>490737</v>
      </c>
      <c r="S22" s="299">
        <v>515796</v>
      </c>
      <c r="T22" s="299">
        <v>534702</v>
      </c>
      <c r="U22" s="299">
        <v>560688</v>
      </c>
      <c r="V22" s="299">
        <v>591987</v>
      </c>
      <c r="W22" s="299">
        <v>621737</v>
      </c>
      <c r="X22" s="299">
        <v>649463</v>
      </c>
      <c r="Y22" s="299">
        <v>665290</v>
      </c>
      <c r="Z22" s="299">
        <v>679970</v>
      </c>
      <c r="AA22" s="299">
        <v>697155</v>
      </c>
      <c r="AB22" s="299">
        <v>672318.19</v>
      </c>
      <c r="AC22" s="299">
        <v>650736</v>
      </c>
    </row>
    <row r="23" spans="1:29" ht="15.75" customHeight="1" x14ac:dyDescent="0.2">
      <c r="A23" s="296" t="s">
        <v>18</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row>
    <row r="24" spans="1:29" ht="15.75" customHeight="1" x14ac:dyDescent="0.2">
      <c r="A24" s="296" t="s">
        <v>72</v>
      </c>
      <c r="B24" s="297"/>
      <c r="C24" s="297"/>
      <c r="D24" s="297"/>
      <c r="E24" s="297"/>
      <c r="F24" s="297"/>
      <c r="G24" s="297"/>
      <c r="H24" s="297"/>
      <c r="I24" s="297"/>
      <c r="J24" s="297"/>
      <c r="K24" s="297"/>
      <c r="L24" s="297"/>
      <c r="M24" s="297"/>
      <c r="N24" s="297"/>
      <c r="O24" s="297"/>
      <c r="P24" s="297"/>
      <c r="Q24" s="297"/>
      <c r="R24" s="297"/>
      <c r="S24" s="297"/>
      <c r="T24" s="297"/>
      <c r="U24" s="297"/>
      <c r="V24" s="297"/>
      <c r="W24" s="300"/>
      <c r="X24" s="297"/>
      <c r="Y24" s="297"/>
      <c r="Z24" s="297"/>
      <c r="AA24" s="297"/>
      <c r="AB24" s="297"/>
      <c r="AC24" s="297"/>
    </row>
    <row r="25" spans="1:29" ht="15.75" customHeight="1" x14ac:dyDescent="0.2">
      <c r="A25" s="296" t="s">
        <v>450</v>
      </c>
      <c r="B25" s="302"/>
      <c r="C25" s="302"/>
      <c r="D25" s="302"/>
      <c r="E25" s="302"/>
      <c r="F25" s="302"/>
      <c r="G25" s="302"/>
      <c r="H25" s="302"/>
      <c r="I25" s="302"/>
      <c r="J25" s="302"/>
      <c r="K25" s="302"/>
      <c r="L25" s="302"/>
      <c r="M25" s="302"/>
      <c r="N25" s="302"/>
      <c r="O25" s="302"/>
      <c r="P25" s="302"/>
      <c r="Q25" s="302"/>
      <c r="R25" s="302"/>
      <c r="S25" s="302"/>
      <c r="T25" s="298">
        <v>154</v>
      </c>
      <c r="U25" s="298">
        <v>143</v>
      </c>
      <c r="V25" s="298">
        <v>195</v>
      </c>
      <c r="W25" s="298">
        <v>123</v>
      </c>
      <c r="X25" s="301">
        <v>164</v>
      </c>
      <c r="Y25" s="301">
        <v>153</v>
      </c>
      <c r="Z25" s="301">
        <v>149</v>
      </c>
      <c r="AA25" s="301">
        <v>124</v>
      </c>
      <c r="AB25" s="301">
        <v>124</v>
      </c>
      <c r="AC25" s="301">
        <v>111</v>
      </c>
    </row>
    <row r="26" spans="1:29" ht="15.75" customHeight="1" x14ac:dyDescent="0.2">
      <c r="A26" s="296" t="s">
        <v>451</v>
      </c>
      <c r="B26" s="301">
        <v>770</v>
      </c>
      <c r="C26" s="301">
        <v>947</v>
      </c>
      <c r="D26" s="301">
        <v>574</v>
      </c>
      <c r="E26" s="301">
        <v>761</v>
      </c>
      <c r="F26" s="301">
        <v>823</v>
      </c>
      <c r="G26" s="301">
        <v>712</v>
      </c>
      <c r="H26" s="301">
        <v>788</v>
      </c>
      <c r="I26" s="301">
        <v>830</v>
      </c>
      <c r="J26" s="301">
        <v>893</v>
      </c>
      <c r="K26" s="301">
        <v>840</v>
      </c>
      <c r="L26" s="301">
        <v>815</v>
      </c>
      <c r="M26" s="301">
        <v>924</v>
      </c>
      <c r="N26" s="301">
        <v>871</v>
      </c>
      <c r="O26" s="301">
        <v>445</v>
      </c>
      <c r="P26" s="301">
        <v>755</v>
      </c>
      <c r="Q26" s="301">
        <v>730</v>
      </c>
      <c r="R26" s="301">
        <v>655</v>
      </c>
      <c r="S26" s="301">
        <v>680</v>
      </c>
      <c r="T26" s="301">
        <v>709</v>
      </c>
      <c r="U26" s="301">
        <v>731</v>
      </c>
      <c r="V26" s="301">
        <v>755</v>
      </c>
      <c r="W26" s="298">
        <v>756</v>
      </c>
      <c r="X26" s="301">
        <v>842</v>
      </c>
      <c r="Y26" s="301">
        <v>764</v>
      </c>
      <c r="Z26" s="301">
        <v>877</v>
      </c>
      <c r="AA26" s="298">
        <v>9123</v>
      </c>
      <c r="AB26" s="298">
        <v>8700</v>
      </c>
      <c r="AC26" s="298">
        <v>8245</v>
      </c>
    </row>
    <row r="27" spans="1:29" ht="15.75" customHeight="1" x14ac:dyDescent="0.2">
      <c r="A27" s="296" t="s">
        <v>452</v>
      </c>
      <c r="B27" s="298">
        <v>1774</v>
      </c>
      <c r="C27" s="298">
        <v>1642</v>
      </c>
      <c r="D27" s="298">
        <v>1544</v>
      </c>
      <c r="E27" s="298">
        <v>1737</v>
      </c>
      <c r="F27" s="298">
        <v>1912</v>
      </c>
      <c r="G27" s="298">
        <v>1989</v>
      </c>
      <c r="H27" s="298">
        <v>2153</v>
      </c>
      <c r="I27" s="298">
        <v>1890</v>
      </c>
      <c r="J27" s="298">
        <v>2040</v>
      </c>
      <c r="K27" s="298">
        <v>2285</v>
      </c>
      <c r="L27" s="298">
        <v>2327</v>
      </c>
      <c r="M27" s="298">
        <v>2358</v>
      </c>
      <c r="N27" s="298">
        <v>2288</v>
      </c>
      <c r="O27" s="298">
        <v>3455</v>
      </c>
      <c r="P27" s="298">
        <v>3571</v>
      </c>
      <c r="Q27" s="298">
        <v>3571</v>
      </c>
      <c r="R27" s="298">
        <v>2910</v>
      </c>
      <c r="S27" s="298">
        <v>3387</v>
      </c>
      <c r="T27" s="298">
        <v>3266</v>
      </c>
      <c r="U27" s="298">
        <v>3197</v>
      </c>
      <c r="V27" s="298">
        <v>2907</v>
      </c>
      <c r="W27" s="298">
        <v>2467</v>
      </c>
      <c r="X27" s="298">
        <v>2463</v>
      </c>
      <c r="Y27" s="298">
        <v>3759</v>
      </c>
      <c r="Z27" s="298">
        <v>4212</v>
      </c>
      <c r="AA27" s="298">
        <v>3795</v>
      </c>
      <c r="AB27" s="298">
        <v>3674</v>
      </c>
      <c r="AC27" s="298">
        <v>3210</v>
      </c>
    </row>
    <row r="28" spans="1:29" ht="15.75" customHeight="1" x14ac:dyDescent="0.2">
      <c r="A28" s="296" t="s">
        <v>453</v>
      </c>
      <c r="B28" s="298">
        <v>663</v>
      </c>
      <c r="C28" s="298">
        <v>663</v>
      </c>
      <c r="D28" s="298">
        <v>663</v>
      </c>
      <c r="E28" s="298">
        <v>663</v>
      </c>
      <c r="F28" s="298">
        <v>663</v>
      </c>
      <c r="G28" s="298">
        <v>663</v>
      </c>
      <c r="H28" s="298">
        <v>663</v>
      </c>
      <c r="I28" s="298">
        <v>700</v>
      </c>
      <c r="J28" s="298">
        <v>700</v>
      </c>
      <c r="K28" s="298">
        <v>700</v>
      </c>
      <c r="L28" s="298">
        <v>700</v>
      </c>
      <c r="M28" s="298">
        <v>700</v>
      </c>
      <c r="N28" s="298">
        <v>750</v>
      </c>
      <c r="O28" s="298">
        <v>750</v>
      </c>
      <c r="P28" s="298">
        <v>750</v>
      </c>
      <c r="Q28" s="298">
        <v>750</v>
      </c>
      <c r="R28" s="298">
        <v>750</v>
      </c>
      <c r="S28" s="298">
        <v>750</v>
      </c>
      <c r="T28" s="298">
        <v>750</v>
      </c>
      <c r="U28" s="298">
        <v>800</v>
      </c>
      <c r="V28" s="298">
        <v>800</v>
      </c>
      <c r="W28" s="298">
        <v>800</v>
      </c>
      <c r="X28" s="301">
        <v>800</v>
      </c>
      <c r="Y28" s="301">
        <v>800</v>
      </c>
      <c r="Z28" s="301">
        <v>800</v>
      </c>
      <c r="AA28" s="301">
        <v>800</v>
      </c>
      <c r="AB28" s="301">
        <v>800</v>
      </c>
      <c r="AC28" s="301">
        <v>800</v>
      </c>
    </row>
    <row r="29" spans="1:29" ht="15.75" customHeight="1" x14ac:dyDescent="0.2">
      <c r="A29" s="296" t="s">
        <v>454</v>
      </c>
      <c r="B29" s="302"/>
      <c r="C29" s="302"/>
      <c r="D29" s="302"/>
      <c r="E29" s="302"/>
      <c r="F29" s="302"/>
      <c r="G29" s="302"/>
      <c r="H29" s="302"/>
      <c r="I29" s="302"/>
      <c r="J29" s="302"/>
      <c r="K29" s="302"/>
      <c r="L29" s="302"/>
      <c r="M29" s="302"/>
      <c r="N29" s="302"/>
      <c r="O29" s="302"/>
      <c r="P29" s="302"/>
      <c r="Q29" s="302"/>
      <c r="R29" s="302"/>
      <c r="S29" s="302"/>
      <c r="T29" s="302"/>
      <c r="U29" s="302"/>
      <c r="V29" s="302"/>
      <c r="W29" s="300"/>
      <c r="X29" s="297"/>
      <c r="Y29" s="297"/>
      <c r="Z29" s="297"/>
      <c r="AA29" s="297"/>
      <c r="AB29" s="297"/>
      <c r="AC29" s="297"/>
    </row>
    <row r="30" spans="1:29" ht="15.75" customHeight="1" x14ac:dyDescent="0.2">
      <c r="A30" s="296" t="s">
        <v>455</v>
      </c>
      <c r="B30" s="298">
        <v>2250</v>
      </c>
      <c r="C30" s="298">
        <v>2346</v>
      </c>
      <c r="D30" s="298">
        <v>2806</v>
      </c>
      <c r="E30" s="298">
        <v>3195</v>
      </c>
      <c r="F30" s="298">
        <v>3233</v>
      </c>
      <c r="G30" s="298">
        <v>3592</v>
      </c>
      <c r="H30" s="298">
        <v>3621</v>
      </c>
      <c r="I30" s="298">
        <v>3689</v>
      </c>
      <c r="J30" s="298">
        <v>3772</v>
      </c>
      <c r="K30" s="298">
        <v>4011</v>
      </c>
      <c r="L30" s="298">
        <v>3922</v>
      </c>
      <c r="M30" s="298">
        <v>4271</v>
      </c>
      <c r="N30" s="298">
        <v>4129</v>
      </c>
      <c r="O30" s="298">
        <v>4500</v>
      </c>
      <c r="P30" s="298">
        <v>5667</v>
      </c>
      <c r="Q30" s="298">
        <v>5667</v>
      </c>
      <c r="R30" s="298">
        <v>6500</v>
      </c>
      <c r="S30" s="298">
        <v>6738</v>
      </c>
      <c r="T30" s="298">
        <v>6481</v>
      </c>
      <c r="U30" s="298">
        <v>6576</v>
      </c>
      <c r="V30" s="298">
        <v>7577</v>
      </c>
      <c r="W30" s="298">
        <v>6754</v>
      </c>
      <c r="X30" s="298">
        <v>6978</v>
      </c>
      <c r="Y30" s="298">
        <v>7485</v>
      </c>
      <c r="Z30" s="298">
        <v>8400</v>
      </c>
      <c r="AA30" s="298">
        <v>8400</v>
      </c>
      <c r="AB30" s="298">
        <v>8400</v>
      </c>
      <c r="AC30" s="298">
        <v>7600</v>
      </c>
    </row>
    <row r="31" spans="1:29" ht="15.75" customHeight="1" x14ac:dyDescent="0.2">
      <c r="A31" s="296" t="s">
        <v>456</v>
      </c>
      <c r="B31" s="299">
        <v>2250</v>
      </c>
      <c r="C31" s="299">
        <v>2346</v>
      </c>
      <c r="D31" s="299">
        <v>2806</v>
      </c>
      <c r="E31" s="299">
        <v>3195</v>
      </c>
      <c r="F31" s="299">
        <v>3233</v>
      </c>
      <c r="G31" s="299">
        <v>3592</v>
      </c>
      <c r="H31" s="299">
        <v>3621</v>
      </c>
      <c r="I31" s="299">
        <v>3689</v>
      </c>
      <c r="J31" s="299">
        <v>3772</v>
      </c>
      <c r="K31" s="299">
        <v>4011</v>
      </c>
      <c r="L31" s="299">
        <v>3922</v>
      </c>
      <c r="M31" s="299">
        <v>4271</v>
      </c>
      <c r="N31" s="299">
        <v>4129</v>
      </c>
      <c r="O31" s="299">
        <v>4500</v>
      </c>
      <c r="P31" s="299">
        <v>5667</v>
      </c>
      <c r="Q31" s="299">
        <v>5667</v>
      </c>
      <c r="R31" s="299">
        <v>6500</v>
      </c>
      <c r="S31" s="299">
        <v>6738</v>
      </c>
      <c r="T31" s="299">
        <v>6481</v>
      </c>
      <c r="U31" s="299">
        <v>6576</v>
      </c>
      <c r="V31" s="299">
        <v>7577</v>
      </c>
      <c r="W31" s="299">
        <v>6754</v>
      </c>
      <c r="X31" s="299">
        <v>6978</v>
      </c>
      <c r="Y31" s="299">
        <v>7485</v>
      </c>
      <c r="Z31" s="299">
        <v>8400</v>
      </c>
      <c r="AA31" s="299">
        <v>8400</v>
      </c>
      <c r="AB31" s="299">
        <v>8400</v>
      </c>
      <c r="AC31" s="299">
        <v>7600</v>
      </c>
    </row>
    <row r="32" spans="1:29" ht="15.75" customHeight="1" x14ac:dyDescent="0.2">
      <c r="A32" s="296" t="s">
        <v>457</v>
      </c>
      <c r="B32" s="297"/>
      <c r="C32" s="297"/>
      <c r="D32" s="297"/>
      <c r="E32" s="297"/>
      <c r="F32" s="297"/>
      <c r="G32" s="297"/>
      <c r="H32" s="297"/>
      <c r="I32" s="297"/>
      <c r="J32" s="297"/>
      <c r="K32" s="297"/>
      <c r="L32" s="297"/>
      <c r="M32" s="297"/>
      <c r="N32" s="297"/>
      <c r="O32" s="297"/>
      <c r="P32" s="297"/>
      <c r="Q32" s="297"/>
      <c r="R32" s="297"/>
      <c r="S32" s="297"/>
      <c r="T32" s="297"/>
      <c r="U32" s="297"/>
      <c r="V32" s="297"/>
      <c r="W32" s="300"/>
      <c r="X32" s="297"/>
      <c r="Y32" s="297"/>
      <c r="Z32" s="297"/>
      <c r="AA32" s="297"/>
      <c r="AB32" s="297"/>
      <c r="AC32" s="297"/>
    </row>
    <row r="33" spans="1:29" ht="15.75" customHeight="1" x14ac:dyDescent="0.2">
      <c r="A33" s="296" t="s">
        <v>458</v>
      </c>
      <c r="B33" s="298">
        <v>5751</v>
      </c>
      <c r="C33" s="298">
        <v>6018</v>
      </c>
      <c r="D33" s="298">
        <v>6036</v>
      </c>
      <c r="E33" s="298">
        <v>5888</v>
      </c>
      <c r="F33" s="298">
        <v>6181</v>
      </c>
      <c r="G33" s="298">
        <v>6414</v>
      </c>
      <c r="H33" s="298">
        <v>6719</v>
      </c>
      <c r="I33" s="298">
        <v>6191</v>
      </c>
      <c r="J33" s="298">
        <v>6563</v>
      </c>
      <c r="K33" s="298">
        <v>6897</v>
      </c>
      <c r="L33" s="298">
        <v>6459</v>
      </c>
      <c r="M33" s="298">
        <v>6719</v>
      </c>
      <c r="N33" s="298">
        <v>6691</v>
      </c>
      <c r="O33" s="298">
        <v>4245</v>
      </c>
      <c r="P33" s="298">
        <v>5237</v>
      </c>
      <c r="Q33" s="298">
        <v>4988</v>
      </c>
      <c r="R33" s="298">
        <v>5237</v>
      </c>
      <c r="S33" s="298">
        <v>5471</v>
      </c>
      <c r="T33" s="298">
        <v>5388</v>
      </c>
      <c r="U33" s="298">
        <v>5477</v>
      </c>
      <c r="V33" s="298">
        <v>4699</v>
      </c>
      <c r="W33" s="298">
        <v>7456</v>
      </c>
      <c r="X33" s="298">
        <v>8127</v>
      </c>
      <c r="Y33" s="298">
        <v>5971</v>
      </c>
      <c r="Z33" s="298">
        <v>5400</v>
      </c>
      <c r="AA33" s="298">
        <v>4899</v>
      </c>
      <c r="AB33" s="298">
        <v>4899</v>
      </c>
      <c r="AC33" s="298">
        <v>2400</v>
      </c>
    </row>
    <row r="34" spans="1:29" ht="15.75" customHeight="1" x14ac:dyDescent="0.2">
      <c r="A34" s="296" t="s">
        <v>459</v>
      </c>
      <c r="B34" s="299">
        <v>5751</v>
      </c>
      <c r="C34" s="299">
        <v>6018</v>
      </c>
      <c r="D34" s="299">
        <v>6036</v>
      </c>
      <c r="E34" s="299">
        <v>5888</v>
      </c>
      <c r="F34" s="299">
        <v>6181</v>
      </c>
      <c r="G34" s="299">
        <v>6414</v>
      </c>
      <c r="H34" s="299">
        <v>6719</v>
      </c>
      <c r="I34" s="299">
        <v>6191</v>
      </c>
      <c r="J34" s="299">
        <v>6563</v>
      </c>
      <c r="K34" s="299">
        <v>6897</v>
      </c>
      <c r="L34" s="299">
        <v>6459</v>
      </c>
      <c r="M34" s="299">
        <v>6719</v>
      </c>
      <c r="N34" s="299">
        <v>6691</v>
      </c>
      <c r="O34" s="299">
        <v>4245</v>
      </c>
      <c r="P34" s="299">
        <v>5237</v>
      </c>
      <c r="Q34" s="299">
        <v>4988</v>
      </c>
      <c r="R34" s="299">
        <v>5237</v>
      </c>
      <c r="S34" s="299">
        <v>5471</v>
      </c>
      <c r="T34" s="299">
        <v>5388</v>
      </c>
      <c r="U34" s="299">
        <v>5477</v>
      </c>
      <c r="V34" s="299">
        <v>4699</v>
      </c>
      <c r="W34" s="299">
        <v>7456</v>
      </c>
      <c r="X34" s="299">
        <v>8127</v>
      </c>
      <c r="Y34" s="299">
        <v>5971</v>
      </c>
      <c r="Z34" s="299">
        <v>5400</v>
      </c>
      <c r="AA34" s="299">
        <v>4899</v>
      </c>
      <c r="AB34" s="299">
        <v>4899</v>
      </c>
      <c r="AC34" s="299">
        <v>2400</v>
      </c>
    </row>
    <row r="35" spans="1:29" ht="15.75" customHeight="1" x14ac:dyDescent="0.2">
      <c r="A35" s="296" t="s">
        <v>460</v>
      </c>
      <c r="B35" s="302"/>
      <c r="C35" s="302"/>
      <c r="D35" s="302"/>
      <c r="E35" s="302"/>
      <c r="F35" s="302"/>
      <c r="G35" s="302"/>
      <c r="H35" s="302"/>
      <c r="I35" s="302"/>
      <c r="J35" s="302"/>
      <c r="K35" s="302"/>
      <c r="L35" s="302"/>
      <c r="M35" s="302"/>
      <c r="N35" s="302"/>
      <c r="O35" s="302"/>
      <c r="P35" s="302"/>
      <c r="Q35" s="302"/>
      <c r="R35" s="302"/>
      <c r="S35" s="302"/>
      <c r="T35" s="302"/>
      <c r="U35" s="302"/>
      <c r="V35" s="302"/>
      <c r="W35" s="300"/>
      <c r="X35" s="297"/>
      <c r="Y35" s="297"/>
      <c r="Z35" s="297"/>
      <c r="AA35" s="297"/>
      <c r="AB35" s="297"/>
      <c r="AC35" s="297"/>
    </row>
    <row r="36" spans="1:29" ht="15.75" customHeight="1" x14ac:dyDescent="0.2">
      <c r="A36" s="296" t="s">
        <v>461</v>
      </c>
      <c r="B36" s="298">
        <v>2500</v>
      </c>
      <c r="C36" s="298">
        <v>2500</v>
      </c>
      <c r="D36" s="298">
        <v>2500</v>
      </c>
      <c r="E36" s="298">
        <v>2500</v>
      </c>
      <c r="F36" s="298">
        <v>3400</v>
      </c>
      <c r="G36" s="298">
        <v>5000</v>
      </c>
      <c r="H36" s="298">
        <v>6500</v>
      </c>
      <c r="I36" s="298">
        <v>6300</v>
      </c>
      <c r="J36" s="298">
        <v>6700</v>
      </c>
      <c r="K36" s="298">
        <v>6200</v>
      </c>
      <c r="L36" s="298">
        <v>6300</v>
      </c>
      <c r="M36" s="298">
        <v>6600</v>
      </c>
      <c r="N36" s="298">
        <v>6800</v>
      </c>
      <c r="O36" s="298">
        <v>4100</v>
      </c>
      <c r="P36" s="298">
        <v>5800</v>
      </c>
      <c r="Q36" s="298">
        <v>5376</v>
      </c>
      <c r="R36" s="298">
        <v>4831</v>
      </c>
      <c r="S36" s="298">
        <v>5229</v>
      </c>
      <c r="T36" s="298">
        <v>5462</v>
      </c>
      <c r="U36" s="298">
        <v>5519</v>
      </c>
      <c r="V36" s="298">
        <v>4575</v>
      </c>
      <c r="W36" s="298">
        <v>1023</v>
      </c>
      <c r="X36" s="298">
        <v>1597</v>
      </c>
      <c r="Y36" s="298">
        <v>1254</v>
      </c>
      <c r="Z36" s="298">
        <v>1999</v>
      </c>
      <c r="AA36" s="298">
        <v>2500</v>
      </c>
      <c r="AB36" s="298">
        <v>2500</v>
      </c>
      <c r="AC36" s="298">
        <v>12500</v>
      </c>
    </row>
    <row r="37" spans="1:29" ht="15.75" customHeight="1" x14ac:dyDescent="0.2">
      <c r="A37" s="296" t="s">
        <v>462</v>
      </c>
      <c r="B37" s="298">
        <v>1323</v>
      </c>
      <c r="C37" s="298">
        <v>1581</v>
      </c>
      <c r="D37" s="298">
        <v>1755</v>
      </c>
      <c r="E37" s="298">
        <v>1781</v>
      </c>
      <c r="F37" s="298">
        <v>1869</v>
      </c>
      <c r="G37" s="298">
        <v>2253</v>
      </c>
      <c r="H37" s="298">
        <v>2374</v>
      </c>
      <c r="I37" s="298">
        <v>2542</v>
      </c>
      <c r="J37" s="298">
        <v>2621</v>
      </c>
      <c r="K37" s="298">
        <v>2877</v>
      </c>
      <c r="L37" s="298">
        <v>2951</v>
      </c>
      <c r="M37" s="298">
        <v>3241</v>
      </c>
      <c r="N37" s="298">
        <v>3050</v>
      </c>
      <c r="O37" s="298">
        <v>3457</v>
      </c>
      <c r="P37" s="298">
        <v>3492</v>
      </c>
      <c r="Q37" s="298">
        <v>3781</v>
      </c>
      <c r="R37" s="298">
        <v>2492</v>
      </c>
      <c r="S37" s="298">
        <v>2632</v>
      </c>
      <c r="T37" s="298">
        <v>2717</v>
      </c>
      <c r="U37" s="298">
        <v>2782</v>
      </c>
      <c r="V37" s="298">
        <v>3780</v>
      </c>
      <c r="W37" s="298">
        <v>1247</v>
      </c>
      <c r="X37" s="298">
        <v>1673</v>
      </c>
      <c r="Y37" s="298">
        <v>1374</v>
      </c>
      <c r="Z37" s="298">
        <v>1736</v>
      </c>
      <c r="AA37" s="298">
        <v>1978</v>
      </c>
      <c r="AB37" s="298">
        <v>1978</v>
      </c>
      <c r="AC37" s="301">
        <v>200</v>
      </c>
    </row>
    <row r="38" spans="1:29" ht="15.75" customHeight="1" x14ac:dyDescent="0.2">
      <c r="A38" s="296" t="s">
        <v>463</v>
      </c>
      <c r="B38" s="299">
        <v>3823</v>
      </c>
      <c r="C38" s="299">
        <v>4081</v>
      </c>
      <c r="D38" s="299">
        <v>4255</v>
      </c>
      <c r="E38" s="299">
        <v>4281</v>
      </c>
      <c r="F38" s="299">
        <v>5269</v>
      </c>
      <c r="G38" s="299">
        <v>7253</v>
      </c>
      <c r="H38" s="299">
        <v>8874</v>
      </c>
      <c r="I38" s="299">
        <v>8842</v>
      </c>
      <c r="J38" s="299">
        <v>9321</v>
      </c>
      <c r="K38" s="299">
        <v>9077</v>
      </c>
      <c r="L38" s="299">
        <v>9251</v>
      </c>
      <c r="M38" s="299">
        <v>9841</v>
      </c>
      <c r="N38" s="299">
        <v>9850</v>
      </c>
      <c r="O38" s="299">
        <v>7557</v>
      </c>
      <c r="P38" s="299">
        <v>9292</v>
      </c>
      <c r="Q38" s="299">
        <v>9157</v>
      </c>
      <c r="R38" s="299">
        <v>7323</v>
      </c>
      <c r="S38" s="299">
        <v>7861</v>
      </c>
      <c r="T38" s="299">
        <v>8179</v>
      </c>
      <c r="U38" s="299">
        <v>8301</v>
      </c>
      <c r="V38" s="299">
        <v>8355</v>
      </c>
      <c r="W38" s="299">
        <v>2270</v>
      </c>
      <c r="X38" s="299">
        <v>3270</v>
      </c>
      <c r="Y38" s="299">
        <v>2628</v>
      </c>
      <c r="Z38" s="299">
        <v>3735</v>
      </c>
      <c r="AA38" s="299">
        <v>4478</v>
      </c>
      <c r="AB38" s="299">
        <v>4478</v>
      </c>
      <c r="AC38" s="299">
        <v>12700</v>
      </c>
    </row>
    <row r="39" spans="1:29" ht="15.75" customHeight="1" x14ac:dyDescent="0.2">
      <c r="A39" s="296" t="s">
        <v>464</v>
      </c>
      <c r="B39" s="303"/>
      <c r="C39" s="303"/>
      <c r="D39" s="303"/>
      <c r="E39" s="303"/>
      <c r="F39" s="303"/>
      <c r="G39" s="303"/>
      <c r="H39" s="303"/>
      <c r="I39" s="303"/>
      <c r="J39" s="303"/>
      <c r="K39" s="303"/>
      <c r="L39" s="303"/>
      <c r="M39" s="303"/>
      <c r="N39" s="303"/>
      <c r="O39" s="303"/>
      <c r="P39" s="303"/>
      <c r="Q39" s="303"/>
      <c r="R39" s="303"/>
      <c r="S39" s="303"/>
      <c r="T39" s="303"/>
      <c r="U39" s="303"/>
      <c r="V39" s="303"/>
      <c r="W39" s="300"/>
      <c r="X39" s="297"/>
      <c r="Y39" s="297"/>
      <c r="Z39" s="297"/>
      <c r="AA39" s="297"/>
      <c r="AB39" s="297"/>
      <c r="AC39" s="297"/>
    </row>
    <row r="40" spans="1:29" ht="15.75" customHeight="1" x14ac:dyDescent="0.2">
      <c r="A40" s="296" t="s">
        <v>465</v>
      </c>
      <c r="B40" s="301">
        <v>900</v>
      </c>
      <c r="C40" s="301">
        <v>900</v>
      </c>
      <c r="D40" s="301">
        <v>900</v>
      </c>
      <c r="E40" s="301">
        <v>900</v>
      </c>
      <c r="F40" s="301">
        <v>900</v>
      </c>
      <c r="G40" s="301">
        <v>900</v>
      </c>
      <c r="H40" s="301">
        <v>900</v>
      </c>
      <c r="I40" s="301">
        <v>900</v>
      </c>
      <c r="J40" s="298">
        <v>1097</v>
      </c>
      <c r="K40" s="298">
        <v>1097</v>
      </c>
      <c r="L40" s="298">
        <v>1097</v>
      </c>
      <c r="M40" s="298">
        <v>1097</v>
      </c>
      <c r="N40" s="298">
        <v>1097</v>
      </c>
      <c r="O40" s="298">
        <v>1294</v>
      </c>
      <c r="P40" s="298">
        <v>1294</v>
      </c>
      <c r="Q40" s="298">
        <v>1294</v>
      </c>
      <c r="R40" s="298">
        <v>1794</v>
      </c>
      <c r="S40" s="298">
        <v>1794</v>
      </c>
      <c r="T40" s="298">
        <v>1794</v>
      </c>
      <c r="U40" s="298">
        <v>1794</v>
      </c>
      <c r="V40" s="298">
        <v>1794</v>
      </c>
      <c r="W40" s="298">
        <v>1794</v>
      </c>
      <c r="X40" s="298">
        <v>1978</v>
      </c>
      <c r="Y40" s="298">
        <v>1994</v>
      </c>
      <c r="Z40" s="298">
        <v>1994</v>
      </c>
      <c r="AA40" s="298">
        <v>1994</v>
      </c>
      <c r="AB40" s="298">
        <v>1994</v>
      </c>
      <c r="AC40" s="298">
        <v>1994</v>
      </c>
    </row>
    <row r="41" spans="1:29" ht="15.75" customHeight="1" x14ac:dyDescent="0.2">
      <c r="A41" s="296" t="s">
        <v>466</v>
      </c>
      <c r="B41" s="298">
        <v>1500</v>
      </c>
      <c r="C41" s="298">
        <v>1500</v>
      </c>
      <c r="D41" s="298">
        <v>1500</v>
      </c>
      <c r="E41" s="298">
        <v>1500</v>
      </c>
      <c r="F41" s="298">
        <v>1500</v>
      </c>
      <c r="G41" s="298">
        <v>1500</v>
      </c>
      <c r="H41" s="298">
        <v>1500</v>
      </c>
      <c r="I41" s="298">
        <v>1500</v>
      </c>
      <c r="J41" s="298">
        <v>1908</v>
      </c>
      <c r="K41" s="298">
        <v>1908</v>
      </c>
      <c r="L41" s="298">
        <v>1908</v>
      </c>
      <c r="M41" s="298">
        <v>1908</v>
      </c>
      <c r="N41" s="298">
        <v>1908</v>
      </c>
      <c r="O41" s="298">
        <v>2313</v>
      </c>
      <c r="P41" s="298">
        <v>2313</v>
      </c>
      <c r="Q41" s="298">
        <v>2313</v>
      </c>
      <c r="R41" s="298">
        <v>2383</v>
      </c>
      <c r="S41" s="298">
        <v>2383</v>
      </c>
      <c r="T41" s="298">
        <v>2383</v>
      </c>
      <c r="U41" s="298">
        <v>2383</v>
      </c>
      <c r="V41" s="298">
        <v>2383</v>
      </c>
      <c r="W41" s="298">
        <v>2383</v>
      </c>
      <c r="X41" s="298">
        <v>2383</v>
      </c>
      <c r="Y41" s="298">
        <v>2383</v>
      </c>
      <c r="Z41" s="298">
        <v>2383</v>
      </c>
      <c r="AA41" s="298">
        <v>2383</v>
      </c>
      <c r="AB41" s="298">
        <v>2383</v>
      </c>
      <c r="AC41" s="298">
        <v>2383</v>
      </c>
    </row>
    <row r="42" spans="1:29" ht="15.75" customHeight="1" x14ac:dyDescent="0.2">
      <c r="A42" s="296" t="s">
        <v>467</v>
      </c>
      <c r="B42" s="298">
        <v>16666</v>
      </c>
      <c r="C42" s="298">
        <v>16666</v>
      </c>
      <c r="D42" s="298">
        <v>16666</v>
      </c>
      <c r="E42" s="298">
        <v>16666</v>
      </c>
      <c r="F42" s="298">
        <v>16666</v>
      </c>
      <c r="G42" s="298">
        <v>16666</v>
      </c>
      <c r="H42" s="298">
        <v>16666</v>
      </c>
      <c r="I42" s="298">
        <v>16666</v>
      </c>
      <c r="J42" s="298">
        <v>21200</v>
      </c>
      <c r="K42" s="298">
        <v>21200</v>
      </c>
      <c r="L42" s="298">
        <v>21200</v>
      </c>
      <c r="M42" s="298">
        <v>21200</v>
      </c>
      <c r="N42" s="298">
        <v>21200</v>
      </c>
      <c r="O42" s="298">
        <v>25700</v>
      </c>
      <c r="P42" s="298">
        <v>25700</v>
      </c>
      <c r="Q42" s="298">
        <v>25700</v>
      </c>
      <c r="R42" s="298">
        <v>28700</v>
      </c>
      <c r="S42" s="298">
        <v>28700</v>
      </c>
      <c r="T42" s="298">
        <v>28700</v>
      </c>
      <c r="U42" s="298">
        <v>28700</v>
      </c>
      <c r="V42" s="298">
        <v>28700</v>
      </c>
      <c r="W42" s="298">
        <v>28700</v>
      </c>
      <c r="X42" s="298">
        <v>28700</v>
      </c>
      <c r="Y42" s="298">
        <v>28700</v>
      </c>
      <c r="Z42" s="298">
        <v>28700</v>
      </c>
      <c r="AA42" s="298">
        <v>28700</v>
      </c>
      <c r="AB42" s="298">
        <v>28700</v>
      </c>
      <c r="AC42" s="298">
        <v>28700</v>
      </c>
    </row>
    <row r="43" spans="1:29" ht="15.75" customHeight="1" x14ac:dyDescent="0.2">
      <c r="A43" s="296" t="s">
        <v>468</v>
      </c>
      <c r="B43" s="299">
        <v>19066</v>
      </c>
      <c r="C43" s="299">
        <v>19066</v>
      </c>
      <c r="D43" s="299">
        <v>19066</v>
      </c>
      <c r="E43" s="299">
        <v>19066</v>
      </c>
      <c r="F43" s="299">
        <v>19066</v>
      </c>
      <c r="G43" s="299">
        <v>19066</v>
      </c>
      <c r="H43" s="299">
        <v>19066</v>
      </c>
      <c r="I43" s="299">
        <v>19066</v>
      </c>
      <c r="J43" s="299">
        <v>24205</v>
      </c>
      <c r="K43" s="299">
        <v>24205</v>
      </c>
      <c r="L43" s="299">
        <v>24205</v>
      </c>
      <c r="M43" s="299">
        <v>24205</v>
      </c>
      <c r="N43" s="299">
        <v>24205</v>
      </c>
      <c r="O43" s="299">
        <v>29307</v>
      </c>
      <c r="P43" s="299">
        <v>29307</v>
      </c>
      <c r="Q43" s="299">
        <v>29307</v>
      </c>
      <c r="R43" s="299">
        <v>32877</v>
      </c>
      <c r="S43" s="299">
        <v>32877</v>
      </c>
      <c r="T43" s="299">
        <v>32877</v>
      </c>
      <c r="U43" s="299">
        <v>32877</v>
      </c>
      <c r="V43" s="299">
        <v>32877</v>
      </c>
      <c r="W43" s="299">
        <v>32877</v>
      </c>
      <c r="X43" s="299">
        <v>33061</v>
      </c>
      <c r="Y43" s="299">
        <v>33077</v>
      </c>
      <c r="Z43" s="299">
        <v>33077</v>
      </c>
      <c r="AA43" s="299">
        <v>33077</v>
      </c>
      <c r="AB43" s="299">
        <v>33077</v>
      </c>
      <c r="AC43" s="299">
        <v>33077</v>
      </c>
    </row>
    <row r="44" spans="1:29" ht="15.75" customHeight="1" x14ac:dyDescent="0.2">
      <c r="A44" s="296" t="s">
        <v>469</v>
      </c>
      <c r="B44" s="298">
        <v>6790</v>
      </c>
      <c r="C44" s="298">
        <v>6790</v>
      </c>
      <c r="D44" s="298">
        <v>6790</v>
      </c>
      <c r="E44" s="298">
        <v>6790</v>
      </c>
      <c r="F44" s="298">
        <v>6790</v>
      </c>
      <c r="G44" s="298">
        <v>6790</v>
      </c>
      <c r="H44" s="298">
        <v>6790</v>
      </c>
      <c r="I44" s="298">
        <v>6930</v>
      </c>
      <c r="J44" s="298">
        <v>6930</v>
      </c>
      <c r="K44" s="298">
        <v>7380</v>
      </c>
      <c r="L44" s="298">
        <v>7236</v>
      </c>
      <c r="M44" s="298">
        <v>7563</v>
      </c>
      <c r="N44" s="298">
        <v>7255</v>
      </c>
      <c r="O44" s="298">
        <v>7188</v>
      </c>
      <c r="P44" s="298">
        <v>7188</v>
      </c>
      <c r="Q44" s="298">
        <v>7188</v>
      </c>
      <c r="R44" s="298">
        <v>6919</v>
      </c>
      <c r="S44" s="298">
        <v>7340</v>
      </c>
      <c r="T44" s="298">
        <v>7282</v>
      </c>
      <c r="U44" s="298">
        <v>7319</v>
      </c>
      <c r="V44" s="298">
        <v>7319</v>
      </c>
      <c r="W44" s="298">
        <v>7319</v>
      </c>
      <c r="X44" s="298">
        <v>7319</v>
      </c>
      <c r="Y44" s="298">
        <v>7319</v>
      </c>
      <c r="Z44" s="298">
        <v>7319</v>
      </c>
      <c r="AA44" s="298">
        <v>7319</v>
      </c>
      <c r="AB44" s="298">
        <v>7319</v>
      </c>
      <c r="AC44" s="298">
        <v>7319</v>
      </c>
    </row>
    <row r="45" spans="1:29" ht="15.75" customHeight="1" x14ac:dyDescent="0.2">
      <c r="A45" s="296" t="s">
        <v>470</v>
      </c>
      <c r="B45" s="298">
        <v>1158</v>
      </c>
      <c r="C45" s="302"/>
      <c r="D45" s="302"/>
      <c r="E45" s="302"/>
      <c r="F45" s="302"/>
      <c r="G45" s="302"/>
      <c r="H45" s="302"/>
      <c r="I45" s="302"/>
      <c r="J45" s="302"/>
      <c r="K45" s="302"/>
      <c r="L45" s="302"/>
      <c r="M45" s="302"/>
      <c r="N45" s="298">
        <v>3476</v>
      </c>
      <c r="O45" s="298">
        <v>3750</v>
      </c>
      <c r="P45" s="298">
        <v>3861</v>
      </c>
      <c r="Q45" s="298">
        <v>3996</v>
      </c>
      <c r="R45" s="298">
        <v>4147</v>
      </c>
      <c r="S45" s="298">
        <v>4334</v>
      </c>
      <c r="T45" s="298">
        <v>4567</v>
      </c>
      <c r="U45" s="298">
        <v>4720</v>
      </c>
      <c r="V45" s="298">
        <v>5007</v>
      </c>
      <c r="W45" s="298">
        <v>5118</v>
      </c>
      <c r="X45" s="298">
        <v>5666</v>
      </c>
      <c r="Y45" s="298">
        <v>5976</v>
      </c>
      <c r="Z45" s="298">
        <v>6225</v>
      </c>
      <c r="AA45" s="298">
        <v>7523</v>
      </c>
      <c r="AB45" s="298">
        <v>7536</v>
      </c>
      <c r="AC45" s="298">
        <v>8764</v>
      </c>
    </row>
    <row r="46" spans="1:29" ht="15.75" customHeight="1" x14ac:dyDescent="0.2">
      <c r="A46" s="296" t="s">
        <v>471</v>
      </c>
      <c r="B46" s="298">
        <v>0</v>
      </c>
      <c r="C46" s="298">
        <v>0</v>
      </c>
      <c r="D46" s="298">
        <v>0</v>
      </c>
      <c r="E46" s="298">
        <v>0</v>
      </c>
      <c r="F46" s="298">
        <v>0</v>
      </c>
      <c r="G46" s="298">
        <v>0</v>
      </c>
      <c r="H46" s="298">
        <v>0</v>
      </c>
      <c r="I46" s="298">
        <v>0</v>
      </c>
      <c r="J46" s="298">
        <v>0</v>
      </c>
      <c r="K46" s="298">
        <v>0</v>
      </c>
      <c r="L46" s="298">
        <v>0</v>
      </c>
      <c r="M46" s="298">
        <v>0</v>
      </c>
      <c r="N46" s="298">
        <v>0</v>
      </c>
      <c r="O46" s="298">
        <v>0</v>
      </c>
      <c r="P46" s="298">
        <v>0</v>
      </c>
      <c r="Q46" s="298">
        <v>0</v>
      </c>
      <c r="R46" s="298">
        <v>0</v>
      </c>
      <c r="S46" s="298">
        <v>0</v>
      </c>
      <c r="T46" s="298">
        <v>0</v>
      </c>
      <c r="U46" s="298">
        <v>0</v>
      </c>
      <c r="V46" s="298">
        <v>800</v>
      </c>
      <c r="W46" s="298">
        <v>800</v>
      </c>
      <c r="X46" s="301">
        <v>800</v>
      </c>
      <c r="Y46" s="301">
        <v>800</v>
      </c>
      <c r="Z46" s="301">
        <v>800</v>
      </c>
      <c r="AA46" s="301">
        <v>800</v>
      </c>
      <c r="AB46" s="301">
        <v>800</v>
      </c>
      <c r="AC46" s="301">
        <v>800</v>
      </c>
    </row>
    <row r="47" spans="1:29" ht="15.75" customHeight="1" x14ac:dyDescent="0.2">
      <c r="A47" s="296" t="s">
        <v>472</v>
      </c>
      <c r="B47" s="298">
        <v>1356</v>
      </c>
      <c r="C47" s="298">
        <v>1406</v>
      </c>
      <c r="D47" s="298">
        <v>1406</v>
      </c>
      <c r="E47" s="298">
        <v>1406</v>
      </c>
      <c r="F47" s="298">
        <v>1506</v>
      </c>
      <c r="G47" s="298">
        <v>1506</v>
      </c>
      <c r="H47" s="298">
        <v>1506</v>
      </c>
      <c r="I47" s="298">
        <v>1556</v>
      </c>
      <c r="J47" s="298">
        <v>1683</v>
      </c>
      <c r="K47" s="298">
        <v>1683</v>
      </c>
      <c r="L47" s="298">
        <v>1750</v>
      </c>
      <c r="M47" s="298">
        <v>1892</v>
      </c>
      <c r="N47" s="298">
        <v>1931</v>
      </c>
      <c r="O47" s="298">
        <v>1907</v>
      </c>
      <c r="P47" s="298">
        <v>2007</v>
      </c>
      <c r="Q47" s="298">
        <v>2276</v>
      </c>
      <c r="R47" s="298">
        <v>1983</v>
      </c>
      <c r="S47" s="298">
        <v>2451</v>
      </c>
      <c r="T47" s="298">
        <v>2550</v>
      </c>
      <c r="U47" s="298">
        <v>2621</v>
      </c>
      <c r="V47" s="298">
        <v>2621</v>
      </c>
      <c r="W47" s="298">
        <v>2437</v>
      </c>
      <c r="X47" s="298">
        <v>2973</v>
      </c>
      <c r="Y47" s="298">
        <v>2736</v>
      </c>
      <c r="Z47" s="298">
        <v>2978</v>
      </c>
      <c r="AA47" s="298">
        <v>3241</v>
      </c>
      <c r="AB47" s="298">
        <v>3111</v>
      </c>
      <c r="AC47" s="298">
        <v>2900</v>
      </c>
    </row>
    <row r="48" spans="1:29" ht="15.75" customHeight="1" x14ac:dyDescent="0.2">
      <c r="A48" s="296" t="s">
        <v>473</v>
      </c>
      <c r="B48" s="302"/>
      <c r="C48" s="302"/>
      <c r="D48" s="302"/>
      <c r="E48" s="302"/>
      <c r="F48" s="302"/>
      <c r="G48" s="302"/>
      <c r="H48" s="302"/>
      <c r="I48" s="302"/>
      <c r="J48" s="302"/>
      <c r="K48" s="302"/>
      <c r="L48" s="302"/>
      <c r="M48" s="302"/>
      <c r="N48" s="302"/>
      <c r="O48" s="302"/>
      <c r="P48" s="302"/>
      <c r="Q48" s="302"/>
      <c r="R48" s="302"/>
      <c r="S48" s="302"/>
      <c r="T48" s="302"/>
      <c r="U48" s="302"/>
      <c r="V48" s="302"/>
      <c r="W48" s="302"/>
      <c r="X48" s="297"/>
      <c r="Y48" s="297"/>
      <c r="Z48" s="297"/>
      <c r="AA48" s="297"/>
      <c r="AB48" s="297"/>
      <c r="AC48" s="297"/>
    </row>
    <row r="49" spans="1:29" ht="15.75" customHeight="1" x14ac:dyDescent="0.2">
      <c r="A49" s="296" t="s">
        <v>474</v>
      </c>
      <c r="B49" s="298">
        <v>3404</v>
      </c>
      <c r="C49" s="298">
        <v>3380</v>
      </c>
      <c r="D49" s="298">
        <v>3666</v>
      </c>
      <c r="E49" s="298">
        <v>3752</v>
      </c>
      <c r="F49" s="298">
        <v>3906</v>
      </c>
      <c r="G49" s="298">
        <v>4023</v>
      </c>
      <c r="H49" s="298">
        <v>4190</v>
      </c>
      <c r="I49" s="298">
        <v>4130</v>
      </c>
      <c r="J49" s="298">
        <v>4250</v>
      </c>
      <c r="K49" s="298">
        <v>3959</v>
      </c>
      <c r="L49" s="298">
        <v>4198</v>
      </c>
      <c r="M49" s="298">
        <v>4432</v>
      </c>
      <c r="N49" s="298">
        <v>4377</v>
      </c>
      <c r="O49" s="298">
        <v>4577</v>
      </c>
      <c r="P49" s="298">
        <v>5005</v>
      </c>
      <c r="Q49" s="298">
        <v>5233</v>
      </c>
      <c r="R49" s="298">
        <v>4572</v>
      </c>
      <c r="S49" s="298">
        <v>4871</v>
      </c>
      <c r="T49" s="298">
        <v>4938</v>
      </c>
      <c r="U49" s="298">
        <v>5121</v>
      </c>
      <c r="V49" s="298">
        <v>7552</v>
      </c>
      <c r="W49" s="298">
        <v>8503</v>
      </c>
      <c r="X49" s="298">
        <v>9078</v>
      </c>
      <c r="Y49" s="298">
        <v>9076</v>
      </c>
      <c r="Z49" s="298">
        <v>9257</v>
      </c>
      <c r="AA49" s="298">
        <v>8975</v>
      </c>
      <c r="AB49" s="298">
        <v>1100</v>
      </c>
      <c r="AC49" s="301">
        <v>0</v>
      </c>
    </row>
    <row r="50" spans="1:29" ht="15.75" customHeight="1" x14ac:dyDescent="0.2">
      <c r="A50" s="296" t="s">
        <v>475</v>
      </c>
      <c r="B50" s="298">
        <v>2487</v>
      </c>
      <c r="C50" s="298">
        <v>2849</v>
      </c>
      <c r="D50" s="298">
        <v>3138</v>
      </c>
      <c r="E50" s="298">
        <v>3532</v>
      </c>
      <c r="F50" s="298">
        <v>3337</v>
      </c>
      <c r="G50" s="298">
        <v>3267</v>
      </c>
      <c r="H50" s="298">
        <v>3451</v>
      </c>
      <c r="I50" s="298">
        <v>3510</v>
      </c>
      <c r="J50" s="298">
        <v>3714</v>
      </c>
      <c r="K50" s="298">
        <v>3628</v>
      </c>
      <c r="L50" s="298">
        <v>3766</v>
      </c>
      <c r="M50" s="298">
        <v>3916</v>
      </c>
      <c r="N50" s="298">
        <v>3839</v>
      </c>
      <c r="O50" s="298">
        <v>4341</v>
      </c>
      <c r="P50" s="298">
        <v>4557</v>
      </c>
      <c r="Q50" s="298">
        <v>4597</v>
      </c>
      <c r="R50" s="298">
        <v>6113</v>
      </c>
      <c r="S50" s="298">
        <v>5884</v>
      </c>
      <c r="T50" s="298">
        <v>6025</v>
      </c>
      <c r="U50" s="298">
        <v>5831</v>
      </c>
      <c r="V50" s="298">
        <v>3542</v>
      </c>
      <c r="W50" s="298">
        <v>7596</v>
      </c>
      <c r="X50" s="298">
        <v>6899</v>
      </c>
      <c r="Y50" s="298">
        <v>9727</v>
      </c>
      <c r="Z50" s="298">
        <v>10123</v>
      </c>
      <c r="AA50" s="298">
        <v>9781</v>
      </c>
      <c r="AB50" s="301">
        <v>299</v>
      </c>
      <c r="AC50" s="301">
        <v>0</v>
      </c>
    </row>
    <row r="51" spans="1:29" ht="15.75" customHeight="1" x14ac:dyDescent="0.2">
      <c r="A51" s="296" t="s">
        <v>476</v>
      </c>
      <c r="B51" s="304">
        <v>579</v>
      </c>
      <c r="C51" s="304">
        <v>498</v>
      </c>
      <c r="D51" s="304">
        <v>311</v>
      </c>
      <c r="E51" s="298">
        <v>706</v>
      </c>
      <c r="F51" s="298">
        <v>914</v>
      </c>
      <c r="G51" s="298">
        <v>855</v>
      </c>
      <c r="H51" s="298">
        <v>953</v>
      </c>
      <c r="I51" s="298">
        <v>985</v>
      </c>
      <c r="J51" s="298">
        <v>1730</v>
      </c>
      <c r="K51" s="298">
        <v>1073</v>
      </c>
      <c r="L51" s="298">
        <v>1205</v>
      </c>
      <c r="M51" s="298">
        <v>1436</v>
      </c>
      <c r="N51" s="298">
        <v>1489</v>
      </c>
      <c r="O51" s="298">
        <v>1642</v>
      </c>
      <c r="P51" s="298">
        <v>1479</v>
      </c>
      <c r="Q51" s="298">
        <v>1361</v>
      </c>
      <c r="R51" s="298">
        <v>1243</v>
      </c>
      <c r="S51" s="298">
        <v>1185</v>
      </c>
      <c r="T51" s="298">
        <v>1112</v>
      </c>
      <c r="U51" s="298">
        <v>1065</v>
      </c>
      <c r="V51" s="298">
        <v>1077</v>
      </c>
      <c r="W51" s="298">
        <v>3273</v>
      </c>
      <c r="X51" s="298">
        <v>2799</v>
      </c>
      <c r="Y51" s="298">
        <v>3794</v>
      </c>
      <c r="Z51" s="298">
        <v>4200</v>
      </c>
      <c r="AA51" s="298">
        <v>4997</v>
      </c>
      <c r="AB51" s="298">
        <v>2000</v>
      </c>
      <c r="AC51" s="301">
        <v>0</v>
      </c>
    </row>
    <row r="52" spans="1:29" ht="15.75" customHeight="1" x14ac:dyDescent="0.2">
      <c r="A52" s="296" t="s">
        <v>477</v>
      </c>
      <c r="B52" s="304">
        <v>671</v>
      </c>
      <c r="C52" s="304">
        <v>583</v>
      </c>
      <c r="D52" s="304">
        <v>888</v>
      </c>
      <c r="E52" s="304">
        <v>1219</v>
      </c>
      <c r="F52" s="304">
        <v>1474</v>
      </c>
      <c r="G52" s="304">
        <v>1322</v>
      </c>
      <c r="H52" s="304">
        <v>1588</v>
      </c>
      <c r="I52" s="304">
        <v>1625</v>
      </c>
      <c r="J52" s="304">
        <v>1730</v>
      </c>
      <c r="K52" s="304">
        <v>1633</v>
      </c>
      <c r="L52" s="304">
        <v>1781</v>
      </c>
      <c r="M52" s="304">
        <v>1826</v>
      </c>
      <c r="N52" s="304">
        <v>1750</v>
      </c>
      <c r="O52" s="304">
        <v>2098</v>
      </c>
      <c r="P52" s="304">
        <v>1175</v>
      </c>
      <c r="Q52" s="304">
        <v>1245</v>
      </c>
      <c r="R52" s="304">
        <v>4231</v>
      </c>
      <c r="S52" s="304">
        <v>1472</v>
      </c>
      <c r="T52" s="304">
        <v>1891</v>
      </c>
      <c r="U52" s="304">
        <v>1943</v>
      </c>
      <c r="V52" s="304">
        <v>2204</v>
      </c>
      <c r="W52" s="304">
        <v>4233</v>
      </c>
      <c r="X52" s="298">
        <v>3978</v>
      </c>
      <c r="Y52" s="298">
        <v>7986</v>
      </c>
      <c r="Z52" s="298">
        <v>4786</v>
      </c>
      <c r="AA52" s="298">
        <v>4371</v>
      </c>
      <c r="AB52" s="301">
        <v>0</v>
      </c>
      <c r="AC52" s="301">
        <v>0</v>
      </c>
    </row>
    <row r="53" spans="1:29" ht="12.75" x14ac:dyDescent="0.2">
      <c r="A53" s="296" t="s">
        <v>478</v>
      </c>
      <c r="B53" s="299">
        <v>7141</v>
      </c>
      <c r="C53" s="299">
        <v>7310</v>
      </c>
      <c r="D53" s="299">
        <v>8003</v>
      </c>
      <c r="E53" s="299">
        <v>9209</v>
      </c>
      <c r="F53" s="299">
        <v>9631</v>
      </c>
      <c r="G53" s="299">
        <v>9467</v>
      </c>
      <c r="H53" s="299">
        <v>10182</v>
      </c>
      <c r="I53" s="299">
        <v>10250</v>
      </c>
      <c r="J53" s="299">
        <v>11424</v>
      </c>
      <c r="K53" s="299">
        <v>10293</v>
      </c>
      <c r="L53" s="299">
        <v>10950</v>
      </c>
      <c r="M53" s="299">
        <v>11610</v>
      </c>
      <c r="N53" s="299">
        <v>11455</v>
      </c>
      <c r="O53" s="299">
        <v>12658</v>
      </c>
      <c r="P53" s="299">
        <v>12216</v>
      </c>
      <c r="Q53" s="299">
        <v>12436</v>
      </c>
      <c r="R53" s="299">
        <v>16159</v>
      </c>
      <c r="S53" s="299">
        <v>13412</v>
      </c>
      <c r="T53" s="299">
        <v>13966</v>
      </c>
      <c r="U53" s="299">
        <v>13960</v>
      </c>
      <c r="V53" s="299">
        <v>14375</v>
      </c>
      <c r="W53" s="299">
        <v>23605</v>
      </c>
      <c r="X53" s="299">
        <v>22754</v>
      </c>
      <c r="Y53" s="299">
        <v>30583</v>
      </c>
      <c r="Z53" s="299">
        <v>28366</v>
      </c>
      <c r="AA53" s="299">
        <v>28124</v>
      </c>
      <c r="AB53" s="299">
        <v>3399</v>
      </c>
      <c r="AC53" s="299">
        <v>0</v>
      </c>
    </row>
    <row r="54" spans="1:29" ht="12.75" x14ac:dyDescent="0.2">
      <c r="A54" s="296" t="s">
        <v>479</v>
      </c>
      <c r="B54" s="305">
        <v>50542</v>
      </c>
      <c r="C54" s="305">
        <v>50269</v>
      </c>
      <c r="D54" s="305">
        <v>51143</v>
      </c>
      <c r="E54" s="305">
        <v>52996</v>
      </c>
      <c r="F54" s="305">
        <v>55074</v>
      </c>
      <c r="G54" s="305">
        <v>57452</v>
      </c>
      <c r="H54" s="305">
        <v>60362</v>
      </c>
      <c r="I54" s="305">
        <v>59944</v>
      </c>
      <c r="J54" s="305">
        <v>67531</v>
      </c>
      <c r="K54" s="305">
        <v>67371</v>
      </c>
      <c r="L54" s="305">
        <v>67615</v>
      </c>
      <c r="M54" s="305">
        <v>70083</v>
      </c>
      <c r="N54" s="305">
        <v>72901</v>
      </c>
      <c r="O54" s="305">
        <v>75762</v>
      </c>
      <c r="P54" s="305">
        <v>79851</v>
      </c>
      <c r="Q54" s="305">
        <v>80066</v>
      </c>
      <c r="R54" s="305">
        <v>85460</v>
      </c>
      <c r="S54" s="305">
        <v>85301</v>
      </c>
      <c r="T54" s="305">
        <v>86169</v>
      </c>
      <c r="U54" s="305">
        <v>86722</v>
      </c>
      <c r="V54" s="305">
        <v>88287</v>
      </c>
      <c r="W54" s="299">
        <v>92782</v>
      </c>
      <c r="X54" s="299">
        <v>95217</v>
      </c>
      <c r="Y54" s="299">
        <v>102051</v>
      </c>
      <c r="Z54" s="299">
        <v>102338</v>
      </c>
      <c r="AA54" s="299">
        <v>111703</v>
      </c>
      <c r="AB54" s="299">
        <v>86317</v>
      </c>
      <c r="AC54" s="299">
        <v>87926</v>
      </c>
    </row>
    <row r="55" spans="1:29" ht="12.75" x14ac:dyDescent="0.2">
      <c r="A55" s="296" t="s">
        <v>480</v>
      </c>
      <c r="B55" s="302"/>
      <c r="C55" s="302"/>
      <c r="D55" s="302"/>
      <c r="E55" s="302"/>
      <c r="F55" s="302"/>
      <c r="G55" s="302"/>
      <c r="H55" s="302"/>
      <c r="I55" s="302"/>
      <c r="J55" s="302"/>
      <c r="K55" s="302"/>
      <c r="L55" s="302"/>
      <c r="M55" s="302"/>
      <c r="N55" s="302"/>
      <c r="O55" s="302"/>
      <c r="P55" s="302"/>
      <c r="Q55" s="302"/>
      <c r="R55" s="302"/>
      <c r="S55" s="302"/>
      <c r="T55" s="302"/>
      <c r="U55" s="302"/>
      <c r="V55" s="302"/>
      <c r="W55" s="302"/>
      <c r="X55" s="297"/>
      <c r="Y55" s="297"/>
      <c r="Z55" s="297"/>
      <c r="AA55" s="297"/>
      <c r="AB55" s="297"/>
      <c r="AC55" s="297"/>
    </row>
    <row r="56" spans="1:29" ht="12.75" x14ac:dyDescent="0.2">
      <c r="A56" s="296" t="s">
        <v>481</v>
      </c>
      <c r="B56" s="298">
        <v>20800</v>
      </c>
      <c r="C56" s="298">
        <v>21162</v>
      </c>
      <c r="D56" s="298">
        <v>24016</v>
      </c>
      <c r="E56" s="298">
        <v>24060</v>
      </c>
      <c r="F56" s="298">
        <v>23821</v>
      </c>
      <c r="G56" s="298">
        <v>23226</v>
      </c>
      <c r="H56" s="298">
        <v>24060</v>
      </c>
      <c r="I56" s="298">
        <v>26430</v>
      </c>
      <c r="J56" s="298">
        <v>23500</v>
      </c>
      <c r="K56" s="298">
        <v>27820</v>
      </c>
      <c r="L56" s="298">
        <v>29340</v>
      </c>
      <c r="M56" s="298">
        <v>27420</v>
      </c>
      <c r="N56" s="298">
        <v>26920</v>
      </c>
      <c r="O56" s="298">
        <v>27893</v>
      </c>
      <c r="P56" s="298">
        <v>27893</v>
      </c>
      <c r="Q56" s="298">
        <v>29881</v>
      </c>
      <c r="R56" s="298">
        <v>28893</v>
      </c>
      <c r="S56" s="298">
        <v>27658</v>
      </c>
      <c r="T56" s="298">
        <v>27287</v>
      </c>
      <c r="U56" s="298">
        <v>29822</v>
      </c>
      <c r="V56" s="298">
        <v>29822</v>
      </c>
      <c r="W56" s="298">
        <v>29822</v>
      </c>
      <c r="X56" s="298">
        <v>29822</v>
      </c>
      <c r="Y56" s="298">
        <v>29822</v>
      </c>
      <c r="Z56" s="298">
        <v>29822</v>
      </c>
      <c r="AA56" s="298">
        <v>35789</v>
      </c>
      <c r="AB56" s="298">
        <v>32000</v>
      </c>
      <c r="AC56" s="298">
        <v>29400</v>
      </c>
    </row>
    <row r="57" spans="1:29" ht="12.75" x14ac:dyDescent="0.2">
      <c r="A57" s="296" t="s">
        <v>482</v>
      </c>
      <c r="B57" s="302"/>
      <c r="C57" s="302"/>
      <c r="D57" s="302"/>
      <c r="E57" s="302"/>
      <c r="F57" s="302"/>
      <c r="G57" s="302"/>
      <c r="H57" s="302"/>
      <c r="I57" s="302"/>
      <c r="J57" s="302"/>
      <c r="K57" s="302"/>
      <c r="L57" s="302"/>
      <c r="M57" s="302"/>
      <c r="N57" s="302"/>
      <c r="O57" s="302"/>
      <c r="P57" s="302"/>
      <c r="Q57" s="302"/>
      <c r="R57" s="302"/>
      <c r="S57" s="302"/>
      <c r="T57" s="302"/>
      <c r="U57" s="302"/>
      <c r="V57" s="302"/>
      <c r="W57" s="302"/>
      <c r="X57" s="297"/>
      <c r="Y57" s="297"/>
      <c r="Z57" s="297"/>
      <c r="AA57" s="297"/>
      <c r="AB57" s="297"/>
      <c r="AC57" s="297"/>
    </row>
    <row r="58" spans="1:29" ht="12.75" x14ac:dyDescent="0.2">
      <c r="A58" s="296" t="s">
        <v>483</v>
      </c>
      <c r="B58" s="298">
        <v>2966</v>
      </c>
      <c r="C58" s="298">
        <v>3164</v>
      </c>
      <c r="D58" s="298">
        <v>3361</v>
      </c>
      <c r="E58" s="298">
        <v>3361</v>
      </c>
      <c r="F58" s="298">
        <v>3361</v>
      </c>
      <c r="G58" s="298">
        <v>3559</v>
      </c>
      <c r="H58" s="298">
        <v>3559</v>
      </c>
      <c r="I58" s="298">
        <v>3559</v>
      </c>
      <c r="J58" s="298">
        <v>3756</v>
      </c>
      <c r="K58" s="298">
        <v>3756</v>
      </c>
      <c r="L58" s="298">
        <v>3756</v>
      </c>
      <c r="M58" s="298">
        <v>4150</v>
      </c>
      <c r="N58" s="298">
        <v>4150</v>
      </c>
      <c r="O58" s="298">
        <v>4150</v>
      </c>
      <c r="P58" s="298">
        <v>4150</v>
      </c>
      <c r="Q58" s="298">
        <v>4150</v>
      </c>
      <c r="R58" s="298">
        <v>4450</v>
      </c>
      <c r="S58" s="298">
        <v>4450</v>
      </c>
      <c r="T58" s="298">
        <v>4450</v>
      </c>
      <c r="U58" s="298">
        <v>4450</v>
      </c>
      <c r="V58" s="298">
        <v>4450</v>
      </c>
      <c r="W58" s="298">
        <v>4450</v>
      </c>
      <c r="X58" s="298">
        <v>4450</v>
      </c>
      <c r="Y58" s="298">
        <v>4450</v>
      </c>
      <c r="Z58" s="298">
        <v>4450</v>
      </c>
      <c r="AA58" s="298">
        <v>4450</v>
      </c>
      <c r="AB58" s="298">
        <v>4450</v>
      </c>
      <c r="AC58" s="298">
        <v>4450</v>
      </c>
    </row>
    <row r="59" spans="1:29" ht="12.75" x14ac:dyDescent="0.2">
      <c r="A59" s="296" t="s">
        <v>484</v>
      </c>
      <c r="B59" s="298">
        <v>14850</v>
      </c>
      <c r="C59" s="298">
        <v>15600</v>
      </c>
      <c r="D59" s="298">
        <v>16574</v>
      </c>
      <c r="E59" s="298">
        <v>16574</v>
      </c>
      <c r="F59" s="298">
        <v>16574</v>
      </c>
      <c r="G59" s="298">
        <v>17549</v>
      </c>
      <c r="H59" s="298">
        <v>17549</v>
      </c>
      <c r="I59" s="298">
        <v>17549</v>
      </c>
      <c r="J59" s="298">
        <v>18017</v>
      </c>
      <c r="K59" s="298">
        <v>18017</v>
      </c>
      <c r="L59" s="298">
        <v>18017</v>
      </c>
      <c r="M59" s="298">
        <v>18962</v>
      </c>
      <c r="N59" s="298">
        <v>18962</v>
      </c>
      <c r="O59" s="298">
        <v>18962</v>
      </c>
      <c r="P59" s="298">
        <v>18962</v>
      </c>
      <c r="Q59" s="298">
        <v>18962</v>
      </c>
      <c r="R59" s="298">
        <v>19450</v>
      </c>
      <c r="S59" s="298">
        <v>19450</v>
      </c>
      <c r="T59" s="298">
        <v>19450</v>
      </c>
      <c r="U59" s="298">
        <v>19450</v>
      </c>
      <c r="V59" s="298">
        <v>19450</v>
      </c>
      <c r="W59" s="298">
        <v>19450</v>
      </c>
      <c r="X59" s="298">
        <v>19450</v>
      </c>
      <c r="Y59" s="298">
        <v>19450</v>
      </c>
      <c r="Z59" s="298">
        <v>19450</v>
      </c>
      <c r="AA59" s="298">
        <v>19450</v>
      </c>
      <c r="AB59" s="298">
        <v>19450</v>
      </c>
      <c r="AC59" s="298">
        <v>19450</v>
      </c>
    </row>
    <row r="60" spans="1:29" ht="12.75" x14ac:dyDescent="0.2">
      <c r="A60" s="296" t="s">
        <v>485</v>
      </c>
      <c r="B60" s="304">
        <v>165000</v>
      </c>
      <c r="C60" s="304">
        <v>173328</v>
      </c>
      <c r="D60" s="304">
        <v>184161</v>
      </c>
      <c r="E60" s="304">
        <v>184161</v>
      </c>
      <c r="F60" s="304">
        <v>184161</v>
      </c>
      <c r="G60" s="304">
        <v>194994</v>
      </c>
      <c r="H60" s="304">
        <v>194994</v>
      </c>
      <c r="I60" s="304">
        <v>194994</v>
      </c>
      <c r="J60" s="304">
        <v>200194</v>
      </c>
      <c r="K60" s="304">
        <v>200194</v>
      </c>
      <c r="L60" s="304">
        <v>200194</v>
      </c>
      <c r="M60" s="304">
        <v>210694</v>
      </c>
      <c r="N60" s="304">
        <v>210694</v>
      </c>
      <c r="O60" s="304">
        <v>210694</v>
      </c>
      <c r="P60" s="304">
        <v>210694</v>
      </c>
      <c r="Q60" s="304">
        <v>210694</v>
      </c>
      <c r="R60" s="304">
        <v>215694</v>
      </c>
      <c r="S60" s="304">
        <v>215694</v>
      </c>
      <c r="T60" s="304">
        <v>215694</v>
      </c>
      <c r="U60" s="304">
        <v>215694</v>
      </c>
      <c r="V60" s="304">
        <v>215694</v>
      </c>
      <c r="W60" s="304">
        <v>225052</v>
      </c>
      <c r="X60" s="298">
        <v>225052</v>
      </c>
      <c r="Y60" s="298">
        <v>225052</v>
      </c>
      <c r="Z60" s="298">
        <v>225052</v>
      </c>
      <c r="AA60" s="298">
        <v>225052</v>
      </c>
      <c r="AB60" s="298">
        <v>225052</v>
      </c>
      <c r="AC60" s="298">
        <v>225052</v>
      </c>
    </row>
    <row r="61" spans="1:29" ht="12.75" x14ac:dyDescent="0.2">
      <c r="A61" s="296" t="s">
        <v>486</v>
      </c>
      <c r="B61" s="299">
        <v>182816</v>
      </c>
      <c r="C61" s="299">
        <v>192092</v>
      </c>
      <c r="D61" s="299">
        <v>204096</v>
      </c>
      <c r="E61" s="299">
        <v>204096</v>
      </c>
      <c r="F61" s="299">
        <v>204096</v>
      </c>
      <c r="G61" s="299">
        <v>216102</v>
      </c>
      <c r="H61" s="299">
        <v>216102</v>
      </c>
      <c r="I61" s="299">
        <v>216102</v>
      </c>
      <c r="J61" s="299">
        <v>221967</v>
      </c>
      <c r="K61" s="299">
        <v>221967</v>
      </c>
      <c r="L61" s="299">
        <v>221967</v>
      </c>
      <c r="M61" s="299">
        <v>233806</v>
      </c>
      <c r="N61" s="299">
        <v>233806</v>
      </c>
      <c r="O61" s="299">
        <v>233806</v>
      </c>
      <c r="P61" s="299">
        <v>233806</v>
      </c>
      <c r="Q61" s="299">
        <v>233806</v>
      </c>
      <c r="R61" s="299">
        <v>239594</v>
      </c>
      <c r="S61" s="299">
        <v>239594</v>
      </c>
      <c r="T61" s="299">
        <v>239594</v>
      </c>
      <c r="U61" s="299">
        <v>239594</v>
      </c>
      <c r="V61" s="299">
        <v>239594</v>
      </c>
      <c r="W61" s="299">
        <v>248952</v>
      </c>
      <c r="X61" s="299">
        <v>248952</v>
      </c>
      <c r="Y61" s="299">
        <v>248952</v>
      </c>
      <c r="Z61" s="299">
        <v>248952</v>
      </c>
      <c r="AA61" s="299">
        <v>248952</v>
      </c>
      <c r="AB61" s="299">
        <v>248952</v>
      </c>
      <c r="AC61" s="299">
        <v>248952</v>
      </c>
    </row>
    <row r="62" spans="1:29" ht="12.75" x14ac:dyDescent="0.2">
      <c r="A62" s="296" t="s">
        <v>487</v>
      </c>
      <c r="B62" s="299">
        <v>203616</v>
      </c>
      <c r="C62" s="299">
        <v>213254</v>
      </c>
      <c r="D62" s="299">
        <v>228112</v>
      </c>
      <c r="E62" s="299">
        <v>228156</v>
      </c>
      <c r="F62" s="299">
        <v>227917</v>
      </c>
      <c r="G62" s="299">
        <v>239328</v>
      </c>
      <c r="H62" s="299">
        <v>240162</v>
      </c>
      <c r="I62" s="299">
        <v>242532</v>
      </c>
      <c r="J62" s="299">
        <v>245467</v>
      </c>
      <c r="K62" s="299">
        <v>249787</v>
      </c>
      <c r="L62" s="299">
        <v>251307</v>
      </c>
      <c r="M62" s="299">
        <v>261226</v>
      </c>
      <c r="N62" s="299">
        <v>260726</v>
      </c>
      <c r="O62" s="299">
        <v>261699</v>
      </c>
      <c r="P62" s="299">
        <v>261699</v>
      </c>
      <c r="Q62" s="299">
        <v>263687</v>
      </c>
      <c r="R62" s="299">
        <v>268487</v>
      </c>
      <c r="S62" s="299">
        <v>267252</v>
      </c>
      <c r="T62" s="299">
        <v>266881</v>
      </c>
      <c r="U62" s="299">
        <v>269416</v>
      </c>
      <c r="V62" s="299">
        <v>269416</v>
      </c>
      <c r="W62" s="299">
        <v>278774</v>
      </c>
      <c r="X62" s="299">
        <v>278774</v>
      </c>
      <c r="Y62" s="299">
        <v>278774</v>
      </c>
      <c r="Z62" s="299">
        <v>278774</v>
      </c>
      <c r="AA62" s="299">
        <v>284741</v>
      </c>
      <c r="AB62" s="299">
        <v>280952</v>
      </c>
      <c r="AC62" s="299">
        <v>278352</v>
      </c>
    </row>
    <row r="63" spans="1:29" ht="12.75" x14ac:dyDescent="0.2">
      <c r="A63" s="296" t="s">
        <v>12</v>
      </c>
      <c r="B63" s="297"/>
      <c r="C63" s="297"/>
      <c r="D63" s="297"/>
      <c r="E63" s="297"/>
      <c r="F63" s="297"/>
      <c r="G63" s="297"/>
      <c r="H63" s="297"/>
      <c r="I63" s="297"/>
      <c r="J63" s="297"/>
      <c r="K63" s="297"/>
      <c r="L63" s="297"/>
      <c r="M63" s="297"/>
      <c r="N63" s="297"/>
      <c r="O63" s="297"/>
      <c r="P63" s="297"/>
      <c r="Q63" s="297"/>
      <c r="R63" s="297"/>
      <c r="S63" s="297"/>
      <c r="T63" s="297"/>
      <c r="U63" s="297"/>
      <c r="V63" s="297"/>
      <c r="W63" s="300"/>
      <c r="X63" s="297"/>
      <c r="Y63" s="297"/>
      <c r="Z63" s="297"/>
      <c r="AA63" s="297"/>
      <c r="AB63" s="297"/>
      <c r="AC63" s="297"/>
    </row>
    <row r="64" spans="1:29" ht="12.75" x14ac:dyDescent="0.2">
      <c r="A64" s="296" t="s">
        <v>186</v>
      </c>
      <c r="B64" s="302"/>
      <c r="C64" s="302"/>
      <c r="D64" s="302"/>
      <c r="E64" s="302"/>
      <c r="F64" s="302"/>
      <c r="G64" s="302"/>
      <c r="H64" s="302"/>
      <c r="I64" s="302"/>
      <c r="J64" s="302"/>
      <c r="K64" s="302"/>
      <c r="L64" s="302"/>
      <c r="M64" s="302"/>
      <c r="N64" s="302"/>
      <c r="O64" s="302"/>
      <c r="P64" s="302"/>
      <c r="Q64" s="302"/>
      <c r="R64" s="302"/>
      <c r="S64" s="302"/>
      <c r="T64" s="302"/>
      <c r="U64" s="302"/>
      <c r="V64" s="302"/>
      <c r="W64" s="302"/>
      <c r="X64" s="297"/>
      <c r="Y64" s="297"/>
      <c r="Z64" s="297"/>
      <c r="AA64" s="297"/>
      <c r="AB64" s="297"/>
      <c r="AC64" s="297"/>
    </row>
    <row r="65" spans="1:29" ht="12.75" x14ac:dyDescent="0.2">
      <c r="A65" s="296" t="s">
        <v>488</v>
      </c>
      <c r="B65" s="298">
        <v>43624</v>
      </c>
      <c r="C65" s="298">
        <v>46167</v>
      </c>
      <c r="D65" s="298">
        <v>48966</v>
      </c>
      <c r="E65" s="298">
        <v>51878</v>
      </c>
      <c r="F65" s="298">
        <v>55509</v>
      </c>
      <c r="G65" s="298">
        <v>57730</v>
      </c>
      <c r="H65" s="298">
        <v>66678</v>
      </c>
      <c r="I65" s="298">
        <v>72175</v>
      </c>
      <c r="J65" s="298">
        <v>95583</v>
      </c>
      <c r="K65" s="298">
        <v>100753</v>
      </c>
      <c r="L65" s="298">
        <v>121866</v>
      </c>
      <c r="M65" s="298">
        <v>132194</v>
      </c>
      <c r="N65" s="298">
        <v>135234</v>
      </c>
      <c r="O65" s="298">
        <v>156382</v>
      </c>
      <c r="P65" s="298">
        <v>158221</v>
      </c>
      <c r="Q65" s="298">
        <v>156382</v>
      </c>
      <c r="R65" s="298">
        <v>171134</v>
      </c>
      <c r="S65" s="298">
        <v>168772</v>
      </c>
      <c r="T65" s="298">
        <v>166219</v>
      </c>
      <c r="U65" s="298">
        <v>168021</v>
      </c>
      <c r="V65" s="298">
        <v>172114</v>
      </c>
      <c r="W65" s="298">
        <v>152043</v>
      </c>
      <c r="X65" s="298">
        <v>163012</v>
      </c>
      <c r="Y65" s="298">
        <v>175421</v>
      </c>
      <c r="Z65" s="298">
        <v>179427</v>
      </c>
      <c r="AA65" s="298">
        <v>185764</v>
      </c>
      <c r="AB65" s="298">
        <v>175764</v>
      </c>
      <c r="AC65" s="298">
        <v>167469</v>
      </c>
    </row>
    <row r="66" spans="1:29" ht="12.75" x14ac:dyDescent="0.2">
      <c r="A66" s="296" t="s">
        <v>489</v>
      </c>
      <c r="B66" s="300"/>
      <c r="C66" s="300"/>
      <c r="D66" s="300"/>
      <c r="E66" s="300"/>
      <c r="F66" s="300"/>
      <c r="G66" s="300"/>
      <c r="H66" s="300"/>
      <c r="I66" s="300"/>
      <c r="J66" s="300"/>
      <c r="K66" s="302"/>
      <c r="L66" s="302"/>
      <c r="M66" s="302"/>
      <c r="N66" s="302"/>
      <c r="O66" s="302"/>
      <c r="P66" s="302"/>
      <c r="Q66" s="302"/>
      <c r="R66" s="302"/>
      <c r="S66" s="302"/>
      <c r="T66" s="302"/>
      <c r="U66" s="302"/>
      <c r="V66" s="302"/>
      <c r="W66" s="302"/>
      <c r="X66" s="297"/>
      <c r="Y66" s="297"/>
      <c r="Z66" s="297"/>
      <c r="AA66" s="297"/>
      <c r="AB66" s="297"/>
      <c r="AC66" s="297"/>
    </row>
    <row r="67" spans="1:29" ht="12.75" x14ac:dyDescent="0.2">
      <c r="A67" s="296" t="s">
        <v>490</v>
      </c>
      <c r="B67" s="301">
        <v>450</v>
      </c>
      <c r="C67" s="301">
        <v>450</v>
      </c>
      <c r="D67" s="301">
        <v>450</v>
      </c>
      <c r="E67" s="301">
        <v>450</v>
      </c>
      <c r="F67" s="301">
        <v>450</v>
      </c>
      <c r="G67" s="301">
        <v>450</v>
      </c>
      <c r="H67" s="298">
        <v>900</v>
      </c>
      <c r="I67" s="298">
        <v>900</v>
      </c>
      <c r="J67" s="298">
        <v>900</v>
      </c>
      <c r="K67" s="298">
        <v>1350</v>
      </c>
      <c r="L67" s="298">
        <v>1350</v>
      </c>
      <c r="M67" s="298">
        <v>1350</v>
      </c>
      <c r="N67" s="298">
        <v>1800</v>
      </c>
      <c r="O67" s="298">
        <v>1800</v>
      </c>
      <c r="P67" s="298">
        <v>1800</v>
      </c>
      <c r="Q67" s="298">
        <v>1800</v>
      </c>
      <c r="R67" s="298">
        <v>1800</v>
      </c>
      <c r="S67" s="298">
        <v>1800</v>
      </c>
      <c r="T67" s="298">
        <v>1800</v>
      </c>
      <c r="U67" s="298">
        <v>1800</v>
      </c>
      <c r="V67" s="298">
        <v>1800</v>
      </c>
      <c r="W67" s="298">
        <v>1800</v>
      </c>
      <c r="X67" s="298">
        <v>1800</v>
      </c>
      <c r="Y67" s="298">
        <v>1800</v>
      </c>
      <c r="Z67" s="298">
        <v>1800</v>
      </c>
      <c r="AA67" s="298">
        <v>1800</v>
      </c>
      <c r="AB67" s="298">
        <v>1800</v>
      </c>
      <c r="AC67" s="298">
        <v>1800</v>
      </c>
    </row>
    <row r="68" spans="1:29" ht="12.75" x14ac:dyDescent="0.2">
      <c r="A68" s="296" t="s">
        <v>491</v>
      </c>
      <c r="B68" s="298">
        <v>529</v>
      </c>
      <c r="C68" s="298">
        <v>529</v>
      </c>
      <c r="D68" s="298">
        <v>529</v>
      </c>
      <c r="E68" s="298">
        <v>529</v>
      </c>
      <c r="F68" s="298">
        <v>529</v>
      </c>
      <c r="G68" s="298">
        <v>529</v>
      </c>
      <c r="H68" s="298">
        <v>1058</v>
      </c>
      <c r="I68" s="298">
        <v>1058</v>
      </c>
      <c r="J68" s="298">
        <v>1058</v>
      </c>
      <c r="K68" s="298">
        <v>1586</v>
      </c>
      <c r="L68" s="298">
        <v>1586</v>
      </c>
      <c r="M68" s="298">
        <v>1586</v>
      </c>
      <c r="N68" s="298">
        <v>2115</v>
      </c>
      <c r="O68" s="298">
        <v>2115</v>
      </c>
      <c r="P68" s="298">
        <v>2115</v>
      </c>
      <c r="Q68" s="298">
        <v>2115</v>
      </c>
      <c r="R68" s="298">
        <v>2115</v>
      </c>
      <c r="S68" s="298">
        <v>2115</v>
      </c>
      <c r="T68" s="298">
        <v>2115</v>
      </c>
      <c r="U68" s="298">
        <v>2115</v>
      </c>
      <c r="V68" s="298">
        <v>2115</v>
      </c>
      <c r="W68" s="298">
        <v>2115</v>
      </c>
      <c r="X68" s="298">
        <v>2115</v>
      </c>
      <c r="Y68" s="298">
        <v>2115</v>
      </c>
      <c r="Z68" s="298">
        <v>2115</v>
      </c>
      <c r="AA68" s="298">
        <v>2115</v>
      </c>
      <c r="AB68" s="298">
        <v>2115</v>
      </c>
      <c r="AC68" s="298">
        <v>2115</v>
      </c>
    </row>
    <row r="69" spans="1:29" ht="12.75" x14ac:dyDescent="0.2">
      <c r="A69" s="296" t="s">
        <v>492</v>
      </c>
      <c r="B69" s="304">
        <v>5875</v>
      </c>
      <c r="C69" s="304">
        <v>5875</v>
      </c>
      <c r="D69" s="304">
        <v>5875</v>
      </c>
      <c r="E69" s="304">
        <v>5875</v>
      </c>
      <c r="F69" s="304">
        <v>5875</v>
      </c>
      <c r="G69" s="304">
        <v>5875</v>
      </c>
      <c r="H69" s="304">
        <v>11750</v>
      </c>
      <c r="I69" s="304">
        <v>11750</v>
      </c>
      <c r="J69" s="304">
        <v>11750</v>
      </c>
      <c r="K69" s="304">
        <v>17625</v>
      </c>
      <c r="L69" s="304">
        <v>17625</v>
      </c>
      <c r="M69" s="304">
        <v>17625</v>
      </c>
      <c r="N69" s="304">
        <v>23500</v>
      </c>
      <c r="O69" s="304">
        <v>23500</v>
      </c>
      <c r="P69" s="304">
        <v>23500</v>
      </c>
      <c r="Q69" s="304">
        <v>23500</v>
      </c>
      <c r="R69" s="304">
        <v>23500</v>
      </c>
      <c r="S69" s="304">
        <v>23500</v>
      </c>
      <c r="T69" s="304">
        <v>23500</v>
      </c>
      <c r="U69" s="304">
        <v>23500</v>
      </c>
      <c r="V69" s="304">
        <v>23500</v>
      </c>
      <c r="W69" s="304">
        <v>23500</v>
      </c>
      <c r="X69" s="298">
        <v>23500</v>
      </c>
      <c r="Y69" s="298">
        <v>23500</v>
      </c>
      <c r="Z69" s="298">
        <v>23500</v>
      </c>
      <c r="AA69" s="298">
        <v>23500</v>
      </c>
      <c r="AB69" s="298">
        <v>23500</v>
      </c>
      <c r="AC69" s="298">
        <v>23500</v>
      </c>
    </row>
    <row r="70" spans="1:29" ht="12.75" x14ac:dyDescent="0.2">
      <c r="A70" s="296" t="s">
        <v>493</v>
      </c>
      <c r="B70" s="299">
        <v>6854</v>
      </c>
      <c r="C70" s="299">
        <v>6854</v>
      </c>
      <c r="D70" s="299">
        <v>6854</v>
      </c>
      <c r="E70" s="299">
        <v>6854</v>
      </c>
      <c r="F70" s="299">
        <v>6854</v>
      </c>
      <c r="G70" s="299">
        <v>6854</v>
      </c>
      <c r="H70" s="299">
        <v>13708</v>
      </c>
      <c r="I70" s="299">
        <v>13708</v>
      </c>
      <c r="J70" s="299">
        <v>13708</v>
      </c>
      <c r="K70" s="299">
        <v>20561</v>
      </c>
      <c r="L70" s="299">
        <v>20561</v>
      </c>
      <c r="M70" s="299">
        <v>20561</v>
      </c>
      <c r="N70" s="299">
        <v>27415</v>
      </c>
      <c r="O70" s="299">
        <v>27415</v>
      </c>
      <c r="P70" s="299">
        <v>27415</v>
      </c>
      <c r="Q70" s="299">
        <v>27415</v>
      </c>
      <c r="R70" s="299">
        <v>27415</v>
      </c>
      <c r="S70" s="299">
        <v>27415</v>
      </c>
      <c r="T70" s="299">
        <v>27415</v>
      </c>
      <c r="U70" s="299">
        <v>27415</v>
      </c>
      <c r="V70" s="299">
        <v>27415</v>
      </c>
      <c r="W70" s="299">
        <v>27415</v>
      </c>
      <c r="X70" s="299">
        <v>27415</v>
      </c>
      <c r="Y70" s="299">
        <v>27415</v>
      </c>
      <c r="Z70" s="299">
        <v>27415</v>
      </c>
      <c r="AA70" s="299">
        <v>27415</v>
      </c>
      <c r="AB70" s="299">
        <v>27415</v>
      </c>
      <c r="AC70" s="299">
        <v>27415</v>
      </c>
    </row>
    <row r="71" spans="1:29" ht="12.75" x14ac:dyDescent="0.2">
      <c r="A71" s="296" t="s">
        <v>494</v>
      </c>
      <c r="B71" s="304">
        <v>352</v>
      </c>
      <c r="C71" s="303"/>
      <c r="D71" s="303"/>
      <c r="E71" s="303"/>
      <c r="F71" s="303"/>
      <c r="G71" s="303"/>
      <c r="H71" s="303"/>
      <c r="I71" s="303"/>
      <c r="J71" s="303"/>
      <c r="K71" s="303"/>
      <c r="L71" s="303"/>
      <c r="M71" s="303"/>
      <c r="N71" s="304">
        <v>2596</v>
      </c>
      <c r="O71" s="304">
        <v>2743</v>
      </c>
      <c r="P71" s="304">
        <v>2942</v>
      </c>
      <c r="Q71" s="304">
        <v>3086</v>
      </c>
      <c r="R71" s="304">
        <v>3284</v>
      </c>
      <c r="S71" s="304">
        <v>3398</v>
      </c>
      <c r="T71" s="304">
        <v>3535</v>
      </c>
      <c r="U71" s="304">
        <v>3755</v>
      </c>
      <c r="V71" s="304">
        <v>3869</v>
      </c>
      <c r="W71" s="304">
        <v>3869</v>
      </c>
      <c r="X71" s="298">
        <v>4315</v>
      </c>
      <c r="Y71" s="298">
        <v>3869</v>
      </c>
      <c r="Z71" s="298">
        <v>3869</v>
      </c>
      <c r="AA71" s="298">
        <v>3869</v>
      </c>
      <c r="AB71" s="298">
        <v>3869</v>
      </c>
      <c r="AC71" s="298">
        <v>3869</v>
      </c>
    </row>
    <row r="72" spans="1:29" ht="12.75" x14ac:dyDescent="0.2">
      <c r="A72" s="296" t="s">
        <v>495</v>
      </c>
      <c r="B72" s="299">
        <v>50830</v>
      </c>
      <c r="C72" s="299">
        <v>53021</v>
      </c>
      <c r="D72" s="299">
        <v>55820</v>
      </c>
      <c r="E72" s="299">
        <v>58732</v>
      </c>
      <c r="F72" s="299">
        <v>62363</v>
      </c>
      <c r="G72" s="299">
        <v>64584</v>
      </c>
      <c r="H72" s="299">
        <v>80386</v>
      </c>
      <c r="I72" s="299">
        <v>85883</v>
      </c>
      <c r="J72" s="299">
        <v>109291</v>
      </c>
      <c r="K72" s="299">
        <v>121314</v>
      </c>
      <c r="L72" s="299">
        <v>142427</v>
      </c>
      <c r="M72" s="299">
        <v>152755</v>
      </c>
      <c r="N72" s="299">
        <v>165245</v>
      </c>
      <c r="O72" s="299">
        <v>186540</v>
      </c>
      <c r="P72" s="299">
        <v>188578</v>
      </c>
      <c r="Q72" s="299">
        <v>186883</v>
      </c>
      <c r="R72" s="299">
        <v>201833</v>
      </c>
      <c r="S72" s="299">
        <v>199585</v>
      </c>
      <c r="T72" s="299">
        <v>197169</v>
      </c>
      <c r="U72" s="299">
        <v>199191</v>
      </c>
      <c r="V72" s="299">
        <v>203398</v>
      </c>
      <c r="W72" s="299">
        <v>183327</v>
      </c>
      <c r="X72" s="299">
        <v>194742</v>
      </c>
      <c r="Y72" s="299">
        <v>206705</v>
      </c>
      <c r="Z72" s="299">
        <v>210711</v>
      </c>
      <c r="AA72" s="299">
        <v>217048</v>
      </c>
      <c r="AB72" s="299">
        <v>207048</v>
      </c>
      <c r="AC72" s="299">
        <v>198753</v>
      </c>
    </row>
    <row r="73" spans="1:29" ht="12.75" x14ac:dyDescent="0.2">
      <c r="A73" s="296" t="s">
        <v>496</v>
      </c>
      <c r="B73" s="301">
        <v>0</v>
      </c>
      <c r="C73" s="301">
        <v>500</v>
      </c>
      <c r="D73" s="301">
        <v>0</v>
      </c>
      <c r="E73" s="301">
        <v>0</v>
      </c>
      <c r="F73" s="301">
        <v>0</v>
      </c>
      <c r="G73" s="301">
        <v>0</v>
      </c>
      <c r="H73" s="301">
        <v>0</v>
      </c>
      <c r="I73" s="301">
        <v>0</v>
      </c>
      <c r="J73" s="301">
        <v>0</v>
      </c>
      <c r="K73" s="301">
        <v>0</v>
      </c>
      <c r="L73" s="301">
        <v>0</v>
      </c>
      <c r="M73" s="301">
        <v>0</v>
      </c>
      <c r="N73" s="301">
        <v>0</v>
      </c>
      <c r="O73" s="301">
        <v>0</v>
      </c>
      <c r="P73" s="301">
        <v>0</v>
      </c>
      <c r="Q73" s="301">
        <v>0</v>
      </c>
      <c r="R73" s="301">
        <v>0</v>
      </c>
      <c r="S73" s="301">
        <v>0</v>
      </c>
      <c r="T73" s="301">
        <v>0</v>
      </c>
      <c r="U73" s="301">
        <v>0</v>
      </c>
      <c r="V73" s="301">
        <v>0</v>
      </c>
      <c r="W73" s="301">
        <v>0</v>
      </c>
      <c r="X73" s="301">
        <v>0</v>
      </c>
      <c r="Y73" s="301">
        <v>0</v>
      </c>
      <c r="Z73" s="301">
        <v>0</v>
      </c>
      <c r="AA73" s="301">
        <v>0</v>
      </c>
      <c r="AB73" s="301">
        <v>0</v>
      </c>
      <c r="AC73" s="301">
        <v>0</v>
      </c>
    </row>
    <row r="74" spans="1:29" ht="12.75" x14ac:dyDescent="0.2">
      <c r="A74" s="296" t="s">
        <v>196</v>
      </c>
      <c r="B74" s="300"/>
      <c r="C74" s="300"/>
      <c r="D74" s="300"/>
      <c r="E74" s="300"/>
      <c r="F74" s="300"/>
      <c r="G74" s="300"/>
      <c r="H74" s="300"/>
      <c r="I74" s="300"/>
      <c r="J74" s="300"/>
      <c r="K74" s="302"/>
      <c r="L74" s="302"/>
      <c r="M74" s="302"/>
      <c r="N74" s="302"/>
      <c r="O74" s="302"/>
      <c r="P74" s="302"/>
      <c r="Q74" s="302"/>
      <c r="R74" s="302"/>
      <c r="S74" s="302"/>
      <c r="T74" s="302"/>
      <c r="U74" s="302"/>
      <c r="V74" s="302"/>
      <c r="W74" s="302"/>
      <c r="X74" s="297"/>
      <c r="Y74" s="297"/>
      <c r="Z74" s="297"/>
      <c r="AA74" s="297"/>
      <c r="AB74" s="297"/>
      <c r="AC74" s="297"/>
    </row>
    <row r="75" spans="1:29" ht="12.75" x14ac:dyDescent="0.2">
      <c r="A75" s="296" t="s">
        <v>497</v>
      </c>
      <c r="B75" s="300"/>
      <c r="C75" s="300"/>
      <c r="D75" s="302"/>
      <c r="E75" s="302"/>
      <c r="F75" s="302"/>
      <c r="G75" s="302"/>
      <c r="H75" s="302"/>
      <c r="I75" s="302"/>
      <c r="J75" s="302"/>
      <c r="K75" s="302"/>
      <c r="L75" s="302"/>
      <c r="M75" s="302"/>
      <c r="N75" s="302"/>
      <c r="O75" s="302"/>
      <c r="P75" s="302"/>
      <c r="Q75" s="302"/>
      <c r="R75" s="302"/>
      <c r="S75" s="302"/>
      <c r="T75" s="302"/>
      <c r="U75" s="302"/>
      <c r="V75" s="302"/>
      <c r="W75" s="302"/>
      <c r="X75" s="297"/>
      <c r="Y75" s="297"/>
      <c r="Z75" s="297"/>
      <c r="AA75" s="297"/>
      <c r="AB75" s="297"/>
      <c r="AC75" s="297"/>
    </row>
    <row r="76" spans="1:29" ht="12.75" x14ac:dyDescent="0.2">
      <c r="A76" s="296" t="s">
        <v>498</v>
      </c>
      <c r="B76" s="298">
        <v>394</v>
      </c>
      <c r="C76" s="298">
        <v>394</v>
      </c>
      <c r="D76" s="298">
        <v>591</v>
      </c>
      <c r="E76" s="298">
        <v>591</v>
      </c>
      <c r="F76" s="298">
        <v>591</v>
      </c>
      <c r="G76" s="298">
        <v>788</v>
      </c>
      <c r="H76" s="298">
        <v>985</v>
      </c>
      <c r="I76" s="298">
        <v>985</v>
      </c>
      <c r="J76" s="298">
        <v>985</v>
      </c>
      <c r="K76" s="298">
        <v>1182</v>
      </c>
      <c r="L76" s="298">
        <v>1182</v>
      </c>
      <c r="M76" s="298">
        <v>1379</v>
      </c>
      <c r="N76" s="298">
        <v>1379</v>
      </c>
      <c r="O76" s="298">
        <v>1576</v>
      </c>
      <c r="P76" s="298">
        <v>1576</v>
      </c>
      <c r="Q76" s="298">
        <v>1576</v>
      </c>
      <c r="R76" s="298">
        <v>1576</v>
      </c>
      <c r="S76" s="298">
        <v>1576</v>
      </c>
      <c r="T76" s="298">
        <v>1576</v>
      </c>
      <c r="U76" s="298">
        <v>1576</v>
      </c>
      <c r="V76" s="298">
        <v>1576</v>
      </c>
      <c r="W76" s="298">
        <v>1576</v>
      </c>
      <c r="X76" s="298">
        <v>1576</v>
      </c>
      <c r="Y76" s="298">
        <v>1576</v>
      </c>
      <c r="Z76" s="298">
        <v>1576</v>
      </c>
      <c r="AA76" s="298">
        <v>1576</v>
      </c>
      <c r="AB76" s="298">
        <v>1576</v>
      </c>
      <c r="AC76" s="298">
        <v>1576</v>
      </c>
    </row>
    <row r="77" spans="1:29" ht="12.75" x14ac:dyDescent="0.2">
      <c r="A77" s="296" t="s">
        <v>499</v>
      </c>
      <c r="B77" s="298">
        <v>900</v>
      </c>
      <c r="C77" s="298">
        <v>900</v>
      </c>
      <c r="D77" s="298">
        <v>1350</v>
      </c>
      <c r="E77" s="298">
        <v>1350</v>
      </c>
      <c r="F77" s="298">
        <v>1350</v>
      </c>
      <c r="G77" s="298">
        <v>1800</v>
      </c>
      <c r="H77" s="298">
        <v>2205</v>
      </c>
      <c r="I77" s="298">
        <v>2205</v>
      </c>
      <c r="J77" s="298">
        <v>2205</v>
      </c>
      <c r="K77" s="298">
        <v>2700</v>
      </c>
      <c r="L77" s="298">
        <v>2700</v>
      </c>
      <c r="M77" s="298">
        <v>3150</v>
      </c>
      <c r="N77" s="298">
        <v>3150</v>
      </c>
      <c r="O77" s="298">
        <v>3645</v>
      </c>
      <c r="P77" s="298">
        <v>3645</v>
      </c>
      <c r="Q77" s="298">
        <v>3645</v>
      </c>
      <c r="R77" s="298">
        <v>3645</v>
      </c>
      <c r="S77" s="298">
        <v>3645</v>
      </c>
      <c r="T77" s="298">
        <v>3645</v>
      </c>
      <c r="U77" s="298">
        <v>3645</v>
      </c>
      <c r="V77" s="298">
        <v>3645</v>
      </c>
      <c r="W77" s="298">
        <v>3645</v>
      </c>
      <c r="X77" s="298">
        <v>3645</v>
      </c>
      <c r="Y77" s="298">
        <v>3645</v>
      </c>
      <c r="Z77" s="298">
        <v>3645</v>
      </c>
      <c r="AA77" s="298">
        <v>3645</v>
      </c>
      <c r="AB77" s="298">
        <v>3645</v>
      </c>
      <c r="AC77" s="298">
        <v>3645</v>
      </c>
    </row>
    <row r="78" spans="1:29" ht="12.75" x14ac:dyDescent="0.2">
      <c r="A78" s="296" t="s">
        <v>500</v>
      </c>
      <c r="B78" s="304">
        <v>10000</v>
      </c>
      <c r="C78" s="304">
        <v>10000</v>
      </c>
      <c r="D78" s="304">
        <v>15000</v>
      </c>
      <c r="E78" s="304">
        <v>15000</v>
      </c>
      <c r="F78" s="304">
        <v>15000</v>
      </c>
      <c r="G78" s="304">
        <v>20000</v>
      </c>
      <c r="H78" s="304">
        <v>24500</v>
      </c>
      <c r="I78" s="304">
        <v>24500</v>
      </c>
      <c r="J78" s="304">
        <v>24500</v>
      </c>
      <c r="K78" s="304">
        <v>30000</v>
      </c>
      <c r="L78" s="304">
        <v>30000</v>
      </c>
      <c r="M78" s="304">
        <v>35000</v>
      </c>
      <c r="N78" s="304">
        <v>35000</v>
      </c>
      <c r="O78" s="304">
        <v>40500</v>
      </c>
      <c r="P78" s="304">
        <v>40500</v>
      </c>
      <c r="Q78" s="304">
        <v>40500</v>
      </c>
      <c r="R78" s="304">
        <v>40500</v>
      </c>
      <c r="S78" s="304">
        <v>40500</v>
      </c>
      <c r="T78" s="304">
        <v>40500</v>
      </c>
      <c r="U78" s="304">
        <v>40500</v>
      </c>
      <c r="V78" s="304">
        <v>40500</v>
      </c>
      <c r="W78" s="304">
        <v>40500</v>
      </c>
      <c r="X78" s="298">
        <v>40500</v>
      </c>
      <c r="Y78" s="298">
        <v>40500</v>
      </c>
      <c r="Z78" s="298">
        <v>40500</v>
      </c>
      <c r="AA78" s="298">
        <v>40500</v>
      </c>
      <c r="AB78" s="298">
        <v>40500</v>
      </c>
      <c r="AC78" s="298">
        <v>40500</v>
      </c>
    </row>
    <row r="79" spans="1:29" ht="12.75" x14ac:dyDescent="0.2">
      <c r="A79" s="296" t="s">
        <v>501</v>
      </c>
      <c r="B79" s="304">
        <v>11652</v>
      </c>
      <c r="C79" s="304">
        <v>14166</v>
      </c>
      <c r="D79" s="304">
        <v>21021</v>
      </c>
      <c r="E79" s="304">
        <v>21868</v>
      </c>
      <c r="F79" s="304">
        <v>27274</v>
      </c>
      <c r="G79" s="304">
        <v>16676</v>
      </c>
      <c r="H79" s="304">
        <v>24845</v>
      </c>
      <c r="I79" s="304">
        <v>25937</v>
      </c>
      <c r="J79" s="304">
        <v>26800</v>
      </c>
      <c r="K79" s="304">
        <v>29607</v>
      </c>
      <c r="L79" s="304">
        <v>28195</v>
      </c>
      <c r="M79" s="304">
        <v>31733</v>
      </c>
      <c r="N79" s="304">
        <v>29875</v>
      </c>
      <c r="O79" s="304">
        <v>31767</v>
      </c>
      <c r="P79" s="304">
        <v>33744</v>
      </c>
      <c r="Q79" s="304">
        <v>32911</v>
      </c>
      <c r="R79" s="304">
        <v>38116</v>
      </c>
      <c r="S79" s="304">
        <v>37096</v>
      </c>
      <c r="T79" s="304">
        <v>37962</v>
      </c>
      <c r="U79" s="304">
        <v>38719</v>
      </c>
      <c r="V79" s="304">
        <v>41789</v>
      </c>
      <c r="W79" s="304">
        <v>44555</v>
      </c>
      <c r="X79" s="298">
        <v>49785</v>
      </c>
      <c r="Y79" s="298">
        <v>52007</v>
      </c>
      <c r="Z79" s="298">
        <v>52007</v>
      </c>
      <c r="AA79" s="298">
        <v>59124</v>
      </c>
      <c r="AB79" s="298">
        <v>39117</v>
      </c>
      <c r="AC79" s="298">
        <v>35989</v>
      </c>
    </row>
    <row r="80" spans="1:29" ht="12.75" x14ac:dyDescent="0.2">
      <c r="A80" s="296" t="s">
        <v>502</v>
      </c>
      <c r="B80" s="299">
        <v>22946</v>
      </c>
      <c r="C80" s="299">
        <v>25460</v>
      </c>
      <c r="D80" s="299">
        <v>37962</v>
      </c>
      <c r="E80" s="299">
        <v>38809</v>
      </c>
      <c r="F80" s="299">
        <v>44215</v>
      </c>
      <c r="G80" s="299">
        <v>39264</v>
      </c>
      <c r="H80" s="299">
        <v>52535</v>
      </c>
      <c r="I80" s="299">
        <v>53627</v>
      </c>
      <c r="J80" s="299">
        <v>54490</v>
      </c>
      <c r="K80" s="299">
        <v>63489</v>
      </c>
      <c r="L80" s="299">
        <v>62077</v>
      </c>
      <c r="M80" s="299">
        <v>71262</v>
      </c>
      <c r="N80" s="299">
        <v>69404</v>
      </c>
      <c r="O80" s="299">
        <v>77488</v>
      </c>
      <c r="P80" s="299">
        <v>79465</v>
      </c>
      <c r="Q80" s="299">
        <v>78632</v>
      </c>
      <c r="R80" s="299">
        <v>83837</v>
      </c>
      <c r="S80" s="299">
        <v>82817</v>
      </c>
      <c r="T80" s="299">
        <v>83683</v>
      </c>
      <c r="U80" s="299">
        <v>84440</v>
      </c>
      <c r="V80" s="299">
        <v>87510</v>
      </c>
      <c r="W80" s="299">
        <v>90276</v>
      </c>
      <c r="X80" s="299">
        <v>95506</v>
      </c>
      <c r="Y80" s="299">
        <v>97728</v>
      </c>
      <c r="Z80" s="299">
        <v>97728</v>
      </c>
      <c r="AA80" s="299">
        <v>104845</v>
      </c>
      <c r="AB80" s="299">
        <v>84838</v>
      </c>
      <c r="AC80" s="299">
        <v>81710</v>
      </c>
    </row>
    <row r="81" spans="1:29" ht="12.75" x14ac:dyDescent="0.2">
      <c r="A81" s="296" t="s">
        <v>503</v>
      </c>
      <c r="B81" s="304">
        <v>77</v>
      </c>
      <c r="C81" s="303"/>
      <c r="D81" s="303"/>
      <c r="E81" s="303"/>
      <c r="F81" s="303"/>
      <c r="G81" s="303"/>
      <c r="H81" s="303"/>
      <c r="I81" s="303"/>
      <c r="J81" s="303"/>
      <c r="K81" s="303"/>
      <c r="L81" s="303"/>
      <c r="M81" s="303"/>
      <c r="N81" s="304">
        <v>2042</v>
      </c>
      <c r="O81" s="304">
        <v>2190</v>
      </c>
      <c r="P81" s="304">
        <v>2465</v>
      </c>
      <c r="Q81" s="304">
        <v>2747</v>
      </c>
      <c r="R81" s="304">
        <v>2874</v>
      </c>
      <c r="S81" s="304">
        <v>3124</v>
      </c>
      <c r="T81" s="304">
        <v>3274</v>
      </c>
      <c r="U81" s="304">
        <v>3414</v>
      </c>
      <c r="V81" s="304">
        <v>3414</v>
      </c>
      <c r="W81" s="304">
        <v>3898</v>
      </c>
      <c r="X81" s="298">
        <v>4129</v>
      </c>
      <c r="Y81" s="298">
        <v>4243</v>
      </c>
      <c r="Z81" s="298">
        <v>4243</v>
      </c>
      <c r="AA81" s="298">
        <v>4987</v>
      </c>
      <c r="AB81" s="298">
        <v>4756</v>
      </c>
      <c r="AC81" s="298">
        <v>4112</v>
      </c>
    </row>
    <row r="82" spans="1:29" ht="12.75" x14ac:dyDescent="0.2">
      <c r="A82" s="296" t="s">
        <v>504</v>
      </c>
      <c r="B82" s="299">
        <v>23023</v>
      </c>
      <c r="C82" s="299">
        <v>25460</v>
      </c>
      <c r="D82" s="299">
        <v>37962</v>
      </c>
      <c r="E82" s="299">
        <v>38809</v>
      </c>
      <c r="F82" s="299">
        <v>44215</v>
      </c>
      <c r="G82" s="299">
        <v>39264</v>
      </c>
      <c r="H82" s="299">
        <v>52535</v>
      </c>
      <c r="I82" s="299">
        <v>53627</v>
      </c>
      <c r="J82" s="299">
        <v>54490</v>
      </c>
      <c r="K82" s="299">
        <v>63489</v>
      </c>
      <c r="L82" s="299">
        <v>62077</v>
      </c>
      <c r="M82" s="299">
        <v>71262</v>
      </c>
      <c r="N82" s="299">
        <v>71446</v>
      </c>
      <c r="O82" s="299">
        <v>79678</v>
      </c>
      <c r="P82" s="299">
        <v>81930</v>
      </c>
      <c r="Q82" s="299">
        <v>81379</v>
      </c>
      <c r="R82" s="299">
        <v>86711</v>
      </c>
      <c r="S82" s="299">
        <v>85941</v>
      </c>
      <c r="T82" s="299">
        <v>86957</v>
      </c>
      <c r="U82" s="299">
        <v>87854</v>
      </c>
      <c r="V82" s="299">
        <v>90924</v>
      </c>
      <c r="W82" s="299">
        <v>94174</v>
      </c>
      <c r="X82" s="299">
        <v>99635</v>
      </c>
      <c r="Y82" s="299">
        <v>101971</v>
      </c>
      <c r="Z82" s="299">
        <v>101971</v>
      </c>
      <c r="AA82" s="299">
        <v>109832</v>
      </c>
      <c r="AB82" s="299">
        <v>89594</v>
      </c>
      <c r="AC82" s="299">
        <v>85822</v>
      </c>
    </row>
    <row r="83" spans="1:29" ht="12.75" x14ac:dyDescent="0.2">
      <c r="A83" s="296" t="s">
        <v>505</v>
      </c>
      <c r="B83" s="299">
        <v>73853</v>
      </c>
      <c r="C83" s="299">
        <v>78981</v>
      </c>
      <c r="D83" s="299">
        <v>93782</v>
      </c>
      <c r="E83" s="299">
        <v>97541</v>
      </c>
      <c r="F83" s="299">
        <v>106578</v>
      </c>
      <c r="G83" s="299">
        <v>103848</v>
      </c>
      <c r="H83" s="299">
        <v>132921</v>
      </c>
      <c r="I83" s="299">
        <v>139510</v>
      </c>
      <c r="J83" s="299">
        <v>163781</v>
      </c>
      <c r="K83" s="299">
        <v>184803</v>
      </c>
      <c r="L83" s="299">
        <v>204504</v>
      </c>
      <c r="M83" s="299">
        <v>224017</v>
      </c>
      <c r="N83" s="299">
        <v>236691</v>
      </c>
      <c r="O83" s="299">
        <v>266218</v>
      </c>
      <c r="P83" s="299">
        <v>270508</v>
      </c>
      <c r="Q83" s="299">
        <v>268262</v>
      </c>
      <c r="R83" s="299">
        <v>288544</v>
      </c>
      <c r="S83" s="299">
        <v>285526</v>
      </c>
      <c r="T83" s="299">
        <v>284126</v>
      </c>
      <c r="U83" s="299">
        <v>287045</v>
      </c>
      <c r="V83" s="299">
        <v>294322</v>
      </c>
      <c r="W83" s="299">
        <v>277501</v>
      </c>
      <c r="X83" s="299">
        <v>294377</v>
      </c>
      <c r="Y83" s="299">
        <v>308676</v>
      </c>
      <c r="Z83" s="299">
        <v>312682</v>
      </c>
      <c r="AA83" s="299">
        <v>326880</v>
      </c>
      <c r="AB83" s="299">
        <v>296642</v>
      </c>
      <c r="AC83" s="299">
        <v>284575</v>
      </c>
    </row>
    <row r="84" spans="1:29" ht="12.75" x14ac:dyDescent="0.2">
      <c r="A84" s="296" t="s">
        <v>23</v>
      </c>
      <c r="B84" s="299">
        <v>328011</v>
      </c>
      <c r="C84" s="299">
        <v>342504</v>
      </c>
      <c r="D84" s="299">
        <v>373037</v>
      </c>
      <c r="E84" s="299">
        <v>378693</v>
      </c>
      <c r="F84" s="299">
        <v>389569</v>
      </c>
      <c r="G84" s="299">
        <v>400628</v>
      </c>
      <c r="H84" s="299">
        <v>433445</v>
      </c>
      <c r="I84" s="299">
        <v>441986</v>
      </c>
      <c r="J84" s="299">
        <v>476779</v>
      </c>
      <c r="K84" s="299">
        <v>501961</v>
      </c>
      <c r="L84" s="299">
        <v>523426</v>
      </c>
      <c r="M84" s="299">
        <v>555326</v>
      </c>
      <c r="N84" s="299">
        <v>570318</v>
      </c>
      <c r="O84" s="299">
        <v>603679</v>
      </c>
      <c r="P84" s="299">
        <v>612058</v>
      </c>
      <c r="Q84" s="299">
        <v>612015</v>
      </c>
      <c r="R84" s="299">
        <v>642491</v>
      </c>
      <c r="S84" s="299">
        <v>638079</v>
      </c>
      <c r="T84" s="299">
        <v>637176</v>
      </c>
      <c r="U84" s="299">
        <v>643183</v>
      </c>
      <c r="V84" s="299">
        <v>652025</v>
      </c>
      <c r="W84" s="299">
        <v>649057</v>
      </c>
      <c r="X84" s="299">
        <v>668368</v>
      </c>
      <c r="Y84" s="299">
        <v>689501</v>
      </c>
      <c r="Z84" s="299">
        <v>693794</v>
      </c>
      <c r="AA84" s="299">
        <v>723324</v>
      </c>
      <c r="AB84" s="299">
        <v>663911</v>
      </c>
      <c r="AC84" s="299">
        <v>650853</v>
      </c>
    </row>
    <row r="85" spans="1:29" ht="12.75" x14ac:dyDescent="0.2">
      <c r="A85" s="296" t="s">
        <v>339</v>
      </c>
      <c r="B85" s="299">
        <v>-89438</v>
      </c>
      <c r="C85" s="299">
        <v>-88124</v>
      </c>
      <c r="D85" s="299">
        <v>-102956</v>
      </c>
      <c r="E85" s="299">
        <v>-94595</v>
      </c>
      <c r="F85" s="299">
        <v>-82065</v>
      </c>
      <c r="G85" s="299">
        <v>-78132</v>
      </c>
      <c r="H85" s="299">
        <v>-94045</v>
      </c>
      <c r="I85" s="299">
        <v>-89766</v>
      </c>
      <c r="J85" s="299">
        <v>-114445</v>
      </c>
      <c r="K85" s="299">
        <v>-131881</v>
      </c>
      <c r="L85" s="299">
        <v>-140597</v>
      </c>
      <c r="M85" s="299">
        <v>-177194</v>
      </c>
      <c r="N85" s="299">
        <v>-177124</v>
      </c>
      <c r="O85" s="299">
        <v>-189575</v>
      </c>
      <c r="P85" s="299">
        <v>-184131</v>
      </c>
      <c r="Q85" s="299">
        <v>-128941</v>
      </c>
      <c r="R85" s="299">
        <v>-151754</v>
      </c>
      <c r="S85" s="299">
        <v>-122283</v>
      </c>
      <c r="T85" s="299">
        <v>-102474</v>
      </c>
      <c r="U85" s="299">
        <v>-82495</v>
      </c>
      <c r="V85" s="299">
        <v>-60038</v>
      </c>
      <c r="W85" s="299">
        <v>-27320</v>
      </c>
      <c r="X85" s="299">
        <v>-18905</v>
      </c>
      <c r="Y85" s="299">
        <v>-24211</v>
      </c>
      <c r="Z85" s="299">
        <v>-13824</v>
      </c>
      <c r="AA85" s="299">
        <v>-26169</v>
      </c>
      <c r="AB85" s="299">
        <v>8407.19</v>
      </c>
      <c r="AC85" s="299">
        <v>-117</v>
      </c>
    </row>
    <row r="86" spans="1:29" ht="12.75" x14ac:dyDescent="0.2">
      <c r="A86" s="296" t="s">
        <v>24</v>
      </c>
      <c r="B86" s="299">
        <v>-89438</v>
      </c>
      <c r="C86" s="299">
        <v>-88124</v>
      </c>
      <c r="D86" s="299">
        <v>-102956</v>
      </c>
      <c r="E86" s="299">
        <v>-94595</v>
      </c>
      <c r="F86" s="299">
        <v>-82065</v>
      </c>
      <c r="G86" s="299">
        <v>-78132</v>
      </c>
      <c r="H86" s="299">
        <v>-94045</v>
      </c>
      <c r="I86" s="299">
        <v>-89766</v>
      </c>
      <c r="J86" s="299">
        <v>-114445</v>
      </c>
      <c r="K86" s="299">
        <v>-131881</v>
      </c>
      <c r="L86" s="299">
        <v>-140597</v>
      </c>
      <c r="M86" s="299">
        <v>-177194</v>
      </c>
      <c r="N86" s="299">
        <v>-177124</v>
      </c>
      <c r="O86" s="299">
        <v>-189575</v>
      </c>
      <c r="P86" s="299">
        <v>-184131</v>
      </c>
      <c r="Q86" s="299">
        <v>-128941</v>
      </c>
      <c r="R86" s="299">
        <v>-151754</v>
      </c>
      <c r="S86" s="299">
        <v>-122283</v>
      </c>
      <c r="T86" s="299">
        <v>-102474</v>
      </c>
      <c r="U86" s="299">
        <v>-82495</v>
      </c>
      <c r="V86" s="299">
        <v>-60038</v>
      </c>
      <c r="W86" s="299">
        <v>-27320</v>
      </c>
      <c r="X86" s="299">
        <v>-18905</v>
      </c>
      <c r="Y86" s="299">
        <v>-24211</v>
      </c>
      <c r="Z86" s="299">
        <v>-13824</v>
      </c>
      <c r="AA86" s="299">
        <v>-26169</v>
      </c>
      <c r="AB86" s="299">
        <v>8407.19</v>
      </c>
      <c r="AC86" s="299">
        <v>-117</v>
      </c>
    </row>
  </sheetData>
  <pageMargins left="0.7" right="0.7" top="0.75" bottom="0.75" header="0.3" footer="0.3"/>
  <pageSetup orientation="landscape"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C44"/>
  <sheetViews>
    <sheetView workbookViewId="0">
      <pane xSplit="1" topLeftCell="B1" activePane="topRight" state="frozen"/>
      <selection pane="topRight" activeCell="C2" sqref="C2"/>
    </sheetView>
  </sheetViews>
  <sheetFormatPr defaultColWidth="14.42578125" defaultRowHeight="15.75" customHeight="1" x14ac:dyDescent="0.2"/>
  <cols>
    <col min="1" max="1" width="43.42578125" customWidth="1"/>
  </cols>
  <sheetData>
    <row r="1" spans="1:29" ht="18" x14ac:dyDescent="0.25">
      <c r="A1" s="287" t="s">
        <v>433</v>
      </c>
      <c r="B1" s="288" t="str">
        <f t="shared" ref="B1:AC1" si="0">"BS_"&amp;TEXT(B5,"mmm")&amp;"_"&amp;TEXT(B5,"yyyy")</f>
        <v>BS_Jan_2018</v>
      </c>
      <c r="C1" s="288" t="str">
        <f t="shared" si="0"/>
        <v>BS_Feb_2018</v>
      </c>
      <c r="D1" s="288" t="str">
        <f t="shared" si="0"/>
        <v>BS_Mar_2018</v>
      </c>
      <c r="E1" s="288" t="str">
        <f t="shared" si="0"/>
        <v>BS_Apr_2018</v>
      </c>
      <c r="F1" s="288" t="str">
        <f t="shared" si="0"/>
        <v>BS_May_2018</v>
      </c>
      <c r="G1" s="288" t="str">
        <f t="shared" si="0"/>
        <v>BS_Jun_2018</v>
      </c>
      <c r="H1" s="288" t="str">
        <f t="shared" si="0"/>
        <v>BS_Jul_2018</v>
      </c>
      <c r="I1" s="288" t="str">
        <f t="shared" si="0"/>
        <v>BS_Aug_2018</v>
      </c>
      <c r="J1" s="288" t="str">
        <f t="shared" si="0"/>
        <v>BS_Sep_2018</v>
      </c>
      <c r="K1" s="288" t="str">
        <f t="shared" si="0"/>
        <v>BS_Oct_2018</v>
      </c>
      <c r="L1" s="288" t="str">
        <f t="shared" si="0"/>
        <v>BS_Nov_2018</v>
      </c>
      <c r="M1" s="288" t="str">
        <f t="shared" si="0"/>
        <v>BS_Dec_2018</v>
      </c>
      <c r="N1" s="288" t="str">
        <f t="shared" si="0"/>
        <v>BS_Jan_2019</v>
      </c>
      <c r="O1" s="288" t="str">
        <f t="shared" si="0"/>
        <v>BS_Feb_2019</v>
      </c>
      <c r="P1" s="288" t="str">
        <f t="shared" si="0"/>
        <v>BS_Mar_2019</v>
      </c>
      <c r="Q1" s="288" t="str">
        <f t="shared" si="0"/>
        <v>BS_Apr_2019</v>
      </c>
      <c r="R1" s="288" t="str">
        <f t="shared" si="0"/>
        <v>BS_May_2019</v>
      </c>
      <c r="S1" s="288" t="str">
        <f t="shared" si="0"/>
        <v>BS_Jun_2019</v>
      </c>
      <c r="T1" s="288" t="str">
        <f t="shared" si="0"/>
        <v>BS_Jul_2019</v>
      </c>
      <c r="U1" s="288" t="str">
        <f t="shared" si="0"/>
        <v>BS_Aug_2019</v>
      </c>
      <c r="V1" s="288" t="str">
        <f t="shared" si="0"/>
        <v>BS_Sep_2019</v>
      </c>
      <c r="W1" s="288" t="str">
        <f t="shared" si="0"/>
        <v>BS_Oct_2019</v>
      </c>
      <c r="X1" s="288" t="str">
        <f t="shared" si="0"/>
        <v>BS_Nov_2019</v>
      </c>
      <c r="Y1" s="288" t="str">
        <f t="shared" si="0"/>
        <v>BS_Dec_2019</v>
      </c>
      <c r="Z1" s="288" t="str">
        <f t="shared" si="0"/>
        <v>BS_Jan_2020</v>
      </c>
      <c r="AA1" s="288" t="str">
        <f t="shared" si="0"/>
        <v>BS_Feb_2020</v>
      </c>
      <c r="AB1" s="288" t="str">
        <f t="shared" si="0"/>
        <v>BS_Mar_2020</v>
      </c>
      <c r="AC1" s="288" t="str">
        <f t="shared" si="0"/>
        <v>BS_Apr_2020</v>
      </c>
    </row>
    <row r="2" spans="1:29" ht="18" x14ac:dyDescent="0.25">
      <c r="A2" s="287" t="s">
        <v>506</v>
      </c>
      <c r="B2" s="292"/>
      <c r="C2" s="292"/>
      <c r="D2" s="292"/>
      <c r="E2" s="292"/>
      <c r="F2" s="292"/>
      <c r="G2" s="292"/>
      <c r="H2" s="292"/>
      <c r="I2" s="292"/>
      <c r="J2" s="292"/>
      <c r="K2" s="292"/>
      <c r="L2" s="292"/>
      <c r="M2" s="292"/>
      <c r="N2" s="292"/>
      <c r="O2" s="292"/>
      <c r="P2" s="292"/>
      <c r="Q2" s="292"/>
      <c r="R2" s="292"/>
      <c r="S2" s="292"/>
      <c r="T2" s="292"/>
      <c r="U2" s="292"/>
      <c r="V2" s="292"/>
    </row>
    <row r="3" spans="1:29" ht="15" x14ac:dyDescent="0.25">
      <c r="A3" s="290" t="s">
        <v>435</v>
      </c>
      <c r="B3" s="292"/>
      <c r="C3" s="292"/>
      <c r="D3" s="292"/>
      <c r="E3" s="292"/>
      <c r="F3" s="292"/>
      <c r="G3" s="292"/>
      <c r="H3" s="292"/>
      <c r="I3" s="292"/>
      <c r="J3" s="292"/>
      <c r="K3" s="292"/>
      <c r="L3" s="292"/>
      <c r="M3" s="292"/>
      <c r="N3" s="292"/>
      <c r="O3" s="292"/>
      <c r="P3" s="292"/>
      <c r="Q3" s="292"/>
      <c r="R3" s="292"/>
      <c r="S3" s="292"/>
      <c r="T3" s="292"/>
      <c r="U3" s="292"/>
      <c r="V3" s="292"/>
    </row>
    <row r="4" spans="1:29" ht="15" x14ac:dyDescent="0.25">
      <c r="A4" s="292"/>
      <c r="B4" s="292"/>
      <c r="C4" s="292"/>
      <c r="D4" s="292"/>
      <c r="E4" s="292"/>
      <c r="F4" s="292"/>
      <c r="G4" s="292"/>
      <c r="H4" s="292"/>
      <c r="I4" s="292"/>
      <c r="J4" s="292"/>
      <c r="K4" s="292"/>
      <c r="L4" s="292"/>
      <c r="M4" s="292"/>
      <c r="N4" s="292"/>
      <c r="O4" s="292"/>
      <c r="P4" s="292"/>
      <c r="Q4" s="292"/>
      <c r="R4" s="292"/>
      <c r="S4" s="292"/>
      <c r="T4" s="292"/>
      <c r="U4" s="292"/>
      <c r="V4" s="292"/>
    </row>
    <row r="5" spans="1:29" ht="15" x14ac:dyDescent="0.25">
      <c r="A5" s="293"/>
      <c r="B5" s="294">
        <v>43101</v>
      </c>
      <c r="C5" s="294">
        <v>43132</v>
      </c>
      <c r="D5" s="294">
        <v>43160</v>
      </c>
      <c r="E5" s="294">
        <v>43191</v>
      </c>
      <c r="F5" s="295">
        <v>43221</v>
      </c>
      <c r="G5" s="294">
        <v>43252</v>
      </c>
      <c r="H5" s="294">
        <v>43282</v>
      </c>
      <c r="I5" s="294">
        <v>43313</v>
      </c>
      <c r="J5" s="294">
        <v>43344</v>
      </c>
      <c r="K5" s="294">
        <v>43374</v>
      </c>
      <c r="L5" s="294">
        <v>43405</v>
      </c>
      <c r="M5" s="294">
        <v>43435</v>
      </c>
      <c r="N5" s="294">
        <v>43466</v>
      </c>
      <c r="O5" s="294">
        <v>43497</v>
      </c>
      <c r="P5" s="294">
        <v>43525</v>
      </c>
      <c r="Q5" s="294">
        <v>43556</v>
      </c>
      <c r="R5" s="295">
        <v>43586</v>
      </c>
      <c r="S5" s="294">
        <v>43617</v>
      </c>
      <c r="T5" s="294">
        <v>43647</v>
      </c>
      <c r="U5" s="294">
        <v>43678</v>
      </c>
      <c r="V5" s="294">
        <v>43709</v>
      </c>
      <c r="W5" s="294">
        <v>43739</v>
      </c>
      <c r="X5" s="294">
        <v>43770</v>
      </c>
      <c r="Y5" s="294">
        <v>43800</v>
      </c>
      <c r="Z5" s="294">
        <v>43831</v>
      </c>
      <c r="AA5" s="294">
        <v>43862</v>
      </c>
      <c r="AB5" s="294">
        <v>43891</v>
      </c>
      <c r="AC5" s="294">
        <v>43922</v>
      </c>
    </row>
    <row r="6" spans="1:29" ht="15.75" customHeight="1" x14ac:dyDescent="0.2">
      <c r="A6" s="296" t="s">
        <v>507</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row>
    <row r="7" spans="1:29" ht="15.75" customHeight="1" x14ac:dyDescent="0.2">
      <c r="A7" s="296" t="s">
        <v>508</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row>
    <row r="8" spans="1:29" ht="15.75" customHeight="1" x14ac:dyDescent="0.2">
      <c r="A8" s="296" t="s">
        <v>509</v>
      </c>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row>
    <row r="9" spans="1:29" ht="15.75" customHeight="1" x14ac:dyDescent="0.2">
      <c r="A9" s="296" t="s">
        <v>510</v>
      </c>
      <c r="B9" s="298">
        <v>960680</v>
      </c>
      <c r="C9" s="298">
        <v>970330</v>
      </c>
      <c r="D9" s="298">
        <v>867374</v>
      </c>
      <c r="E9" s="298">
        <v>772779</v>
      </c>
      <c r="F9" s="298">
        <v>690714</v>
      </c>
      <c r="G9" s="298">
        <v>612582</v>
      </c>
      <c r="H9" s="298">
        <v>518537</v>
      </c>
      <c r="I9" s="298">
        <v>428771</v>
      </c>
      <c r="J9" s="298">
        <v>314326</v>
      </c>
      <c r="K9" s="298">
        <v>782445</v>
      </c>
      <c r="L9" s="298">
        <v>641848</v>
      </c>
      <c r="M9" s="298">
        <v>464654</v>
      </c>
      <c r="N9" s="298">
        <v>787530</v>
      </c>
      <c r="O9" s="298">
        <v>597955</v>
      </c>
      <c r="P9" s="298">
        <v>413824</v>
      </c>
      <c r="Q9" s="298">
        <v>284883</v>
      </c>
      <c r="R9" s="298">
        <v>433129</v>
      </c>
      <c r="S9" s="298">
        <v>310846</v>
      </c>
      <c r="T9" s="298">
        <v>208372</v>
      </c>
      <c r="U9" s="298">
        <v>125877</v>
      </c>
      <c r="V9" s="298">
        <v>65839</v>
      </c>
      <c r="W9" s="298">
        <v>338519</v>
      </c>
      <c r="X9" s="298">
        <v>319614</v>
      </c>
      <c r="Y9" s="298">
        <v>295403</v>
      </c>
      <c r="Z9" s="298">
        <v>281579</v>
      </c>
      <c r="AA9" s="298">
        <v>255410</v>
      </c>
      <c r="AB9" s="298">
        <v>263817.19</v>
      </c>
      <c r="AC9" s="298">
        <v>263700.19</v>
      </c>
    </row>
    <row r="10" spans="1:29" ht="15.75" customHeight="1" x14ac:dyDescent="0.2">
      <c r="A10" s="296" t="s">
        <v>511</v>
      </c>
      <c r="B10" s="299">
        <v>960680</v>
      </c>
      <c r="C10" s="299">
        <v>970330</v>
      </c>
      <c r="D10" s="299">
        <v>867374</v>
      </c>
      <c r="E10" s="299">
        <v>772779</v>
      </c>
      <c r="F10" s="299">
        <v>690714</v>
      </c>
      <c r="G10" s="299">
        <v>612582</v>
      </c>
      <c r="H10" s="299">
        <v>518537</v>
      </c>
      <c r="I10" s="299">
        <v>428771</v>
      </c>
      <c r="J10" s="299">
        <v>314326</v>
      </c>
      <c r="K10" s="299">
        <v>782445</v>
      </c>
      <c r="L10" s="299">
        <v>641848</v>
      </c>
      <c r="M10" s="299">
        <v>464654</v>
      </c>
      <c r="N10" s="299">
        <v>787530</v>
      </c>
      <c r="O10" s="299">
        <v>597955</v>
      </c>
      <c r="P10" s="299">
        <v>413824</v>
      </c>
      <c r="Q10" s="299">
        <v>284883</v>
      </c>
      <c r="R10" s="299">
        <v>433129</v>
      </c>
      <c r="S10" s="299">
        <v>310846</v>
      </c>
      <c r="T10" s="299">
        <v>208372</v>
      </c>
      <c r="U10" s="299">
        <v>125877</v>
      </c>
      <c r="V10" s="299">
        <v>65839</v>
      </c>
      <c r="W10" s="299">
        <v>338519</v>
      </c>
      <c r="X10" s="299">
        <v>319614</v>
      </c>
      <c r="Y10" s="299">
        <v>295403</v>
      </c>
      <c r="Z10" s="299">
        <v>281579</v>
      </c>
      <c r="AA10" s="299">
        <v>255410</v>
      </c>
      <c r="AB10" s="299">
        <v>263817.19</v>
      </c>
      <c r="AC10" s="299">
        <v>263700.19</v>
      </c>
    </row>
    <row r="11" spans="1:29" ht="15.75" customHeight="1" x14ac:dyDescent="0.2">
      <c r="A11" s="296" t="s">
        <v>512</v>
      </c>
      <c r="B11" s="299">
        <v>960680</v>
      </c>
      <c r="C11" s="299">
        <v>970330</v>
      </c>
      <c r="D11" s="299">
        <v>867374</v>
      </c>
      <c r="E11" s="299">
        <v>772779</v>
      </c>
      <c r="F11" s="299">
        <v>690714</v>
      </c>
      <c r="G11" s="299">
        <v>612582</v>
      </c>
      <c r="H11" s="299">
        <v>518537</v>
      </c>
      <c r="I11" s="299">
        <v>428771</v>
      </c>
      <c r="J11" s="299">
        <v>314326</v>
      </c>
      <c r="K11" s="299">
        <v>782445</v>
      </c>
      <c r="L11" s="299">
        <v>641848</v>
      </c>
      <c r="M11" s="299">
        <v>464654</v>
      </c>
      <c r="N11" s="299">
        <v>787530</v>
      </c>
      <c r="O11" s="299">
        <v>597955</v>
      </c>
      <c r="P11" s="299">
        <v>413824</v>
      </c>
      <c r="Q11" s="299">
        <v>284883</v>
      </c>
      <c r="R11" s="299">
        <v>433129</v>
      </c>
      <c r="S11" s="299">
        <v>310846</v>
      </c>
      <c r="T11" s="299">
        <v>208372</v>
      </c>
      <c r="U11" s="299">
        <v>125877</v>
      </c>
      <c r="V11" s="299">
        <v>65839</v>
      </c>
      <c r="W11" s="299">
        <v>338519</v>
      </c>
      <c r="X11" s="299">
        <v>319614</v>
      </c>
      <c r="Y11" s="299">
        <v>295403</v>
      </c>
      <c r="Z11" s="299">
        <v>281579</v>
      </c>
      <c r="AA11" s="299">
        <v>255410</v>
      </c>
      <c r="AB11" s="299">
        <v>263817.19</v>
      </c>
      <c r="AC11" s="299">
        <v>263700.19</v>
      </c>
    </row>
    <row r="12" spans="1:29" ht="15.75" customHeight="1" x14ac:dyDescent="0.2">
      <c r="A12" s="296" t="s">
        <v>513</v>
      </c>
      <c r="B12" s="297"/>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c r="AA12" s="297"/>
      <c r="AB12" s="297"/>
      <c r="AC12" s="297"/>
    </row>
    <row r="13" spans="1:29" ht="15.75" customHeight="1" x14ac:dyDescent="0.2">
      <c r="A13" s="296" t="s">
        <v>514</v>
      </c>
      <c r="B13" s="301">
        <v>0</v>
      </c>
      <c r="C13" s="301">
        <v>0</v>
      </c>
      <c r="D13" s="301">
        <v>0</v>
      </c>
      <c r="E13" s="301">
        <v>0</v>
      </c>
      <c r="F13" s="301">
        <v>0</v>
      </c>
      <c r="G13" s="301">
        <v>0</v>
      </c>
      <c r="H13" s="301">
        <v>0</v>
      </c>
      <c r="I13" s="301">
        <v>0</v>
      </c>
      <c r="J13" s="301">
        <v>0</v>
      </c>
      <c r="K13" s="301">
        <v>0</v>
      </c>
      <c r="L13" s="301">
        <v>0</v>
      </c>
      <c r="M13" s="301">
        <v>0</v>
      </c>
      <c r="N13" s="301">
        <v>0</v>
      </c>
      <c r="O13" s="301">
        <v>0</v>
      </c>
      <c r="P13" s="301">
        <v>0</v>
      </c>
      <c r="Q13" s="301">
        <v>0</v>
      </c>
      <c r="R13" s="301">
        <v>0</v>
      </c>
      <c r="S13" s="301">
        <v>0</v>
      </c>
      <c r="T13" s="301">
        <v>0</v>
      </c>
      <c r="U13" s="301">
        <v>0</v>
      </c>
      <c r="V13" s="301">
        <v>0</v>
      </c>
      <c r="W13" s="301">
        <v>0</v>
      </c>
      <c r="X13" s="301">
        <v>0</v>
      </c>
      <c r="Y13" s="301">
        <v>0</v>
      </c>
      <c r="Z13" s="301">
        <v>0</v>
      </c>
      <c r="AA13" s="301">
        <v>0</v>
      </c>
      <c r="AB13" s="301">
        <v>0</v>
      </c>
      <c r="AC13" s="301">
        <v>0</v>
      </c>
    </row>
    <row r="14" spans="1:29" ht="15.75" customHeight="1" x14ac:dyDescent="0.2">
      <c r="A14" s="296" t="s">
        <v>515</v>
      </c>
      <c r="B14" s="301">
        <v>0</v>
      </c>
      <c r="C14" s="301">
        <v>0</v>
      </c>
      <c r="D14" s="301">
        <v>0</v>
      </c>
      <c r="E14" s="301">
        <v>0</v>
      </c>
      <c r="F14" s="301">
        <v>0</v>
      </c>
      <c r="G14" s="301">
        <v>0</v>
      </c>
      <c r="H14" s="301">
        <v>0</v>
      </c>
      <c r="I14" s="301">
        <v>0</v>
      </c>
      <c r="J14" s="301">
        <v>0</v>
      </c>
      <c r="K14" s="301">
        <v>0</v>
      </c>
      <c r="L14" s="301">
        <v>0</v>
      </c>
      <c r="M14" s="301">
        <v>0</v>
      </c>
      <c r="N14" s="301">
        <v>0</v>
      </c>
      <c r="O14" s="301">
        <v>0</v>
      </c>
      <c r="P14" s="301">
        <v>0</v>
      </c>
      <c r="Q14" s="301">
        <v>0</v>
      </c>
      <c r="R14" s="301">
        <v>0</v>
      </c>
      <c r="S14" s="301">
        <v>0</v>
      </c>
      <c r="T14" s="301">
        <v>0</v>
      </c>
      <c r="U14" s="301">
        <v>0</v>
      </c>
      <c r="V14" s="301">
        <v>0</v>
      </c>
      <c r="W14" s="301">
        <v>0</v>
      </c>
      <c r="X14" s="301">
        <v>0</v>
      </c>
      <c r="Y14" s="301">
        <v>0</v>
      </c>
      <c r="Z14" s="301">
        <v>0</v>
      </c>
      <c r="AA14" s="301">
        <v>0</v>
      </c>
      <c r="AB14" s="301">
        <v>0</v>
      </c>
      <c r="AC14" s="301">
        <v>0</v>
      </c>
    </row>
    <row r="15" spans="1:29" ht="15.75" customHeight="1" x14ac:dyDescent="0.2">
      <c r="A15" s="296" t="s">
        <v>516</v>
      </c>
      <c r="B15" s="299">
        <v>0</v>
      </c>
      <c r="C15" s="299">
        <v>0</v>
      </c>
      <c r="D15" s="299">
        <v>0</v>
      </c>
      <c r="E15" s="299">
        <v>0</v>
      </c>
      <c r="F15" s="299">
        <v>0</v>
      </c>
      <c r="G15" s="299">
        <v>0</v>
      </c>
      <c r="H15" s="299">
        <v>0</v>
      </c>
      <c r="I15" s="299">
        <v>0</v>
      </c>
      <c r="J15" s="299">
        <v>0</v>
      </c>
      <c r="K15" s="299">
        <v>0</v>
      </c>
      <c r="L15" s="299">
        <v>0</v>
      </c>
      <c r="M15" s="299">
        <v>0</v>
      </c>
      <c r="N15" s="299">
        <v>0</v>
      </c>
      <c r="O15" s="299">
        <v>0</v>
      </c>
      <c r="P15" s="299">
        <v>0</v>
      </c>
      <c r="Q15" s="299">
        <v>0</v>
      </c>
      <c r="R15" s="299">
        <v>0</v>
      </c>
      <c r="S15" s="299">
        <v>0</v>
      </c>
      <c r="T15" s="299">
        <v>0</v>
      </c>
      <c r="U15" s="299">
        <v>0</v>
      </c>
      <c r="V15" s="299">
        <v>0</v>
      </c>
      <c r="W15" s="299">
        <v>0</v>
      </c>
      <c r="X15" s="299">
        <v>0</v>
      </c>
      <c r="Y15" s="299">
        <v>0</v>
      </c>
      <c r="Z15" s="299">
        <v>0</v>
      </c>
      <c r="AA15" s="299">
        <v>0</v>
      </c>
      <c r="AB15" s="299">
        <v>0</v>
      </c>
      <c r="AC15" s="299">
        <v>0</v>
      </c>
    </row>
    <row r="16" spans="1:29" ht="15.75" customHeight="1" x14ac:dyDescent="0.2">
      <c r="A16" s="296" t="s">
        <v>517</v>
      </c>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row>
    <row r="17" spans="1:29" ht="15.75" customHeight="1" x14ac:dyDescent="0.2">
      <c r="A17" s="296" t="s">
        <v>518</v>
      </c>
      <c r="B17" s="301">
        <v>0</v>
      </c>
      <c r="C17" s="301">
        <v>0</v>
      </c>
      <c r="D17" s="301">
        <v>0</v>
      </c>
      <c r="E17" s="301">
        <v>0</v>
      </c>
      <c r="F17" s="301">
        <v>0</v>
      </c>
      <c r="G17" s="301">
        <v>0</v>
      </c>
      <c r="H17" s="301">
        <v>0</v>
      </c>
      <c r="I17" s="301">
        <v>0</v>
      </c>
      <c r="J17" s="301">
        <v>0</v>
      </c>
      <c r="K17" s="301">
        <v>0</v>
      </c>
      <c r="L17" s="301">
        <v>0</v>
      </c>
      <c r="M17" s="301">
        <v>0</v>
      </c>
      <c r="N17" s="301">
        <v>0</v>
      </c>
      <c r="O17" s="301">
        <v>0</v>
      </c>
      <c r="P17" s="301">
        <v>0</v>
      </c>
      <c r="Q17" s="301">
        <v>0</v>
      </c>
      <c r="R17" s="301">
        <v>0</v>
      </c>
      <c r="S17" s="301">
        <v>0</v>
      </c>
      <c r="T17" s="301">
        <v>0</v>
      </c>
      <c r="U17" s="301">
        <v>0</v>
      </c>
      <c r="V17" s="301">
        <v>0</v>
      </c>
      <c r="W17" s="301">
        <v>0</v>
      </c>
      <c r="X17" s="301">
        <v>0</v>
      </c>
      <c r="Y17" s="301">
        <v>0</v>
      </c>
      <c r="Z17" s="301">
        <v>0</v>
      </c>
      <c r="AA17" s="301">
        <v>0</v>
      </c>
      <c r="AB17" s="301">
        <v>0</v>
      </c>
      <c r="AC17" s="301">
        <v>0</v>
      </c>
    </row>
    <row r="18" spans="1:29" ht="15.75" customHeight="1" x14ac:dyDescent="0.2">
      <c r="A18" s="296" t="s">
        <v>519</v>
      </c>
      <c r="B18" s="301">
        <v>0</v>
      </c>
      <c r="C18" s="301">
        <v>0</v>
      </c>
      <c r="D18" s="301">
        <v>0</v>
      </c>
      <c r="E18" s="301">
        <v>0</v>
      </c>
      <c r="F18" s="301">
        <v>0</v>
      </c>
      <c r="G18" s="301">
        <v>0</v>
      </c>
      <c r="H18" s="301">
        <v>0</v>
      </c>
      <c r="I18" s="301">
        <v>0</v>
      </c>
      <c r="J18" s="301">
        <v>0</v>
      </c>
      <c r="K18" s="301">
        <v>0</v>
      </c>
      <c r="L18" s="301">
        <v>0</v>
      </c>
      <c r="M18" s="301">
        <v>0</v>
      </c>
      <c r="N18" s="301">
        <v>0</v>
      </c>
      <c r="O18" s="301">
        <v>0</v>
      </c>
      <c r="P18" s="301">
        <v>0</v>
      </c>
      <c r="Q18" s="301">
        <v>0</v>
      </c>
      <c r="R18" s="301">
        <v>0</v>
      </c>
      <c r="S18" s="301">
        <v>0</v>
      </c>
      <c r="T18" s="301">
        <v>0</v>
      </c>
      <c r="U18" s="301">
        <v>0</v>
      </c>
      <c r="V18" s="301">
        <v>0</v>
      </c>
      <c r="W18" s="301">
        <v>0</v>
      </c>
      <c r="X18" s="301">
        <v>0</v>
      </c>
      <c r="Y18" s="301">
        <v>0</v>
      </c>
      <c r="Z18" s="301">
        <v>0</v>
      </c>
      <c r="AA18" s="301">
        <v>0</v>
      </c>
      <c r="AB18" s="301">
        <v>0</v>
      </c>
      <c r="AC18" s="301">
        <v>0</v>
      </c>
    </row>
    <row r="19" spans="1:29" ht="15.75" customHeight="1" x14ac:dyDescent="0.2">
      <c r="A19" s="296" t="s">
        <v>520</v>
      </c>
      <c r="B19" s="301">
        <v>0</v>
      </c>
      <c r="C19" s="301">
        <v>0</v>
      </c>
      <c r="D19" s="301">
        <v>0</v>
      </c>
      <c r="E19" s="301">
        <v>0</v>
      </c>
      <c r="F19" s="301">
        <v>0</v>
      </c>
      <c r="G19" s="301">
        <v>0</v>
      </c>
      <c r="H19" s="301">
        <v>0</v>
      </c>
      <c r="I19" s="301">
        <v>0</v>
      </c>
      <c r="J19" s="301">
        <v>0</v>
      </c>
      <c r="K19" s="301">
        <v>0</v>
      </c>
      <c r="L19" s="301">
        <v>0</v>
      </c>
      <c r="M19" s="301">
        <v>0</v>
      </c>
      <c r="N19" s="301">
        <v>0</v>
      </c>
      <c r="O19" s="301">
        <v>0</v>
      </c>
      <c r="P19" s="301">
        <v>0</v>
      </c>
      <c r="Q19" s="301">
        <v>0</v>
      </c>
      <c r="R19" s="301">
        <v>0</v>
      </c>
      <c r="S19" s="301">
        <v>0</v>
      </c>
      <c r="T19" s="301">
        <v>0</v>
      </c>
      <c r="U19" s="301">
        <v>0</v>
      </c>
      <c r="V19" s="301">
        <v>0</v>
      </c>
      <c r="W19" s="301">
        <v>0</v>
      </c>
      <c r="X19" s="301">
        <v>0</v>
      </c>
      <c r="Y19" s="301">
        <v>0</v>
      </c>
      <c r="Z19" s="301">
        <v>0</v>
      </c>
      <c r="AA19" s="301">
        <v>0</v>
      </c>
      <c r="AB19" s="301">
        <v>0</v>
      </c>
      <c r="AC19" s="301">
        <v>0</v>
      </c>
    </row>
    <row r="20" spans="1:29" ht="15.75" customHeight="1" x14ac:dyDescent="0.2">
      <c r="A20" s="296" t="s">
        <v>521</v>
      </c>
      <c r="B20" s="299">
        <v>0</v>
      </c>
      <c r="C20" s="299">
        <v>0</v>
      </c>
      <c r="D20" s="299">
        <v>0</v>
      </c>
      <c r="E20" s="299">
        <v>0</v>
      </c>
      <c r="F20" s="299">
        <v>0</v>
      </c>
      <c r="G20" s="299">
        <v>0</v>
      </c>
      <c r="H20" s="299">
        <v>0</v>
      </c>
      <c r="I20" s="299">
        <v>0</v>
      </c>
      <c r="J20" s="299">
        <v>0</v>
      </c>
      <c r="K20" s="299">
        <v>0</v>
      </c>
      <c r="L20" s="299">
        <v>0</v>
      </c>
      <c r="M20" s="299">
        <v>0</v>
      </c>
      <c r="N20" s="299">
        <v>0</v>
      </c>
      <c r="O20" s="299">
        <v>0</v>
      </c>
      <c r="P20" s="299">
        <v>0</v>
      </c>
      <c r="Q20" s="299">
        <v>0</v>
      </c>
      <c r="R20" s="299">
        <v>0</v>
      </c>
      <c r="S20" s="299">
        <v>0</v>
      </c>
      <c r="T20" s="299">
        <v>0</v>
      </c>
      <c r="U20" s="299">
        <v>0</v>
      </c>
      <c r="V20" s="299">
        <v>0</v>
      </c>
      <c r="W20" s="299">
        <v>0</v>
      </c>
      <c r="X20" s="299">
        <v>0</v>
      </c>
      <c r="Y20" s="299">
        <v>0</v>
      </c>
      <c r="Z20" s="299">
        <v>0</v>
      </c>
      <c r="AA20" s="299">
        <v>0</v>
      </c>
      <c r="AB20" s="299">
        <v>0</v>
      </c>
      <c r="AC20" s="299">
        <v>0</v>
      </c>
    </row>
    <row r="21" spans="1:29" ht="15.75" customHeight="1" x14ac:dyDescent="0.2">
      <c r="A21" s="296" t="s">
        <v>522</v>
      </c>
      <c r="B21" s="299">
        <v>960680</v>
      </c>
      <c r="C21" s="299">
        <v>970330</v>
      </c>
      <c r="D21" s="299">
        <v>867374</v>
      </c>
      <c r="E21" s="299">
        <v>772779</v>
      </c>
      <c r="F21" s="299">
        <v>690714</v>
      </c>
      <c r="G21" s="299">
        <v>612582</v>
      </c>
      <c r="H21" s="299">
        <v>518537</v>
      </c>
      <c r="I21" s="299">
        <v>428771</v>
      </c>
      <c r="J21" s="299">
        <v>314326</v>
      </c>
      <c r="K21" s="299">
        <v>782445</v>
      </c>
      <c r="L21" s="299">
        <v>641848</v>
      </c>
      <c r="M21" s="299">
        <v>464654</v>
      </c>
      <c r="N21" s="299">
        <v>787530</v>
      </c>
      <c r="O21" s="299">
        <v>597955</v>
      </c>
      <c r="P21" s="299">
        <v>413824</v>
      </c>
      <c r="Q21" s="299">
        <v>284883</v>
      </c>
      <c r="R21" s="299">
        <v>433129</v>
      </c>
      <c r="S21" s="299">
        <v>310846</v>
      </c>
      <c r="T21" s="299">
        <v>208372</v>
      </c>
      <c r="U21" s="299">
        <v>125877</v>
      </c>
      <c r="V21" s="299">
        <v>65839</v>
      </c>
      <c r="W21" s="299">
        <v>338519</v>
      </c>
      <c r="X21" s="299">
        <v>319614</v>
      </c>
      <c r="Y21" s="299">
        <v>295403</v>
      </c>
      <c r="Z21" s="299">
        <v>281579</v>
      </c>
      <c r="AA21" s="299">
        <v>255410</v>
      </c>
      <c r="AB21" s="299">
        <v>263817.19</v>
      </c>
      <c r="AC21" s="299">
        <v>263700.19</v>
      </c>
    </row>
    <row r="22" spans="1:29" ht="15.75" customHeight="1" x14ac:dyDescent="0.2">
      <c r="A22" s="296" t="s">
        <v>523</v>
      </c>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row>
    <row r="23" spans="1:29" ht="15.75" customHeight="1" x14ac:dyDescent="0.2">
      <c r="A23" s="296" t="s">
        <v>524</v>
      </c>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row>
    <row r="24" spans="1:29" ht="15.75" customHeight="1" x14ac:dyDescent="0.2">
      <c r="A24" s="296" t="s">
        <v>525</v>
      </c>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row>
    <row r="25" spans="1:29" ht="15.75" customHeight="1" x14ac:dyDescent="0.2">
      <c r="A25" s="296" t="s">
        <v>526</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row>
    <row r="26" spans="1:29" ht="15.75" customHeight="1" x14ac:dyDescent="0.2">
      <c r="A26" s="296" t="s">
        <v>527</v>
      </c>
      <c r="B26" s="301">
        <v>357</v>
      </c>
      <c r="C26" s="298">
        <v>-1756</v>
      </c>
      <c r="D26" s="298">
        <v>-1756</v>
      </c>
      <c r="E26" s="298">
        <v>-1756</v>
      </c>
      <c r="F26" s="298">
        <v>-1756</v>
      </c>
      <c r="G26" s="298">
        <v>-1756</v>
      </c>
      <c r="H26" s="298">
        <v>-1756</v>
      </c>
      <c r="I26" s="298">
        <v>-1756</v>
      </c>
      <c r="J26" s="298">
        <v>-1756</v>
      </c>
      <c r="K26" s="298">
        <v>-1756</v>
      </c>
      <c r="L26" s="298">
        <v>-1756</v>
      </c>
      <c r="M26" s="298">
        <v>-1756</v>
      </c>
      <c r="N26" s="298">
        <v>-1756</v>
      </c>
      <c r="O26" s="298">
        <v>-1756</v>
      </c>
      <c r="P26" s="298">
        <v>-1756</v>
      </c>
      <c r="Q26" s="298">
        <v>-1756</v>
      </c>
      <c r="R26" s="298">
        <v>-1756</v>
      </c>
      <c r="S26" s="298">
        <v>-1756</v>
      </c>
      <c r="T26" s="298">
        <v>-1756</v>
      </c>
      <c r="U26" s="298">
        <v>-1756</v>
      </c>
      <c r="V26" s="298">
        <v>-1756</v>
      </c>
      <c r="W26" s="298">
        <v>-1756</v>
      </c>
      <c r="X26" s="298">
        <v>-1756</v>
      </c>
      <c r="Y26" s="298">
        <v>-1756</v>
      </c>
      <c r="Z26" s="298">
        <v>-1756</v>
      </c>
      <c r="AA26" s="298">
        <v>-1756</v>
      </c>
      <c r="AB26" s="298">
        <v>-1756</v>
      </c>
      <c r="AC26" s="298">
        <v>-1756</v>
      </c>
    </row>
    <row r="27" spans="1:29" ht="15.75" customHeight="1" x14ac:dyDescent="0.2">
      <c r="A27" s="296" t="s">
        <v>528</v>
      </c>
      <c r="B27" s="299">
        <v>357</v>
      </c>
      <c r="C27" s="299">
        <v>-1756</v>
      </c>
      <c r="D27" s="299">
        <v>-1756</v>
      </c>
      <c r="E27" s="299">
        <v>-1756</v>
      </c>
      <c r="F27" s="299">
        <v>-1756</v>
      </c>
      <c r="G27" s="299">
        <v>-1756</v>
      </c>
      <c r="H27" s="299">
        <v>-1756</v>
      </c>
      <c r="I27" s="299">
        <v>-1756</v>
      </c>
      <c r="J27" s="299">
        <v>-1756</v>
      </c>
      <c r="K27" s="299">
        <v>-1756</v>
      </c>
      <c r="L27" s="299">
        <v>-1756</v>
      </c>
      <c r="M27" s="299">
        <v>-1756</v>
      </c>
      <c r="N27" s="299">
        <v>-1756</v>
      </c>
      <c r="O27" s="299">
        <v>-1756</v>
      </c>
      <c r="P27" s="299">
        <v>-1756</v>
      </c>
      <c r="Q27" s="299">
        <v>-1756</v>
      </c>
      <c r="R27" s="299">
        <v>-1756</v>
      </c>
      <c r="S27" s="299">
        <v>-1756</v>
      </c>
      <c r="T27" s="299">
        <v>-1756</v>
      </c>
      <c r="U27" s="299">
        <v>-1756</v>
      </c>
      <c r="V27" s="299">
        <v>-1756</v>
      </c>
      <c r="W27" s="299">
        <v>-1756</v>
      </c>
      <c r="X27" s="299">
        <v>-1756</v>
      </c>
      <c r="Y27" s="299">
        <v>-1756</v>
      </c>
      <c r="Z27" s="299">
        <v>-1756</v>
      </c>
      <c r="AA27" s="299">
        <v>-1756</v>
      </c>
      <c r="AB27" s="299">
        <v>-1756</v>
      </c>
      <c r="AC27" s="299">
        <v>-1756</v>
      </c>
    </row>
    <row r="28" spans="1:29" ht="15.75" customHeight="1" x14ac:dyDescent="0.2">
      <c r="A28" s="296" t="s">
        <v>529</v>
      </c>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row>
    <row r="29" spans="1:29" ht="15.75" customHeight="1" x14ac:dyDescent="0.2">
      <c r="A29" s="296" t="s">
        <v>530</v>
      </c>
      <c r="B29" s="301">
        <v>-239</v>
      </c>
      <c r="C29" s="301">
        <v>-352</v>
      </c>
      <c r="D29" s="301">
        <v>-352</v>
      </c>
      <c r="E29" s="301">
        <v>-352</v>
      </c>
      <c r="F29" s="301">
        <v>-352</v>
      </c>
      <c r="G29" s="301">
        <v>-352</v>
      </c>
      <c r="H29" s="301">
        <v>-352</v>
      </c>
      <c r="I29" s="301">
        <v>-352</v>
      </c>
      <c r="J29" s="301">
        <v>-352</v>
      </c>
      <c r="K29" s="301">
        <v>-352</v>
      </c>
      <c r="L29" s="301">
        <v>-352</v>
      </c>
      <c r="M29" s="301">
        <v>-352</v>
      </c>
      <c r="N29" s="301">
        <v>-352</v>
      </c>
      <c r="O29" s="301">
        <v>-352</v>
      </c>
      <c r="P29" s="301">
        <v>-352</v>
      </c>
      <c r="Q29" s="301">
        <v>-352</v>
      </c>
      <c r="R29" s="301">
        <v>-352</v>
      </c>
      <c r="S29" s="301">
        <v>-352</v>
      </c>
      <c r="T29" s="301">
        <v>-352</v>
      </c>
      <c r="U29" s="301">
        <v>-352</v>
      </c>
      <c r="V29" s="301">
        <v>-352</v>
      </c>
      <c r="W29" s="301">
        <v>-352</v>
      </c>
      <c r="X29" s="301">
        <v>-352</v>
      </c>
      <c r="Y29" s="301">
        <v>-352</v>
      </c>
      <c r="Z29" s="301">
        <v>-352</v>
      </c>
      <c r="AA29" s="301">
        <v>-352</v>
      </c>
      <c r="AB29" s="301">
        <v>-352</v>
      </c>
      <c r="AC29" s="301">
        <v>-352</v>
      </c>
    </row>
    <row r="30" spans="1:29" ht="15.75" customHeight="1" x14ac:dyDescent="0.2">
      <c r="A30" s="296" t="s">
        <v>531</v>
      </c>
      <c r="B30" s="299">
        <v>-239</v>
      </c>
      <c r="C30" s="299">
        <v>-352</v>
      </c>
      <c r="D30" s="299">
        <v>-352</v>
      </c>
      <c r="E30" s="299">
        <v>-352</v>
      </c>
      <c r="F30" s="299">
        <v>-352</v>
      </c>
      <c r="G30" s="299">
        <v>-352</v>
      </c>
      <c r="H30" s="299">
        <v>-352</v>
      </c>
      <c r="I30" s="299">
        <v>-352</v>
      </c>
      <c r="J30" s="299">
        <v>-352</v>
      </c>
      <c r="K30" s="299">
        <v>-352</v>
      </c>
      <c r="L30" s="299">
        <v>-352</v>
      </c>
      <c r="M30" s="299">
        <v>-352</v>
      </c>
      <c r="N30" s="299">
        <v>-352</v>
      </c>
      <c r="O30" s="299">
        <v>-352</v>
      </c>
      <c r="P30" s="299">
        <v>-352</v>
      </c>
      <c r="Q30" s="299">
        <v>-352</v>
      </c>
      <c r="R30" s="299">
        <v>-352</v>
      </c>
      <c r="S30" s="299">
        <v>-352</v>
      </c>
      <c r="T30" s="299">
        <v>-352</v>
      </c>
      <c r="U30" s="299">
        <v>-352</v>
      </c>
      <c r="V30" s="299">
        <v>-352</v>
      </c>
      <c r="W30" s="299">
        <v>-352</v>
      </c>
      <c r="X30" s="299">
        <v>-352</v>
      </c>
      <c r="Y30" s="299">
        <v>-352</v>
      </c>
      <c r="Z30" s="299">
        <v>-352</v>
      </c>
      <c r="AA30" s="299">
        <v>-352</v>
      </c>
      <c r="AB30" s="299">
        <v>-352</v>
      </c>
      <c r="AC30" s="299">
        <v>-352</v>
      </c>
    </row>
    <row r="31" spans="1:29" ht="15.75" customHeight="1" x14ac:dyDescent="0.2">
      <c r="A31" s="296" t="s">
        <v>532</v>
      </c>
      <c r="B31" s="299">
        <v>118</v>
      </c>
      <c r="C31" s="299">
        <v>-2108</v>
      </c>
      <c r="D31" s="299">
        <v>-2108</v>
      </c>
      <c r="E31" s="299">
        <v>-2108</v>
      </c>
      <c r="F31" s="299">
        <v>-2108</v>
      </c>
      <c r="G31" s="299">
        <v>-2108</v>
      </c>
      <c r="H31" s="299">
        <v>-2108</v>
      </c>
      <c r="I31" s="299">
        <v>-2108</v>
      </c>
      <c r="J31" s="299">
        <v>-2108</v>
      </c>
      <c r="K31" s="299">
        <v>-2108</v>
      </c>
      <c r="L31" s="299">
        <v>-2108</v>
      </c>
      <c r="M31" s="299">
        <v>-2108</v>
      </c>
      <c r="N31" s="299">
        <v>-2108</v>
      </c>
      <c r="O31" s="299">
        <v>-2108</v>
      </c>
      <c r="P31" s="299">
        <v>-2108</v>
      </c>
      <c r="Q31" s="299">
        <v>-2108</v>
      </c>
      <c r="R31" s="299">
        <v>-2108</v>
      </c>
      <c r="S31" s="299">
        <v>-2108</v>
      </c>
      <c r="T31" s="299">
        <v>-2108</v>
      </c>
      <c r="U31" s="299">
        <v>-2108</v>
      </c>
      <c r="V31" s="299">
        <v>-2108</v>
      </c>
      <c r="W31" s="299">
        <v>-2108</v>
      </c>
      <c r="X31" s="299">
        <v>-2108</v>
      </c>
      <c r="Y31" s="299">
        <v>-2108</v>
      </c>
      <c r="Z31" s="299">
        <v>-2108</v>
      </c>
      <c r="AA31" s="299">
        <v>-2108</v>
      </c>
      <c r="AB31" s="299">
        <v>-2108</v>
      </c>
      <c r="AC31" s="299">
        <v>-2108</v>
      </c>
    </row>
    <row r="32" spans="1:29" ht="15.75" customHeight="1" x14ac:dyDescent="0.2">
      <c r="A32" s="296" t="s">
        <v>533</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row>
    <row r="33" spans="1:29" ht="15.75" customHeight="1" x14ac:dyDescent="0.2">
      <c r="A33" s="296" t="s">
        <v>534</v>
      </c>
      <c r="B33" s="298">
        <v>550000</v>
      </c>
      <c r="C33" s="298">
        <v>650000</v>
      </c>
      <c r="D33" s="298">
        <v>650000</v>
      </c>
      <c r="E33" s="298">
        <v>650000</v>
      </c>
      <c r="F33" s="298">
        <v>650000</v>
      </c>
      <c r="G33" s="298">
        <v>650000</v>
      </c>
      <c r="H33" s="298">
        <v>650000</v>
      </c>
      <c r="I33" s="298">
        <v>650000</v>
      </c>
      <c r="J33" s="298">
        <v>650000</v>
      </c>
      <c r="K33" s="298">
        <v>1250000</v>
      </c>
      <c r="L33" s="298">
        <v>1250000</v>
      </c>
      <c r="M33" s="298">
        <v>1250000</v>
      </c>
      <c r="N33" s="298">
        <v>1750000</v>
      </c>
      <c r="O33" s="298">
        <v>1750000</v>
      </c>
      <c r="P33" s="298">
        <v>1750000</v>
      </c>
      <c r="Q33" s="298">
        <v>1750000</v>
      </c>
      <c r="R33" s="298">
        <v>2050000</v>
      </c>
      <c r="S33" s="298">
        <v>2050000</v>
      </c>
      <c r="T33" s="298">
        <v>2050000</v>
      </c>
      <c r="U33" s="298">
        <v>2050000</v>
      </c>
      <c r="V33" s="298">
        <v>2050000</v>
      </c>
      <c r="W33" s="298">
        <v>2350000</v>
      </c>
      <c r="X33" s="298">
        <v>2350000</v>
      </c>
      <c r="Y33" s="298">
        <v>2350000</v>
      </c>
      <c r="Z33" s="298">
        <v>2350000</v>
      </c>
      <c r="AA33" s="298">
        <v>2350000</v>
      </c>
      <c r="AB33" s="298">
        <v>2350000</v>
      </c>
      <c r="AC33" s="298">
        <v>2350000</v>
      </c>
    </row>
    <row r="34" spans="1:29" ht="15.75" customHeight="1" x14ac:dyDescent="0.2">
      <c r="A34" s="296" t="s">
        <v>535</v>
      </c>
      <c r="B34" s="298">
        <v>500000</v>
      </c>
      <c r="C34" s="298">
        <v>500000</v>
      </c>
      <c r="D34" s="298">
        <v>500000</v>
      </c>
      <c r="E34" s="298">
        <v>500000</v>
      </c>
      <c r="F34" s="298">
        <v>500000</v>
      </c>
      <c r="G34" s="298">
        <v>500000</v>
      </c>
      <c r="H34" s="298">
        <v>500000</v>
      </c>
      <c r="I34" s="298">
        <v>500000</v>
      </c>
      <c r="J34" s="298">
        <v>500000</v>
      </c>
      <c r="K34" s="298">
        <v>500000</v>
      </c>
      <c r="L34" s="298">
        <v>500000</v>
      </c>
      <c r="M34" s="298">
        <v>500000</v>
      </c>
      <c r="N34" s="298">
        <v>500000</v>
      </c>
      <c r="O34" s="298">
        <v>500000</v>
      </c>
      <c r="P34" s="298">
        <v>500000</v>
      </c>
      <c r="Q34" s="298">
        <v>500000</v>
      </c>
      <c r="R34" s="298">
        <v>500000</v>
      </c>
      <c r="S34" s="298">
        <v>500000</v>
      </c>
      <c r="T34" s="298">
        <v>500000</v>
      </c>
      <c r="U34" s="298">
        <v>500000</v>
      </c>
      <c r="V34" s="298">
        <v>500000</v>
      </c>
      <c r="W34" s="298">
        <v>500000</v>
      </c>
      <c r="X34" s="298">
        <v>500000</v>
      </c>
      <c r="Y34" s="298">
        <v>500000</v>
      </c>
      <c r="Z34" s="298">
        <v>500000</v>
      </c>
      <c r="AA34" s="298">
        <v>500000</v>
      </c>
      <c r="AB34" s="298">
        <v>500000</v>
      </c>
      <c r="AC34" s="298">
        <v>500000</v>
      </c>
    </row>
    <row r="35" spans="1:29" ht="15.75" customHeight="1" x14ac:dyDescent="0.2">
      <c r="A35" s="296" t="s">
        <v>536</v>
      </c>
      <c r="B35" s="298">
        <v>0</v>
      </c>
      <c r="C35" s="298">
        <v>0</v>
      </c>
      <c r="D35" s="298">
        <v>0</v>
      </c>
      <c r="E35" s="298">
        <v>0</v>
      </c>
      <c r="F35" s="298">
        <v>0</v>
      </c>
      <c r="G35" s="298">
        <v>0</v>
      </c>
      <c r="H35" s="298">
        <v>0</v>
      </c>
      <c r="I35" s="298">
        <v>0</v>
      </c>
      <c r="J35" s="298">
        <v>0</v>
      </c>
      <c r="K35" s="298">
        <v>0</v>
      </c>
      <c r="L35" s="298">
        <v>0</v>
      </c>
      <c r="M35" s="298">
        <v>0</v>
      </c>
      <c r="N35" s="298">
        <v>0</v>
      </c>
      <c r="O35" s="298">
        <v>0</v>
      </c>
      <c r="P35" s="298">
        <v>0</v>
      </c>
      <c r="Q35" s="298">
        <v>0</v>
      </c>
      <c r="R35" s="298">
        <v>0</v>
      </c>
      <c r="S35" s="298">
        <v>0</v>
      </c>
      <c r="T35" s="298">
        <v>0</v>
      </c>
      <c r="U35" s="298">
        <v>0</v>
      </c>
      <c r="V35" s="298">
        <v>0</v>
      </c>
      <c r="W35" s="301">
        <v>0</v>
      </c>
      <c r="X35" s="301">
        <v>0</v>
      </c>
      <c r="Y35" s="301">
        <v>0</v>
      </c>
      <c r="Z35" s="301">
        <v>0</v>
      </c>
      <c r="AA35" s="301">
        <v>0</v>
      </c>
      <c r="AB35" s="301">
        <v>0</v>
      </c>
      <c r="AC35" s="301">
        <v>0</v>
      </c>
    </row>
    <row r="36" spans="1:29" ht="15.75" customHeight="1" x14ac:dyDescent="0.2">
      <c r="A36" s="296" t="s">
        <v>537</v>
      </c>
      <c r="B36" s="299">
        <v>1050000</v>
      </c>
      <c r="C36" s="299">
        <v>1150000</v>
      </c>
      <c r="D36" s="299">
        <v>1150000</v>
      </c>
      <c r="E36" s="299">
        <v>1150000</v>
      </c>
      <c r="F36" s="299">
        <v>1150000</v>
      </c>
      <c r="G36" s="299">
        <v>1150000</v>
      </c>
      <c r="H36" s="299">
        <v>1150000</v>
      </c>
      <c r="I36" s="299">
        <v>1150000</v>
      </c>
      <c r="J36" s="299">
        <v>1150000</v>
      </c>
      <c r="K36" s="299">
        <v>1750000</v>
      </c>
      <c r="L36" s="299">
        <v>1750000</v>
      </c>
      <c r="M36" s="299">
        <v>1750000</v>
      </c>
      <c r="N36" s="299">
        <v>2250000</v>
      </c>
      <c r="O36" s="299">
        <v>2250000</v>
      </c>
      <c r="P36" s="299">
        <v>2250000</v>
      </c>
      <c r="Q36" s="299">
        <v>2250000</v>
      </c>
      <c r="R36" s="299">
        <v>2550000</v>
      </c>
      <c r="S36" s="299">
        <v>2550000</v>
      </c>
      <c r="T36" s="299">
        <v>2550000</v>
      </c>
      <c r="U36" s="299">
        <v>2550000</v>
      </c>
      <c r="V36" s="299">
        <v>2550000</v>
      </c>
      <c r="W36" s="299">
        <v>2850000</v>
      </c>
      <c r="X36" s="299">
        <v>2850000</v>
      </c>
      <c r="Y36" s="299">
        <v>2850000</v>
      </c>
      <c r="Z36" s="299">
        <v>2850000</v>
      </c>
      <c r="AA36" s="299">
        <v>2850000</v>
      </c>
      <c r="AB36" s="299">
        <v>2850000</v>
      </c>
      <c r="AC36" s="299">
        <v>2850000</v>
      </c>
    </row>
    <row r="37" spans="1:29" ht="15.75" customHeight="1" x14ac:dyDescent="0.2">
      <c r="A37" s="296" t="s">
        <v>538</v>
      </c>
      <c r="B37" s="299">
        <v>1050118</v>
      </c>
      <c r="C37" s="299">
        <v>1147892</v>
      </c>
      <c r="D37" s="299">
        <v>1147892</v>
      </c>
      <c r="E37" s="299">
        <v>1147892</v>
      </c>
      <c r="F37" s="299">
        <v>1147892</v>
      </c>
      <c r="G37" s="299">
        <v>1147892</v>
      </c>
      <c r="H37" s="299">
        <v>1147892</v>
      </c>
      <c r="I37" s="299">
        <v>1147892</v>
      </c>
      <c r="J37" s="299">
        <v>1147892</v>
      </c>
      <c r="K37" s="299">
        <v>1747892</v>
      </c>
      <c r="L37" s="299">
        <v>1747892</v>
      </c>
      <c r="M37" s="299">
        <v>1747892</v>
      </c>
      <c r="N37" s="299">
        <v>2247892</v>
      </c>
      <c r="O37" s="299">
        <v>2247892</v>
      </c>
      <c r="P37" s="299">
        <v>2247892</v>
      </c>
      <c r="Q37" s="299">
        <v>2247892</v>
      </c>
      <c r="R37" s="299">
        <v>2547892</v>
      </c>
      <c r="S37" s="299">
        <v>2547892</v>
      </c>
      <c r="T37" s="299">
        <v>2547892</v>
      </c>
      <c r="U37" s="299">
        <v>2547892</v>
      </c>
      <c r="V37" s="299">
        <v>2547892</v>
      </c>
      <c r="W37" s="299">
        <v>2847892</v>
      </c>
      <c r="X37" s="299">
        <v>2847892</v>
      </c>
      <c r="Y37" s="299">
        <v>2847892</v>
      </c>
      <c r="Z37" s="299">
        <v>2847892</v>
      </c>
      <c r="AA37" s="299">
        <v>2847892</v>
      </c>
      <c r="AB37" s="299">
        <v>2847892</v>
      </c>
      <c r="AC37" s="299">
        <v>2847892</v>
      </c>
    </row>
    <row r="38" spans="1:29" ht="15.75" customHeight="1" x14ac:dyDescent="0.2">
      <c r="A38" s="296" t="s">
        <v>539</v>
      </c>
      <c r="B38" s="303"/>
      <c r="C38" s="303"/>
      <c r="D38" s="303"/>
      <c r="E38" s="303"/>
      <c r="F38" s="303"/>
      <c r="G38" s="303"/>
      <c r="H38" s="303"/>
      <c r="I38" s="303"/>
      <c r="J38" s="303"/>
      <c r="K38" s="303"/>
      <c r="L38" s="303"/>
      <c r="M38" s="303"/>
      <c r="N38" s="303"/>
      <c r="O38" s="303"/>
      <c r="P38" s="303"/>
      <c r="Q38" s="303"/>
      <c r="R38" s="303"/>
      <c r="S38" s="303"/>
      <c r="T38" s="303"/>
      <c r="U38" s="303"/>
      <c r="V38" s="303"/>
      <c r="W38" s="297"/>
      <c r="X38" s="297"/>
      <c r="Y38" s="297"/>
      <c r="Z38" s="297"/>
      <c r="AA38" s="297"/>
      <c r="AB38" s="297"/>
      <c r="AC38" s="297"/>
    </row>
    <row r="39" spans="1:29" ht="15.75" customHeight="1" x14ac:dyDescent="0.2">
      <c r="A39" s="296" t="s">
        <v>540</v>
      </c>
      <c r="B39" s="304">
        <v>0</v>
      </c>
      <c r="C39" s="304">
        <v>0</v>
      </c>
      <c r="D39" s="304">
        <v>0</v>
      </c>
      <c r="E39" s="304">
        <v>0</v>
      </c>
      <c r="F39" s="304">
        <v>0</v>
      </c>
      <c r="G39" s="304">
        <v>0</v>
      </c>
      <c r="H39" s="304">
        <v>0</v>
      </c>
      <c r="I39" s="304">
        <v>0</v>
      </c>
      <c r="J39" s="304">
        <v>0</v>
      </c>
      <c r="K39" s="304">
        <v>0</v>
      </c>
      <c r="L39" s="304">
        <v>0</v>
      </c>
      <c r="M39" s="304">
        <v>0</v>
      </c>
      <c r="N39" s="304">
        <v>0</v>
      </c>
      <c r="O39" s="304">
        <v>0</v>
      </c>
      <c r="P39" s="304">
        <v>0</v>
      </c>
      <c r="Q39" s="304">
        <v>0</v>
      </c>
      <c r="R39" s="304">
        <v>0</v>
      </c>
      <c r="S39" s="304">
        <v>0</v>
      </c>
      <c r="T39" s="304">
        <v>0</v>
      </c>
      <c r="U39" s="304">
        <v>0</v>
      </c>
      <c r="V39" s="304">
        <v>0</v>
      </c>
      <c r="W39" s="301">
        <v>0</v>
      </c>
      <c r="X39" s="301">
        <v>0</v>
      </c>
      <c r="Y39" s="301">
        <v>0</v>
      </c>
      <c r="Z39" s="301">
        <v>0</v>
      </c>
      <c r="AA39" s="301">
        <v>0</v>
      </c>
      <c r="AB39" s="301">
        <v>0</v>
      </c>
      <c r="AC39" s="301">
        <v>0</v>
      </c>
    </row>
    <row r="40" spans="1:29" ht="15.75" customHeight="1" x14ac:dyDescent="0.2">
      <c r="A40" s="296" t="s">
        <v>541</v>
      </c>
      <c r="B40" s="298">
        <v>332421</v>
      </c>
      <c r="C40" s="298">
        <v>332421</v>
      </c>
      <c r="D40" s="298">
        <v>332421</v>
      </c>
      <c r="E40" s="298">
        <v>332421</v>
      </c>
      <c r="F40" s="298">
        <v>332421</v>
      </c>
      <c r="G40" s="298">
        <v>332421</v>
      </c>
      <c r="H40" s="298">
        <v>332421</v>
      </c>
      <c r="I40" s="298">
        <v>332421</v>
      </c>
      <c r="J40" s="298">
        <v>332421</v>
      </c>
      <c r="K40" s="298">
        <v>332421</v>
      </c>
      <c r="L40" s="298">
        <v>332421</v>
      </c>
      <c r="M40" s="298">
        <v>332421</v>
      </c>
      <c r="N40" s="298">
        <v>332421</v>
      </c>
      <c r="O40" s="298">
        <v>332421</v>
      </c>
      <c r="P40" s="298">
        <v>332421</v>
      </c>
      <c r="Q40" s="298">
        <v>332421</v>
      </c>
      <c r="R40" s="298">
        <v>332421</v>
      </c>
      <c r="S40" s="298">
        <v>332421</v>
      </c>
      <c r="T40" s="298">
        <v>332421</v>
      </c>
      <c r="U40" s="298">
        <v>332421</v>
      </c>
      <c r="V40" s="298">
        <v>332421</v>
      </c>
      <c r="W40" s="298">
        <v>332421</v>
      </c>
      <c r="X40" s="298">
        <v>332421</v>
      </c>
      <c r="Y40" s="298">
        <v>332421</v>
      </c>
      <c r="Z40" s="298">
        <v>332421</v>
      </c>
      <c r="AA40" s="298">
        <v>332421</v>
      </c>
      <c r="AB40" s="298">
        <v>332421</v>
      </c>
      <c r="AC40" s="298">
        <v>332421</v>
      </c>
    </row>
    <row r="41" spans="1:29" ht="15.75" customHeight="1" x14ac:dyDescent="0.2">
      <c r="A41" s="296" t="s">
        <v>542</v>
      </c>
      <c r="B41" s="298">
        <v>-332421</v>
      </c>
      <c r="C41" s="298">
        <v>-332421</v>
      </c>
      <c r="D41" s="298">
        <v>-332421</v>
      </c>
      <c r="E41" s="298">
        <v>-332421</v>
      </c>
      <c r="F41" s="298">
        <v>-332421</v>
      </c>
      <c r="G41" s="298">
        <v>-332421</v>
      </c>
      <c r="H41" s="298">
        <v>-332421</v>
      </c>
      <c r="I41" s="298">
        <v>-332421</v>
      </c>
      <c r="J41" s="298">
        <v>-332421</v>
      </c>
      <c r="K41" s="298">
        <v>-332421</v>
      </c>
      <c r="L41" s="298">
        <v>-332421</v>
      </c>
      <c r="M41" s="298">
        <v>-332421</v>
      </c>
      <c r="N41" s="298">
        <v>-1615659</v>
      </c>
      <c r="O41" s="298">
        <v>-1615659</v>
      </c>
      <c r="P41" s="298">
        <v>-1615659</v>
      </c>
      <c r="Q41" s="298">
        <v>-1615659</v>
      </c>
      <c r="R41" s="298">
        <v>-1615659</v>
      </c>
      <c r="S41" s="298">
        <v>-1615659</v>
      </c>
      <c r="T41" s="298">
        <v>-1615659</v>
      </c>
      <c r="U41" s="298">
        <v>-1615659</v>
      </c>
      <c r="V41" s="298">
        <v>-1615659</v>
      </c>
      <c r="W41" s="298">
        <v>-1615659</v>
      </c>
      <c r="X41" s="298">
        <v>-1615659</v>
      </c>
      <c r="Y41" s="298">
        <v>-1615659</v>
      </c>
      <c r="Z41" s="298">
        <v>-2884910</v>
      </c>
      <c r="AA41" s="298">
        <v>-2884910</v>
      </c>
      <c r="AB41" s="298">
        <v>-2884910</v>
      </c>
      <c r="AC41" s="298">
        <v>-2884910</v>
      </c>
    </row>
    <row r="42" spans="1:29" ht="15.75" customHeight="1" x14ac:dyDescent="0.2">
      <c r="A42" s="296" t="s">
        <v>24</v>
      </c>
      <c r="B42" s="298">
        <v>-89438</v>
      </c>
      <c r="C42" s="298">
        <v>-177562</v>
      </c>
      <c r="D42" s="298">
        <v>-280518</v>
      </c>
      <c r="E42" s="298">
        <v>-375113</v>
      </c>
      <c r="F42" s="298">
        <v>-457178</v>
      </c>
      <c r="G42" s="298">
        <v>-535310</v>
      </c>
      <c r="H42" s="298">
        <v>-629355</v>
      </c>
      <c r="I42" s="298">
        <v>-719121</v>
      </c>
      <c r="J42" s="298">
        <v>-833566</v>
      </c>
      <c r="K42" s="298">
        <v>-965447</v>
      </c>
      <c r="L42" s="298">
        <v>-1106044</v>
      </c>
      <c r="M42" s="298">
        <v>-1283238</v>
      </c>
      <c r="N42" s="298">
        <v>-177124</v>
      </c>
      <c r="O42" s="298">
        <v>-366699</v>
      </c>
      <c r="P42" s="298">
        <v>-550830</v>
      </c>
      <c r="Q42" s="298">
        <v>-679771</v>
      </c>
      <c r="R42" s="298">
        <v>-831525</v>
      </c>
      <c r="S42" s="298">
        <v>-953808</v>
      </c>
      <c r="T42" s="298">
        <v>-1056282</v>
      </c>
      <c r="U42" s="298">
        <v>-1138777</v>
      </c>
      <c r="V42" s="298">
        <v>-1198815</v>
      </c>
      <c r="W42" s="298">
        <v>-1226135</v>
      </c>
      <c r="X42" s="298">
        <v>-1245040</v>
      </c>
      <c r="Y42" s="298">
        <v>-1269251</v>
      </c>
      <c r="Z42" s="298">
        <v>-13824</v>
      </c>
      <c r="AA42" s="298">
        <v>-39993</v>
      </c>
      <c r="AB42" s="298">
        <v>-31585.81</v>
      </c>
      <c r="AC42" s="298">
        <v>-31702.81</v>
      </c>
    </row>
    <row r="43" spans="1:29" ht="15.75" customHeight="1" x14ac:dyDescent="0.2">
      <c r="A43" s="296" t="s">
        <v>543</v>
      </c>
      <c r="B43" s="305">
        <v>-89438</v>
      </c>
      <c r="C43" s="305">
        <v>-177562</v>
      </c>
      <c r="D43" s="305">
        <v>-280518</v>
      </c>
      <c r="E43" s="305">
        <v>-375113</v>
      </c>
      <c r="F43" s="305">
        <v>-457178</v>
      </c>
      <c r="G43" s="305">
        <v>-535310</v>
      </c>
      <c r="H43" s="305">
        <v>-629355</v>
      </c>
      <c r="I43" s="305">
        <v>-719121</v>
      </c>
      <c r="J43" s="305">
        <v>-833566</v>
      </c>
      <c r="K43" s="305">
        <v>-965447</v>
      </c>
      <c r="L43" s="305">
        <v>-1106044</v>
      </c>
      <c r="M43" s="305">
        <v>-1283238</v>
      </c>
      <c r="N43" s="305">
        <v>-1460362</v>
      </c>
      <c r="O43" s="305">
        <v>-1649937</v>
      </c>
      <c r="P43" s="305">
        <v>-1834068</v>
      </c>
      <c r="Q43" s="305">
        <v>-1963009</v>
      </c>
      <c r="R43" s="305">
        <v>-2114763</v>
      </c>
      <c r="S43" s="305">
        <v>-2237046</v>
      </c>
      <c r="T43" s="305">
        <v>-2339520</v>
      </c>
      <c r="U43" s="305">
        <v>-2422015</v>
      </c>
      <c r="V43" s="305">
        <v>-2482053</v>
      </c>
      <c r="W43" s="299">
        <v>-2509373</v>
      </c>
      <c r="X43" s="299">
        <v>-2528278</v>
      </c>
      <c r="Y43" s="299">
        <v>-2552489</v>
      </c>
      <c r="Z43" s="299">
        <v>-2566313</v>
      </c>
      <c r="AA43" s="299">
        <v>-2592482</v>
      </c>
      <c r="AB43" s="299">
        <v>-2584074.81</v>
      </c>
      <c r="AC43" s="299">
        <v>-2584191.81</v>
      </c>
    </row>
    <row r="44" spans="1:29" ht="15.75" customHeight="1" x14ac:dyDescent="0.2">
      <c r="A44" s="296" t="s">
        <v>544</v>
      </c>
      <c r="B44" s="305">
        <v>960680</v>
      </c>
      <c r="C44" s="305">
        <v>970330</v>
      </c>
      <c r="D44" s="305">
        <v>867374</v>
      </c>
      <c r="E44" s="305">
        <v>772779</v>
      </c>
      <c r="F44" s="305">
        <v>690714</v>
      </c>
      <c r="G44" s="305">
        <v>612582</v>
      </c>
      <c r="H44" s="305">
        <v>518537</v>
      </c>
      <c r="I44" s="305">
        <v>428771</v>
      </c>
      <c r="J44" s="305">
        <v>314326</v>
      </c>
      <c r="K44" s="305">
        <v>782445</v>
      </c>
      <c r="L44" s="305">
        <v>641848</v>
      </c>
      <c r="M44" s="305">
        <v>464654</v>
      </c>
      <c r="N44" s="305">
        <v>787530</v>
      </c>
      <c r="O44" s="305">
        <v>597955</v>
      </c>
      <c r="P44" s="305">
        <v>413824</v>
      </c>
      <c r="Q44" s="305">
        <v>284883</v>
      </c>
      <c r="R44" s="305">
        <v>433129</v>
      </c>
      <c r="S44" s="305">
        <v>310846</v>
      </c>
      <c r="T44" s="305">
        <v>208372</v>
      </c>
      <c r="U44" s="305">
        <v>125877</v>
      </c>
      <c r="V44" s="305">
        <v>65839</v>
      </c>
      <c r="W44" s="299">
        <v>338519</v>
      </c>
      <c r="X44" s="299">
        <v>319614</v>
      </c>
      <c r="Y44" s="299">
        <v>295403</v>
      </c>
      <c r="Z44" s="299">
        <v>281579</v>
      </c>
      <c r="AA44" s="299">
        <v>255410</v>
      </c>
      <c r="AB44" s="299">
        <v>263817.19</v>
      </c>
      <c r="AC44" s="299">
        <v>263700.19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AC28"/>
  <sheetViews>
    <sheetView workbookViewId="0">
      <pane xSplit="1" topLeftCell="B1" activePane="topRight" state="frozen"/>
      <selection pane="topRight" activeCell="C2" sqref="C2"/>
    </sheetView>
  </sheetViews>
  <sheetFormatPr defaultColWidth="14.42578125" defaultRowHeight="15.75" customHeight="1" x14ac:dyDescent="0.2"/>
  <cols>
    <col min="1" max="1" width="57.140625" customWidth="1"/>
  </cols>
  <sheetData>
    <row r="1" spans="1:29" ht="18" x14ac:dyDescent="0.25">
      <c r="A1" s="306" t="s">
        <v>433</v>
      </c>
      <c r="B1" s="288" t="str">
        <f t="shared" ref="B1:AC1" si="0">"CFS_"&amp;TEXT(B5,"mmm")&amp;"_"&amp;TEXT(B5,"yyyy")</f>
        <v>CFS_Jan_2018</v>
      </c>
      <c r="C1" s="288" t="str">
        <f t="shared" si="0"/>
        <v>CFS_Feb_2018</v>
      </c>
      <c r="D1" s="288" t="str">
        <f t="shared" si="0"/>
        <v>CFS_Mar_2018</v>
      </c>
      <c r="E1" s="288" t="str">
        <f t="shared" si="0"/>
        <v>CFS_Apr_2018</v>
      </c>
      <c r="F1" s="288" t="str">
        <f t="shared" si="0"/>
        <v>CFS_May_2018</v>
      </c>
      <c r="G1" s="288" t="str">
        <f t="shared" si="0"/>
        <v>CFS_Jun_2018</v>
      </c>
      <c r="H1" s="288" t="str">
        <f t="shared" si="0"/>
        <v>CFS_Jul_2018</v>
      </c>
      <c r="I1" s="288" t="str">
        <f t="shared" si="0"/>
        <v>CFS_Aug_2018</v>
      </c>
      <c r="J1" s="288" t="str">
        <f t="shared" si="0"/>
        <v>CFS_Sep_2018</v>
      </c>
      <c r="K1" s="288" t="str">
        <f t="shared" si="0"/>
        <v>CFS_Oct_2018</v>
      </c>
      <c r="L1" s="288" t="str">
        <f t="shared" si="0"/>
        <v>CFS_Nov_2018</v>
      </c>
      <c r="M1" s="288" t="str">
        <f t="shared" si="0"/>
        <v>CFS_Dec_2018</v>
      </c>
      <c r="N1" s="288" t="str">
        <f t="shared" si="0"/>
        <v>CFS_Jan_2019</v>
      </c>
      <c r="O1" s="288" t="str">
        <f t="shared" si="0"/>
        <v>CFS_Feb_2019</v>
      </c>
      <c r="P1" s="288" t="str">
        <f t="shared" si="0"/>
        <v>CFS_Mar_2019</v>
      </c>
      <c r="Q1" s="288" t="str">
        <f t="shared" si="0"/>
        <v>CFS_Apr_2019</v>
      </c>
      <c r="R1" s="288" t="str">
        <f t="shared" si="0"/>
        <v>CFS_May_2019</v>
      </c>
      <c r="S1" s="288" t="str">
        <f t="shared" si="0"/>
        <v>CFS_Jun_2019</v>
      </c>
      <c r="T1" s="288" t="str">
        <f t="shared" si="0"/>
        <v>CFS_Jul_2019</v>
      </c>
      <c r="U1" s="288" t="str">
        <f t="shared" si="0"/>
        <v>CFS_Aug_2019</v>
      </c>
      <c r="V1" s="288" t="str">
        <f t="shared" si="0"/>
        <v>CFS_Sep_2019</v>
      </c>
      <c r="W1" s="288" t="str">
        <f t="shared" si="0"/>
        <v>CFS_Oct_2019</v>
      </c>
      <c r="X1" s="288" t="str">
        <f t="shared" si="0"/>
        <v>CFS_Nov_2019</v>
      </c>
      <c r="Y1" s="288" t="str">
        <f t="shared" si="0"/>
        <v>CFS_Dec_2019</v>
      </c>
      <c r="Z1" s="288" t="str">
        <f t="shared" si="0"/>
        <v>CFS_Jan_2020</v>
      </c>
      <c r="AA1" s="288" t="str">
        <f t="shared" si="0"/>
        <v>CFS_Feb_2020</v>
      </c>
      <c r="AB1" s="288" t="str">
        <f t="shared" si="0"/>
        <v>CFS_Mar_2020</v>
      </c>
      <c r="AC1" s="288" t="str">
        <f t="shared" si="0"/>
        <v>CFS_Apr_2020</v>
      </c>
    </row>
    <row r="2" spans="1:29" ht="18" x14ac:dyDescent="0.25">
      <c r="A2" s="306" t="s">
        <v>545</v>
      </c>
      <c r="B2" s="292"/>
      <c r="C2" s="292"/>
      <c r="D2" s="292"/>
      <c r="E2" s="292"/>
      <c r="F2" s="292"/>
      <c r="G2" s="292"/>
      <c r="H2" s="292"/>
      <c r="I2" s="292"/>
      <c r="J2" s="292"/>
      <c r="K2" s="292"/>
      <c r="L2" s="292"/>
      <c r="M2" s="292"/>
      <c r="N2" s="292"/>
      <c r="O2" s="292"/>
      <c r="P2" s="292"/>
      <c r="Q2" s="292"/>
      <c r="R2" s="292"/>
      <c r="S2" s="292"/>
      <c r="T2" s="292"/>
      <c r="U2" s="292"/>
      <c r="V2" s="292"/>
    </row>
    <row r="3" spans="1:29" ht="15" x14ac:dyDescent="0.25">
      <c r="A3" s="307" t="s">
        <v>435</v>
      </c>
      <c r="B3" s="292"/>
      <c r="C3" s="292"/>
      <c r="D3" s="292"/>
      <c r="E3" s="292"/>
      <c r="F3" s="292"/>
      <c r="G3" s="292"/>
      <c r="H3" s="292"/>
      <c r="I3" s="292"/>
      <c r="J3" s="292"/>
      <c r="K3" s="292"/>
      <c r="L3" s="292"/>
      <c r="M3" s="292"/>
      <c r="N3" s="292"/>
      <c r="O3" s="292"/>
      <c r="P3" s="292"/>
      <c r="Q3" s="292"/>
      <c r="R3" s="292"/>
      <c r="S3" s="292"/>
      <c r="T3" s="292"/>
      <c r="U3" s="292"/>
      <c r="V3" s="292"/>
    </row>
    <row r="4" spans="1:29" ht="15" x14ac:dyDescent="0.25">
      <c r="A4" s="292"/>
      <c r="B4" s="292"/>
      <c r="C4" s="292"/>
      <c r="D4" s="292"/>
      <c r="E4" s="292"/>
      <c r="F4" s="292"/>
      <c r="G4" s="292"/>
      <c r="H4" s="292"/>
      <c r="I4" s="292"/>
      <c r="J4" s="292"/>
      <c r="K4" s="292"/>
      <c r="L4" s="292"/>
      <c r="M4" s="292"/>
      <c r="N4" s="292"/>
      <c r="O4" s="292"/>
      <c r="P4" s="292"/>
      <c r="Q4" s="292"/>
      <c r="R4" s="292"/>
      <c r="S4" s="292"/>
      <c r="T4" s="292"/>
      <c r="U4" s="292"/>
      <c r="V4" s="292"/>
    </row>
    <row r="5" spans="1:29" ht="15" x14ac:dyDescent="0.25">
      <c r="A5" s="293"/>
      <c r="B5" s="294">
        <v>43101</v>
      </c>
      <c r="C5" s="294">
        <v>43132</v>
      </c>
      <c r="D5" s="294">
        <v>43160</v>
      </c>
      <c r="E5" s="294">
        <v>43191</v>
      </c>
      <c r="F5" s="295">
        <v>43221</v>
      </c>
      <c r="G5" s="294">
        <v>43252</v>
      </c>
      <c r="H5" s="294">
        <v>43282</v>
      </c>
      <c r="I5" s="294">
        <v>43313</v>
      </c>
      <c r="J5" s="294">
        <v>43344</v>
      </c>
      <c r="K5" s="294">
        <v>43374</v>
      </c>
      <c r="L5" s="294">
        <v>43405</v>
      </c>
      <c r="M5" s="294">
        <v>43435</v>
      </c>
      <c r="N5" s="294">
        <v>43466</v>
      </c>
      <c r="O5" s="294">
        <v>43497</v>
      </c>
      <c r="P5" s="294">
        <v>43525</v>
      </c>
      <c r="Q5" s="294">
        <v>43556</v>
      </c>
      <c r="R5" s="295">
        <v>43586</v>
      </c>
      <c r="S5" s="294">
        <v>43617</v>
      </c>
      <c r="T5" s="294">
        <v>43647</v>
      </c>
      <c r="U5" s="294">
        <v>43678</v>
      </c>
      <c r="V5" s="294">
        <v>43709</v>
      </c>
      <c r="W5" s="294">
        <v>43739</v>
      </c>
      <c r="X5" s="294">
        <v>43770</v>
      </c>
      <c r="Y5" s="294">
        <v>43800</v>
      </c>
      <c r="Z5" s="294">
        <v>43831</v>
      </c>
      <c r="AA5" s="294">
        <v>43862</v>
      </c>
      <c r="AB5" s="294">
        <v>43891</v>
      </c>
      <c r="AC5" s="294">
        <v>43922</v>
      </c>
    </row>
    <row r="6" spans="1:29" ht="15.75" customHeight="1" x14ac:dyDescent="0.2">
      <c r="A6" s="296" t="s">
        <v>387</v>
      </c>
      <c r="B6" s="297"/>
      <c r="C6" s="297"/>
      <c r="D6" s="297"/>
      <c r="E6" s="297"/>
      <c r="F6" s="297"/>
      <c r="G6" s="297"/>
      <c r="H6" s="297"/>
      <c r="I6" s="297"/>
      <c r="J6" s="297"/>
      <c r="K6" s="297"/>
      <c r="L6" s="297"/>
      <c r="M6" s="297"/>
      <c r="N6" s="297"/>
      <c r="O6" s="297"/>
      <c r="P6" s="297"/>
      <c r="Q6" s="297"/>
      <c r="R6" s="297"/>
      <c r="S6" s="297"/>
      <c r="T6" s="297"/>
      <c r="U6" s="297"/>
      <c r="V6" s="297"/>
      <c r="W6" s="297"/>
      <c r="X6" s="297"/>
      <c r="Y6" s="297"/>
      <c r="Z6" s="297"/>
      <c r="AA6" s="297"/>
      <c r="AB6" s="297"/>
      <c r="AC6" s="297"/>
    </row>
    <row r="7" spans="1:29" ht="15.75" customHeight="1" x14ac:dyDescent="0.2">
      <c r="A7" s="296" t="s">
        <v>24</v>
      </c>
      <c r="B7" s="298">
        <v>-89438</v>
      </c>
      <c r="C7" s="298">
        <v>-88124</v>
      </c>
      <c r="D7" s="298">
        <v>-102956</v>
      </c>
      <c r="E7" s="298">
        <v>-94595</v>
      </c>
      <c r="F7" s="298">
        <v>-82065</v>
      </c>
      <c r="G7" s="298">
        <v>-78132</v>
      </c>
      <c r="H7" s="298">
        <v>-94045</v>
      </c>
      <c r="I7" s="298">
        <v>-89766</v>
      </c>
      <c r="J7" s="298">
        <v>-114445</v>
      </c>
      <c r="K7" s="298">
        <v>-131881</v>
      </c>
      <c r="L7" s="298">
        <v>-140597</v>
      </c>
      <c r="M7" s="298">
        <v>-177194</v>
      </c>
      <c r="N7" s="298">
        <v>-177124</v>
      </c>
      <c r="O7" s="298">
        <v>-189575</v>
      </c>
      <c r="P7" s="298">
        <v>-184131</v>
      </c>
      <c r="Q7" s="298">
        <v>-128941</v>
      </c>
      <c r="R7" s="298">
        <v>-151754</v>
      </c>
      <c r="S7" s="298">
        <v>-122283</v>
      </c>
      <c r="T7" s="298">
        <v>-102474</v>
      </c>
      <c r="U7" s="298">
        <v>-82495</v>
      </c>
      <c r="V7" s="298">
        <v>-60038</v>
      </c>
      <c r="W7" s="298">
        <v>-27320</v>
      </c>
      <c r="X7" s="298">
        <v>-18905</v>
      </c>
      <c r="Y7" s="298">
        <v>-24211</v>
      </c>
      <c r="Z7" s="298">
        <v>-13824</v>
      </c>
      <c r="AA7" s="298">
        <v>-26169</v>
      </c>
      <c r="AB7" s="298">
        <v>8407.19</v>
      </c>
      <c r="AC7" s="301">
        <v>-117</v>
      </c>
    </row>
    <row r="8" spans="1:29" ht="15.75" customHeight="1" x14ac:dyDescent="0.2">
      <c r="A8" s="296" t="s">
        <v>546</v>
      </c>
      <c r="B8" s="297"/>
      <c r="C8" s="297"/>
      <c r="D8" s="297"/>
      <c r="E8" s="297"/>
      <c r="F8" s="297"/>
      <c r="G8" s="297"/>
      <c r="H8" s="297"/>
      <c r="I8" s="297"/>
      <c r="J8" s="297"/>
      <c r="K8" s="297"/>
      <c r="L8" s="297"/>
      <c r="M8" s="297"/>
      <c r="N8" s="297"/>
      <c r="O8" s="297"/>
      <c r="P8" s="297"/>
      <c r="Q8" s="297"/>
      <c r="R8" s="297"/>
      <c r="S8" s="297"/>
      <c r="T8" s="297"/>
      <c r="U8" s="297"/>
      <c r="V8" s="297"/>
      <c r="W8" s="297"/>
      <c r="X8" s="297"/>
      <c r="Y8" s="297"/>
      <c r="Z8" s="297"/>
      <c r="AA8" s="297"/>
      <c r="AB8" s="297"/>
      <c r="AC8" s="297"/>
    </row>
    <row r="9" spans="1:29" ht="15.75" customHeight="1" x14ac:dyDescent="0.2">
      <c r="A9" s="296" t="s">
        <v>514</v>
      </c>
      <c r="B9" s="301">
        <v>0</v>
      </c>
      <c r="C9" s="301">
        <v>0</v>
      </c>
      <c r="D9" s="297"/>
      <c r="E9" s="297"/>
      <c r="F9" s="297"/>
      <c r="G9" s="297"/>
      <c r="H9" s="297"/>
      <c r="I9" s="297"/>
      <c r="J9" s="297"/>
      <c r="K9" s="301">
        <v>0</v>
      </c>
      <c r="L9" s="297"/>
      <c r="M9" s="297"/>
      <c r="N9" s="301">
        <v>0</v>
      </c>
      <c r="O9" s="297"/>
      <c r="P9" s="297"/>
      <c r="Q9" s="297"/>
      <c r="R9" s="301">
        <v>0</v>
      </c>
      <c r="S9" s="297"/>
      <c r="T9" s="297"/>
      <c r="U9" s="297"/>
      <c r="V9" s="297"/>
      <c r="W9" s="301">
        <v>0</v>
      </c>
      <c r="X9" s="297"/>
      <c r="Y9" s="297"/>
      <c r="Z9" s="297"/>
      <c r="AA9" s="297"/>
      <c r="AB9" s="297"/>
      <c r="AC9" s="297"/>
    </row>
    <row r="10" spans="1:29" ht="15.75" customHeight="1" x14ac:dyDescent="0.2">
      <c r="A10" s="296" t="s">
        <v>518</v>
      </c>
      <c r="B10" s="301">
        <v>0</v>
      </c>
      <c r="C10" s="301">
        <v>0</v>
      </c>
      <c r="D10" s="297"/>
      <c r="E10" s="297"/>
      <c r="F10" s="297"/>
      <c r="G10" s="297"/>
      <c r="H10" s="297"/>
      <c r="I10" s="297"/>
      <c r="J10" s="297"/>
      <c r="K10" s="301">
        <v>0</v>
      </c>
      <c r="L10" s="297"/>
      <c r="M10" s="297"/>
      <c r="N10" s="301">
        <v>0</v>
      </c>
      <c r="O10" s="297"/>
      <c r="P10" s="297"/>
      <c r="Q10" s="297"/>
      <c r="R10" s="301">
        <v>0</v>
      </c>
      <c r="S10" s="297"/>
      <c r="T10" s="297"/>
      <c r="U10" s="297"/>
      <c r="V10" s="297"/>
      <c r="W10" s="301">
        <v>0</v>
      </c>
      <c r="X10" s="297"/>
      <c r="Y10" s="297"/>
      <c r="Z10" s="297"/>
      <c r="AA10" s="297"/>
      <c r="AB10" s="297"/>
      <c r="AC10" s="297"/>
    </row>
    <row r="11" spans="1:29" ht="15.75" customHeight="1" x14ac:dyDescent="0.2">
      <c r="A11" s="296" t="s">
        <v>527</v>
      </c>
      <c r="B11" s="301">
        <v>357</v>
      </c>
      <c r="C11" s="298">
        <v>-2113</v>
      </c>
      <c r="D11" s="297"/>
      <c r="E11" s="297"/>
      <c r="F11" s="297"/>
      <c r="G11" s="297"/>
      <c r="H11" s="297"/>
      <c r="I11" s="297"/>
      <c r="J11" s="297"/>
      <c r="K11" s="301">
        <v>0</v>
      </c>
      <c r="L11" s="297"/>
      <c r="M11" s="297"/>
      <c r="N11" s="301">
        <v>0</v>
      </c>
      <c r="O11" s="297"/>
      <c r="P11" s="297"/>
      <c r="Q11" s="297"/>
      <c r="R11" s="301">
        <v>0</v>
      </c>
      <c r="S11" s="297"/>
      <c r="T11" s="297"/>
      <c r="U11" s="297"/>
      <c r="V11" s="297"/>
      <c r="W11" s="301">
        <v>0</v>
      </c>
      <c r="X11" s="297"/>
      <c r="Y11" s="297"/>
      <c r="Z11" s="297"/>
      <c r="AA11" s="297"/>
      <c r="AB11" s="297"/>
      <c r="AC11" s="297"/>
    </row>
    <row r="12" spans="1:29" ht="15.75" customHeight="1" x14ac:dyDescent="0.2">
      <c r="A12" s="296" t="s">
        <v>530</v>
      </c>
      <c r="B12" s="301">
        <v>-239</v>
      </c>
      <c r="C12" s="301">
        <v>-113</v>
      </c>
      <c r="D12" s="297"/>
      <c r="E12" s="297"/>
      <c r="F12" s="297"/>
      <c r="G12" s="297"/>
      <c r="H12" s="297"/>
      <c r="I12" s="297"/>
      <c r="J12" s="297"/>
      <c r="K12" s="301">
        <v>0</v>
      </c>
      <c r="L12" s="297"/>
      <c r="M12" s="297"/>
      <c r="N12" s="301">
        <v>0</v>
      </c>
      <c r="O12" s="297"/>
      <c r="P12" s="297"/>
      <c r="Q12" s="297"/>
      <c r="R12" s="301">
        <v>0</v>
      </c>
      <c r="S12" s="297"/>
      <c r="T12" s="297"/>
      <c r="U12" s="297"/>
      <c r="V12" s="297"/>
      <c r="W12" s="301">
        <v>0</v>
      </c>
      <c r="X12" s="297"/>
      <c r="Y12" s="297"/>
      <c r="Z12" s="297"/>
      <c r="AA12" s="297"/>
      <c r="AB12" s="297"/>
      <c r="AC12" s="297"/>
    </row>
    <row r="13" spans="1:29" ht="15.75" customHeight="1" x14ac:dyDescent="0.2">
      <c r="A13" s="296" t="s">
        <v>547</v>
      </c>
      <c r="B13" s="299">
        <v>118</v>
      </c>
      <c r="C13" s="299">
        <v>-2226</v>
      </c>
      <c r="D13" s="299">
        <v>0</v>
      </c>
      <c r="E13" s="299">
        <v>0</v>
      </c>
      <c r="F13" s="299">
        <v>0</v>
      </c>
      <c r="G13" s="299">
        <v>0</v>
      </c>
      <c r="H13" s="299">
        <v>0</v>
      </c>
      <c r="I13" s="299">
        <v>0</v>
      </c>
      <c r="J13" s="299">
        <v>0</v>
      </c>
      <c r="K13" s="299">
        <v>0</v>
      </c>
      <c r="L13" s="299">
        <v>0</v>
      </c>
      <c r="M13" s="299">
        <v>0</v>
      </c>
      <c r="N13" s="299">
        <v>0</v>
      </c>
      <c r="O13" s="299">
        <v>0</v>
      </c>
      <c r="P13" s="299">
        <v>0</v>
      </c>
      <c r="Q13" s="299">
        <v>0</v>
      </c>
      <c r="R13" s="299">
        <v>0</v>
      </c>
      <c r="S13" s="299">
        <v>0</v>
      </c>
      <c r="T13" s="299">
        <v>0</v>
      </c>
      <c r="U13" s="299">
        <v>0</v>
      </c>
      <c r="V13" s="299">
        <v>0</v>
      </c>
      <c r="W13" s="299">
        <v>0</v>
      </c>
      <c r="X13" s="299">
        <v>0</v>
      </c>
      <c r="Y13" s="299">
        <v>0</v>
      </c>
      <c r="Z13" s="299">
        <v>0</v>
      </c>
      <c r="AA13" s="299">
        <v>0</v>
      </c>
      <c r="AB13" s="299">
        <v>0</v>
      </c>
      <c r="AC13" s="299">
        <v>0</v>
      </c>
    </row>
    <row r="14" spans="1:29" ht="15.75" customHeight="1" x14ac:dyDescent="0.2">
      <c r="A14" s="296" t="s">
        <v>394</v>
      </c>
      <c r="B14" s="299">
        <v>-89320</v>
      </c>
      <c r="C14" s="299">
        <v>-90350</v>
      </c>
      <c r="D14" s="299">
        <v>-102956</v>
      </c>
      <c r="E14" s="299">
        <v>-94595</v>
      </c>
      <c r="F14" s="299">
        <v>-82065</v>
      </c>
      <c r="G14" s="299">
        <v>-78132</v>
      </c>
      <c r="H14" s="299">
        <v>-94045</v>
      </c>
      <c r="I14" s="299">
        <v>-89766</v>
      </c>
      <c r="J14" s="299">
        <v>-114445</v>
      </c>
      <c r="K14" s="299">
        <v>-131881</v>
      </c>
      <c r="L14" s="299">
        <v>-140597</v>
      </c>
      <c r="M14" s="299">
        <v>-177194</v>
      </c>
      <c r="N14" s="299">
        <v>-177124</v>
      </c>
      <c r="O14" s="299">
        <v>-189575</v>
      </c>
      <c r="P14" s="299">
        <v>-184131</v>
      </c>
      <c r="Q14" s="299">
        <v>-128941</v>
      </c>
      <c r="R14" s="299">
        <v>-151754</v>
      </c>
      <c r="S14" s="299">
        <v>-122283</v>
      </c>
      <c r="T14" s="299">
        <v>-102474</v>
      </c>
      <c r="U14" s="299">
        <v>-82495</v>
      </c>
      <c r="V14" s="299">
        <v>-60038</v>
      </c>
      <c r="W14" s="299">
        <v>-27320</v>
      </c>
      <c r="X14" s="299">
        <v>-18905</v>
      </c>
      <c r="Y14" s="299">
        <v>-24211</v>
      </c>
      <c r="Z14" s="299">
        <v>-13824</v>
      </c>
      <c r="AA14" s="299">
        <v>-26169</v>
      </c>
      <c r="AB14" s="299">
        <v>8407.19</v>
      </c>
      <c r="AC14" s="299">
        <v>-117</v>
      </c>
    </row>
    <row r="15" spans="1:29" ht="15.75" customHeight="1" x14ac:dyDescent="0.2">
      <c r="A15" s="296" t="s">
        <v>395</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row>
    <row r="16" spans="1:29" ht="15.75" customHeight="1" x14ac:dyDescent="0.2">
      <c r="A16" s="296" t="s">
        <v>515</v>
      </c>
      <c r="B16" s="301">
        <v>0</v>
      </c>
      <c r="C16" s="301">
        <v>0</v>
      </c>
      <c r="D16" s="297"/>
      <c r="E16" s="297"/>
      <c r="F16" s="297"/>
      <c r="G16" s="297"/>
      <c r="H16" s="297"/>
      <c r="I16" s="297"/>
      <c r="J16" s="297"/>
      <c r="K16" s="301">
        <v>0</v>
      </c>
      <c r="L16" s="297"/>
      <c r="M16" s="297"/>
      <c r="N16" s="301">
        <v>0</v>
      </c>
      <c r="O16" s="297"/>
      <c r="P16" s="297"/>
      <c r="Q16" s="297"/>
      <c r="R16" s="301">
        <v>0</v>
      </c>
      <c r="S16" s="297"/>
      <c r="T16" s="297"/>
      <c r="U16" s="297"/>
      <c r="V16" s="297"/>
      <c r="W16" s="301">
        <v>0</v>
      </c>
      <c r="X16" s="297"/>
      <c r="Y16" s="297"/>
      <c r="Z16" s="297"/>
      <c r="AA16" s="297"/>
      <c r="AB16" s="297"/>
      <c r="AC16" s="297"/>
    </row>
    <row r="17" spans="1:29" ht="15.75" customHeight="1" x14ac:dyDescent="0.2">
      <c r="A17" s="296" t="s">
        <v>519</v>
      </c>
      <c r="B17" s="301">
        <v>0</v>
      </c>
      <c r="C17" s="301">
        <v>0</v>
      </c>
      <c r="D17" s="297"/>
      <c r="E17" s="297"/>
      <c r="F17" s="297"/>
      <c r="G17" s="297"/>
      <c r="H17" s="297"/>
      <c r="I17" s="297"/>
      <c r="J17" s="297"/>
      <c r="K17" s="301">
        <v>0</v>
      </c>
      <c r="L17" s="297"/>
      <c r="M17" s="297"/>
      <c r="N17" s="301">
        <v>0</v>
      </c>
      <c r="O17" s="297"/>
      <c r="P17" s="297"/>
      <c r="Q17" s="297"/>
      <c r="R17" s="301">
        <v>0</v>
      </c>
      <c r="S17" s="297"/>
      <c r="T17" s="297"/>
      <c r="U17" s="297"/>
      <c r="V17" s="297"/>
      <c r="W17" s="301">
        <v>0</v>
      </c>
      <c r="X17" s="297"/>
      <c r="Y17" s="297"/>
      <c r="Z17" s="297"/>
      <c r="AA17" s="297"/>
      <c r="AB17" s="297"/>
      <c r="AC17" s="297"/>
    </row>
    <row r="18" spans="1:29" ht="15.75" customHeight="1" x14ac:dyDescent="0.2">
      <c r="A18" s="296" t="s">
        <v>520</v>
      </c>
      <c r="B18" s="301">
        <v>0</v>
      </c>
      <c r="C18" s="301">
        <v>0</v>
      </c>
      <c r="D18" s="297"/>
      <c r="E18" s="297"/>
      <c r="F18" s="297"/>
      <c r="G18" s="297"/>
      <c r="H18" s="297"/>
      <c r="I18" s="297"/>
      <c r="J18" s="297"/>
      <c r="K18" s="301">
        <v>0</v>
      </c>
      <c r="L18" s="297"/>
      <c r="M18" s="297"/>
      <c r="N18" s="301">
        <v>0</v>
      </c>
      <c r="O18" s="297"/>
      <c r="P18" s="297"/>
      <c r="Q18" s="297"/>
      <c r="R18" s="301">
        <v>0</v>
      </c>
      <c r="S18" s="297"/>
      <c r="T18" s="297"/>
      <c r="U18" s="297"/>
      <c r="V18" s="297"/>
      <c r="W18" s="301">
        <v>0</v>
      </c>
      <c r="X18" s="297"/>
      <c r="Y18" s="297"/>
      <c r="Z18" s="297"/>
      <c r="AA18" s="297"/>
      <c r="AB18" s="297"/>
      <c r="AC18" s="297"/>
    </row>
    <row r="19" spans="1:29" ht="15.75" customHeight="1" x14ac:dyDescent="0.2">
      <c r="A19" s="296" t="s">
        <v>399</v>
      </c>
      <c r="B19" s="299">
        <v>0</v>
      </c>
      <c r="C19" s="299">
        <v>0</v>
      </c>
      <c r="D19" s="299">
        <v>0</v>
      </c>
      <c r="E19" s="299">
        <v>0</v>
      </c>
      <c r="F19" s="299">
        <v>0</v>
      </c>
      <c r="G19" s="299">
        <v>0</v>
      </c>
      <c r="H19" s="299">
        <v>0</v>
      </c>
      <c r="I19" s="299">
        <v>0</v>
      </c>
      <c r="J19" s="299">
        <v>0</v>
      </c>
      <c r="K19" s="299">
        <v>0</v>
      </c>
      <c r="L19" s="299">
        <v>0</v>
      </c>
      <c r="M19" s="299">
        <v>0</v>
      </c>
      <c r="N19" s="299">
        <v>0</v>
      </c>
      <c r="O19" s="299">
        <v>0</v>
      </c>
      <c r="P19" s="299">
        <v>0</v>
      </c>
      <c r="Q19" s="299">
        <v>0</v>
      </c>
      <c r="R19" s="299">
        <v>0</v>
      </c>
      <c r="S19" s="299">
        <v>0</v>
      </c>
      <c r="T19" s="299">
        <v>0</v>
      </c>
      <c r="U19" s="299">
        <v>0</v>
      </c>
      <c r="V19" s="299">
        <v>0</v>
      </c>
      <c r="W19" s="299">
        <v>0</v>
      </c>
      <c r="X19" s="299">
        <v>0</v>
      </c>
      <c r="Y19" s="299">
        <v>0</v>
      </c>
      <c r="Z19" s="299">
        <v>0</v>
      </c>
      <c r="AA19" s="299">
        <v>0</v>
      </c>
      <c r="AB19" s="299">
        <v>0</v>
      </c>
      <c r="AC19" s="299">
        <v>0</v>
      </c>
    </row>
    <row r="20" spans="1:29" ht="15.75" customHeight="1" x14ac:dyDescent="0.2">
      <c r="A20" s="296" t="s">
        <v>400</v>
      </c>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row>
    <row r="21" spans="1:29" ht="15.75" customHeight="1" x14ac:dyDescent="0.2">
      <c r="A21" s="296" t="s">
        <v>534</v>
      </c>
      <c r="B21" s="298">
        <v>550000</v>
      </c>
      <c r="C21" s="298">
        <v>100000</v>
      </c>
      <c r="D21" s="297"/>
      <c r="E21" s="297"/>
      <c r="F21" s="297"/>
      <c r="G21" s="297"/>
      <c r="H21" s="297"/>
      <c r="I21" s="297"/>
      <c r="J21" s="297"/>
      <c r="K21" s="298">
        <v>600000</v>
      </c>
      <c r="L21" s="297"/>
      <c r="M21" s="297"/>
      <c r="N21" s="298">
        <v>500000</v>
      </c>
      <c r="O21" s="297"/>
      <c r="P21" s="297"/>
      <c r="Q21" s="297"/>
      <c r="R21" s="298">
        <v>300000</v>
      </c>
      <c r="S21" s="297"/>
      <c r="T21" s="297"/>
      <c r="U21" s="297"/>
      <c r="V21" s="297"/>
      <c r="W21" s="298">
        <v>300000</v>
      </c>
      <c r="X21" s="297"/>
      <c r="Y21" s="297"/>
      <c r="Z21" s="297"/>
      <c r="AA21" s="297"/>
      <c r="AB21" s="297"/>
      <c r="AC21" s="297"/>
    </row>
    <row r="22" spans="1:29" ht="15.75" customHeight="1" x14ac:dyDescent="0.2">
      <c r="A22" s="296" t="s">
        <v>535</v>
      </c>
      <c r="B22" s="298">
        <v>500000</v>
      </c>
      <c r="C22" s="301">
        <v>0</v>
      </c>
      <c r="D22" s="297"/>
      <c r="E22" s="297"/>
      <c r="F22" s="297"/>
      <c r="G22" s="297"/>
      <c r="H22" s="297"/>
      <c r="I22" s="297"/>
      <c r="J22" s="297"/>
      <c r="K22" s="301">
        <v>0</v>
      </c>
      <c r="L22" s="297"/>
      <c r="M22" s="297"/>
      <c r="N22" s="301">
        <v>0</v>
      </c>
      <c r="O22" s="297"/>
      <c r="P22" s="297"/>
      <c r="Q22" s="297"/>
      <c r="R22" s="301">
        <v>0</v>
      </c>
      <c r="S22" s="297"/>
      <c r="T22" s="297"/>
      <c r="U22" s="297"/>
      <c r="V22" s="297"/>
      <c r="W22" s="301">
        <v>0</v>
      </c>
      <c r="X22" s="297"/>
      <c r="Y22" s="297"/>
      <c r="Z22" s="297"/>
      <c r="AA22" s="297"/>
      <c r="AB22" s="297"/>
      <c r="AC22" s="297"/>
    </row>
    <row r="23" spans="1:29" ht="15.75" customHeight="1" x14ac:dyDescent="0.2">
      <c r="A23" s="296" t="s">
        <v>536</v>
      </c>
      <c r="B23" s="301">
        <v>0</v>
      </c>
      <c r="C23" s="301">
        <v>0</v>
      </c>
      <c r="D23" s="297"/>
      <c r="E23" s="297"/>
      <c r="F23" s="297"/>
      <c r="G23" s="297"/>
      <c r="H23" s="297"/>
      <c r="I23" s="297"/>
      <c r="J23" s="297"/>
      <c r="K23" s="301">
        <v>0</v>
      </c>
      <c r="L23" s="297"/>
      <c r="M23" s="297"/>
      <c r="N23" s="301">
        <v>0</v>
      </c>
      <c r="O23" s="297"/>
      <c r="P23" s="297"/>
      <c r="Q23" s="297"/>
      <c r="R23" s="301">
        <v>0</v>
      </c>
      <c r="S23" s="297"/>
      <c r="T23" s="297"/>
      <c r="U23" s="297"/>
      <c r="V23" s="297"/>
      <c r="W23" s="301">
        <v>0</v>
      </c>
      <c r="X23" s="297"/>
      <c r="Y23" s="297"/>
      <c r="Z23" s="297"/>
      <c r="AA23" s="297"/>
      <c r="AB23" s="297"/>
      <c r="AC23" s="297"/>
    </row>
    <row r="24" spans="1:29" ht="15.75" customHeight="1" x14ac:dyDescent="0.2">
      <c r="A24" s="296" t="s">
        <v>540</v>
      </c>
      <c r="B24" s="301">
        <v>0</v>
      </c>
      <c r="C24" s="301">
        <v>0</v>
      </c>
      <c r="D24" s="297"/>
      <c r="E24" s="297"/>
      <c r="F24" s="297"/>
      <c r="G24" s="297"/>
      <c r="H24" s="297"/>
      <c r="I24" s="297"/>
      <c r="J24" s="297"/>
      <c r="K24" s="301">
        <v>0</v>
      </c>
      <c r="L24" s="297"/>
      <c r="M24" s="297"/>
      <c r="N24" s="301">
        <v>0</v>
      </c>
      <c r="O24" s="297"/>
      <c r="P24" s="297"/>
      <c r="Q24" s="297"/>
      <c r="R24" s="301">
        <v>0</v>
      </c>
      <c r="S24" s="297"/>
      <c r="T24" s="297"/>
      <c r="U24" s="297"/>
      <c r="V24" s="297"/>
      <c r="W24" s="301">
        <v>0</v>
      </c>
      <c r="X24" s="297"/>
      <c r="Y24" s="297"/>
      <c r="Z24" s="297"/>
      <c r="AA24" s="297"/>
      <c r="AB24" s="297"/>
      <c r="AC24" s="297"/>
    </row>
    <row r="25" spans="1:29" ht="15.75" customHeight="1" x14ac:dyDescent="0.2">
      <c r="A25" s="296" t="s">
        <v>541</v>
      </c>
      <c r="B25" s="304">
        <v>332421</v>
      </c>
      <c r="C25" s="304">
        <v>0</v>
      </c>
      <c r="D25" s="303"/>
      <c r="E25" s="303"/>
      <c r="F25" s="303"/>
      <c r="G25" s="303"/>
      <c r="H25" s="303"/>
      <c r="I25" s="303"/>
      <c r="J25" s="303"/>
      <c r="K25" s="304">
        <v>0</v>
      </c>
      <c r="L25" s="303"/>
      <c r="M25" s="303"/>
      <c r="N25" s="304">
        <v>0</v>
      </c>
      <c r="O25" s="303"/>
      <c r="P25" s="303"/>
      <c r="Q25" s="303"/>
      <c r="R25" s="304">
        <v>0</v>
      </c>
      <c r="S25" s="303"/>
      <c r="T25" s="303"/>
      <c r="U25" s="303"/>
      <c r="V25" s="303"/>
      <c r="W25" s="301">
        <v>0</v>
      </c>
      <c r="X25" s="297"/>
      <c r="Y25" s="297"/>
      <c r="Z25" s="297"/>
      <c r="AA25" s="297"/>
      <c r="AB25" s="297"/>
      <c r="AC25" s="297"/>
    </row>
    <row r="26" spans="1:29" ht="15.75" customHeight="1" x14ac:dyDescent="0.2">
      <c r="A26" s="296" t="s">
        <v>542</v>
      </c>
      <c r="B26" s="304">
        <v>-332421</v>
      </c>
      <c r="C26" s="304">
        <v>0</v>
      </c>
      <c r="D26" s="303"/>
      <c r="E26" s="303"/>
      <c r="F26" s="303"/>
      <c r="G26" s="303"/>
      <c r="H26" s="303"/>
      <c r="I26" s="303"/>
      <c r="J26" s="303"/>
      <c r="K26" s="304">
        <v>0</v>
      </c>
      <c r="L26" s="303"/>
      <c r="M26" s="303"/>
      <c r="N26" s="304">
        <v>0</v>
      </c>
      <c r="O26" s="303"/>
      <c r="P26" s="303"/>
      <c r="Q26" s="303"/>
      <c r="R26" s="304">
        <v>0</v>
      </c>
      <c r="S26" s="303"/>
      <c r="T26" s="303"/>
      <c r="U26" s="303"/>
      <c r="V26" s="303"/>
      <c r="W26" s="301">
        <v>0</v>
      </c>
      <c r="X26" s="297"/>
      <c r="Y26" s="297"/>
      <c r="Z26" s="297"/>
      <c r="AA26" s="297"/>
      <c r="AB26" s="297"/>
      <c r="AC26" s="297"/>
    </row>
    <row r="27" spans="1:29" ht="15.75" customHeight="1" x14ac:dyDescent="0.2">
      <c r="A27" s="296" t="s">
        <v>405</v>
      </c>
      <c r="B27" s="299">
        <v>1050000</v>
      </c>
      <c r="C27" s="299">
        <v>100000</v>
      </c>
      <c r="D27" s="299">
        <v>0</v>
      </c>
      <c r="E27" s="299">
        <v>0</v>
      </c>
      <c r="F27" s="299">
        <v>0</v>
      </c>
      <c r="G27" s="299">
        <v>0</v>
      </c>
      <c r="H27" s="299">
        <v>0</v>
      </c>
      <c r="I27" s="299">
        <v>0</v>
      </c>
      <c r="J27" s="299">
        <v>0</v>
      </c>
      <c r="K27" s="299">
        <v>600000</v>
      </c>
      <c r="L27" s="299">
        <v>0</v>
      </c>
      <c r="M27" s="299">
        <v>0</v>
      </c>
      <c r="N27" s="299">
        <v>500000</v>
      </c>
      <c r="O27" s="299">
        <v>0</v>
      </c>
      <c r="P27" s="299">
        <v>0</v>
      </c>
      <c r="Q27" s="299">
        <v>0</v>
      </c>
      <c r="R27" s="299">
        <v>300000</v>
      </c>
      <c r="S27" s="299">
        <v>0</v>
      </c>
      <c r="T27" s="299">
        <v>0</v>
      </c>
      <c r="U27" s="299">
        <v>0</v>
      </c>
      <c r="V27" s="299">
        <v>0</v>
      </c>
      <c r="W27" s="299">
        <v>300000</v>
      </c>
      <c r="X27" s="299">
        <v>0</v>
      </c>
      <c r="Y27" s="299">
        <v>0</v>
      </c>
      <c r="Z27" s="299">
        <v>0</v>
      </c>
      <c r="AA27" s="299">
        <v>0</v>
      </c>
      <c r="AB27" s="299">
        <v>0</v>
      </c>
      <c r="AC27" s="299">
        <v>0</v>
      </c>
    </row>
    <row r="28" spans="1:29" ht="15.75" customHeight="1" x14ac:dyDescent="0.2">
      <c r="A28" s="296" t="s">
        <v>406</v>
      </c>
      <c r="B28" s="299">
        <v>960680</v>
      </c>
      <c r="C28" s="299">
        <v>9650</v>
      </c>
      <c r="D28" s="299">
        <v>-102956</v>
      </c>
      <c r="E28" s="299">
        <v>-94595</v>
      </c>
      <c r="F28" s="299">
        <v>-82065</v>
      </c>
      <c r="G28" s="299">
        <v>-78132</v>
      </c>
      <c r="H28" s="299">
        <v>-94045</v>
      </c>
      <c r="I28" s="299">
        <v>-89766</v>
      </c>
      <c r="J28" s="299">
        <v>-114445</v>
      </c>
      <c r="K28" s="299">
        <v>468119</v>
      </c>
      <c r="L28" s="299">
        <v>-140597</v>
      </c>
      <c r="M28" s="299">
        <v>-177194</v>
      </c>
      <c r="N28" s="299">
        <v>322876</v>
      </c>
      <c r="O28" s="299">
        <v>-189575</v>
      </c>
      <c r="P28" s="299">
        <v>-184131</v>
      </c>
      <c r="Q28" s="299">
        <v>-128941</v>
      </c>
      <c r="R28" s="299">
        <v>148246</v>
      </c>
      <c r="S28" s="299">
        <v>-122283</v>
      </c>
      <c r="T28" s="299">
        <v>-102474</v>
      </c>
      <c r="U28" s="299">
        <v>-82495</v>
      </c>
      <c r="V28" s="299">
        <v>-60038</v>
      </c>
      <c r="W28" s="299">
        <v>272680</v>
      </c>
      <c r="X28" s="299">
        <v>-18905</v>
      </c>
      <c r="Y28" s="299">
        <v>-24211</v>
      </c>
      <c r="Z28" s="299">
        <v>-13824</v>
      </c>
      <c r="AA28" s="299">
        <v>-26169</v>
      </c>
      <c r="AB28" s="299">
        <v>8407.19</v>
      </c>
      <c r="AC28" s="299">
        <v>-117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Y1002"/>
  <sheetViews>
    <sheetView showGridLines="0" workbookViewId="0">
      <selection sqref="A1:F1"/>
    </sheetView>
  </sheetViews>
  <sheetFormatPr defaultColWidth="14.42578125" defaultRowHeight="15.75" customHeight="1" x14ac:dyDescent="0.2"/>
  <cols>
    <col min="1" max="8" width="15.7109375" customWidth="1"/>
    <col min="9" max="9" width="16.5703125" customWidth="1"/>
    <col min="10" max="13" width="15.7109375" customWidth="1"/>
  </cols>
  <sheetData>
    <row r="1" spans="1:25" ht="15.75" customHeight="1" x14ac:dyDescent="0.2">
      <c r="A1" s="342" t="s">
        <v>548</v>
      </c>
      <c r="B1" s="339"/>
      <c r="C1" s="339"/>
      <c r="D1" s="339"/>
      <c r="E1" s="339"/>
      <c r="F1" s="339"/>
      <c r="G1" s="308"/>
      <c r="H1" s="309" t="s">
        <v>549</v>
      </c>
      <c r="I1" s="310"/>
      <c r="J1" s="310"/>
      <c r="K1" s="310"/>
      <c r="L1" s="311" t="s">
        <v>550</v>
      </c>
      <c r="M1" s="312" t="s">
        <v>121</v>
      </c>
      <c r="N1" s="313"/>
      <c r="O1" s="314"/>
      <c r="P1" s="314"/>
      <c r="Q1" s="314"/>
      <c r="R1" s="314"/>
      <c r="S1" s="314"/>
      <c r="T1" s="314"/>
      <c r="U1" s="314"/>
      <c r="V1" s="314"/>
      <c r="W1" s="314"/>
      <c r="X1" s="314"/>
      <c r="Y1" s="314"/>
    </row>
    <row r="2" spans="1:25" ht="15.75" customHeight="1" x14ac:dyDescent="0.2">
      <c r="A2" s="308" t="s">
        <v>551</v>
      </c>
      <c r="B2" s="308"/>
      <c r="C2" s="308"/>
      <c r="D2" s="308"/>
      <c r="E2" s="308"/>
      <c r="F2" s="308"/>
      <c r="G2" s="308" t="s">
        <v>552</v>
      </c>
      <c r="H2" s="309" t="s">
        <v>551</v>
      </c>
      <c r="I2" s="310"/>
      <c r="J2" s="310"/>
      <c r="K2" s="310" t="s">
        <v>552</v>
      </c>
      <c r="L2" s="311" t="s">
        <v>552</v>
      </c>
      <c r="M2" s="312" t="s">
        <v>552</v>
      </c>
      <c r="N2" s="313"/>
      <c r="O2" s="314"/>
      <c r="P2" s="314"/>
      <c r="Q2" s="314"/>
      <c r="R2" s="314"/>
      <c r="S2" s="314"/>
      <c r="T2" s="314"/>
      <c r="U2" s="314"/>
      <c r="V2" s="314"/>
      <c r="W2" s="314"/>
      <c r="X2" s="314"/>
      <c r="Y2" s="314"/>
    </row>
    <row r="3" spans="1:25" ht="15.75" customHeight="1" x14ac:dyDescent="0.2">
      <c r="A3" s="315" t="s">
        <v>553</v>
      </c>
      <c r="B3" s="315" t="s">
        <v>554</v>
      </c>
      <c r="C3" s="315" t="s">
        <v>555</v>
      </c>
      <c r="D3" s="315" t="s">
        <v>556</v>
      </c>
      <c r="E3" s="315" t="s">
        <v>557</v>
      </c>
      <c r="F3" s="315" t="s">
        <v>558</v>
      </c>
      <c r="G3" s="316" t="s">
        <v>559</v>
      </c>
      <c r="H3" s="315" t="s">
        <v>560</v>
      </c>
      <c r="I3" s="315" t="s">
        <v>561</v>
      </c>
      <c r="J3" s="315" t="s">
        <v>562</v>
      </c>
      <c r="K3" s="317" t="s">
        <v>563</v>
      </c>
      <c r="L3" s="317" t="s">
        <v>564</v>
      </c>
      <c r="M3" s="317" t="s">
        <v>565</v>
      </c>
      <c r="N3" s="318"/>
      <c r="O3" s="319"/>
      <c r="P3" s="319"/>
      <c r="Q3" s="319"/>
      <c r="R3" s="319"/>
      <c r="S3" s="319"/>
      <c r="T3" s="319"/>
      <c r="U3" s="319"/>
      <c r="V3" s="319"/>
      <c r="W3" s="319"/>
      <c r="X3" s="319"/>
      <c r="Y3" s="319"/>
    </row>
    <row r="4" spans="1:25" ht="15.75" customHeight="1" x14ac:dyDescent="0.2">
      <c r="A4" s="320">
        <v>43101</v>
      </c>
      <c r="B4" s="71">
        <v>10664</v>
      </c>
      <c r="C4" s="71">
        <v>-1016</v>
      </c>
      <c r="D4" s="71">
        <v>-800</v>
      </c>
      <c r="E4" s="71">
        <v>6386</v>
      </c>
      <c r="F4" s="71">
        <v>0</v>
      </c>
      <c r="G4" s="71">
        <v>303370</v>
      </c>
      <c r="H4">
        <v>10</v>
      </c>
      <c r="I4">
        <v>1</v>
      </c>
      <c r="J4">
        <v>0</v>
      </c>
      <c r="K4">
        <v>237</v>
      </c>
      <c r="L4">
        <v>3</v>
      </c>
      <c r="M4">
        <v>1</v>
      </c>
      <c r="N4" s="321"/>
      <c r="O4" s="321"/>
      <c r="P4" s="321"/>
      <c r="Q4" s="321"/>
      <c r="R4" s="321"/>
      <c r="S4" s="321"/>
      <c r="T4" s="321"/>
      <c r="U4" s="321"/>
      <c r="V4" s="321"/>
      <c r="W4" s="321"/>
      <c r="X4" s="321"/>
      <c r="Y4" s="321"/>
    </row>
    <row r="5" spans="1:25" ht="15.75" customHeight="1" x14ac:dyDescent="0.2">
      <c r="A5" s="320">
        <v>43132</v>
      </c>
      <c r="B5" s="71">
        <v>12381</v>
      </c>
      <c r="C5" s="71">
        <v>-3045</v>
      </c>
      <c r="D5" s="71">
        <v>-1420</v>
      </c>
      <c r="E5" s="71">
        <v>9771</v>
      </c>
      <c r="F5" s="71">
        <v>0</v>
      </c>
      <c r="G5" s="71">
        <v>321057</v>
      </c>
      <c r="H5">
        <v>11</v>
      </c>
      <c r="I5">
        <v>2</v>
      </c>
      <c r="J5">
        <v>0</v>
      </c>
      <c r="K5">
        <v>218</v>
      </c>
      <c r="L5">
        <v>4</v>
      </c>
      <c r="M5">
        <v>2</v>
      </c>
      <c r="N5" s="321"/>
      <c r="O5" s="321"/>
      <c r="P5" s="321"/>
      <c r="Q5" s="321"/>
      <c r="R5" s="321"/>
      <c r="S5" s="321"/>
      <c r="T5" s="321"/>
      <c r="U5" s="321"/>
      <c r="V5" s="321"/>
      <c r="W5" s="321"/>
      <c r="X5" s="321"/>
      <c r="Y5" s="321"/>
    </row>
    <row r="6" spans="1:25" ht="15.75" customHeight="1" x14ac:dyDescent="0.2">
      <c r="A6" s="320">
        <v>43160</v>
      </c>
      <c r="B6" s="71">
        <v>13625</v>
      </c>
      <c r="C6" s="71">
        <v>-4000</v>
      </c>
      <c r="D6" s="71">
        <v>-990</v>
      </c>
      <c r="E6" s="71">
        <v>10829</v>
      </c>
      <c r="F6" s="71">
        <v>0</v>
      </c>
      <c r="G6" s="71">
        <v>340521</v>
      </c>
      <c r="H6">
        <v>12</v>
      </c>
      <c r="I6">
        <v>2</v>
      </c>
      <c r="J6">
        <v>0</v>
      </c>
      <c r="K6">
        <v>228</v>
      </c>
      <c r="L6">
        <v>3</v>
      </c>
      <c r="M6">
        <v>2</v>
      </c>
      <c r="N6" s="321"/>
      <c r="O6" s="321"/>
      <c r="P6" s="321"/>
      <c r="Q6" s="321"/>
      <c r="R6" s="321"/>
      <c r="S6" s="321"/>
      <c r="T6" s="321"/>
      <c r="U6" s="321"/>
      <c r="V6" s="321"/>
      <c r="W6" s="321"/>
      <c r="X6" s="321"/>
      <c r="Y6" s="321"/>
    </row>
    <row r="7" spans="1:25" ht="15.75" customHeight="1" x14ac:dyDescent="0.2">
      <c r="A7" s="320">
        <v>43191</v>
      </c>
      <c r="B7" s="71">
        <v>14174</v>
      </c>
      <c r="C7" s="71">
        <v>-7821</v>
      </c>
      <c r="D7" s="71">
        <v>-400</v>
      </c>
      <c r="E7" s="71">
        <v>14296</v>
      </c>
      <c r="F7" s="71">
        <v>0</v>
      </c>
      <c r="G7" s="71">
        <v>360770</v>
      </c>
      <c r="H7">
        <v>13</v>
      </c>
      <c r="I7">
        <v>3</v>
      </c>
      <c r="J7">
        <v>0</v>
      </c>
      <c r="K7">
        <v>238</v>
      </c>
      <c r="L7">
        <v>5</v>
      </c>
      <c r="M7">
        <v>1</v>
      </c>
      <c r="N7" s="321"/>
      <c r="O7" s="321"/>
      <c r="P7" s="321"/>
      <c r="Q7" s="321"/>
      <c r="R7" s="321"/>
      <c r="S7" s="321"/>
      <c r="T7" s="321"/>
      <c r="U7" s="321"/>
      <c r="V7" s="321"/>
      <c r="W7" s="321"/>
      <c r="X7" s="321"/>
      <c r="Y7" s="321"/>
    </row>
    <row r="8" spans="1:25" ht="15.75" customHeight="1" x14ac:dyDescent="0.2">
      <c r="A8" s="320">
        <v>43221</v>
      </c>
      <c r="B8" s="71">
        <v>17678</v>
      </c>
      <c r="C8" s="71">
        <v>-1299</v>
      </c>
      <c r="D8" s="71">
        <v>-1800</v>
      </c>
      <c r="E8" s="71">
        <v>10675</v>
      </c>
      <c r="F8" s="71">
        <v>0</v>
      </c>
      <c r="G8" s="71">
        <v>386024</v>
      </c>
      <c r="H8">
        <v>14</v>
      </c>
      <c r="I8">
        <v>1</v>
      </c>
      <c r="J8">
        <v>0</v>
      </c>
      <c r="K8">
        <v>251</v>
      </c>
      <c r="L8">
        <v>7</v>
      </c>
      <c r="M8">
        <v>2</v>
      </c>
      <c r="N8" s="321"/>
      <c r="O8" s="321"/>
      <c r="P8" s="321"/>
      <c r="Q8" s="321"/>
      <c r="R8" s="321"/>
      <c r="S8" s="321"/>
      <c r="T8" s="321"/>
      <c r="U8" s="321"/>
      <c r="V8" s="321"/>
      <c r="W8" s="321"/>
      <c r="X8" s="321"/>
      <c r="Y8" s="321"/>
    </row>
    <row r="9" spans="1:25" ht="15.75" customHeight="1" x14ac:dyDescent="0.2">
      <c r="A9" s="320">
        <v>43252</v>
      </c>
      <c r="B9" s="71">
        <v>10809</v>
      </c>
      <c r="C9" s="71">
        <v>-2598</v>
      </c>
      <c r="D9" s="71">
        <v>-700</v>
      </c>
      <c r="E9" s="71">
        <v>7930</v>
      </c>
      <c r="F9" s="71">
        <v>0</v>
      </c>
      <c r="G9" s="71">
        <v>401465</v>
      </c>
      <c r="H9">
        <v>10</v>
      </c>
      <c r="I9">
        <v>2</v>
      </c>
      <c r="J9">
        <v>0</v>
      </c>
      <c r="K9">
        <v>259</v>
      </c>
      <c r="L9">
        <v>5</v>
      </c>
      <c r="M9">
        <v>1</v>
      </c>
      <c r="N9" s="321"/>
      <c r="O9" s="321"/>
      <c r="P9" s="321"/>
      <c r="Q9" s="321"/>
      <c r="R9" s="321"/>
      <c r="S9" s="321"/>
      <c r="T9" s="321"/>
      <c r="U9" s="321"/>
      <c r="V9" s="321"/>
      <c r="W9" s="321"/>
      <c r="X9" s="321"/>
      <c r="Y9" s="321"/>
    </row>
    <row r="10" spans="1:25" ht="15.75" customHeight="1" x14ac:dyDescent="0.2">
      <c r="A10" s="320">
        <v>43282</v>
      </c>
      <c r="B10" s="71">
        <v>24213</v>
      </c>
      <c r="C10" s="71">
        <v>-7812</v>
      </c>
      <c r="D10" s="71">
        <v>-1450</v>
      </c>
      <c r="E10" s="71">
        <v>9677</v>
      </c>
      <c r="F10" s="71">
        <v>0</v>
      </c>
      <c r="G10" s="71">
        <v>426093</v>
      </c>
      <c r="H10">
        <v>21</v>
      </c>
      <c r="I10">
        <v>4</v>
      </c>
      <c r="J10">
        <v>0</v>
      </c>
      <c r="K10">
        <v>276</v>
      </c>
      <c r="L10">
        <v>5</v>
      </c>
      <c r="M10">
        <v>2</v>
      </c>
      <c r="N10" s="321"/>
      <c r="O10" s="321"/>
      <c r="P10" s="321"/>
      <c r="Q10" s="321"/>
      <c r="R10" s="321"/>
      <c r="S10" s="321"/>
      <c r="T10" s="321"/>
      <c r="U10" s="321"/>
      <c r="V10" s="321"/>
      <c r="W10" s="321"/>
      <c r="X10" s="321"/>
      <c r="Y10" s="321"/>
    </row>
    <row r="11" spans="1:25" ht="15.75" customHeight="1" x14ac:dyDescent="0.2">
      <c r="A11" s="320">
        <v>43313</v>
      </c>
      <c r="B11" s="71">
        <v>16395</v>
      </c>
      <c r="C11" s="71">
        <v>-8364</v>
      </c>
      <c r="D11" s="71">
        <v>-2370</v>
      </c>
      <c r="E11" s="71">
        <v>8318</v>
      </c>
      <c r="F11" s="71">
        <v>0</v>
      </c>
      <c r="G11" s="71">
        <v>440072</v>
      </c>
      <c r="H11">
        <v>14</v>
      </c>
      <c r="I11">
        <v>5</v>
      </c>
      <c r="J11">
        <v>0</v>
      </c>
      <c r="K11">
        <v>285</v>
      </c>
      <c r="L11">
        <v>5</v>
      </c>
      <c r="M11">
        <v>3</v>
      </c>
      <c r="N11" s="321"/>
      <c r="O11" s="321"/>
      <c r="P11" s="321"/>
      <c r="Q11" s="321"/>
      <c r="R11" s="321"/>
      <c r="S11" s="321"/>
      <c r="T11" s="321"/>
      <c r="U11" s="321"/>
      <c r="V11" s="321"/>
      <c r="W11" s="321"/>
      <c r="X11" s="321"/>
      <c r="Y11" s="321"/>
    </row>
    <row r="12" spans="1:25" ht="15.75" customHeight="1" x14ac:dyDescent="0.2">
      <c r="A12" s="320">
        <v>43344</v>
      </c>
      <c r="B12" s="71">
        <v>15996</v>
      </c>
      <c r="C12" s="71">
        <v>-8533</v>
      </c>
      <c r="D12" s="71">
        <v>-2260</v>
      </c>
      <c r="E12" s="71">
        <v>8642</v>
      </c>
      <c r="F12" s="71">
        <v>0</v>
      </c>
      <c r="G12" s="71">
        <v>453917</v>
      </c>
      <c r="H12">
        <v>14</v>
      </c>
      <c r="I12">
        <v>5</v>
      </c>
      <c r="J12">
        <v>0</v>
      </c>
      <c r="K12">
        <v>294</v>
      </c>
      <c r="L12">
        <v>5</v>
      </c>
      <c r="M12">
        <v>3</v>
      </c>
      <c r="N12" s="321"/>
      <c r="O12" s="321"/>
      <c r="P12" s="321"/>
      <c r="Q12" s="321"/>
      <c r="R12" s="321"/>
      <c r="S12" s="321"/>
      <c r="T12" s="321"/>
      <c r="U12" s="321"/>
      <c r="V12" s="321"/>
      <c r="W12" s="321"/>
      <c r="X12" s="321"/>
      <c r="Y12" s="321"/>
    </row>
    <row r="13" spans="1:25" ht="15.75" customHeight="1" x14ac:dyDescent="0.2">
      <c r="A13" s="320">
        <v>43374</v>
      </c>
      <c r="B13" s="71">
        <v>16173</v>
      </c>
      <c r="C13" s="71">
        <v>-8825</v>
      </c>
      <c r="D13" s="71">
        <v>-3040</v>
      </c>
      <c r="E13" s="71">
        <v>8879</v>
      </c>
      <c r="F13" s="71">
        <v>0</v>
      </c>
      <c r="G13" s="71">
        <v>467104</v>
      </c>
      <c r="H13">
        <v>14</v>
      </c>
      <c r="I13">
        <v>5</v>
      </c>
      <c r="J13">
        <v>0</v>
      </c>
      <c r="K13">
        <v>303</v>
      </c>
      <c r="L13">
        <v>5</v>
      </c>
      <c r="M13">
        <v>4</v>
      </c>
      <c r="N13" s="321"/>
      <c r="O13" s="321"/>
      <c r="P13" s="321"/>
      <c r="Q13" s="321"/>
      <c r="R13" s="321"/>
      <c r="S13" s="321"/>
      <c r="T13" s="321"/>
      <c r="U13" s="321"/>
      <c r="V13" s="321"/>
      <c r="W13" s="321"/>
      <c r="X13" s="321"/>
      <c r="Y13" s="321"/>
    </row>
    <row r="14" spans="1:25" ht="15.75" customHeight="1" x14ac:dyDescent="0.2">
      <c r="A14" s="320">
        <v>43405</v>
      </c>
      <c r="B14" s="71">
        <v>16119</v>
      </c>
      <c r="C14" s="71">
        <v>-8574</v>
      </c>
      <c r="D14" s="71">
        <v>-3068</v>
      </c>
      <c r="E14" s="71">
        <v>8613</v>
      </c>
      <c r="F14" s="71">
        <v>0</v>
      </c>
      <c r="G14" s="71">
        <v>480194</v>
      </c>
      <c r="H14">
        <v>14</v>
      </c>
      <c r="I14">
        <v>5</v>
      </c>
      <c r="J14">
        <v>0</v>
      </c>
      <c r="K14">
        <v>312</v>
      </c>
      <c r="L14">
        <v>5</v>
      </c>
      <c r="M14">
        <v>4</v>
      </c>
      <c r="N14" s="321"/>
      <c r="O14" s="321"/>
      <c r="P14" s="321"/>
      <c r="Q14" s="321"/>
      <c r="R14" s="321"/>
      <c r="S14" s="321"/>
      <c r="T14" s="321"/>
      <c r="U14" s="321"/>
      <c r="V14" s="321"/>
      <c r="W14" s="321"/>
      <c r="X14" s="321"/>
      <c r="Y14" s="321"/>
    </row>
    <row r="15" spans="1:25" ht="15.75" customHeight="1" x14ac:dyDescent="0.2">
      <c r="A15" s="320">
        <v>43435</v>
      </c>
      <c r="B15" s="71">
        <v>16188</v>
      </c>
      <c r="C15" s="71">
        <v>-8644</v>
      </c>
      <c r="D15" s="71">
        <v>-3804</v>
      </c>
      <c r="E15" s="71">
        <v>8711</v>
      </c>
      <c r="F15" s="71">
        <v>0</v>
      </c>
      <c r="G15" s="71">
        <v>492645</v>
      </c>
      <c r="H15">
        <v>16</v>
      </c>
      <c r="I15">
        <v>5</v>
      </c>
      <c r="J15">
        <v>0</v>
      </c>
      <c r="K15">
        <v>323</v>
      </c>
      <c r="L15">
        <v>5</v>
      </c>
      <c r="M15">
        <v>5</v>
      </c>
      <c r="N15" s="321"/>
      <c r="O15" s="321"/>
      <c r="P15" s="321"/>
      <c r="Q15" s="321"/>
      <c r="R15" s="321"/>
      <c r="S15" s="321"/>
      <c r="T15" s="321"/>
      <c r="U15" s="321"/>
      <c r="V15" s="321"/>
      <c r="W15" s="321"/>
      <c r="X15" s="321"/>
      <c r="Y15" s="321"/>
    </row>
    <row r="16" spans="1:25" ht="15.75" customHeight="1" x14ac:dyDescent="0.2">
      <c r="A16" s="320">
        <v>43466</v>
      </c>
      <c r="B16" s="71">
        <v>17314</v>
      </c>
      <c r="C16" s="71">
        <v>-8681</v>
      </c>
      <c r="D16" s="71">
        <v>-3812</v>
      </c>
      <c r="E16" s="71">
        <v>8734</v>
      </c>
      <c r="F16" s="71">
        <v>0</v>
      </c>
      <c r="G16" s="71">
        <v>506200</v>
      </c>
      <c r="H16">
        <v>15</v>
      </c>
      <c r="I16">
        <v>5</v>
      </c>
      <c r="J16">
        <v>0</v>
      </c>
      <c r="K16">
        <v>333</v>
      </c>
      <c r="L16">
        <v>5</v>
      </c>
      <c r="M16">
        <v>5</v>
      </c>
      <c r="N16" s="321"/>
      <c r="O16" s="321"/>
      <c r="P16" s="321"/>
      <c r="Q16" s="321"/>
      <c r="R16" s="321"/>
      <c r="S16" s="321"/>
      <c r="T16" s="321"/>
      <c r="U16" s="321"/>
      <c r="V16" s="321"/>
      <c r="W16" s="321"/>
      <c r="X16" s="321"/>
      <c r="Y16" s="321"/>
    </row>
    <row r="17" spans="1:25" ht="15.75" customHeight="1" x14ac:dyDescent="0.2">
      <c r="A17" s="320">
        <v>43497</v>
      </c>
      <c r="B17" s="71">
        <v>27567</v>
      </c>
      <c r="C17" s="71">
        <v>-8633</v>
      </c>
      <c r="D17" s="71">
        <v>-4579</v>
      </c>
      <c r="E17" s="71">
        <v>8686</v>
      </c>
      <c r="F17" s="71">
        <v>0</v>
      </c>
      <c r="G17" s="71">
        <v>529241</v>
      </c>
      <c r="H17">
        <v>25</v>
      </c>
      <c r="I17">
        <v>5</v>
      </c>
      <c r="J17">
        <v>0</v>
      </c>
      <c r="K17">
        <v>353</v>
      </c>
      <c r="L17">
        <v>5</v>
      </c>
      <c r="M17">
        <v>6</v>
      </c>
      <c r="N17" s="321"/>
      <c r="O17" s="321"/>
      <c r="P17" s="321"/>
      <c r="Q17" s="321"/>
      <c r="R17" s="321"/>
      <c r="S17" s="321"/>
      <c r="T17" s="321"/>
      <c r="U17" s="321"/>
      <c r="V17" s="321"/>
      <c r="W17" s="321"/>
      <c r="X17" s="321"/>
      <c r="Y17" s="321"/>
    </row>
    <row r="18" spans="1:25" ht="15.75" customHeight="1" x14ac:dyDescent="0.2">
      <c r="A18" s="320">
        <v>43525</v>
      </c>
      <c r="B18" s="71">
        <v>18539</v>
      </c>
      <c r="C18" s="71">
        <v>-10383</v>
      </c>
      <c r="D18" s="71">
        <v>-4573</v>
      </c>
      <c r="E18" s="71">
        <v>8711</v>
      </c>
      <c r="F18" s="71">
        <v>0</v>
      </c>
      <c r="G18" s="71">
        <v>541535</v>
      </c>
      <c r="H18">
        <v>17</v>
      </c>
      <c r="I18">
        <v>6</v>
      </c>
      <c r="J18">
        <v>0</v>
      </c>
      <c r="K18">
        <v>364</v>
      </c>
      <c r="L18">
        <v>5</v>
      </c>
      <c r="M18">
        <v>6</v>
      </c>
      <c r="N18" s="321"/>
      <c r="O18" s="321"/>
      <c r="P18" s="321"/>
      <c r="Q18" s="321"/>
      <c r="R18" s="321"/>
      <c r="S18" s="321"/>
      <c r="T18" s="321"/>
      <c r="U18" s="321"/>
      <c r="V18" s="321"/>
      <c r="W18" s="321"/>
      <c r="X18" s="321"/>
      <c r="Y18" s="321"/>
    </row>
    <row r="19" spans="1:25" ht="15.75" customHeight="1" x14ac:dyDescent="0.2">
      <c r="A19" s="320">
        <v>43556</v>
      </c>
      <c r="B19" s="71">
        <v>42280</v>
      </c>
      <c r="C19" s="322">
        <v>-2350</v>
      </c>
      <c r="D19" s="322">
        <v>0</v>
      </c>
      <c r="E19" s="71">
        <v>17421</v>
      </c>
      <c r="F19" s="71">
        <v>0</v>
      </c>
      <c r="G19" s="71">
        <v>598886</v>
      </c>
      <c r="H19">
        <v>38</v>
      </c>
      <c r="I19" s="23">
        <v>4</v>
      </c>
      <c r="J19">
        <v>0</v>
      </c>
      <c r="K19">
        <v>398</v>
      </c>
      <c r="L19">
        <v>10</v>
      </c>
      <c r="M19">
        <v>1</v>
      </c>
      <c r="N19" s="321"/>
      <c r="O19" s="321"/>
      <c r="P19" s="321"/>
      <c r="Q19" s="321"/>
      <c r="R19" s="321"/>
      <c r="S19" s="321"/>
      <c r="T19" s="321"/>
      <c r="U19" s="321"/>
      <c r="V19" s="321"/>
      <c r="W19" s="321"/>
      <c r="X19" s="321"/>
      <c r="Y19" s="321"/>
    </row>
    <row r="20" spans="1:25" ht="15.75" customHeight="1" x14ac:dyDescent="0.2">
      <c r="A20" s="320">
        <v>43586</v>
      </c>
      <c r="B20" s="71">
        <v>22097</v>
      </c>
      <c r="C20" s="71">
        <v>-10374</v>
      </c>
      <c r="D20" s="71">
        <v>-5261</v>
      </c>
      <c r="E20" s="71">
        <v>8704</v>
      </c>
      <c r="F20" s="71">
        <v>0</v>
      </c>
      <c r="G20" s="71">
        <v>614052</v>
      </c>
      <c r="H20">
        <v>20</v>
      </c>
      <c r="I20">
        <v>6</v>
      </c>
      <c r="J20">
        <v>0</v>
      </c>
      <c r="K20">
        <v>412</v>
      </c>
      <c r="L20">
        <v>5</v>
      </c>
      <c r="M20">
        <v>7</v>
      </c>
      <c r="N20" s="321"/>
      <c r="O20" s="321"/>
      <c r="P20" s="321"/>
      <c r="Q20" s="321"/>
      <c r="R20" s="321"/>
      <c r="S20" s="321"/>
      <c r="T20" s="321"/>
      <c r="U20" s="321"/>
      <c r="V20" s="321"/>
      <c r="W20" s="321"/>
      <c r="X20" s="321"/>
      <c r="Y20" s="321"/>
    </row>
    <row r="21" spans="1:25" ht="15.75" customHeight="1" x14ac:dyDescent="0.2">
      <c r="A21" s="320">
        <v>43617</v>
      </c>
      <c r="B21" s="71">
        <v>32061</v>
      </c>
      <c r="C21" s="71">
        <v>-12109</v>
      </c>
      <c r="D21" s="71">
        <v>-5227</v>
      </c>
      <c r="E21" s="71">
        <v>8709</v>
      </c>
      <c r="F21" s="71">
        <v>0</v>
      </c>
      <c r="G21" s="71">
        <v>637486</v>
      </c>
      <c r="H21">
        <v>29</v>
      </c>
      <c r="I21">
        <v>7</v>
      </c>
      <c r="J21">
        <v>0</v>
      </c>
      <c r="K21">
        <v>434</v>
      </c>
      <c r="L21">
        <v>5</v>
      </c>
      <c r="M21">
        <v>7</v>
      </c>
      <c r="N21" s="321"/>
      <c r="O21" s="321"/>
      <c r="P21" s="321"/>
      <c r="Q21" s="321"/>
      <c r="R21" s="321"/>
      <c r="S21" s="321"/>
      <c r="T21" s="321"/>
      <c r="U21" s="321"/>
      <c r="V21" s="321"/>
      <c r="W21" s="321"/>
      <c r="X21" s="321"/>
      <c r="Y21" s="321"/>
    </row>
    <row r="22" spans="1:25" ht="15.75" customHeight="1" x14ac:dyDescent="0.2">
      <c r="A22" s="320">
        <v>43647</v>
      </c>
      <c r="B22" s="71">
        <v>32170</v>
      </c>
      <c r="C22" s="71">
        <v>-15664.931907563025</v>
      </c>
      <c r="D22" s="71">
        <v>-5183.2666666666664</v>
      </c>
      <c r="E22" s="71">
        <v>8708.5</v>
      </c>
      <c r="F22" s="71">
        <v>0</v>
      </c>
      <c r="G22" s="71">
        <v>657516.30142577027</v>
      </c>
      <c r="H22">
        <v>32</v>
      </c>
      <c r="I22" s="23">
        <v>9</v>
      </c>
      <c r="J22">
        <v>0</v>
      </c>
      <c r="K22" s="323">
        <v>457</v>
      </c>
      <c r="L22">
        <v>5</v>
      </c>
      <c r="M22">
        <v>7</v>
      </c>
      <c r="N22" s="321"/>
      <c r="O22" s="321"/>
      <c r="P22" s="321"/>
      <c r="Q22" s="321"/>
      <c r="R22" s="321"/>
      <c r="S22" s="321"/>
      <c r="T22" s="321"/>
      <c r="U22" s="321"/>
      <c r="V22" s="321"/>
      <c r="W22" s="321"/>
      <c r="X22" s="321"/>
      <c r="Y22" s="321"/>
    </row>
    <row r="23" spans="1:25" ht="15.75" customHeight="1" x14ac:dyDescent="0.2">
      <c r="A23" s="320">
        <v>43678</v>
      </c>
      <c r="B23" s="71">
        <v>31973.333333333336</v>
      </c>
      <c r="C23" s="71">
        <v>-14187.685782436285</v>
      </c>
      <c r="D23" s="71">
        <v>-5223.7555555555555</v>
      </c>
      <c r="E23" s="71">
        <v>13931.466666666667</v>
      </c>
      <c r="F23" s="71">
        <v>0</v>
      </c>
      <c r="G23" s="71">
        <v>684009.66008777847</v>
      </c>
      <c r="H23">
        <v>30</v>
      </c>
      <c r="I23" s="23">
        <v>6</v>
      </c>
      <c r="J23">
        <v>0</v>
      </c>
      <c r="K23" s="323">
        <v>479</v>
      </c>
      <c r="L23">
        <v>8</v>
      </c>
      <c r="M23">
        <v>7</v>
      </c>
      <c r="N23" s="321"/>
      <c r="O23" s="321"/>
      <c r="P23" s="321"/>
      <c r="Q23" s="321"/>
      <c r="R23" s="321"/>
      <c r="S23" s="321"/>
      <c r="T23" s="321"/>
      <c r="U23" s="321"/>
      <c r="V23" s="321"/>
      <c r="W23" s="321"/>
      <c r="X23" s="321"/>
      <c r="Y23" s="321"/>
    </row>
    <row r="24" spans="1:25" ht="15.75" customHeight="1" x14ac:dyDescent="0.2">
      <c r="A24" s="320">
        <v>43709</v>
      </c>
      <c r="B24" s="71">
        <v>27486.952380952385</v>
      </c>
      <c r="C24" s="71">
        <v>-15378.463306457343</v>
      </c>
      <c r="D24" s="71">
        <v>-5211.3407407407403</v>
      </c>
      <c r="E24" s="71">
        <v>19157.701851851853</v>
      </c>
      <c r="F24" s="71">
        <v>0</v>
      </c>
      <c r="G24" s="71">
        <v>710064.51027338463</v>
      </c>
      <c r="H24">
        <v>26</v>
      </c>
      <c r="I24" s="23">
        <v>9</v>
      </c>
      <c r="J24">
        <v>0</v>
      </c>
      <c r="K24" s="323">
        <v>496</v>
      </c>
      <c r="L24">
        <v>11</v>
      </c>
      <c r="M24">
        <v>7</v>
      </c>
      <c r="N24" s="321"/>
      <c r="O24" s="321"/>
      <c r="P24" s="321"/>
      <c r="Q24" s="321"/>
      <c r="R24" s="321"/>
      <c r="S24" s="321"/>
      <c r="T24" s="321"/>
      <c r="U24" s="321"/>
      <c r="V24" s="321"/>
      <c r="W24" s="321"/>
      <c r="X24" s="321"/>
      <c r="Y24" s="321"/>
    </row>
    <row r="25" spans="1:25" ht="15.75" customHeight="1" x14ac:dyDescent="0.2">
      <c r="A25" s="324">
        <f t="shared" ref="A25:A29" si="0">EDATE(A24,1)</f>
        <v>43739</v>
      </c>
      <c r="B25" s="71">
        <v>28724.952380952385</v>
      </c>
      <c r="C25" s="71">
        <v>-16660.463306457299</v>
      </c>
      <c r="D25" s="71">
        <v>-8789.3407407407394</v>
      </c>
      <c r="E25" s="71">
        <v>20220.701851851853</v>
      </c>
      <c r="F25" s="71">
        <v>0</v>
      </c>
      <c r="G25" s="71">
        <f t="shared" ref="G25:G31" si="1">B25+C25+D25+E25+G24</f>
        <v>733560.36045899079</v>
      </c>
      <c r="H25">
        <v>21</v>
      </c>
      <c r="I25" s="23">
        <v>9</v>
      </c>
      <c r="J25">
        <v>0</v>
      </c>
      <c r="K25" s="323">
        <v>508</v>
      </c>
      <c r="L25">
        <v>11</v>
      </c>
      <c r="M25">
        <v>7</v>
      </c>
      <c r="N25" s="321"/>
      <c r="O25" s="321"/>
      <c r="P25" s="321"/>
      <c r="Q25" s="321"/>
      <c r="R25" s="321"/>
      <c r="S25" s="321"/>
      <c r="T25" s="321"/>
      <c r="U25" s="321"/>
      <c r="V25" s="321"/>
      <c r="W25" s="321"/>
      <c r="X25" s="321"/>
      <c r="Y25" s="321"/>
    </row>
    <row r="26" spans="1:25" ht="15.75" customHeight="1" x14ac:dyDescent="0.2">
      <c r="A26" s="324">
        <f t="shared" si="0"/>
        <v>43770</v>
      </c>
      <c r="B26" s="71">
        <v>28145.952380952385</v>
      </c>
      <c r="C26" s="71">
        <v>-15195.463306457301</v>
      </c>
      <c r="D26" s="71">
        <v>-11199.340740740699</v>
      </c>
      <c r="E26" s="71">
        <v>20012.701851851853</v>
      </c>
      <c r="F26" s="71">
        <v>0</v>
      </c>
      <c r="G26" s="71">
        <f t="shared" si="1"/>
        <v>755324.21064459707</v>
      </c>
      <c r="H26">
        <v>22</v>
      </c>
      <c r="I26" s="23">
        <v>6</v>
      </c>
      <c r="J26">
        <v>0</v>
      </c>
      <c r="K26" s="323">
        <v>524</v>
      </c>
      <c r="L26">
        <v>11</v>
      </c>
      <c r="M26">
        <v>7</v>
      </c>
      <c r="N26" s="321"/>
      <c r="O26" s="321"/>
      <c r="P26" s="321"/>
      <c r="Q26" s="321"/>
      <c r="R26" s="321"/>
      <c r="S26" s="321"/>
      <c r="T26" s="321"/>
      <c r="U26" s="321"/>
      <c r="V26" s="321"/>
      <c r="W26" s="321"/>
      <c r="X26" s="321"/>
      <c r="Y26" s="321"/>
    </row>
    <row r="27" spans="1:25" ht="15.75" customHeight="1" x14ac:dyDescent="0.2">
      <c r="A27" s="324">
        <f t="shared" si="0"/>
        <v>43800</v>
      </c>
      <c r="B27" s="71">
        <v>30850.952380952385</v>
      </c>
      <c r="C27" s="71">
        <v>-18807.463306457299</v>
      </c>
      <c r="D27" s="71">
        <v>-11220.340740740699</v>
      </c>
      <c r="E27" s="71">
        <v>20137.701851851853</v>
      </c>
      <c r="F27" s="71">
        <v>0</v>
      </c>
      <c r="G27" s="71">
        <f t="shared" si="1"/>
        <v>776285.06083020335</v>
      </c>
      <c r="H27">
        <v>25</v>
      </c>
      <c r="I27" s="23">
        <v>4</v>
      </c>
      <c r="J27">
        <v>0</v>
      </c>
      <c r="K27" s="323">
        <v>545</v>
      </c>
      <c r="L27">
        <v>14</v>
      </c>
      <c r="M27">
        <v>10</v>
      </c>
      <c r="N27" s="321"/>
      <c r="O27" s="321"/>
      <c r="P27" s="321"/>
      <c r="Q27" s="321"/>
      <c r="R27" s="321"/>
      <c r="S27" s="321"/>
      <c r="T27" s="321"/>
      <c r="U27" s="321"/>
      <c r="V27" s="321"/>
      <c r="W27" s="321"/>
      <c r="X27" s="321"/>
      <c r="Y27" s="321"/>
    </row>
    <row r="28" spans="1:25" ht="15.75" customHeight="1" x14ac:dyDescent="0.2">
      <c r="A28" s="324">
        <f t="shared" si="0"/>
        <v>43831</v>
      </c>
      <c r="B28" s="71">
        <v>33080.952380952382</v>
      </c>
      <c r="C28" s="71">
        <v>-19092.463306457299</v>
      </c>
      <c r="D28" s="71">
        <v>-14719.340740740699</v>
      </c>
      <c r="E28" s="71">
        <v>23189.701851851853</v>
      </c>
      <c r="F28" s="71">
        <v>0</v>
      </c>
      <c r="G28" s="71">
        <f t="shared" si="1"/>
        <v>798743.91101580963</v>
      </c>
      <c r="H28">
        <v>25</v>
      </c>
      <c r="I28" s="23">
        <v>1</v>
      </c>
      <c r="J28">
        <v>0</v>
      </c>
      <c r="K28" s="323">
        <v>571</v>
      </c>
      <c r="L28">
        <v>14</v>
      </c>
      <c r="M28">
        <v>15</v>
      </c>
      <c r="N28" s="321"/>
      <c r="O28" s="321"/>
      <c r="P28" s="321"/>
      <c r="Q28" s="321"/>
      <c r="R28" s="321"/>
      <c r="S28" s="321"/>
      <c r="T28" s="321"/>
      <c r="U28" s="321"/>
      <c r="V28" s="321"/>
      <c r="W28" s="321"/>
      <c r="X28" s="321"/>
      <c r="Y28" s="321"/>
    </row>
    <row r="29" spans="1:25" ht="15.75" customHeight="1" x14ac:dyDescent="0.2">
      <c r="A29" s="324">
        <f t="shared" si="0"/>
        <v>43862</v>
      </c>
      <c r="B29" s="71">
        <v>34067.952380952382</v>
      </c>
      <c r="C29" s="71">
        <v>-21654.463306457299</v>
      </c>
      <c r="D29" s="71">
        <v>-12226.340740740699</v>
      </c>
      <c r="E29" s="71">
        <v>25376.701851851853</v>
      </c>
      <c r="F29" s="71">
        <v>0</v>
      </c>
      <c r="G29" s="71">
        <f t="shared" si="1"/>
        <v>824307.76120141591</v>
      </c>
      <c r="H29">
        <v>28</v>
      </c>
      <c r="I29" s="23">
        <v>6</v>
      </c>
      <c r="J29">
        <v>0</v>
      </c>
      <c r="K29" s="323">
        <v>605</v>
      </c>
      <c r="L29">
        <v>13</v>
      </c>
      <c r="M29">
        <v>17</v>
      </c>
      <c r="N29" s="321"/>
      <c r="O29" s="321"/>
      <c r="P29" s="321"/>
      <c r="Q29" s="321"/>
      <c r="R29" s="321"/>
      <c r="S29" s="321"/>
      <c r="T29" s="321"/>
      <c r="U29" s="321"/>
      <c r="V29" s="321"/>
      <c r="W29" s="321"/>
      <c r="X29" s="321"/>
      <c r="Y29" s="321"/>
    </row>
    <row r="30" spans="1:25" ht="15.75" customHeight="1" x14ac:dyDescent="0.2">
      <c r="A30" s="324">
        <v>43891</v>
      </c>
      <c r="B30" s="71">
        <v>25128</v>
      </c>
      <c r="C30" s="71">
        <v>-34418</v>
      </c>
      <c r="D30" s="71">
        <v>-15131</v>
      </c>
      <c r="E30" s="71">
        <v>20276</v>
      </c>
      <c r="F30" s="71">
        <v>0</v>
      </c>
      <c r="G30" s="71">
        <f t="shared" si="1"/>
        <v>820162.76120141591</v>
      </c>
      <c r="H30">
        <v>20</v>
      </c>
      <c r="I30" s="23">
        <v>9</v>
      </c>
      <c r="J30">
        <v>0</v>
      </c>
      <c r="K30" s="323">
        <f>H30-I30+K29</f>
        <v>616</v>
      </c>
      <c r="L30">
        <v>12</v>
      </c>
      <c r="M30">
        <v>17</v>
      </c>
      <c r="N30" s="321"/>
      <c r="O30" s="321"/>
      <c r="P30" s="321"/>
      <c r="Q30" s="321"/>
      <c r="R30" s="321"/>
      <c r="S30" s="321"/>
      <c r="T30" s="321"/>
      <c r="U30" s="321"/>
      <c r="V30" s="321"/>
      <c r="W30" s="321"/>
      <c r="X30" s="321"/>
      <c r="Y30" s="321"/>
    </row>
    <row r="31" spans="1:25" ht="15.75" customHeight="1" x14ac:dyDescent="0.2">
      <c r="A31" s="320">
        <v>43922</v>
      </c>
      <c r="B31" s="322">
        <v>17600</v>
      </c>
      <c r="C31" s="322">
        <v>-38975</v>
      </c>
      <c r="D31" s="322">
        <v>-14756</v>
      </c>
      <c r="E31" s="71">
        <v>10675</v>
      </c>
      <c r="F31" s="71">
        <v>0</v>
      </c>
      <c r="G31" s="71">
        <f t="shared" si="1"/>
        <v>794706.76120141591</v>
      </c>
      <c r="H31">
        <v>14</v>
      </c>
      <c r="I31" s="23">
        <v>12</v>
      </c>
      <c r="J31">
        <v>0</v>
      </c>
      <c r="K31" s="323">
        <f>H31-I31+K30+J31</f>
        <v>618</v>
      </c>
      <c r="L31" s="23">
        <v>11</v>
      </c>
      <c r="M31" s="23">
        <v>19</v>
      </c>
      <c r="N31" s="321"/>
      <c r="O31" s="321"/>
      <c r="P31" s="321"/>
      <c r="Q31" s="321"/>
      <c r="R31" s="321"/>
      <c r="S31" s="321"/>
      <c r="T31" s="321"/>
      <c r="U31" s="321"/>
      <c r="V31" s="321"/>
      <c r="W31" s="321"/>
      <c r="X31" s="321"/>
      <c r="Y31" s="321"/>
    </row>
    <row r="32" spans="1:25" ht="15.75" customHeight="1" x14ac:dyDescent="0.2">
      <c r="A32" s="321"/>
      <c r="B32" s="321"/>
      <c r="C32" s="321"/>
      <c r="D32" s="321"/>
      <c r="E32" s="321"/>
      <c r="F32" s="321"/>
      <c r="G32" s="321"/>
      <c r="H32" s="321"/>
      <c r="I32" s="321"/>
      <c r="J32" s="321"/>
      <c r="K32" s="321"/>
      <c r="L32" s="321"/>
      <c r="M32" s="321"/>
      <c r="N32" s="321"/>
      <c r="O32" s="321"/>
      <c r="P32" s="321"/>
      <c r="Q32" s="321"/>
      <c r="R32" s="321"/>
      <c r="S32" s="321"/>
      <c r="T32" s="321"/>
      <c r="U32" s="321"/>
      <c r="V32" s="321"/>
      <c r="W32" s="321"/>
      <c r="X32" s="321"/>
      <c r="Y32" s="321"/>
    </row>
    <row r="33" spans="1:25" ht="15.75" customHeight="1" x14ac:dyDescent="0.2">
      <c r="A33" s="321"/>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row>
    <row r="34" spans="1:25" ht="15.75" customHeight="1" x14ac:dyDescent="0.2">
      <c r="A34" s="321"/>
      <c r="B34" s="321"/>
      <c r="C34" s="321"/>
      <c r="D34" s="321"/>
      <c r="E34" s="321"/>
      <c r="F34" s="321"/>
      <c r="G34" s="321"/>
      <c r="H34" s="321"/>
      <c r="I34" s="321"/>
      <c r="J34" s="321"/>
      <c r="K34" s="321"/>
      <c r="L34" s="321"/>
      <c r="M34" s="321"/>
      <c r="N34" s="321"/>
      <c r="O34" s="321"/>
      <c r="P34" s="321"/>
      <c r="Q34" s="321"/>
      <c r="R34" s="321"/>
      <c r="S34" s="321"/>
      <c r="T34" s="321"/>
      <c r="U34" s="321"/>
      <c r="V34" s="321"/>
      <c r="W34" s="321"/>
      <c r="X34" s="321"/>
      <c r="Y34" s="321"/>
    </row>
    <row r="35" spans="1:25" ht="15.75" customHeight="1" x14ac:dyDescent="0.2">
      <c r="A35" s="321"/>
      <c r="B35" s="321"/>
      <c r="C35" s="321"/>
      <c r="D35" s="321"/>
      <c r="E35" s="321"/>
      <c r="F35" s="321"/>
      <c r="G35" s="321"/>
      <c r="H35" s="321"/>
      <c r="I35" s="321"/>
      <c r="J35" s="321"/>
      <c r="K35" s="321"/>
      <c r="L35" s="321"/>
      <c r="M35" s="321"/>
      <c r="N35" s="321"/>
      <c r="O35" s="321"/>
      <c r="P35" s="321"/>
      <c r="Q35" s="321"/>
      <c r="R35" s="321"/>
      <c r="S35" s="321"/>
      <c r="T35" s="321"/>
      <c r="U35" s="321"/>
      <c r="V35" s="321"/>
      <c r="W35" s="321"/>
      <c r="X35" s="321"/>
      <c r="Y35" s="321"/>
    </row>
    <row r="36" spans="1:25" ht="15.75" customHeight="1" x14ac:dyDescent="0.2">
      <c r="A36" s="321"/>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row>
    <row r="37" spans="1:25" ht="15.75" customHeight="1" x14ac:dyDescent="0.2">
      <c r="A37" s="321"/>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row>
    <row r="38" spans="1:25" ht="15.75" customHeight="1" x14ac:dyDescent="0.2">
      <c r="A38" s="321"/>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row>
    <row r="39" spans="1:25" ht="15.75" customHeight="1" x14ac:dyDescent="0.2">
      <c r="A39" s="321"/>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row>
    <row r="40" spans="1:25" ht="15.75" customHeight="1" x14ac:dyDescent="0.2">
      <c r="A40" s="321"/>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row>
    <row r="41" spans="1:25" ht="15.75" customHeight="1" x14ac:dyDescent="0.2">
      <c r="A41" s="321"/>
      <c r="B41" s="321"/>
      <c r="C41" s="321"/>
      <c r="D41" s="321"/>
      <c r="E41" s="321"/>
      <c r="F41" s="321"/>
      <c r="G41" s="321"/>
      <c r="H41" s="321"/>
      <c r="I41" s="321"/>
      <c r="J41" s="321"/>
      <c r="K41" s="321"/>
      <c r="L41" s="321"/>
      <c r="M41" s="321"/>
      <c r="N41" s="321"/>
      <c r="O41" s="321"/>
      <c r="P41" s="321"/>
      <c r="Q41" s="321"/>
      <c r="R41" s="321"/>
      <c r="S41" s="321"/>
      <c r="T41" s="321"/>
      <c r="U41" s="321"/>
      <c r="V41" s="321"/>
      <c r="W41" s="321"/>
      <c r="X41" s="321"/>
      <c r="Y41" s="321"/>
    </row>
    <row r="42" spans="1:25" ht="15.75" customHeight="1" x14ac:dyDescent="0.2">
      <c r="A42" s="321"/>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row>
    <row r="43" spans="1:25" ht="15.75" customHeight="1" x14ac:dyDescent="0.2">
      <c r="A43" s="321"/>
      <c r="B43" s="321"/>
      <c r="C43" s="321"/>
      <c r="D43" s="321"/>
      <c r="E43" s="321"/>
      <c r="F43" s="321"/>
      <c r="G43" s="321"/>
      <c r="H43" s="321"/>
      <c r="I43" s="321"/>
      <c r="J43" s="321"/>
      <c r="K43" s="321"/>
      <c r="L43" s="321"/>
      <c r="M43" s="321"/>
      <c r="N43" s="321"/>
      <c r="O43" s="321"/>
      <c r="P43" s="321"/>
      <c r="Q43" s="321"/>
      <c r="R43" s="321"/>
      <c r="S43" s="321"/>
      <c r="T43" s="321"/>
      <c r="U43" s="321"/>
      <c r="V43" s="321"/>
      <c r="W43" s="321"/>
      <c r="X43" s="321"/>
      <c r="Y43" s="321"/>
    </row>
    <row r="44" spans="1:25" ht="15.75" customHeight="1" x14ac:dyDescent="0.2">
      <c r="A44" s="321"/>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row>
    <row r="45" spans="1:25" ht="15.75" customHeight="1" x14ac:dyDescent="0.2">
      <c r="A45" s="321"/>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row>
    <row r="46" spans="1:25" ht="15.75" customHeight="1" x14ac:dyDescent="0.2">
      <c r="A46" s="321"/>
      <c r="B46" s="321"/>
      <c r="C46" s="321"/>
      <c r="D46" s="321"/>
      <c r="E46" s="321"/>
      <c r="F46" s="321"/>
      <c r="G46" s="321"/>
      <c r="H46" s="321"/>
      <c r="I46" s="321"/>
      <c r="J46" s="321"/>
      <c r="K46" s="321"/>
      <c r="L46" s="321"/>
      <c r="M46" s="321"/>
      <c r="N46" s="321"/>
      <c r="O46" s="321"/>
      <c r="P46" s="321"/>
      <c r="Q46" s="321"/>
      <c r="R46" s="321"/>
      <c r="S46" s="321"/>
      <c r="T46" s="321"/>
      <c r="U46" s="321"/>
      <c r="V46" s="321"/>
      <c r="W46" s="321"/>
      <c r="X46" s="321"/>
      <c r="Y46" s="321"/>
    </row>
    <row r="47" spans="1:25" ht="15.75" customHeight="1" x14ac:dyDescent="0.2">
      <c r="A47" s="321"/>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row>
    <row r="48" spans="1:25" ht="15.75" customHeight="1" x14ac:dyDescent="0.2">
      <c r="A48" s="321"/>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row>
    <row r="49" spans="1:25" ht="15.75" customHeight="1" x14ac:dyDescent="0.2">
      <c r="A49" s="321"/>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row>
    <row r="50" spans="1:25" ht="15.75" customHeight="1" x14ac:dyDescent="0.2">
      <c r="A50" s="321"/>
      <c r="B50" s="321"/>
      <c r="C50" s="321"/>
      <c r="D50" s="321"/>
      <c r="E50" s="321"/>
      <c r="F50" s="321"/>
      <c r="G50" s="321"/>
      <c r="H50" s="321"/>
      <c r="I50" s="321"/>
      <c r="J50" s="321"/>
      <c r="K50" s="321"/>
      <c r="L50" s="321"/>
      <c r="M50" s="321"/>
      <c r="N50" s="321"/>
      <c r="O50" s="321"/>
      <c r="P50" s="321"/>
      <c r="Q50" s="321"/>
      <c r="R50" s="321"/>
      <c r="S50" s="321"/>
      <c r="T50" s="321"/>
      <c r="U50" s="321"/>
      <c r="V50" s="321"/>
      <c r="W50" s="321"/>
      <c r="X50" s="321"/>
      <c r="Y50" s="321"/>
    </row>
    <row r="51" spans="1:25" ht="15.75" customHeight="1" x14ac:dyDescent="0.2">
      <c r="A51" s="321"/>
      <c r="B51" s="321"/>
      <c r="C51" s="321"/>
      <c r="D51" s="321"/>
      <c r="E51" s="321"/>
      <c r="F51" s="321"/>
      <c r="G51" s="321"/>
      <c r="H51" s="321"/>
      <c r="I51" s="321"/>
      <c r="J51" s="321"/>
      <c r="K51" s="321"/>
      <c r="L51" s="321"/>
      <c r="M51" s="321"/>
      <c r="N51" s="321"/>
      <c r="O51" s="321"/>
      <c r="P51" s="321"/>
      <c r="Q51" s="321"/>
      <c r="R51" s="321"/>
      <c r="S51" s="321"/>
      <c r="T51" s="321"/>
      <c r="U51" s="321"/>
      <c r="V51" s="321"/>
      <c r="W51" s="321"/>
      <c r="X51" s="321"/>
      <c r="Y51" s="321"/>
    </row>
    <row r="52" spans="1:25" ht="15.75" customHeight="1" x14ac:dyDescent="0.2">
      <c r="A52" s="321"/>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21"/>
    </row>
    <row r="53" spans="1:25" ht="12.75" x14ac:dyDescent="0.2">
      <c r="A53" s="321"/>
      <c r="B53" s="321"/>
      <c r="C53" s="321"/>
      <c r="D53" s="321"/>
      <c r="E53" s="321"/>
      <c r="F53" s="321"/>
      <c r="G53" s="321"/>
      <c r="H53" s="321"/>
      <c r="I53" s="321"/>
      <c r="J53" s="321"/>
      <c r="K53" s="321"/>
      <c r="L53" s="321"/>
      <c r="M53" s="321"/>
      <c r="N53" s="321"/>
      <c r="O53" s="321"/>
      <c r="P53" s="321"/>
      <c r="Q53" s="321"/>
      <c r="R53" s="321"/>
      <c r="S53" s="321"/>
      <c r="T53" s="321"/>
      <c r="U53" s="321"/>
      <c r="V53" s="321"/>
      <c r="W53" s="321"/>
      <c r="X53" s="321"/>
      <c r="Y53" s="321"/>
    </row>
    <row r="54" spans="1:25" ht="12.75" x14ac:dyDescent="0.2">
      <c r="A54" s="32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row>
    <row r="55" spans="1:25" ht="12.75" x14ac:dyDescent="0.2">
      <c r="A55" s="321"/>
      <c r="B55" s="321"/>
      <c r="C55" s="321"/>
      <c r="D55" s="321"/>
      <c r="E55" s="321"/>
      <c r="F55" s="321"/>
      <c r="G55" s="321"/>
      <c r="H55" s="321"/>
      <c r="I55" s="321"/>
      <c r="J55" s="321"/>
      <c r="K55" s="321"/>
      <c r="L55" s="321"/>
      <c r="M55" s="321"/>
      <c r="N55" s="321"/>
      <c r="O55" s="321"/>
      <c r="P55" s="321"/>
      <c r="Q55" s="321"/>
      <c r="R55" s="321"/>
      <c r="S55" s="321"/>
      <c r="T55" s="321"/>
      <c r="U55" s="321"/>
      <c r="V55" s="321"/>
      <c r="W55" s="321"/>
      <c r="X55" s="321"/>
      <c r="Y55" s="321"/>
    </row>
    <row r="56" spans="1:25" ht="12.75" x14ac:dyDescent="0.2">
      <c r="A56" s="321"/>
      <c r="B56" s="321"/>
      <c r="C56" s="321"/>
      <c r="D56" s="321"/>
      <c r="E56" s="321"/>
      <c r="F56" s="321"/>
      <c r="G56" s="321"/>
      <c r="H56" s="321"/>
      <c r="I56" s="321"/>
      <c r="J56" s="321"/>
      <c r="K56" s="321"/>
      <c r="L56" s="321"/>
      <c r="M56" s="321"/>
      <c r="N56" s="321"/>
      <c r="O56" s="321"/>
      <c r="P56" s="321"/>
      <c r="Q56" s="321"/>
      <c r="R56" s="321"/>
      <c r="S56" s="321"/>
      <c r="T56" s="321"/>
      <c r="U56" s="321"/>
      <c r="V56" s="321"/>
      <c r="W56" s="321"/>
      <c r="X56" s="321"/>
      <c r="Y56" s="321"/>
    </row>
    <row r="57" spans="1:25" ht="12.75" x14ac:dyDescent="0.2">
      <c r="A57" s="321"/>
      <c r="B57" s="321"/>
      <c r="C57" s="321"/>
      <c r="D57" s="321"/>
      <c r="E57" s="321"/>
      <c r="F57" s="321"/>
      <c r="G57" s="321"/>
      <c r="H57" s="321"/>
      <c r="I57" s="321"/>
      <c r="J57" s="321"/>
      <c r="K57" s="321"/>
      <c r="L57" s="321"/>
      <c r="M57" s="321"/>
      <c r="N57" s="321"/>
      <c r="O57" s="321"/>
      <c r="P57" s="321"/>
      <c r="Q57" s="321"/>
      <c r="R57" s="321"/>
      <c r="S57" s="321"/>
      <c r="T57" s="321"/>
      <c r="U57" s="321"/>
      <c r="V57" s="321"/>
      <c r="W57" s="321"/>
      <c r="X57" s="321"/>
      <c r="Y57" s="321"/>
    </row>
    <row r="58" spans="1:25" ht="12.75" x14ac:dyDescent="0.2">
      <c r="A58" s="321"/>
      <c r="B58" s="321"/>
      <c r="C58" s="321"/>
      <c r="D58" s="321"/>
      <c r="E58" s="321"/>
      <c r="F58" s="321"/>
      <c r="G58" s="321"/>
      <c r="H58" s="321"/>
      <c r="I58" s="321"/>
      <c r="J58" s="321"/>
      <c r="K58" s="321"/>
      <c r="L58" s="321"/>
      <c r="M58" s="321"/>
      <c r="N58" s="321"/>
      <c r="O58" s="321"/>
      <c r="P58" s="321"/>
      <c r="Q58" s="321"/>
      <c r="R58" s="321"/>
      <c r="S58" s="321"/>
      <c r="T58" s="321"/>
      <c r="U58" s="321"/>
      <c r="V58" s="321"/>
      <c r="W58" s="321"/>
      <c r="X58" s="321"/>
      <c r="Y58" s="321"/>
    </row>
    <row r="59" spans="1:25" ht="12.75" x14ac:dyDescent="0.2">
      <c r="A59" s="321"/>
      <c r="B59" s="321"/>
      <c r="C59" s="321"/>
      <c r="D59" s="321"/>
      <c r="E59" s="321"/>
      <c r="F59" s="321"/>
      <c r="G59" s="321"/>
      <c r="H59" s="321"/>
      <c r="I59" s="321"/>
      <c r="J59" s="321"/>
      <c r="K59" s="321"/>
      <c r="L59" s="321"/>
      <c r="M59" s="321"/>
      <c r="N59" s="321"/>
      <c r="O59" s="321"/>
      <c r="P59" s="321"/>
      <c r="Q59" s="321"/>
      <c r="R59" s="321"/>
      <c r="S59" s="321"/>
      <c r="T59" s="321"/>
      <c r="U59" s="321"/>
      <c r="V59" s="321"/>
      <c r="W59" s="321"/>
      <c r="X59" s="321"/>
      <c r="Y59" s="321"/>
    </row>
    <row r="60" spans="1:25" ht="12.75" x14ac:dyDescent="0.2">
      <c r="A60" s="321"/>
      <c r="B60" s="321"/>
      <c r="C60" s="321"/>
      <c r="D60" s="321"/>
      <c r="E60" s="321"/>
      <c r="F60" s="321"/>
      <c r="G60" s="321"/>
      <c r="H60" s="321"/>
      <c r="I60" s="321"/>
      <c r="J60" s="321"/>
      <c r="K60" s="321"/>
      <c r="L60" s="321"/>
      <c r="M60" s="321"/>
      <c r="N60" s="321"/>
      <c r="O60" s="321"/>
      <c r="P60" s="321"/>
      <c r="Q60" s="321"/>
      <c r="R60" s="321"/>
      <c r="S60" s="321"/>
      <c r="T60" s="321"/>
      <c r="U60" s="321"/>
      <c r="V60" s="321"/>
      <c r="W60" s="321"/>
      <c r="X60" s="321"/>
      <c r="Y60" s="321"/>
    </row>
    <row r="61" spans="1:25" ht="12.75" x14ac:dyDescent="0.2">
      <c r="A61" s="321"/>
      <c r="B61" s="321"/>
      <c r="C61" s="321"/>
      <c r="D61" s="321"/>
      <c r="E61" s="321"/>
      <c r="F61" s="321"/>
      <c r="G61" s="321"/>
      <c r="H61" s="321"/>
      <c r="I61" s="321"/>
      <c r="J61" s="321"/>
      <c r="K61" s="321"/>
      <c r="L61" s="321"/>
      <c r="M61" s="321"/>
      <c r="N61" s="321"/>
      <c r="O61" s="321"/>
      <c r="P61" s="321"/>
      <c r="Q61" s="321"/>
      <c r="R61" s="321"/>
      <c r="S61" s="321"/>
      <c r="T61" s="321"/>
      <c r="U61" s="321"/>
      <c r="V61" s="321"/>
      <c r="W61" s="321"/>
      <c r="X61" s="321"/>
      <c r="Y61" s="321"/>
    </row>
    <row r="62" spans="1:25" ht="12.75" x14ac:dyDescent="0.2">
      <c r="A62" s="321"/>
      <c r="B62" s="321"/>
      <c r="C62" s="321"/>
      <c r="D62" s="321"/>
      <c r="E62" s="321"/>
      <c r="F62" s="321"/>
      <c r="G62" s="321"/>
      <c r="H62" s="321"/>
      <c r="I62" s="321"/>
      <c r="J62" s="321"/>
      <c r="K62" s="321"/>
      <c r="L62" s="321"/>
      <c r="M62" s="321"/>
      <c r="N62" s="321"/>
      <c r="O62" s="321"/>
      <c r="P62" s="321"/>
      <c r="Q62" s="321"/>
      <c r="R62" s="321"/>
      <c r="S62" s="321"/>
      <c r="T62" s="321"/>
      <c r="U62" s="321"/>
      <c r="V62" s="321"/>
      <c r="W62" s="321"/>
      <c r="X62" s="321"/>
      <c r="Y62" s="321"/>
    </row>
    <row r="63" spans="1:25" ht="12.75" x14ac:dyDescent="0.2">
      <c r="A63" s="321"/>
      <c r="B63" s="321"/>
      <c r="C63" s="321"/>
      <c r="D63" s="321"/>
      <c r="E63" s="321"/>
      <c r="F63" s="321"/>
      <c r="G63" s="321"/>
      <c r="H63" s="321"/>
      <c r="I63" s="321"/>
      <c r="J63" s="321"/>
      <c r="K63" s="321"/>
      <c r="L63" s="321"/>
      <c r="M63" s="321"/>
      <c r="N63" s="321"/>
      <c r="O63" s="321"/>
      <c r="P63" s="321"/>
      <c r="Q63" s="321"/>
      <c r="R63" s="321"/>
      <c r="S63" s="321"/>
      <c r="T63" s="321"/>
      <c r="U63" s="321"/>
      <c r="V63" s="321"/>
      <c r="W63" s="321"/>
      <c r="X63" s="321"/>
      <c r="Y63" s="321"/>
    </row>
    <row r="64" spans="1:25" ht="12.75" x14ac:dyDescent="0.2">
      <c r="A64" s="321"/>
      <c r="B64" s="321"/>
      <c r="C64" s="321"/>
      <c r="D64" s="321"/>
      <c r="E64" s="321"/>
      <c r="F64" s="321"/>
      <c r="G64" s="321"/>
      <c r="H64" s="321"/>
      <c r="I64" s="321"/>
      <c r="J64" s="321"/>
      <c r="K64" s="321"/>
      <c r="L64" s="321"/>
      <c r="M64" s="321"/>
      <c r="N64" s="321"/>
      <c r="O64" s="321"/>
      <c r="P64" s="321"/>
      <c r="Q64" s="321"/>
      <c r="R64" s="321"/>
      <c r="S64" s="321"/>
      <c r="T64" s="321"/>
      <c r="U64" s="321"/>
      <c r="V64" s="321"/>
      <c r="W64" s="321"/>
      <c r="X64" s="321"/>
      <c r="Y64" s="321"/>
    </row>
    <row r="65" spans="1:25" ht="12.75" x14ac:dyDescent="0.2">
      <c r="A65" s="321"/>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21"/>
    </row>
    <row r="66" spans="1:25" ht="12.75" x14ac:dyDescent="0.2">
      <c r="A66" s="321"/>
      <c r="B66" s="321"/>
      <c r="C66" s="321"/>
      <c r="D66" s="321"/>
      <c r="E66" s="321"/>
      <c r="F66" s="321"/>
      <c r="G66" s="321"/>
      <c r="H66" s="321"/>
      <c r="I66" s="321"/>
      <c r="J66" s="321"/>
      <c r="K66" s="321"/>
      <c r="L66" s="321"/>
      <c r="M66" s="321"/>
      <c r="N66" s="321"/>
      <c r="O66" s="321"/>
      <c r="P66" s="321"/>
      <c r="Q66" s="321"/>
      <c r="R66" s="321"/>
      <c r="S66" s="321"/>
      <c r="T66" s="321"/>
      <c r="U66" s="321"/>
      <c r="V66" s="321"/>
      <c r="W66" s="321"/>
      <c r="X66" s="321"/>
      <c r="Y66" s="321"/>
    </row>
    <row r="67" spans="1:25" ht="12.75" x14ac:dyDescent="0.2">
      <c r="A67" s="321"/>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row>
    <row r="68" spans="1:25" ht="12.75" x14ac:dyDescent="0.2">
      <c r="A68" s="321"/>
      <c r="B68" s="321"/>
      <c r="C68" s="321"/>
      <c r="D68" s="321"/>
      <c r="E68" s="321"/>
      <c r="F68" s="321"/>
      <c r="G68" s="321"/>
      <c r="H68" s="321"/>
      <c r="I68" s="321"/>
      <c r="J68" s="321"/>
      <c r="K68" s="321"/>
      <c r="L68" s="321"/>
      <c r="M68" s="321"/>
      <c r="N68" s="321"/>
      <c r="O68" s="321"/>
      <c r="P68" s="321"/>
      <c r="Q68" s="321"/>
      <c r="R68" s="321"/>
      <c r="S68" s="321"/>
      <c r="T68" s="321"/>
      <c r="U68" s="321"/>
      <c r="V68" s="321"/>
      <c r="W68" s="321"/>
      <c r="X68" s="321"/>
      <c r="Y68" s="321"/>
    </row>
    <row r="69" spans="1:25" ht="12.75" x14ac:dyDescent="0.2">
      <c r="A69" s="321"/>
      <c r="B69" s="321"/>
      <c r="C69" s="321"/>
      <c r="D69" s="321"/>
      <c r="E69" s="321"/>
      <c r="F69" s="321"/>
      <c r="G69" s="321"/>
      <c r="H69" s="321"/>
      <c r="I69" s="321"/>
      <c r="J69" s="321"/>
      <c r="K69" s="321"/>
      <c r="L69" s="321"/>
      <c r="M69" s="321"/>
      <c r="N69" s="321"/>
      <c r="O69" s="321"/>
      <c r="P69" s="321"/>
      <c r="Q69" s="321"/>
      <c r="R69" s="321"/>
      <c r="S69" s="321"/>
      <c r="T69" s="321"/>
      <c r="U69" s="321"/>
      <c r="V69" s="321"/>
      <c r="W69" s="321"/>
      <c r="X69" s="321"/>
      <c r="Y69" s="321"/>
    </row>
    <row r="70" spans="1:25" ht="12.75" x14ac:dyDescent="0.2">
      <c r="A70" s="321"/>
      <c r="B70" s="321"/>
      <c r="C70" s="321"/>
      <c r="D70" s="321"/>
      <c r="E70" s="321"/>
      <c r="F70" s="321"/>
      <c r="G70" s="321"/>
      <c r="H70" s="321"/>
      <c r="I70" s="321"/>
      <c r="J70" s="321"/>
      <c r="K70" s="321"/>
      <c r="L70" s="321"/>
      <c r="M70" s="321"/>
      <c r="N70" s="321"/>
      <c r="O70" s="321"/>
      <c r="P70" s="321"/>
      <c r="Q70" s="321"/>
      <c r="R70" s="321"/>
      <c r="S70" s="321"/>
      <c r="T70" s="321"/>
      <c r="U70" s="321"/>
      <c r="V70" s="321"/>
      <c r="W70" s="321"/>
      <c r="X70" s="321"/>
      <c r="Y70" s="321"/>
    </row>
    <row r="71" spans="1:25" ht="12.75" x14ac:dyDescent="0.2">
      <c r="A71" s="321"/>
      <c r="B71" s="321"/>
      <c r="C71" s="321"/>
      <c r="D71" s="321"/>
      <c r="E71" s="321"/>
      <c r="F71" s="321"/>
      <c r="G71" s="321"/>
      <c r="H71" s="321"/>
      <c r="I71" s="321"/>
      <c r="J71" s="321"/>
      <c r="K71" s="321"/>
      <c r="L71" s="321"/>
      <c r="M71" s="321"/>
      <c r="N71" s="321"/>
      <c r="O71" s="321"/>
      <c r="P71" s="321"/>
      <c r="Q71" s="321"/>
      <c r="R71" s="321"/>
      <c r="S71" s="321"/>
      <c r="T71" s="321"/>
      <c r="U71" s="321"/>
      <c r="V71" s="321"/>
      <c r="W71" s="321"/>
      <c r="X71" s="321"/>
      <c r="Y71" s="321"/>
    </row>
    <row r="72" spans="1:25" ht="12.75" x14ac:dyDescent="0.2">
      <c r="A72" s="321"/>
      <c r="B72" s="321"/>
      <c r="C72" s="321"/>
      <c r="D72" s="321"/>
      <c r="E72" s="321"/>
      <c r="F72" s="321"/>
      <c r="G72" s="321"/>
      <c r="H72" s="321"/>
      <c r="I72" s="321"/>
      <c r="J72" s="321"/>
      <c r="K72" s="321"/>
      <c r="L72" s="321"/>
      <c r="M72" s="321"/>
      <c r="N72" s="321"/>
      <c r="O72" s="321"/>
      <c r="P72" s="321"/>
      <c r="Q72" s="321"/>
      <c r="R72" s="321"/>
      <c r="S72" s="321"/>
      <c r="T72" s="321"/>
      <c r="U72" s="321"/>
      <c r="V72" s="321"/>
      <c r="W72" s="321"/>
      <c r="X72" s="321"/>
      <c r="Y72" s="321"/>
    </row>
    <row r="73" spans="1:25" ht="12.75" x14ac:dyDescent="0.2">
      <c r="A73" s="321"/>
      <c r="B73" s="321"/>
      <c r="C73" s="321"/>
      <c r="D73" s="321"/>
      <c r="E73" s="321"/>
      <c r="F73" s="321"/>
      <c r="G73" s="321"/>
      <c r="H73" s="321"/>
      <c r="I73" s="321"/>
      <c r="J73" s="321"/>
      <c r="K73" s="321"/>
      <c r="L73" s="321"/>
      <c r="M73" s="321"/>
      <c r="N73" s="321"/>
      <c r="O73" s="321"/>
      <c r="P73" s="321"/>
      <c r="Q73" s="321"/>
      <c r="R73" s="321"/>
      <c r="S73" s="321"/>
      <c r="T73" s="321"/>
      <c r="U73" s="321"/>
      <c r="V73" s="321"/>
      <c r="W73" s="321"/>
      <c r="X73" s="321"/>
      <c r="Y73" s="321"/>
    </row>
    <row r="74" spans="1:25" ht="12.75" x14ac:dyDescent="0.2">
      <c r="A74" s="321"/>
      <c r="B74" s="321"/>
      <c r="C74" s="321"/>
      <c r="D74" s="321"/>
      <c r="E74" s="321"/>
      <c r="F74" s="321"/>
      <c r="G74" s="321"/>
      <c r="H74" s="321"/>
      <c r="I74" s="321"/>
      <c r="J74" s="321"/>
      <c r="K74" s="321"/>
      <c r="L74" s="321"/>
      <c r="M74" s="321"/>
      <c r="N74" s="321"/>
      <c r="O74" s="321"/>
      <c r="P74" s="321"/>
      <c r="Q74" s="321"/>
      <c r="R74" s="321"/>
      <c r="S74" s="321"/>
      <c r="T74" s="321"/>
      <c r="U74" s="321"/>
      <c r="V74" s="321"/>
      <c r="W74" s="321"/>
      <c r="X74" s="321"/>
      <c r="Y74" s="321"/>
    </row>
    <row r="75" spans="1:25" ht="12.75" x14ac:dyDescent="0.2">
      <c r="A75" s="321"/>
      <c r="B75" s="321"/>
      <c r="C75" s="321"/>
      <c r="D75" s="321"/>
      <c r="E75" s="321"/>
      <c r="F75" s="321"/>
      <c r="G75" s="321"/>
      <c r="H75" s="321"/>
      <c r="I75" s="321"/>
      <c r="J75" s="321"/>
      <c r="K75" s="321"/>
      <c r="L75" s="321"/>
      <c r="M75" s="321"/>
      <c r="N75" s="321"/>
      <c r="O75" s="321"/>
      <c r="P75" s="321"/>
      <c r="Q75" s="321"/>
      <c r="R75" s="321"/>
      <c r="S75" s="321"/>
      <c r="T75" s="321"/>
      <c r="U75" s="321"/>
      <c r="V75" s="321"/>
      <c r="W75" s="321"/>
      <c r="X75" s="321"/>
      <c r="Y75" s="321"/>
    </row>
    <row r="76" spans="1:25" ht="12.75" x14ac:dyDescent="0.2">
      <c r="A76" s="321"/>
      <c r="B76" s="321"/>
      <c r="C76" s="321"/>
      <c r="D76" s="321"/>
      <c r="E76" s="321"/>
      <c r="F76" s="321"/>
      <c r="G76" s="321"/>
      <c r="H76" s="321"/>
      <c r="I76" s="321"/>
      <c r="J76" s="321"/>
      <c r="K76" s="321"/>
      <c r="L76" s="321"/>
      <c r="M76" s="321"/>
      <c r="N76" s="321"/>
      <c r="O76" s="321"/>
      <c r="P76" s="321"/>
      <c r="Q76" s="321"/>
      <c r="R76" s="321"/>
      <c r="S76" s="321"/>
      <c r="T76" s="321"/>
      <c r="U76" s="321"/>
      <c r="V76" s="321"/>
      <c r="W76" s="321"/>
      <c r="X76" s="321"/>
      <c r="Y76" s="321"/>
    </row>
    <row r="77" spans="1:25" ht="12.75" x14ac:dyDescent="0.2">
      <c r="A77" s="321"/>
      <c r="B77" s="321"/>
      <c r="C77" s="321"/>
      <c r="D77" s="321"/>
      <c r="E77" s="321"/>
      <c r="F77" s="321"/>
      <c r="G77" s="321"/>
      <c r="H77" s="321"/>
      <c r="I77" s="321"/>
      <c r="J77" s="321"/>
      <c r="K77" s="321"/>
      <c r="L77" s="321"/>
      <c r="M77" s="321"/>
      <c r="N77" s="321"/>
      <c r="O77" s="321"/>
      <c r="P77" s="321"/>
      <c r="Q77" s="321"/>
      <c r="R77" s="321"/>
      <c r="S77" s="321"/>
      <c r="T77" s="321"/>
      <c r="U77" s="321"/>
      <c r="V77" s="321"/>
      <c r="W77" s="321"/>
      <c r="X77" s="321"/>
      <c r="Y77" s="321"/>
    </row>
    <row r="78" spans="1:25" ht="12.75" x14ac:dyDescent="0.2">
      <c r="A78" s="321"/>
      <c r="B78" s="321"/>
      <c r="C78" s="321"/>
      <c r="D78" s="321"/>
      <c r="E78" s="321"/>
      <c r="F78" s="321"/>
      <c r="G78" s="321"/>
      <c r="H78" s="321"/>
      <c r="I78" s="321"/>
      <c r="J78" s="321"/>
      <c r="K78" s="321"/>
      <c r="L78" s="321"/>
      <c r="M78" s="321"/>
      <c r="N78" s="321"/>
      <c r="O78" s="321"/>
      <c r="P78" s="321"/>
      <c r="Q78" s="321"/>
      <c r="R78" s="321"/>
      <c r="S78" s="321"/>
      <c r="T78" s="321"/>
      <c r="U78" s="321"/>
      <c r="V78" s="321"/>
      <c r="W78" s="321"/>
      <c r="X78" s="321"/>
      <c r="Y78" s="321"/>
    </row>
    <row r="79" spans="1:25" ht="12.75" x14ac:dyDescent="0.2">
      <c r="A79" s="321"/>
      <c r="B79" s="321"/>
      <c r="C79" s="321"/>
      <c r="D79" s="321"/>
      <c r="E79" s="321"/>
      <c r="F79" s="321"/>
      <c r="G79" s="321"/>
      <c r="H79" s="321"/>
      <c r="I79" s="321"/>
      <c r="J79" s="321"/>
      <c r="K79" s="321"/>
      <c r="L79" s="321"/>
      <c r="M79" s="321"/>
      <c r="N79" s="321"/>
      <c r="O79" s="321"/>
      <c r="P79" s="321"/>
      <c r="Q79" s="321"/>
      <c r="R79" s="321"/>
      <c r="S79" s="321"/>
      <c r="T79" s="321"/>
      <c r="U79" s="321"/>
      <c r="V79" s="321"/>
      <c r="W79" s="321"/>
      <c r="X79" s="321"/>
      <c r="Y79" s="321"/>
    </row>
    <row r="80" spans="1:25" ht="12.75" x14ac:dyDescent="0.2">
      <c r="A80" s="321"/>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row>
    <row r="81" spans="1:25" ht="12.75" x14ac:dyDescent="0.2">
      <c r="A81" s="321"/>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row>
    <row r="82" spans="1:25" ht="12.75" x14ac:dyDescent="0.2">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row>
    <row r="83" spans="1:25" ht="12.75" x14ac:dyDescent="0.2">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row>
    <row r="84" spans="1:25" ht="12.75" x14ac:dyDescent="0.2">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row>
    <row r="85" spans="1:25" ht="12.75" x14ac:dyDescent="0.2">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row>
    <row r="86" spans="1:25" ht="12.75" x14ac:dyDescent="0.2">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row>
    <row r="87" spans="1:25" ht="12.75" x14ac:dyDescent="0.2">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row>
    <row r="88" spans="1:25" ht="12.75" x14ac:dyDescent="0.2">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row>
    <row r="89" spans="1:25" ht="12.75" x14ac:dyDescent="0.2">
      <c r="A89" s="321"/>
      <c r="B89" s="321"/>
      <c r="C89" s="321"/>
      <c r="D89" s="321"/>
      <c r="E89" s="321"/>
      <c r="F89" s="321"/>
      <c r="G89" s="321"/>
      <c r="H89" s="321"/>
      <c r="I89" s="321"/>
      <c r="J89" s="321"/>
      <c r="K89" s="321"/>
      <c r="L89" s="321"/>
      <c r="M89" s="321"/>
      <c r="N89" s="321"/>
      <c r="O89" s="321"/>
      <c r="P89" s="321"/>
      <c r="Q89" s="321"/>
      <c r="R89" s="321"/>
      <c r="S89" s="321"/>
      <c r="T89" s="321"/>
      <c r="U89" s="321"/>
      <c r="V89" s="321"/>
      <c r="W89" s="321"/>
      <c r="X89" s="321"/>
      <c r="Y89" s="321"/>
    </row>
    <row r="90" spans="1:25" ht="12.75" x14ac:dyDescent="0.2">
      <c r="A90" s="321"/>
      <c r="B90" s="321"/>
      <c r="C90" s="321"/>
      <c r="D90" s="321"/>
      <c r="E90" s="321"/>
      <c r="F90" s="321"/>
      <c r="G90" s="321"/>
      <c r="H90" s="321"/>
      <c r="I90" s="321"/>
      <c r="J90" s="321"/>
      <c r="K90" s="321"/>
      <c r="L90" s="321"/>
      <c r="M90" s="321"/>
      <c r="N90" s="321"/>
      <c r="O90" s="321"/>
      <c r="P90" s="321"/>
      <c r="Q90" s="321"/>
      <c r="R90" s="321"/>
      <c r="S90" s="321"/>
      <c r="T90" s="321"/>
      <c r="U90" s="321"/>
      <c r="V90" s="321"/>
      <c r="W90" s="321"/>
      <c r="X90" s="321"/>
      <c r="Y90" s="321"/>
    </row>
    <row r="91" spans="1:25" ht="12.75" x14ac:dyDescent="0.2">
      <c r="A91" s="321"/>
      <c r="B91" s="321"/>
      <c r="C91" s="321"/>
      <c r="D91" s="321"/>
      <c r="E91" s="321"/>
      <c r="F91" s="321"/>
      <c r="G91" s="321"/>
      <c r="H91" s="321"/>
      <c r="I91" s="321"/>
      <c r="J91" s="321"/>
      <c r="K91" s="321"/>
      <c r="L91" s="321"/>
      <c r="M91" s="321"/>
      <c r="N91" s="321"/>
      <c r="O91" s="321"/>
      <c r="P91" s="321"/>
      <c r="Q91" s="321"/>
      <c r="R91" s="321"/>
      <c r="S91" s="321"/>
      <c r="T91" s="321"/>
      <c r="U91" s="321"/>
      <c r="V91" s="321"/>
      <c r="W91" s="321"/>
      <c r="X91" s="321"/>
      <c r="Y91" s="321"/>
    </row>
    <row r="92" spans="1:25" ht="12.75" x14ac:dyDescent="0.2">
      <c r="A92" s="321"/>
      <c r="B92" s="321"/>
      <c r="C92" s="321"/>
      <c r="D92" s="321"/>
      <c r="E92" s="321"/>
      <c r="F92" s="321"/>
      <c r="G92" s="321"/>
      <c r="H92" s="321"/>
      <c r="I92" s="321"/>
      <c r="J92" s="321"/>
      <c r="K92" s="321"/>
      <c r="L92" s="321"/>
      <c r="M92" s="321"/>
      <c r="N92" s="321"/>
      <c r="O92" s="321"/>
      <c r="P92" s="321"/>
      <c r="Q92" s="321"/>
      <c r="R92" s="321"/>
      <c r="S92" s="321"/>
      <c r="T92" s="321"/>
      <c r="U92" s="321"/>
      <c r="V92" s="321"/>
      <c r="W92" s="321"/>
      <c r="X92" s="321"/>
      <c r="Y92" s="321"/>
    </row>
    <row r="93" spans="1:25" ht="12.75" x14ac:dyDescent="0.2">
      <c r="A93" s="321"/>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row>
    <row r="94" spans="1:25" ht="12.75" x14ac:dyDescent="0.2">
      <c r="A94" s="321"/>
      <c r="B94" s="321"/>
      <c r="C94" s="321"/>
      <c r="D94" s="321"/>
      <c r="E94" s="321"/>
      <c r="F94" s="321"/>
      <c r="G94" s="321"/>
      <c r="H94" s="321"/>
      <c r="I94" s="321"/>
      <c r="J94" s="321"/>
      <c r="K94" s="321"/>
      <c r="L94" s="321"/>
      <c r="M94" s="321"/>
      <c r="N94" s="321"/>
      <c r="O94" s="321"/>
      <c r="P94" s="321"/>
      <c r="Q94" s="321"/>
      <c r="R94" s="321"/>
      <c r="S94" s="321"/>
      <c r="T94" s="321"/>
      <c r="U94" s="321"/>
      <c r="V94" s="321"/>
      <c r="W94" s="321"/>
      <c r="X94" s="321"/>
      <c r="Y94" s="321"/>
    </row>
    <row r="95" spans="1:25" ht="12.75" x14ac:dyDescent="0.2">
      <c r="A95" s="321"/>
      <c r="B95" s="321"/>
      <c r="C95" s="321"/>
      <c r="D95" s="321"/>
      <c r="E95" s="321"/>
      <c r="F95" s="321"/>
      <c r="G95" s="321"/>
      <c r="H95" s="321"/>
      <c r="I95" s="321"/>
      <c r="J95" s="321"/>
      <c r="K95" s="321"/>
      <c r="L95" s="321"/>
      <c r="M95" s="321"/>
      <c r="N95" s="321"/>
      <c r="O95" s="321"/>
      <c r="P95" s="321"/>
      <c r="Q95" s="321"/>
      <c r="R95" s="321"/>
      <c r="S95" s="321"/>
      <c r="T95" s="321"/>
      <c r="U95" s="321"/>
      <c r="V95" s="321"/>
      <c r="W95" s="321"/>
      <c r="X95" s="321"/>
      <c r="Y95" s="321"/>
    </row>
    <row r="96" spans="1:25" ht="12.75" x14ac:dyDescent="0.2">
      <c r="A96" s="321"/>
      <c r="B96" s="321"/>
      <c r="C96" s="321"/>
      <c r="D96" s="321"/>
      <c r="E96" s="321"/>
      <c r="F96" s="321"/>
      <c r="G96" s="321"/>
      <c r="H96" s="321"/>
      <c r="I96" s="321"/>
      <c r="J96" s="321"/>
      <c r="K96" s="321"/>
      <c r="L96" s="321"/>
      <c r="M96" s="321"/>
      <c r="N96" s="321"/>
      <c r="O96" s="321"/>
      <c r="P96" s="321"/>
      <c r="Q96" s="321"/>
      <c r="R96" s="321"/>
      <c r="S96" s="321"/>
      <c r="T96" s="321"/>
      <c r="U96" s="321"/>
      <c r="V96" s="321"/>
      <c r="W96" s="321"/>
      <c r="X96" s="321"/>
      <c r="Y96" s="321"/>
    </row>
    <row r="97" spans="1:25" ht="12.75" x14ac:dyDescent="0.2">
      <c r="A97" s="321"/>
      <c r="B97" s="321"/>
      <c r="C97" s="321"/>
      <c r="D97" s="321"/>
      <c r="E97" s="321"/>
      <c r="F97" s="321"/>
      <c r="G97" s="321"/>
      <c r="H97" s="321"/>
      <c r="I97" s="321"/>
      <c r="J97" s="321"/>
      <c r="K97" s="321"/>
      <c r="L97" s="321"/>
      <c r="M97" s="321"/>
      <c r="N97" s="321"/>
      <c r="O97" s="321"/>
      <c r="P97" s="321"/>
      <c r="Q97" s="321"/>
      <c r="R97" s="321"/>
      <c r="S97" s="321"/>
      <c r="T97" s="321"/>
      <c r="U97" s="321"/>
      <c r="V97" s="321"/>
      <c r="W97" s="321"/>
      <c r="X97" s="321"/>
      <c r="Y97" s="321"/>
    </row>
    <row r="98" spans="1:25" ht="12.75" x14ac:dyDescent="0.2">
      <c r="A98" s="321"/>
      <c r="B98" s="321"/>
      <c r="C98" s="321"/>
      <c r="D98" s="321"/>
      <c r="E98" s="321"/>
      <c r="F98" s="321"/>
      <c r="G98" s="321"/>
      <c r="H98" s="321"/>
      <c r="I98" s="321"/>
      <c r="J98" s="321"/>
      <c r="K98" s="321"/>
      <c r="L98" s="321"/>
      <c r="M98" s="321"/>
      <c r="N98" s="321"/>
      <c r="O98" s="321"/>
      <c r="P98" s="321"/>
      <c r="Q98" s="321"/>
      <c r="R98" s="321"/>
      <c r="S98" s="321"/>
      <c r="T98" s="321"/>
      <c r="U98" s="321"/>
      <c r="V98" s="321"/>
      <c r="W98" s="321"/>
      <c r="X98" s="321"/>
      <c r="Y98" s="321"/>
    </row>
    <row r="99" spans="1:25" ht="12.75" x14ac:dyDescent="0.2">
      <c r="A99" s="321"/>
      <c r="B99" s="321"/>
      <c r="C99" s="321"/>
      <c r="D99" s="321"/>
      <c r="E99" s="321"/>
      <c r="F99" s="321"/>
      <c r="G99" s="321"/>
      <c r="H99" s="321"/>
      <c r="I99" s="321"/>
      <c r="J99" s="321"/>
      <c r="K99" s="321"/>
      <c r="L99" s="321"/>
      <c r="M99" s="321"/>
      <c r="N99" s="321"/>
      <c r="O99" s="321"/>
      <c r="P99" s="321"/>
      <c r="Q99" s="321"/>
      <c r="R99" s="321"/>
      <c r="S99" s="321"/>
      <c r="T99" s="321"/>
      <c r="U99" s="321"/>
      <c r="V99" s="321"/>
      <c r="W99" s="321"/>
      <c r="X99" s="321"/>
      <c r="Y99" s="321"/>
    </row>
    <row r="100" spans="1:25" ht="12.75" x14ac:dyDescent="0.2">
      <c r="A100" s="321"/>
      <c r="B100" s="321"/>
      <c r="C100" s="321"/>
      <c r="D100" s="321"/>
      <c r="E100" s="321"/>
      <c r="F100" s="321"/>
      <c r="G100" s="321"/>
      <c r="H100" s="321"/>
      <c r="I100" s="321"/>
      <c r="J100" s="321"/>
      <c r="K100" s="321"/>
      <c r="L100" s="321"/>
      <c r="M100" s="321"/>
      <c r="N100" s="321"/>
      <c r="O100" s="321"/>
      <c r="P100" s="321"/>
      <c r="Q100" s="321"/>
      <c r="R100" s="321"/>
      <c r="S100" s="321"/>
      <c r="T100" s="321"/>
      <c r="U100" s="321"/>
      <c r="V100" s="321"/>
      <c r="W100" s="321"/>
      <c r="X100" s="321"/>
      <c r="Y100" s="321"/>
    </row>
    <row r="101" spans="1:25" ht="12.75" x14ac:dyDescent="0.2">
      <c r="A101" s="321"/>
      <c r="B101" s="321"/>
      <c r="C101" s="321"/>
      <c r="D101" s="321"/>
      <c r="E101" s="321"/>
      <c r="F101" s="321"/>
      <c r="G101" s="321"/>
      <c r="H101" s="321"/>
      <c r="I101" s="321"/>
      <c r="J101" s="321"/>
      <c r="K101" s="321"/>
      <c r="L101" s="321"/>
      <c r="M101" s="321"/>
      <c r="N101" s="321"/>
      <c r="O101" s="321"/>
      <c r="P101" s="321"/>
      <c r="Q101" s="321"/>
      <c r="R101" s="321"/>
      <c r="S101" s="321"/>
      <c r="T101" s="321"/>
      <c r="U101" s="321"/>
      <c r="V101" s="321"/>
      <c r="W101" s="321"/>
      <c r="X101" s="321"/>
      <c r="Y101" s="321"/>
    </row>
    <row r="102" spans="1:25" ht="12.75" x14ac:dyDescent="0.2">
      <c r="A102" s="321"/>
      <c r="B102" s="321"/>
      <c r="C102" s="321"/>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row>
    <row r="103" spans="1:25" ht="12.75" x14ac:dyDescent="0.2">
      <c r="A103" s="321"/>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row>
    <row r="104" spans="1:25" ht="12.75" x14ac:dyDescent="0.2">
      <c r="A104" s="321"/>
      <c r="B104" s="321"/>
      <c r="C104" s="321"/>
      <c r="D104" s="321"/>
      <c r="E104" s="321"/>
      <c r="F104" s="321"/>
      <c r="G104" s="321"/>
      <c r="H104" s="321"/>
      <c r="I104" s="321"/>
      <c r="J104" s="321"/>
      <c r="K104" s="321"/>
      <c r="L104" s="321"/>
      <c r="M104" s="321"/>
      <c r="N104" s="321"/>
      <c r="O104" s="321"/>
      <c r="P104" s="321"/>
      <c r="Q104" s="321"/>
      <c r="R104" s="321"/>
      <c r="S104" s="321"/>
      <c r="T104" s="321"/>
      <c r="U104" s="321"/>
      <c r="V104" s="321"/>
      <c r="W104" s="321"/>
      <c r="X104" s="321"/>
      <c r="Y104" s="321"/>
    </row>
    <row r="105" spans="1:25" ht="12.75" x14ac:dyDescent="0.2">
      <c r="A105" s="321"/>
      <c r="B105" s="321"/>
      <c r="C105" s="321"/>
      <c r="D105" s="321"/>
      <c r="E105" s="321"/>
      <c r="F105" s="321"/>
      <c r="G105" s="321"/>
      <c r="H105" s="321"/>
      <c r="I105" s="321"/>
      <c r="J105" s="321"/>
      <c r="K105" s="321"/>
      <c r="L105" s="321"/>
      <c r="M105" s="321"/>
      <c r="N105" s="321"/>
      <c r="O105" s="321"/>
      <c r="P105" s="321"/>
      <c r="Q105" s="321"/>
      <c r="R105" s="321"/>
      <c r="S105" s="321"/>
      <c r="T105" s="321"/>
      <c r="U105" s="321"/>
      <c r="V105" s="321"/>
      <c r="W105" s="321"/>
      <c r="X105" s="321"/>
      <c r="Y105" s="321"/>
    </row>
    <row r="106" spans="1:25" ht="12.75" x14ac:dyDescent="0.2">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row>
    <row r="107" spans="1:25" ht="12.75" x14ac:dyDescent="0.2">
      <c r="A107" s="321"/>
      <c r="B107" s="321"/>
      <c r="C107" s="321"/>
      <c r="D107" s="321"/>
      <c r="E107" s="321"/>
      <c r="F107" s="321"/>
      <c r="G107" s="321"/>
      <c r="H107" s="321"/>
      <c r="I107" s="321"/>
      <c r="J107" s="321"/>
      <c r="K107" s="321"/>
      <c r="L107" s="321"/>
      <c r="M107" s="321"/>
      <c r="N107" s="321"/>
      <c r="O107" s="321"/>
      <c r="P107" s="321"/>
      <c r="Q107" s="321"/>
      <c r="R107" s="321"/>
      <c r="S107" s="321"/>
      <c r="T107" s="321"/>
      <c r="U107" s="321"/>
      <c r="V107" s="321"/>
      <c r="W107" s="321"/>
      <c r="X107" s="321"/>
      <c r="Y107" s="321"/>
    </row>
    <row r="108" spans="1:25" ht="12.75" x14ac:dyDescent="0.2">
      <c r="A108" s="321"/>
      <c r="B108" s="321"/>
      <c r="C108" s="321"/>
      <c r="D108" s="321"/>
      <c r="E108" s="321"/>
      <c r="F108" s="321"/>
      <c r="G108" s="321"/>
      <c r="H108" s="321"/>
      <c r="I108" s="321"/>
      <c r="J108" s="321"/>
      <c r="K108" s="321"/>
      <c r="L108" s="321"/>
      <c r="M108" s="321"/>
      <c r="N108" s="321"/>
      <c r="O108" s="321"/>
      <c r="P108" s="321"/>
      <c r="Q108" s="321"/>
      <c r="R108" s="321"/>
      <c r="S108" s="321"/>
      <c r="T108" s="321"/>
      <c r="U108" s="321"/>
      <c r="V108" s="321"/>
      <c r="W108" s="321"/>
      <c r="X108" s="321"/>
      <c r="Y108" s="321"/>
    </row>
    <row r="109" spans="1:25" ht="12.75" x14ac:dyDescent="0.2">
      <c r="A109" s="321"/>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1"/>
    </row>
    <row r="110" spans="1:25" ht="12.75" x14ac:dyDescent="0.2">
      <c r="A110" s="321"/>
      <c r="B110" s="321"/>
      <c r="C110" s="321"/>
      <c r="D110" s="321"/>
      <c r="E110" s="321"/>
      <c r="F110" s="321"/>
      <c r="G110" s="321"/>
      <c r="H110" s="321"/>
      <c r="I110" s="321"/>
      <c r="J110" s="321"/>
      <c r="K110" s="321"/>
      <c r="L110" s="321"/>
      <c r="M110" s="321"/>
      <c r="N110" s="321"/>
      <c r="O110" s="321"/>
      <c r="P110" s="321"/>
      <c r="Q110" s="321"/>
      <c r="R110" s="321"/>
      <c r="S110" s="321"/>
      <c r="T110" s="321"/>
      <c r="U110" s="321"/>
      <c r="V110" s="321"/>
      <c r="W110" s="321"/>
      <c r="X110" s="321"/>
      <c r="Y110" s="321"/>
    </row>
    <row r="111" spans="1:25" ht="12.75" x14ac:dyDescent="0.2">
      <c r="A111" s="321"/>
      <c r="B111" s="321"/>
      <c r="C111" s="321"/>
      <c r="D111" s="321"/>
      <c r="E111" s="321"/>
      <c r="F111" s="321"/>
      <c r="G111" s="321"/>
      <c r="H111" s="321"/>
      <c r="I111" s="321"/>
      <c r="J111" s="321"/>
      <c r="K111" s="321"/>
      <c r="L111" s="321"/>
      <c r="M111" s="321"/>
      <c r="N111" s="321"/>
      <c r="O111" s="321"/>
      <c r="P111" s="321"/>
      <c r="Q111" s="321"/>
      <c r="R111" s="321"/>
      <c r="S111" s="321"/>
      <c r="T111" s="321"/>
      <c r="U111" s="321"/>
      <c r="V111" s="321"/>
      <c r="W111" s="321"/>
      <c r="X111" s="321"/>
      <c r="Y111" s="321"/>
    </row>
    <row r="112" spans="1:25" ht="12.75" x14ac:dyDescent="0.2">
      <c r="A112" s="321"/>
      <c r="B112" s="321"/>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row>
    <row r="113" spans="1:25" ht="12.75" x14ac:dyDescent="0.2">
      <c r="A113" s="321"/>
      <c r="B113" s="321"/>
      <c r="C113" s="321"/>
      <c r="D113" s="321"/>
      <c r="E113" s="321"/>
      <c r="F113" s="321"/>
      <c r="G113" s="321"/>
      <c r="H113" s="321"/>
      <c r="I113" s="321"/>
      <c r="J113" s="321"/>
      <c r="K113" s="321"/>
      <c r="L113" s="321"/>
      <c r="M113" s="321"/>
      <c r="N113" s="321"/>
      <c r="O113" s="321"/>
      <c r="P113" s="321"/>
      <c r="Q113" s="321"/>
      <c r="R113" s="321"/>
      <c r="S113" s="321"/>
      <c r="T113" s="321"/>
      <c r="U113" s="321"/>
      <c r="V113" s="321"/>
      <c r="W113" s="321"/>
      <c r="X113" s="321"/>
      <c r="Y113" s="321"/>
    </row>
    <row r="114" spans="1:25" ht="12.75" x14ac:dyDescent="0.2">
      <c r="A114" s="321"/>
      <c r="B114" s="321"/>
      <c r="C114" s="321"/>
      <c r="D114" s="321"/>
      <c r="E114" s="321"/>
      <c r="F114" s="321"/>
      <c r="G114" s="321"/>
      <c r="H114" s="321"/>
      <c r="I114" s="321"/>
      <c r="J114" s="321"/>
      <c r="K114" s="321"/>
      <c r="L114" s="321"/>
      <c r="M114" s="321"/>
      <c r="N114" s="321"/>
      <c r="O114" s="321"/>
      <c r="P114" s="321"/>
      <c r="Q114" s="321"/>
      <c r="R114" s="321"/>
      <c r="S114" s="321"/>
      <c r="T114" s="321"/>
      <c r="U114" s="321"/>
      <c r="V114" s="321"/>
      <c r="W114" s="321"/>
      <c r="X114" s="321"/>
      <c r="Y114" s="321"/>
    </row>
    <row r="115" spans="1:25" ht="12.75" x14ac:dyDescent="0.2">
      <c r="A115" s="321"/>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row>
    <row r="116" spans="1:25" ht="12.75" x14ac:dyDescent="0.2">
      <c r="A116" s="321"/>
      <c r="B116" s="321"/>
      <c r="C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row>
    <row r="117" spans="1:25" ht="12.75" x14ac:dyDescent="0.2">
      <c r="A117" s="321"/>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1"/>
    </row>
    <row r="118" spans="1:25" ht="12.75" x14ac:dyDescent="0.2">
      <c r="A118" s="321"/>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row>
    <row r="119" spans="1:25" ht="12.75" x14ac:dyDescent="0.2">
      <c r="A119" s="321"/>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row>
    <row r="120" spans="1:25" ht="12.75" x14ac:dyDescent="0.2">
      <c r="A120" s="321"/>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row>
    <row r="121" spans="1:25" ht="12.75" x14ac:dyDescent="0.2">
      <c r="A121" s="321"/>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row>
    <row r="122" spans="1:25" ht="12.75" x14ac:dyDescent="0.2">
      <c r="A122" s="321"/>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row>
    <row r="123" spans="1:25" ht="12.75" x14ac:dyDescent="0.2">
      <c r="A123" s="321"/>
      <c r="B123" s="321"/>
      <c r="C123" s="321"/>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row>
    <row r="124" spans="1:25" ht="12.75" x14ac:dyDescent="0.2">
      <c r="A124" s="321"/>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row>
    <row r="125" spans="1:25" ht="12.75" x14ac:dyDescent="0.2">
      <c r="A125" s="321"/>
      <c r="B125" s="321"/>
      <c r="C125" s="321"/>
      <c r="D125" s="321"/>
      <c r="E125" s="321"/>
      <c r="F125" s="321"/>
      <c r="G125" s="321"/>
      <c r="H125" s="321"/>
      <c r="I125" s="321"/>
      <c r="J125" s="321"/>
      <c r="K125" s="321"/>
      <c r="L125" s="321"/>
      <c r="M125" s="321"/>
      <c r="N125" s="321"/>
      <c r="O125" s="321"/>
      <c r="P125" s="321"/>
      <c r="Q125" s="321"/>
      <c r="R125" s="321"/>
      <c r="S125" s="321"/>
      <c r="T125" s="321"/>
      <c r="U125" s="321"/>
      <c r="V125" s="321"/>
      <c r="W125" s="321"/>
      <c r="X125" s="321"/>
      <c r="Y125" s="321"/>
    </row>
    <row r="126" spans="1:25" ht="12.75" x14ac:dyDescent="0.2">
      <c r="A126" s="321"/>
      <c r="B126" s="321"/>
      <c r="C126" s="321"/>
      <c r="D126" s="321"/>
      <c r="E126" s="321"/>
      <c r="F126" s="321"/>
      <c r="G126" s="321"/>
      <c r="H126" s="321"/>
      <c r="I126" s="321"/>
      <c r="J126" s="321"/>
      <c r="K126" s="321"/>
      <c r="L126" s="321"/>
      <c r="M126" s="321"/>
      <c r="N126" s="321"/>
      <c r="O126" s="321"/>
      <c r="P126" s="321"/>
      <c r="Q126" s="321"/>
      <c r="R126" s="321"/>
      <c r="S126" s="321"/>
      <c r="T126" s="321"/>
      <c r="U126" s="321"/>
      <c r="V126" s="321"/>
      <c r="W126" s="321"/>
      <c r="X126" s="321"/>
      <c r="Y126" s="321"/>
    </row>
    <row r="127" spans="1:25" ht="12.75" x14ac:dyDescent="0.2">
      <c r="A127" s="321"/>
      <c r="B127" s="321"/>
      <c r="C127" s="321"/>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row>
    <row r="128" spans="1:25" ht="12.75" x14ac:dyDescent="0.2">
      <c r="A128" s="321"/>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row>
    <row r="129" spans="1:25" ht="12.75" x14ac:dyDescent="0.2">
      <c r="A129" s="321"/>
      <c r="B129" s="321"/>
      <c r="C129" s="321"/>
      <c r="D129" s="321"/>
      <c r="E129" s="321"/>
      <c r="F129" s="321"/>
      <c r="G129" s="321"/>
      <c r="H129" s="321"/>
      <c r="I129" s="321"/>
      <c r="J129" s="321"/>
      <c r="K129" s="321"/>
      <c r="L129" s="321"/>
      <c r="M129" s="321"/>
      <c r="N129" s="321"/>
      <c r="O129" s="321"/>
      <c r="P129" s="321"/>
      <c r="Q129" s="321"/>
      <c r="R129" s="321"/>
      <c r="S129" s="321"/>
      <c r="T129" s="321"/>
      <c r="U129" s="321"/>
      <c r="V129" s="321"/>
      <c r="W129" s="321"/>
      <c r="X129" s="321"/>
      <c r="Y129" s="321"/>
    </row>
    <row r="130" spans="1:25" ht="12.75" x14ac:dyDescent="0.2">
      <c r="A130" s="321"/>
      <c r="B130" s="321"/>
      <c r="C130" s="321"/>
      <c r="D130" s="321"/>
      <c r="E130" s="321"/>
      <c r="F130" s="321"/>
      <c r="G130" s="321"/>
      <c r="H130" s="321"/>
      <c r="I130" s="321"/>
      <c r="J130" s="321"/>
      <c r="K130" s="321"/>
      <c r="L130" s="321"/>
      <c r="M130" s="321"/>
      <c r="N130" s="321"/>
      <c r="O130" s="321"/>
      <c r="P130" s="321"/>
      <c r="Q130" s="321"/>
      <c r="R130" s="321"/>
      <c r="S130" s="321"/>
      <c r="T130" s="321"/>
      <c r="U130" s="321"/>
      <c r="V130" s="321"/>
      <c r="W130" s="321"/>
      <c r="X130" s="321"/>
      <c r="Y130" s="321"/>
    </row>
    <row r="131" spans="1:25" ht="12.75" x14ac:dyDescent="0.2">
      <c r="A131" s="321"/>
      <c r="B131" s="321"/>
      <c r="C131" s="321"/>
      <c r="D131" s="321"/>
      <c r="E131" s="321"/>
      <c r="F131" s="321"/>
      <c r="G131" s="321"/>
      <c r="H131" s="321"/>
      <c r="I131" s="321"/>
      <c r="J131" s="321"/>
      <c r="K131" s="321"/>
      <c r="L131" s="321"/>
      <c r="M131" s="321"/>
      <c r="N131" s="321"/>
      <c r="O131" s="321"/>
      <c r="P131" s="321"/>
      <c r="Q131" s="321"/>
      <c r="R131" s="321"/>
      <c r="S131" s="321"/>
      <c r="T131" s="321"/>
      <c r="U131" s="321"/>
      <c r="V131" s="321"/>
      <c r="W131" s="321"/>
      <c r="X131" s="321"/>
      <c r="Y131" s="321"/>
    </row>
    <row r="132" spans="1:25" ht="12.75" x14ac:dyDescent="0.2">
      <c r="A132" s="321"/>
      <c r="B132" s="321"/>
      <c r="C132" s="321"/>
      <c r="D132" s="321"/>
      <c r="E132" s="321"/>
      <c r="F132" s="321"/>
      <c r="G132" s="321"/>
      <c r="H132" s="321"/>
      <c r="I132" s="321"/>
      <c r="J132" s="321"/>
      <c r="K132" s="321"/>
      <c r="L132" s="321"/>
      <c r="M132" s="321"/>
      <c r="N132" s="321"/>
      <c r="O132" s="321"/>
      <c r="P132" s="321"/>
      <c r="Q132" s="321"/>
      <c r="R132" s="321"/>
      <c r="S132" s="321"/>
      <c r="T132" s="321"/>
      <c r="U132" s="321"/>
      <c r="V132" s="321"/>
      <c r="W132" s="321"/>
      <c r="X132" s="321"/>
      <c r="Y132" s="321"/>
    </row>
    <row r="133" spans="1:25" ht="12.75" x14ac:dyDescent="0.2">
      <c r="A133" s="321"/>
      <c r="B133" s="321"/>
      <c r="C133" s="321"/>
      <c r="D133" s="321"/>
      <c r="E133" s="321"/>
      <c r="F133" s="321"/>
      <c r="G133" s="321"/>
      <c r="H133" s="321"/>
      <c r="I133" s="321"/>
      <c r="J133" s="321"/>
      <c r="K133" s="321"/>
      <c r="L133" s="321"/>
      <c r="M133" s="321"/>
      <c r="N133" s="321"/>
      <c r="O133" s="321"/>
      <c r="P133" s="321"/>
      <c r="Q133" s="321"/>
      <c r="R133" s="321"/>
      <c r="S133" s="321"/>
      <c r="T133" s="321"/>
      <c r="U133" s="321"/>
      <c r="V133" s="321"/>
      <c r="W133" s="321"/>
      <c r="X133" s="321"/>
      <c r="Y133" s="321"/>
    </row>
    <row r="134" spans="1:25" ht="12.75" x14ac:dyDescent="0.2">
      <c r="A134" s="321"/>
      <c r="B134" s="321"/>
      <c r="C134" s="321"/>
      <c r="D134" s="321"/>
      <c r="E134" s="321"/>
      <c r="F134" s="321"/>
      <c r="G134" s="321"/>
      <c r="H134" s="321"/>
      <c r="I134" s="321"/>
      <c r="J134" s="321"/>
      <c r="K134" s="321"/>
      <c r="L134" s="321"/>
      <c r="M134" s="321"/>
      <c r="N134" s="321"/>
      <c r="O134" s="321"/>
      <c r="P134" s="321"/>
      <c r="Q134" s="321"/>
      <c r="R134" s="321"/>
      <c r="S134" s="321"/>
      <c r="T134" s="321"/>
      <c r="U134" s="321"/>
      <c r="V134" s="321"/>
      <c r="W134" s="321"/>
      <c r="X134" s="321"/>
      <c r="Y134" s="321"/>
    </row>
    <row r="135" spans="1:25" ht="12.75" x14ac:dyDescent="0.2">
      <c r="A135" s="321"/>
      <c r="B135" s="321"/>
      <c r="C135" s="321"/>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row>
    <row r="136" spans="1:25" ht="12.75" x14ac:dyDescent="0.2">
      <c r="A136" s="321"/>
      <c r="B136" s="321"/>
      <c r="C136" s="321"/>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row>
    <row r="137" spans="1:25" ht="12.75" x14ac:dyDescent="0.2">
      <c r="A137" s="321"/>
      <c r="B137" s="321"/>
      <c r="C137" s="321"/>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row>
    <row r="138" spans="1:25" ht="12.75" x14ac:dyDescent="0.2">
      <c r="A138" s="321"/>
      <c r="B138" s="321"/>
      <c r="C138" s="321"/>
      <c r="D138" s="321"/>
      <c r="E138" s="321"/>
      <c r="F138" s="321"/>
      <c r="G138" s="321"/>
      <c r="H138" s="321"/>
      <c r="I138" s="321"/>
      <c r="J138" s="321"/>
      <c r="K138" s="321"/>
      <c r="L138" s="321"/>
      <c r="M138" s="321"/>
      <c r="N138" s="321"/>
      <c r="O138" s="321"/>
      <c r="P138" s="321"/>
      <c r="Q138" s="321"/>
      <c r="R138" s="321"/>
      <c r="S138" s="321"/>
      <c r="T138" s="321"/>
      <c r="U138" s="321"/>
      <c r="V138" s="321"/>
      <c r="W138" s="321"/>
      <c r="X138" s="321"/>
      <c r="Y138" s="321"/>
    </row>
    <row r="139" spans="1:25" ht="12.75" x14ac:dyDescent="0.2">
      <c r="A139" s="321"/>
      <c r="B139" s="321"/>
      <c r="C139" s="321"/>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row>
    <row r="140" spans="1:25" ht="12.75" x14ac:dyDescent="0.2">
      <c r="A140" s="321"/>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row>
    <row r="141" spans="1:25" ht="12.75" x14ac:dyDescent="0.2">
      <c r="A141" s="321"/>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row>
    <row r="142" spans="1:25" ht="12.75" x14ac:dyDescent="0.2">
      <c r="A142" s="321"/>
      <c r="B142" s="321"/>
      <c r="C142" s="321"/>
      <c r="D142" s="321"/>
      <c r="E142" s="321"/>
      <c r="F142" s="321"/>
      <c r="G142" s="321"/>
      <c r="H142" s="321"/>
      <c r="I142" s="321"/>
      <c r="J142" s="321"/>
      <c r="K142" s="321"/>
      <c r="L142" s="321"/>
      <c r="M142" s="321"/>
      <c r="N142" s="321"/>
      <c r="O142" s="321"/>
      <c r="P142" s="321"/>
      <c r="Q142" s="321"/>
      <c r="R142" s="321"/>
      <c r="S142" s="321"/>
      <c r="T142" s="321"/>
      <c r="U142" s="321"/>
      <c r="V142" s="321"/>
      <c r="W142" s="321"/>
      <c r="X142" s="321"/>
      <c r="Y142" s="321"/>
    </row>
    <row r="143" spans="1:25" ht="12.75" x14ac:dyDescent="0.2">
      <c r="A143" s="321"/>
      <c r="B143" s="321"/>
      <c r="C143" s="321"/>
      <c r="D143" s="321"/>
      <c r="E143" s="321"/>
      <c r="F143" s="321"/>
      <c r="G143" s="321"/>
      <c r="H143" s="321"/>
      <c r="I143" s="321"/>
      <c r="J143" s="321"/>
      <c r="K143" s="321"/>
      <c r="L143" s="321"/>
      <c r="M143" s="321"/>
      <c r="N143" s="321"/>
      <c r="O143" s="321"/>
      <c r="P143" s="321"/>
      <c r="Q143" s="321"/>
      <c r="R143" s="321"/>
      <c r="S143" s="321"/>
      <c r="T143" s="321"/>
      <c r="U143" s="321"/>
      <c r="V143" s="321"/>
      <c r="W143" s="321"/>
      <c r="X143" s="321"/>
      <c r="Y143" s="321"/>
    </row>
    <row r="144" spans="1:25" ht="12.75" x14ac:dyDescent="0.2">
      <c r="A144" s="321"/>
      <c r="B144" s="321"/>
      <c r="C144" s="321"/>
      <c r="D144" s="321"/>
      <c r="E144" s="321"/>
      <c r="F144" s="321"/>
      <c r="G144" s="321"/>
      <c r="H144" s="321"/>
      <c r="I144" s="321"/>
      <c r="J144" s="321"/>
      <c r="K144" s="321"/>
      <c r="L144" s="321"/>
      <c r="M144" s="321"/>
      <c r="N144" s="321"/>
      <c r="O144" s="321"/>
      <c r="P144" s="321"/>
      <c r="Q144" s="321"/>
      <c r="R144" s="321"/>
      <c r="S144" s="321"/>
      <c r="T144" s="321"/>
      <c r="U144" s="321"/>
      <c r="V144" s="321"/>
      <c r="W144" s="321"/>
      <c r="X144" s="321"/>
      <c r="Y144" s="321"/>
    </row>
    <row r="145" spans="1:25" ht="12.75" x14ac:dyDescent="0.2">
      <c r="A145" s="321"/>
      <c r="B145" s="321"/>
      <c r="C145" s="321"/>
      <c r="D145" s="321"/>
      <c r="E145" s="321"/>
      <c r="F145" s="321"/>
      <c r="G145" s="321"/>
      <c r="H145" s="321"/>
      <c r="I145" s="321"/>
      <c r="J145" s="321"/>
      <c r="K145" s="321"/>
      <c r="L145" s="321"/>
      <c r="M145" s="321"/>
      <c r="N145" s="321"/>
      <c r="O145" s="321"/>
      <c r="P145" s="321"/>
      <c r="Q145" s="321"/>
      <c r="R145" s="321"/>
      <c r="S145" s="321"/>
      <c r="T145" s="321"/>
      <c r="U145" s="321"/>
      <c r="V145" s="321"/>
      <c r="W145" s="321"/>
      <c r="X145" s="321"/>
      <c r="Y145" s="321"/>
    </row>
    <row r="146" spans="1:25" ht="12.75" x14ac:dyDescent="0.2">
      <c r="A146" s="321"/>
      <c r="B146" s="321"/>
      <c r="C146" s="321"/>
      <c r="D146" s="321"/>
      <c r="E146" s="321"/>
      <c r="F146" s="321"/>
      <c r="G146" s="321"/>
      <c r="H146" s="321"/>
      <c r="I146" s="321"/>
      <c r="J146" s="321"/>
      <c r="K146" s="321"/>
      <c r="L146" s="321"/>
      <c r="M146" s="321"/>
      <c r="N146" s="321"/>
      <c r="O146" s="321"/>
      <c r="P146" s="321"/>
      <c r="Q146" s="321"/>
      <c r="R146" s="321"/>
      <c r="S146" s="321"/>
      <c r="T146" s="321"/>
      <c r="U146" s="321"/>
      <c r="V146" s="321"/>
      <c r="W146" s="321"/>
      <c r="X146" s="321"/>
      <c r="Y146" s="321"/>
    </row>
    <row r="147" spans="1:25" ht="12.75" x14ac:dyDescent="0.2">
      <c r="A147" s="321"/>
      <c r="B147" s="321"/>
      <c r="C147" s="321"/>
      <c r="D147" s="321"/>
      <c r="E147" s="321"/>
      <c r="F147" s="321"/>
      <c r="G147" s="321"/>
      <c r="H147" s="321"/>
      <c r="I147" s="321"/>
      <c r="J147" s="321"/>
      <c r="K147" s="321"/>
      <c r="L147" s="321"/>
      <c r="M147" s="321"/>
      <c r="N147" s="321"/>
      <c r="O147" s="321"/>
      <c r="P147" s="321"/>
      <c r="Q147" s="321"/>
      <c r="R147" s="321"/>
      <c r="S147" s="321"/>
      <c r="T147" s="321"/>
      <c r="U147" s="321"/>
      <c r="V147" s="321"/>
      <c r="W147" s="321"/>
      <c r="X147" s="321"/>
      <c r="Y147" s="321"/>
    </row>
    <row r="148" spans="1:25" ht="12.75" x14ac:dyDescent="0.2">
      <c r="A148" s="321"/>
      <c r="B148" s="321"/>
      <c r="C148" s="321"/>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row>
    <row r="149" spans="1:25" ht="12.75" x14ac:dyDescent="0.2">
      <c r="A149" s="321"/>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row>
    <row r="150" spans="1:25" ht="12.75" x14ac:dyDescent="0.2">
      <c r="A150" s="321"/>
      <c r="B150" s="321"/>
      <c r="C150" s="321"/>
      <c r="D150" s="321"/>
      <c r="E150" s="321"/>
      <c r="F150" s="321"/>
      <c r="G150" s="321"/>
      <c r="H150" s="321"/>
      <c r="I150" s="321"/>
      <c r="J150" s="321"/>
      <c r="K150" s="321"/>
      <c r="L150" s="321"/>
      <c r="M150" s="321"/>
      <c r="N150" s="321"/>
      <c r="O150" s="321"/>
      <c r="P150" s="321"/>
      <c r="Q150" s="321"/>
      <c r="R150" s="321"/>
      <c r="S150" s="321"/>
      <c r="T150" s="321"/>
      <c r="U150" s="321"/>
      <c r="V150" s="321"/>
      <c r="W150" s="321"/>
      <c r="X150" s="321"/>
      <c r="Y150" s="321"/>
    </row>
    <row r="151" spans="1:25" ht="12.75" x14ac:dyDescent="0.2">
      <c r="A151" s="321"/>
      <c r="B151" s="321"/>
      <c r="C151" s="321"/>
      <c r="D151" s="321"/>
      <c r="E151" s="321"/>
      <c r="F151" s="321"/>
      <c r="G151" s="321"/>
      <c r="H151" s="321"/>
      <c r="I151" s="321"/>
      <c r="J151" s="321"/>
      <c r="K151" s="321"/>
      <c r="L151" s="321"/>
      <c r="M151" s="321"/>
      <c r="N151" s="321"/>
      <c r="O151" s="321"/>
      <c r="P151" s="321"/>
      <c r="Q151" s="321"/>
      <c r="R151" s="321"/>
      <c r="S151" s="321"/>
      <c r="T151" s="321"/>
      <c r="U151" s="321"/>
      <c r="V151" s="321"/>
      <c r="W151" s="321"/>
      <c r="X151" s="321"/>
      <c r="Y151" s="321"/>
    </row>
    <row r="152" spans="1:25" ht="12.75" x14ac:dyDescent="0.2">
      <c r="A152" s="321"/>
      <c r="B152" s="321"/>
      <c r="C152" s="321"/>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row>
    <row r="153" spans="1:25" ht="12.75" x14ac:dyDescent="0.2">
      <c r="A153" s="321"/>
      <c r="B153" s="321"/>
      <c r="C153" s="321"/>
      <c r="D153" s="321"/>
      <c r="E153" s="321"/>
      <c r="F153" s="321"/>
      <c r="G153" s="321"/>
      <c r="H153" s="321"/>
      <c r="I153" s="321"/>
      <c r="J153" s="321"/>
      <c r="K153" s="321"/>
      <c r="L153" s="321"/>
      <c r="M153" s="321"/>
      <c r="N153" s="321"/>
      <c r="O153" s="321"/>
      <c r="P153" s="321"/>
      <c r="Q153" s="321"/>
      <c r="R153" s="321"/>
      <c r="S153" s="321"/>
      <c r="T153" s="321"/>
      <c r="U153" s="321"/>
      <c r="V153" s="321"/>
      <c r="W153" s="321"/>
      <c r="X153" s="321"/>
      <c r="Y153" s="321"/>
    </row>
    <row r="154" spans="1:25" ht="12.75" x14ac:dyDescent="0.2">
      <c r="A154" s="321"/>
      <c r="B154" s="321"/>
      <c r="C154" s="321"/>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row>
    <row r="155" spans="1:25" ht="12.75" x14ac:dyDescent="0.2">
      <c r="A155" s="321"/>
      <c r="B155" s="321"/>
      <c r="C155" s="321"/>
      <c r="D155" s="321"/>
      <c r="E155" s="321"/>
      <c r="F155" s="321"/>
      <c r="G155" s="321"/>
      <c r="H155" s="321"/>
      <c r="I155" s="321"/>
      <c r="J155" s="321"/>
      <c r="K155" s="321"/>
      <c r="L155" s="321"/>
      <c r="M155" s="321"/>
      <c r="N155" s="321"/>
      <c r="O155" s="321"/>
      <c r="P155" s="321"/>
      <c r="Q155" s="321"/>
      <c r="R155" s="321"/>
      <c r="S155" s="321"/>
      <c r="T155" s="321"/>
      <c r="U155" s="321"/>
      <c r="V155" s="321"/>
      <c r="W155" s="321"/>
      <c r="X155" s="321"/>
      <c r="Y155" s="321"/>
    </row>
    <row r="156" spans="1:25" ht="12.75" x14ac:dyDescent="0.2">
      <c r="A156" s="321"/>
      <c r="B156" s="321"/>
      <c r="C156" s="321"/>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row>
    <row r="157" spans="1:25" ht="12.75" x14ac:dyDescent="0.2">
      <c r="A157" s="321"/>
      <c r="B157" s="321"/>
      <c r="C157" s="321"/>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row>
    <row r="158" spans="1:25" ht="12.75" x14ac:dyDescent="0.2">
      <c r="A158" s="321"/>
      <c r="B158" s="321"/>
      <c r="C158" s="321"/>
      <c r="D158" s="321"/>
      <c r="E158" s="321"/>
      <c r="F158" s="321"/>
      <c r="G158" s="321"/>
      <c r="H158" s="321"/>
      <c r="I158" s="321"/>
      <c r="J158" s="321"/>
      <c r="K158" s="321"/>
      <c r="L158" s="321"/>
      <c r="M158" s="321"/>
      <c r="N158" s="321"/>
      <c r="O158" s="321"/>
      <c r="P158" s="321"/>
      <c r="Q158" s="321"/>
      <c r="R158" s="321"/>
      <c r="S158" s="321"/>
      <c r="T158" s="321"/>
      <c r="U158" s="321"/>
      <c r="V158" s="321"/>
      <c r="W158" s="321"/>
      <c r="X158" s="321"/>
      <c r="Y158" s="321"/>
    </row>
    <row r="159" spans="1:25" ht="12.75" x14ac:dyDescent="0.2">
      <c r="A159" s="321"/>
      <c r="B159" s="321"/>
      <c r="C159" s="321"/>
      <c r="D159" s="321"/>
      <c r="E159" s="321"/>
      <c r="F159" s="321"/>
      <c r="G159" s="321"/>
      <c r="H159" s="321"/>
      <c r="I159" s="321"/>
      <c r="J159" s="321"/>
      <c r="K159" s="321"/>
      <c r="L159" s="321"/>
      <c r="M159" s="321"/>
      <c r="N159" s="321"/>
      <c r="O159" s="321"/>
      <c r="P159" s="321"/>
      <c r="Q159" s="321"/>
      <c r="R159" s="321"/>
      <c r="S159" s="321"/>
      <c r="T159" s="321"/>
      <c r="U159" s="321"/>
      <c r="V159" s="321"/>
      <c r="W159" s="321"/>
      <c r="X159" s="321"/>
      <c r="Y159" s="321"/>
    </row>
    <row r="160" spans="1:25" ht="12.75" x14ac:dyDescent="0.2">
      <c r="A160" s="321"/>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row>
    <row r="161" spans="1:25" ht="12.75" x14ac:dyDescent="0.2">
      <c r="A161" s="321"/>
      <c r="B161" s="321"/>
      <c r="C161" s="321"/>
      <c r="D161" s="321"/>
      <c r="E161" s="321"/>
      <c r="F161" s="321"/>
      <c r="G161" s="321"/>
      <c r="H161" s="321"/>
      <c r="I161" s="321"/>
      <c r="J161" s="321"/>
      <c r="K161" s="321"/>
      <c r="L161" s="321"/>
      <c r="M161" s="321"/>
      <c r="N161" s="321"/>
      <c r="O161" s="321"/>
      <c r="P161" s="321"/>
      <c r="Q161" s="321"/>
      <c r="R161" s="321"/>
      <c r="S161" s="321"/>
      <c r="T161" s="321"/>
      <c r="U161" s="321"/>
      <c r="V161" s="321"/>
      <c r="W161" s="321"/>
      <c r="X161" s="321"/>
      <c r="Y161" s="321"/>
    </row>
    <row r="162" spans="1:25" ht="12.75" x14ac:dyDescent="0.2">
      <c r="A162" s="321"/>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row>
    <row r="163" spans="1:25" ht="12.75" x14ac:dyDescent="0.2">
      <c r="A163" s="321"/>
      <c r="B163" s="321"/>
      <c r="C163" s="321"/>
      <c r="D163" s="321"/>
      <c r="E163" s="321"/>
      <c r="F163" s="321"/>
      <c r="G163" s="321"/>
      <c r="H163" s="321"/>
      <c r="I163" s="321"/>
      <c r="J163" s="321"/>
      <c r="K163" s="321"/>
      <c r="L163" s="321"/>
      <c r="M163" s="321"/>
      <c r="N163" s="321"/>
      <c r="O163" s="321"/>
      <c r="P163" s="321"/>
      <c r="Q163" s="321"/>
      <c r="R163" s="321"/>
      <c r="S163" s="321"/>
      <c r="T163" s="321"/>
      <c r="U163" s="321"/>
      <c r="V163" s="321"/>
      <c r="W163" s="321"/>
      <c r="X163" s="321"/>
      <c r="Y163" s="321"/>
    </row>
    <row r="164" spans="1:25" ht="12.75" x14ac:dyDescent="0.2">
      <c r="A164" s="321"/>
      <c r="B164" s="321"/>
      <c r="C164" s="321"/>
      <c r="D164" s="321"/>
      <c r="E164" s="321"/>
      <c r="F164" s="321"/>
      <c r="G164" s="321"/>
      <c r="H164" s="321"/>
      <c r="I164" s="321"/>
      <c r="J164" s="321"/>
      <c r="K164" s="321"/>
      <c r="L164" s="321"/>
      <c r="M164" s="321"/>
      <c r="N164" s="321"/>
      <c r="O164" s="321"/>
      <c r="P164" s="321"/>
      <c r="Q164" s="321"/>
      <c r="R164" s="321"/>
      <c r="S164" s="321"/>
      <c r="T164" s="321"/>
      <c r="U164" s="321"/>
      <c r="V164" s="321"/>
      <c r="W164" s="321"/>
      <c r="X164" s="321"/>
      <c r="Y164" s="321"/>
    </row>
    <row r="165" spans="1:25" ht="12.75" x14ac:dyDescent="0.2">
      <c r="A165" s="321"/>
      <c r="B165" s="321"/>
      <c r="C165" s="321"/>
      <c r="D165" s="321"/>
      <c r="E165" s="321"/>
      <c r="F165" s="321"/>
      <c r="G165" s="321"/>
      <c r="H165" s="321"/>
      <c r="I165" s="321"/>
      <c r="J165" s="321"/>
      <c r="K165" s="321"/>
      <c r="L165" s="321"/>
      <c r="M165" s="321"/>
      <c r="N165" s="321"/>
      <c r="O165" s="321"/>
      <c r="P165" s="321"/>
      <c r="Q165" s="321"/>
      <c r="R165" s="321"/>
      <c r="S165" s="321"/>
      <c r="T165" s="321"/>
      <c r="U165" s="321"/>
      <c r="V165" s="321"/>
      <c r="W165" s="321"/>
      <c r="X165" s="321"/>
      <c r="Y165" s="321"/>
    </row>
    <row r="166" spans="1:25" ht="12.75" x14ac:dyDescent="0.2">
      <c r="A166" s="321"/>
      <c r="B166" s="321"/>
      <c r="C166" s="321"/>
      <c r="D166" s="321"/>
      <c r="E166" s="321"/>
      <c r="F166" s="321"/>
      <c r="G166" s="321"/>
      <c r="H166" s="321"/>
      <c r="I166" s="321"/>
      <c r="J166" s="321"/>
      <c r="K166" s="321"/>
      <c r="L166" s="321"/>
      <c r="M166" s="321"/>
      <c r="N166" s="321"/>
      <c r="O166" s="321"/>
      <c r="P166" s="321"/>
      <c r="Q166" s="321"/>
      <c r="R166" s="321"/>
      <c r="S166" s="321"/>
      <c r="T166" s="321"/>
      <c r="U166" s="321"/>
      <c r="V166" s="321"/>
      <c r="W166" s="321"/>
      <c r="X166" s="321"/>
      <c r="Y166" s="321"/>
    </row>
    <row r="167" spans="1:25" ht="12.75" x14ac:dyDescent="0.2">
      <c r="A167" s="321"/>
      <c r="B167" s="321"/>
      <c r="C167" s="321"/>
      <c r="D167" s="321"/>
      <c r="E167" s="321"/>
      <c r="F167" s="321"/>
      <c r="G167" s="321"/>
      <c r="H167" s="321"/>
      <c r="I167" s="321"/>
      <c r="J167" s="321"/>
      <c r="K167" s="321"/>
      <c r="L167" s="321"/>
      <c r="M167" s="321"/>
      <c r="N167" s="321"/>
      <c r="O167" s="321"/>
      <c r="P167" s="321"/>
      <c r="Q167" s="321"/>
      <c r="R167" s="321"/>
      <c r="S167" s="321"/>
      <c r="T167" s="321"/>
      <c r="U167" s="321"/>
      <c r="V167" s="321"/>
      <c r="W167" s="321"/>
      <c r="X167" s="321"/>
      <c r="Y167" s="321"/>
    </row>
    <row r="168" spans="1:25" ht="12.75" x14ac:dyDescent="0.2">
      <c r="A168" s="321"/>
      <c r="B168" s="321"/>
      <c r="C168" s="321"/>
      <c r="D168" s="321"/>
      <c r="E168" s="321"/>
      <c r="F168" s="321"/>
      <c r="G168" s="321"/>
      <c r="H168" s="321"/>
      <c r="I168" s="321"/>
      <c r="J168" s="321"/>
      <c r="K168" s="321"/>
      <c r="L168" s="321"/>
      <c r="M168" s="321"/>
      <c r="N168" s="321"/>
      <c r="O168" s="321"/>
      <c r="P168" s="321"/>
      <c r="Q168" s="321"/>
      <c r="R168" s="321"/>
      <c r="S168" s="321"/>
      <c r="T168" s="321"/>
      <c r="U168" s="321"/>
      <c r="V168" s="321"/>
      <c r="W168" s="321"/>
      <c r="X168" s="321"/>
      <c r="Y168" s="321"/>
    </row>
    <row r="169" spans="1:25" ht="12.75" x14ac:dyDescent="0.2">
      <c r="A169" s="321"/>
      <c r="B169" s="321"/>
      <c r="C169" s="321"/>
      <c r="D169" s="321"/>
      <c r="E169" s="321"/>
      <c r="F169" s="321"/>
      <c r="G169" s="321"/>
      <c r="H169" s="321"/>
      <c r="I169" s="321"/>
      <c r="J169" s="321"/>
      <c r="K169" s="321"/>
      <c r="L169" s="321"/>
      <c r="M169" s="321"/>
      <c r="N169" s="321"/>
      <c r="O169" s="321"/>
      <c r="P169" s="321"/>
      <c r="Q169" s="321"/>
      <c r="R169" s="321"/>
      <c r="S169" s="321"/>
      <c r="T169" s="321"/>
      <c r="U169" s="321"/>
      <c r="V169" s="321"/>
      <c r="W169" s="321"/>
      <c r="X169" s="321"/>
      <c r="Y169" s="321"/>
    </row>
    <row r="170" spans="1:25" ht="12.75" x14ac:dyDescent="0.2">
      <c r="A170" s="321"/>
      <c r="B170" s="321"/>
      <c r="C170" s="321"/>
      <c r="D170" s="321"/>
      <c r="E170" s="321"/>
      <c r="F170" s="321"/>
      <c r="G170" s="321"/>
      <c r="H170" s="321"/>
      <c r="I170" s="321"/>
      <c r="J170" s="321"/>
      <c r="K170" s="321"/>
      <c r="L170" s="321"/>
      <c r="M170" s="321"/>
      <c r="N170" s="321"/>
      <c r="O170" s="321"/>
      <c r="P170" s="321"/>
      <c r="Q170" s="321"/>
      <c r="R170" s="321"/>
      <c r="S170" s="321"/>
      <c r="T170" s="321"/>
      <c r="U170" s="321"/>
      <c r="V170" s="321"/>
      <c r="W170" s="321"/>
      <c r="X170" s="321"/>
      <c r="Y170" s="321"/>
    </row>
    <row r="171" spans="1:25" ht="12.75" x14ac:dyDescent="0.2">
      <c r="A171" s="321"/>
      <c r="B171" s="321"/>
      <c r="C171" s="321"/>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row>
    <row r="172" spans="1:25" ht="12.75" x14ac:dyDescent="0.2">
      <c r="A172" s="321"/>
      <c r="B172" s="321"/>
      <c r="C172" s="321"/>
      <c r="D172" s="321"/>
      <c r="E172" s="321"/>
      <c r="F172" s="321"/>
      <c r="G172" s="321"/>
      <c r="H172" s="321"/>
      <c r="I172" s="321"/>
      <c r="J172" s="321"/>
      <c r="K172" s="321"/>
      <c r="L172" s="321"/>
      <c r="M172" s="321"/>
      <c r="N172" s="321"/>
      <c r="O172" s="321"/>
      <c r="P172" s="321"/>
      <c r="Q172" s="321"/>
      <c r="R172" s="321"/>
      <c r="S172" s="321"/>
      <c r="T172" s="321"/>
      <c r="U172" s="321"/>
      <c r="V172" s="321"/>
      <c r="W172" s="321"/>
      <c r="X172" s="321"/>
      <c r="Y172" s="321"/>
    </row>
    <row r="173" spans="1:25" ht="12.75" x14ac:dyDescent="0.2">
      <c r="A173" s="321"/>
      <c r="B173" s="321"/>
      <c r="C173" s="321"/>
      <c r="D173" s="321"/>
      <c r="E173" s="321"/>
      <c r="F173" s="321"/>
      <c r="G173" s="321"/>
      <c r="H173" s="321"/>
      <c r="I173" s="321"/>
      <c r="J173" s="321"/>
      <c r="K173" s="321"/>
      <c r="L173" s="321"/>
      <c r="M173" s="321"/>
      <c r="N173" s="321"/>
      <c r="O173" s="321"/>
      <c r="P173" s="321"/>
      <c r="Q173" s="321"/>
      <c r="R173" s="321"/>
      <c r="S173" s="321"/>
      <c r="T173" s="321"/>
      <c r="U173" s="321"/>
      <c r="V173" s="321"/>
      <c r="W173" s="321"/>
      <c r="X173" s="321"/>
      <c r="Y173" s="321"/>
    </row>
    <row r="174" spans="1:25" ht="12.75" x14ac:dyDescent="0.2">
      <c r="A174" s="321"/>
      <c r="B174" s="321"/>
      <c r="C174" s="321"/>
      <c r="D174" s="321"/>
      <c r="E174" s="321"/>
      <c r="F174" s="321"/>
      <c r="G174" s="321"/>
      <c r="H174" s="321"/>
      <c r="I174" s="321"/>
      <c r="J174" s="321"/>
      <c r="K174" s="321"/>
      <c r="L174" s="321"/>
      <c r="M174" s="321"/>
      <c r="N174" s="321"/>
      <c r="O174" s="321"/>
      <c r="P174" s="321"/>
      <c r="Q174" s="321"/>
      <c r="R174" s="321"/>
      <c r="S174" s="321"/>
      <c r="T174" s="321"/>
      <c r="U174" s="321"/>
      <c r="V174" s="321"/>
      <c r="W174" s="321"/>
      <c r="X174" s="321"/>
      <c r="Y174" s="321"/>
    </row>
    <row r="175" spans="1:25" ht="12.75" x14ac:dyDescent="0.2">
      <c r="A175" s="321"/>
      <c r="B175" s="321"/>
      <c r="C175" s="321"/>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row>
    <row r="176" spans="1:25" ht="12.75" x14ac:dyDescent="0.2">
      <c r="A176" s="321"/>
      <c r="B176" s="321"/>
      <c r="C176" s="321"/>
      <c r="D176" s="321"/>
      <c r="E176" s="321"/>
      <c r="F176" s="321"/>
      <c r="G176" s="321"/>
      <c r="H176" s="321"/>
      <c r="I176" s="321"/>
      <c r="J176" s="321"/>
      <c r="K176" s="321"/>
      <c r="L176" s="321"/>
      <c r="M176" s="321"/>
      <c r="N176" s="321"/>
      <c r="O176" s="321"/>
      <c r="P176" s="321"/>
      <c r="Q176" s="321"/>
      <c r="R176" s="321"/>
      <c r="S176" s="321"/>
      <c r="T176" s="321"/>
      <c r="U176" s="321"/>
      <c r="V176" s="321"/>
      <c r="W176" s="321"/>
      <c r="X176" s="321"/>
      <c r="Y176" s="321"/>
    </row>
    <row r="177" spans="1:25" ht="12.75" x14ac:dyDescent="0.2">
      <c r="A177" s="321"/>
      <c r="B177" s="321"/>
      <c r="C177" s="321"/>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row>
    <row r="178" spans="1:25" ht="12.75" x14ac:dyDescent="0.2">
      <c r="A178" s="321"/>
      <c r="B178" s="321"/>
      <c r="C178" s="321"/>
      <c r="D178" s="321"/>
      <c r="E178" s="321"/>
      <c r="F178" s="321"/>
      <c r="G178" s="321"/>
      <c r="H178" s="321"/>
      <c r="I178" s="321"/>
      <c r="J178" s="321"/>
      <c r="K178" s="321"/>
      <c r="L178" s="321"/>
      <c r="M178" s="321"/>
      <c r="N178" s="321"/>
      <c r="O178" s="321"/>
      <c r="P178" s="321"/>
      <c r="Q178" s="321"/>
      <c r="R178" s="321"/>
      <c r="S178" s="321"/>
      <c r="T178" s="321"/>
      <c r="U178" s="321"/>
      <c r="V178" s="321"/>
      <c r="W178" s="321"/>
      <c r="X178" s="321"/>
      <c r="Y178" s="321"/>
    </row>
    <row r="179" spans="1:25" ht="12.75" x14ac:dyDescent="0.2">
      <c r="A179" s="321"/>
      <c r="B179" s="321"/>
      <c r="C179" s="321"/>
      <c r="D179" s="321"/>
      <c r="E179" s="321"/>
      <c r="F179" s="321"/>
      <c r="G179" s="321"/>
      <c r="H179" s="321"/>
      <c r="I179" s="321"/>
      <c r="J179" s="321"/>
      <c r="K179" s="321"/>
      <c r="L179" s="321"/>
      <c r="M179" s="321"/>
      <c r="N179" s="321"/>
      <c r="O179" s="321"/>
      <c r="P179" s="321"/>
      <c r="Q179" s="321"/>
      <c r="R179" s="321"/>
      <c r="S179" s="321"/>
      <c r="T179" s="321"/>
      <c r="U179" s="321"/>
      <c r="V179" s="321"/>
      <c r="W179" s="321"/>
      <c r="X179" s="321"/>
      <c r="Y179" s="321"/>
    </row>
    <row r="180" spans="1:25" ht="12.75" x14ac:dyDescent="0.2">
      <c r="A180" s="321"/>
      <c r="B180" s="321"/>
      <c r="C180" s="321"/>
      <c r="D180" s="321"/>
      <c r="E180" s="321"/>
      <c r="F180" s="321"/>
      <c r="G180" s="321"/>
      <c r="H180" s="321"/>
      <c r="I180" s="321"/>
      <c r="J180" s="321"/>
      <c r="K180" s="321"/>
      <c r="L180" s="321"/>
      <c r="M180" s="321"/>
      <c r="N180" s="321"/>
      <c r="O180" s="321"/>
      <c r="P180" s="321"/>
      <c r="Q180" s="321"/>
      <c r="R180" s="321"/>
      <c r="S180" s="321"/>
      <c r="T180" s="321"/>
      <c r="U180" s="321"/>
      <c r="V180" s="321"/>
      <c r="W180" s="321"/>
      <c r="X180" s="321"/>
      <c r="Y180" s="321"/>
    </row>
    <row r="181" spans="1:25" ht="12.75" x14ac:dyDescent="0.2">
      <c r="A181" s="321"/>
      <c r="B181" s="321"/>
      <c r="C181" s="321"/>
      <c r="D181" s="321"/>
      <c r="E181" s="321"/>
      <c r="F181" s="321"/>
      <c r="G181" s="321"/>
      <c r="H181" s="321"/>
      <c r="I181" s="321"/>
      <c r="J181" s="321"/>
      <c r="K181" s="321"/>
      <c r="L181" s="321"/>
      <c r="M181" s="321"/>
      <c r="N181" s="321"/>
      <c r="O181" s="321"/>
      <c r="P181" s="321"/>
      <c r="Q181" s="321"/>
      <c r="R181" s="321"/>
      <c r="S181" s="321"/>
      <c r="T181" s="321"/>
      <c r="U181" s="321"/>
      <c r="V181" s="321"/>
      <c r="W181" s="321"/>
      <c r="X181" s="321"/>
      <c r="Y181" s="321"/>
    </row>
    <row r="182" spans="1:25" ht="12.75" x14ac:dyDescent="0.2">
      <c r="A182" s="321"/>
      <c r="B182" s="321"/>
      <c r="C182" s="321"/>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row>
    <row r="183" spans="1:25" ht="12.75" x14ac:dyDescent="0.2">
      <c r="A183" s="321"/>
      <c r="B183" s="321"/>
      <c r="C183" s="321"/>
      <c r="D183" s="321"/>
      <c r="E183" s="321"/>
      <c r="F183" s="321"/>
      <c r="G183" s="321"/>
      <c r="H183" s="321"/>
      <c r="I183" s="321"/>
      <c r="J183" s="321"/>
      <c r="K183" s="321"/>
      <c r="L183" s="321"/>
      <c r="M183" s="321"/>
      <c r="N183" s="321"/>
      <c r="O183" s="321"/>
      <c r="P183" s="321"/>
      <c r="Q183" s="321"/>
      <c r="R183" s="321"/>
      <c r="S183" s="321"/>
      <c r="T183" s="321"/>
      <c r="U183" s="321"/>
      <c r="V183" s="321"/>
      <c r="W183" s="321"/>
      <c r="X183" s="321"/>
      <c r="Y183" s="321"/>
    </row>
    <row r="184" spans="1:25" ht="12.75" x14ac:dyDescent="0.2">
      <c r="A184" s="321"/>
      <c r="B184" s="321"/>
      <c r="C184" s="321"/>
      <c r="D184" s="321"/>
      <c r="E184" s="321"/>
      <c r="F184" s="321"/>
      <c r="G184" s="321"/>
      <c r="H184" s="321"/>
      <c r="I184" s="321"/>
      <c r="J184" s="321"/>
      <c r="K184" s="321"/>
      <c r="L184" s="321"/>
      <c r="M184" s="321"/>
      <c r="N184" s="321"/>
      <c r="O184" s="321"/>
      <c r="P184" s="321"/>
      <c r="Q184" s="321"/>
      <c r="R184" s="321"/>
      <c r="S184" s="321"/>
      <c r="T184" s="321"/>
      <c r="U184" s="321"/>
      <c r="V184" s="321"/>
      <c r="W184" s="321"/>
      <c r="X184" s="321"/>
      <c r="Y184" s="321"/>
    </row>
    <row r="185" spans="1:25" ht="12.75" x14ac:dyDescent="0.2">
      <c r="A185" s="321"/>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row>
    <row r="186" spans="1:25" ht="12.75" x14ac:dyDescent="0.2">
      <c r="A186" s="321"/>
      <c r="B186" s="321"/>
      <c r="C186" s="321"/>
      <c r="D186" s="321"/>
      <c r="E186" s="321"/>
      <c r="F186" s="321"/>
      <c r="G186" s="321"/>
      <c r="H186" s="321"/>
      <c r="I186" s="321"/>
      <c r="J186" s="321"/>
      <c r="K186" s="321"/>
      <c r="L186" s="321"/>
      <c r="M186" s="321"/>
      <c r="N186" s="321"/>
      <c r="O186" s="321"/>
      <c r="P186" s="321"/>
      <c r="Q186" s="321"/>
      <c r="R186" s="321"/>
      <c r="S186" s="321"/>
      <c r="T186" s="321"/>
      <c r="U186" s="321"/>
      <c r="V186" s="321"/>
      <c r="W186" s="321"/>
      <c r="X186" s="321"/>
      <c r="Y186" s="321"/>
    </row>
    <row r="187" spans="1:25" ht="12.75" x14ac:dyDescent="0.2">
      <c r="A187" s="321"/>
      <c r="B187" s="321"/>
      <c r="C187" s="321"/>
      <c r="D187" s="321"/>
      <c r="E187" s="321"/>
      <c r="F187" s="321"/>
      <c r="G187" s="321"/>
      <c r="H187" s="321"/>
      <c r="I187" s="321"/>
      <c r="J187" s="321"/>
      <c r="K187" s="321"/>
      <c r="L187" s="321"/>
      <c r="M187" s="321"/>
      <c r="N187" s="321"/>
      <c r="O187" s="321"/>
      <c r="P187" s="321"/>
      <c r="Q187" s="321"/>
      <c r="R187" s="321"/>
      <c r="S187" s="321"/>
      <c r="T187" s="321"/>
      <c r="U187" s="321"/>
      <c r="V187" s="321"/>
      <c r="W187" s="321"/>
      <c r="X187" s="321"/>
      <c r="Y187" s="321"/>
    </row>
    <row r="188" spans="1:25" ht="12.75" x14ac:dyDescent="0.2">
      <c r="A188" s="321"/>
      <c r="B188" s="321"/>
      <c r="C188" s="321"/>
      <c r="D188" s="321"/>
      <c r="E188" s="321"/>
      <c r="F188" s="321"/>
      <c r="G188" s="321"/>
      <c r="H188" s="321"/>
      <c r="I188" s="321"/>
      <c r="J188" s="321"/>
      <c r="K188" s="321"/>
      <c r="L188" s="321"/>
      <c r="M188" s="321"/>
      <c r="N188" s="321"/>
      <c r="O188" s="321"/>
      <c r="P188" s="321"/>
      <c r="Q188" s="321"/>
      <c r="R188" s="321"/>
      <c r="S188" s="321"/>
      <c r="T188" s="321"/>
      <c r="U188" s="321"/>
      <c r="V188" s="321"/>
      <c r="W188" s="321"/>
      <c r="X188" s="321"/>
      <c r="Y188" s="321"/>
    </row>
    <row r="189" spans="1:25" ht="12.75" x14ac:dyDescent="0.2">
      <c r="A189" s="321"/>
      <c r="B189" s="321"/>
      <c r="C189" s="321"/>
      <c r="D189" s="321"/>
      <c r="E189" s="321"/>
      <c r="F189" s="321"/>
      <c r="G189" s="321"/>
      <c r="H189" s="321"/>
      <c r="I189" s="321"/>
      <c r="J189" s="321"/>
      <c r="K189" s="321"/>
      <c r="L189" s="321"/>
      <c r="M189" s="321"/>
      <c r="N189" s="321"/>
      <c r="O189" s="321"/>
      <c r="P189" s="321"/>
      <c r="Q189" s="321"/>
      <c r="R189" s="321"/>
      <c r="S189" s="321"/>
      <c r="T189" s="321"/>
      <c r="U189" s="321"/>
      <c r="V189" s="321"/>
      <c r="W189" s="321"/>
      <c r="X189" s="321"/>
      <c r="Y189" s="321"/>
    </row>
    <row r="190" spans="1:25" ht="12.75" x14ac:dyDescent="0.2">
      <c r="A190" s="321"/>
      <c r="B190" s="321"/>
      <c r="C190" s="321"/>
      <c r="D190" s="321"/>
      <c r="E190" s="321"/>
      <c r="F190" s="321"/>
      <c r="G190" s="321"/>
      <c r="H190" s="321"/>
      <c r="I190" s="321"/>
      <c r="J190" s="321"/>
      <c r="K190" s="321"/>
      <c r="L190" s="321"/>
      <c r="M190" s="321"/>
      <c r="N190" s="321"/>
      <c r="O190" s="321"/>
      <c r="P190" s="321"/>
      <c r="Q190" s="321"/>
      <c r="R190" s="321"/>
      <c r="S190" s="321"/>
      <c r="T190" s="321"/>
      <c r="U190" s="321"/>
      <c r="V190" s="321"/>
      <c r="W190" s="321"/>
      <c r="X190" s="321"/>
      <c r="Y190" s="321"/>
    </row>
    <row r="191" spans="1:25" ht="12.75" x14ac:dyDescent="0.2">
      <c r="A191" s="321"/>
      <c r="B191" s="321"/>
      <c r="C191" s="321"/>
      <c r="D191" s="321"/>
      <c r="E191" s="321"/>
      <c r="F191" s="321"/>
      <c r="G191" s="321"/>
      <c r="H191" s="321"/>
      <c r="I191" s="321"/>
      <c r="J191" s="321"/>
      <c r="K191" s="321"/>
      <c r="L191" s="321"/>
      <c r="M191" s="321"/>
      <c r="N191" s="321"/>
      <c r="O191" s="321"/>
      <c r="P191" s="321"/>
      <c r="Q191" s="321"/>
      <c r="R191" s="321"/>
      <c r="S191" s="321"/>
      <c r="T191" s="321"/>
      <c r="U191" s="321"/>
      <c r="V191" s="321"/>
      <c r="W191" s="321"/>
      <c r="X191" s="321"/>
      <c r="Y191" s="321"/>
    </row>
    <row r="192" spans="1:25" ht="12.75" x14ac:dyDescent="0.2">
      <c r="A192" s="321"/>
      <c r="B192" s="321"/>
      <c r="C192" s="321"/>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row>
    <row r="193" spans="1:25" ht="12.75" x14ac:dyDescent="0.2">
      <c r="A193" s="321"/>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row>
    <row r="194" spans="1:25" ht="12.75" x14ac:dyDescent="0.2">
      <c r="A194" s="321"/>
      <c r="B194" s="321"/>
      <c r="C194" s="321"/>
      <c r="D194" s="321"/>
      <c r="E194" s="321"/>
      <c r="F194" s="321"/>
      <c r="G194" s="321"/>
      <c r="H194" s="321"/>
      <c r="I194" s="321"/>
      <c r="J194" s="321"/>
      <c r="K194" s="321"/>
      <c r="L194" s="321"/>
      <c r="M194" s="321"/>
      <c r="N194" s="321"/>
      <c r="O194" s="321"/>
      <c r="P194" s="321"/>
      <c r="Q194" s="321"/>
      <c r="R194" s="321"/>
      <c r="S194" s="321"/>
      <c r="T194" s="321"/>
      <c r="U194" s="321"/>
      <c r="V194" s="321"/>
      <c r="W194" s="321"/>
      <c r="X194" s="321"/>
      <c r="Y194" s="321"/>
    </row>
    <row r="195" spans="1:25" ht="12.75" x14ac:dyDescent="0.2">
      <c r="A195" s="321"/>
      <c r="B195" s="321"/>
      <c r="C195" s="321"/>
      <c r="D195" s="321"/>
      <c r="E195" s="321"/>
      <c r="F195" s="321"/>
      <c r="G195" s="321"/>
      <c r="H195" s="321"/>
      <c r="I195" s="321"/>
      <c r="J195" s="321"/>
      <c r="K195" s="321"/>
      <c r="L195" s="321"/>
      <c r="M195" s="321"/>
      <c r="N195" s="321"/>
      <c r="O195" s="321"/>
      <c r="P195" s="321"/>
      <c r="Q195" s="321"/>
      <c r="R195" s="321"/>
      <c r="S195" s="321"/>
      <c r="T195" s="321"/>
      <c r="U195" s="321"/>
      <c r="V195" s="321"/>
      <c r="W195" s="321"/>
      <c r="X195" s="321"/>
      <c r="Y195" s="321"/>
    </row>
    <row r="196" spans="1:25" ht="12.75" x14ac:dyDescent="0.2">
      <c r="A196" s="321"/>
      <c r="B196" s="321"/>
      <c r="C196" s="321"/>
      <c r="D196" s="321"/>
      <c r="E196" s="321"/>
      <c r="F196" s="321"/>
      <c r="G196" s="321"/>
      <c r="H196" s="321"/>
      <c r="I196" s="321"/>
      <c r="J196" s="321"/>
      <c r="K196" s="321"/>
      <c r="L196" s="321"/>
      <c r="M196" s="321"/>
      <c r="N196" s="321"/>
      <c r="O196" s="321"/>
      <c r="P196" s="321"/>
      <c r="Q196" s="321"/>
      <c r="R196" s="321"/>
      <c r="S196" s="321"/>
      <c r="T196" s="321"/>
      <c r="U196" s="321"/>
      <c r="V196" s="321"/>
      <c r="W196" s="321"/>
      <c r="X196" s="321"/>
      <c r="Y196" s="321"/>
    </row>
    <row r="197" spans="1:25" ht="12.75" x14ac:dyDescent="0.2">
      <c r="A197" s="321"/>
      <c r="B197" s="321"/>
      <c r="C197" s="321"/>
      <c r="D197" s="321"/>
      <c r="E197" s="321"/>
      <c r="F197" s="321"/>
      <c r="G197" s="321"/>
      <c r="H197" s="321"/>
      <c r="I197" s="321"/>
      <c r="J197" s="321"/>
      <c r="K197" s="321"/>
      <c r="L197" s="321"/>
      <c r="M197" s="321"/>
      <c r="N197" s="321"/>
      <c r="O197" s="321"/>
      <c r="P197" s="321"/>
      <c r="Q197" s="321"/>
      <c r="R197" s="321"/>
      <c r="S197" s="321"/>
      <c r="T197" s="321"/>
      <c r="U197" s="321"/>
      <c r="V197" s="321"/>
      <c r="W197" s="321"/>
      <c r="X197" s="321"/>
      <c r="Y197" s="321"/>
    </row>
    <row r="198" spans="1:25" ht="12.75" x14ac:dyDescent="0.2">
      <c r="A198" s="321"/>
      <c r="B198" s="321"/>
      <c r="C198" s="321"/>
      <c r="D198" s="321"/>
      <c r="E198" s="321"/>
      <c r="F198" s="321"/>
      <c r="G198" s="321"/>
      <c r="H198" s="321"/>
      <c r="I198" s="321"/>
      <c r="J198" s="321"/>
      <c r="K198" s="321"/>
      <c r="L198" s="321"/>
      <c r="M198" s="321"/>
      <c r="N198" s="321"/>
      <c r="O198" s="321"/>
      <c r="P198" s="321"/>
      <c r="Q198" s="321"/>
      <c r="R198" s="321"/>
      <c r="S198" s="321"/>
      <c r="T198" s="321"/>
      <c r="U198" s="321"/>
      <c r="V198" s="321"/>
      <c r="W198" s="321"/>
      <c r="X198" s="321"/>
      <c r="Y198" s="321"/>
    </row>
    <row r="199" spans="1:25" ht="12.75" x14ac:dyDescent="0.2">
      <c r="A199" s="321"/>
      <c r="B199" s="321"/>
      <c r="C199" s="321"/>
      <c r="D199" s="321"/>
      <c r="E199" s="321"/>
      <c r="F199" s="321"/>
      <c r="G199" s="321"/>
      <c r="H199" s="321"/>
      <c r="I199" s="321"/>
      <c r="J199" s="321"/>
      <c r="K199" s="321"/>
      <c r="L199" s="321"/>
      <c r="M199" s="321"/>
      <c r="N199" s="321"/>
      <c r="O199" s="321"/>
      <c r="P199" s="321"/>
      <c r="Q199" s="321"/>
      <c r="R199" s="321"/>
      <c r="S199" s="321"/>
      <c r="T199" s="321"/>
      <c r="U199" s="321"/>
      <c r="V199" s="321"/>
      <c r="W199" s="321"/>
      <c r="X199" s="321"/>
      <c r="Y199" s="321"/>
    </row>
    <row r="200" spans="1:25" ht="12.75" x14ac:dyDescent="0.2">
      <c r="A200" s="321"/>
      <c r="B200" s="321"/>
      <c r="C200" s="321"/>
      <c r="D200" s="321"/>
      <c r="E200" s="321"/>
      <c r="F200" s="321"/>
      <c r="G200" s="321"/>
      <c r="H200" s="321"/>
      <c r="I200" s="321"/>
      <c r="J200" s="321"/>
      <c r="K200" s="321"/>
      <c r="L200" s="321"/>
      <c r="M200" s="321"/>
      <c r="N200" s="321"/>
      <c r="O200" s="321"/>
      <c r="P200" s="321"/>
      <c r="Q200" s="321"/>
      <c r="R200" s="321"/>
      <c r="S200" s="321"/>
      <c r="T200" s="321"/>
      <c r="U200" s="321"/>
      <c r="V200" s="321"/>
      <c r="W200" s="321"/>
      <c r="X200" s="321"/>
      <c r="Y200" s="321"/>
    </row>
    <row r="201" spans="1:25" ht="12.75" x14ac:dyDescent="0.2">
      <c r="A201" s="321"/>
      <c r="B201" s="321"/>
      <c r="C201" s="321"/>
      <c r="D201" s="321"/>
      <c r="E201" s="321"/>
      <c r="F201" s="321"/>
      <c r="G201" s="321"/>
      <c r="H201" s="321"/>
      <c r="I201" s="321"/>
      <c r="J201" s="321"/>
      <c r="K201" s="321"/>
      <c r="L201" s="321"/>
      <c r="M201" s="321"/>
      <c r="N201" s="321"/>
      <c r="O201" s="321"/>
      <c r="P201" s="321"/>
      <c r="Q201" s="321"/>
      <c r="R201" s="321"/>
      <c r="S201" s="321"/>
      <c r="T201" s="321"/>
      <c r="U201" s="321"/>
      <c r="V201" s="321"/>
      <c r="W201" s="321"/>
      <c r="X201" s="321"/>
      <c r="Y201" s="321"/>
    </row>
    <row r="202" spans="1:25" ht="12.75" x14ac:dyDescent="0.2">
      <c r="A202" s="321"/>
      <c r="B202" s="321"/>
      <c r="C202" s="321"/>
      <c r="D202" s="321"/>
      <c r="E202" s="321"/>
      <c r="F202" s="321"/>
      <c r="G202" s="321"/>
      <c r="H202" s="321"/>
      <c r="I202" s="321"/>
      <c r="J202" s="321"/>
      <c r="K202" s="321"/>
      <c r="L202" s="321"/>
      <c r="M202" s="321"/>
      <c r="N202" s="321"/>
      <c r="O202" s="321"/>
      <c r="P202" s="321"/>
      <c r="Q202" s="321"/>
      <c r="R202" s="321"/>
      <c r="S202" s="321"/>
      <c r="T202" s="321"/>
      <c r="U202" s="321"/>
      <c r="V202" s="321"/>
      <c r="W202" s="321"/>
      <c r="X202" s="321"/>
      <c r="Y202" s="321"/>
    </row>
    <row r="203" spans="1:25" ht="12.75" x14ac:dyDescent="0.2">
      <c r="A203" s="321"/>
      <c r="B203" s="321"/>
      <c r="C203" s="321"/>
      <c r="D203" s="321"/>
      <c r="E203" s="321"/>
      <c r="F203" s="321"/>
      <c r="G203" s="321"/>
      <c r="H203" s="321"/>
      <c r="I203" s="321"/>
      <c r="J203" s="321"/>
      <c r="K203" s="321"/>
      <c r="L203" s="321"/>
      <c r="M203" s="321"/>
      <c r="N203" s="321"/>
      <c r="O203" s="321"/>
      <c r="P203" s="321"/>
      <c r="Q203" s="321"/>
      <c r="R203" s="321"/>
      <c r="S203" s="321"/>
      <c r="T203" s="321"/>
      <c r="U203" s="321"/>
      <c r="V203" s="321"/>
      <c r="W203" s="321"/>
      <c r="X203" s="321"/>
      <c r="Y203" s="321"/>
    </row>
    <row r="204" spans="1:25" ht="12.75" x14ac:dyDescent="0.2">
      <c r="A204" s="321"/>
      <c r="B204" s="321"/>
      <c r="C204" s="321"/>
      <c r="D204" s="321"/>
      <c r="E204" s="321"/>
      <c r="F204" s="321"/>
      <c r="G204" s="321"/>
      <c r="H204" s="321"/>
      <c r="I204" s="321"/>
      <c r="J204" s="321"/>
      <c r="K204" s="321"/>
      <c r="L204" s="321"/>
      <c r="M204" s="321"/>
      <c r="N204" s="321"/>
      <c r="O204" s="321"/>
      <c r="P204" s="321"/>
      <c r="Q204" s="321"/>
      <c r="R204" s="321"/>
      <c r="S204" s="321"/>
      <c r="T204" s="321"/>
      <c r="U204" s="321"/>
      <c r="V204" s="321"/>
      <c r="W204" s="321"/>
      <c r="X204" s="321"/>
      <c r="Y204" s="321"/>
    </row>
    <row r="205" spans="1:25" ht="12.75" x14ac:dyDescent="0.2">
      <c r="A205" s="321"/>
      <c r="B205" s="321"/>
      <c r="C205" s="321"/>
      <c r="D205" s="321"/>
      <c r="E205" s="321"/>
      <c r="F205" s="321"/>
      <c r="G205" s="321"/>
      <c r="H205" s="321"/>
      <c r="I205" s="321"/>
      <c r="J205" s="321"/>
      <c r="K205" s="321"/>
      <c r="L205" s="321"/>
      <c r="M205" s="321"/>
      <c r="N205" s="321"/>
      <c r="O205" s="321"/>
      <c r="P205" s="321"/>
      <c r="Q205" s="321"/>
      <c r="R205" s="321"/>
      <c r="S205" s="321"/>
      <c r="T205" s="321"/>
      <c r="U205" s="321"/>
      <c r="V205" s="321"/>
      <c r="W205" s="321"/>
      <c r="X205" s="321"/>
      <c r="Y205" s="321"/>
    </row>
    <row r="206" spans="1:25" ht="12.75" x14ac:dyDescent="0.2">
      <c r="A206" s="321"/>
      <c r="B206" s="321"/>
      <c r="C206" s="321"/>
      <c r="D206" s="321"/>
      <c r="E206" s="321"/>
      <c r="F206" s="321"/>
      <c r="G206" s="321"/>
      <c r="H206" s="321"/>
      <c r="I206" s="321"/>
      <c r="J206" s="321"/>
      <c r="K206" s="321"/>
      <c r="L206" s="321"/>
      <c r="M206" s="321"/>
      <c r="N206" s="321"/>
      <c r="O206" s="321"/>
      <c r="P206" s="321"/>
      <c r="Q206" s="321"/>
      <c r="R206" s="321"/>
      <c r="S206" s="321"/>
      <c r="T206" s="321"/>
      <c r="U206" s="321"/>
      <c r="V206" s="321"/>
      <c r="W206" s="321"/>
      <c r="X206" s="321"/>
      <c r="Y206" s="321"/>
    </row>
    <row r="207" spans="1:25" ht="12.75" x14ac:dyDescent="0.2">
      <c r="A207" s="321"/>
      <c r="B207" s="321"/>
      <c r="C207" s="321"/>
      <c r="D207" s="321"/>
      <c r="E207" s="321"/>
      <c r="F207" s="321"/>
      <c r="G207" s="321"/>
      <c r="H207" s="321"/>
      <c r="I207" s="321"/>
      <c r="J207" s="321"/>
      <c r="K207" s="321"/>
      <c r="L207" s="321"/>
      <c r="M207" s="321"/>
      <c r="N207" s="321"/>
      <c r="O207" s="321"/>
      <c r="P207" s="321"/>
      <c r="Q207" s="321"/>
      <c r="R207" s="321"/>
      <c r="S207" s="321"/>
      <c r="T207" s="321"/>
      <c r="U207" s="321"/>
      <c r="V207" s="321"/>
      <c r="W207" s="321"/>
      <c r="X207" s="321"/>
      <c r="Y207" s="321"/>
    </row>
    <row r="208" spans="1:25" ht="12.75" x14ac:dyDescent="0.2">
      <c r="A208" s="321"/>
      <c r="B208" s="321"/>
      <c r="C208" s="321"/>
      <c r="D208" s="321"/>
      <c r="E208" s="321"/>
      <c r="F208" s="321"/>
      <c r="G208" s="321"/>
      <c r="H208" s="321"/>
      <c r="I208" s="321"/>
      <c r="J208" s="321"/>
      <c r="K208" s="321"/>
      <c r="L208" s="321"/>
      <c r="M208" s="321"/>
      <c r="N208" s="321"/>
      <c r="O208" s="321"/>
      <c r="P208" s="321"/>
      <c r="Q208" s="321"/>
      <c r="R208" s="321"/>
      <c r="S208" s="321"/>
      <c r="T208" s="321"/>
      <c r="U208" s="321"/>
      <c r="V208" s="321"/>
      <c r="W208" s="321"/>
      <c r="X208" s="321"/>
      <c r="Y208" s="321"/>
    </row>
    <row r="209" spans="1:25" ht="12.75" x14ac:dyDescent="0.2">
      <c r="A209" s="321"/>
      <c r="B209" s="321"/>
      <c r="C209" s="321"/>
      <c r="D209" s="321"/>
      <c r="E209" s="321"/>
      <c r="F209" s="321"/>
      <c r="G209" s="321"/>
      <c r="H209" s="321"/>
      <c r="I209" s="321"/>
      <c r="J209" s="321"/>
      <c r="K209" s="321"/>
      <c r="L209" s="321"/>
      <c r="M209" s="321"/>
      <c r="N209" s="321"/>
      <c r="O209" s="321"/>
      <c r="P209" s="321"/>
      <c r="Q209" s="321"/>
      <c r="R209" s="321"/>
      <c r="S209" s="321"/>
      <c r="T209" s="321"/>
      <c r="U209" s="321"/>
      <c r="V209" s="321"/>
      <c r="W209" s="321"/>
      <c r="X209" s="321"/>
      <c r="Y209" s="321"/>
    </row>
    <row r="210" spans="1:25" ht="12.75" x14ac:dyDescent="0.2">
      <c r="A210" s="321"/>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row>
    <row r="211" spans="1:25" ht="12.75" x14ac:dyDescent="0.2">
      <c r="A211" s="321"/>
      <c r="B211" s="321"/>
      <c r="C211" s="321"/>
      <c r="D211" s="321"/>
      <c r="E211" s="321"/>
      <c r="F211" s="321"/>
      <c r="G211" s="321"/>
      <c r="H211" s="321"/>
      <c r="I211" s="321"/>
      <c r="J211" s="321"/>
      <c r="K211" s="321"/>
      <c r="L211" s="321"/>
      <c r="M211" s="321"/>
      <c r="N211" s="321"/>
      <c r="O211" s="321"/>
      <c r="P211" s="321"/>
      <c r="Q211" s="321"/>
      <c r="R211" s="321"/>
      <c r="S211" s="321"/>
      <c r="T211" s="321"/>
      <c r="U211" s="321"/>
      <c r="V211" s="321"/>
      <c r="W211" s="321"/>
      <c r="X211" s="321"/>
      <c r="Y211" s="321"/>
    </row>
    <row r="212" spans="1:25" ht="12.75" x14ac:dyDescent="0.2">
      <c r="A212" s="321"/>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row>
    <row r="213" spans="1:25" ht="12.75" x14ac:dyDescent="0.2">
      <c r="A213" s="321"/>
      <c r="B213" s="321"/>
      <c r="C213" s="321"/>
      <c r="D213" s="321"/>
      <c r="E213" s="321"/>
      <c r="F213" s="321"/>
      <c r="G213" s="321"/>
      <c r="H213" s="321"/>
      <c r="I213" s="321"/>
      <c r="J213" s="321"/>
      <c r="K213" s="321"/>
      <c r="L213" s="321"/>
      <c r="M213" s="321"/>
      <c r="N213" s="321"/>
      <c r="O213" s="321"/>
      <c r="P213" s="321"/>
      <c r="Q213" s="321"/>
      <c r="R213" s="321"/>
      <c r="S213" s="321"/>
      <c r="T213" s="321"/>
      <c r="U213" s="321"/>
      <c r="V213" s="321"/>
      <c r="W213" s="321"/>
      <c r="X213" s="321"/>
      <c r="Y213" s="321"/>
    </row>
    <row r="214" spans="1:25" ht="12.75" x14ac:dyDescent="0.2">
      <c r="A214" s="321"/>
      <c r="B214" s="321"/>
      <c r="C214" s="321"/>
      <c r="D214" s="321"/>
      <c r="E214" s="321"/>
      <c r="F214" s="321"/>
      <c r="G214" s="321"/>
      <c r="H214" s="321"/>
      <c r="I214" s="321"/>
      <c r="J214" s="321"/>
      <c r="K214" s="321"/>
      <c r="L214" s="321"/>
      <c r="M214" s="321"/>
      <c r="N214" s="321"/>
      <c r="O214" s="321"/>
      <c r="P214" s="321"/>
      <c r="Q214" s="321"/>
      <c r="R214" s="321"/>
      <c r="S214" s="321"/>
      <c r="T214" s="321"/>
      <c r="U214" s="321"/>
      <c r="V214" s="321"/>
      <c r="W214" s="321"/>
      <c r="X214" s="321"/>
      <c r="Y214" s="321"/>
    </row>
    <row r="215" spans="1:25" ht="12.75" x14ac:dyDescent="0.2">
      <c r="A215" s="321"/>
      <c r="B215" s="321"/>
      <c r="C215" s="321"/>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row>
    <row r="216" spans="1:25" ht="12.75" x14ac:dyDescent="0.2">
      <c r="A216" s="321"/>
      <c r="B216" s="321"/>
      <c r="C216" s="321"/>
      <c r="D216" s="321"/>
      <c r="E216" s="321"/>
      <c r="F216" s="321"/>
      <c r="G216" s="321"/>
      <c r="H216" s="321"/>
      <c r="I216" s="321"/>
      <c r="J216" s="321"/>
      <c r="K216" s="321"/>
      <c r="L216" s="321"/>
      <c r="M216" s="321"/>
      <c r="N216" s="321"/>
      <c r="O216" s="321"/>
      <c r="P216" s="321"/>
      <c r="Q216" s="321"/>
      <c r="R216" s="321"/>
      <c r="S216" s="321"/>
      <c r="T216" s="321"/>
      <c r="U216" s="321"/>
      <c r="V216" s="321"/>
      <c r="W216" s="321"/>
      <c r="X216" s="321"/>
      <c r="Y216" s="321"/>
    </row>
    <row r="217" spans="1:25" ht="12.75" x14ac:dyDescent="0.2">
      <c r="A217" s="321"/>
      <c r="B217" s="321"/>
      <c r="C217" s="321"/>
      <c r="D217" s="321"/>
      <c r="E217" s="321"/>
      <c r="F217" s="321"/>
      <c r="G217" s="321"/>
      <c r="H217" s="321"/>
      <c r="I217" s="321"/>
      <c r="J217" s="321"/>
      <c r="K217" s="321"/>
      <c r="L217" s="321"/>
      <c r="M217" s="321"/>
      <c r="N217" s="321"/>
      <c r="O217" s="321"/>
      <c r="P217" s="321"/>
      <c r="Q217" s="321"/>
      <c r="R217" s="321"/>
      <c r="S217" s="321"/>
      <c r="T217" s="321"/>
      <c r="U217" s="321"/>
      <c r="V217" s="321"/>
      <c r="W217" s="321"/>
      <c r="X217" s="321"/>
      <c r="Y217" s="321"/>
    </row>
    <row r="218" spans="1:25" ht="12.75" x14ac:dyDescent="0.2">
      <c r="A218" s="321"/>
      <c r="B218" s="321"/>
      <c r="C218" s="321"/>
      <c r="D218" s="321"/>
      <c r="E218" s="321"/>
      <c r="F218" s="321"/>
      <c r="G218" s="321"/>
      <c r="H218" s="321"/>
      <c r="I218" s="321"/>
      <c r="J218" s="321"/>
      <c r="K218" s="321"/>
      <c r="L218" s="321"/>
      <c r="M218" s="321"/>
      <c r="N218" s="321"/>
      <c r="O218" s="321"/>
      <c r="P218" s="321"/>
      <c r="Q218" s="321"/>
      <c r="R218" s="321"/>
      <c r="S218" s="321"/>
      <c r="T218" s="321"/>
      <c r="U218" s="321"/>
      <c r="V218" s="321"/>
      <c r="W218" s="321"/>
      <c r="X218" s="321"/>
      <c r="Y218" s="321"/>
    </row>
    <row r="219" spans="1:25" ht="12.75" x14ac:dyDescent="0.2">
      <c r="A219" s="321"/>
      <c r="B219" s="321"/>
      <c r="C219" s="321"/>
      <c r="D219" s="321"/>
      <c r="E219" s="321"/>
      <c r="F219" s="321"/>
      <c r="G219" s="321"/>
      <c r="H219" s="321"/>
      <c r="I219" s="321"/>
      <c r="J219" s="321"/>
      <c r="K219" s="321"/>
      <c r="L219" s="321"/>
      <c r="M219" s="321"/>
      <c r="N219" s="321"/>
      <c r="O219" s="321"/>
      <c r="P219" s="321"/>
      <c r="Q219" s="321"/>
      <c r="R219" s="321"/>
      <c r="S219" s="321"/>
      <c r="T219" s="321"/>
      <c r="U219" s="321"/>
      <c r="V219" s="321"/>
      <c r="W219" s="321"/>
      <c r="X219" s="321"/>
      <c r="Y219" s="321"/>
    </row>
    <row r="220" spans="1:25" ht="12.75" x14ac:dyDescent="0.2">
      <c r="A220" s="321"/>
      <c r="B220" s="321"/>
      <c r="C220" s="321"/>
      <c r="D220" s="321"/>
      <c r="E220" s="321"/>
      <c r="F220" s="321"/>
      <c r="G220" s="321"/>
      <c r="H220" s="321"/>
      <c r="I220" s="321"/>
      <c r="J220" s="321"/>
      <c r="K220" s="321"/>
      <c r="L220" s="321"/>
      <c r="M220" s="321"/>
      <c r="N220" s="321"/>
      <c r="O220" s="321"/>
      <c r="P220" s="321"/>
      <c r="Q220" s="321"/>
      <c r="R220" s="321"/>
      <c r="S220" s="321"/>
      <c r="T220" s="321"/>
      <c r="U220" s="321"/>
      <c r="V220" s="321"/>
      <c r="W220" s="321"/>
      <c r="X220" s="321"/>
      <c r="Y220" s="321"/>
    </row>
    <row r="221" spans="1:25" ht="12.75" x14ac:dyDescent="0.2">
      <c r="A221" s="321"/>
      <c r="B221" s="321"/>
      <c r="C221" s="321"/>
      <c r="D221" s="321"/>
      <c r="E221" s="321"/>
      <c r="F221" s="321"/>
      <c r="G221" s="321"/>
      <c r="H221" s="321"/>
      <c r="I221" s="321"/>
      <c r="J221" s="321"/>
      <c r="K221" s="321"/>
      <c r="L221" s="321"/>
      <c r="M221" s="321"/>
      <c r="N221" s="321"/>
      <c r="O221" s="321"/>
      <c r="P221" s="321"/>
      <c r="Q221" s="321"/>
      <c r="R221" s="321"/>
      <c r="S221" s="321"/>
      <c r="T221" s="321"/>
      <c r="U221" s="321"/>
      <c r="V221" s="321"/>
      <c r="W221" s="321"/>
      <c r="X221" s="321"/>
      <c r="Y221" s="321"/>
    </row>
    <row r="222" spans="1:25" ht="12.75" x14ac:dyDescent="0.2">
      <c r="A222" s="321"/>
      <c r="B222" s="321"/>
      <c r="C222" s="321"/>
      <c r="D222" s="321"/>
      <c r="E222" s="321"/>
      <c r="F222" s="321"/>
      <c r="G222" s="321"/>
      <c r="H222" s="321"/>
      <c r="I222" s="321"/>
      <c r="J222" s="321"/>
      <c r="K222" s="321"/>
      <c r="L222" s="321"/>
      <c r="M222" s="321"/>
      <c r="N222" s="321"/>
      <c r="O222" s="321"/>
      <c r="P222" s="321"/>
      <c r="Q222" s="321"/>
      <c r="R222" s="321"/>
      <c r="S222" s="321"/>
      <c r="T222" s="321"/>
      <c r="U222" s="321"/>
      <c r="V222" s="321"/>
      <c r="W222" s="321"/>
      <c r="X222" s="321"/>
      <c r="Y222" s="321"/>
    </row>
    <row r="223" spans="1:25" ht="12.75" x14ac:dyDescent="0.2">
      <c r="A223" s="321"/>
      <c r="B223" s="321"/>
      <c r="C223" s="321"/>
      <c r="D223" s="321"/>
      <c r="E223" s="321"/>
      <c r="F223" s="321"/>
      <c r="G223" s="321"/>
      <c r="H223" s="321"/>
      <c r="I223" s="321"/>
      <c r="J223" s="321"/>
      <c r="K223" s="321"/>
      <c r="L223" s="321"/>
      <c r="M223" s="321"/>
      <c r="N223" s="321"/>
      <c r="O223" s="321"/>
      <c r="P223" s="321"/>
      <c r="Q223" s="321"/>
      <c r="R223" s="321"/>
      <c r="S223" s="321"/>
      <c r="T223" s="321"/>
      <c r="U223" s="321"/>
      <c r="V223" s="321"/>
      <c r="W223" s="321"/>
      <c r="X223" s="321"/>
      <c r="Y223" s="321"/>
    </row>
    <row r="224" spans="1:25" ht="12.75" x14ac:dyDescent="0.2">
      <c r="A224" s="321"/>
      <c r="B224" s="321"/>
      <c r="C224" s="321"/>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row>
    <row r="225" spans="1:25" ht="12.75" x14ac:dyDescent="0.2">
      <c r="A225" s="321"/>
      <c r="B225" s="321"/>
      <c r="C225" s="321"/>
      <c r="D225" s="321"/>
      <c r="E225" s="321"/>
      <c r="F225" s="321"/>
      <c r="G225" s="321"/>
      <c r="H225" s="321"/>
      <c r="I225" s="321"/>
      <c r="J225" s="321"/>
      <c r="K225" s="321"/>
      <c r="L225" s="321"/>
      <c r="M225" s="321"/>
      <c r="N225" s="321"/>
      <c r="O225" s="321"/>
      <c r="P225" s="321"/>
      <c r="Q225" s="321"/>
      <c r="R225" s="321"/>
      <c r="S225" s="321"/>
      <c r="T225" s="321"/>
      <c r="U225" s="321"/>
      <c r="V225" s="321"/>
      <c r="W225" s="321"/>
      <c r="X225" s="321"/>
      <c r="Y225" s="321"/>
    </row>
    <row r="226" spans="1:25" ht="12.75" x14ac:dyDescent="0.2">
      <c r="A226" s="321"/>
      <c r="B226" s="321"/>
      <c r="C226" s="321"/>
      <c r="D226" s="321"/>
      <c r="E226" s="321"/>
      <c r="F226" s="321"/>
      <c r="G226" s="321"/>
      <c r="H226" s="321"/>
      <c r="I226" s="321"/>
      <c r="J226" s="321"/>
      <c r="K226" s="321"/>
      <c r="L226" s="321"/>
      <c r="M226" s="321"/>
      <c r="N226" s="321"/>
      <c r="O226" s="321"/>
      <c r="P226" s="321"/>
      <c r="Q226" s="321"/>
      <c r="R226" s="321"/>
      <c r="S226" s="321"/>
      <c r="T226" s="321"/>
      <c r="U226" s="321"/>
      <c r="V226" s="321"/>
      <c r="W226" s="321"/>
      <c r="X226" s="321"/>
      <c r="Y226" s="321"/>
    </row>
    <row r="227" spans="1:25" ht="12.75" x14ac:dyDescent="0.2">
      <c r="A227" s="321"/>
      <c r="B227" s="321"/>
      <c r="C227" s="321"/>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row>
    <row r="228" spans="1:25" ht="12.75" x14ac:dyDescent="0.2">
      <c r="A228" s="321"/>
      <c r="B228" s="321"/>
      <c r="C228" s="321"/>
      <c r="D228" s="321"/>
      <c r="E228" s="321"/>
      <c r="F228" s="321"/>
      <c r="G228" s="321"/>
      <c r="H228" s="321"/>
      <c r="I228" s="321"/>
      <c r="J228" s="321"/>
      <c r="K228" s="321"/>
      <c r="L228" s="321"/>
      <c r="M228" s="321"/>
      <c r="N228" s="321"/>
      <c r="O228" s="321"/>
      <c r="P228" s="321"/>
      <c r="Q228" s="321"/>
      <c r="R228" s="321"/>
      <c r="S228" s="321"/>
      <c r="T228" s="321"/>
      <c r="U228" s="321"/>
      <c r="V228" s="321"/>
      <c r="W228" s="321"/>
      <c r="X228" s="321"/>
      <c r="Y228" s="321"/>
    </row>
    <row r="229" spans="1:25" ht="12.75" x14ac:dyDescent="0.2">
      <c r="A229" s="321"/>
      <c r="B229" s="321"/>
      <c r="C229" s="321"/>
      <c r="D229" s="321"/>
      <c r="E229" s="321"/>
      <c r="F229" s="321"/>
      <c r="G229" s="321"/>
      <c r="H229" s="321"/>
      <c r="I229" s="321"/>
      <c r="J229" s="321"/>
      <c r="K229" s="321"/>
      <c r="L229" s="321"/>
      <c r="M229" s="321"/>
      <c r="N229" s="321"/>
      <c r="O229" s="321"/>
      <c r="P229" s="321"/>
      <c r="Q229" s="321"/>
      <c r="R229" s="321"/>
      <c r="S229" s="321"/>
      <c r="T229" s="321"/>
      <c r="U229" s="321"/>
      <c r="V229" s="321"/>
      <c r="W229" s="321"/>
      <c r="X229" s="321"/>
      <c r="Y229" s="321"/>
    </row>
    <row r="230" spans="1:25" ht="12.75" x14ac:dyDescent="0.2">
      <c r="A230" s="321"/>
      <c r="B230" s="321"/>
      <c r="C230" s="321"/>
      <c r="D230" s="321"/>
      <c r="E230" s="321"/>
      <c r="F230" s="321"/>
      <c r="G230" s="321"/>
      <c r="H230" s="321"/>
      <c r="I230" s="321"/>
      <c r="J230" s="321"/>
      <c r="K230" s="321"/>
      <c r="L230" s="321"/>
      <c r="M230" s="321"/>
      <c r="N230" s="321"/>
      <c r="O230" s="321"/>
      <c r="P230" s="321"/>
      <c r="Q230" s="321"/>
      <c r="R230" s="321"/>
      <c r="S230" s="321"/>
      <c r="T230" s="321"/>
      <c r="U230" s="321"/>
      <c r="V230" s="321"/>
      <c r="W230" s="321"/>
      <c r="X230" s="321"/>
      <c r="Y230" s="321"/>
    </row>
    <row r="231" spans="1:25" ht="12.75" x14ac:dyDescent="0.2">
      <c r="A231" s="321"/>
      <c r="B231" s="321"/>
      <c r="C231" s="321"/>
      <c r="D231" s="321"/>
      <c r="E231" s="321"/>
      <c r="F231" s="321"/>
      <c r="G231" s="321"/>
      <c r="H231" s="321"/>
      <c r="I231" s="321"/>
      <c r="J231" s="321"/>
      <c r="K231" s="321"/>
      <c r="L231" s="321"/>
      <c r="M231" s="321"/>
      <c r="N231" s="321"/>
      <c r="O231" s="321"/>
      <c r="P231" s="321"/>
      <c r="Q231" s="321"/>
      <c r="R231" s="321"/>
      <c r="S231" s="321"/>
      <c r="T231" s="321"/>
      <c r="U231" s="321"/>
      <c r="V231" s="321"/>
      <c r="W231" s="321"/>
      <c r="X231" s="321"/>
      <c r="Y231" s="321"/>
    </row>
    <row r="232" spans="1:25" ht="12.75" x14ac:dyDescent="0.2">
      <c r="A232" s="321"/>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row>
    <row r="233" spans="1:25" ht="12.75" x14ac:dyDescent="0.2">
      <c r="A233" s="321"/>
      <c r="B233" s="321"/>
      <c r="C233" s="321"/>
      <c r="D233" s="321"/>
      <c r="E233" s="321"/>
      <c r="F233" s="321"/>
      <c r="G233" s="321"/>
      <c r="H233" s="321"/>
      <c r="I233" s="321"/>
      <c r="J233" s="321"/>
      <c r="K233" s="321"/>
      <c r="L233" s="321"/>
      <c r="M233" s="321"/>
      <c r="N233" s="321"/>
      <c r="O233" s="321"/>
      <c r="P233" s="321"/>
      <c r="Q233" s="321"/>
      <c r="R233" s="321"/>
      <c r="S233" s="321"/>
      <c r="T233" s="321"/>
      <c r="U233" s="321"/>
      <c r="V233" s="321"/>
      <c r="W233" s="321"/>
      <c r="X233" s="321"/>
      <c r="Y233" s="321"/>
    </row>
    <row r="234" spans="1:25" ht="12.75" x14ac:dyDescent="0.2">
      <c r="A234" s="321"/>
      <c r="B234" s="321"/>
      <c r="C234" s="321"/>
      <c r="D234" s="321"/>
      <c r="E234" s="321"/>
      <c r="F234" s="321"/>
      <c r="G234" s="321"/>
      <c r="H234" s="321"/>
      <c r="I234" s="321"/>
      <c r="J234" s="321"/>
      <c r="K234" s="321"/>
      <c r="L234" s="321"/>
      <c r="M234" s="321"/>
      <c r="N234" s="321"/>
      <c r="O234" s="321"/>
      <c r="P234" s="321"/>
      <c r="Q234" s="321"/>
      <c r="R234" s="321"/>
      <c r="S234" s="321"/>
      <c r="T234" s="321"/>
      <c r="U234" s="321"/>
      <c r="V234" s="321"/>
      <c r="W234" s="321"/>
      <c r="X234" s="321"/>
      <c r="Y234" s="321"/>
    </row>
    <row r="235" spans="1:25" ht="12.75" x14ac:dyDescent="0.2">
      <c r="A235" s="321"/>
      <c r="B235" s="321"/>
      <c r="C235" s="321"/>
      <c r="D235" s="321"/>
      <c r="E235" s="321"/>
      <c r="F235" s="321"/>
      <c r="G235" s="321"/>
      <c r="H235" s="321"/>
      <c r="I235" s="321"/>
      <c r="J235" s="321"/>
      <c r="K235" s="321"/>
      <c r="L235" s="321"/>
      <c r="M235" s="321"/>
      <c r="N235" s="321"/>
      <c r="O235" s="321"/>
      <c r="P235" s="321"/>
      <c r="Q235" s="321"/>
      <c r="R235" s="321"/>
      <c r="S235" s="321"/>
      <c r="T235" s="321"/>
      <c r="U235" s="321"/>
      <c r="V235" s="321"/>
      <c r="W235" s="321"/>
      <c r="X235" s="321"/>
      <c r="Y235" s="321"/>
    </row>
    <row r="236" spans="1:25" ht="12.75" x14ac:dyDescent="0.2">
      <c r="A236" s="321"/>
      <c r="B236" s="321"/>
      <c r="C236" s="321"/>
      <c r="D236" s="321"/>
      <c r="E236" s="321"/>
      <c r="F236" s="321"/>
      <c r="G236" s="321"/>
      <c r="H236" s="321"/>
      <c r="I236" s="321"/>
      <c r="J236" s="321"/>
      <c r="K236" s="321"/>
      <c r="L236" s="321"/>
      <c r="M236" s="321"/>
      <c r="N236" s="321"/>
      <c r="O236" s="321"/>
      <c r="P236" s="321"/>
      <c r="Q236" s="321"/>
      <c r="R236" s="321"/>
      <c r="S236" s="321"/>
      <c r="T236" s="321"/>
      <c r="U236" s="321"/>
      <c r="V236" s="321"/>
      <c r="W236" s="321"/>
      <c r="X236" s="321"/>
      <c r="Y236" s="321"/>
    </row>
    <row r="237" spans="1:25" ht="12.75" x14ac:dyDescent="0.2">
      <c r="A237" s="321"/>
      <c r="B237" s="321"/>
      <c r="C237" s="321"/>
      <c r="D237" s="321"/>
      <c r="E237" s="321"/>
      <c r="F237" s="321"/>
      <c r="G237" s="321"/>
      <c r="H237" s="321"/>
      <c r="I237" s="321"/>
      <c r="J237" s="321"/>
      <c r="K237" s="321"/>
      <c r="L237" s="321"/>
      <c r="M237" s="321"/>
      <c r="N237" s="321"/>
      <c r="O237" s="321"/>
      <c r="P237" s="321"/>
      <c r="Q237" s="321"/>
      <c r="R237" s="321"/>
      <c r="S237" s="321"/>
      <c r="T237" s="321"/>
      <c r="U237" s="321"/>
      <c r="V237" s="321"/>
      <c r="W237" s="321"/>
      <c r="X237" s="321"/>
      <c r="Y237" s="321"/>
    </row>
    <row r="238" spans="1:25" ht="12.75" x14ac:dyDescent="0.2">
      <c r="A238" s="321"/>
      <c r="B238" s="321"/>
      <c r="C238" s="321"/>
      <c r="D238" s="321"/>
      <c r="E238" s="321"/>
      <c r="F238" s="321"/>
      <c r="G238" s="321"/>
      <c r="H238" s="321"/>
      <c r="I238" s="321"/>
      <c r="J238" s="321"/>
      <c r="K238" s="321"/>
      <c r="L238" s="321"/>
      <c r="M238" s="321"/>
      <c r="N238" s="321"/>
      <c r="O238" s="321"/>
      <c r="P238" s="321"/>
      <c r="Q238" s="321"/>
      <c r="R238" s="321"/>
      <c r="S238" s="321"/>
      <c r="T238" s="321"/>
      <c r="U238" s="321"/>
      <c r="V238" s="321"/>
      <c r="W238" s="321"/>
      <c r="X238" s="321"/>
      <c r="Y238" s="321"/>
    </row>
    <row r="239" spans="1:25" ht="12.75" x14ac:dyDescent="0.2">
      <c r="A239" s="321"/>
      <c r="B239" s="321"/>
      <c r="C239" s="321"/>
      <c r="D239" s="321"/>
      <c r="E239" s="321"/>
      <c r="F239" s="321"/>
      <c r="G239" s="321"/>
      <c r="H239" s="321"/>
      <c r="I239" s="321"/>
      <c r="J239" s="321"/>
      <c r="K239" s="321"/>
      <c r="L239" s="321"/>
      <c r="M239" s="321"/>
      <c r="N239" s="321"/>
      <c r="O239" s="321"/>
      <c r="P239" s="321"/>
      <c r="Q239" s="321"/>
      <c r="R239" s="321"/>
      <c r="S239" s="321"/>
      <c r="T239" s="321"/>
      <c r="U239" s="321"/>
      <c r="V239" s="321"/>
      <c r="W239" s="321"/>
      <c r="X239" s="321"/>
      <c r="Y239" s="321"/>
    </row>
    <row r="240" spans="1:25" ht="12.75" x14ac:dyDescent="0.2">
      <c r="A240" s="321"/>
      <c r="B240" s="321"/>
      <c r="C240" s="321"/>
      <c r="D240" s="321"/>
      <c r="E240" s="321"/>
      <c r="F240" s="321"/>
      <c r="G240" s="321"/>
      <c r="H240" s="321"/>
      <c r="I240" s="321"/>
      <c r="J240" s="321"/>
      <c r="K240" s="321"/>
      <c r="L240" s="321"/>
      <c r="M240" s="321"/>
      <c r="N240" s="321"/>
      <c r="O240" s="321"/>
      <c r="P240" s="321"/>
      <c r="Q240" s="321"/>
      <c r="R240" s="321"/>
      <c r="S240" s="321"/>
      <c r="T240" s="321"/>
      <c r="U240" s="321"/>
      <c r="V240" s="321"/>
      <c r="W240" s="321"/>
      <c r="X240" s="321"/>
      <c r="Y240" s="321"/>
    </row>
    <row r="241" spans="1:25" ht="12.75" x14ac:dyDescent="0.2">
      <c r="A241" s="321"/>
      <c r="B241" s="321"/>
      <c r="C241" s="321"/>
      <c r="D241" s="321"/>
      <c r="E241" s="321"/>
      <c r="F241" s="321"/>
      <c r="G241" s="321"/>
      <c r="H241" s="321"/>
      <c r="I241" s="321"/>
      <c r="J241" s="321"/>
      <c r="K241" s="321"/>
      <c r="L241" s="321"/>
      <c r="M241" s="321"/>
      <c r="N241" s="321"/>
      <c r="O241" s="321"/>
      <c r="P241" s="321"/>
      <c r="Q241" s="321"/>
      <c r="R241" s="321"/>
      <c r="S241" s="321"/>
      <c r="T241" s="321"/>
      <c r="U241" s="321"/>
      <c r="V241" s="321"/>
      <c r="W241" s="321"/>
      <c r="X241" s="321"/>
      <c r="Y241" s="321"/>
    </row>
    <row r="242" spans="1:25" ht="12.75" x14ac:dyDescent="0.2">
      <c r="A242" s="321"/>
      <c r="B242" s="321"/>
      <c r="C242" s="321"/>
      <c r="D242" s="321"/>
      <c r="E242" s="321"/>
      <c r="F242" s="321"/>
      <c r="G242" s="321"/>
      <c r="H242" s="321"/>
      <c r="I242" s="321"/>
      <c r="J242" s="321"/>
      <c r="K242" s="321"/>
      <c r="L242" s="321"/>
      <c r="M242" s="321"/>
      <c r="N242" s="321"/>
      <c r="O242" s="321"/>
      <c r="P242" s="321"/>
      <c r="Q242" s="321"/>
      <c r="R242" s="321"/>
      <c r="S242" s="321"/>
      <c r="T242" s="321"/>
      <c r="U242" s="321"/>
      <c r="V242" s="321"/>
      <c r="W242" s="321"/>
      <c r="X242" s="321"/>
      <c r="Y242" s="321"/>
    </row>
    <row r="243" spans="1:25" ht="12.75" x14ac:dyDescent="0.2">
      <c r="A243" s="321"/>
      <c r="B243" s="321"/>
      <c r="C243" s="321"/>
      <c r="D243" s="321"/>
      <c r="E243" s="321"/>
      <c r="F243" s="321"/>
      <c r="G243" s="321"/>
      <c r="H243" s="321"/>
      <c r="I243" s="321"/>
      <c r="J243" s="321"/>
      <c r="K243" s="321"/>
      <c r="L243" s="321"/>
      <c r="M243" s="321"/>
      <c r="N243" s="321"/>
      <c r="O243" s="321"/>
      <c r="P243" s="321"/>
      <c r="Q243" s="321"/>
      <c r="R243" s="321"/>
      <c r="S243" s="321"/>
      <c r="T243" s="321"/>
      <c r="U243" s="321"/>
      <c r="V243" s="321"/>
      <c r="W243" s="321"/>
      <c r="X243" s="321"/>
      <c r="Y243" s="321"/>
    </row>
    <row r="244" spans="1:25" ht="12.75" x14ac:dyDescent="0.2">
      <c r="A244" s="321"/>
      <c r="B244" s="321"/>
      <c r="C244" s="321"/>
      <c r="D244" s="321"/>
      <c r="E244" s="321"/>
      <c r="F244" s="321"/>
      <c r="G244" s="321"/>
      <c r="H244" s="321"/>
      <c r="I244" s="321"/>
      <c r="J244" s="321"/>
      <c r="K244" s="321"/>
      <c r="L244" s="321"/>
      <c r="M244" s="321"/>
      <c r="N244" s="321"/>
      <c r="O244" s="321"/>
      <c r="P244" s="321"/>
      <c r="Q244" s="321"/>
      <c r="R244" s="321"/>
      <c r="S244" s="321"/>
      <c r="T244" s="321"/>
      <c r="U244" s="321"/>
      <c r="V244" s="321"/>
      <c r="W244" s="321"/>
      <c r="X244" s="321"/>
      <c r="Y244" s="321"/>
    </row>
    <row r="245" spans="1:25" ht="12.75" x14ac:dyDescent="0.2">
      <c r="A245" s="321"/>
      <c r="B245" s="321"/>
      <c r="C245" s="321"/>
      <c r="D245" s="321"/>
      <c r="E245" s="321"/>
      <c r="F245" s="321"/>
      <c r="G245" s="321"/>
      <c r="H245" s="321"/>
      <c r="I245" s="321"/>
      <c r="J245" s="321"/>
      <c r="K245" s="321"/>
      <c r="L245" s="321"/>
      <c r="M245" s="321"/>
      <c r="N245" s="321"/>
      <c r="O245" s="321"/>
      <c r="P245" s="321"/>
      <c r="Q245" s="321"/>
      <c r="R245" s="321"/>
      <c r="S245" s="321"/>
      <c r="T245" s="321"/>
      <c r="U245" s="321"/>
      <c r="V245" s="321"/>
      <c r="W245" s="321"/>
      <c r="X245" s="321"/>
      <c r="Y245" s="321"/>
    </row>
    <row r="246" spans="1:25" ht="12.75" x14ac:dyDescent="0.2">
      <c r="A246" s="321"/>
      <c r="B246" s="321"/>
      <c r="C246" s="321"/>
      <c r="D246" s="321"/>
      <c r="E246" s="321"/>
      <c r="F246" s="321"/>
      <c r="G246" s="321"/>
      <c r="H246" s="321"/>
      <c r="I246" s="321"/>
      <c r="J246" s="321"/>
      <c r="K246" s="321"/>
      <c r="L246" s="321"/>
      <c r="M246" s="321"/>
      <c r="N246" s="321"/>
      <c r="O246" s="321"/>
      <c r="P246" s="321"/>
      <c r="Q246" s="321"/>
      <c r="R246" s="321"/>
      <c r="S246" s="321"/>
      <c r="T246" s="321"/>
      <c r="U246" s="321"/>
      <c r="V246" s="321"/>
      <c r="W246" s="321"/>
      <c r="X246" s="321"/>
      <c r="Y246" s="321"/>
    </row>
    <row r="247" spans="1:25" ht="12.75" x14ac:dyDescent="0.2">
      <c r="A247" s="321"/>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row>
    <row r="248" spans="1:25" ht="12.75" x14ac:dyDescent="0.2">
      <c r="A248" s="321"/>
      <c r="B248" s="321"/>
      <c r="C248" s="321"/>
      <c r="D248" s="321"/>
      <c r="E248" s="321"/>
      <c r="F248" s="321"/>
      <c r="G248" s="321"/>
      <c r="H248" s="321"/>
      <c r="I248" s="321"/>
      <c r="J248" s="321"/>
      <c r="K248" s="321"/>
      <c r="L248" s="321"/>
      <c r="M248" s="321"/>
      <c r="N248" s="321"/>
      <c r="O248" s="321"/>
      <c r="P248" s="321"/>
      <c r="Q248" s="321"/>
      <c r="R248" s="321"/>
      <c r="S248" s="321"/>
      <c r="T248" s="321"/>
      <c r="U248" s="321"/>
      <c r="V248" s="321"/>
      <c r="W248" s="321"/>
      <c r="X248" s="321"/>
      <c r="Y248" s="321"/>
    </row>
    <row r="249" spans="1:25" ht="12.75" x14ac:dyDescent="0.2">
      <c r="A249" s="321"/>
      <c r="B249" s="321"/>
      <c r="C249" s="321"/>
      <c r="D249" s="321"/>
      <c r="E249" s="321"/>
      <c r="F249" s="321"/>
      <c r="G249" s="321"/>
      <c r="H249" s="321"/>
      <c r="I249" s="321"/>
      <c r="J249" s="321"/>
      <c r="K249" s="321"/>
      <c r="L249" s="321"/>
      <c r="M249" s="321"/>
      <c r="N249" s="321"/>
      <c r="O249" s="321"/>
      <c r="P249" s="321"/>
      <c r="Q249" s="321"/>
      <c r="R249" s="321"/>
      <c r="S249" s="321"/>
      <c r="T249" s="321"/>
      <c r="U249" s="321"/>
      <c r="V249" s="321"/>
      <c r="W249" s="321"/>
      <c r="X249" s="321"/>
      <c r="Y249" s="321"/>
    </row>
    <row r="250" spans="1:25" ht="12.75" x14ac:dyDescent="0.2">
      <c r="A250" s="321"/>
      <c r="B250" s="321"/>
      <c r="C250" s="321"/>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row>
    <row r="251" spans="1:25" ht="12.75" x14ac:dyDescent="0.2">
      <c r="A251" s="321"/>
      <c r="B251" s="321"/>
      <c r="C251" s="321"/>
      <c r="D251" s="321"/>
      <c r="E251" s="321"/>
      <c r="F251" s="321"/>
      <c r="G251" s="321"/>
      <c r="H251" s="321"/>
      <c r="I251" s="321"/>
      <c r="J251" s="321"/>
      <c r="K251" s="321"/>
      <c r="L251" s="321"/>
      <c r="M251" s="321"/>
      <c r="N251" s="321"/>
      <c r="O251" s="321"/>
      <c r="P251" s="321"/>
      <c r="Q251" s="321"/>
      <c r="R251" s="321"/>
      <c r="S251" s="321"/>
      <c r="T251" s="321"/>
      <c r="U251" s="321"/>
      <c r="V251" s="321"/>
      <c r="W251" s="321"/>
      <c r="X251" s="321"/>
      <c r="Y251" s="321"/>
    </row>
    <row r="252" spans="1:25" ht="12.75" x14ac:dyDescent="0.2">
      <c r="A252" s="321"/>
      <c r="B252" s="321"/>
      <c r="C252" s="321"/>
      <c r="D252" s="321"/>
      <c r="E252" s="321"/>
      <c r="F252" s="321"/>
      <c r="G252" s="321"/>
      <c r="H252" s="321"/>
      <c r="I252" s="321"/>
      <c r="J252" s="321"/>
      <c r="K252" s="321"/>
      <c r="L252" s="321"/>
      <c r="M252" s="321"/>
      <c r="N252" s="321"/>
      <c r="O252" s="321"/>
      <c r="P252" s="321"/>
      <c r="Q252" s="321"/>
      <c r="R252" s="321"/>
      <c r="S252" s="321"/>
      <c r="T252" s="321"/>
      <c r="U252" s="321"/>
      <c r="V252" s="321"/>
      <c r="W252" s="321"/>
      <c r="X252" s="321"/>
      <c r="Y252" s="321"/>
    </row>
    <row r="253" spans="1:25" ht="12.75" x14ac:dyDescent="0.2">
      <c r="A253" s="321"/>
      <c r="B253" s="321"/>
      <c r="C253" s="321"/>
      <c r="D253" s="321"/>
      <c r="E253" s="321"/>
      <c r="F253" s="321"/>
      <c r="G253" s="321"/>
      <c r="H253" s="321"/>
      <c r="I253" s="321"/>
      <c r="J253" s="321"/>
      <c r="K253" s="321"/>
      <c r="L253" s="321"/>
      <c r="M253" s="321"/>
      <c r="N253" s="321"/>
      <c r="O253" s="321"/>
      <c r="P253" s="321"/>
      <c r="Q253" s="321"/>
      <c r="R253" s="321"/>
      <c r="S253" s="321"/>
      <c r="T253" s="321"/>
      <c r="U253" s="321"/>
      <c r="V253" s="321"/>
      <c r="W253" s="321"/>
      <c r="X253" s="321"/>
      <c r="Y253" s="321"/>
    </row>
    <row r="254" spans="1:25" ht="12.75" x14ac:dyDescent="0.2">
      <c r="A254" s="321"/>
      <c r="B254" s="321"/>
      <c r="C254" s="321"/>
      <c r="D254" s="321"/>
      <c r="E254" s="321"/>
      <c r="F254" s="321"/>
      <c r="G254" s="321"/>
      <c r="H254" s="321"/>
      <c r="I254" s="321"/>
      <c r="J254" s="321"/>
      <c r="K254" s="321"/>
      <c r="L254" s="321"/>
      <c r="M254" s="321"/>
      <c r="N254" s="321"/>
      <c r="O254" s="321"/>
      <c r="P254" s="321"/>
      <c r="Q254" s="321"/>
      <c r="R254" s="321"/>
      <c r="S254" s="321"/>
      <c r="T254" s="321"/>
      <c r="U254" s="321"/>
      <c r="V254" s="321"/>
      <c r="W254" s="321"/>
      <c r="X254" s="321"/>
      <c r="Y254" s="321"/>
    </row>
    <row r="255" spans="1:25" ht="12.75" x14ac:dyDescent="0.2">
      <c r="A255" s="321"/>
      <c r="B255" s="321"/>
      <c r="C255" s="321"/>
      <c r="D255" s="321"/>
      <c r="E255" s="321"/>
      <c r="F255" s="321"/>
      <c r="G255" s="321"/>
      <c r="H255" s="321"/>
      <c r="I255" s="321"/>
      <c r="J255" s="321"/>
      <c r="K255" s="321"/>
      <c r="L255" s="321"/>
      <c r="M255" s="321"/>
      <c r="N255" s="321"/>
      <c r="O255" s="321"/>
      <c r="P255" s="321"/>
      <c r="Q255" s="321"/>
      <c r="R255" s="321"/>
      <c r="S255" s="321"/>
      <c r="T255" s="321"/>
      <c r="U255" s="321"/>
      <c r="V255" s="321"/>
      <c r="W255" s="321"/>
      <c r="X255" s="321"/>
      <c r="Y255" s="321"/>
    </row>
    <row r="256" spans="1:25" ht="12.75" x14ac:dyDescent="0.2">
      <c r="A256" s="321"/>
      <c r="B256" s="321"/>
      <c r="C256" s="321"/>
      <c r="D256" s="321"/>
      <c r="E256" s="321"/>
      <c r="F256" s="321"/>
      <c r="G256" s="321"/>
      <c r="H256" s="321"/>
      <c r="I256" s="321"/>
      <c r="J256" s="321"/>
      <c r="K256" s="321"/>
      <c r="L256" s="321"/>
      <c r="M256" s="321"/>
      <c r="N256" s="321"/>
      <c r="O256" s="321"/>
      <c r="P256" s="321"/>
      <c r="Q256" s="321"/>
      <c r="R256" s="321"/>
      <c r="S256" s="321"/>
      <c r="T256" s="321"/>
      <c r="U256" s="321"/>
      <c r="V256" s="321"/>
      <c r="W256" s="321"/>
      <c r="X256" s="321"/>
      <c r="Y256" s="321"/>
    </row>
    <row r="257" spans="1:25" ht="12.75" x14ac:dyDescent="0.2">
      <c r="A257" s="321"/>
      <c r="B257" s="321"/>
      <c r="C257" s="321"/>
      <c r="D257" s="321"/>
      <c r="E257" s="321"/>
      <c r="F257" s="321"/>
      <c r="G257" s="321"/>
      <c r="H257" s="321"/>
      <c r="I257" s="321"/>
      <c r="J257" s="321"/>
      <c r="K257" s="321"/>
      <c r="L257" s="321"/>
      <c r="M257" s="321"/>
      <c r="N257" s="321"/>
      <c r="O257" s="321"/>
      <c r="P257" s="321"/>
      <c r="Q257" s="321"/>
      <c r="R257" s="321"/>
      <c r="S257" s="321"/>
      <c r="T257" s="321"/>
      <c r="U257" s="321"/>
      <c r="V257" s="321"/>
      <c r="W257" s="321"/>
      <c r="X257" s="321"/>
      <c r="Y257" s="321"/>
    </row>
    <row r="258" spans="1:25" ht="12.75" x14ac:dyDescent="0.2">
      <c r="A258" s="321"/>
      <c r="B258" s="321"/>
      <c r="C258" s="321"/>
      <c r="D258" s="321"/>
      <c r="E258" s="321"/>
      <c r="F258" s="321"/>
      <c r="G258" s="321"/>
      <c r="H258" s="321"/>
      <c r="I258" s="321"/>
      <c r="J258" s="321"/>
      <c r="K258" s="321"/>
      <c r="L258" s="321"/>
      <c r="M258" s="321"/>
      <c r="N258" s="321"/>
      <c r="O258" s="321"/>
      <c r="P258" s="321"/>
      <c r="Q258" s="321"/>
      <c r="R258" s="321"/>
      <c r="S258" s="321"/>
      <c r="T258" s="321"/>
      <c r="U258" s="321"/>
      <c r="V258" s="321"/>
      <c r="W258" s="321"/>
      <c r="X258" s="321"/>
      <c r="Y258" s="321"/>
    </row>
    <row r="259" spans="1:25" ht="12.75" x14ac:dyDescent="0.2">
      <c r="A259" s="321"/>
      <c r="B259" s="321"/>
      <c r="C259" s="321"/>
      <c r="D259" s="321"/>
      <c r="E259" s="321"/>
      <c r="F259" s="321"/>
      <c r="G259" s="321"/>
      <c r="H259" s="321"/>
      <c r="I259" s="321"/>
      <c r="J259" s="321"/>
      <c r="K259" s="321"/>
      <c r="L259" s="321"/>
      <c r="M259" s="321"/>
      <c r="N259" s="321"/>
      <c r="O259" s="321"/>
      <c r="P259" s="321"/>
      <c r="Q259" s="321"/>
      <c r="R259" s="321"/>
      <c r="S259" s="321"/>
      <c r="T259" s="321"/>
      <c r="U259" s="321"/>
      <c r="V259" s="321"/>
      <c r="W259" s="321"/>
      <c r="X259" s="321"/>
      <c r="Y259" s="321"/>
    </row>
    <row r="260" spans="1:25" ht="12.75" x14ac:dyDescent="0.2">
      <c r="A260" s="321"/>
      <c r="B260" s="321"/>
      <c r="C260" s="321"/>
      <c r="D260" s="321"/>
      <c r="E260" s="321"/>
      <c r="F260" s="321"/>
      <c r="G260" s="321"/>
      <c r="H260" s="321"/>
      <c r="I260" s="321"/>
      <c r="J260" s="321"/>
      <c r="K260" s="321"/>
      <c r="L260" s="321"/>
      <c r="M260" s="321"/>
      <c r="N260" s="321"/>
      <c r="O260" s="321"/>
      <c r="P260" s="321"/>
      <c r="Q260" s="321"/>
      <c r="R260" s="321"/>
      <c r="S260" s="321"/>
      <c r="T260" s="321"/>
      <c r="U260" s="321"/>
      <c r="V260" s="321"/>
      <c r="W260" s="321"/>
      <c r="X260" s="321"/>
      <c r="Y260" s="321"/>
    </row>
    <row r="261" spans="1:25" ht="12.75" x14ac:dyDescent="0.2">
      <c r="A261" s="321"/>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row>
    <row r="262" spans="1:25" ht="12.75" x14ac:dyDescent="0.2">
      <c r="A262" s="321"/>
      <c r="B262" s="321"/>
      <c r="C262" s="321"/>
      <c r="D262" s="321"/>
      <c r="E262" s="321"/>
      <c r="F262" s="321"/>
      <c r="G262" s="321"/>
      <c r="H262" s="321"/>
      <c r="I262" s="321"/>
      <c r="J262" s="321"/>
      <c r="K262" s="321"/>
      <c r="L262" s="321"/>
      <c r="M262" s="321"/>
      <c r="N262" s="321"/>
      <c r="O262" s="321"/>
      <c r="P262" s="321"/>
      <c r="Q262" s="321"/>
      <c r="R262" s="321"/>
      <c r="S262" s="321"/>
      <c r="T262" s="321"/>
      <c r="U262" s="321"/>
      <c r="V262" s="321"/>
      <c r="W262" s="321"/>
      <c r="X262" s="321"/>
      <c r="Y262" s="321"/>
    </row>
    <row r="263" spans="1:25" ht="12.75" x14ac:dyDescent="0.2">
      <c r="A263" s="321"/>
      <c r="B263" s="321"/>
      <c r="C263" s="321"/>
      <c r="D263" s="321"/>
      <c r="E263" s="321"/>
      <c r="F263" s="321"/>
      <c r="G263" s="321"/>
      <c r="H263" s="321"/>
      <c r="I263" s="321"/>
      <c r="J263" s="321"/>
      <c r="K263" s="321"/>
      <c r="L263" s="321"/>
      <c r="M263" s="321"/>
      <c r="N263" s="321"/>
      <c r="O263" s="321"/>
      <c r="P263" s="321"/>
      <c r="Q263" s="321"/>
      <c r="R263" s="321"/>
      <c r="S263" s="321"/>
      <c r="T263" s="321"/>
      <c r="U263" s="321"/>
      <c r="V263" s="321"/>
      <c r="W263" s="321"/>
      <c r="X263" s="321"/>
      <c r="Y263" s="321"/>
    </row>
    <row r="264" spans="1:25" ht="12.75" x14ac:dyDescent="0.2">
      <c r="A264" s="321"/>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row>
    <row r="265" spans="1:25" ht="12.75" x14ac:dyDescent="0.2">
      <c r="A265" s="321"/>
      <c r="B265" s="321"/>
      <c r="C265" s="321"/>
      <c r="D265" s="321"/>
      <c r="E265" s="321"/>
      <c r="F265" s="321"/>
      <c r="G265" s="321"/>
      <c r="H265" s="321"/>
      <c r="I265" s="321"/>
      <c r="J265" s="321"/>
      <c r="K265" s="321"/>
      <c r="L265" s="321"/>
      <c r="M265" s="321"/>
      <c r="N265" s="321"/>
      <c r="O265" s="321"/>
      <c r="P265" s="321"/>
      <c r="Q265" s="321"/>
      <c r="R265" s="321"/>
      <c r="S265" s="321"/>
      <c r="T265" s="321"/>
      <c r="U265" s="321"/>
      <c r="V265" s="321"/>
      <c r="W265" s="321"/>
      <c r="X265" s="321"/>
      <c r="Y265" s="321"/>
    </row>
    <row r="266" spans="1:25" ht="12.75" x14ac:dyDescent="0.2">
      <c r="A266" s="321"/>
      <c r="B266" s="321"/>
      <c r="C266" s="321"/>
      <c r="D266" s="321"/>
      <c r="E266" s="321"/>
      <c r="F266" s="321"/>
      <c r="G266" s="321"/>
      <c r="H266" s="321"/>
      <c r="I266" s="321"/>
      <c r="J266" s="321"/>
      <c r="K266" s="321"/>
      <c r="L266" s="321"/>
      <c r="M266" s="321"/>
      <c r="N266" s="321"/>
      <c r="O266" s="321"/>
      <c r="P266" s="321"/>
      <c r="Q266" s="321"/>
      <c r="R266" s="321"/>
      <c r="S266" s="321"/>
      <c r="T266" s="321"/>
      <c r="U266" s="321"/>
      <c r="V266" s="321"/>
      <c r="W266" s="321"/>
      <c r="X266" s="321"/>
      <c r="Y266" s="321"/>
    </row>
    <row r="267" spans="1:25" ht="12.75" x14ac:dyDescent="0.2">
      <c r="A267" s="321"/>
      <c r="B267" s="321"/>
      <c r="C267" s="321"/>
      <c r="D267" s="321"/>
      <c r="E267" s="321"/>
      <c r="F267" s="321"/>
      <c r="G267" s="321"/>
      <c r="H267" s="321"/>
      <c r="I267" s="321"/>
      <c r="J267" s="321"/>
      <c r="K267" s="321"/>
      <c r="L267" s="321"/>
      <c r="M267" s="321"/>
      <c r="N267" s="321"/>
      <c r="O267" s="321"/>
      <c r="P267" s="321"/>
      <c r="Q267" s="321"/>
      <c r="R267" s="321"/>
      <c r="S267" s="321"/>
      <c r="T267" s="321"/>
      <c r="U267" s="321"/>
      <c r="V267" s="321"/>
      <c r="W267" s="321"/>
      <c r="X267" s="321"/>
      <c r="Y267" s="321"/>
    </row>
    <row r="268" spans="1:25" ht="12.75" x14ac:dyDescent="0.2">
      <c r="A268" s="321"/>
      <c r="B268" s="321"/>
      <c r="C268" s="321"/>
      <c r="D268" s="321"/>
      <c r="E268" s="321"/>
      <c r="F268" s="321"/>
      <c r="G268" s="321"/>
      <c r="H268" s="321"/>
      <c r="I268" s="321"/>
      <c r="J268" s="321"/>
      <c r="K268" s="321"/>
      <c r="L268" s="321"/>
      <c r="M268" s="321"/>
      <c r="N268" s="321"/>
      <c r="O268" s="321"/>
      <c r="P268" s="321"/>
      <c r="Q268" s="321"/>
      <c r="R268" s="321"/>
      <c r="S268" s="321"/>
      <c r="T268" s="321"/>
      <c r="U268" s="321"/>
      <c r="V268" s="321"/>
      <c r="W268" s="321"/>
      <c r="X268" s="321"/>
      <c r="Y268" s="321"/>
    </row>
    <row r="269" spans="1:25" ht="12.75" x14ac:dyDescent="0.2">
      <c r="A269" s="321"/>
      <c r="B269" s="321"/>
      <c r="C269" s="321"/>
      <c r="D269" s="321"/>
      <c r="E269" s="321"/>
      <c r="F269" s="321"/>
      <c r="G269" s="321"/>
      <c r="H269" s="321"/>
      <c r="I269" s="321"/>
      <c r="J269" s="321"/>
      <c r="K269" s="321"/>
      <c r="L269" s="321"/>
      <c r="M269" s="321"/>
      <c r="N269" s="321"/>
      <c r="O269" s="321"/>
      <c r="P269" s="321"/>
      <c r="Q269" s="321"/>
      <c r="R269" s="321"/>
      <c r="S269" s="321"/>
      <c r="T269" s="321"/>
      <c r="U269" s="321"/>
      <c r="V269" s="321"/>
      <c r="W269" s="321"/>
      <c r="X269" s="321"/>
      <c r="Y269" s="321"/>
    </row>
    <row r="270" spans="1:25" ht="12.75" x14ac:dyDescent="0.2">
      <c r="A270" s="321"/>
      <c r="B270" s="321"/>
      <c r="C270" s="321"/>
      <c r="D270" s="321"/>
      <c r="E270" s="321"/>
      <c r="F270" s="321"/>
      <c r="G270" s="321"/>
      <c r="H270" s="321"/>
      <c r="I270" s="321"/>
      <c r="J270" s="321"/>
      <c r="K270" s="321"/>
      <c r="L270" s="321"/>
      <c r="M270" s="321"/>
      <c r="N270" s="321"/>
      <c r="O270" s="321"/>
      <c r="P270" s="321"/>
      <c r="Q270" s="321"/>
      <c r="R270" s="321"/>
      <c r="S270" s="321"/>
      <c r="T270" s="321"/>
      <c r="U270" s="321"/>
      <c r="V270" s="321"/>
      <c r="W270" s="321"/>
      <c r="X270" s="321"/>
      <c r="Y270" s="321"/>
    </row>
    <row r="271" spans="1:25" ht="12.75" x14ac:dyDescent="0.2">
      <c r="A271" s="321"/>
      <c r="B271" s="321"/>
      <c r="C271" s="321"/>
      <c r="D271" s="321"/>
      <c r="E271" s="321"/>
      <c r="F271" s="321"/>
      <c r="G271" s="321"/>
      <c r="H271" s="321"/>
      <c r="I271" s="321"/>
      <c r="J271" s="321"/>
      <c r="K271" s="321"/>
      <c r="L271" s="321"/>
      <c r="M271" s="321"/>
      <c r="N271" s="321"/>
      <c r="O271" s="321"/>
      <c r="P271" s="321"/>
      <c r="Q271" s="321"/>
      <c r="R271" s="321"/>
      <c r="S271" s="321"/>
      <c r="T271" s="321"/>
      <c r="U271" s="321"/>
      <c r="V271" s="321"/>
      <c r="W271" s="321"/>
      <c r="X271" s="321"/>
      <c r="Y271" s="321"/>
    </row>
    <row r="272" spans="1:25" ht="12.75" x14ac:dyDescent="0.2">
      <c r="A272" s="321"/>
      <c r="B272" s="321"/>
      <c r="C272" s="321"/>
      <c r="D272" s="321"/>
      <c r="E272" s="321"/>
      <c r="F272" s="321"/>
      <c r="G272" s="321"/>
      <c r="H272" s="321"/>
      <c r="I272" s="321"/>
      <c r="J272" s="321"/>
      <c r="K272" s="321"/>
      <c r="L272" s="321"/>
      <c r="M272" s="321"/>
      <c r="N272" s="321"/>
      <c r="O272" s="321"/>
      <c r="P272" s="321"/>
      <c r="Q272" s="321"/>
      <c r="R272" s="321"/>
      <c r="S272" s="321"/>
      <c r="T272" s="321"/>
      <c r="U272" s="321"/>
      <c r="V272" s="321"/>
      <c r="W272" s="321"/>
      <c r="X272" s="321"/>
      <c r="Y272" s="321"/>
    </row>
    <row r="273" spans="1:25" ht="12.75" x14ac:dyDescent="0.2">
      <c r="A273" s="321"/>
      <c r="B273" s="321"/>
      <c r="C273" s="321"/>
      <c r="D273" s="321"/>
      <c r="E273" s="321"/>
      <c r="F273" s="321"/>
      <c r="G273" s="321"/>
      <c r="H273" s="321"/>
      <c r="I273" s="321"/>
      <c r="J273" s="321"/>
      <c r="K273" s="321"/>
      <c r="L273" s="321"/>
      <c r="M273" s="321"/>
      <c r="N273" s="321"/>
      <c r="O273" s="321"/>
      <c r="P273" s="321"/>
      <c r="Q273" s="321"/>
      <c r="R273" s="321"/>
      <c r="S273" s="321"/>
      <c r="T273" s="321"/>
      <c r="U273" s="321"/>
      <c r="V273" s="321"/>
      <c r="W273" s="321"/>
      <c r="X273" s="321"/>
      <c r="Y273" s="321"/>
    </row>
    <row r="274" spans="1:25" ht="12.75" x14ac:dyDescent="0.2">
      <c r="A274" s="321"/>
      <c r="B274" s="321"/>
      <c r="C274" s="321"/>
      <c r="D274" s="321"/>
      <c r="E274" s="321"/>
      <c r="F274" s="321"/>
      <c r="G274" s="321"/>
      <c r="H274" s="321"/>
      <c r="I274" s="321"/>
      <c r="J274" s="321"/>
      <c r="K274" s="321"/>
      <c r="L274" s="321"/>
      <c r="M274" s="321"/>
      <c r="N274" s="321"/>
      <c r="O274" s="321"/>
      <c r="P274" s="321"/>
      <c r="Q274" s="321"/>
      <c r="R274" s="321"/>
      <c r="S274" s="321"/>
      <c r="T274" s="321"/>
      <c r="U274" s="321"/>
      <c r="V274" s="321"/>
      <c r="W274" s="321"/>
      <c r="X274" s="321"/>
      <c r="Y274" s="321"/>
    </row>
    <row r="275" spans="1:25" ht="12.75" x14ac:dyDescent="0.2">
      <c r="A275" s="321"/>
      <c r="B275" s="321"/>
      <c r="C275" s="321"/>
      <c r="D275" s="321"/>
      <c r="E275" s="321"/>
      <c r="F275" s="321"/>
      <c r="G275" s="321"/>
      <c r="H275" s="321"/>
      <c r="I275" s="321"/>
      <c r="J275" s="321"/>
      <c r="K275" s="321"/>
      <c r="L275" s="321"/>
      <c r="M275" s="321"/>
      <c r="N275" s="321"/>
      <c r="O275" s="321"/>
      <c r="P275" s="321"/>
      <c r="Q275" s="321"/>
      <c r="R275" s="321"/>
      <c r="S275" s="321"/>
      <c r="T275" s="321"/>
      <c r="U275" s="321"/>
      <c r="V275" s="321"/>
      <c r="W275" s="321"/>
      <c r="X275" s="321"/>
      <c r="Y275" s="321"/>
    </row>
    <row r="276" spans="1:25" ht="12.75" x14ac:dyDescent="0.2">
      <c r="A276" s="321"/>
      <c r="B276" s="321"/>
      <c r="C276" s="321"/>
      <c r="D276" s="321"/>
      <c r="E276" s="321"/>
      <c r="F276" s="321"/>
      <c r="G276" s="321"/>
      <c r="H276" s="321"/>
      <c r="I276" s="321"/>
      <c r="J276" s="321"/>
      <c r="K276" s="321"/>
      <c r="L276" s="321"/>
      <c r="M276" s="321"/>
      <c r="N276" s="321"/>
      <c r="O276" s="321"/>
      <c r="P276" s="321"/>
      <c r="Q276" s="321"/>
      <c r="R276" s="321"/>
      <c r="S276" s="321"/>
      <c r="T276" s="321"/>
      <c r="U276" s="321"/>
      <c r="V276" s="321"/>
      <c r="W276" s="321"/>
      <c r="X276" s="321"/>
      <c r="Y276" s="321"/>
    </row>
    <row r="277" spans="1:25" ht="12.75" x14ac:dyDescent="0.2">
      <c r="A277" s="321"/>
      <c r="B277" s="321"/>
      <c r="C277" s="321"/>
      <c r="D277" s="321"/>
      <c r="E277" s="321"/>
      <c r="F277" s="321"/>
      <c r="G277" s="321"/>
      <c r="H277" s="321"/>
      <c r="I277" s="321"/>
      <c r="J277" s="321"/>
      <c r="K277" s="321"/>
      <c r="L277" s="321"/>
      <c r="M277" s="321"/>
      <c r="N277" s="321"/>
      <c r="O277" s="321"/>
      <c r="P277" s="321"/>
      <c r="Q277" s="321"/>
      <c r="R277" s="321"/>
      <c r="S277" s="321"/>
      <c r="T277" s="321"/>
      <c r="U277" s="321"/>
      <c r="V277" s="321"/>
      <c r="W277" s="321"/>
      <c r="X277" s="321"/>
      <c r="Y277" s="321"/>
    </row>
    <row r="278" spans="1:25" ht="12.75" x14ac:dyDescent="0.2">
      <c r="A278" s="321"/>
      <c r="B278" s="321"/>
      <c r="C278" s="321"/>
      <c r="D278" s="321"/>
      <c r="E278" s="321"/>
      <c r="F278" s="321"/>
      <c r="G278" s="321"/>
      <c r="H278" s="321"/>
      <c r="I278" s="321"/>
      <c r="J278" s="321"/>
      <c r="K278" s="321"/>
      <c r="L278" s="321"/>
      <c r="M278" s="321"/>
      <c r="N278" s="321"/>
      <c r="O278" s="321"/>
      <c r="P278" s="321"/>
      <c r="Q278" s="321"/>
      <c r="R278" s="321"/>
      <c r="S278" s="321"/>
      <c r="T278" s="321"/>
      <c r="U278" s="321"/>
      <c r="V278" s="321"/>
      <c r="W278" s="321"/>
      <c r="X278" s="321"/>
      <c r="Y278" s="321"/>
    </row>
    <row r="279" spans="1:25" ht="12.75" x14ac:dyDescent="0.2">
      <c r="A279" s="321"/>
      <c r="B279" s="321"/>
      <c r="C279" s="321"/>
      <c r="D279" s="321"/>
      <c r="E279" s="321"/>
      <c r="F279" s="321"/>
      <c r="G279" s="321"/>
      <c r="H279" s="321"/>
      <c r="I279" s="321"/>
      <c r="J279" s="321"/>
      <c r="K279" s="321"/>
      <c r="L279" s="321"/>
      <c r="M279" s="321"/>
      <c r="N279" s="321"/>
      <c r="O279" s="321"/>
      <c r="P279" s="321"/>
      <c r="Q279" s="321"/>
      <c r="R279" s="321"/>
      <c r="S279" s="321"/>
      <c r="T279" s="321"/>
      <c r="U279" s="321"/>
      <c r="V279" s="321"/>
      <c r="W279" s="321"/>
      <c r="X279" s="321"/>
      <c r="Y279" s="321"/>
    </row>
    <row r="280" spans="1:25" ht="12.75" x14ac:dyDescent="0.2">
      <c r="A280" s="321"/>
      <c r="B280" s="321"/>
      <c r="C280" s="321"/>
      <c r="D280" s="321"/>
      <c r="E280" s="321"/>
      <c r="F280" s="321"/>
      <c r="G280" s="321"/>
      <c r="H280" s="321"/>
      <c r="I280" s="321"/>
      <c r="J280" s="321"/>
      <c r="K280" s="321"/>
      <c r="L280" s="321"/>
      <c r="M280" s="321"/>
      <c r="N280" s="321"/>
      <c r="O280" s="321"/>
      <c r="P280" s="321"/>
      <c r="Q280" s="321"/>
      <c r="R280" s="321"/>
      <c r="S280" s="321"/>
      <c r="T280" s="321"/>
      <c r="U280" s="321"/>
      <c r="V280" s="321"/>
      <c r="W280" s="321"/>
      <c r="X280" s="321"/>
      <c r="Y280" s="321"/>
    </row>
    <row r="281" spans="1:25" ht="12.75" x14ac:dyDescent="0.2">
      <c r="A281" s="321"/>
      <c r="B281" s="321"/>
      <c r="C281" s="321"/>
      <c r="D281" s="321"/>
      <c r="E281" s="321"/>
      <c r="F281" s="321"/>
      <c r="G281" s="321"/>
      <c r="H281" s="321"/>
      <c r="I281" s="321"/>
      <c r="J281" s="321"/>
      <c r="K281" s="321"/>
      <c r="L281" s="321"/>
      <c r="M281" s="321"/>
      <c r="N281" s="321"/>
      <c r="O281" s="321"/>
      <c r="P281" s="321"/>
      <c r="Q281" s="321"/>
      <c r="R281" s="321"/>
      <c r="S281" s="321"/>
      <c r="T281" s="321"/>
      <c r="U281" s="321"/>
      <c r="V281" s="321"/>
      <c r="W281" s="321"/>
      <c r="X281" s="321"/>
      <c r="Y281" s="321"/>
    </row>
    <row r="282" spans="1:25" ht="12.75" x14ac:dyDescent="0.2">
      <c r="A282" s="321"/>
      <c r="B282" s="321"/>
      <c r="C282" s="321"/>
      <c r="D282" s="321"/>
      <c r="E282" s="321"/>
      <c r="F282" s="321"/>
      <c r="G282" s="321"/>
      <c r="H282" s="321"/>
      <c r="I282" s="321"/>
      <c r="J282" s="321"/>
      <c r="K282" s="321"/>
      <c r="L282" s="321"/>
      <c r="M282" s="321"/>
      <c r="N282" s="321"/>
      <c r="O282" s="321"/>
      <c r="P282" s="321"/>
      <c r="Q282" s="321"/>
      <c r="R282" s="321"/>
      <c r="S282" s="321"/>
      <c r="T282" s="321"/>
      <c r="U282" s="321"/>
      <c r="V282" s="321"/>
      <c r="W282" s="321"/>
      <c r="X282" s="321"/>
      <c r="Y282" s="321"/>
    </row>
    <row r="283" spans="1:25" ht="12.75" x14ac:dyDescent="0.2">
      <c r="A283" s="321"/>
      <c r="B283" s="321"/>
      <c r="C283" s="321"/>
      <c r="D283" s="321"/>
      <c r="E283" s="321"/>
      <c r="F283" s="321"/>
      <c r="G283" s="321"/>
      <c r="H283" s="321"/>
      <c r="I283" s="321"/>
      <c r="J283" s="321"/>
      <c r="K283" s="321"/>
      <c r="L283" s="321"/>
      <c r="M283" s="321"/>
      <c r="N283" s="321"/>
      <c r="O283" s="321"/>
      <c r="P283" s="321"/>
      <c r="Q283" s="321"/>
      <c r="R283" s="321"/>
      <c r="S283" s="321"/>
      <c r="T283" s="321"/>
      <c r="U283" s="321"/>
      <c r="V283" s="321"/>
      <c r="W283" s="321"/>
      <c r="X283" s="321"/>
      <c r="Y283" s="321"/>
    </row>
    <row r="284" spans="1:25" ht="12.75" x14ac:dyDescent="0.2">
      <c r="A284" s="321"/>
      <c r="B284" s="321"/>
      <c r="C284" s="321"/>
      <c r="D284" s="321"/>
      <c r="E284" s="321"/>
      <c r="F284" s="321"/>
      <c r="G284" s="321"/>
      <c r="H284" s="321"/>
      <c r="I284" s="321"/>
      <c r="J284" s="321"/>
      <c r="K284" s="321"/>
      <c r="L284" s="321"/>
      <c r="M284" s="321"/>
      <c r="N284" s="321"/>
      <c r="O284" s="321"/>
      <c r="P284" s="321"/>
      <c r="Q284" s="321"/>
      <c r="R284" s="321"/>
      <c r="S284" s="321"/>
      <c r="T284" s="321"/>
      <c r="U284" s="321"/>
      <c r="V284" s="321"/>
      <c r="W284" s="321"/>
      <c r="X284" s="321"/>
      <c r="Y284" s="321"/>
    </row>
    <row r="285" spans="1:25" ht="12.75" x14ac:dyDescent="0.2">
      <c r="A285" s="321"/>
      <c r="B285" s="321"/>
      <c r="C285" s="321"/>
      <c r="D285" s="321"/>
      <c r="E285" s="321"/>
      <c r="F285" s="321"/>
      <c r="G285" s="321"/>
      <c r="H285" s="321"/>
      <c r="I285" s="321"/>
      <c r="J285" s="321"/>
      <c r="K285" s="321"/>
      <c r="L285" s="321"/>
      <c r="M285" s="321"/>
      <c r="N285" s="321"/>
      <c r="O285" s="321"/>
      <c r="P285" s="321"/>
      <c r="Q285" s="321"/>
      <c r="R285" s="321"/>
      <c r="S285" s="321"/>
      <c r="T285" s="321"/>
      <c r="U285" s="321"/>
      <c r="V285" s="321"/>
      <c r="W285" s="321"/>
      <c r="X285" s="321"/>
      <c r="Y285" s="321"/>
    </row>
    <row r="286" spans="1:25" ht="12.75" x14ac:dyDescent="0.2">
      <c r="A286" s="321"/>
      <c r="B286" s="321"/>
      <c r="C286" s="321"/>
      <c r="D286" s="321"/>
      <c r="E286" s="321"/>
      <c r="F286" s="321"/>
      <c r="G286" s="321"/>
      <c r="H286" s="321"/>
      <c r="I286" s="321"/>
      <c r="J286" s="321"/>
      <c r="K286" s="321"/>
      <c r="L286" s="321"/>
      <c r="M286" s="321"/>
      <c r="N286" s="321"/>
      <c r="O286" s="321"/>
      <c r="P286" s="321"/>
      <c r="Q286" s="321"/>
      <c r="R286" s="321"/>
      <c r="S286" s="321"/>
      <c r="T286" s="321"/>
      <c r="U286" s="321"/>
      <c r="V286" s="321"/>
      <c r="W286" s="321"/>
      <c r="X286" s="321"/>
      <c r="Y286" s="321"/>
    </row>
    <row r="287" spans="1:25" ht="12.75" x14ac:dyDescent="0.2">
      <c r="A287" s="321"/>
      <c r="B287" s="321"/>
      <c r="C287" s="321"/>
      <c r="D287" s="321"/>
      <c r="E287" s="321"/>
      <c r="F287" s="321"/>
      <c r="G287" s="321"/>
      <c r="H287" s="321"/>
      <c r="I287" s="321"/>
      <c r="J287" s="321"/>
      <c r="K287" s="321"/>
      <c r="L287" s="321"/>
      <c r="M287" s="321"/>
      <c r="N287" s="321"/>
      <c r="O287" s="321"/>
      <c r="P287" s="321"/>
      <c r="Q287" s="321"/>
      <c r="R287" s="321"/>
      <c r="S287" s="321"/>
      <c r="T287" s="321"/>
      <c r="U287" s="321"/>
      <c r="V287" s="321"/>
      <c r="W287" s="321"/>
      <c r="X287" s="321"/>
      <c r="Y287" s="321"/>
    </row>
    <row r="288" spans="1:25" ht="12.75" x14ac:dyDescent="0.2">
      <c r="A288" s="321"/>
      <c r="B288" s="321"/>
      <c r="C288" s="321"/>
      <c r="D288" s="321"/>
      <c r="E288" s="321"/>
      <c r="F288" s="321"/>
      <c r="G288" s="321"/>
      <c r="H288" s="321"/>
      <c r="I288" s="321"/>
      <c r="J288" s="321"/>
      <c r="K288" s="321"/>
      <c r="L288" s="321"/>
      <c r="M288" s="321"/>
      <c r="N288" s="321"/>
      <c r="O288" s="321"/>
      <c r="P288" s="321"/>
      <c r="Q288" s="321"/>
      <c r="R288" s="321"/>
      <c r="S288" s="321"/>
      <c r="T288" s="321"/>
      <c r="U288" s="321"/>
      <c r="V288" s="321"/>
      <c r="W288" s="321"/>
      <c r="X288" s="321"/>
      <c r="Y288" s="321"/>
    </row>
    <row r="289" spans="1:25" ht="12.75" x14ac:dyDescent="0.2">
      <c r="A289" s="321"/>
      <c r="B289" s="321"/>
      <c r="C289" s="321"/>
      <c r="D289" s="321"/>
      <c r="E289" s="321"/>
      <c r="F289" s="321"/>
      <c r="G289" s="321"/>
      <c r="H289" s="321"/>
      <c r="I289" s="321"/>
      <c r="J289" s="321"/>
      <c r="K289" s="321"/>
      <c r="L289" s="321"/>
      <c r="M289" s="321"/>
      <c r="N289" s="321"/>
      <c r="O289" s="321"/>
      <c r="P289" s="321"/>
      <c r="Q289" s="321"/>
      <c r="R289" s="321"/>
      <c r="S289" s="321"/>
      <c r="T289" s="321"/>
      <c r="U289" s="321"/>
      <c r="V289" s="321"/>
      <c r="W289" s="321"/>
      <c r="X289" s="321"/>
      <c r="Y289" s="321"/>
    </row>
    <row r="290" spans="1:25" ht="12.75" x14ac:dyDescent="0.2">
      <c r="A290" s="321"/>
      <c r="B290" s="321"/>
      <c r="C290" s="321"/>
      <c r="D290" s="321"/>
      <c r="E290" s="321"/>
      <c r="F290" s="321"/>
      <c r="G290" s="321"/>
      <c r="H290" s="321"/>
      <c r="I290" s="321"/>
      <c r="J290" s="321"/>
      <c r="K290" s="321"/>
      <c r="L290" s="321"/>
      <c r="M290" s="321"/>
      <c r="N290" s="321"/>
      <c r="O290" s="321"/>
      <c r="P290" s="321"/>
      <c r="Q290" s="321"/>
      <c r="R290" s="321"/>
      <c r="S290" s="321"/>
      <c r="T290" s="321"/>
      <c r="U290" s="321"/>
      <c r="V290" s="321"/>
      <c r="W290" s="321"/>
      <c r="X290" s="321"/>
      <c r="Y290" s="321"/>
    </row>
    <row r="291" spans="1:25" ht="12.75" x14ac:dyDescent="0.2">
      <c r="A291" s="321"/>
      <c r="B291" s="321"/>
      <c r="C291" s="321"/>
      <c r="D291" s="321"/>
      <c r="E291" s="321"/>
      <c r="F291" s="321"/>
      <c r="G291" s="321"/>
      <c r="H291" s="321"/>
      <c r="I291" s="321"/>
      <c r="J291" s="321"/>
      <c r="K291" s="321"/>
      <c r="L291" s="321"/>
      <c r="M291" s="321"/>
      <c r="N291" s="321"/>
      <c r="O291" s="321"/>
      <c r="P291" s="321"/>
      <c r="Q291" s="321"/>
      <c r="R291" s="321"/>
      <c r="S291" s="321"/>
      <c r="T291" s="321"/>
      <c r="U291" s="321"/>
      <c r="V291" s="321"/>
      <c r="W291" s="321"/>
      <c r="X291" s="321"/>
      <c r="Y291" s="321"/>
    </row>
    <row r="292" spans="1:25" ht="12.75" x14ac:dyDescent="0.2">
      <c r="A292" s="321"/>
      <c r="B292" s="321"/>
      <c r="C292" s="321"/>
      <c r="D292" s="321"/>
      <c r="E292" s="321"/>
      <c r="F292" s="321"/>
      <c r="G292" s="321"/>
      <c r="H292" s="321"/>
      <c r="I292" s="321"/>
      <c r="J292" s="321"/>
      <c r="K292" s="321"/>
      <c r="L292" s="321"/>
      <c r="M292" s="321"/>
      <c r="N292" s="321"/>
      <c r="O292" s="321"/>
      <c r="P292" s="321"/>
      <c r="Q292" s="321"/>
      <c r="R292" s="321"/>
      <c r="S292" s="321"/>
      <c r="T292" s="321"/>
      <c r="U292" s="321"/>
      <c r="V292" s="321"/>
      <c r="W292" s="321"/>
      <c r="X292" s="321"/>
      <c r="Y292" s="321"/>
    </row>
    <row r="293" spans="1:25" ht="12.75" x14ac:dyDescent="0.2">
      <c r="A293" s="321"/>
      <c r="B293" s="321"/>
      <c r="C293" s="321"/>
      <c r="D293" s="321"/>
      <c r="E293" s="321"/>
      <c r="F293" s="321"/>
      <c r="G293" s="321"/>
      <c r="H293" s="321"/>
      <c r="I293" s="321"/>
      <c r="J293" s="321"/>
      <c r="K293" s="321"/>
      <c r="L293" s="321"/>
      <c r="M293" s="321"/>
      <c r="N293" s="321"/>
      <c r="O293" s="321"/>
      <c r="P293" s="321"/>
      <c r="Q293" s="321"/>
      <c r="R293" s="321"/>
      <c r="S293" s="321"/>
      <c r="T293" s="321"/>
      <c r="U293" s="321"/>
      <c r="V293" s="321"/>
      <c r="W293" s="321"/>
      <c r="X293" s="321"/>
      <c r="Y293" s="321"/>
    </row>
    <row r="294" spans="1:25" ht="12.75" x14ac:dyDescent="0.2">
      <c r="A294" s="321"/>
      <c r="B294" s="321"/>
      <c r="C294" s="321"/>
      <c r="D294" s="321"/>
      <c r="E294" s="321"/>
      <c r="F294" s="321"/>
      <c r="G294" s="321"/>
      <c r="H294" s="321"/>
      <c r="I294" s="321"/>
      <c r="J294" s="321"/>
      <c r="K294" s="321"/>
      <c r="L294" s="321"/>
      <c r="M294" s="321"/>
      <c r="N294" s="321"/>
      <c r="O294" s="321"/>
      <c r="P294" s="321"/>
      <c r="Q294" s="321"/>
      <c r="R294" s="321"/>
      <c r="S294" s="321"/>
      <c r="T294" s="321"/>
      <c r="U294" s="321"/>
      <c r="V294" s="321"/>
      <c r="W294" s="321"/>
      <c r="X294" s="321"/>
      <c r="Y294" s="321"/>
    </row>
    <row r="295" spans="1:25" ht="12.75" x14ac:dyDescent="0.2">
      <c r="A295" s="321"/>
      <c r="B295" s="321"/>
      <c r="C295" s="321"/>
      <c r="D295" s="321"/>
      <c r="E295" s="321"/>
      <c r="F295" s="321"/>
      <c r="G295" s="321"/>
      <c r="H295" s="321"/>
      <c r="I295" s="321"/>
      <c r="J295" s="321"/>
      <c r="K295" s="321"/>
      <c r="L295" s="321"/>
      <c r="M295" s="321"/>
      <c r="N295" s="321"/>
      <c r="O295" s="321"/>
      <c r="P295" s="321"/>
      <c r="Q295" s="321"/>
      <c r="R295" s="321"/>
      <c r="S295" s="321"/>
      <c r="T295" s="321"/>
      <c r="U295" s="321"/>
      <c r="V295" s="321"/>
      <c r="W295" s="321"/>
      <c r="X295" s="321"/>
      <c r="Y295" s="321"/>
    </row>
    <row r="296" spans="1:25" ht="12.75" x14ac:dyDescent="0.2">
      <c r="A296" s="321"/>
      <c r="B296" s="321"/>
      <c r="C296" s="321"/>
      <c r="D296" s="321"/>
      <c r="E296" s="321"/>
      <c r="F296" s="321"/>
      <c r="G296" s="321"/>
      <c r="H296" s="321"/>
      <c r="I296" s="321"/>
      <c r="J296" s="321"/>
      <c r="K296" s="321"/>
      <c r="L296" s="321"/>
      <c r="M296" s="321"/>
      <c r="N296" s="321"/>
      <c r="O296" s="321"/>
      <c r="P296" s="321"/>
      <c r="Q296" s="321"/>
      <c r="R296" s="321"/>
      <c r="S296" s="321"/>
      <c r="T296" s="321"/>
      <c r="U296" s="321"/>
      <c r="V296" s="321"/>
      <c r="W296" s="321"/>
      <c r="X296" s="321"/>
      <c r="Y296" s="321"/>
    </row>
    <row r="297" spans="1:25" ht="12.75" x14ac:dyDescent="0.2">
      <c r="A297" s="321"/>
      <c r="B297" s="321"/>
      <c r="C297" s="321"/>
      <c r="D297" s="321"/>
      <c r="E297" s="321"/>
      <c r="F297" s="321"/>
      <c r="G297" s="321"/>
      <c r="H297" s="321"/>
      <c r="I297" s="321"/>
      <c r="J297" s="321"/>
      <c r="K297" s="321"/>
      <c r="L297" s="321"/>
      <c r="M297" s="321"/>
      <c r="N297" s="321"/>
      <c r="O297" s="321"/>
      <c r="P297" s="321"/>
      <c r="Q297" s="321"/>
      <c r="R297" s="321"/>
      <c r="S297" s="321"/>
      <c r="T297" s="321"/>
      <c r="U297" s="321"/>
      <c r="V297" s="321"/>
      <c r="W297" s="321"/>
      <c r="X297" s="321"/>
      <c r="Y297" s="321"/>
    </row>
    <row r="298" spans="1:25" ht="12.75" x14ac:dyDescent="0.2">
      <c r="A298" s="321"/>
      <c r="B298" s="321"/>
      <c r="C298" s="321"/>
      <c r="D298" s="321"/>
      <c r="E298" s="321"/>
      <c r="F298" s="321"/>
      <c r="G298" s="321"/>
      <c r="H298" s="321"/>
      <c r="I298" s="321"/>
      <c r="J298" s="321"/>
      <c r="K298" s="321"/>
      <c r="L298" s="321"/>
      <c r="M298" s="321"/>
      <c r="N298" s="321"/>
      <c r="O298" s="321"/>
      <c r="P298" s="321"/>
      <c r="Q298" s="321"/>
      <c r="R298" s="321"/>
      <c r="S298" s="321"/>
      <c r="T298" s="321"/>
      <c r="U298" s="321"/>
      <c r="V298" s="321"/>
      <c r="W298" s="321"/>
      <c r="X298" s="321"/>
      <c r="Y298" s="321"/>
    </row>
    <row r="299" spans="1:25" ht="12.75" x14ac:dyDescent="0.2">
      <c r="A299" s="321"/>
      <c r="B299" s="321"/>
      <c r="C299" s="321"/>
      <c r="D299" s="321"/>
      <c r="E299" s="321"/>
      <c r="F299" s="321"/>
      <c r="G299" s="321"/>
      <c r="H299" s="321"/>
      <c r="I299" s="321"/>
      <c r="J299" s="321"/>
      <c r="K299" s="321"/>
      <c r="L299" s="321"/>
      <c r="M299" s="321"/>
      <c r="N299" s="321"/>
      <c r="O299" s="321"/>
      <c r="P299" s="321"/>
      <c r="Q299" s="321"/>
      <c r="R299" s="321"/>
      <c r="S299" s="321"/>
      <c r="T299" s="321"/>
      <c r="U299" s="321"/>
      <c r="V299" s="321"/>
      <c r="W299" s="321"/>
      <c r="X299" s="321"/>
      <c r="Y299" s="321"/>
    </row>
    <row r="300" spans="1:25" ht="12.75" x14ac:dyDescent="0.2">
      <c r="A300" s="321"/>
      <c r="B300" s="321"/>
      <c r="C300" s="321"/>
      <c r="D300" s="321"/>
      <c r="E300" s="321"/>
      <c r="F300" s="321"/>
      <c r="G300" s="321"/>
      <c r="H300" s="321"/>
      <c r="I300" s="321"/>
      <c r="J300" s="321"/>
      <c r="K300" s="321"/>
      <c r="L300" s="321"/>
      <c r="M300" s="321"/>
      <c r="N300" s="321"/>
      <c r="O300" s="321"/>
      <c r="P300" s="321"/>
      <c r="Q300" s="321"/>
      <c r="R300" s="321"/>
      <c r="S300" s="321"/>
      <c r="T300" s="321"/>
      <c r="U300" s="321"/>
      <c r="V300" s="321"/>
      <c r="W300" s="321"/>
      <c r="X300" s="321"/>
      <c r="Y300" s="321"/>
    </row>
    <row r="301" spans="1:25" ht="12.75" x14ac:dyDescent="0.2">
      <c r="A301" s="321"/>
      <c r="B301" s="321"/>
      <c r="C301" s="321"/>
      <c r="D301" s="321"/>
      <c r="E301" s="321"/>
      <c r="F301" s="321"/>
      <c r="G301" s="321"/>
      <c r="H301" s="321"/>
      <c r="I301" s="321"/>
      <c r="J301" s="321"/>
      <c r="K301" s="321"/>
      <c r="L301" s="321"/>
      <c r="M301" s="321"/>
      <c r="N301" s="321"/>
      <c r="O301" s="321"/>
      <c r="P301" s="321"/>
      <c r="Q301" s="321"/>
      <c r="R301" s="321"/>
      <c r="S301" s="321"/>
      <c r="T301" s="321"/>
      <c r="U301" s="321"/>
      <c r="V301" s="321"/>
      <c r="W301" s="321"/>
      <c r="X301" s="321"/>
      <c r="Y301" s="321"/>
    </row>
    <row r="302" spans="1:25" ht="12.75" x14ac:dyDescent="0.2">
      <c r="A302" s="321"/>
      <c r="B302" s="321"/>
      <c r="C302" s="321"/>
      <c r="D302" s="321"/>
      <c r="E302" s="321"/>
      <c r="F302" s="321"/>
      <c r="G302" s="321"/>
      <c r="H302" s="321"/>
      <c r="I302" s="321"/>
      <c r="J302" s="321"/>
      <c r="K302" s="321"/>
      <c r="L302" s="321"/>
      <c r="M302" s="321"/>
      <c r="N302" s="321"/>
      <c r="O302" s="321"/>
      <c r="P302" s="321"/>
      <c r="Q302" s="321"/>
      <c r="R302" s="321"/>
      <c r="S302" s="321"/>
      <c r="T302" s="321"/>
      <c r="U302" s="321"/>
      <c r="V302" s="321"/>
      <c r="W302" s="321"/>
      <c r="X302" s="321"/>
      <c r="Y302" s="321"/>
    </row>
    <row r="303" spans="1:25" ht="12.75" x14ac:dyDescent="0.2">
      <c r="A303" s="321"/>
      <c r="B303" s="321"/>
      <c r="C303" s="321"/>
      <c r="D303" s="321"/>
      <c r="E303" s="321"/>
      <c r="F303" s="321"/>
      <c r="G303" s="321"/>
      <c r="H303" s="321"/>
      <c r="I303" s="321"/>
      <c r="J303" s="321"/>
      <c r="K303" s="321"/>
      <c r="L303" s="321"/>
      <c r="M303" s="321"/>
      <c r="N303" s="321"/>
      <c r="O303" s="321"/>
      <c r="P303" s="321"/>
      <c r="Q303" s="321"/>
      <c r="R303" s="321"/>
      <c r="S303" s="321"/>
      <c r="T303" s="321"/>
      <c r="U303" s="321"/>
      <c r="V303" s="321"/>
      <c r="W303" s="321"/>
      <c r="X303" s="321"/>
      <c r="Y303" s="321"/>
    </row>
    <row r="304" spans="1:25" ht="12.75" x14ac:dyDescent="0.2">
      <c r="A304" s="321"/>
      <c r="B304" s="321"/>
      <c r="C304" s="321"/>
      <c r="D304" s="321"/>
      <c r="E304" s="321"/>
      <c r="F304" s="321"/>
      <c r="G304" s="321"/>
      <c r="H304" s="321"/>
      <c r="I304" s="321"/>
      <c r="J304" s="321"/>
      <c r="K304" s="321"/>
      <c r="L304" s="321"/>
      <c r="M304" s="321"/>
      <c r="N304" s="321"/>
      <c r="O304" s="321"/>
      <c r="P304" s="321"/>
      <c r="Q304" s="321"/>
      <c r="R304" s="321"/>
      <c r="S304" s="321"/>
      <c r="T304" s="321"/>
      <c r="U304" s="321"/>
      <c r="V304" s="321"/>
      <c r="W304" s="321"/>
      <c r="X304" s="321"/>
      <c r="Y304" s="321"/>
    </row>
    <row r="305" spans="1:25" ht="12.75" x14ac:dyDescent="0.2">
      <c r="A305" s="321"/>
      <c r="B305" s="321"/>
      <c r="C305" s="321"/>
      <c r="D305" s="321"/>
      <c r="E305" s="321"/>
      <c r="F305" s="321"/>
      <c r="G305" s="321"/>
      <c r="H305" s="321"/>
      <c r="I305" s="321"/>
      <c r="J305" s="321"/>
      <c r="K305" s="321"/>
      <c r="L305" s="321"/>
      <c r="M305" s="321"/>
      <c r="N305" s="321"/>
      <c r="O305" s="321"/>
      <c r="P305" s="321"/>
      <c r="Q305" s="321"/>
      <c r="R305" s="321"/>
      <c r="S305" s="321"/>
      <c r="T305" s="321"/>
      <c r="U305" s="321"/>
      <c r="V305" s="321"/>
      <c r="W305" s="321"/>
      <c r="X305" s="321"/>
      <c r="Y305" s="321"/>
    </row>
    <row r="306" spans="1:25" ht="12.75" x14ac:dyDescent="0.2">
      <c r="A306" s="321"/>
      <c r="B306" s="321"/>
      <c r="C306" s="321"/>
      <c r="D306" s="321"/>
      <c r="E306" s="321"/>
      <c r="F306" s="321"/>
      <c r="G306" s="321"/>
      <c r="H306" s="321"/>
      <c r="I306" s="321"/>
      <c r="J306" s="321"/>
      <c r="K306" s="321"/>
      <c r="L306" s="321"/>
      <c r="M306" s="321"/>
      <c r="N306" s="321"/>
      <c r="O306" s="321"/>
      <c r="P306" s="321"/>
      <c r="Q306" s="321"/>
      <c r="R306" s="321"/>
      <c r="S306" s="321"/>
      <c r="T306" s="321"/>
      <c r="U306" s="321"/>
      <c r="V306" s="321"/>
      <c r="W306" s="321"/>
      <c r="X306" s="321"/>
      <c r="Y306" s="321"/>
    </row>
    <row r="307" spans="1:25" ht="12.75" x14ac:dyDescent="0.2">
      <c r="A307" s="321"/>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row>
    <row r="308" spans="1:25" ht="12.75" x14ac:dyDescent="0.2">
      <c r="A308" s="321"/>
      <c r="B308" s="321"/>
      <c r="C308" s="321"/>
      <c r="D308" s="321"/>
      <c r="E308" s="321"/>
      <c r="F308" s="321"/>
      <c r="G308" s="321"/>
      <c r="H308" s="321"/>
      <c r="I308" s="321"/>
      <c r="J308" s="321"/>
      <c r="K308" s="321"/>
      <c r="L308" s="321"/>
      <c r="M308" s="321"/>
      <c r="N308" s="321"/>
      <c r="O308" s="321"/>
      <c r="P308" s="321"/>
      <c r="Q308" s="321"/>
      <c r="R308" s="321"/>
      <c r="S308" s="321"/>
      <c r="T308" s="321"/>
      <c r="U308" s="321"/>
      <c r="V308" s="321"/>
      <c r="W308" s="321"/>
      <c r="X308" s="321"/>
      <c r="Y308" s="321"/>
    </row>
    <row r="309" spans="1:25" ht="12.75" x14ac:dyDescent="0.2">
      <c r="A309" s="321"/>
      <c r="B309" s="321"/>
      <c r="C309" s="321"/>
      <c r="D309" s="321"/>
      <c r="E309" s="321"/>
      <c r="F309" s="321"/>
      <c r="G309" s="321"/>
      <c r="H309" s="321"/>
      <c r="I309" s="321"/>
      <c r="J309" s="321"/>
      <c r="K309" s="321"/>
      <c r="L309" s="321"/>
      <c r="M309" s="321"/>
      <c r="N309" s="321"/>
      <c r="O309" s="321"/>
      <c r="P309" s="321"/>
      <c r="Q309" s="321"/>
      <c r="R309" s="321"/>
      <c r="S309" s="321"/>
      <c r="T309" s="321"/>
      <c r="U309" s="321"/>
      <c r="V309" s="321"/>
      <c r="W309" s="321"/>
      <c r="X309" s="321"/>
      <c r="Y309" s="321"/>
    </row>
    <row r="310" spans="1:25" ht="12.75" x14ac:dyDescent="0.2">
      <c r="A310" s="321"/>
      <c r="B310" s="321"/>
      <c r="C310" s="321"/>
      <c r="D310" s="321"/>
      <c r="E310" s="321"/>
      <c r="F310" s="321"/>
      <c r="G310" s="321"/>
      <c r="H310" s="321"/>
      <c r="I310" s="321"/>
      <c r="J310" s="321"/>
      <c r="K310" s="321"/>
      <c r="L310" s="321"/>
      <c r="M310" s="321"/>
      <c r="N310" s="321"/>
      <c r="O310" s="321"/>
      <c r="P310" s="321"/>
      <c r="Q310" s="321"/>
      <c r="R310" s="321"/>
      <c r="S310" s="321"/>
      <c r="T310" s="321"/>
      <c r="U310" s="321"/>
      <c r="V310" s="321"/>
      <c r="W310" s="321"/>
      <c r="X310" s="321"/>
      <c r="Y310" s="321"/>
    </row>
    <row r="311" spans="1:25" ht="12.75" x14ac:dyDescent="0.2">
      <c r="A311" s="321"/>
      <c r="B311" s="321"/>
      <c r="C311" s="321"/>
      <c r="D311" s="321"/>
      <c r="E311" s="321"/>
      <c r="F311" s="321"/>
      <c r="G311" s="321"/>
      <c r="H311" s="321"/>
      <c r="I311" s="321"/>
      <c r="J311" s="321"/>
      <c r="K311" s="321"/>
      <c r="L311" s="321"/>
      <c r="M311" s="321"/>
      <c r="N311" s="321"/>
      <c r="O311" s="321"/>
      <c r="P311" s="321"/>
      <c r="Q311" s="321"/>
      <c r="R311" s="321"/>
      <c r="S311" s="321"/>
      <c r="T311" s="321"/>
      <c r="U311" s="321"/>
      <c r="V311" s="321"/>
      <c r="W311" s="321"/>
      <c r="X311" s="321"/>
      <c r="Y311" s="321"/>
    </row>
    <row r="312" spans="1:25" ht="12.75" x14ac:dyDescent="0.2">
      <c r="A312" s="321"/>
      <c r="B312" s="321"/>
      <c r="C312" s="321"/>
      <c r="D312" s="321"/>
      <c r="E312" s="321"/>
      <c r="F312" s="321"/>
      <c r="G312" s="321"/>
      <c r="H312" s="321"/>
      <c r="I312" s="321"/>
      <c r="J312" s="321"/>
      <c r="K312" s="321"/>
      <c r="L312" s="321"/>
      <c r="M312" s="321"/>
      <c r="N312" s="321"/>
      <c r="O312" s="321"/>
      <c r="P312" s="321"/>
      <c r="Q312" s="321"/>
      <c r="R312" s="321"/>
      <c r="S312" s="321"/>
      <c r="T312" s="321"/>
      <c r="U312" s="321"/>
      <c r="V312" s="321"/>
      <c r="W312" s="321"/>
      <c r="X312" s="321"/>
      <c r="Y312" s="321"/>
    </row>
    <row r="313" spans="1:25" ht="12.75" x14ac:dyDescent="0.2">
      <c r="A313" s="321"/>
      <c r="B313" s="321"/>
      <c r="C313" s="321"/>
      <c r="D313" s="321"/>
      <c r="E313" s="321"/>
      <c r="F313" s="321"/>
      <c r="G313" s="321"/>
      <c r="H313" s="321"/>
      <c r="I313" s="321"/>
      <c r="J313" s="321"/>
      <c r="K313" s="321"/>
      <c r="L313" s="321"/>
      <c r="M313" s="321"/>
      <c r="N313" s="321"/>
      <c r="O313" s="321"/>
      <c r="P313" s="321"/>
      <c r="Q313" s="321"/>
      <c r="R313" s="321"/>
      <c r="S313" s="321"/>
      <c r="T313" s="321"/>
      <c r="U313" s="321"/>
      <c r="V313" s="321"/>
      <c r="W313" s="321"/>
      <c r="X313" s="321"/>
      <c r="Y313" s="321"/>
    </row>
    <row r="314" spans="1:25" ht="12.75" x14ac:dyDescent="0.2">
      <c r="A314" s="321"/>
      <c r="B314" s="321"/>
      <c r="C314" s="321"/>
      <c r="D314" s="321"/>
      <c r="E314" s="321"/>
      <c r="F314" s="321"/>
      <c r="G314" s="321"/>
      <c r="H314" s="321"/>
      <c r="I314" s="321"/>
      <c r="J314" s="321"/>
      <c r="K314" s="321"/>
      <c r="L314" s="321"/>
      <c r="M314" s="321"/>
      <c r="N314" s="321"/>
      <c r="O314" s="321"/>
      <c r="P314" s="321"/>
      <c r="Q314" s="321"/>
      <c r="R314" s="321"/>
      <c r="S314" s="321"/>
      <c r="T314" s="321"/>
      <c r="U314" s="321"/>
      <c r="V314" s="321"/>
      <c r="W314" s="321"/>
      <c r="X314" s="321"/>
      <c r="Y314" s="321"/>
    </row>
    <row r="315" spans="1:25" ht="12.75" x14ac:dyDescent="0.2">
      <c r="A315" s="321"/>
      <c r="B315" s="321"/>
      <c r="C315" s="321"/>
      <c r="D315" s="321"/>
      <c r="E315" s="321"/>
      <c r="F315" s="321"/>
      <c r="G315" s="321"/>
      <c r="H315" s="321"/>
      <c r="I315" s="321"/>
      <c r="J315" s="321"/>
      <c r="K315" s="321"/>
      <c r="L315" s="321"/>
      <c r="M315" s="321"/>
      <c r="N315" s="321"/>
      <c r="O315" s="321"/>
      <c r="P315" s="321"/>
      <c r="Q315" s="321"/>
      <c r="R315" s="321"/>
      <c r="S315" s="321"/>
      <c r="T315" s="321"/>
      <c r="U315" s="321"/>
      <c r="V315" s="321"/>
      <c r="W315" s="321"/>
      <c r="X315" s="321"/>
      <c r="Y315" s="321"/>
    </row>
    <row r="316" spans="1:25" ht="12.75" x14ac:dyDescent="0.2">
      <c r="A316" s="321"/>
      <c r="B316" s="321"/>
      <c r="C316" s="321"/>
      <c r="D316" s="321"/>
      <c r="E316" s="321"/>
      <c r="F316" s="321"/>
      <c r="G316" s="321"/>
      <c r="H316" s="321"/>
      <c r="I316" s="321"/>
      <c r="J316" s="321"/>
      <c r="K316" s="321"/>
      <c r="L316" s="321"/>
      <c r="M316" s="321"/>
      <c r="N316" s="321"/>
      <c r="O316" s="321"/>
      <c r="P316" s="321"/>
      <c r="Q316" s="321"/>
      <c r="R316" s="321"/>
      <c r="S316" s="321"/>
      <c r="T316" s="321"/>
      <c r="U316" s="321"/>
      <c r="V316" s="321"/>
      <c r="W316" s="321"/>
      <c r="X316" s="321"/>
      <c r="Y316" s="321"/>
    </row>
    <row r="317" spans="1:25" ht="12.75" x14ac:dyDescent="0.2">
      <c r="A317" s="321"/>
      <c r="B317" s="321"/>
      <c r="C317" s="321"/>
      <c r="D317" s="321"/>
      <c r="E317" s="321"/>
      <c r="F317" s="321"/>
      <c r="G317" s="321"/>
      <c r="H317" s="321"/>
      <c r="I317" s="321"/>
      <c r="J317" s="321"/>
      <c r="K317" s="321"/>
      <c r="L317" s="321"/>
      <c r="M317" s="321"/>
      <c r="N317" s="321"/>
      <c r="O317" s="321"/>
      <c r="P317" s="321"/>
      <c r="Q317" s="321"/>
      <c r="R317" s="321"/>
      <c r="S317" s="321"/>
      <c r="T317" s="321"/>
      <c r="U317" s="321"/>
      <c r="V317" s="321"/>
      <c r="W317" s="321"/>
      <c r="X317" s="321"/>
      <c r="Y317" s="321"/>
    </row>
    <row r="318" spans="1:25" ht="12.75" x14ac:dyDescent="0.2">
      <c r="A318" s="321"/>
      <c r="B318" s="321"/>
      <c r="C318" s="321"/>
      <c r="D318" s="321"/>
      <c r="E318" s="321"/>
      <c r="F318" s="321"/>
      <c r="G318" s="321"/>
      <c r="H318" s="321"/>
      <c r="I318" s="321"/>
      <c r="J318" s="321"/>
      <c r="K318" s="321"/>
      <c r="L318" s="321"/>
      <c r="M318" s="321"/>
      <c r="N318" s="321"/>
      <c r="O318" s="321"/>
      <c r="P318" s="321"/>
      <c r="Q318" s="321"/>
      <c r="R318" s="321"/>
      <c r="S318" s="321"/>
      <c r="T318" s="321"/>
      <c r="U318" s="321"/>
      <c r="V318" s="321"/>
      <c r="W318" s="321"/>
      <c r="X318" s="321"/>
      <c r="Y318" s="321"/>
    </row>
    <row r="319" spans="1:25" ht="12.75" x14ac:dyDescent="0.2">
      <c r="A319" s="321"/>
      <c r="B319" s="321"/>
      <c r="C319" s="321"/>
      <c r="D319" s="321"/>
      <c r="E319" s="321"/>
      <c r="F319" s="321"/>
      <c r="G319" s="321"/>
      <c r="H319" s="321"/>
      <c r="I319" s="321"/>
      <c r="J319" s="321"/>
      <c r="K319" s="321"/>
      <c r="L319" s="321"/>
      <c r="M319" s="321"/>
      <c r="N319" s="321"/>
      <c r="O319" s="321"/>
      <c r="P319" s="321"/>
      <c r="Q319" s="321"/>
      <c r="R319" s="321"/>
      <c r="S319" s="321"/>
      <c r="T319" s="321"/>
      <c r="U319" s="321"/>
      <c r="V319" s="321"/>
      <c r="W319" s="321"/>
      <c r="X319" s="321"/>
      <c r="Y319" s="321"/>
    </row>
    <row r="320" spans="1:25" ht="12.75" x14ac:dyDescent="0.2">
      <c r="A320" s="321"/>
      <c r="B320" s="321"/>
      <c r="C320" s="321"/>
      <c r="D320" s="321"/>
      <c r="E320" s="321"/>
      <c r="F320" s="321"/>
      <c r="G320" s="321"/>
      <c r="H320" s="321"/>
      <c r="I320" s="321"/>
      <c r="J320" s="321"/>
      <c r="K320" s="321"/>
      <c r="L320" s="321"/>
      <c r="M320" s="321"/>
      <c r="N320" s="321"/>
      <c r="O320" s="321"/>
      <c r="P320" s="321"/>
      <c r="Q320" s="321"/>
      <c r="R320" s="321"/>
      <c r="S320" s="321"/>
      <c r="T320" s="321"/>
      <c r="U320" s="321"/>
      <c r="V320" s="321"/>
      <c r="W320" s="321"/>
      <c r="X320" s="321"/>
      <c r="Y320" s="321"/>
    </row>
    <row r="321" spans="1:25" ht="12.75" x14ac:dyDescent="0.2">
      <c r="A321" s="321"/>
      <c r="B321" s="321"/>
      <c r="C321" s="321"/>
      <c r="D321" s="321"/>
      <c r="E321" s="321"/>
      <c r="F321" s="321"/>
      <c r="G321" s="321"/>
      <c r="H321" s="321"/>
      <c r="I321" s="321"/>
      <c r="J321" s="321"/>
      <c r="K321" s="321"/>
      <c r="L321" s="321"/>
      <c r="M321" s="321"/>
      <c r="N321" s="321"/>
      <c r="O321" s="321"/>
      <c r="P321" s="321"/>
      <c r="Q321" s="321"/>
      <c r="R321" s="321"/>
      <c r="S321" s="321"/>
      <c r="T321" s="321"/>
      <c r="U321" s="321"/>
      <c r="V321" s="321"/>
      <c r="W321" s="321"/>
      <c r="X321" s="321"/>
      <c r="Y321" s="321"/>
    </row>
    <row r="322" spans="1:25" ht="12.75" x14ac:dyDescent="0.2">
      <c r="A322" s="321"/>
      <c r="B322" s="321"/>
      <c r="C322" s="321"/>
      <c r="D322" s="321"/>
      <c r="E322" s="321"/>
      <c r="F322" s="321"/>
      <c r="G322" s="321"/>
      <c r="H322" s="321"/>
      <c r="I322" s="321"/>
      <c r="J322" s="321"/>
      <c r="K322" s="321"/>
      <c r="L322" s="321"/>
      <c r="M322" s="321"/>
      <c r="N322" s="321"/>
      <c r="O322" s="321"/>
      <c r="P322" s="321"/>
      <c r="Q322" s="321"/>
      <c r="R322" s="321"/>
      <c r="S322" s="321"/>
      <c r="T322" s="321"/>
      <c r="U322" s="321"/>
      <c r="V322" s="321"/>
      <c r="W322" s="321"/>
      <c r="X322" s="321"/>
      <c r="Y322" s="321"/>
    </row>
    <row r="323" spans="1:25" ht="12.75" x14ac:dyDescent="0.2">
      <c r="A323" s="321"/>
      <c r="B323" s="321"/>
      <c r="C323" s="321"/>
      <c r="D323" s="321"/>
      <c r="E323" s="321"/>
      <c r="F323" s="321"/>
      <c r="G323" s="321"/>
      <c r="H323" s="321"/>
      <c r="I323" s="321"/>
      <c r="J323" s="321"/>
      <c r="K323" s="321"/>
      <c r="L323" s="321"/>
      <c r="M323" s="321"/>
      <c r="N323" s="321"/>
      <c r="O323" s="321"/>
      <c r="P323" s="321"/>
      <c r="Q323" s="321"/>
      <c r="R323" s="321"/>
      <c r="S323" s="321"/>
      <c r="T323" s="321"/>
      <c r="U323" s="321"/>
      <c r="V323" s="321"/>
      <c r="W323" s="321"/>
      <c r="X323" s="321"/>
      <c r="Y323" s="321"/>
    </row>
    <row r="324" spans="1:25" ht="12.75" x14ac:dyDescent="0.2">
      <c r="A324" s="321"/>
      <c r="B324" s="321"/>
      <c r="C324" s="321"/>
      <c r="D324" s="321"/>
      <c r="E324" s="321"/>
      <c r="F324" s="321"/>
      <c r="G324" s="321"/>
      <c r="H324" s="321"/>
      <c r="I324" s="321"/>
      <c r="J324" s="321"/>
      <c r="K324" s="321"/>
      <c r="L324" s="321"/>
      <c r="M324" s="321"/>
      <c r="N324" s="321"/>
      <c r="O324" s="321"/>
      <c r="P324" s="321"/>
      <c r="Q324" s="321"/>
      <c r="R324" s="321"/>
      <c r="S324" s="321"/>
      <c r="T324" s="321"/>
      <c r="U324" s="321"/>
      <c r="V324" s="321"/>
      <c r="W324" s="321"/>
      <c r="X324" s="321"/>
      <c r="Y324" s="321"/>
    </row>
    <row r="325" spans="1:25" ht="12.75" x14ac:dyDescent="0.2">
      <c r="A325" s="321"/>
      <c r="B325" s="321"/>
      <c r="C325" s="321"/>
      <c r="D325" s="321"/>
      <c r="E325" s="321"/>
      <c r="F325" s="321"/>
      <c r="G325" s="321"/>
      <c r="H325" s="321"/>
      <c r="I325" s="321"/>
      <c r="J325" s="321"/>
      <c r="K325" s="321"/>
      <c r="L325" s="321"/>
      <c r="M325" s="321"/>
      <c r="N325" s="321"/>
      <c r="O325" s="321"/>
      <c r="P325" s="321"/>
      <c r="Q325" s="321"/>
      <c r="R325" s="321"/>
      <c r="S325" s="321"/>
      <c r="T325" s="321"/>
      <c r="U325" s="321"/>
      <c r="V325" s="321"/>
      <c r="W325" s="321"/>
      <c r="X325" s="321"/>
      <c r="Y325" s="321"/>
    </row>
    <row r="326" spans="1:25" ht="12.75" x14ac:dyDescent="0.2">
      <c r="A326" s="321"/>
      <c r="B326" s="321"/>
      <c r="C326" s="321"/>
      <c r="D326" s="321"/>
      <c r="E326" s="321"/>
      <c r="F326" s="321"/>
      <c r="G326" s="321"/>
      <c r="H326" s="321"/>
      <c r="I326" s="321"/>
      <c r="J326" s="321"/>
      <c r="K326" s="321"/>
      <c r="L326" s="321"/>
      <c r="M326" s="321"/>
      <c r="N326" s="321"/>
      <c r="O326" s="321"/>
      <c r="P326" s="321"/>
      <c r="Q326" s="321"/>
      <c r="R326" s="321"/>
      <c r="S326" s="321"/>
      <c r="T326" s="321"/>
      <c r="U326" s="321"/>
      <c r="V326" s="321"/>
      <c r="W326" s="321"/>
      <c r="X326" s="321"/>
      <c r="Y326" s="321"/>
    </row>
    <row r="327" spans="1:25" ht="12.75" x14ac:dyDescent="0.2">
      <c r="A327" s="321"/>
      <c r="B327" s="321"/>
      <c r="C327" s="321"/>
      <c r="D327" s="321"/>
      <c r="E327" s="321"/>
      <c r="F327" s="321"/>
      <c r="G327" s="321"/>
      <c r="H327" s="321"/>
      <c r="I327" s="321"/>
      <c r="J327" s="321"/>
      <c r="K327" s="321"/>
      <c r="L327" s="321"/>
      <c r="M327" s="321"/>
      <c r="N327" s="321"/>
      <c r="O327" s="321"/>
      <c r="P327" s="321"/>
      <c r="Q327" s="321"/>
      <c r="R327" s="321"/>
      <c r="S327" s="321"/>
      <c r="T327" s="321"/>
      <c r="U327" s="321"/>
      <c r="V327" s="321"/>
      <c r="W327" s="321"/>
      <c r="X327" s="321"/>
      <c r="Y327" s="321"/>
    </row>
    <row r="328" spans="1:25" ht="12.75" x14ac:dyDescent="0.2">
      <c r="A328" s="321"/>
      <c r="B328" s="321"/>
      <c r="C328" s="321"/>
      <c r="D328" s="321"/>
      <c r="E328" s="321"/>
      <c r="F328" s="321"/>
      <c r="G328" s="321"/>
      <c r="H328" s="321"/>
      <c r="I328" s="321"/>
      <c r="J328" s="321"/>
      <c r="K328" s="321"/>
      <c r="L328" s="321"/>
      <c r="M328" s="321"/>
      <c r="N328" s="321"/>
      <c r="O328" s="321"/>
      <c r="P328" s="321"/>
      <c r="Q328" s="321"/>
      <c r="R328" s="321"/>
      <c r="S328" s="321"/>
      <c r="T328" s="321"/>
      <c r="U328" s="321"/>
      <c r="V328" s="321"/>
      <c r="W328" s="321"/>
      <c r="X328" s="321"/>
      <c r="Y328" s="321"/>
    </row>
    <row r="329" spans="1:25" ht="12.75" x14ac:dyDescent="0.2">
      <c r="A329" s="321"/>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row>
    <row r="330" spans="1:25" ht="12.75" x14ac:dyDescent="0.2">
      <c r="A330" s="321"/>
      <c r="B330" s="321"/>
      <c r="C330" s="321"/>
      <c r="D330" s="321"/>
      <c r="E330" s="321"/>
      <c r="F330" s="321"/>
      <c r="G330" s="321"/>
      <c r="H330" s="321"/>
      <c r="I330" s="321"/>
      <c r="J330" s="321"/>
      <c r="K330" s="321"/>
      <c r="L330" s="321"/>
      <c r="M330" s="321"/>
      <c r="N330" s="321"/>
      <c r="O330" s="321"/>
      <c r="P330" s="321"/>
      <c r="Q330" s="321"/>
      <c r="R330" s="321"/>
      <c r="S330" s="321"/>
      <c r="T330" s="321"/>
      <c r="U330" s="321"/>
      <c r="V330" s="321"/>
      <c r="W330" s="321"/>
      <c r="X330" s="321"/>
      <c r="Y330" s="321"/>
    </row>
    <row r="331" spans="1:25" ht="12.75" x14ac:dyDescent="0.2">
      <c r="A331" s="321"/>
      <c r="B331" s="321"/>
      <c r="C331" s="321"/>
      <c r="D331" s="321"/>
      <c r="E331" s="321"/>
      <c r="F331" s="321"/>
      <c r="G331" s="321"/>
      <c r="H331" s="321"/>
      <c r="I331" s="321"/>
      <c r="J331" s="321"/>
      <c r="K331" s="321"/>
      <c r="L331" s="321"/>
      <c r="M331" s="321"/>
      <c r="N331" s="321"/>
      <c r="O331" s="321"/>
      <c r="P331" s="321"/>
      <c r="Q331" s="321"/>
      <c r="R331" s="321"/>
      <c r="S331" s="321"/>
      <c r="T331" s="321"/>
      <c r="U331" s="321"/>
      <c r="V331" s="321"/>
      <c r="W331" s="321"/>
      <c r="X331" s="321"/>
      <c r="Y331" s="321"/>
    </row>
    <row r="332" spans="1:25" ht="12.75" x14ac:dyDescent="0.2">
      <c r="A332" s="321"/>
      <c r="B332" s="321"/>
      <c r="C332" s="321"/>
      <c r="D332" s="321"/>
      <c r="E332" s="321"/>
      <c r="F332" s="321"/>
      <c r="G332" s="321"/>
      <c r="H332" s="321"/>
      <c r="I332" s="321"/>
      <c r="J332" s="321"/>
      <c r="K332" s="321"/>
      <c r="L332" s="321"/>
      <c r="M332" s="321"/>
      <c r="N332" s="321"/>
      <c r="O332" s="321"/>
      <c r="P332" s="321"/>
      <c r="Q332" s="321"/>
      <c r="R332" s="321"/>
      <c r="S332" s="321"/>
      <c r="T332" s="321"/>
      <c r="U332" s="321"/>
      <c r="V332" s="321"/>
      <c r="W332" s="321"/>
      <c r="X332" s="321"/>
      <c r="Y332" s="321"/>
    </row>
    <row r="333" spans="1:25" ht="12.75" x14ac:dyDescent="0.2">
      <c r="A333" s="321"/>
      <c r="B333" s="321"/>
      <c r="C333" s="321"/>
      <c r="D333" s="321"/>
      <c r="E333" s="321"/>
      <c r="F333" s="321"/>
      <c r="G333" s="321"/>
      <c r="H333" s="321"/>
      <c r="I333" s="321"/>
      <c r="J333" s="321"/>
      <c r="K333" s="321"/>
      <c r="L333" s="321"/>
      <c r="M333" s="321"/>
      <c r="N333" s="321"/>
      <c r="O333" s="321"/>
      <c r="P333" s="321"/>
      <c r="Q333" s="321"/>
      <c r="R333" s="321"/>
      <c r="S333" s="321"/>
      <c r="T333" s="321"/>
      <c r="U333" s="321"/>
      <c r="V333" s="321"/>
      <c r="W333" s="321"/>
      <c r="X333" s="321"/>
      <c r="Y333" s="321"/>
    </row>
    <row r="334" spans="1:25" ht="12.75" x14ac:dyDescent="0.2">
      <c r="A334" s="321"/>
      <c r="B334" s="321"/>
      <c r="C334" s="321"/>
      <c r="D334" s="321"/>
      <c r="E334" s="321"/>
      <c r="F334" s="321"/>
      <c r="G334" s="321"/>
      <c r="H334" s="321"/>
      <c r="I334" s="321"/>
      <c r="J334" s="321"/>
      <c r="K334" s="321"/>
      <c r="L334" s="321"/>
      <c r="M334" s="321"/>
      <c r="N334" s="321"/>
      <c r="O334" s="321"/>
      <c r="P334" s="321"/>
      <c r="Q334" s="321"/>
      <c r="R334" s="321"/>
      <c r="S334" s="321"/>
      <c r="T334" s="321"/>
      <c r="U334" s="321"/>
      <c r="V334" s="321"/>
      <c r="W334" s="321"/>
      <c r="X334" s="321"/>
      <c r="Y334" s="321"/>
    </row>
    <row r="335" spans="1:25" ht="12.75" x14ac:dyDescent="0.2">
      <c r="A335" s="321"/>
      <c r="B335" s="321"/>
      <c r="C335" s="321"/>
      <c r="D335" s="321"/>
      <c r="E335" s="321"/>
      <c r="F335" s="321"/>
      <c r="G335" s="321"/>
      <c r="H335" s="321"/>
      <c r="I335" s="321"/>
      <c r="J335" s="321"/>
      <c r="K335" s="321"/>
      <c r="L335" s="321"/>
      <c r="M335" s="321"/>
      <c r="N335" s="321"/>
      <c r="O335" s="321"/>
      <c r="P335" s="321"/>
      <c r="Q335" s="321"/>
      <c r="R335" s="321"/>
      <c r="S335" s="321"/>
      <c r="T335" s="321"/>
      <c r="U335" s="321"/>
      <c r="V335" s="321"/>
      <c r="W335" s="321"/>
      <c r="X335" s="321"/>
      <c r="Y335" s="321"/>
    </row>
    <row r="336" spans="1:25" ht="12.75" x14ac:dyDescent="0.2">
      <c r="A336" s="321"/>
      <c r="B336" s="321"/>
      <c r="C336" s="321"/>
      <c r="D336" s="321"/>
      <c r="E336" s="321"/>
      <c r="F336" s="321"/>
      <c r="G336" s="321"/>
      <c r="H336" s="321"/>
      <c r="I336" s="321"/>
      <c r="J336" s="321"/>
      <c r="K336" s="321"/>
      <c r="L336" s="321"/>
      <c r="M336" s="321"/>
      <c r="N336" s="321"/>
      <c r="O336" s="321"/>
      <c r="P336" s="321"/>
      <c r="Q336" s="321"/>
      <c r="R336" s="321"/>
      <c r="S336" s="321"/>
      <c r="T336" s="321"/>
      <c r="U336" s="321"/>
      <c r="V336" s="321"/>
      <c r="W336" s="321"/>
      <c r="X336" s="321"/>
      <c r="Y336" s="321"/>
    </row>
    <row r="337" spans="1:25" ht="12.75" x14ac:dyDescent="0.2">
      <c r="A337" s="321"/>
      <c r="B337" s="321"/>
      <c r="C337" s="321"/>
      <c r="D337" s="321"/>
      <c r="E337" s="321"/>
      <c r="F337" s="321"/>
      <c r="G337" s="321"/>
      <c r="H337" s="321"/>
      <c r="I337" s="321"/>
      <c r="J337" s="321"/>
      <c r="K337" s="321"/>
      <c r="L337" s="321"/>
      <c r="M337" s="321"/>
      <c r="N337" s="321"/>
      <c r="O337" s="321"/>
      <c r="P337" s="321"/>
      <c r="Q337" s="321"/>
      <c r="R337" s="321"/>
      <c r="S337" s="321"/>
      <c r="T337" s="321"/>
      <c r="U337" s="321"/>
      <c r="V337" s="321"/>
      <c r="W337" s="321"/>
      <c r="X337" s="321"/>
      <c r="Y337" s="321"/>
    </row>
    <row r="338" spans="1:25" ht="12.75" x14ac:dyDescent="0.2">
      <c r="A338" s="321"/>
      <c r="B338" s="321"/>
      <c r="C338" s="321"/>
      <c r="D338" s="321"/>
      <c r="E338" s="321"/>
      <c r="F338" s="321"/>
      <c r="G338" s="321"/>
      <c r="H338" s="321"/>
      <c r="I338" s="321"/>
      <c r="J338" s="321"/>
      <c r="K338" s="321"/>
      <c r="L338" s="321"/>
      <c r="M338" s="321"/>
      <c r="N338" s="321"/>
      <c r="O338" s="321"/>
      <c r="P338" s="321"/>
      <c r="Q338" s="321"/>
      <c r="R338" s="321"/>
      <c r="S338" s="321"/>
      <c r="T338" s="321"/>
      <c r="U338" s="321"/>
      <c r="V338" s="321"/>
      <c r="W338" s="321"/>
      <c r="X338" s="321"/>
      <c r="Y338" s="321"/>
    </row>
    <row r="339" spans="1:25" ht="12.75" x14ac:dyDescent="0.2">
      <c r="A339" s="321"/>
      <c r="B339" s="321"/>
      <c r="C339" s="321"/>
      <c r="D339" s="321"/>
      <c r="E339" s="321"/>
      <c r="F339" s="321"/>
      <c r="G339" s="321"/>
      <c r="H339" s="321"/>
      <c r="I339" s="321"/>
      <c r="J339" s="321"/>
      <c r="K339" s="321"/>
      <c r="L339" s="321"/>
      <c r="M339" s="321"/>
      <c r="N339" s="321"/>
      <c r="O339" s="321"/>
      <c r="P339" s="321"/>
      <c r="Q339" s="321"/>
      <c r="R339" s="321"/>
      <c r="S339" s="321"/>
      <c r="T339" s="321"/>
      <c r="U339" s="321"/>
      <c r="V339" s="321"/>
      <c r="W339" s="321"/>
      <c r="X339" s="321"/>
      <c r="Y339" s="321"/>
    </row>
    <row r="340" spans="1:25" ht="12.75" x14ac:dyDescent="0.2">
      <c r="A340" s="321"/>
      <c r="B340" s="321"/>
      <c r="C340" s="321"/>
      <c r="D340" s="321"/>
      <c r="E340" s="321"/>
      <c r="F340" s="321"/>
      <c r="G340" s="321"/>
      <c r="H340" s="321"/>
      <c r="I340" s="321"/>
      <c r="J340" s="321"/>
      <c r="K340" s="321"/>
      <c r="L340" s="321"/>
      <c r="M340" s="321"/>
      <c r="N340" s="321"/>
      <c r="O340" s="321"/>
      <c r="P340" s="321"/>
      <c r="Q340" s="321"/>
      <c r="R340" s="321"/>
      <c r="S340" s="321"/>
      <c r="T340" s="321"/>
      <c r="U340" s="321"/>
      <c r="V340" s="321"/>
      <c r="W340" s="321"/>
      <c r="X340" s="321"/>
      <c r="Y340" s="321"/>
    </row>
    <row r="341" spans="1:25" ht="12.75" x14ac:dyDescent="0.2">
      <c r="A341" s="321"/>
      <c r="B341" s="321"/>
      <c r="C341" s="321"/>
      <c r="D341" s="321"/>
      <c r="E341" s="321"/>
      <c r="F341" s="321"/>
      <c r="G341" s="321"/>
      <c r="H341" s="321"/>
      <c r="I341" s="321"/>
      <c r="J341" s="321"/>
      <c r="K341" s="321"/>
      <c r="L341" s="321"/>
      <c r="M341" s="321"/>
      <c r="N341" s="321"/>
      <c r="O341" s="321"/>
      <c r="P341" s="321"/>
      <c r="Q341" s="321"/>
      <c r="R341" s="321"/>
      <c r="S341" s="321"/>
      <c r="T341" s="321"/>
      <c r="U341" s="321"/>
      <c r="V341" s="321"/>
      <c r="W341" s="321"/>
      <c r="X341" s="321"/>
      <c r="Y341" s="321"/>
    </row>
    <row r="342" spans="1:25" ht="12.75" x14ac:dyDescent="0.2">
      <c r="A342" s="321"/>
      <c r="B342" s="321"/>
      <c r="C342" s="321"/>
      <c r="D342" s="321"/>
      <c r="E342" s="321"/>
      <c r="F342" s="321"/>
      <c r="G342" s="321"/>
      <c r="H342" s="321"/>
      <c r="I342" s="321"/>
      <c r="J342" s="321"/>
      <c r="K342" s="321"/>
      <c r="L342" s="321"/>
      <c r="M342" s="321"/>
      <c r="N342" s="321"/>
      <c r="O342" s="321"/>
      <c r="P342" s="321"/>
      <c r="Q342" s="321"/>
      <c r="R342" s="321"/>
      <c r="S342" s="321"/>
      <c r="T342" s="321"/>
      <c r="U342" s="321"/>
      <c r="V342" s="321"/>
      <c r="W342" s="321"/>
      <c r="X342" s="321"/>
      <c r="Y342" s="321"/>
    </row>
    <row r="343" spans="1:25" ht="12.75" x14ac:dyDescent="0.2">
      <c r="A343" s="321"/>
      <c r="B343" s="321"/>
      <c r="C343" s="321"/>
      <c r="D343" s="321"/>
      <c r="E343" s="321"/>
      <c r="F343" s="321"/>
      <c r="G343" s="321"/>
      <c r="H343" s="321"/>
      <c r="I343" s="321"/>
      <c r="J343" s="321"/>
      <c r="K343" s="321"/>
      <c r="L343" s="321"/>
      <c r="M343" s="321"/>
      <c r="N343" s="321"/>
      <c r="O343" s="321"/>
      <c r="P343" s="321"/>
      <c r="Q343" s="321"/>
      <c r="R343" s="321"/>
      <c r="S343" s="321"/>
      <c r="T343" s="321"/>
      <c r="U343" s="321"/>
      <c r="V343" s="321"/>
      <c r="W343" s="321"/>
      <c r="X343" s="321"/>
      <c r="Y343" s="321"/>
    </row>
    <row r="344" spans="1:25" ht="12.75" x14ac:dyDescent="0.2">
      <c r="A344" s="321"/>
      <c r="B344" s="321"/>
      <c r="C344" s="321"/>
      <c r="D344" s="321"/>
      <c r="E344" s="321"/>
      <c r="F344" s="321"/>
      <c r="G344" s="321"/>
      <c r="H344" s="321"/>
      <c r="I344" s="321"/>
      <c r="J344" s="321"/>
      <c r="K344" s="321"/>
      <c r="L344" s="321"/>
      <c r="M344" s="321"/>
      <c r="N344" s="321"/>
      <c r="O344" s="321"/>
      <c r="P344" s="321"/>
      <c r="Q344" s="321"/>
      <c r="R344" s="321"/>
      <c r="S344" s="321"/>
      <c r="T344" s="321"/>
      <c r="U344" s="321"/>
      <c r="V344" s="321"/>
      <c r="W344" s="321"/>
      <c r="X344" s="321"/>
      <c r="Y344" s="321"/>
    </row>
    <row r="345" spans="1:25" ht="12.75" x14ac:dyDescent="0.2">
      <c r="A345" s="321"/>
      <c r="B345" s="321"/>
      <c r="C345" s="321"/>
      <c r="D345" s="321"/>
      <c r="E345" s="321"/>
      <c r="F345" s="321"/>
      <c r="G345" s="321"/>
      <c r="H345" s="321"/>
      <c r="I345" s="321"/>
      <c r="J345" s="321"/>
      <c r="K345" s="321"/>
      <c r="L345" s="321"/>
      <c r="M345" s="321"/>
      <c r="N345" s="321"/>
      <c r="O345" s="321"/>
      <c r="P345" s="321"/>
      <c r="Q345" s="321"/>
      <c r="R345" s="321"/>
      <c r="S345" s="321"/>
      <c r="T345" s="321"/>
      <c r="U345" s="321"/>
      <c r="V345" s="321"/>
      <c r="W345" s="321"/>
      <c r="X345" s="321"/>
      <c r="Y345" s="321"/>
    </row>
    <row r="346" spans="1:25" ht="12.75" x14ac:dyDescent="0.2">
      <c r="A346" s="321"/>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row>
    <row r="347" spans="1:25" ht="12.75" x14ac:dyDescent="0.2">
      <c r="A347" s="321"/>
      <c r="B347" s="321"/>
      <c r="C347" s="321"/>
      <c r="D347" s="321"/>
      <c r="E347" s="321"/>
      <c r="F347" s="321"/>
      <c r="G347" s="321"/>
      <c r="H347" s="321"/>
      <c r="I347" s="321"/>
      <c r="J347" s="321"/>
      <c r="K347" s="321"/>
      <c r="L347" s="321"/>
      <c r="M347" s="321"/>
      <c r="N347" s="321"/>
      <c r="O347" s="321"/>
      <c r="P347" s="321"/>
      <c r="Q347" s="321"/>
      <c r="R347" s="321"/>
      <c r="S347" s="321"/>
      <c r="T347" s="321"/>
      <c r="U347" s="321"/>
      <c r="V347" s="321"/>
      <c r="W347" s="321"/>
      <c r="X347" s="321"/>
      <c r="Y347" s="321"/>
    </row>
    <row r="348" spans="1:25" ht="12.75" x14ac:dyDescent="0.2">
      <c r="A348" s="321"/>
      <c r="B348" s="321"/>
      <c r="C348" s="321"/>
      <c r="D348" s="321"/>
      <c r="E348" s="321"/>
      <c r="F348" s="321"/>
      <c r="G348" s="321"/>
      <c r="H348" s="321"/>
      <c r="I348" s="321"/>
      <c r="J348" s="321"/>
      <c r="K348" s="321"/>
      <c r="L348" s="321"/>
      <c r="M348" s="321"/>
      <c r="N348" s="321"/>
      <c r="O348" s="321"/>
      <c r="P348" s="321"/>
      <c r="Q348" s="321"/>
      <c r="R348" s="321"/>
      <c r="S348" s="321"/>
      <c r="T348" s="321"/>
      <c r="U348" s="321"/>
      <c r="V348" s="321"/>
      <c r="W348" s="321"/>
      <c r="X348" s="321"/>
      <c r="Y348" s="321"/>
    </row>
    <row r="349" spans="1:25" ht="12.75" x14ac:dyDescent="0.2">
      <c r="A349" s="321"/>
      <c r="B349" s="321"/>
      <c r="C349" s="321"/>
      <c r="D349" s="321"/>
      <c r="E349" s="321"/>
      <c r="F349" s="321"/>
      <c r="G349" s="321"/>
      <c r="H349" s="321"/>
      <c r="I349" s="321"/>
      <c r="J349" s="321"/>
      <c r="K349" s="321"/>
      <c r="L349" s="321"/>
      <c r="M349" s="321"/>
      <c r="N349" s="321"/>
      <c r="O349" s="321"/>
      <c r="P349" s="321"/>
      <c r="Q349" s="321"/>
      <c r="R349" s="321"/>
      <c r="S349" s="321"/>
      <c r="T349" s="321"/>
      <c r="U349" s="321"/>
      <c r="V349" s="321"/>
      <c r="W349" s="321"/>
      <c r="X349" s="321"/>
      <c r="Y349" s="321"/>
    </row>
    <row r="350" spans="1:25" ht="12.75" x14ac:dyDescent="0.2">
      <c r="A350" s="321"/>
      <c r="B350" s="321"/>
      <c r="C350" s="321"/>
      <c r="D350" s="321"/>
      <c r="E350" s="321"/>
      <c r="F350" s="321"/>
      <c r="G350" s="321"/>
      <c r="H350" s="321"/>
      <c r="I350" s="321"/>
      <c r="J350" s="321"/>
      <c r="K350" s="321"/>
      <c r="L350" s="321"/>
      <c r="M350" s="321"/>
      <c r="N350" s="321"/>
      <c r="O350" s="321"/>
      <c r="P350" s="321"/>
      <c r="Q350" s="321"/>
      <c r="R350" s="321"/>
      <c r="S350" s="321"/>
      <c r="T350" s="321"/>
      <c r="U350" s="321"/>
      <c r="V350" s="321"/>
      <c r="W350" s="321"/>
      <c r="X350" s="321"/>
      <c r="Y350" s="321"/>
    </row>
    <row r="351" spans="1:25" ht="12.75" x14ac:dyDescent="0.2">
      <c r="A351" s="321"/>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row>
    <row r="352" spans="1:25" ht="12.75" x14ac:dyDescent="0.2">
      <c r="A352" s="321"/>
      <c r="B352" s="321"/>
      <c r="C352" s="321"/>
      <c r="D352" s="321"/>
      <c r="E352" s="321"/>
      <c r="F352" s="321"/>
      <c r="G352" s="321"/>
      <c r="H352" s="321"/>
      <c r="I352" s="321"/>
      <c r="J352" s="321"/>
      <c r="K352" s="321"/>
      <c r="L352" s="321"/>
      <c r="M352" s="321"/>
      <c r="N352" s="321"/>
      <c r="O352" s="321"/>
      <c r="P352" s="321"/>
      <c r="Q352" s="321"/>
      <c r="R352" s="321"/>
      <c r="S352" s="321"/>
      <c r="T352" s="321"/>
      <c r="U352" s="321"/>
      <c r="V352" s="321"/>
      <c r="W352" s="321"/>
      <c r="X352" s="321"/>
      <c r="Y352" s="321"/>
    </row>
    <row r="353" spans="1:25" ht="12.75" x14ac:dyDescent="0.2">
      <c r="A353" s="321"/>
      <c r="B353" s="321"/>
      <c r="C353" s="321"/>
      <c r="D353" s="321"/>
      <c r="E353" s="321"/>
      <c r="F353" s="321"/>
      <c r="G353" s="321"/>
      <c r="H353" s="321"/>
      <c r="I353" s="321"/>
      <c r="J353" s="321"/>
      <c r="K353" s="321"/>
      <c r="L353" s="321"/>
      <c r="M353" s="321"/>
      <c r="N353" s="321"/>
      <c r="O353" s="321"/>
      <c r="P353" s="321"/>
      <c r="Q353" s="321"/>
      <c r="R353" s="321"/>
      <c r="S353" s="321"/>
      <c r="T353" s="321"/>
      <c r="U353" s="321"/>
      <c r="V353" s="321"/>
      <c r="W353" s="321"/>
      <c r="X353" s="321"/>
      <c r="Y353" s="321"/>
    </row>
    <row r="354" spans="1:25" ht="12.75" x14ac:dyDescent="0.2">
      <c r="A354" s="321"/>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row>
    <row r="355" spans="1:25" ht="12.75" x14ac:dyDescent="0.2">
      <c r="A355" s="321"/>
      <c r="B355" s="321"/>
      <c r="C355" s="321"/>
      <c r="D355" s="321"/>
      <c r="E355" s="321"/>
      <c r="F355" s="321"/>
      <c r="G355" s="321"/>
      <c r="H355" s="321"/>
      <c r="I355" s="321"/>
      <c r="J355" s="321"/>
      <c r="K355" s="321"/>
      <c r="L355" s="321"/>
      <c r="M355" s="321"/>
      <c r="N355" s="321"/>
      <c r="O355" s="321"/>
      <c r="P355" s="321"/>
      <c r="Q355" s="321"/>
      <c r="R355" s="321"/>
      <c r="S355" s="321"/>
      <c r="T355" s="321"/>
      <c r="U355" s="321"/>
      <c r="V355" s="321"/>
      <c r="W355" s="321"/>
      <c r="X355" s="321"/>
      <c r="Y355" s="321"/>
    </row>
    <row r="356" spans="1:25" ht="12.75" x14ac:dyDescent="0.2">
      <c r="A356" s="321"/>
      <c r="B356" s="321"/>
      <c r="C356" s="321"/>
      <c r="D356" s="321"/>
      <c r="E356" s="321"/>
      <c r="F356" s="321"/>
      <c r="G356" s="321"/>
      <c r="H356" s="321"/>
      <c r="I356" s="321"/>
      <c r="J356" s="321"/>
      <c r="K356" s="321"/>
      <c r="L356" s="321"/>
      <c r="M356" s="321"/>
      <c r="N356" s="321"/>
      <c r="O356" s="321"/>
      <c r="P356" s="321"/>
      <c r="Q356" s="321"/>
      <c r="R356" s="321"/>
      <c r="S356" s="321"/>
      <c r="T356" s="321"/>
      <c r="U356" s="321"/>
      <c r="V356" s="321"/>
      <c r="W356" s="321"/>
      <c r="X356" s="321"/>
      <c r="Y356" s="321"/>
    </row>
    <row r="357" spans="1:25" ht="12.75" x14ac:dyDescent="0.2">
      <c r="A357" s="321"/>
      <c r="B357" s="321"/>
      <c r="C357" s="321"/>
      <c r="D357" s="321"/>
      <c r="E357" s="321"/>
      <c r="F357" s="321"/>
      <c r="G357" s="321"/>
      <c r="H357" s="321"/>
      <c r="I357" s="321"/>
      <c r="J357" s="321"/>
      <c r="K357" s="321"/>
      <c r="L357" s="321"/>
      <c r="M357" s="321"/>
      <c r="N357" s="321"/>
      <c r="O357" s="321"/>
      <c r="P357" s="321"/>
      <c r="Q357" s="321"/>
      <c r="R357" s="321"/>
      <c r="S357" s="321"/>
      <c r="T357" s="321"/>
      <c r="U357" s="321"/>
      <c r="V357" s="321"/>
      <c r="W357" s="321"/>
      <c r="X357" s="321"/>
      <c r="Y357" s="321"/>
    </row>
    <row r="358" spans="1:25" ht="12.75" x14ac:dyDescent="0.2">
      <c r="A358" s="321"/>
      <c r="B358" s="321"/>
      <c r="C358" s="321"/>
      <c r="D358" s="321"/>
      <c r="E358" s="321"/>
      <c r="F358" s="321"/>
      <c r="G358" s="321"/>
      <c r="H358" s="321"/>
      <c r="I358" s="321"/>
      <c r="J358" s="321"/>
      <c r="K358" s="321"/>
      <c r="L358" s="321"/>
      <c r="M358" s="321"/>
      <c r="N358" s="321"/>
      <c r="O358" s="321"/>
      <c r="P358" s="321"/>
      <c r="Q358" s="321"/>
      <c r="R358" s="321"/>
      <c r="S358" s="321"/>
      <c r="T358" s="321"/>
      <c r="U358" s="321"/>
      <c r="V358" s="321"/>
      <c r="W358" s="321"/>
      <c r="X358" s="321"/>
      <c r="Y358" s="321"/>
    </row>
    <row r="359" spans="1:25" ht="12.75" x14ac:dyDescent="0.2">
      <c r="A359" s="321"/>
      <c r="B359" s="321"/>
      <c r="C359" s="321"/>
      <c r="D359" s="321"/>
      <c r="E359" s="321"/>
      <c r="F359" s="321"/>
      <c r="G359" s="321"/>
      <c r="H359" s="321"/>
      <c r="I359" s="321"/>
      <c r="J359" s="321"/>
      <c r="K359" s="321"/>
      <c r="L359" s="321"/>
      <c r="M359" s="321"/>
      <c r="N359" s="321"/>
      <c r="O359" s="321"/>
      <c r="P359" s="321"/>
      <c r="Q359" s="321"/>
      <c r="R359" s="321"/>
      <c r="S359" s="321"/>
      <c r="T359" s="321"/>
      <c r="U359" s="321"/>
      <c r="V359" s="321"/>
      <c r="W359" s="321"/>
      <c r="X359" s="321"/>
      <c r="Y359" s="321"/>
    </row>
    <row r="360" spans="1:25" ht="12.75" x14ac:dyDescent="0.2">
      <c r="A360" s="321"/>
      <c r="B360" s="321"/>
      <c r="C360" s="321"/>
      <c r="D360" s="321"/>
      <c r="E360" s="321"/>
      <c r="F360" s="321"/>
      <c r="G360" s="321"/>
      <c r="H360" s="321"/>
      <c r="I360" s="321"/>
      <c r="J360" s="321"/>
      <c r="K360" s="321"/>
      <c r="L360" s="321"/>
      <c r="M360" s="321"/>
      <c r="N360" s="321"/>
      <c r="O360" s="321"/>
      <c r="P360" s="321"/>
      <c r="Q360" s="321"/>
      <c r="R360" s="321"/>
      <c r="S360" s="321"/>
      <c r="T360" s="321"/>
      <c r="U360" s="321"/>
      <c r="V360" s="321"/>
      <c r="W360" s="321"/>
      <c r="X360" s="321"/>
      <c r="Y360" s="321"/>
    </row>
    <row r="361" spans="1:25" ht="12.75" x14ac:dyDescent="0.2">
      <c r="A361" s="321"/>
      <c r="B361" s="321"/>
      <c r="C361" s="321"/>
      <c r="D361" s="321"/>
      <c r="E361" s="321"/>
      <c r="F361" s="321"/>
      <c r="G361" s="321"/>
      <c r="H361" s="321"/>
      <c r="I361" s="321"/>
      <c r="J361" s="321"/>
      <c r="K361" s="321"/>
      <c r="L361" s="321"/>
      <c r="M361" s="321"/>
      <c r="N361" s="321"/>
      <c r="O361" s="321"/>
      <c r="P361" s="321"/>
      <c r="Q361" s="321"/>
      <c r="R361" s="321"/>
      <c r="S361" s="321"/>
      <c r="T361" s="321"/>
      <c r="U361" s="321"/>
      <c r="V361" s="321"/>
      <c r="W361" s="321"/>
      <c r="X361" s="321"/>
      <c r="Y361" s="321"/>
    </row>
    <row r="362" spans="1:25" ht="12.75" x14ac:dyDescent="0.2">
      <c r="A362" s="321"/>
      <c r="B362" s="321"/>
      <c r="C362" s="321"/>
      <c r="D362" s="321"/>
      <c r="E362" s="321"/>
      <c r="F362" s="321"/>
      <c r="G362" s="321"/>
      <c r="H362" s="321"/>
      <c r="I362" s="321"/>
      <c r="J362" s="321"/>
      <c r="K362" s="321"/>
      <c r="L362" s="321"/>
      <c r="M362" s="321"/>
      <c r="N362" s="321"/>
      <c r="O362" s="321"/>
      <c r="P362" s="321"/>
      <c r="Q362" s="321"/>
      <c r="R362" s="321"/>
      <c r="S362" s="321"/>
      <c r="T362" s="321"/>
      <c r="U362" s="321"/>
      <c r="V362" s="321"/>
      <c r="W362" s="321"/>
      <c r="X362" s="321"/>
      <c r="Y362" s="321"/>
    </row>
    <row r="363" spans="1:25" ht="12.75" x14ac:dyDescent="0.2">
      <c r="A363" s="321"/>
      <c r="B363" s="321"/>
      <c r="C363" s="321"/>
      <c r="D363" s="321"/>
      <c r="E363" s="321"/>
      <c r="F363" s="321"/>
      <c r="G363" s="321"/>
      <c r="H363" s="321"/>
      <c r="I363" s="321"/>
      <c r="J363" s="321"/>
      <c r="K363" s="321"/>
      <c r="L363" s="321"/>
      <c r="M363" s="321"/>
      <c r="N363" s="321"/>
      <c r="O363" s="321"/>
      <c r="P363" s="321"/>
      <c r="Q363" s="321"/>
      <c r="R363" s="321"/>
      <c r="S363" s="321"/>
      <c r="T363" s="321"/>
      <c r="U363" s="321"/>
      <c r="V363" s="321"/>
      <c r="W363" s="321"/>
      <c r="X363" s="321"/>
      <c r="Y363" s="321"/>
    </row>
    <row r="364" spans="1:25" ht="12.75" x14ac:dyDescent="0.2">
      <c r="A364" s="321"/>
      <c r="B364" s="321"/>
      <c r="C364" s="321"/>
      <c r="D364" s="321"/>
      <c r="E364" s="321"/>
      <c r="F364" s="321"/>
      <c r="G364" s="321"/>
      <c r="H364" s="321"/>
      <c r="I364" s="321"/>
      <c r="J364" s="321"/>
      <c r="K364" s="321"/>
      <c r="L364" s="321"/>
      <c r="M364" s="321"/>
      <c r="N364" s="321"/>
      <c r="O364" s="321"/>
      <c r="P364" s="321"/>
      <c r="Q364" s="321"/>
      <c r="R364" s="321"/>
      <c r="S364" s="321"/>
      <c r="T364" s="321"/>
      <c r="U364" s="321"/>
      <c r="V364" s="321"/>
      <c r="W364" s="321"/>
      <c r="X364" s="321"/>
      <c r="Y364" s="321"/>
    </row>
    <row r="365" spans="1:25" ht="12.75" x14ac:dyDescent="0.2">
      <c r="A365" s="321"/>
      <c r="B365" s="321"/>
      <c r="C365" s="321"/>
      <c r="D365" s="321"/>
      <c r="E365" s="321"/>
      <c r="F365" s="321"/>
      <c r="G365" s="321"/>
      <c r="H365" s="321"/>
      <c r="I365" s="321"/>
      <c r="J365" s="321"/>
      <c r="K365" s="321"/>
      <c r="L365" s="321"/>
      <c r="M365" s="321"/>
      <c r="N365" s="321"/>
      <c r="O365" s="321"/>
      <c r="P365" s="321"/>
      <c r="Q365" s="321"/>
      <c r="R365" s="321"/>
      <c r="S365" s="321"/>
      <c r="T365" s="321"/>
      <c r="U365" s="321"/>
      <c r="V365" s="321"/>
      <c r="W365" s="321"/>
      <c r="X365" s="321"/>
      <c r="Y365" s="321"/>
    </row>
    <row r="366" spans="1:25" ht="12.75" x14ac:dyDescent="0.2">
      <c r="A366" s="321"/>
      <c r="B366" s="321"/>
      <c r="C366" s="321"/>
      <c r="D366" s="321"/>
      <c r="E366" s="321"/>
      <c r="F366" s="321"/>
      <c r="G366" s="321"/>
      <c r="H366" s="321"/>
      <c r="I366" s="321"/>
      <c r="J366" s="321"/>
      <c r="K366" s="321"/>
      <c r="L366" s="321"/>
      <c r="M366" s="321"/>
      <c r="N366" s="321"/>
      <c r="O366" s="321"/>
      <c r="P366" s="321"/>
      <c r="Q366" s="321"/>
      <c r="R366" s="321"/>
      <c r="S366" s="321"/>
      <c r="T366" s="321"/>
      <c r="U366" s="321"/>
      <c r="V366" s="321"/>
      <c r="W366" s="321"/>
      <c r="X366" s="321"/>
      <c r="Y366" s="321"/>
    </row>
    <row r="367" spans="1:25" ht="12.75" x14ac:dyDescent="0.2">
      <c r="A367" s="321"/>
      <c r="B367" s="321"/>
      <c r="C367" s="321"/>
      <c r="D367" s="321"/>
      <c r="E367" s="321"/>
      <c r="F367" s="321"/>
      <c r="G367" s="321"/>
      <c r="H367" s="321"/>
      <c r="I367" s="321"/>
      <c r="J367" s="321"/>
      <c r="K367" s="321"/>
      <c r="L367" s="321"/>
      <c r="M367" s="321"/>
      <c r="N367" s="321"/>
      <c r="O367" s="321"/>
      <c r="P367" s="321"/>
      <c r="Q367" s="321"/>
      <c r="R367" s="321"/>
      <c r="S367" s="321"/>
      <c r="T367" s="321"/>
      <c r="U367" s="321"/>
      <c r="V367" s="321"/>
      <c r="W367" s="321"/>
      <c r="X367" s="321"/>
      <c r="Y367" s="321"/>
    </row>
    <row r="368" spans="1:25" ht="12.75" x14ac:dyDescent="0.2">
      <c r="A368" s="321"/>
      <c r="B368" s="321"/>
      <c r="C368" s="321"/>
      <c r="D368" s="321"/>
      <c r="E368" s="321"/>
      <c r="F368" s="321"/>
      <c r="G368" s="321"/>
      <c r="H368" s="321"/>
      <c r="I368" s="321"/>
      <c r="J368" s="321"/>
      <c r="K368" s="321"/>
      <c r="L368" s="321"/>
      <c r="M368" s="321"/>
      <c r="N368" s="321"/>
      <c r="O368" s="321"/>
      <c r="P368" s="321"/>
      <c r="Q368" s="321"/>
      <c r="R368" s="321"/>
      <c r="S368" s="321"/>
      <c r="T368" s="321"/>
      <c r="U368" s="321"/>
      <c r="V368" s="321"/>
      <c r="W368" s="321"/>
      <c r="X368" s="321"/>
      <c r="Y368" s="321"/>
    </row>
    <row r="369" spans="1:25" ht="12.75" x14ac:dyDescent="0.2">
      <c r="A369" s="321"/>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row>
    <row r="370" spans="1:25" ht="12.75" x14ac:dyDescent="0.2">
      <c r="A370" s="321"/>
      <c r="B370" s="321"/>
      <c r="C370" s="321"/>
      <c r="D370" s="321"/>
      <c r="E370" s="321"/>
      <c r="F370" s="321"/>
      <c r="G370" s="321"/>
      <c r="H370" s="321"/>
      <c r="I370" s="321"/>
      <c r="J370" s="321"/>
      <c r="K370" s="321"/>
      <c r="L370" s="321"/>
      <c r="M370" s="321"/>
      <c r="N370" s="321"/>
      <c r="O370" s="321"/>
      <c r="P370" s="321"/>
      <c r="Q370" s="321"/>
      <c r="R370" s="321"/>
      <c r="S370" s="321"/>
      <c r="T370" s="321"/>
      <c r="U370" s="321"/>
      <c r="V370" s="321"/>
      <c r="W370" s="321"/>
      <c r="X370" s="321"/>
      <c r="Y370" s="321"/>
    </row>
    <row r="371" spans="1:25" ht="12.75" x14ac:dyDescent="0.2">
      <c r="A371" s="321"/>
      <c r="B371" s="321"/>
      <c r="C371" s="321"/>
      <c r="D371" s="321"/>
      <c r="E371" s="321"/>
      <c r="F371" s="321"/>
      <c r="G371" s="321"/>
      <c r="H371" s="321"/>
      <c r="I371" s="321"/>
      <c r="J371" s="321"/>
      <c r="K371" s="321"/>
      <c r="L371" s="321"/>
      <c r="M371" s="321"/>
      <c r="N371" s="321"/>
      <c r="O371" s="321"/>
      <c r="P371" s="321"/>
      <c r="Q371" s="321"/>
      <c r="R371" s="321"/>
      <c r="S371" s="321"/>
      <c r="T371" s="321"/>
      <c r="U371" s="321"/>
      <c r="V371" s="321"/>
      <c r="W371" s="321"/>
      <c r="X371" s="321"/>
      <c r="Y371" s="321"/>
    </row>
    <row r="372" spans="1:25" ht="12.75" x14ac:dyDescent="0.2">
      <c r="A372" s="321"/>
      <c r="B372" s="321"/>
      <c r="C372" s="321"/>
      <c r="D372" s="321"/>
      <c r="E372" s="321"/>
      <c r="F372" s="321"/>
      <c r="G372" s="321"/>
      <c r="H372" s="321"/>
      <c r="I372" s="321"/>
      <c r="J372" s="321"/>
      <c r="K372" s="321"/>
      <c r="L372" s="321"/>
      <c r="M372" s="321"/>
      <c r="N372" s="321"/>
      <c r="O372" s="321"/>
      <c r="P372" s="321"/>
      <c r="Q372" s="321"/>
      <c r="R372" s="321"/>
      <c r="S372" s="321"/>
      <c r="T372" s="321"/>
      <c r="U372" s="321"/>
      <c r="V372" s="321"/>
      <c r="W372" s="321"/>
      <c r="X372" s="321"/>
      <c r="Y372" s="321"/>
    </row>
    <row r="373" spans="1:25" ht="12.75" x14ac:dyDescent="0.2">
      <c r="A373" s="321"/>
      <c r="B373" s="321"/>
      <c r="C373" s="321"/>
      <c r="D373" s="321"/>
      <c r="E373" s="321"/>
      <c r="F373" s="321"/>
      <c r="G373" s="321"/>
      <c r="H373" s="321"/>
      <c r="I373" s="321"/>
      <c r="J373" s="321"/>
      <c r="K373" s="321"/>
      <c r="L373" s="321"/>
      <c r="M373" s="321"/>
      <c r="N373" s="321"/>
      <c r="O373" s="321"/>
      <c r="P373" s="321"/>
      <c r="Q373" s="321"/>
      <c r="R373" s="321"/>
      <c r="S373" s="321"/>
      <c r="T373" s="321"/>
      <c r="U373" s="321"/>
      <c r="V373" s="321"/>
      <c r="W373" s="321"/>
      <c r="X373" s="321"/>
      <c r="Y373" s="321"/>
    </row>
    <row r="374" spans="1:25" ht="12.75" x14ac:dyDescent="0.2">
      <c r="A374" s="321"/>
      <c r="B374" s="321"/>
      <c r="C374" s="321"/>
      <c r="D374" s="321"/>
      <c r="E374" s="321"/>
      <c r="F374" s="321"/>
      <c r="G374" s="321"/>
      <c r="H374" s="321"/>
      <c r="I374" s="321"/>
      <c r="J374" s="321"/>
      <c r="K374" s="321"/>
      <c r="L374" s="321"/>
      <c r="M374" s="321"/>
      <c r="N374" s="321"/>
      <c r="O374" s="321"/>
      <c r="P374" s="321"/>
      <c r="Q374" s="321"/>
      <c r="R374" s="321"/>
      <c r="S374" s="321"/>
      <c r="T374" s="321"/>
      <c r="U374" s="321"/>
      <c r="V374" s="321"/>
      <c r="W374" s="321"/>
      <c r="X374" s="321"/>
      <c r="Y374" s="321"/>
    </row>
    <row r="375" spans="1:25" ht="12.75" x14ac:dyDescent="0.2">
      <c r="A375" s="321"/>
      <c r="B375" s="321"/>
      <c r="C375" s="321"/>
      <c r="D375" s="321"/>
      <c r="E375" s="321"/>
      <c r="F375" s="321"/>
      <c r="G375" s="321"/>
      <c r="H375" s="321"/>
      <c r="I375" s="321"/>
      <c r="J375" s="321"/>
      <c r="K375" s="321"/>
      <c r="L375" s="321"/>
      <c r="M375" s="321"/>
      <c r="N375" s="321"/>
      <c r="O375" s="321"/>
      <c r="P375" s="321"/>
      <c r="Q375" s="321"/>
      <c r="R375" s="321"/>
      <c r="S375" s="321"/>
      <c r="T375" s="321"/>
      <c r="U375" s="321"/>
      <c r="V375" s="321"/>
      <c r="W375" s="321"/>
      <c r="X375" s="321"/>
      <c r="Y375" s="321"/>
    </row>
    <row r="376" spans="1:25" ht="12.75" x14ac:dyDescent="0.2">
      <c r="A376" s="321"/>
      <c r="B376" s="321"/>
      <c r="C376" s="321"/>
      <c r="D376" s="321"/>
      <c r="E376" s="321"/>
      <c r="F376" s="321"/>
      <c r="G376" s="321"/>
      <c r="H376" s="321"/>
      <c r="I376" s="321"/>
      <c r="J376" s="321"/>
      <c r="K376" s="321"/>
      <c r="L376" s="321"/>
      <c r="M376" s="321"/>
      <c r="N376" s="321"/>
      <c r="O376" s="321"/>
      <c r="P376" s="321"/>
      <c r="Q376" s="321"/>
      <c r="R376" s="321"/>
      <c r="S376" s="321"/>
      <c r="T376" s="321"/>
      <c r="U376" s="321"/>
      <c r="V376" s="321"/>
      <c r="W376" s="321"/>
      <c r="X376" s="321"/>
      <c r="Y376" s="321"/>
    </row>
    <row r="377" spans="1:25" ht="12.75" x14ac:dyDescent="0.2">
      <c r="A377" s="321"/>
      <c r="B377" s="321"/>
      <c r="C377" s="321"/>
      <c r="D377" s="321"/>
      <c r="E377" s="321"/>
      <c r="F377" s="321"/>
      <c r="G377" s="321"/>
      <c r="H377" s="321"/>
      <c r="I377" s="321"/>
      <c r="J377" s="321"/>
      <c r="K377" s="321"/>
      <c r="L377" s="321"/>
      <c r="M377" s="321"/>
      <c r="N377" s="321"/>
      <c r="O377" s="321"/>
      <c r="P377" s="321"/>
      <c r="Q377" s="321"/>
      <c r="R377" s="321"/>
      <c r="S377" s="321"/>
      <c r="T377" s="321"/>
      <c r="U377" s="321"/>
      <c r="V377" s="321"/>
      <c r="W377" s="321"/>
      <c r="X377" s="321"/>
      <c r="Y377" s="321"/>
    </row>
    <row r="378" spans="1:25" ht="12.75" x14ac:dyDescent="0.2">
      <c r="A378" s="321"/>
      <c r="B378" s="321"/>
      <c r="C378" s="321"/>
      <c r="D378" s="321"/>
      <c r="E378" s="321"/>
      <c r="F378" s="321"/>
      <c r="G378" s="321"/>
      <c r="H378" s="321"/>
      <c r="I378" s="321"/>
      <c r="J378" s="321"/>
      <c r="K378" s="321"/>
      <c r="L378" s="321"/>
      <c r="M378" s="321"/>
      <c r="N378" s="321"/>
      <c r="O378" s="321"/>
      <c r="P378" s="321"/>
      <c r="Q378" s="321"/>
      <c r="R378" s="321"/>
      <c r="S378" s="321"/>
      <c r="T378" s="321"/>
      <c r="U378" s="321"/>
      <c r="V378" s="321"/>
      <c r="W378" s="321"/>
      <c r="X378" s="321"/>
      <c r="Y378" s="321"/>
    </row>
    <row r="379" spans="1:25" ht="12.75" x14ac:dyDescent="0.2">
      <c r="A379" s="321"/>
      <c r="B379" s="321"/>
      <c r="C379" s="321"/>
      <c r="D379" s="321"/>
      <c r="E379" s="321"/>
      <c r="F379" s="321"/>
      <c r="G379" s="321"/>
      <c r="H379" s="321"/>
      <c r="I379" s="321"/>
      <c r="J379" s="321"/>
      <c r="K379" s="321"/>
      <c r="L379" s="321"/>
      <c r="M379" s="321"/>
      <c r="N379" s="321"/>
      <c r="O379" s="321"/>
      <c r="P379" s="321"/>
      <c r="Q379" s="321"/>
      <c r="R379" s="321"/>
      <c r="S379" s="321"/>
      <c r="T379" s="321"/>
      <c r="U379" s="321"/>
      <c r="V379" s="321"/>
      <c r="W379" s="321"/>
      <c r="X379" s="321"/>
      <c r="Y379" s="321"/>
    </row>
    <row r="380" spans="1:25" ht="12.75" x14ac:dyDescent="0.2">
      <c r="A380" s="321"/>
      <c r="B380" s="321"/>
      <c r="C380" s="321"/>
      <c r="D380" s="321"/>
      <c r="E380" s="321"/>
      <c r="F380" s="321"/>
      <c r="G380" s="321"/>
      <c r="H380" s="321"/>
      <c r="I380" s="321"/>
      <c r="J380" s="321"/>
      <c r="K380" s="321"/>
      <c r="L380" s="321"/>
      <c r="M380" s="321"/>
      <c r="N380" s="321"/>
      <c r="O380" s="321"/>
      <c r="P380" s="321"/>
      <c r="Q380" s="321"/>
      <c r="R380" s="321"/>
      <c r="S380" s="321"/>
      <c r="T380" s="321"/>
      <c r="U380" s="321"/>
      <c r="V380" s="321"/>
      <c r="W380" s="321"/>
      <c r="X380" s="321"/>
      <c r="Y380" s="321"/>
    </row>
    <row r="381" spans="1:25" ht="12.75" x14ac:dyDescent="0.2">
      <c r="A381" s="321"/>
      <c r="B381" s="321"/>
      <c r="C381" s="321"/>
      <c r="D381" s="321"/>
      <c r="E381" s="321"/>
      <c r="F381" s="321"/>
      <c r="G381" s="321"/>
      <c r="H381" s="321"/>
      <c r="I381" s="321"/>
      <c r="J381" s="321"/>
      <c r="K381" s="321"/>
      <c r="L381" s="321"/>
      <c r="M381" s="321"/>
      <c r="N381" s="321"/>
      <c r="O381" s="321"/>
      <c r="P381" s="321"/>
      <c r="Q381" s="321"/>
      <c r="R381" s="321"/>
      <c r="S381" s="321"/>
      <c r="T381" s="321"/>
      <c r="U381" s="321"/>
      <c r="V381" s="321"/>
      <c r="W381" s="321"/>
      <c r="X381" s="321"/>
      <c r="Y381" s="321"/>
    </row>
    <row r="382" spans="1:25" ht="12.75" x14ac:dyDescent="0.2">
      <c r="A382" s="321"/>
      <c r="B382" s="321"/>
      <c r="C382" s="321"/>
      <c r="D382" s="321"/>
      <c r="E382" s="321"/>
      <c r="F382" s="321"/>
      <c r="G382" s="321"/>
      <c r="H382" s="321"/>
      <c r="I382" s="321"/>
      <c r="J382" s="321"/>
      <c r="K382" s="321"/>
      <c r="L382" s="321"/>
      <c r="M382" s="321"/>
      <c r="N382" s="321"/>
      <c r="O382" s="321"/>
      <c r="P382" s="321"/>
      <c r="Q382" s="321"/>
      <c r="R382" s="321"/>
      <c r="S382" s="321"/>
      <c r="T382" s="321"/>
      <c r="U382" s="321"/>
      <c r="V382" s="321"/>
      <c r="W382" s="321"/>
      <c r="X382" s="321"/>
      <c r="Y382" s="321"/>
    </row>
    <row r="383" spans="1:25" ht="12.75" x14ac:dyDescent="0.2">
      <c r="A383" s="321"/>
      <c r="B383" s="321"/>
      <c r="C383" s="321"/>
      <c r="D383" s="321"/>
      <c r="E383" s="321"/>
      <c r="F383" s="321"/>
      <c r="G383" s="321"/>
      <c r="H383" s="321"/>
      <c r="I383" s="321"/>
      <c r="J383" s="321"/>
      <c r="K383" s="321"/>
      <c r="L383" s="321"/>
      <c r="M383" s="321"/>
      <c r="N383" s="321"/>
      <c r="O383" s="321"/>
      <c r="P383" s="321"/>
      <c r="Q383" s="321"/>
      <c r="R383" s="321"/>
      <c r="S383" s="321"/>
      <c r="T383" s="321"/>
      <c r="U383" s="321"/>
      <c r="V383" s="321"/>
      <c r="W383" s="321"/>
      <c r="X383" s="321"/>
      <c r="Y383" s="321"/>
    </row>
    <row r="384" spans="1:25" ht="12.75" x14ac:dyDescent="0.2">
      <c r="A384" s="321"/>
      <c r="B384" s="321"/>
      <c r="C384" s="321"/>
      <c r="D384" s="321"/>
      <c r="E384" s="321"/>
      <c r="F384" s="321"/>
      <c r="G384" s="321"/>
      <c r="H384" s="321"/>
      <c r="I384" s="321"/>
      <c r="J384" s="321"/>
      <c r="K384" s="321"/>
      <c r="L384" s="321"/>
      <c r="M384" s="321"/>
      <c r="N384" s="321"/>
      <c r="O384" s="321"/>
      <c r="P384" s="321"/>
      <c r="Q384" s="321"/>
      <c r="R384" s="321"/>
      <c r="S384" s="321"/>
      <c r="T384" s="321"/>
      <c r="U384" s="321"/>
      <c r="V384" s="321"/>
      <c r="W384" s="321"/>
      <c r="X384" s="321"/>
      <c r="Y384" s="321"/>
    </row>
    <row r="385" spans="1:25" ht="12.75" x14ac:dyDescent="0.2">
      <c r="A385" s="321"/>
      <c r="B385" s="321"/>
      <c r="C385" s="321"/>
      <c r="D385" s="321"/>
      <c r="E385" s="321"/>
      <c r="F385" s="321"/>
      <c r="G385" s="321"/>
      <c r="H385" s="321"/>
      <c r="I385" s="321"/>
      <c r="J385" s="321"/>
      <c r="K385" s="321"/>
      <c r="L385" s="321"/>
      <c r="M385" s="321"/>
      <c r="N385" s="321"/>
      <c r="O385" s="321"/>
      <c r="P385" s="321"/>
      <c r="Q385" s="321"/>
      <c r="R385" s="321"/>
      <c r="S385" s="321"/>
      <c r="T385" s="321"/>
      <c r="U385" s="321"/>
      <c r="V385" s="321"/>
      <c r="W385" s="321"/>
      <c r="X385" s="321"/>
      <c r="Y385" s="321"/>
    </row>
    <row r="386" spans="1:25" ht="12.75" x14ac:dyDescent="0.2">
      <c r="A386" s="321"/>
      <c r="B386" s="321"/>
      <c r="C386" s="321"/>
      <c r="D386" s="321"/>
      <c r="E386" s="321"/>
      <c r="F386" s="321"/>
      <c r="G386" s="321"/>
      <c r="H386" s="321"/>
      <c r="I386" s="321"/>
      <c r="J386" s="321"/>
      <c r="K386" s="321"/>
      <c r="L386" s="321"/>
      <c r="M386" s="321"/>
      <c r="N386" s="321"/>
      <c r="O386" s="321"/>
      <c r="P386" s="321"/>
      <c r="Q386" s="321"/>
      <c r="R386" s="321"/>
      <c r="S386" s="321"/>
      <c r="T386" s="321"/>
      <c r="U386" s="321"/>
      <c r="V386" s="321"/>
      <c r="W386" s="321"/>
      <c r="X386" s="321"/>
      <c r="Y386" s="321"/>
    </row>
    <row r="387" spans="1:25" ht="12.75" x14ac:dyDescent="0.2">
      <c r="A387" s="321"/>
      <c r="B387" s="321"/>
      <c r="C387" s="321"/>
      <c r="D387" s="321"/>
      <c r="E387" s="321"/>
      <c r="F387" s="321"/>
      <c r="G387" s="321"/>
      <c r="H387" s="321"/>
      <c r="I387" s="321"/>
      <c r="J387" s="321"/>
      <c r="K387" s="321"/>
      <c r="L387" s="321"/>
      <c r="M387" s="321"/>
      <c r="N387" s="321"/>
      <c r="O387" s="321"/>
      <c r="P387" s="321"/>
      <c r="Q387" s="321"/>
      <c r="R387" s="321"/>
      <c r="S387" s="321"/>
      <c r="T387" s="321"/>
      <c r="U387" s="321"/>
      <c r="V387" s="321"/>
      <c r="W387" s="321"/>
      <c r="X387" s="321"/>
      <c r="Y387" s="321"/>
    </row>
    <row r="388" spans="1:25" ht="12.75" x14ac:dyDescent="0.2">
      <c r="A388" s="321"/>
      <c r="B388" s="321"/>
      <c r="C388" s="321"/>
      <c r="D388" s="321"/>
      <c r="E388" s="321"/>
      <c r="F388" s="321"/>
      <c r="G388" s="321"/>
      <c r="H388" s="321"/>
      <c r="I388" s="321"/>
      <c r="J388" s="321"/>
      <c r="K388" s="321"/>
      <c r="L388" s="321"/>
      <c r="M388" s="321"/>
      <c r="N388" s="321"/>
      <c r="O388" s="321"/>
      <c r="P388" s="321"/>
      <c r="Q388" s="321"/>
      <c r="R388" s="321"/>
      <c r="S388" s="321"/>
      <c r="T388" s="321"/>
      <c r="U388" s="321"/>
      <c r="V388" s="321"/>
      <c r="W388" s="321"/>
      <c r="X388" s="321"/>
      <c r="Y388" s="321"/>
    </row>
    <row r="389" spans="1:25" ht="12.75" x14ac:dyDescent="0.2">
      <c r="A389" s="321"/>
      <c r="B389" s="321"/>
      <c r="C389" s="321"/>
      <c r="D389" s="321"/>
      <c r="E389" s="321"/>
      <c r="F389" s="321"/>
      <c r="G389" s="321"/>
      <c r="H389" s="321"/>
      <c r="I389" s="321"/>
      <c r="J389" s="321"/>
      <c r="K389" s="321"/>
      <c r="L389" s="321"/>
      <c r="M389" s="321"/>
      <c r="N389" s="321"/>
      <c r="O389" s="321"/>
      <c r="P389" s="321"/>
      <c r="Q389" s="321"/>
      <c r="R389" s="321"/>
      <c r="S389" s="321"/>
      <c r="T389" s="321"/>
      <c r="U389" s="321"/>
      <c r="V389" s="321"/>
      <c r="W389" s="321"/>
      <c r="X389" s="321"/>
      <c r="Y389" s="321"/>
    </row>
    <row r="390" spans="1:25" ht="12.75" x14ac:dyDescent="0.2">
      <c r="A390" s="321"/>
      <c r="B390" s="321"/>
      <c r="C390" s="321"/>
      <c r="D390" s="321"/>
      <c r="E390" s="321"/>
      <c r="F390" s="321"/>
      <c r="G390" s="321"/>
      <c r="H390" s="321"/>
      <c r="I390" s="321"/>
      <c r="J390" s="321"/>
      <c r="K390" s="321"/>
      <c r="L390" s="321"/>
      <c r="M390" s="321"/>
      <c r="N390" s="321"/>
      <c r="O390" s="321"/>
      <c r="P390" s="321"/>
      <c r="Q390" s="321"/>
      <c r="R390" s="321"/>
      <c r="S390" s="321"/>
      <c r="T390" s="321"/>
      <c r="U390" s="321"/>
      <c r="V390" s="321"/>
      <c r="W390" s="321"/>
      <c r="X390" s="321"/>
      <c r="Y390" s="321"/>
    </row>
    <row r="391" spans="1:25" ht="12.75" x14ac:dyDescent="0.2">
      <c r="A391" s="321"/>
      <c r="B391" s="321"/>
      <c r="C391" s="321"/>
      <c r="D391" s="321"/>
      <c r="E391" s="321"/>
      <c r="F391" s="321"/>
      <c r="G391" s="321"/>
      <c r="H391" s="321"/>
      <c r="I391" s="321"/>
      <c r="J391" s="321"/>
      <c r="K391" s="321"/>
      <c r="L391" s="321"/>
      <c r="M391" s="321"/>
      <c r="N391" s="321"/>
      <c r="O391" s="321"/>
      <c r="P391" s="321"/>
      <c r="Q391" s="321"/>
      <c r="R391" s="321"/>
      <c r="S391" s="321"/>
      <c r="T391" s="321"/>
      <c r="U391" s="321"/>
      <c r="V391" s="321"/>
      <c r="W391" s="321"/>
      <c r="X391" s="321"/>
      <c r="Y391" s="321"/>
    </row>
    <row r="392" spans="1:25" ht="12.75" x14ac:dyDescent="0.2">
      <c r="A392" s="321"/>
      <c r="B392" s="321"/>
      <c r="C392" s="321"/>
      <c r="D392" s="321"/>
      <c r="E392" s="321"/>
      <c r="F392" s="321"/>
      <c r="G392" s="321"/>
      <c r="H392" s="321"/>
      <c r="I392" s="321"/>
      <c r="J392" s="321"/>
      <c r="K392" s="321"/>
      <c r="L392" s="321"/>
      <c r="M392" s="321"/>
      <c r="N392" s="321"/>
      <c r="O392" s="321"/>
      <c r="P392" s="321"/>
      <c r="Q392" s="321"/>
      <c r="R392" s="321"/>
      <c r="S392" s="321"/>
      <c r="T392" s="321"/>
      <c r="U392" s="321"/>
      <c r="V392" s="321"/>
      <c r="W392" s="321"/>
      <c r="X392" s="321"/>
      <c r="Y392" s="321"/>
    </row>
    <row r="393" spans="1:25" ht="12.75" x14ac:dyDescent="0.2">
      <c r="A393" s="321"/>
      <c r="B393" s="321"/>
      <c r="C393" s="321"/>
      <c r="D393" s="321"/>
      <c r="E393" s="321"/>
      <c r="F393" s="321"/>
      <c r="G393" s="321"/>
      <c r="H393" s="321"/>
      <c r="I393" s="321"/>
      <c r="J393" s="321"/>
      <c r="K393" s="321"/>
      <c r="L393" s="321"/>
      <c r="M393" s="321"/>
      <c r="N393" s="321"/>
      <c r="O393" s="321"/>
      <c r="P393" s="321"/>
      <c r="Q393" s="321"/>
      <c r="R393" s="321"/>
      <c r="S393" s="321"/>
      <c r="T393" s="321"/>
      <c r="U393" s="321"/>
      <c r="V393" s="321"/>
      <c r="W393" s="321"/>
      <c r="X393" s="321"/>
      <c r="Y393" s="321"/>
    </row>
    <row r="394" spans="1:25" ht="12.75" x14ac:dyDescent="0.2">
      <c r="A394" s="321"/>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row>
    <row r="395" spans="1:25" ht="12.75" x14ac:dyDescent="0.2">
      <c r="A395" s="321"/>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row>
    <row r="396" spans="1:25" ht="12.75" x14ac:dyDescent="0.2">
      <c r="A396" s="321"/>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row>
    <row r="397" spans="1:25" ht="12.75" x14ac:dyDescent="0.2">
      <c r="A397" s="321"/>
      <c r="B397" s="321"/>
      <c r="C397" s="321"/>
      <c r="D397" s="321"/>
      <c r="E397" s="321"/>
      <c r="F397" s="321"/>
      <c r="G397" s="321"/>
      <c r="H397" s="321"/>
      <c r="I397" s="321"/>
      <c r="J397" s="321"/>
      <c r="K397" s="321"/>
      <c r="L397" s="321"/>
      <c r="M397" s="321"/>
      <c r="N397" s="321"/>
      <c r="O397" s="321"/>
      <c r="P397" s="321"/>
      <c r="Q397" s="321"/>
      <c r="R397" s="321"/>
      <c r="S397" s="321"/>
      <c r="T397" s="321"/>
      <c r="U397" s="321"/>
      <c r="V397" s="321"/>
      <c r="W397" s="321"/>
      <c r="X397" s="321"/>
      <c r="Y397" s="321"/>
    </row>
    <row r="398" spans="1:25" ht="12.75" x14ac:dyDescent="0.2">
      <c r="A398" s="321"/>
      <c r="B398" s="321"/>
      <c r="C398" s="321"/>
      <c r="D398" s="321"/>
      <c r="E398" s="321"/>
      <c r="F398" s="321"/>
      <c r="G398" s="321"/>
      <c r="H398" s="321"/>
      <c r="I398" s="321"/>
      <c r="J398" s="321"/>
      <c r="K398" s="321"/>
      <c r="L398" s="321"/>
      <c r="M398" s="321"/>
      <c r="N398" s="321"/>
      <c r="O398" s="321"/>
      <c r="P398" s="321"/>
      <c r="Q398" s="321"/>
      <c r="R398" s="321"/>
      <c r="S398" s="321"/>
      <c r="T398" s="321"/>
      <c r="U398" s="321"/>
      <c r="V398" s="321"/>
      <c r="W398" s="321"/>
      <c r="X398" s="321"/>
      <c r="Y398" s="321"/>
    </row>
    <row r="399" spans="1:25" ht="12.75" x14ac:dyDescent="0.2">
      <c r="A399" s="321"/>
      <c r="B399" s="321"/>
      <c r="C399" s="321"/>
      <c r="D399" s="321"/>
      <c r="E399" s="321"/>
      <c r="F399" s="321"/>
      <c r="G399" s="321"/>
      <c r="H399" s="321"/>
      <c r="I399" s="321"/>
      <c r="J399" s="321"/>
      <c r="K399" s="321"/>
      <c r="L399" s="321"/>
      <c r="M399" s="321"/>
      <c r="N399" s="321"/>
      <c r="O399" s="321"/>
      <c r="P399" s="321"/>
      <c r="Q399" s="321"/>
      <c r="R399" s="321"/>
      <c r="S399" s="321"/>
      <c r="T399" s="321"/>
      <c r="U399" s="321"/>
      <c r="V399" s="321"/>
      <c r="W399" s="321"/>
      <c r="X399" s="321"/>
      <c r="Y399" s="321"/>
    </row>
    <row r="400" spans="1:25" ht="12.75" x14ac:dyDescent="0.2">
      <c r="A400" s="321"/>
      <c r="B400" s="321"/>
      <c r="C400" s="321"/>
      <c r="D400" s="321"/>
      <c r="E400" s="321"/>
      <c r="F400" s="321"/>
      <c r="G400" s="321"/>
      <c r="H400" s="321"/>
      <c r="I400" s="321"/>
      <c r="J400" s="321"/>
      <c r="K400" s="321"/>
      <c r="L400" s="321"/>
      <c r="M400" s="321"/>
      <c r="N400" s="321"/>
      <c r="O400" s="321"/>
      <c r="P400" s="321"/>
      <c r="Q400" s="321"/>
      <c r="R400" s="321"/>
      <c r="S400" s="321"/>
      <c r="T400" s="321"/>
      <c r="U400" s="321"/>
      <c r="V400" s="321"/>
      <c r="W400" s="321"/>
      <c r="X400" s="321"/>
      <c r="Y400" s="321"/>
    </row>
    <row r="401" spans="1:25" ht="12.75" x14ac:dyDescent="0.2">
      <c r="A401" s="321"/>
      <c r="B401" s="321"/>
      <c r="C401" s="321"/>
      <c r="D401" s="321"/>
      <c r="E401" s="321"/>
      <c r="F401" s="321"/>
      <c r="G401" s="321"/>
      <c r="H401" s="321"/>
      <c r="I401" s="321"/>
      <c r="J401" s="321"/>
      <c r="K401" s="321"/>
      <c r="L401" s="321"/>
      <c r="M401" s="321"/>
      <c r="N401" s="321"/>
      <c r="O401" s="321"/>
      <c r="P401" s="321"/>
      <c r="Q401" s="321"/>
      <c r="R401" s="321"/>
      <c r="S401" s="321"/>
      <c r="T401" s="321"/>
      <c r="U401" s="321"/>
      <c r="V401" s="321"/>
      <c r="W401" s="321"/>
      <c r="X401" s="321"/>
      <c r="Y401" s="321"/>
    </row>
    <row r="402" spans="1:25" ht="12.75" x14ac:dyDescent="0.2">
      <c r="A402" s="321"/>
      <c r="B402" s="321"/>
      <c r="C402" s="321"/>
      <c r="D402" s="321"/>
      <c r="E402" s="321"/>
      <c r="F402" s="321"/>
      <c r="G402" s="321"/>
      <c r="H402" s="321"/>
      <c r="I402" s="321"/>
      <c r="J402" s="321"/>
      <c r="K402" s="321"/>
      <c r="L402" s="321"/>
      <c r="M402" s="321"/>
      <c r="N402" s="321"/>
      <c r="O402" s="321"/>
      <c r="P402" s="321"/>
      <c r="Q402" s="321"/>
      <c r="R402" s="321"/>
      <c r="S402" s="321"/>
      <c r="T402" s="321"/>
      <c r="U402" s="321"/>
      <c r="V402" s="321"/>
      <c r="W402" s="321"/>
      <c r="X402" s="321"/>
      <c r="Y402" s="321"/>
    </row>
    <row r="403" spans="1:25" ht="12.75" x14ac:dyDescent="0.2">
      <c r="A403" s="321"/>
      <c r="B403" s="321"/>
      <c r="C403" s="321"/>
      <c r="D403" s="321"/>
      <c r="E403" s="321"/>
      <c r="F403" s="321"/>
      <c r="G403" s="321"/>
      <c r="H403" s="321"/>
      <c r="I403" s="321"/>
      <c r="J403" s="321"/>
      <c r="K403" s="321"/>
      <c r="L403" s="321"/>
      <c r="M403" s="321"/>
      <c r="N403" s="321"/>
      <c r="O403" s="321"/>
      <c r="P403" s="321"/>
      <c r="Q403" s="321"/>
      <c r="R403" s="321"/>
      <c r="S403" s="321"/>
      <c r="T403" s="321"/>
      <c r="U403" s="321"/>
      <c r="V403" s="321"/>
      <c r="W403" s="321"/>
      <c r="X403" s="321"/>
      <c r="Y403" s="321"/>
    </row>
    <row r="404" spans="1:25" ht="12.75" x14ac:dyDescent="0.2">
      <c r="A404" s="321"/>
      <c r="B404" s="321"/>
      <c r="C404" s="321"/>
      <c r="D404" s="321"/>
      <c r="E404" s="321"/>
      <c r="F404" s="321"/>
      <c r="G404" s="321"/>
      <c r="H404" s="321"/>
      <c r="I404" s="321"/>
      <c r="J404" s="321"/>
      <c r="K404" s="321"/>
      <c r="L404" s="321"/>
      <c r="M404" s="321"/>
      <c r="N404" s="321"/>
      <c r="O404" s="321"/>
      <c r="P404" s="321"/>
      <c r="Q404" s="321"/>
      <c r="R404" s="321"/>
      <c r="S404" s="321"/>
      <c r="T404" s="321"/>
      <c r="U404" s="321"/>
      <c r="V404" s="321"/>
      <c r="W404" s="321"/>
      <c r="X404" s="321"/>
      <c r="Y404" s="321"/>
    </row>
    <row r="405" spans="1:25" ht="12.75" x14ac:dyDescent="0.2">
      <c r="A405" s="321"/>
      <c r="B405" s="321"/>
      <c r="C405" s="321"/>
      <c r="D405" s="321"/>
      <c r="E405" s="321"/>
      <c r="F405" s="321"/>
      <c r="G405" s="321"/>
      <c r="H405" s="321"/>
      <c r="I405" s="321"/>
      <c r="J405" s="321"/>
      <c r="K405" s="321"/>
      <c r="L405" s="321"/>
      <c r="M405" s="321"/>
      <c r="N405" s="321"/>
      <c r="O405" s="321"/>
      <c r="P405" s="321"/>
      <c r="Q405" s="321"/>
      <c r="R405" s="321"/>
      <c r="S405" s="321"/>
      <c r="T405" s="321"/>
      <c r="U405" s="321"/>
      <c r="V405" s="321"/>
      <c r="W405" s="321"/>
      <c r="X405" s="321"/>
      <c r="Y405" s="321"/>
    </row>
    <row r="406" spans="1:25" ht="12.75" x14ac:dyDescent="0.2">
      <c r="A406" s="321"/>
      <c r="B406" s="321"/>
      <c r="C406" s="321"/>
      <c r="D406" s="321"/>
      <c r="E406" s="321"/>
      <c r="F406" s="321"/>
      <c r="G406" s="321"/>
      <c r="H406" s="321"/>
      <c r="I406" s="321"/>
      <c r="J406" s="321"/>
      <c r="K406" s="321"/>
      <c r="L406" s="321"/>
      <c r="M406" s="321"/>
      <c r="N406" s="321"/>
      <c r="O406" s="321"/>
      <c r="P406" s="321"/>
      <c r="Q406" s="321"/>
      <c r="R406" s="321"/>
      <c r="S406" s="321"/>
      <c r="T406" s="321"/>
      <c r="U406" s="321"/>
      <c r="V406" s="321"/>
      <c r="W406" s="321"/>
      <c r="X406" s="321"/>
      <c r="Y406" s="321"/>
    </row>
    <row r="407" spans="1:25" ht="12.75" x14ac:dyDescent="0.2">
      <c r="A407" s="321"/>
      <c r="B407" s="321"/>
      <c r="C407" s="321"/>
      <c r="D407" s="321"/>
      <c r="E407" s="321"/>
      <c r="F407" s="321"/>
      <c r="G407" s="321"/>
      <c r="H407" s="321"/>
      <c r="I407" s="321"/>
      <c r="J407" s="321"/>
      <c r="K407" s="321"/>
      <c r="L407" s="321"/>
      <c r="M407" s="321"/>
      <c r="N407" s="321"/>
      <c r="O407" s="321"/>
      <c r="P407" s="321"/>
      <c r="Q407" s="321"/>
      <c r="R407" s="321"/>
      <c r="S407" s="321"/>
      <c r="T407" s="321"/>
      <c r="U407" s="321"/>
      <c r="V407" s="321"/>
      <c r="W407" s="321"/>
      <c r="X407" s="321"/>
      <c r="Y407" s="321"/>
    </row>
    <row r="408" spans="1:25" ht="12.75" x14ac:dyDescent="0.2">
      <c r="A408" s="321"/>
      <c r="B408" s="321"/>
      <c r="C408" s="321"/>
      <c r="D408" s="321"/>
      <c r="E408" s="321"/>
      <c r="F408" s="321"/>
      <c r="G408" s="321"/>
      <c r="H408" s="321"/>
      <c r="I408" s="321"/>
      <c r="J408" s="321"/>
      <c r="K408" s="321"/>
      <c r="L408" s="321"/>
      <c r="M408" s="321"/>
      <c r="N408" s="321"/>
      <c r="O408" s="321"/>
      <c r="P408" s="321"/>
      <c r="Q408" s="321"/>
      <c r="R408" s="321"/>
      <c r="S408" s="321"/>
      <c r="T408" s="321"/>
      <c r="U408" s="321"/>
      <c r="V408" s="321"/>
      <c r="W408" s="321"/>
      <c r="X408" s="321"/>
      <c r="Y408" s="321"/>
    </row>
    <row r="409" spans="1:25" ht="12.75" x14ac:dyDescent="0.2">
      <c r="A409" s="321"/>
      <c r="B409" s="321"/>
      <c r="C409" s="321"/>
      <c r="D409" s="321"/>
      <c r="E409" s="321"/>
      <c r="F409" s="321"/>
      <c r="G409" s="321"/>
      <c r="H409" s="321"/>
      <c r="I409" s="321"/>
      <c r="J409" s="321"/>
      <c r="K409" s="321"/>
      <c r="L409" s="321"/>
      <c r="M409" s="321"/>
      <c r="N409" s="321"/>
      <c r="O409" s="321"/>
      <c r="P409" s="321"/>
      <c r="Q409" s="321"/>
      <c r="R409" s="321"/>
      <c r="S409" s="321"/>
      <c r="T409" s="321"/>
      <c r="U409" s="321"/>
      <c r="V409" s="321"/>
      <c r="W409" s="321"/>
      <c r="X409" s="321"/>
      <c r="Y409" s="321"/>
    </row>
    <row r="410" spans="1:25" ht="12.75" x14ac:dyDescent="0.2">
      <c r="A410" s="321"/>
      <c r="B410" s="321"/>
      <c r="C410" s="321"/>
      <c r="D410" s="321"/>
      <c r="E410" s="321"/>
      <c r="F410" s="321"/>
      <c r="G410" s="321"/>
      <c r="H410" s="321"/>
      <c r="I410" s="321"/>
      <c r="J410" s="321"/>
      <c r="K410" s="321"/>
      <c r="L410" s="321"/>
      <c r="M410" s="321"/>
      <c r="N410" s="321"/>
      <c r="O410" s="321"/>
      <c r="P410" s="321"/>
      <c r="Q410" s="321"/>
      <c r="R410" s="321"/>
      <c r="S410" s="321"/>
      <c r="T410" s="321"/>
      <c r="U410" s="321"/>
      <c r="V410" s="321"/>
      <c r="W410" s="321"/>
      <c r="X410" s="321"/>
      <c r="Y410" s="321"/>
    </row>
    <row r="411" spans="1:25" ht="12.75" x14ac:dyDescent="0.2">
      <c r="A411" s="321"/>
      <c r="B411" s="321"/>
      <c r="C411" s="321"/>
      <c r="D411" s="321"/>
      <c r="E411" s="321"/>
      <c r="F411" s="321"/>
      <c r="G411" s="321"/>
      <c r="H411" s="321"/>
      <c r="I411" s="321"/>
      <c r="J411" s="321"/>
      <c r="K411" s="321"/>
      <c r="L411" s="321"/>
      <c r="M411" s="321"/>
      <c r="N411" s="321"/>
      <c r="O411" s="321"/>
      <c r="P411" s="321"/>
      <c r="Q411" s="321"/>
      <c r="R411" s="321"/>
      <c r="S411" s="321"/>
      <c r="T411" s="321"/>
      <c r="U411" s="321"/>
      <c r="V411" s="321"/>
      <c r="W411" s="321"/>
      <c r="X411" s="321"/>
      <c r="Y411" s="321"/>
    </row>
    <row r="412" spans="1:25" ht="12.75" x14ac:dyDescent="0.2">
      <c r="A412" s="321"/>
      <c r="B412" s="321"/>
      <c r="C412" s="321"/>
      <c r="D412" s="321"/>
      <c r="E412" s="321"/>
      <c r="F412" s="321"/>
      <c r="G412" s="321"/>
      <c r="H412" s="321"/>
      <c r="I412" s="321"/>
      <c r="J412" s="321"/>
      <c r="K412" s="321"/>
      <c r="L412" s="321"/>
      <c r="M412" s="321"/>
      <c r="N412" s="321"/>
      <c r="O412" s="321"/>
      <c r="P412" s="321"/>
      <c r="Q412" s="321"/>
      <c r="R412" s="321"/>
      <c r="S412" s="321"/>
      <c r="T412" s="321"/>
      <c r="U412" s="321"/>
      <c r="V412" s="321"/>
      <c r="W412" s="321"/>
      <c r="X412" s="321"/>
      <c r="Y412" s="321"/>
    </row>
    <row r="413" spans="1:25" ht="12.75" x14ac:dyDescent="0.2">
      <c r="A413" s="321"/>
      <c r="B413" s="321"/>
      <c r="C413" s="321"/>
      <c r="D413" s="321"/>
      <c r="E413" s="321"/>
      <c r="F413" s="321"/>
      <c r="G413" s="321"/>
      <c r="H413" s="321"/>
      <c r="I413" s="321"/>
      <c r="J413" s="321"/>
      <c r="K413" s="321"/>
      <c r="L413" s="321"/>
      <c r="M413" s="321"/>
      <c r="N413" s="321"/>
      <c r="O413" s="321"/>
      <c r="P413" s="321"/>
      <c r="Q413" s="321"/>
      <c r="R413" s="321"/>
      <c r="S413" s="321"/>
      <c r="T413" s="321"/>
      <c r="U413" s="321"/>
      <c r="V413" s="321"/>
      <c r="W413" s="321"/>
      <c r="X413" s="321"/>
      <c r="Y413" s="321"/>
    </row>
    <row r="414" spans="1:25" ht="12.75" x14ac:dyDescent="0.2">
      <c r="A414" s="321"/>
      <c r="B414" s="321"/>
      <c r="C414" s="321"/>
      <c r="D414" s="321"/>
      <c r="E414" s="321"/>
      <c r="F414" s="321"/>
      <c r="G414" s="321"/>
      <c r="H414" s="321"/>
      <c r="I414" s="321"/>
      <c r="J414" s="321"/>
      <c r="K414" s="321"/>
      <c r="L414" s="321"/>
      <c r="M414" s="321"/>
      <c r="N414" s="321"/>
      <c r="O414" s="321"/>
      <c r="P414" s="321"/>
      <c r="Q414" s="321"/>
      <c r="R414" s="321"/>
      <c r="S414" s="321"/>
      <c r="T414" s="321"/>
      <c r="U414" s="321"/>
      <c r="V414" s="321"/>
      <c r="W414" s="321"/>
      <c r="X414" s="321"/>
      <c r="Y414" s="321"/>
    </row>
    <row r="415" spans="1:25" ht="12.75" x14ac:dyDescent="0.2">
      <c r="A415" s="321"/>
      <c r="B415" s="321"/>
      <c r="C415" s="321"/>
      <c r="D415" s="321"/>
      <c r="E415" s="321"/>
      <c r="F415" s="321"/>
      <c r="G415" s="321"/>
      <c r="H415" s="321"/>
      <c r="I415" s="321"/>
      <c r="J415" s="321"/>
      <c r="K415" s="321"/>
      <c r="L415" s="321"/>
      <c r="M415" s="321"/>
      <c r="N415" s="321"/>
      <c r="O415" s="321"/>
      <c r="P415" s="321"/>
      <c r="Q415" s="321"/>
      <c r="R415" s="321"/>
      <c r="S415" s="321"/>
      <c r="T415" s="321"/>
      <c r="U415" s="321"/>
      <c r="V415" s="321"/>
      <c r="W415" s="321"/>
      <c r="X415" s="321"/>
      <c r="Y415" s="321"/>
    </row>
    <row r="416" spans="1:25" ht="12.75" x14ac:dyDescent="0.2">
      <c r="A416" s="321"/>
      <c r="B416" s="321"/>
      <c r="C416" s="321"/>
      <c r="D416" s="321"/>
      <c r="E416" s="321"/>
      <c r="F416" s="321"/>
      <c r="G416" s="321"/>
      <c r="H416" s="321"/>
      <c r="I416" s="321"/>
      <c r="J416" s="321"/>
      <c r="K416" s="321"/>
      <c r="L416" s="321"/>
      <c r="M416" s="321"/>
      <c r="N416" s="321"/>
      <c r="O416" s="321"/>
      <c r="P416" s="321"/>
      <c r="Q416" s="321"/>
      <c r="R416" s="321"/>
      <c r="S416" s="321"/>
      <c r="T416" s="321"/>
      <c r="U416" s="321"/>
      <c r="V416" s="321"/>
      <c r="W416" s="321"/>
      <c r="X416" s="321"/>
      <c r="Y416" s="321"/>
    </row>
    <row r="417" spans="1:25" ht="12.75" x14ac:dyDescent="0.2">
      <c r="A417" s="321"/>
      <c r="B417" s="321"/>
      <c r="C417" s="321"/>
      <c r="D417" s="321"/>
      <c r="E417" s="321"/>
      <c r="F417" s="321"/>
      <c r="G417" s="321"/>
      <c r="H417" s="321"/>
      <c r="I417" s="321"/>
      <c r="J417" s="321"/>
      <c r="K417" s="321"/>
      <c r="L417" s="321"/>
      <c r="M417" s="321"/>
      <c r="N417" s="321"/>
      <c r="O417" s="321"/>
      <c r="P417" s="321"/>
      <c r="Q417" s="321"/>
      <c r="R417" s="321"/>
      <c r="S417" s="321"/>
      <c r="T417" s="321"/>
      <c r="U417" s="321"/>
      <c r="V417" s="321"/>
      <c r="W417" s="321"/>
      <c r="X417" s="321"/>
      <c r="Y417" s="321"/>
    </row>
    <row r="418" spans="1:25" ht="12.75" x14ac:dyDescent="0.2">
      <c r="A418" s="321"/>
      <c r="B418" s="321"/>
      <c r="C418" s="321"/>
      <c r="D418" s="321"/>
      <c r="E418" s="321"/>
      <c r="F418" s="321"/>
      <c r="G418" s="321"/>
      <c r="H418" s="321"/>
      <c r="I418" s="321"/>
      <c r="J418" s="321"/>
      <c r="K418" s="321"/>
      <c r="L418" s="321"/>
      <c r="M418" s="321"/>
      <c r="N418" s="321"/>
      <c r="O418" s="321"/>
      <c r="P418" s="321"/>
      <c r="Q418" s="321"/>
      <c r="R418" s="321"/>
      <c r="S418" s="321"/>
      <c r="T418" s="321"/>
      <c r="U418" s="321"/>
      <c r="V418" s="321"/>
      <c r="W418" s="321"/>
      <c r="X418" s="321"/>
      <c r="Y418" s="321"/>
    </row>
    <row r="419" spans="1:25" ht="12.75" x14ac:dyDescent="0.2">
      <c r="A419" s="321"/>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row>
    <row r="420" spans="1:25" ht="12.75" x14ac:dyDescent="0.2">
      <c r="A420" s="321"/>
      <c r="B420" s="321"/>
      <c r="C420" s="321"/>
      <c r="D420" s="321"/>
      <c r="E420" s="321"/>
      <c r="F420" s="321"/>
      <c r="G420" s="321"/>
      <c r="H420" s="321"/>
      <c r="I420" s="321"/>
      <c r="J420" s="321"/>
      <c r="K420" s="321"/>
      <c r="L420" s="321"/>
      <c r="M420" s="321"/>
      <c r="N420" s="321"/>
      <c r="O420" s="321"/>
      <c r="P420" s="321"/>
      <c r="Q420" s="321"/>
      <c r="R420" s="321"/>
      <c r="S420" s="321"/>
      <c r="T420" s="321"/>
      <c r="U420" s="321"/>
      <c r="V420" s="321"/>
      <c r="W420" s="321"/>
      <c r="X420" s="321"/>
      <c r="Y420" s="321"/>
    </row>
    <row r="421" spans="1:25" ht="12.75" x14ac:dyDescent="0.2">
      <c r="A421" s="321"/>
      <c r="B421" s="321"/>
      <c r="C421" s="321"/>
      <c r="D421" s="321"/>
      <c r="E421" s="321"/>
      <c r="F421" s="321"/>
      <c r="G421" s="321"/>
      <c r="H421" s="321"/>
      <c r="I421" s="321"/>
      <c r="J421" s="321"/>
      <c r="K421" s="321"/>
      <c r="L421" s="321"/>
      <c r="M421" s="321"/>
      <c r="N421" s="321"/>
      <c r="O421" s="321"/>
      <c r="P421" s="321"/>
      <c r="Q421" s="321"/>
      <c r="R421" s="321"/>
      <c r="S421" s="321"/>
      <c r="T421" s="321"/>
      <c r="U421" s="321"/>
      <c r="V421" s="321"/>
      <c r="W421" s="321"/>
      <c r="X421" s="321"/>
      <c r="Y421" s="321"/>
    </row>
    <row r="422" spans="1:25" ht="12.75" x14ac:dyDescent="0.2">
      <c r="A422" s="321"/>
      <c r="B422" s="321"/>
      <c r="C422" s="321"/>
      <c r="D422" s="321"/>
      <c r="E422" s="321"/>
      <c r="F422" s="321"/>
      <c r="G422" s="321"/>
      <c r="H422" s="321"/>
      <c r="I422" s="321"/>
      <c r="J422" s="321"/>
      <c r="K422" s="321"/>
      <c r="L422" s="321"/>
      <c r="M422" s="321"/>
      <c r="N422" s="321"/>
      <c r="O422" s="321"/>
      <c r="P422" s="321"/>
      <c r="Q422" s="321"/>
      <c r="R422" s="321"/>
      <c r="S422" s="321"/>
      <c r="T422" s="321"/>
      <c r="U422" s="321"/>
      <c r="V422" s="321"/>
      <c r="W422" s="321"/>
      <c r="X422" s="321"/>
      <c r="Y422" s="321"/>
    </row>
    <row r="423" spans="1:25" ht="12.75" x14ac:dyDescent="0.2">
      <c r="A423" s="321"/>
      <c r="B423" s="321"/>
      <c r="C423" s="321"/>
      <c r="D423" s="321"/>
      <c r="E423" s="321"/>
      <c r="F423" s="321"/>
      <c r="G423" s="321"/>
      <c r="H423" s="321"/>
      <c r="I423" s="321"/>
      <c r="J423" s="321"/>
      <c r="K423" s="321"/>
      <c r="L423" s="321"/>
      <c r="M423" s="321"/>
      <c r="N423" s="321"/>
      <c r="O423" s="321"/>
      <c r="P423" s="321"/>
      <c r="Q423" s="321"/>
      <c r="R423" s="321"/>
      <c r="S423" s="321"/>
      <c r="T423" s="321"/>
      <c r="U423" s="321"/>
      <c r="V423" s="321"/>
      <c r="W423" s="321"/>
      <c r="X423" s="321"/>
      <c r="Y423" s="321"/>
    </row>
    <row r="424" spans="1:25" ht="12.75" x14ac:dyDescent="0.2">
      <c r="A424" s="321"/>
      <c r="B424" s="321"/>
      <c r="C424" s="321"/>
      <c r="D424" s="321"/>
      <c r="E424" s="321"/>
      <c r="F424" s="321"/>
      <c r="G424" s="321"/>
      <c r="H424" s="321"/>
      <c r="I424" s="321"/>
      <c r="J424" s="321"/>
      <c r="K424" s="321"/>
      <c r="L424" s="321"/>
      <c r="M424" s="321"/>
      <c r="N424" s="321"/>
      <c r="O424" s="321"/>
      <c r="P424" s="321"/>
      <c r="Q424" s="321"/>
      <c r="R424" s="321"/>
      <c r="S424" s="321"/>
      <c r="T424" s="321"/>
      <c r="U424" s="321"/>
      <c r="V424" s="321"/>
      <c r="W424" s="321"/>
      <c r="X424" s="321"/>
      <c r="Y424" s="321"/>
    </row>
    <row r="425" spans="1:25" ht="12.75" x14ac:dyDescent="0.2">
      <c r="A425" s="321"/>
      <c r="B425" s="321"/>
      <c r="C425" s="321"/>
      <c r="D425" s="321"/>
      <c r="E425" s="321"/>
      <c r="F425" s="321"/>
      <c r="G425" s="321"/>
      <c r="H425" s="321"/>
      <c r="I425" s="321"/>
      <c r="J425" s="321"/>
      <c r="K425" s="321"/>
      <c r="L425" s="321"/>
      <c r="M425" s="321"/>
      <c r="N425" s="321"/>
      <c r="O425" s="321"/>
      <c r="P425" s="321"/>
      <c r="Q425" s="321"/>
      <c r="R425" s="321"/>
      <c r="S425" s="321"/>
      <c r="T425" s="321"/>
      <c r="U425" s="321"/>
      <c r="V425" s="321"/>
      <c r="W425" s="321"/>
      <c r="X425" s="321"/>
      <c r="Y425" s="321"/>
    </row>
    <row r="426" spans="1:25" ht="12.75" x14ac:dyDescent="0.2">
      <c r="A426" s="321"/>
      <c r="B426" s="321"/>
      <c r="C426" s="321"/>
      <c r="D426" s="321"/>
      <c r="E426" s="321"/>
      <c r="F426" s="321"/>
      <c r="G426" s="321"/>
      <c r="H426" s="321"/>
      <c r="I426" s="321"/>
      <c r="J426" s="321"/>
      <c r="K426" s="321"/>
      <c r="L426" s="321"/>
      <c r="M426" s="321"/>
      <c r="N426" s="321"/>
      <c r="O426" s="321"/>
      <c r="P426" s="321"/>
      <c r="Q426" s="321"/>
      <c r="R426" s="321"/>
      <c r="S426" s="321"/>
      <c r="T426" s="321"/>
      <c r="U426" s="321"/>
      <c r="V426" s="321"/>
      <c r="W426" s="321"/>
      <c r="X426" s="321"/>
      <c r="Y426" s="321"/>
    </row>
    <row r="427" spans="1:25" ht="12.75" x14ac:dyDescent="0.2">
      <c r="A427" s="321"/>
      <c r="B427" s="321"/>
      <c r="C427" s="321"/>
      <c r="D427" s="321"/>
      <c r="E427" s="321"/>
      <c r="F427" s="321"/>
      <c r="G427" s="321"/>
      <c r="H427" s="321"/>
      <c r="I427" s="321"/>
      <c r="J427" s="321"/>
      <c r="K427" s="321"/>
      <c r="L427" s="321"/>
      <c r="M427" s="321"/>
      <c r="N427" s="321"/>
      <c r="O427" s="321"/>
      <c r="P427" s="321"/>
      <c r="Q427" s="321"/>
      <c r="R427" s="321"/>
      <c r="S427" s="321"/>
      <c r="T427" s="321"/>
      <c r="U427" s="321"/>
      <c r="V427" s="321"/>
      <c r="W427" s="321"/>
      <c r="X427" s="321"/>
      <c r="Y427" s="321"/>
    </row>
    <row r="428" spans="1:25" ht="12.75" x14ac:dyDescent="0.2">
      <c r="A428" s="321"/>
      <c r="B428" s="321"/>
      <c r="C428" s="321"/>
      <c r="D428" s="321"/>
      <c r="E428" s="321"/>
      <c r="F428" s="321"/>
      <c r="G428" s="321"/>
      <c r="H428" s="321"/>
      <c r="I428" s="321"/>
      <c r="J428" s="321"/>
      <c r="K428" s="321"/>
      <c r="L428" s="321"/>
      <c r="M428" s="321"/>
      <c r="N428" s="321"/>
      <c r="O428" s="321"/>
      <c r="P428" s="321"/>
      <c r="Q428" s="321"/>
      <c r="R428" s="321"/>
      <c r="S428" s="321"/>
      <c r="T428" s="321"/>
      <c r="U428" s="321"/>
      <c r="V428" s="321"/>
      <c r="W428" s="321"/>
      <c r="X428" s="321"/>
      <c r="Y428" s="321"/>
    </row>
    <row r="429" spans="1:25" ht="12.75" x14ac:dyDescent="0.2">
      <c r="A429" s="321"/>
      <c r="B429" s="321"/>
      <c r="C429" s="321"/>
      <c r="D429" s="321"/>
      <c r="E429" s="321"/>
      <c r="F429" s="321"/>
      <c r="G429" s="321"/>
      <c r="H429" s="321"/>
      <c r="I429" s="321"/>
      <c r="J429" s="321"/>
      <c r="K429" s="321"/>
      <c r="L429" s="321"/>
      <c r="M429" s="321"/>
      <c r="N429" s="321"/>
      <c r="O429" s="321"/>
      <c r="P429" s="321"/>
      <c r="Q429" s="321"/>
      <c r="R429" s="321"/>
      <c r="S429" s="321"/>
      <c r="T429" s="321"/>
      <c r="U429" s="321"/>
      <c r="V429" s="321"/>
      <c r="W429" s="321"/>
      <c r="X429" s="321"/>
      <c r="Y429" s="321"/>
    </row>
    <row r="430" spans="1:25" ht="12.75" x14ac:dyDescent="0.2">
      <c r="A430" s="321"/>
      <c r="B430" s="321"/>
      <c r="C430" s="321"/>
      <c r="D430" s="321"/>
      <c r="E430" s="321"/>
      <c r="F430" s="321"/>
      <c r="G430" s="321"/>
      <c r="H430" s="321"/>
      <c r="I430" s="321"/>
      <c r="J430" s="321"/>
      <c r="K430" s="321"/>
      <c r="L430" s="321"/>
      <c r="M430" s="321"/>
      <c r="N430" s="321"/>
      <c r="O430" s="321"/>
      <c r="P430" s="321"/>
      <c r="Q430" s="321"/>
      <c r="R430" s="321"/>
      <c r="S430" s="321"/>
      <c r="T430" s="321"/>
      <c r="U430" s="321"/>
      <c r="V430" s="321"/>
      <c r="W430" s="321"/>
      <c r="X430" s="321"/>
      <c r="Y430" s="321"/>
    </row>
    <row r="431" spans="1:25" ht="12.75" x14ac:dyDescent="0.2">
      <c r="A431" s="321"/>
      <c r="B431" s="321"/>
      <c r="C431" s="321"/>
      <c r="D431" s="321"/>
      <c r="E431" s="321"/>
      <c r="F431" s="321"/>
      <c r="G431" s="321"/>
      <c r="H431" s="321"/>
      <c r="I431" s="321"/>
      <c r="J431" s="321"/>
      <c r="K431" s="321"/>
      <c r="L431" s="321"/>
      <c r="M431" s="321"/>
      <c r="N431" s="321"/>
      <c r="O431" s="321"/>
      <c r="P431" s="321"/>
      <c r="Q431" s="321"/>
      <c r="R431" s="321"/>
      <c r="S431" s="321"/>
      <c r="T431" s="321"/>
      <c r="U431" s="321"/>
      <c r="V431" s="321"/>
      <c r="W431" s="321"/>
      <c r="X431" s="321"/>
      <c r="Y431" s="321"/>
    </row>
    <row r="432" spans="1:25" ht="12.75" x14ac:dyDescent="0.2">
      <c r="A432" s="321"/>
      <c r="B432" s="321"/>
      <c r="C432" s="321"/>
      <c r="D432" s="321"/>
      <c r="E432" s="321"/>
      <c r="F432" s="321"/>
      <c r="G432" s="321"/>
      <c r="H432" s="321"/>
      <c r="I432" s="321"/>
      <c r="J432" s="321"/>
      <c r="K432" s="321"/>
      <c r="L432" s="321"/>
      <c r="M432" s="321"/>
      <c r="N432" s="321"/>
      <c r="O432" s="321"/>
      <c r="P432" s="321"/>
      <c r="Q432" s="321"/>
      <c r="R432" s="321"/>
      <c r="S432" s="321"/>
      <c r="T432" s="321"/>
      <c r="U432" s="321"/>
      <c r="V432" s="321"/>
      <c r="W432" s="321"/>
      <c r="X432" s="321"/>
      <c r="Y432" s="321"/>
    </row>
    <row r="433" spans="1:25" ht="12.75" x14ac:dyDescent="0.2">
      <c r="A433" s="321"/>
      <c r="B433" s="321"/>
      <c r="C433" s="321"/>
      <c r="D433" s="321"/>
      <c r="E433" s="321"/>
      <c r="F433" s="321"/>
      <c r="G433" s="321"/>
      <c r="H433" s="321"/>
      <c r="I433" s="321"/>
      <c r="J433" s="321"/>
      <c r="K433" s="321"/>
      <c r="L433" s="321"/>
      <c r="M433" s="321"/>
      <c r="N433" s="321"/>
      <c r="O433" s="321"/>
      <c r="P433" s="321"/>
      <c r="Q433" s="321"/>
      <c r="R433" s="321"/>
      <c r="S433" s="321"/>
      <c r="T433" s="321"/>
      <c r="U433" s="321"/>
      <c r="V433" s="321"/>
      <c r="W433" s="321"/>
      <c r="X433" s="321"/>
      <c r="Y433" s="321"/>
    </row>
    <row r="434" spans="1:25" ht="12.75" x14ac:dyDescent="0.2">
      <c r="A434" s="321"/>
      <c r="B434" s="321"/>
      <c r="C434" s="321"/>
      <c r="D434" s="321"/>
      <c r="E434" s="321"/>
      <c r="F434" s="321"/>
      <c r="G434" s="321"/>
      <c r="H434" s="321"/>
      <c r="I434" s="321"/>
      <c r="J434" s="321"/>
      <c r="K434" s="321"/>
      <c r="L434" s="321"/>
      <c r="M434" s="321"/>
      <c r="N434" s="321"/>
      <c r="O434" s="321"/>
      <c r="P434" s="321"/>
      <c r="Q434" s="321"/>
      <c r="R434" s="321"/>
      <c r="S434" s="321"/>
      <c r="T434" s="321"/>
      <c r="U434" s="321"/>
      <c r="V434" s="321"/>
      <c r="W434" s="321"/>
      <c r="X434" s="321"/>
      <c r="Y434" s="321"/>
    </row>
    <row r="435" spans="1:25" ht="12.75" x14ac:dyDescent="0.2">
      <c r="A435" s="321"/>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row>
    <row r="436" spans="1:25" ht="12.75" x14ac:dyDescent="0.2">
      <c r="A436" s="321"/>
      <c r="B436" s="321"/>
      <c r="C436" s="321"/>
      <c r="D436" s="321"/>
      <c r="E436" s="321"/>
      <c r="F436" s="321"/>
      <c r="G436" s="321"/>
      <c r="H436" s="321"/>
      <c r="I436" s="321"/>
      <c r="J436" s="321"/>
      <c r="K436" s="321"/>
      <c r="L436" s="321"/>
      <c r="M436" s="321"/>
      <c r="N436" s="321"/>
      <c r="O436" s="321"/>
      <c r="P436" s="321"/>
      <c r="Q436" s="321"/>
      <c r="R436" s="321"/>
      <c r="S436" s="321"/>
      <c r="T436" s="321"/>
      <c r="U436" s="321"/>
      <c r="V436" s="321"/>
      <c r="W436" s="321"/>
      <c r="X436" s="321"/>
      <c r="Y436" s="321"/>
    </row>
    <row r="437" spans="1:25" ht="12.75" x14ac:dyDescent="0.2">
      <c r="A437" s="321"/>
      <c r="B437" s="321"/>
      <c r="C437" s="321"/>
      <c r="D437" s="321"/>
      <c r="E437" s="321"/>
      <c r="F437" s="321"/>
      <c r="G437" s="321"/>
      <c r="H437" s="321"/>
      <c r="I437" s="321"/>
      <c r="J437" s="321"/>
      <c r="K437" s="321"/>
      <c r="L437" s="321"/>
      <c r="M437" s="321"/>
      <c r="N437" s="321"/>
      <c r="O437" s="321"/>
      <c r="P437" s="321"/>
      <c r="Q437" s="321"/>
      <c r="R437" s="321"/>
      <c r="S437" s="321"/>
      <c r="T437" s="321"/>
      <c r="U437" s="321"/>
      <c r="V437" s="321"/>
      <c r="W437" s="321"/>
      <c r="X437" s="321"/>
      <c r="Y437" s="321"/>
    </row>
    <row r="438" spans="1:25" ht="12.75" x14ac:dyDescent="0.2">
      <c r="A438" s="321"/>
      <c r="B438" s="321"/>
      <c r="C438" s="321"/>
      <c r="D438" s="321"/>
      <c r="E438" s="321"/>
      <c r="F438" s="321"/>
      <c r="G438" s="321"/>
      <c r="H438" s="321"/>
      <c r="I438" s="321"/>
      <c r="J438" s="321"/>
      <c r="K438" s="321"/>
      <c r="L438" s="321"/>
      <c r="M438" s="321"/>
      <c r="N438" s="321"/>
      <c r="O438" s="321"/>
      <c r="P438" s="321"/>
      <c r="Q438" s="321"/>
      <c r="R438" s="321"/>
      <c r="S438" s="321"/>
      <c r="T438" s="321"/>
      <c r="U438" s="321"/>
      <c r="V438" s="321"/>
      <c r="W438" s="321"/>
      <c r="X438" s="321"/>
      <c r="Y438" s="321"/>
    </row>
    <row r="439" spans="1:25" ht="12.75" x14ac:dyDescent="0.2">
      <c r="A439" s="321"/>
      <c r="B439" s="321"/>
      <c r="C439" s="321"/>
      <c r="D439" s="321"/>
      <c r="E439" s="321"/>
      <c r="F439" s="321"/>
      <c r="G439" s="321"/>
      <c r="H439" s="321"/>
      <c r="I439" s="321"/>
      <c r="J439" s="321"/>
      <c r="K439" s="321"/>
      <c r="L439" s="321"/>
      <c r="M439" s="321"/>
      <c r="N439" s="321"/>
      <c r="O439" s="321"/>
      <c r="P439" s="321"/>
      <c r="Q439" s="321"/>
      <c r="R439" s="321"/>
      <c r="S439" s="321"/>
      <c r="T439" s="321"/>
      <c r="U439" s="321"/>
      <c r="V439" s="321"/>
      <c r="W439" s="321"/>
      <c r="X439" s="321"/>
      <c r="Y439" s="321"/>
    </row>
    <row r="440" spans="1:25" ht="12.75" x14ac:dyDescent="0.2">
      <c r="A440" s="321"/>
      <c r="B440" s="321"/>
      <c r="C440" s="321"/>
      <c r="D440" s="321"/>
      <c r="E440" s="321"/>
      <c r="F440" s="321"/>
      <c r="G440" s="321"/>
      <c r="H440" s="321"/>
      <c r="I440" s="321"/>
      <c r="J440" s="321"/>
      <c r="K440" s="321"/>
      <c r="L440" s="321"/>
      <c r="M440" s="321"/>
      <c r="N440" s="321"/>
      <c r="O440" s="321"/>
      <c r="P440" s="321"/>
      <c r="Q440" s="321"/>
      <c r="R440" s="321"/>
      <c r="S440" s="321"/>
      <c r="T440" s="321"/>
      <c r="U440" s="321"/>
      <c r="V440" s="321"/>
      <c r="W440" s="321"/>
      <c r="X440" s="321"/>
      <c r="Y440" s="321"/>
    </row>
    <row r="441" spans="1:25" ht="12.75" x14ac:dyDescent="0.2">
      <c r="A441" s="321"/>
      <c r="B441" s="321"/>
      <c r="C441" s="321"/>
      <c r="D441" s="321"/>
      <c r="E441" s="321"/>
      <c r="F441" s="321"/>
      <c r="G441" s="321"/>
      <c r="H441" s="321"/>
      <c r="I441" s="321"/>
      <c r="J441" s="321"/>
      <c r="K441" s="321"/>
      <c r="L441" s="321"/>
      <c r="M441" s="321"/>
      <c r="N441" s="321"/>
      <c r="O441" s="321"/>
      <c r="P441" s="321"/>
      <c r="Q441" s="321"/>
      <c r="R441" s="321"/>
      <c r="S441" s="321"/>
      <c r="T441" s="321"/>
      <c r="U441" s="321"/>
      <c r="V441" s="321"/>
      <c r="W441" s="321"/>
      <c r="X441" s="321"/>
      <c r="Y441" s="321"/>
    </row>
    <row r="442" spans="1:25" ht="12.75" x14ac:dyDescent="0.2">
      <c r="A442" s="321"/>
      <c r="B442" s="321"/>
      <c r="C442" s="321"/>
      <c r="D442" s="321"/>
      <c r="E442" s="321"/>
      <c r="F442" s="321"/>
      <c r="G442" s="321"/>
      <c r="H442" s="321"/>
      <c r="I442" s="321"/>
      <c r="J442" s="321"/>
      <c r="K442" s="321"/>
      <c r="L442" s="321"/>
      <c r="M442" s="321"/>
      <c r="N442" s="321"/>
      <c r="O442" s="321"/>
      <c r="P442" s="321"/>
      <c r="Q442" s="321"/>
      <c r="R442" s="321"/>
      <c r="S442" s="321"/>
      <c r="T442" s="321"/>
      <c r="U442" s="321"/>
      <c r="V442" s="321"/>
      <c r="W442" s="321"/>
      <c r="X442" s="321"/>
      <c r="Y442" s="321"/>
    </row>
    <row r="443" spans="1:25" ht="12.75" x14ac:dyDescent="0.2">
      <c r="A443" s="321"/>
      <c r="B443" s="321"/>
      <c r="C443" s="321"/>
      <c r="D443" s="321"/>
      <c r="E443" s="321"/>
      <c r="F443" s="321"/>
      <c r="G443" s="321"/>
      <c r="H443" s="321"/>
      <c r="I443" s="321"/>
      <c r="J443" s="321"/>
      <c r="K443" s="321"/>
      <c r="L443" s="321"/>
      <c r="M443" s="321"/>
      <c r="N443" s="321"/>
      <c r="O443" s="321"/>
      <c r="P443" s="321"/>
      <c r="Q443" s="321"/>
      <c r="R443" s="321"/>
      <c r="S443" s="321"/>
      <c r="T443" s="321"/>
      <c r="U443" s="321"/>
      <c r="V443" s="321"/>
      <c r="W443" s="321"/>
      <c r="X443" s="321"/>
      <c r="Y443" s="321"/>
    </row>
    <row r="444" spans="1:25" ht="12.75" x14ac:dyDescent="0.2">
      <c r="A444" s="321"/>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row>
    <row r="445" spans="1:25" ht="12.75" x14ac:dyDescent="0.2">
      <c r="A445" s="321"/>
      <c r="B445" s="321"/>
      <c r="C445" s="321"/>
      <c r="D445" s="321"/>
      <c r="E445" s="321"/>
      <c r="F445" s="321"/>
      <c r="G445" s="321"/>
      <c r="H445" s="321"/>
      <c r="I445" s="321"/>
      <c r="J445" s="321"/>
      <c r="K445" s="321"/>
      <c r="L445" s="321"/>
      <c r="M445" s="321"/>
      <c r="N445" s="321"/>
      <c r="O445" s="321"/>
      <c r="P445" s="321"/>
      <c r="Q445" s="321"/>
      <c r="R445" s="321"/>
      <c r="S445" s="321"/>
      <c r="T445" s="321"/>
      <c r="U445" s="321"/>
      <c r="V445" s="321"/>
      <c r="W445" s="321"/>
      <c r="X445" s="321"/>
      <c r="Y445" s="321"/>
    </row>
    <row r="446" spans="1:25" ht="12.75" x14ac:dyDescent="0.2">
      <c r="A446" s="321"/>
      <c r="B446" s="321"/>
      <c r="C446" s="321"/>
      <c r="D446" s="321"/>
      <c r="E446" s="321"/>
      <c r="F446" s="321"/>
      <c r="G446" s="321"/>
      <c r="H446" s="321"/>
      <c r="I446" s="321"/>
      <c r="J446" s="321"/>
      <c r="K446" s="321"/>
      <c r="L446" s="321"/>
      <c r="M446" s="321"/>
      <c r="N446" s="321"/>
      <c r="O446" s="321"/>
      <c r="P446" s="321"/>
      <c r="Q446" s="321"/>
      <c r="R446" s="321"/>
      <c r="S446" s="321"/>
      <c r="T446" s="321"/>
      <c r="U446" s="321"/>
      <c r="V446" s="321"/>
      <c r="W446" s="321"/>
      <c r="X446" s="321"/>
      <c r="Y446" s="321"/>
    </row>
    <row r="447" spans="1:25" ht="12.75" x14ac:dyDescent="0.2">
      <c r="A447" s="321"/>
      <c r="B447" s="321"/>
      <c r="C447" s="321"/>
      <c r="D447" s="321"/>
      <c r="E447" s="321"/>
      <c r="F447" s="321"/>
      <c r="G447" s="321"/>
      <c r="H447" s="321"/>
      <c r="I447" s="321"/>
      <c r="J447" s="321"/>
      <c r="K447" s="321"/>
      <c r="L447" s="321"/>
      <c r="M447" s="321"/>
      <c r="N447" s="321"/>
      <c r="O447" s="321"/>
      <c r="P447" s="321"/>
      <c r="Q447" s="321"/>
      <c r="R447" s="321"/>
      <c r="S447" s="321"/>
      <c r="T447" s="321"/>
      <c r="U447" s="321"/>
      <c r="V447" s="321"/>
      <c r="W447" s="321"/>
      <c r="X447" s="321"/>
      <c r="Y447" s="321"/>
    </row>
    <row r="448" spans="1:25" ht="12.75" x14ac:dyDescent="0.2">
      <c r="A448" s="321"/>
      <c r="B448" s="321"/>
      <c r="C448" s="321"/>
      <c r="D448" s="321"/>
      <c r="E448" s="321"/>
      <c r="F448" s="321"/>
      <c r="G448" s="321"/>
      <c r="H448" s="321"/>
      <c r="I448" s="321"/>
      <c r="J448" s="321"/>
      <c r="K448" s="321"/>
      <c r="L448" s="321"/>
      <c r="M448" s="321"/>
      <c r="N448" s="321"/>
      <c r="O448" s="321"/>
      <c r="P448" s="321"/>
      <c r="Q448" s="321"/>
      <c r="R448" s="321"/>
      <c r="S448" s="321"/>
      <c r="T448" s="321"/>
      <c r="U448" s="321"/>
      <c r="V448" s="321"/>
      <c r="W448" s="321"/>
      <c r="X448" s="321"/>
      <c r="Y448" s="321"/>
    </row>
    <row r="449" spans="1:25" ht="12.75" x14ac:dyDescent="0.2">
      <c r="A449" s="321"/>
      <c r="B449" s="321"/>
      <c r="C449" s="321"/>
      <c r="D449" s="321"/>
      <c r="E449" s="321"/>
      <c r="F449" s="321"/>
      <c r="G449" s="321"/>
      <c r="H449" s="321"/>
      <c r="I449" s="321"/>
      <c r="J449" s="321"/>
      <c r="K449" s="321"/>
      <c r="L449" s="321"/>
      <c r="M449" s="321"/>
      <c r="N449" s="321"/>
      <c r="O449" s="321"/>
      <c r="P449" s="321"/>
      <c r="Q449" s="321"/>
      <c r="R449" s="321"/>
      <c r="S449" s="321"/>
      <c r="T449" s="321"/>
      <c r="U449" s="321"/>
      <c r="V449" s="321"/>
      <c r="W449" s="321"/>
      <c r="X449" s="321"/>
      <c r="Y449" s="321"/>
    </row>
    <row r="450" spans="1:25" ht="12.75" x14ac:dyDescent="0.2">
      <c r="A450" s="321"/>
      <c r="B450" s="321"/>
      <c r="C450" s="321"/>
      <c r="D450" s="321"/>
      <c r="E450" s="321"/>
      <c r="F450" s="321"/>
      <c r="G450" s="321"/>
      <c r="H450" s="321"/>
      <c r="I450" s="321"/>
      <c r="J450" s="321"/>
      <c r="K450" s="321"/>
      <c r="L450" s="321"/>
      <c r="M450" s="321"/>
      <c r="N450" s="321"/>
      <c r="O450" s="321"/>
      <c r="P450" s="321"/>
      <c r="Q450" s="321"/>
      <c r="R450" s="321"/>
      <c r="S450" s="321"/>
      <c r="T450" s="321"/>
      <c r="U450" s="321"/>
      <c r="V450" s="321"/>
      <c r="W450" s="321"/>
      <c r="X450" s="321"/>
      <c r="Y450" s="321"/>
    </row>
    <row r="451" spans="1:25" ht="12.75" x14ac:dyDescent="0.2">
      <c r="A451" s="321"/>
      <c r="B451" s="321"/>
      <c r="C451" s="321"/>
      <c r="D451" s="321"/>
      <c r="E451" s="321"/>
      <c r="F451" s="321"/>
      <c r="G451" s="321"/>
      <c r="H451" s="321"/>
      <c r="I451" s="321"/>
      <c r="J451" s="321"/>
      <c r="K451" s="321"/>
      <c r="L451" s="321"/>
      <c r="M451" s="321"/>
      <c r="N451" s="321"/>
      <c r="O451" s="321"/>
      <c r="P451" s="321"/>
      <c r="Q451" s="321"/>
      <c r="R451" s="321"/>
      <c r="S451" s="321"/>
      <c r="T451" s="321"/>
      <c r="U451" s="321"/>
      <c r="V451" s="321"/>
      <c r="W451" s="321"/>
      <c r="X451" s="321"/>
      <c r="Y451" s="321"/>
    </row>
    <row r="452" spans="1:25" ht="12.75" x14ac:dyDescent="0.2">
      <c r="A452" s="321"/>
      <c r="B452" s="321"/>
      <c r="C452" s="321"/>
      <c r="D452" s="321"/>
      <c r="E452" s="321"/>
      <c r="F452" s="321"/>
      <c r="G452" s="321"/>
      <c r="H452" s="321"/>
      <c r="I452" s="321"/>
      <c r="J452" s="321"/>
      <c r="K452" s="321"/>
      <c r="L452" s="321"/>
      <c r="M452" s="321"/>
      <c r="N452" s="321"/>
      <c r="O452" s="321"/>
      <c r="P452" s="321"/>
      <c r="Q452" s="321"/>
      <c r="R452" s="321"/>
      <c r="S452" s="321"/>
      <c r="T452" s="321"/>
      <c r="U452" s="321"/>
      <c r="V452" s="321"/>
      <c r="W452" s="321"/>
      <c r="X452" s="321"/>
      <c r="Y452" s="321"/>
    </row>
    <row r="453" spans="1:25" ht="12.75" x14ac:dyDescent="0.2">
      <c r="A453" s="321"/>
      <c r="B453" s="321"/>
      <c r="C453" s="321"/>
      <c r="D453" s="321"/>
      <c r="E453" s="321"/>
      <c r="F453" s="321"/>
      <c r="G453" s="321"/>
      <c r="H453" s="321"/>
      <c r="I453" s="321"/>
      <c r="J453" s="321"/>
      <c r="K453" s="321"/>
      <c r="L453" s="321"/>
      <c r="M453" s="321"/>
      <c r="N453" s="321"/>
      <c r="O453" s="321"/>
      <c r="P453" s="321"/>
      <c r="Q453" s="321"/>
      <c r="R453" s="321"/>
      <c r="S453" s="321"/>
      <c r="T453" s="321"/>
      <c r="U453" s="321"/>
      <c r="V453" s="321"/>
      <c r="W453" s="321"/>
      <c r="X453" s="321"/>
      <c r="Y453" s="321"/>
    </row>
    <row r="454" spans="1:25" ht="12.75" x14ac:dyDescent="0.2">
      <c r="A454" s="321"/>
      <c r="B454" s="321"/>
      <c r="C454" s="321"/>
      <c r="D454" s="321"/>
      <c r="E454" s="321"/>
      <c r="F454" s="321"/>
      <c r="G454" s="321"/>
      <c r="H454" s="321"/>
      <c r="I454" s="321"/>
      <c r="J454" s="321"/>
      <c r="K454" s="321"/>
      <c r="L454" s="321"/>
      <c r="M454" s="321"/>
      <c r="N454" s="321"/>
      <c r="O454" s="321"/>
      <c r="P454" s="321"/>
      <c r="Q454" s="321"/>
      <c r="R454" s="321"/>
      <c r="S454" s="321"/>
      <c r="T454" s="321"/>
      <c r="U454" s="321"/>
      <c r="V454" s="321"/>
      <c r="W454" s="321"/>
      <c r="X454" s="321"/>
      <c r="Y454" s="321"/>
    </row>
    <row r="455" spans="1:25" ht="12.75" x14ac:dyDescent="0.2">
      <c r="A455" s="321"/>
      <c r="B455" s="321"/>
      <c r="C455" s="321"/>
      <c r="D455" s="321"/>
      <c r="E455" s="321"/>
      <c r="F455" s="321"/>
      <c r="G455" s="321"/>
      <c r="H455" s="321"/>
      <c r="I455" s="321"/>
      <c r="J455" s="321"/>
      <c r="K455" s="321"/>
      <c r="L455" s="321"/>
      <c r="M455" s="321"/>
      <c r="N455" s="321"/>
      <c r="O455" s="321"/>
      <c r="P455" s="321"/>
      <c r="Q455" s="321"/>
      <c r="R455" s="321"/>
      <c r="S455" s="321"/>
      <c r="T455" s="321"/>
      <c r="U455" s="321"/>
      <c r="V455" s="321"/>
      <c r="W455" s="321"/>
      <c r="X455" s="321"/>
      <c r="Y455" s="321"/>
    </row>
    <row r="456" spans="1:25" ht="12.75" x14ac:dyDescent="0.2">
      <c r="A456" s="321"/>
      <c r="B456" s="321"/>
      <c r="C456" s="321"/>
      <c r="D456" s="321"/>
      <c r="E456" s="321"/>
      <c r="F456" s="321"/>
      <c r="G456" s="321"/>
      <c r="H456" s="321"/>
      <c r="I456" s="321"/>
      <c r="J456" s="321"/>
      <c r="K456" s="321"/>
      <c r="L456" s="321"/>
      <c r="M456" s="321"/>
      <c r="N456" s="321"/>
      <c r="O456" s="321"/>
      <c r="P456" s="321"/>
      <c r="Q456" s="321"/>
      <c r="R456" s="321"/>
      <c r="S456" s="321"/>
      <c r="T456" s="321"/>
      <c r="U456" s="321"/>
      <c r="V456" s="321"/>
      <c r="W456" s="321"/>
      <c r="X456" s="321"/>
      <c r="Y456" s="321"/>
    </row>
    <row r="457" spans="1:25" ht="12.75" x14ac:dyDescent="0.2">
      <c r="A457" s="321"/>
      <c r="B457" s="321"/>
      <c r="C457" s="321"/>
      <c r="D457" s="321"/>
      <c r="E457" s="321"/>
      <c r="F457" s="321"/>
      <c r="G457" s="321"/>
      <c r="H457" s="321"/>
      <c r="I457" s="321"/>
      <c r="J457" s="321"/>
      <c r="K457" s="321"/>
      <c r="L457" s="321"/>
      <c r="M457" s="321"/>
      <c r="N457" s="321"/>
      <c r="O457" s="321"/>
      <c r="P457" s="321"/>
      <c r="Q457" s="321"/>
      <c r="R457" s="321"/>
      <c r="S457" s="321"/>
      <c r="T457" s="321"/>
      <c r="U457" s="321"/>
      <c r="V457" s="321"/>
      <c r="W457" s="321"/>
      <c r="X457" s="321"/>
      <c r="Y457" s="321"/>
    </row>
    <row r="458" spans="1:25" ht="12.75" x14ac:dyDescent="0.2">
      <c r="A458" s="321"/>
      <c r="B458" s="321"/>
      <c r="C458" s="321"/>
      <c r="D458" s="321"/>
      <c r="E458" s="321"/>
      <c r="F458" s="321"/>
      <c r="G458" s="321"/>
      <c r="H458" s="321"/>
      <c r="I458" s="321"/>
      <c r="J458" s="321"/>
      <c r="K458" s="321"/>
      <c r="L458" s="321"/>
      <c r="M458" s="321"/>
      <c r="N458" s="321"/>
      <c r="O458" s="321"/>
      <c r="P458" s="321"/>
      <c r="Q458" s="321"/>
      <c r="R458" s="321"/>
      <c r="S458" s="321"/>
      <c r="T458" s="321"/>
      <c r="U458" s="321"/>
      <c r="V458" s="321"/>
      <c r="W458" s="321"/>
      <c r="X458" s="321"/>
      <c r="Y458" s="321"/>
    </row>
    <row r="459" spans="1:25" ht="12.75" x14ac:dyDescent="0.2">
      <c r="A459" s="321"/>
      <c r="B459" s="321"/>
      <c r="C459" s="321"/>
      <c r="D459" s="321"/>
      <c r="E459" s="321"/>
      <c r="F459" s="321"/>
      <c r="G459" s="321"/>
      <c r="H459" s="321"/>
      <c r="I459" s="321"/>
      <c r="J459" s="321"/>
      <c r="K459" s="321"/>
      <c r="L459" s="321"/>
      <c r="M459" s="321"/>
      <c r="N459" s="321"/>
      <c r="O459" s="321"/>
      <c r="P459" s="321"/>
      <c r="Q459" s="321"/>
      <c r="R459" s="321"/>
      <c r="S459" s="321"/>
      <c r="T459" s="321"/>
      <c r="U459" s="321"/>
      <c r="V459" s="321"/>
      <c r="W459" s="321"/>
      <c r="X459" s="321"/>
      <c r="Y459" s="321"/>
    </row>
    <row r="460" spans="1:25" ht="12.75" x14ac:dyDescent="0.2">
      <c r="A460" s="321"/>
      <c r="B460" s="321"/>
      <c r="C460" s="321"/>
      <c r="D460" s="321"/>
      <c r="E460" s="321"/>
      <c r="F460" s="321"/>
      <c r="G460" s="321"/>
      <c r="H460" s="321"/>
      <c r="I460" s="321"/>
      <c r="J460" s="321"/>
      <c r="K460" s="321"/>
      <c r="L460" s="321"/>
      <c r="M460" s="321"/>
      <c r="N460" s="321"/>
      <c r="O460" s="321"/>
      <c r="P460" s="321"/>
      <c r="Q460" s="321"/>
      <c r="R460" s="321"/>
      <c r="S460" s="321"/>
      <c r="T460" s="321"/>
      <c r="U460" s="321"/>
      <c r="V460" s="321"/>
      <c r="W460" s="321"/>
      <c r="X460" s="321"/>
      <c r="Y460" s="321"/>
    </row>
    <row r="461" spans="1:25" ht="12.75" x14ac:dyDescent="0.2">
      <c r="A461" s="321"/>
      <c r="B461" s="321"/>
      <c r="C461" s="321"/>
      <c r="D461" s="321"/>
      <c r="E461" s="321"/>
      <c r="F461" s="321"/>
      <c r="G461" s="321"/>
      <c r="H461" s="321"/>
      <c r="I461" s="321"/>
      <c r="J461" s="321"/>
      <c r="K461" s="321"/>
      <c r="L461" s="321"/>
      <c r="M461" s="321"/>
      <c r="N461" s="321"/>
      <c r="O461" s="321"/>
      <c r="P461" s="321"/>
      <c r="Q461" s="321"/>
      <c r="R461" s="321"/>
      <c r="S461" s="321"/>
      <c r="T461" s="321"/>
      <c r="U461" s="321"/>
      <c r="V461" s="321"/>
      <c r="W461" s="321"/>
      <c r="X461" s="321"/>
      <c r="Y461" s="321"/>
    </row>
    <row r="462" spans="1:25" ht="12.75" x14ac:dyDescent="0.2">
      <c r="A462" s="321"/>
      <c r="B462" s="321"/>
      <c r="C462" s="321"/>
      <c r="D462" s="321"/>
      <c r="E462" s="321"/>
      <c r="F462" s="321"/>
      <c r="G462" s="321"/>
      <c r="H462" s="321"/>
      <c r="I462" s="321"/>
      <c r="J462" s="321"/>
      <c r="K462" s="321"/>
      <c r="L462" s="321"/>
      <c r="M462" s="321"/>
      <c r="N462" s="321"/>
      <c r="O462" s="321"/>
      <c r="P462" s="321"/>
      <c r="Q462" s="321"/>
      <c r="R462" s="321"/>
      <c r="S462" s="321"/>
      <c r="T462" s="321"/>
      <c r="U462" s="321"/>
      <c r="V462" s="321"/>
      <c r="W462" s="321"/>
      <c r="X462" s="321"/>
      <c r="Y462" s="321"/>
    </row>
    <row r="463" spans="1:25" ht="12.75" x14ac:dyDescent="0.2">
      <c r="A463" s="321"/>
      <c r="B463" s="321"/>
      <c r="C463" s="321"/>
      <c r="D463" s="321"/>
      <c r="E463" s="321"/>
      <c r="F463" s="321"/>
      <c r="G463" s="321"/>
      <c r="H463" s="321"/>
      <c r="I463" s="321"/>
      <c r="J463" s="321"/>
      <c r="K463" s="321"/>
      <c r="L463" s="321"/>
      <c r="M463" s="321"/>
      <c r="N463" s="321"/>
      <c r="O463" s="321"/>
      <c r="P463" s="321"/>
      <c r="Q463" s="321"/>
      <c r="R463" s="321"/>
      <c r="S463" s="321"/>
      <c r="T463" s="321"/>
      <c r="U463" s="321"/>
      <c r="V463" s="321"/>
      <c r="W463" s="321"/>
      <c r="X463" s="321"/>
      <c r="Y463" s="321"/>
    </row>
    <row r="464" spans="1:25" ht="12.75" x14ac:dyDescent="0.2">
      <c r="A464" s="321"/>
      <c r="B464" s="321"/>
      <c r="C464" s="321"/>
      <c r="D464" s="321"/>
      <c r="E464" s="321"/>
      <c r="F464" s="321"/>
      <c r="G464" s="321"/>
      <c r="H464" s="321"/>
      <c r="I464" s="321"/>
      <c r="J464" s="321"/>
      <c r="K464" s="321"/>
      <c r="L464" s="321"/>
      <c r="M464" s="321"/>
      <c r="N464" s="321"/>
      <c r="O464" s="321"/>
      <c r="P464" s="321"/>
      <c r="Q464" s="321"/>
      <c r="R464" s="321"/>
      <c r="S464" s="321"/>
      <c r="T464" s="321"/>
      <c r="U464" s="321"/>
      <c r="V464" s="321"/>
      <c r="W464" s="321"/>
      <c r="X464" s="321"/>
      <c r="Y464" s="321"/>
    </row>
    <row r="465" spans="1:25" ht="12.75" x14ac:dyDescent="0.2">
      <c r="A465" s="321"/>
      <c r="B465" s="321"/>
      <c r="C465" s="321"/>
      <c r="D465" s="321"/>
      <c r="E465" s="321"/>
      <c r="F465" s="321"/>
      <c r="G465" s="321"/>
      <c r="H465" s="321"/>
      <c r="I465" s="321"/>
      <c r="J465" s="321"/>
      <c r="K465" s="321"/>
      <c r="L465" s="321"/>
      <c r="M465" s="321"/>
      <c r="N465" s="321"/>
      <c r="O465" s="321"/>
      <c r="P465" s="321"/>
      <c r="Q465" s="321"/>
      <c r="R465" s="321"/>
      <c r="S465" s="321"/>
      <c r="T465" s="321"/>
      <c r="U465" s="321"/>
      <c r="V465" s="321"/>
      <c r="W465" s="321"/>
      <c r="X465" s="321"/>
      <c r="Y465" s="321"/>
    </row>
    <row r="466" spans="1:25" ht="12.75" x14ac:dyDescent="0.2">
      <c r="A466" s="321"/>
      <c r="B466" s="321"/>
      <c r="C466" s="321"/>
      <c r="D466" s="321"/>
      <c r="E466" s="321"/>
      <c r="F466" s="321"/>
      <c r="G466" s="321"/>
      <c r="H466" s="321"/>
      <c r="I466" s="321"/>
      <c r="J466" s="321"/>
      <c r="K466" s="321"/>
      <c r="L466" s="321"/>
      <c r="M466" s="321"/>
      <c r="N466" s="321"/>
      <c r="O466" s="321"/>
      <c r="P466" s="321"/>
      <c r="Q466" s="321"/>
      <c r="R466" s="321"/>
      <c r="S466" s="321"/>
      <c r="T466" s="321"/>
      <c r="U466" s="321"/>
      <c r="V466" s="321"/>
      <c r="W466" s="321"/>
      <c r="X466" s="321"/>
      <c r="Y466" s="321"/>
    </row>
    <row r="467" spans="1:25" ht="12.75" x14ac:dyDescent="0.2">
      <c r="A467" s="321"/>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row>
    <row r="468" spans="1:25" ht="12.75" x14ac:dyDescent="0.2">
      <c r="A468" s="321"/>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row>
    <row r="469" spans="1:25" ht="12.75" x14ac:dyDescent="0.2">
      <c r="A469" s="321"/>
      <c r="B469" s="321"/>
      <c r="C469" s="321"/>
      <c r="D469" s="321"/>
      <c r="E469" s="321"/>
      <c r="F469" s="321"/>
      <c r="G469" s="321"/>
      <c r="H469" s="321"/>
      <c r="I469" s="321"/>
      <c r="J469" s="321"/>
      <c r="K469" s="321"/>
      <c r="L469" s="321"/>
      <c r="M469" s="321"/>
      <c r="N469" s="321"/>
      <c r="O469" s="321"/>
      <c r="P469" s="321"/>
      <c r="Q469" s="321"/>
      <c r="R469" s="321"/>
      <c r="S469" s="321"/>
      <c r="T469" s="321"/>
      <c r="U469" s="321"/>
      <c r="V469" s="321"/>
      <c r="W469" s="321"/>
      <c r="X469" s="321"/>
      <c r="Y469" s="321"/>
    </row>
    <row r="470" spans="1:25" ht="12.75" x14ac:dyDescent="0.2">
      <c r="A470" s="321"/>
      <c r="B470" s="321"/>
      <c r="C470" s="321"/>
      <c r="D470" s="321"/>
      <c r="E470" s="321"/>
      <c r="F470" s="321"/>
      <c r="G470" s="321"/>
      <c r="H470" s="321"/>
      <c r="I470" s="321"/>
      <c r="J470" s="321"/>
      <c r="K470" s="321"/>
      <c r="L470" s="321"/>
      <c r="M470" s="321"/>
      <c r="N470" s="321"/>
      <c r="O470" s="321"/>
      <c r="P470" s="321"/>
      <c r="Q470" s="321"/>
      <c r="R470" s="321"/>
      <c r="S470" s="321"/>
      <c r="T470" s="321"/>
      <c r="U470" s="321"/>
      <c r="V470" s="321"/>
      <c r="W470" s="321"/>
      <c r="X470" s="321"/>
      <c r="Y470" s="321"/>
    </row>
    <row r="471" spans="1:25" ht="12.75" x14ac:dyDescent="0.2">
      <c r="A471" s="321"/>
      <c r="B471" s="321"/>
      <c r="C471" s="321"/>
      <c r="D471" s="321"/>
      <c r="E471" s="321"/>
      <c r="F471" s="321"/>
      <c r="G471" s="321"/>
      <c r="H471" s="321"/>
      <c r="I471" s="321"/>
      <c r="J471" s="321"/>
      <c r="K471" s="321"/>
      <c r="L471" s="321"/>
      <c r="M471" s="321"/>
      <c r="N471" s="321"/>
      <c r="O471" s="321"/>
      <c r="P471" s="321"/>
      <c r="Q471" s="321"/>
      <c r="R471" s="321"/>
      <c r="S471" s="321"/>
      <c r="T471" s="321"/>
      <c r="U471" s="321"/>
      <c r="V471" s="321"/>
      <c r="W471" s="321"/>
      <c r="X471" s="321"/>
      <c r="Y471" s="321"/>
    </row>
    <row r="472" spans="1:25" ht="12.75" x14ac:dyDescent="0.2">
      <c r="A472" s="321"/>
      <c r="B472" s="321"/>
      <c r="C472" s="321"/>
      <c r="D472" s="321"/>
      <c r="E472" s="321"/>
      <c r="F472" s="321"/>
      <c r="G472" s="321"/>
      <c r="H472" s="321"/>
      <c r="I472" s="321"/>
      <c r="J472" s="321"/>
      <c r="K472" s="321"/>
      <c r="L472" s="321"/>
      <c r="M472" s="321"/>
      <c r="N472" s="321"/>
      <c r="O472" s="321"/>
      <c r="P472" s="321"/>
      <c r="Q472" s="321"/>
      <c r="R472" s="321"/>
      <c r="S472" s="321"/>
      <c r="T472" s="321"/>
      <c r="U472" s="321"/>
      <c r="V472" s="321"/>
      <c r="W472" s="321"/>
      <c r="X472" s="321"/>
      <c r="Y472" s="321"/>
    </row>
    <row r="473" spans="1:25" ht="12.75" x14ac:dyDescent="0.2">
      <c r="A473" s="321"/>
      <c r="B473" s="321"/>
      <c r="C473" s="321"/>
      <c r="D473" s="321"/>
      <c r="E473" s="321"/>
      <c r="F473" s="321"/>
      <c r="G473" s="321"/>
      <c r="H473" s="321"/>
      <c r="I473" s="321"/>
      <c r="J473" s="321"/>
      <c r="K473" s="321"/>
      <c r="L473" s="321"/>
      <c r="M473" s="321"/>
      <c r="N473" s="321"/>
      <c r="O473" s="321"/>
      <c r="P473" s="321"/>
      <c r="Q473" s="321"/>
      <c r="R473" s="321"/>
      <c r="S473" s="321"/>
      <c r="T473" s="321"/>
      <c r="U473" s="321"/>
      <c r="V473" s="321"/>
      <c r="W473" s="321"/>
      <c r="X473" s="321"/>
      <c r="Y473" s="321"/>
    </row>
    <row r="474" spans="1:25" ht="12.75" x14ac:dyDescent="0.2">
      <c r="A474" s="321"/>
      <c r="B474" s="321"/>
      <c r="C474" s="321"/>
      <c r="D474" s="321"/>
      <c r="E474" s="321"/>
      <c r="F474" s="321"/>
      <c r="G474" s="321"/>
      <c r="H474" s="321"/>
      <c r="I474" s="321"/>
      <c r="J474" s="321"/>
      <c r="K474" s="321"/>
      <c r="L474" s="321"/>
      <c r="M474" s="321"/>
      <c r="N474" s="321"/>
      <c r="O474" s="321"/>
      <c r="P474" s="321"/>
      <c r="Q474" s="321"/>
      <c r="R474" s="321"/>
      <c r="S474" s="321"/>
      <c r="T474" s="321"/>
      <c r="U474" s="321"/>
      <c r="V474" s="321"/>
      <c r="W474" s="321"/>
      <c r="X474" s="321"/>
      <c r="Y474" s="321"/>
    </row>
    <row r="475" spans="1:25" ht="12.75" x14ac:dyDescent="0.2">
      <c r="A475" s="321"/>
      <c r="B475" s="321"/>
      <c r="C475" s="321"/>
      <c r="D475" s="321"/>
      <c r="E475" s="321"/>
      <c r="F475" s="321"/>
      <c r="G475" s="321"/>
      <c r="H475" s="321"/>
      <c r="I475" s="321"/>
      <c r="J475" s="321"/>
      <c r="K475" s="321"/>
      <c r="L475" s="321"/>
      <c r="M475" s="321"/>
      <c r="N475" s="321"/>
      <c r="O475" s="321"/>
      <c r="P475" s="321"/>
      <c r="Q475" s="321"/>
      <c r="R475" s="321"/>
      <c r="S475" s="321"/>
      <c r="T475" s="321"/>
      <c r="U475" s="321"/>
      <c r="V475" s="321"/>
      <c r="W475" s="321"/>
      <c r="X475" s="321"/>
      <c r="Y475" s="321"/>
    </row>
    <row r="476" spans="1:25" ht="12.75" x14ac:dyDescent="0.2">
      <c r="A476" s="321"/>
      <c r="B476" s="321"/>
      <c r="C476" s="321"/>
      <c r="D476" s="321"/>
      <c r="E476" s="321"/>
      <c r="F476" s="321"/>
      <c r="G476" s="321"/>
      <c r="H476" s="321"/>
      <c r="I476" s="321"/>
      <c r="J476" s="321"/>
      <c r="K476" s="321"/>
      <c r="L476" s="321"/>
      <c r="M476" s="321"/>
      <c r="N476" s="321"/>
      <c r="O476" s="321"/>
      <c r="P476" s="321"/>
      <c r="Q476" s="321"/>
      <c r="R476" s="321"/>
      <c r="S476" s="321"/>
      <c r="T476" s="321"/>
      <c r="U476" s="321"/>
      <c r="V476" s="321"/>
      <c r="W476" s="321"/>
      <c r="X476" s="321"/>
      <c r="Y476" s="321"/>
    </row>
    <row r="477" spans="1:25" ht="12.75" x14ac:dyDescent="0.2">
      <c r="A477" s="321"/>
      <c r="B477" s="321"/>
      <c r="C477" s="321"/>
      <c r="D477" s="321"/>
      <c r="E477" s="321"/>
      <c r="F477" s="321"/>
      <c r="G477" s="321"/>
      <c r="H477" s="321"/>
      <c r="I477" s="321"/>
      <c r="J477" s="321"/>
      <c r="K477" s="321"/>
      <c r="L477" s="321"/>
      <c r="M477" s="321"/>
      <c r="N477" s="321"/>
      <c r="O477" s="321"/>
      <c r="P477" s="321"/>
      <c r="Q477" s="321"/>
      <c r="R477" s="321"/>
      <c r="S477" s="321"/>
      <c r="T477" s="321"/>
      <c r="U477" s="321"/>
      <c r="V477" s="321"/>
      <c r="W477" s="321"/>
      <c r="X477" s="321"/>
      <c r="Y477" s="321"/>
    </row>
    <row r="478" spans="1:25" ht="12.75" x14ac:dyDescent="0.2">
      <c r="A478" s="321"/>
      <c r="B478" s="321"/>
      <c r="C478" s="321"/>
      <c r="D478" s="321"/>
      <c r="E478" s="321"/>
      <c r="F478" s="321"/>
      <c r="G478" s="321"/>
      <c r="H478" s="321"/>
      <c r="I478" s="321"/>
      <c r="J478" s="321"/>
      <c r="K478" s="321"/>
      <c r="L478" s="321"/>
      <c r="M478" s="321"/>
      <c r="N478" s="321"/>
      <c r="O478" s="321"/>
      <c r="P478" s="321"/>
      <c r="Q478" s="321"/>
      <c r="R478" s="321"/>
      <c r="S478" s="321"/>
      <c r="T478" s="321"/>
      <c r="U478" s="321"/>
      <c r="V478" s="321"/>
      <c r="W478" s="321"/>
      <c r="X478" s="321"/>
      <c r="Y478" s="321"/>
    </row>
    <row r="479" spans="1:25" ht="12.75" x14ac:dyDescent="0.2">
      <c r="A479" s="321"/>
      <c r="B479" s="321"/>
      <c r="C479" s="321"/>
      <c r="D479" s="321"/>
      <c r="E479" s="321"/>
      <c r="F479" s="321"/>
      <c r="G479" s="321"/>
      <c r="H479" s="321"/>
      <c r="I479" s="321"/>
      <c r="J479" s="321"/>
      <c r="K479" s="321"/>
      <c r="L479" s="321"/>
      <c r="M479" s="321"/>
      <c r="N479" s="321"/>
      <c r="O479" s="321"/>
      <c r="P479" s="321"/>
      <c r="Q479" s="321"/>
      <c r="R479" s="321"/>
      <c r="S479" s="321"/>
      <c r="T479" s="321"/>
      <c r="U479" s="321"/>
      <c r="V479" s="321"/>
      <c r="W479" s="321"/>
      <c r="X479" s="321"/>
      <c r="Y479" s="321"/>
    </row>
    <row r="480" spans="1:25" ht="12.75" x14ac:dyDescent="0.2">
      <c r="A480" s="321"/>
      <c r="B480" s="321"/>
      <c r="C480" s="321"/>
      <c r="D480" s="321"/>
      <c r="E480" s="321"/>
      <c r="F480" s="321"/>
      <c r="G480" s="321"/>
      <c r="H480" s="321"/>
      <c r="I480" s="321"/>
      <c r="J480" s="321"/>
      <c r="K480" s="321"/>
      <c r="L480" s="321"/>
      <c r="M480" s="321"/>
      <c r="N480" s="321"/>
      <c r="O480" s="321"/>
      <c r="P480" s="321"/>
      <c r="Q480" s="321"/>
      <c r="R480" s="321"/>
      <c r="S480" s="321"/>
      <c r="T480" s="321"/>
      <c r="U480" s="321"/>
      <c r="V480" s="321"/>
      <c r="W480" s="321"/>
      <c r="X480" s="321"/>
      <c r="Y480" s="321"/>
    </row>
    <row r="481" spans="1:25" ht="12.75" x14ac:dyDescent="0.2">
      <c r="A481" s="321"/>
      <c r="B481" s="321"/>
      <c r="C481" s="321"/>
      <c r="D481" s="321"/>
      <c r="E481" s="321"/>
      <c r="F481" s="321"/>
      <c r="G481" s="321"/>
      <c r="H481" s="321"/>
      <c r="I481" s="321"/>
      <c r="J481" s="321"/>
      <c r="K481" s="321"/>
      <c r="L481" s="321"/>
      <c r="M481" s="321"/>
      <c r="N481" s="321"/>
      <c r="O481" s="321"/>
      <c r="P481" s="321"/>
      <c r="Q481" s="321"/>
      <c r="R481" s="321"/>
      <c r="S481" s="321"/>
      <c r="T481" s="321"/>
      <c r="U481" s="321"/>
      <c r="V481" s="321"/>
      <c r="W481" s="321"/>
      <c r="X481" s="321"/>
      <c r="Y481" s="321"/>
    </row>
    <row r="482" spans="1:25" ht="12.75" x14ac:dyDescent="0.2">
      <c r="A482" s="321"/>
      <c r="B482" s="321"/>
      <c r="C482" s="321"/>
      <c r="D482" s="321"/>
      <c r="E482" s="321"/>
      <c r="F482" s="321"/>
      <c r="G482" s="321"/>
      <c r="H482" s="321"/>
      <c r="I482" s="321"/>
      <c r="J482" s="321"/>
      <c r="K482" s="321"/>
      <c r="L482" s="321"/>
      <c r="M482" s="321"/>
      <c r="N482" s="321"/>
      <c r="O482" s="321"/>
      <c r="P482" s="321"/>
      <c r="Q482" s="321"/>
      <c r="R482" s="321"/>
      <c r="S482" s="321"/>
      <c r="T482" s="321"/>
      <c r="U482" s="321"/>
      <c r="V482" s="321"/>
      <c r="W482" s="321"/>
      <c r="X482" s="321"/>
      <c r="Y482" s="321"/>
    </row>
    <row r="483" spans="1:25" ht="12.75" x14ac:dyDescent="0.2">
      <c r="A483" s="321"/>
      <c r="B483" s="321"/>
      <c r="C483" s="321"/>
      <c r="D483" s="321"/>
      <c r="E483" s="321"/>
      <c r="F483" s="321"/>
      <c r="G483" s="321"/>
      <c r="H483" s="321"/>
      <c r="I483" s="321"/>
      <c r="J483" s="321"/>
      <c r="K483" s="321"/>
      <c r="L483" s="321"/>
      <c r="M483" s="321"/>
      <c r="N483" s="321"/>
      <c r="O483" s="321"/>
      <c r="P483" s="321"/>
      <c r="Q483" s="321"/>
      <c r="R483" s="321"/>
      <c r="S483" s="321"/>
      <c r="T483" s="321"/>
      <c r="U483" s="321"/>
      <c r="V483" s="321"/>
      <c r="W483" s="321"/>
      <c r="X483" s="321"/>
      <c r="Y483" s="321"/>
    </row>
    <row r="484" spans="1:25" ht="12.75" x14ac:dyDescent="0.2">
      <c r="A484" s="321"/>
      <c r="B484" s="321"/>
      <c r="C484" s="321"/>
      <c r="D484" s="321"/>
      <c r="E484" s="321"/>
      <c r="F484" s="321"/>
      <c r="G484" s="321"/>
      <c r="H484" s="321"/>
      <c r="I484" s="321"/>
      <c r="J484" s="321"/>
      <c r="K484" s="321"/>
      <c r="L484" s="321"/>
      <c r="M484" s="321"/>
      <c r="N484" s="321"/>
      <c r="O484" s="321"/>
      <c r="P484" s="321"/>
      <c r="Q484" s="321"/>
      <c r="R484" s="321"/>
      <c r="S484" s="321"/>
      <c r="T484" s="321"/>
      <c r="U484" s="321"/>
      <c r="V484" s="321"/>
      <c r="W484" s="321"/>
      <c r="X484" s="321"/>
      <c r="Y484" s="321"/>
    </row>
    <row r="485" spans="1:25" ht="12.75" x14ac:dyDescent="0.2">
      <c r="A485" s="321"/>
      <c r="B485" s="321"/>
      <c r="C485" s="321"/>
      <c r="D485" s="321"/>
      <c r="E485" s="321"/>
      <c r="F485" s="321"/>
      <c r="G485" s="321"/>
      <c r="H485" s="321"/>
      <c r="I485" s="321"/>
      <c r="J485" s="321"/>
      <c r="K485" s="321"/>
      <c r="L485" s="321"/>
      <c r="M485" s="321"/>
      <c r="N485" s="321"/>
      <c r="O485" s="321"/>
      <c r="P485" s="321"/>
      <c r="Q485" s="321"/>
      <c r="R485" s="321"/>
      <c r="S485" s="321"/>
      <c r="T485" s="321"/>
      <c r="U485" s="321"/>
      <c r="V485" s="321"/>
      <c r="W485" s="321"/>
      <c r="X485" s="321"/>
      <c r="Y485" s="321"/>
    </row>
    <row r="486" spans="1:25" ht="12.75" x14ac:dyDescent="0.2">
      <c r="A486" s="321"/>
      <c r="B486" s="321"/>
      <c r="C486" s="321"/>
      <c r="D486" s="321"/>
      <c r="E486" s="321"/>
      <c r="F486" s="321"/>
      <c r="G486" s="321"/>
      <c r="H486" s="321"/>
      <c r="I486" s="321"/>
      <c r="J486" s="321"/>
      <c r="K486" s="321"/>
      <c r="L486" s="321"/>
      <c r="M486" s="321"/>
      <c r="N486" s="321"/>
      <c r="O486" s="321"/>
      <c r="P486" s="321"/>
      <c r="Q486" s="321"/>
      <c r="R486" s="321"/>
      <c r="S486" s="321"/>
      <c r="T486" s="321"/>
      <c r="U486" s="321"/>
      <c r="V486" s="321"/>
      <c r="W486" s="321"/>
      <c r="X486" s="321"/>
      <c r="Y486" s="321"/>
    </row>
    <row r="487" spans="1:25" ht="12.75" x14ac:dyDescent="0.2">
      <c r="A487" s="321"/>
      <c r="B487" s="321"/>
      <c r="C487" s="321"/>
      <c r="D487" s="321"/>
      <c r="E487" s="321"/>
      <c r="F487" s="321"/>
      <c r="G487" s="321"/>
      <c r="H487" s="321"/>
      <c r="I487" s="321"/>
      <c r="J487" s="321"/>
      <c r="K487" s="321"/>
      <c r="L487" s="321"/>
      <c r="M487" s="321"/>
      <c r="N487" s="321"/>
      <c r="O487" s="321"/>
      <c r="P487" s="321"/>
      <c r="Q487" s="321"/>
      <c r="R487" s="321"/>
      <c r="S487" s="321"/>
      <c r="T487" s="321"/>
      <c r="U487" s="321"/>
      <c r="V487" s="321"/>
      <c r="W487" s="321"/>
      <c r="X487" s="321"/>
      <c r="Y487" s="321"/>
    </row>
    <row r="488" spans="1:25" ht="12.75" x14ac:dyDescent="0.2">
      <c r="A488" s="321"/>
      <c r="B488" s="321"/>
      <c r="C488" s="321"/>
      <c r="D488" s="321"/>
      <c r="E488" s="321"/>
      <c r="F488" s="321"/>
      <c r="G488" s="321"/>
      <c r="H488" s="321"/>
      <c r="I488" s="321"/>
      <c r="J488" s="321"/>
      <c r="K488" s="321"/>
      <c r="L488" s="321"/>
      <c r="M488" s="321"/>
      <c r="N488" s="321"/>
      <c r="O488" s="321"/>
      <c r="P488" s="321"/>
      <c r="Q488" s="321"/>
      <c r="R488" s="321"/>
      <c r="S488" s="321"/>
      <c r="T488" s="321"/>
      <c r="U488" s="321"/>
      <c r="V488" s="321"/>
      <c r="W488" s="321"/>
      <c r="X488" s="321"/>
      <c r="Y488" s="321"/>
    </row>
    <row r="489" spans="1:25" ht="12.75" x14ac:dyDescent="0.2">
      <c r="A489" s="321"/>
      <c r="B489" s="321"/>
      <c r="C489" s="321"/>
      <c r="D489" s="321"/>
      <c r="E489" s="321"/>
      <c r="F489" s="321"/>
      <c r="G489" s="321"/>
      <c r="H489" s="321"/>
      <c r="I489" s="321"/>
      <c r="J489" s="321"/>
      <c r="K489" s="321"/>
      <c r="L489" s="321"/>
      <c r="M489" s="321"/>
      <c r="N489" s="321"/>
      <c r="O489" s="321"/>
      <c r="P489" s="321"/>
      <c r="Q489" s="321"/>
      <c r="R489" s="321"/>
      <c r="S489" s="321"/>
      <c r="T489" s="321"/>
      <c r="U489" s="321"/>
      <c r="V489" s="321"/>
      <c r="W489" s="321"/>
      <c r="X489" s="321"/>
      <c r="Y489" s="321"/>
    </row>
    <row r="490" spans="1:25" ht="12.75" x14ac:dyDescent="0.2">
      <c r="A490" s="321"/>
      <c r="B490" s="321"/>
      <c r="C490" s="321"/>
      <c r="D490" s="321"/>
      <c r="E490" s="321"/>
      <c r="F490" s="321"/>
      <c r="G490" s="321"/>
      <c r="H490" s="321"/>
      <c r="I490" s="321"/>
      <c r="J490" s="321"/>
      <c r="K490" s="321"/>
      <c r="L490" s="321"/>
      <c r="M490" s="321"/>
      <c r="N490" s="321"/>
      <c r="O490" s="321"/>
      <c r="P490" s="321"/>
      <c r="Q490" s="321"/>
      <c r="R490" s="321"/>
      <c r="S490" s="321"/>
      <c r="T490" s="321"/>
      <c r="U490" s="321"/>
      <c r="V490" s="321"/>
      <c r="W490" s="321"/>
      <c r="X490" s="321"/>
      <c r="Y490" s="321"/>
    </row>
    <row r="491" spans="1:25" ht="12.75" x14ac:dyDescent="0.2">
      <c r="A491" s="321"/>
      <c r="B491" s="321"/>
      <c r="C491" s="321"/>
      <c r="D491" s="321"/>
      <c r="E491" s="321"/>
      <c r="F491" s="321"/>
      <c r="G491" s="321"/>
      <c r="H491" s="321"/>
      <c r="I491" s="321"/>
      <c r="J491" s="321"/>
      <c r="K491" s="321"/>
      <c r="L491" s="321"/>
      <c r="M491" s="321"/>
      <c r="N491" s="321"/>
      <c r="O491" s="321"/>
      <c r="P491" s="321"/>
      <c r="Q491" s="321"/>
      <c r="R491" s="321"/>
      <c r="S491" s="321"/>
      <c r="T491" s="321"/>
      <c r="U491" s="321"/>
      <c r="V491" s="321"/>
      <c r="W491" s="321"/>
      <c r="X491" s="321"/>
      <c r="Y491" s="321"/>
    </row>
    <row r="492" spans="1:25" ht="12.75" x14ac:dyDescent="0.2">
      <c r="A492" s="321"/>
      <c r="B492" s="321"/>
      <c r="C492" s="321"/>
      <c r="D492" s="321"/>
      <c r="E492" s="321"/>
      <c r="F492" s="321"/>
      <c r="G492" s="321"/>
      <c r="H492" s="321"/>
      <c r="I492" s="321"/>
      <c r="J492" s="321"/>
      <c r="K492" s="321"/>
      <c r="L492" s="321"/>
      <c r="M492" s="321"/>
      <c r="N492" s="321"/>
      <c r="O492" s="321"/>
      <c r="P492" s="321"/>
      <c r="Q492" s="321"/>
      <c r="R492" s="321"/>
      <c r="S492" s="321"/>
      <c r="T492" s="321"/>
      <c r="U492" s="321"/>
      <c r="V492" s="321"/>
      <c r="W492" s="321"/>
      <c r="X492" s="321"/>
      <c r="Y492" s="321"/>
    </row>
    <row r="493" spans="1:25" ht="12.75" x14ac:dyDescent="0.2">
      <c r="A493" s="321"/>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row>
    <row r="494" spans="1:25" ht="12.75" x14ac:dyDescent="0.2">
      <c r="A494" s="321"/>
      <c r="B494" s="321"/>
      <c r="C494" s="321"/>
      <c r="D494" s="321"/>
      <c r="E494" s="321"/>
      <c r="F494" s="321"/>
      <c r="G494" s="321"/>
      <c r="H494" s="321"/>
      <c r="I494" s="321"/>
      <c r="J494" s="321"/>
      <c r="K494" s="321"/>
      <c r="L494" s="321"/>
      <c r="M494" s="321"/>
      <c r="N494" s="321"/>
      <c r="O494" s="321"/>
      <c r="P494" s="321"/>
      <c r="Q494" s="321"/>
      <c r="R494" s="321"/>
      <c r="S494" s="321"/>
      <c r="T494" s="321"/>
      <c r="U494" s="321"/>
      <c r="V494" s="321"/>
      <c r="W494" s="321"/>
      <c r="X494" s="321"/>
      <c r="Y494" s="321"/>
    </row>
    <row r="495" spans="1:25" ht="12.75" x14ac:dyDescent="0.2">
      <c r="A495" s="321"/>
      <c r="B495" s="321"/>
      <c r="C495" s="321"/>
      <c r="D495" s="321"/>
      <c r="E495" s="321"/>
      <c r="F495" s="321"/>
      <c r="G495" s="321"/>
      <c r="H495" s="321"/>
      <c r="I495" s="321"/>
      <c r="J495" s="321"/>
      <c r="K495" s="321"/>
      <c r="L495" s="321"/>
      <c r="M495" s="321"/>
      <c r="N495" s="321"/>
      <c r="O495" s="321"/>
      <c r="P495" s="321"/>
      <c r="Q495" s="321"/>
      <c r="R495" s="321"/>
      <c r="S495" s="321"/>
      <c r="T495" s="321"/>
      <c r="U495" s="321"/>
      <c r="V495" s="321"/>
      <c r="W495" s="321"/>
      <c r="X495" s="321"/>
      <c r="Y495" s="321"/>
    </row>
    <row r="496" spans="1:25" ht="12.75" x14ac:dyDescent="0.2">
      <c r="A496" s="321"/>
      <c r="B496" s="321"/>
      <c r="C496" s="321"/>
      <c r="D496" s="321"/>
      <c r="E496" s="321"/>
      <c r="F496" s="321"/>
      <c r="G496" s="321"/>
      <c r="H496" s="321"/>
      <c r="I496" s="321"/>
      <c r="J496" s="321"/>
      <c r="K496" s="321"/>
      <c r="L496" s="321"/>
      <c r="M496" s="321"/>
      <c r="N496" s="321"/>
      <c r="O496" s="321"/>
      <c r="P496" s="321"/>
      <c r="Q496" s="321"/>
      <c r="R496" s="321"/>
      <c r="S496" s="321"/>
      <c r="T496" s="321"/>
      <c r="U496" s="321"/>
      <c r="V496" s="321"/>
      <c r="W496" s="321"/>
      <c r="X496" s="321"/>
      <c r="Y496" s="321"/>
    </row>
    <row r="497" spans="1:25" ht="12.75" x14ac:dyDescent="0.2">
      <c r="A497" s="321"/>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row>
    <row r="498" spans="1:25" ht="12.75" x14ac:dyDescent="0.2">
      <c r="A498" s="321"/>
      <c r="B498" s="321"/>
      <c r="C498" s="321"/>
      <c r="D498" s="321"/>
      <c r="E498" s="321"/>
      <c r="F498" s="321"/>
      <c r="G498" s="321"/>
      <c r="H498" s="321"/>
      <c r="I498" s="321"/>
      <c r="J498" s="321"/>
      <c r="K498" s="321"/>
      <c r="L498" s="321"/>
      <c r="M498" s="321"/>
      <c r="N498" s="321"/>
      <c r="O498" s="321"/>
      <c r="P498" s="321"/>
      <c r="Q498" s="321"/>
      <c r="R498" s="321"/>
      <c r="S498" s="321"/>
      <c r="T498" s="321"/>
      <c r="U498" s="321"/>
      <c r="V498" s="321"/>
      <c r="W498" s="321"/>
      <c r="X498" s="321"/>
      <c r="Y498" s="321"/>
    </row>
    <row r="499" spans="1:25" ht="12.75" x14ac:dyDescent="0.2">
      <c r="A499" s="321"/>
      <c r="B499" s="321"/>
      <c r="C499" s="321"/>
      <c r="D499" s="321"/>
      <c r="E499" s="321"/>
      <c r="F499" s="321"/>
      <c r="G499" s="321"/>
      <c r="H499" s="321"/>
      <c r="I499" s="321"/>
      <c r="J499" s="321"/>
      <c r="K499" s="321"/>
      <c r="L499" s="321"/>
      <c r="M499" s="321"/>
      <c r="N499" s="321"/>
      <c r="O499" s="321"/>
      <c r="P499" s="321"/>
      <c r="Q499" s="321"/>
      <c r="R499" s="321"/>
      <c r="S499" s="321"/>
      <c r="T499" s="321"/>
      <c r="U499" s="321"/>
      <c r="V499" s="321"/>
      <c r="W499" s="321"/>
      <c r="X499" s="321"/>
      <c r="Y499" s="321"/>
    </row>
    <row r="500" spans="1:25" ht="12.75" x14ac:dyDescent="0.2">
      <c r="A500" s="321"/>
      <c r="B500" s="321"/>
      <c r="C500" s="321"/>
      <c r="D500" s="321"/>
      <c r="E500" s="321"/>
      <c r="F500" s="321"/>
      <c r="G500" s="321"/>
      <c r="H500" s="321"/>
      <c r="I500" s="321"/>
      <c r="J500" s="321"/>
      <c r="K500" s="321"/>
      <c r="L500" s="321"/>
      <c r="M500" s="321"/>
      <c r="N500" s="321"/>
      <c r="O500" s="321"/>
      <c r="P500" s="321"/>
      <c r="Q500" s="321"/>
      <c r="R500" s="321"/>
      <c r="S500" s="321"/>
      <c r="T500" s="321"/>
      <c r="U500" s="321"/>
      <c r="V500" s="321"/>
      <c r="W500" s="321"/>
      <c r="X500" s="321"/>
      <c r="Y500" s="321"/>
    </row>
    <row r="501" spans="1:25" ht="12.75" x14ac:dyDescent="0.2">
      <c r="A501" s="321"/>
      <c r="B501" s="321"/>
      <c r="C501" s="321"/>
      <c r="D501" s="321"/>
      <c r="E501" s="321"/>
      <c r="F501" s="321"/>
      <c r="G501" s="321"/>
      <c r="H501" s="321"/>
      <c r="I501" s="321"/>
      <c r="J501" s="321"/>
      <c r="K501" s="321"/>
      <c r="L501" s="321"/>
      <c r="M501" s="321"/>
      <c r="N501" s="321"/>
      <c r="O501" s="321"/>
      <c r="P501" s="321"/>
      <c r="Q501" s="321"/>
      <c r="R501" s="321"/>
      <c r="S501" s="321"/>
      <c r="T501" s="321"/>
      <c r="U501" s="321"/>
      <c r="V501" s="321"/>
      <c r="W501" s="321"/>
      <c r="X501" s="321"/>
      <c r="Y501" s="321"/>
    </row>
    <row r="502" spans="1:25" ht="12.75" x14ac:dyDescent="0.2">
      <c r="A502" s="321"/>
      <c r="B502" s="321"/>
      <c r="C502" s="321"/>
      <c r="D502" s="321"/>
      <c r="E502" s="321"/>
      <c r="F502" s="321"/>
      <c r="G502" s="321"/>
      <c r="H502" s="321"/>
      <c r="I502" s="321"/>
      <c r="J502" s="321"/>
      <c r="K502" s="321"/>
      <c r="L502" s="321"/>
      <c r="M502" s="321"/>
      <c r="N502" s="321"/>
      <c r="O502" s="321"/>
      <c r="P502" s="321"/>
      <c r="Q502" s="321"/>
      <c r="R502" s="321"/>
      <c r="S502" s="321"/>
      <c r="T502" s="321"/>
      <c r="U502" s="321"/>
      <c r="V502" s="321"/>
      <c r="W502" s="321"/>
      <c r="X502" s="321"/>
      <c r="Y502" s="321"/>
    </row>
    <row r="503" spans="1:25" ht="12.75" x14ac:dyDescent="0.2">
      <c r="A503" s="321"/>
      <c r="B503" s="321"/>
      <c r="C503" s="321"/>
      <c r="D503" s="321"/>
      <c r="E503" s="321"/>
      <c r="F503" s="321"/>
      <c r="G503" s="321"/>
      <c r="H503" s="321"/>
      <c r="I503" s="321"/>
      <c r="J503" s="321"/>
      <c r="K503" s="321"/>
      <c r="L503" s="321"/>
      <c r="M503" s="321"/>
      <c r="N503" s="321"/>
      <c r="O503" s="321"/>
      <c r="P503" s="321"/>
      <c r="Q503" s="321"/>
      <c r="R503" s="321"/>
      <c r="S503" s="321"/>
      <c r="T503" s="321"/>
      <c r="U503" s="321"/>
      <c r="V503" s="321"/>
      <c r="W503" s="321"/>
      <c r="X503" s="321"/>
      <c r="Y503" s="321"/>
    </row>
    <row r="504" spans="1:25" ht="12.75" x14ac:dyDescent="0.2">
      <c r="A504" s="321"/>
      <c r="B504" s="321"/>
      <c r="C504" s="321"/>
      <c r="D504" s="321"/>
      <c r="E504" s="321"/>
      <c r="F504" s="321"/>
      <c r="G504" s="321"/>
      <c r="H504" s="321"/>
      <c r="I504" s="321"/>
      <c r="J504" s="321"/>
      <c r="K504" s="321"/>
      <c r="L504" s="321"/>
      <c r="M504" s="321"/>
      <c r="N504" s="321"/>
      <c r="O504" s="321"/>
      <c r="P504" s="321"/>
      <c r="Q504" s="321"/>
      <c r="R504" s="321"/>
      <c r="S504" s="321"/>
      <c r="T504" s="321"/>
      <c r="U504" s="321"/>
      <c r="V504" s="321"/>
      <c r="W504" s="321"/>
      <c r="X504" s="321"/>
      <c r="Y504" s="321"/>
    </row>
    <row r="505" spans="1:25" ht="12.75" x14ac:dyDescent="0.2">
      <c r="A505" s="321"/>
      <c r="B505" s="321"/>
      <c r="C505" s="321"/>
      <c r="D505" s="321"/>
      <c r="E505" s="321"/>
      <c r="F505" s="321"/>
      <c r="G505" s="321"/>
      <c r="H505" s="321"/>
      <c r="I505" s="321"/>
      <c r="J505" s="321"/>
      <c r="K505" s="321"/>
      <c r="L505" s="321"/>
      <c r="M505" s="321"/>
      <c r="N505" s="321"/>
      <c r="O505" s="321"/>
      <c r="P505" s="321"/>
      <c r="Q505" s="321"/>
      <c r="R505" s="321"/>
      <c r="S505" s="321"/>
      <c r="T505" s="321"/>
      <c r="U505" s="321"/>
      <c r="V505" s="321"/>
      <c r="W505" s="321"/>
      <c r="X505" s="321"/>
      <c r="Y505" s="321"/>
    </row>
    <row r="506" spans="1:25" ht="12.75" x14ac:dyDescent="0.2">
      <c r="A506" s="321"/>
      <c r="B506" s="321"/>
      <c r="C506" s="321"/>
      <c r="D506" s="321"/>
      <c r="E506" s="321"/>
      <c r="F506" s="321"/>
      <c r="G506" s="321"/>
      <c r="H506" s="321"/>
      <c r="I506" s="321"/>
      <c r="J506" s="321"/>
      <c r="K506" s="321"/>
      <c r="L506" s="321"/>
      <c r="M506" s="321"/>
      <c r="N506" s="321"/>
      <c r="O506" s="321"/>
      <c r="P506" s="321"/>
      <c r="Q506" s="321"/>
      <c r="R506" s="321"/>
      <c r="S506" s="321"/>
      <c r="T506" s="321"/>
      <c r="U506" s="321"/>
      <c r="V506" s="321"/>
      <c r="W506" s="321"/>
      <c r="X506" s="321"/>
      <c r="Y506" s="321"/>
    </row>
    <row r="507" spans="1:25" ht="12.75" x14ac:dyDescent="0.2">
      <c r="A507" s="321"/>
      <c r="B507" s="321"/>
      <c r="C507" s="321"/>
      <c r="D507" s="321"/>
      <c r="E507" s="321"/>
      <c r="F507" s="321"/>
      <c r="G507" s="321"/>
      <c r="H507" s="321"/>
      <c r="I507" s="321"/>
      <c r="J507" s="321"/>
      <c r="K507" s="321"/>
      <c r="L507" s="321"/>
      <c r="M507" s="321"/>
      <c r="N507" s="321"/>
      <c r="O507" s="321"/>
      <c r="P507" s="321"/>
      <c r="Q507" s="321"/>
      <c r="R507" s="321"/>
      <c r="S507" s="321"/>
      <c r="T507" s="321"/>
      <c r="U507" s="321"/>
      <c r="V507" s="321"/>
      <c r="W507" s="321"/>
      <c r="X507" s="321"/>
      <c r="Y507" s="321"/>
    </row>
    <row r="508" spans="1:25" ht="12.75" x14ac:dyDescent="0.2">
      <c r="A508" s="321"/>
      <c r="B508" s="321"/>
      <c r="C508" s="321"/>
      <c r="D508" s="321"/>
      <c r="E508" s="321"/>
      <c r="F508" s="321"/>
      <c r="G508" s="321"/>
      <c r="H508" s="321"/>
      <c r="I508" s="321"/>
      <c r="J508" s="321"/>
      <c r="K508" s="321"/>
      <c r="L508" s="321"/>
      <c r="M508" s="321"/>
      <c r="N508" s="321"/>
      <c r="O508" s="321"/>
      <c r="P508" s="321"/>
      <c r="Q508" s="321"/>
      <c r="R508" s="321"/>
      <c r="S508" s="321"/>
      <c r="T508" s="321"/>
      <c r="U508" s="321"/>
      <c r="V508" s="321"/>
      <c r="W508" s="321"/>
      <c r="X508" s="321"/>
      <c r="Y508" s="321"/>
    </row>
    <row r="509" spans="1:25" ht="12.75" x14ac:dyDescent="0.2">
      <c r="A509" s="321"/>
      <c r="B509" s="321"/>
      <c r="C509" s="321"/>
      <c r="D509" s="321"/>
      <c r="E509" s="321"/>
      <c r="F509" s="321"/>
      <c r="G509" s="321"/>
      <c r="H509" s="321"/>
      <c r="I509" s="321"/>
      <c r="J509" s="321"/>
      <c r="K509" s="321"/>
      <c r="L509" s="321"/>
      <c r="M509" s="321"/>
      <c r="N509" s="321"/>
      <c r="O509" s="321"/>
      <c r="P509" s="321"/>
      <c r="Q509" s="321"/>
      <c r="R509" s="321"/>
      <c r="S509" s="321"/>
      <c r="T509" s="321"/>
      <c r="U509" s="321"/>
      <c r="V509" s="321"/>
      <c r="W509" s="321"/>
      <c r="X509" s="321"/>
      <c r="Y509" s="321"/>
    </row>
    <row r="510" spans="1:25" ht="12.75" x14ac:dyDescent="0.2">
      <c r="A510" s="321"/>
      <c r="B510" s="321"/>
      <c r="C510" s="321"/>
      <c r="D510" s="321"/>
      <c r="E510" s="321"/>
      <c r="F510" s="321"/>
      <c r="G510" s="321"/>
      <c r="H510" s="321"/>
      <c r="I510" s="321"/>
      <c r="J510" s="321"/>
      <c r="K510" s="321"/>
      <c r="L510" s="321"/>
      <c r="M510" s="321"/>
      <c r="N510" s="321"/>
      <c r="O510" s="321"/>
      <c r="P510" s="321"/>
      <c r="Q510" s="321"/>
      <c r="R510" s="321"/>
      <c r="S510" s="321"/>
      <c r="T510" s="321"/>
      <c r="U510" s="321"/>
      <c r="V510" s="321"/>
      <c r="W510" s="321"/>
      <c r="X510" s="321"/>
      <c r="Y510" s="321"/>
    </row>
    <row r="511" spans="1:25" ht="12.75" x14ac:dyDescent="0.2">
      <c r="A511" s="321"/>
      <c r="B511" s="321"/>
      <c r="C511" s="321"/>
      <c r="D511" s="321"/>
      <c r="E511" s="321"/>
      <c r="F511" s="321"/>
      <c r="G511" s="321"/>
      <c r="H511" s="321"/>
      <c r="I511" s="321"/>
      <c r="J511" s="321"/>
      <c r="K511" s="321"/>
      <c r="L511" s="321"/>
      <c r="M511" s="321"/>
      <c r="N511" s="321"/>
      <c r="O511" s="321"/>
      <c r="P511" s="321"/>
      <c r="Q511" s="321"/>
      <c r="R511" s="321"/>
      <c r="S511" s="321"/>
      <c r="T511" s="321"/>
      <c r="U511" s="321"/>
      <c r="V511" s="321"/>
      <c r="W511" s="321"/>
      <c r="X511" s="321"/>
      <c r="Y511" s="321"/>
    </row>
    <row r="512" spans="1:25" ht="12.75" x14ac:dyDescent="0.2">
      <c r="A512" s="321"/>
      <c r="B512" s="321"/>
      <c r="C512" s="321"/>
      <c r="D512" s="321"/>
      <c r="E512" s="321"/>
      <c r="F512" s="321"/>
      <c r="G512" s="321"/>
      <c r="H512" s="321"/>
      <c r="I512" s="321"/>
      <c r="J512" s="321"/>
      <c r="K512" s="321"/>
      <c r="L512" s="321"/>
      <c r="M512" s="321"/>
      <c r="N512" s="321"/>
      <c r="O512" s="321"/>
      <c r="P512" s="321"/>
      <c r="Q512" s="321"/>
      <c r="R512" s="321"/>
      <c r="S512" s="321"/>
      <c r="T512" s="321"/>
      <c r="U512" s="321"/>
      <c r="V512" s="321"/>
      <c r="W512" s="321"/>
      <c r="X512" s="321"/>
      <c r="Y512" s="321"/>
    </row>
    <row r="513" spans="1:25" ht="12.75" x14ac:dyDescent="0.2">
      <c r="A513" s="321"/>
      <c r="B513" s="321"/>
      <c r="C513" s="321"/>
      <c r="D513" s="321"/>
      <c r="E513" s="321"/>
      <c r="F513" s="321"/>
      <c r="G513" s="321"/>
      <c r="H513" s="321"/>
      <c r="I513" s="321"/>
      <c r="J513" s="321"/>
      <c r="K513" s="321"/>
      <c r="L513" s="321"/>
      <c r="M513" s="321"/>
      <c r="N513" s="321"/>
      <c r="O513" s="321"/>
      <c r="P513" s="321"/>
      <c r="Q513" s="321"/>
      <c r="R513" s="321"/>
      <c r="S513" s="321"/>
      <c r="T513" s="321"/>
      <c r="U513" s="321"/>
      <c r="V513" s="321"/>
      <c r="W513" s="321"/>
      <c r="X513" s="321"/>
      <c r="Y513" s="321"/>
    </row>
    <row r="514" spans="1:25" ht="12.75" x14ac:dyDescent="0.2">
      <c r="A514" s="321"/>
      <c r="B514" s="321"/>
      <c r="C514" s="321"/>
      <c r="D514" s="321"/>
      <c r="E514" s="321"/>
      <c r="F514" s="321"/>
      <c r="G514" s="321"/>
      <c r="H514" s="321"/>
      <c r="I514" s="321"/>
      <c r="J514" s="321"/>
      <c r="K514" s="321"/>
      <c r="L514" s="321"/>
      <c r="M514" s="321"/>
      <c r="N514" s="321"/>
      <c r="O514" s="321"/>
      <c r="P514" s="321"/>
      <c r="Q514" s="321"/>
      <c r="R514" s="321"/>
      <c r="S514" s="321"/>
      <c r="T514" s="321"/>
      <c r="U514" s="321"/>
      <c r="V514" s="321"/>
      <c r="W514" s="321"/>
      <c r="X514" s="321"/>
      <c r="Y514" s="321"/>
    </row>
    <row r="515" spans="1:25" ht="12.75" x14ac:dyDescent="0.2">
      <c r="A515" s="321"/>
      <c r="B515" s="321"/>
      <c r="C515" s="321"/>
      <c r="D515" s="321"/>
      <c r="E515" s="321"/>
      <c r="F515" s="321"/>
      <c r="G515" s="321"/>
      <c r="H515" s="321"/>
      <c r="I515" s="321"/>
      <c r="J515" s="321"/>
      <c r="K515" s="321"/>
      <c r="L515" s="321"/>
      <c r="M515" s="321"/>
      <c r="N515" s="321"/>
      <c r="O515" s="321"/>
      <c r="P515" s="321"/>
      <c r="Q515" s="321"/>
      <c r="R515" s="321"/>
      <c r="S515" s="321"/>
      <c r="T515" s="321"/>
      <c r="U515" s="321"/>
      <c r="V515" s="321"/>
      <c r="W515" s="321"/>
      <c r="X515" s="321"/>
      <c r="Y515" s="321"/>
    </row>
    <row r="516" spans="1:25" ht="12.75" x14ac:dyDescent="0.2">
      <c r="A516" s="321"/>
      <c r="B516" s="321"/>
      <c r="C516" s="321"/>
      <c r="D516" s="321"/>
      <c r="E516" s="321"/>
      <c r="F516" s="321"/>
      <c r="G516" s="321"/>
      <c r="H516" s="321"/>
      <c r="I516" s="321"/>
      <c r="J516" s="321"/>
      <c r="K516" s="321"/>
      <c r="L516" s="321"/>
      <c r="M516" s="321"/>
      <c r="N516" s="321"/>
      <c r="O516" s="321"/>
      <c r="P516" s="321"/>
      <c r="Q516" s="321"/>
      <c r="R516" s="321"/>
      <c r="S516" s="321"/>
      <c r="T516" s="321"/>
      <c r="U516" s="321"/>
      <c r="V516" s="321"/>
      <c r="W516" s="321"/>
      <c r="X516" s="321"/>
      <c r="Y516" s="321"/>
    </row>
    <row r="517" spans="1:25" ht="12.75" x14ac:dyDescent="0.2">
      <c r="A517" s="321"/>
      <c r="B517" s="321"/>
      <c r="C517" s="321"/>
      <c r="D517" s="321"/>
      <c r="E517" s="321"/>
      <c r="F517" s="321"/>
      <c r="G517" s="321"/>
      <c r="H517" s="321"/>
      <c r="I517" s="321"/>
      <c r="J517" s="321"/>
      <c r="K517" s="321"/>
      <c r="L517" s="321"/>
      <c r="M517" s="321"/>
      <c r="N517" s="321"/>
      <c r="O517" s="321"/>
      <c r="P517" s="321"/>
      <c r="Q517" s="321"/>
      <c r="R517" s="321"/>
      <c r="S517" s="321"/>
      <c r="T517" s="321"/>
      <c r="U517" s="321"/>
      <c r="V517" s="321"/>
      <c r="W517" s="321"/>
      <c r="X517" s="321"/>
      <c r="Y517" s="321"/>
    </row>
    <row r="518" spans="1:25" ht="12.75" x14ac:dyDescent="0.2">
      <c r="A518" s="321"/>
      <c r="B518" s="321"/>
      <c r="C518" s="321"/>
      <c r="D518" s="321"/>
      <c r="E518" s="321"/>
      <c r="F518" s="321"/>
      <c r="G518" s="321"/>
      <c r="H518" s="321"/>
      <c r="I518" s="321"/>
      <c r="J518" s="321"/>
      <c r="K518" s="321"/>
      <c r="L518" s="321"/>
      <c r="M518" s="321"/>
      <c r="N518" s="321"/>
      <c r="O518" s="321"/>
      <c r="P518" s="321"/>
      <c r="Q518" s="321"/>
      <c r="R518" s="321"/>
      <c r="S518" s="321"/>
      <c r="T518" s="321"/>
      <c r="U518" s="321"/>
      <c r="V518" s="321"/>
      <c r="W518" s="321"/>
      <c r="X518" s="321"/>
      <c r="Y518" s="321"/>
    </row>
    <row r="519" spans="1:25" ht="12.75" x14ac:dyDescent="0.2">
      <c r="A519" s="321"/>
      <c r="B519" s="321"/>
      <c r="C519" s="321"/>
      <c r="D519" s="321"/>
      <c r="E519" s="321"/>
      <c r="F519" s="321"/>
      <c r="G519" s="321"/>
      <c r="H519" s="321"/>
      <c r="I519" s="321"/>
      <c r="J519" s="321"/>
      <c r="K519" s="321"/>
      <c r="L519" s="321"/>
      <c r="M519" s="321"/>
      <c r="N519" s="321"/>
      <c r="O519" s="321"/>
      <c r="P519" s="321"/>
      <c r="Q519" s="321"/>
      <c r="R519" s="321"/>
      <c r="S519" s="321"/>
      <c r="T519" s="321"/>
      <c r="U519" s="321"/>
      <c r="V519" s="321"/>
      <c r="W519" s="321"/>
      <c r="X519" s="321"/>
      <c r="Y519" s="321"/>
    </row>
    <row r="520" spans="1:25" ht="12.75" x14ac:dyDescent="0.2">
      <c r="A520" s="321"/>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row>
    <row r="521" spans="1:25" ht="12.75" x14ac:dyDescent="0.2">
      <c r="A521" s="321"/>
      <c r="B521" s="321"/>
      <c r="C521" s="321"/>
      <c r="D521" s="321"/>
      <c r="E521" s="321"/>
      <c r="F521" s="321"/>
      <c r="G521" s="321"/>
      <c r="H521" s="321"/>
      <c r="I521" s="321"/>
      <c r="J521" s="321"/>
      <c r="K521" s="321"/>
      <c r="L521" s="321"/>
      <c r="M521" s="321"/>
      <c r="N521" s="321"/>
      <c r="O521" s="321"/>
      <c r="P521" s="321"/>
      <c r="Q521" s="321"/>
      <c r="R521" s="321"/>
      <c r="S521" s="321"/>
      <c r="T521" s="321"/>
      <c r="U521" s="321"/>
      <c r="V521" s="321"/>
      <c r="W521" s="321"/>
      <c r="X521" s="321"/>
      <c r="Y521" s="321"/>
    </row>
    <row r="522" spans="1:25" ht="12.75" x14ac:dyDescent="0.2">
      <c r="A522" s="321"/>
      <c r="B522" s="321"/>
      <c r="C522" s="321"/>
      <c r="D522" s="321"/>
      <c r="E522" s="321"/>
      <c r="F522" s="321"/>
      <c r="G522" s="321"/>
      <c r="H522" s="321"/>
      <c r="I522" s="321"/>
      <c r="J522" s="321"/>
      <c r="K522" s="321"/>
      <c r="L522" s="321"/>
      <c r="M522" s="321"/>
      <c r="N522" s="321"/>
      <c r="O522" s="321"/>
      <c r="P522" s="321"/>
      <c r="Q522" s="321"/>
      <c r="R522" s="321"/>
      <c r="S522" s="321"/>
      <c r="T522" s="321"/>
      <c r="U522" s="321"/>
      <c r="V522" s="321"/>
      <c r="W522" s="321"/>
      <c r="X522" s="321"/>
      <c r="Y522" s="321"/>
    </row>
    <row r="523" spans="1:25" ht="12.75" x14ac:dyDescent="0.2">
      <c r="A523" s="321"/>
      <c r="B523" s="321"/>
      <c r="C523" s="321"/>
      <c r="D523" s="321"/>
      <c r="E523" s="321"/>
      <c r="F523" s="321"/>
      <c r="G523" s="321"/>
      <c r="H523" s="321"/>
      <c r="I523" s="321"/>
      <c r="J523" s="321"/>
      <c r="K523" s="321"/>
      <c r="L523" s="321"/>
      <c r="M523" s="321"/>
      <c r="N523" s="321"/>
      <c r="O523" s="321"/>
      <c r="P523" s="321"/>
      <c r="Q523" s="321"/>
      <c r="R523" s="321"/>
      <c r="S523" s="321"/>
      <c r="T523" s="321"/>
      <c r="U523" s="321"/>
      <c r="V523" s="321"/>
      <c r="W523" s="321"/>
      <c r="X523" s="321"/>
      <c r="Y523" s="321"/>
    </row>
    <row r="524" spans="1:25" ht="12.75" x14ac:dyDescent="0.2">
      <c r="A524" s="321"/>
      <c r="B524" s="321"/>
      <c r="C524" s="321"/>
      <c r="D524" s="321"/>
      <c r="E524" s="321"/>
      <c r="F524" s="321"/>
      <c r="G524" s="321"/>
      <c r="H524" s="321"/>
      <c r="I524" s="321"/>
      <c r="J524" s="321"/>
      <c r="K524" s="321"/>
      <c r="L524" s="321"/>
      <c r="M524" s="321"/>
      <c r="N524" s="321"/>
      <c r="O524" s="321"/>
      <c r="P524" s="321"/>
      <c r="Q524" s="321"/>
      <c r="R524" s="321"/>
      <c r="S524" s="321"/>
      <c r="T524" s="321"/>
      <c r="U524" s="321"/>
      <c r="V524" s="321"/>
      <c r="W524" s="321"/>
      <c r="X524" s="321"/>
      <c r="Y524" s="321"/>
    </row>
    <row r="525" spans="1:25" ht="12.75" x14ac:dyDescent="0.2">
      <c r="A525" s="321"/>
      <c r="B525" s="321"/>
      <c r="C525" s="321"/>
      <c r="D525" s="321"/>
      <c r="E525" s="321"/>
      <c r="F525" s="321"/>
      <c r="G525" s="321"/>
      <c r="H525" s="321"/>
      <c r="I525" s="321"/>
      <c r="J525" s="321"/>
      <c r="K525" s="321"/>
      <c r="L525" s="321"/>
      <c r="M525" s="321"/>
      <c r="N525" s="321"/>
      <c r="O525" s="321"/>
      <c r="P525" s="321"/>
      <c r="Q525" s="321"/>
      <c r="R525" s="321"/>
      <c r="S525" s="321"/>
      <c r="T525" s="321"/>
      <c r="U525" s="321"/>
      <c r="V525" s="321"/>
      <c r="W525" s="321"/>
      <c r="X525" s="321"/>
      <c r="Y525" s="321"/>
    </row>
    <row r="526" spans="1:25" ht="12.75" x14ac:dyDescent="0.2">
      <c r="A526" s="321"/>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row>
    <row r="527" spans="1:25" ht="12.75" x14ac:dyDescent="0.2">
      <c r="A527" s="321"/>
      <c r="B527" s="321"/>
      <c r="C527" s="321"/>
      <c r="D527" s="321"/>
      <c r="E527" s="321"/>
      <c r="F527" s="321"/>
      <c r="G527" s="321"/>
      <c r="H527" s="321"/>
      <c r="I527" s="321"/>
      <c r="J527" s="321"/>
      <c r="K527" s="321"/>
      <c r="L527" s="321"/>
      <c r="M527" s="321"/>
      <c r="N527" s="321"/>
      <c r="O527" s="321"/>
      <c r="P527" s="321"/>
      <c r="Q527" s="321"/>
      <c r="R527" s="321"/>
      <c r="S527" s="321"/>
      <c r="T527" s="321"/>
      <c r="U527" s="321"/>
      <c r="V527" s="321"/>
      <c r="W527" s="321"/>
      <c r="X527" s="321"/>
      <c r="Y527" s="321"/>
    </row>
    <row r="528" spans="1:25" ht="12.75" x14ac:dyDescent="0.2">
      <c r="A528" s="321"/>
      <c r="B528" s="321"/>
      <c r="C528" s="321"/>
      <c r="D528" s="321"/>
      <c r="E528" s="321"/>
      <c r="F528" s="321"/>
      <c r="G528" s="321"/>
      <c r="H528" s="321"/>
      <c r="I528" s="321"/>
      <c r="J528" s="321"/>
      <c r="K528" s="321"/>
      <c r="L528" s="321"/>
      <c r="M528" s="321"/>
      <c r="N528" s="321"/>
      <c r="O528" s="321"/>
      <c r="P528" s="321"/>
      <c r="Q528" s="321"/>
      <c r="R528" s="321"/>
      <c r="S528" s="321"/>
      <c r="T528" s="321"/>
      <c r="U528" s="321"/>
      <c r="V528" s="321"/>
      <c r="W528" s="321"/>
      <c r="X528" s="321"/>
      <c r="Y528" s="321"/>
    </row>
    <row r="529" spans="1:25" ht="12.75" x14ac:dyDescent="0.2">
      <c r="A529" s="321"/>
      <c r="B529" s="321"/>
      <c r="C529" s="321"/>
      <c r="D529" s="321"/>
      <c r="E529" s="321"/>
      <c r="F529" s="321"/>
      <c r="G529" s="321"/>
      <c r="H529" s="321"/>
      <c r="I529" s="321"/>
      <c r="J529" s="321"/>
      <c r="K529" s="321"/>
      <c r="L529" s="321"/>
      <c r="M529" s="321"/>
      <c r="N529" s="321"/>
      <c r="O529" s="321"/>
      <c r="P529" s="321"/>
      <c r="Q529" s="321"/>
      <c r="R529" s="321"/>
      <c r="S529" s="321"/>
      <c r="T529" s="321"/>
      <c r="U529" s="321"/>
      <c r="V529" s="321"/>
      <c r="W529" s="321"/>
      <c r="X529" s="321"/>
      <c r="Y529" s="321"/>
    </row>
    <row r="530" spans="1:25" ht="12.75" x14ac:dyDescent="0.2">
      <c r="A530" s="321"/>
      <c r="B530" s="321"/>
      <c r="C530" s="321"/>
      <c r="D530" s="321"/>
      <c r="E530" s="321"/>
      <c r="F530" s="321"/>
      <c r="G530" s="321"/>
      <c r="H530" s="321"/>
      <c r="I530" s="321"/>
      <c r="J530" s="321"/>
      <c r="K530" s="321"/>
      <c r="L530" s="321"/>
      <c r="M530" s="321"/>
      <c r="N530" s="321"/>
      <c r="O530" s="321"/>
      <c r="P530" s="321"/>
      <c r="Q530" s="321"/>
      <c r="R530" s="321"/>
      <c r="S530" s="321"/>
      <c r="T530" s="321"/>
      <c r="U530" s="321"/>
      <c r="V530" s="321"/>
      <c r="W530" s="321"/>
      <c r="X530" s="321"/>
      <c r="Y530" s="321"/>
    </row>
    <row r="531" spans="1:25" ht="12.75" x14ac:dyDescent="0.2">
      <c r="A531" s="321"/>
      <c r="B531" s="321"/>
      <c r="C531" s="321"/>
      <c r="D531" s="321"/>
      <c r="E531" s="321"/>
      <c r="F531" s="321"/>
      <c r="G531" s="321"/>
      <c r="H531" s="321"/>
      <c r="I531" s="321"/>
      <c r="J531" s="321"/>
      <c r="K531" s="321"/>
      <c r="L531" s="321"/>
      <c r="M531" s="321"/>
      <c r="N531" s="321"/>
      <c r="O531" s="321"/>
      <c r="P531" s="321"/>
      <c r="Q531" s="321"/>
      <c r="R531" s="321"/>
      <c r="S531" s="321"/>
      <c r="T531" s="321"/>
      <c r="U531" s="321"/>
      <c r="V531" s="321"/>
      <c r="W531" s="321"/>
      <c r="X531" s="321"/>
      <c r="Y531" s="321"/>
    </row>
    <row r="532" spans="1:25" ht="12.75" x14ac:dyDescent="0.2">
      <c r="A532" s="321"/>
      <c r="B532" s="321"/>
      <c r="C532" s="321"/>
      <c r="D532" s="321"/>
      <c r="E532" s="321"/>
      <c r="F532" s="321"/>
      <c r="G532" s="321"/>
      <c r="H532" s="321"/>
      <c r="I532" s="321"/>
      <c r="J532" s="321"/>
      <c r="K532" s="321"/>
      <c r="L532" s="321"/>
      <c r="M532" s="321"/>
      <c r="N532" s="321"/>
      <c r="O532" s="321"/>
      <c r="P532" s="321"/>
      <c r="Q532" s="321"/>
      <c r="R532" s="321"/>
      <c r="S532" s="321"/>
      <c r="T532" s="321"/>
      <c r="U532" s="321"/>
      <c r="V532" s="321"/>
      <c r="W532" s="321"/>
      <c r="X532" s="321"/>
      <c r="Y532" s="321"/>
    </row>
    <row r="533" spans="1:25" ht="12.75" x14ac:dyDescent="0.2">
      <c r="A533" s="321"/>
      <c r="B533" s="321"/>
      <c r="C533" s="321"/>
      <c r="D533" s="321"/>
      <c r="E533" s="321"/>
      <c r="F533" s="321"/>
      <c r="G533" s="321"/>
      <c r="H533" s="321"/>
      <c r="I533" s="321"/>
      <c r="J533" s="321"/>
      <c r="K533" s="321"/>
      <c r="L533" s="321"/>
      <c r="M533" s="321"/>
      <c r="N533" s="321"/>
      <c r="O533" s="321"/>
      <c r="P533" s="321"/>
      <c r="Q533" s="321"/>
      <c r="R533" s="321"/>
      <c r="S533" s="321"/>
      <c r="T533" s="321"/>
      <c r="U533" s="321"/>
      <c r="V533" s="321"/>
      <c r="W533" s="321"/>
      <c r="X533" s="321"/>
      <c r="Y533" s="321"/>
    </row>
    <row r="534" spans="1:25" ht="12.75" x14ac:dyDescent="0.2">
      <c r="A534" s="321"/>
      <c r="B534" s="321"/>
      <c r="C534" s="321"/>
      <c r="D534" s="321"/>
      <c r="E534" s="321"/>
      <c r="F534" s="321"/>
      <c r="G534" s="321"/>
      <c r="H534" s="321"/>
      <c r="I534" s="321"/>
      <c r="J534" s="321"/>
      <c r="K534" s="321"/>
      <c r="L534" s="321"/>
      <c r="M534" s="321"/>
      <c r="N534" s="321"/>
      <c r="O534" s="321"/>
      <c r="P534" s="321"/>
      <c r="Q534" s="321"/>
      <c r="R534" s="321"/>
      <c r="S534" s="321"/>
      <c r="T534" s="321"/>
      <c r="U534" s="321"/>
      <c r="V534" s="321"/>
      <c r="W534" s="321"/>
      <c r="X534" s="321"/>
      <c r="Y534" s="321"/>
    </row>
    <row r="535" spans="1:25" ht="12.75" x14ac:dyDescent="0.2">
      <c r="A535" s="321"/>
      <c r="B535" s="321"/>
      <c r="C535" s="321"/>
      <c r="D535" s="321"/>
      <c r="E535" s="321"/>
      <c r="F535" s="321"/>
      <c r="G535" s="321"/>
      <c r="H535" s="321"/>
      <c r="I535" s="321"/>
      <c r="J535" s="321"/>
      <c r="K535" s="321"/>
      <c r="L535" s="321"/>
      <c r="M535" s="321"/>
      <c r="N535" s="321"/>
      <c r="O535" s="321"/>
      <c r="P535" s="321"/>
      <c r="Q535" s="321"/>
      <c r="R535" s="321"/>
      <c r="S535" s="321"/>
      <c r="T535" s="321"/>
      <c r="U535" s="321"/>
      <c r="V535" s="321"/>
      <c r="W535" s="321"/>
      <c r="X535" s="321"/>
      <c r="Y535" s="321"/>
    </row>
    <row r="536" spans="1:25" ht="12.75" x14ac:dyDescent="0.2">
      <c r="A536" s="321"/>
      <c r="B536" s="321"/>
      <c r="C536" s="321"/>
      <c r="D536" s="321"/>
      <c r="E536" s="321"/>
      <c r="F536" s="321"/>
      <c r="G536" s="321"/>
      <c r="H536" s="321"/>
      <c r="I536" s="321"/>
      <c r="J536" s="321"/>
      <c r="K536" s="321"/>
      <c r="L536" s="321"/>
      <c r="M536" s="321"/>
      <c r="N536" s="321"/>
      <c r="O536" s="321"/>
      <c r="P536" s="321"/>
      <c r="Q536" s="321"/>
      <c r="R536" s="321"/>
      <c r="S536" s="321"/>
      <c r="T536" s="321"/>
      <c r="U536" s="321"/>
      <c r="V536" s="321"/>
      <c r="W536" s="321"/>
      <c r="X536" s="321"/>
      <c r="Y536" s="321"/>
    </row>
    <row r="537" spans="1:25" ht="12.75" x14ac:dyDescent="0.2">
      <c r="A537" s="321"/>
      <c r="B537" s="321"/>
      <c r="C537" s="321"/>
      <c r="D537" s="321"/>
      <c r="E537" s="321"/>
      <c r="F537" s="321"/>
      <c r="G537" s="321"/>
      <c r="H537" s="321"/>
      <c r="I537" s="321"/>
      <c r="J537" s="321"/>
      <c r="K537" s="321"/>
      <c r="L537" s="321"/>
      <c r="M537" s="321"/>
      <c r="N537" s="321"/>
      <c r="O537" s="321"/>
      <c r="P537" s="321"/>
      <c r="Q537" s="321"/>
      <c r="R537" s="321"/>
      <c r="S537" s="321"/>
      <c r="T537" s="321"/>
      <c r="U537" s="321"/>
      <c r="V537" s="321"/>
      <c r="W537" s="321"/>
      <c r="X537" s="321"/>
      <c r="Y537" s="321"/>
    </row>
    <row r="538" spans="1:25" ht="12.75" x14ac:dyDescent="0.2">
      <c r="A538" s="321"/>
      <c r="B538" s="321"/>
      <c r="C538" s="321"/>
      <c r="D538" s="321"/>
      <c r="E538" s="321"/>
      <c r="F538" s="321"/>
      <c r="G538" s="321"/>
      <c r="H538" s="321"/>
      <c r="I538" s="321"/>
      <c r="J538" s="321"/>
      <c r="K538" s="321"/>
      <c r="L538" s="321"/>
      <c r="M538" s="321"/>
      <c r="N538" s="321"/>
      <c r="O538" s="321"/>
      <c r="P538" s="321"/>
      <c r="Q538" s="321"/>
      <c r="R538" s="321"/>
      <c r="S538" s="321"/>
      <c r="T538" s="321"/>
      <c r="U538" s="321"/>
      <c r="V538" s="321"/>
      <c r="W538" s="321"/>
      <c r="X538" s="321"/>
      <c r="Y538" s="321"/>
    </row>
    <row r="539" spans="1:25" ht="12.75" x14ac:dyDescent="0.2">
      <c r="A539" s="321"/>
      <c r="B539" s="321"/>
      <c r="C539" s="321"/>
      <c r="D539" s="321"/>
      <c r="E539" s="321"/>
      <c r="F539" s="321"/>
      <c r="G539" s="321"/>
      <c r="H539" s="321"/>
      <c r="I539" s="321"/>
      <c r="J539" s="321"/>
      <c r="K539" s="321"/>
      <c r="L539" s="321"/>
      <c r="M539" s="321"/>
      <c r="N539" s="321"/>
      <c r="O539" s="321"/>
      <c r="P539" s="321"/>
      <c r="Q539" s="321"/>
      <c r="R539" s="321"/>
      <c r="S539" s="321"/>
      <c r="T539" s="321"/>
      <c r="U539" s="321"/>
      <c r="V539" s="321"/>
      <c r="W539" s="321"/>
      <c r="X539" s="321"/>
      <c r="Y539" s="321"/>
    </row>
    <row r="540" spans="1:25" ht="12.75" x14ac:dyDescent="0.2">
      <c r="A540" s="321"/>
      <c r="B540" s="321"/>
      <c r="C540" s="321"/>
      <c r="D540" s="321"/>
      <c r="E540" s="321"/>
      <c r="F540" s="321"/>
      <c r="G540" s="321"/>
      <c r="H540" s="321"/>
      <c r="I540" s="321"/>
      <c r="J540" s="321"/>
      <c r="K540" s="321"/>
      <c r="L540" s="321"/>
      <c r="M540" s="321"/>
      <c r="N540" s="321"/>
      <c r="O540" s="321"/>
      <c r="P540" s="321"/>
      <c r="Q540" s="321"/>
      <c r="R540" s="321"/>
      <c r="S540" s="321"/>
      <c r="T540" s="321"/>
      <c r="U540" s="321"/>
      <c r="V540" s="321"/>
      <c r="W540" s="321"/>
      <c r="X540" s="321"/>
      <c r="Y540" s="321"/>
    </row>
    <row r="541" spans="1:25" ht="12.75" x14ac:dyDescent="0.2">
      <c r="A541" s="321"/>
      <c r="B541" s="321"/>
      <c r="C541" s="321"/>
      <c r="D541" s="321"/>
      <c r="E541" s="321"/>
      <c r="F541" s="321"/>
      <c r="G541" s="321"/>
      <c r="H541" s="321"/>
      <c r="I541" s="321"/>
      <c r="J541" s="321"/>
      <c r="K541" s="321"/>
      <c r="L541" s="321"/>
      <c r="M541" s="321"/>
      <c r="N541" s="321"/>
      <c r="O541" s="321"/>
      <c r="P541" s="321"/>
      <c r="Q541" s="321"/>
      <c r="R541" s="321"/>
      <c r="S541" s="321"/>
      <c r="T541" s="321"/>
      <c r="U541" s="321"/>
      <c r="V541" s="321"/>
      <c r="W541" s="321"/>
      <c r="X541" s="321"/>
      <c r="Y541" s="321"/>
    </row>
    <row r="542" spans="1:25" ht="12.75" x14ac:dyDescent="0.2">
      <c r="A542" s="321"/>
      <c r="B542" s="321"/>
      <c r="C542" s="321"/>
      <c r="D542" s="321"/>
      <c r="E542" s="321"/>
      <c r="F542" s="321"/>
      <c r="G542" s="321"/>
      <c r="H542" s="321"/>
      <c r="I542" s="321"/>
      <c r="J542" s="321"/>
      <c r="K542" s="321"/>
      <c r="L542" s="321"/>
      <c r="M542" s="321"/>
      <c r="N542" s="321"/>
      <c r="O542" s="321"/>
      <c r="P542" s="321"/>
      <c r="Q542" s="321"/>
      <c r="R542" s="321"/>
      <c r="S542" s="321"/>
      <c r="T542" s="321"/>
      <c r="U542" s="321"/>
      <c r="V542" s="321"/>
      <c r="W542" s="321"/>
      <c r="X542" s="321"/>
      <c r="Y542" s="321"/>
    </row>
    <row r="543" spans="1:25" ht="12.75" x14ac:dyDescent="0.2">
      <c r="A543" s="321"/>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row>
    <row r="544" spans="1:25" ht="12.75" x14ac:dyDescent="0.2">
      <c r="A544" s="321"/>
      <c r="B544" s="321"/>
      <c r="C544" s="321"/>
      <c r="D544" s="321"/>
      <c r="E544" s="321"/>
      <c r="F544" s="321"/>
      <c r="G544" s="321"/>
      <c r="H544" s="321"/>
      <c r="I544" s="321"/>
      <c r="J544" s="321"/>
      <c r="K544" s="321"/>
      <c r="L544" s="321"/>
      <c r="M544" s="321"/>
      <c r="N544" s="321"/>
      <c r="O544" s="321"/>
      <c r="P544" s="321"/>
      <c r="Q544" s="321"/>
      <c r="R544" s="321"/>
      <c r="S544" s="321"/>
      <c r="T544" s="321"/>
      <c r="U544" s="321"/>
      <c r="V544" s="321"/>
      <c r="W544" s="321"/>
      <c r="X544" s="321"/>
      <c r="Y544" s="321"/>
    </row>
    <row r="545" spans="1:25" ht="12.75" x14ac:dyDescent="0.2">
      <c r="A545" s="321"/>
      <c r="B545" s="321"/>
      <c r="C545" s="321"/>
      <c r="D545" s="321"/>
      <c r="E545" s="321"/>
      <c r="F545" s="321"/>
      <c r="G545" s="321"/>
      <c r="H545" s="321"/>
      <c r="I545" s="321"/>
      <c r="J545" s="321"/>
      <c r="K545" s="321"/>
      <c r="L545" s="321"/>
      <c r="M545" s="321"/>
      <c r="N545" s="321"/>
      <c r="O545" s="321"/>
      <c r="P545" s="321"/>
      <c r="Q545" s="321"/>
      <c r="R545" s="321"/>
      <c r="S545" s="321"/>
      <c r="T545" s="321"/>
      <c r="U545" s="321"/>
      <c r="V545" s="321"/>
      <c r="W545" s="321"/>
      <c r="X545" s="321"/>
      <c r="Y545" s="321"/>
    </row>
    <row r="546" spans="1:25" ht="12.75" x14ac:dyDescent="0.2">
      <c r="A546" s="321"/>
      <c r="B546" s="321"/>
      <c r="C546" s="321"/>
      <c r="D546" s="321"/>
      <c r="E546" s="321"/>
      <c r="F546" s="321"/>
      <c r="G546" s="321"/>
      <c r="H546" s="321"/>
      <c r="I546" s="321"/>
      <c r="J546" s="321"/>
      <c r="K546" s="321"/>
      <c r="L546" s="321"/>
      <c r="M546" s="321"/>
      <c r="N546" s="321"/>
      <c r="O546" s="321"/>
      <c r="P546" s="321"/>
      <c r="Q546" s="321"/>
      <c r="R546" s="321"/>
      <c r="S546" s="321"/>
      <c r="T546" s="321"/>
      <c r="U546" s="321"/>
      <c r="V546" s="321"/>
      <c r="W546" s="321"/>
      <c r="X546" s="321"/>
      <c r="Y546" s="321"/>
    </row>
    <row r="547" spans="1:25" ht="12.75" x14ac:dyDescent="0.2">
      <c r="A547" s="321"/>
      <c r="B547" s="321"/>
      <c r="C547" s="321"/>
      <c r="D547" s="321"/>
      <c r="E547" s="321"/>
      <c r="F547" s="321"/>
      <c r="G547" s="321"/>
      <c r="H547" s="321"/>
      <c r="I547" s="321"/>
      <c r="J547" s="321"/>
      <c r="K547" s="321"/>
      <c r="L547" s="321"/>
      <c r="M547" s="321"/>
      <c r="N547" s="321"/>
      <c r="O547" s="321"/>
      <c r="P547" s="321"/>
      <c r="Q547" s="321"/>
      <c r="R547" s="321"/>
      <c r="S547" s="321"/>
      <c r="T547" s="321"/>
      <c r="U547" s="321"/>
      <c r="V547" s="321"/>
      <c r="W547" s="321"/>
      <c r="X547" s="321"/>
      <c r="Y547" s="321"/>
    </row>
    <row r="548" spans="1:25" ht="12.75" x14ac:dyDescent="0.2">
      <c r="A548" s="321"/>
      <c r="B548" s="321"/>
      <c r="C548" s="321"/>
      <c r="D548" s="321"/>
      <c r="E548" s="321"/>
      <c r="F548" s="321"/>
      <c r="G548" s="321"/>
      <c r="H548" s="321"/>
      <c r="I548" s="321"/>
      <c r="J548" s="321"/>
      <c r="K548" s="321"/>
      <c r="L548" s="321"/>
      <c r="M548" s="321"/>
      <c r="N548" s="321"/>
      <c r="O548" s="321"/>
      <c r="P548" s="321"/>
      <c r="Q548" s="321"/>
      <c r="R548" s="321"/>
      <c r="S548" s="321"/>
      <c r="T548" s="321"/>
      <c r="U548" s="321"/>
      <c r="V548" s="321"/>
      <c r="W548" s="321"/>
      <c r="X548" s="321"/>
      <c r="Y548" s="321"/>
    </row>
    <row r="549" spans="1:25" ht="12.75" x14ac:dyDescent="0.2">
      <c r="A549" s="321"/>
      <c r="B549" s="321"/>
      <c r="C549" s="321"/>
      <c r="D549" s="321"/>
      <c r="E549" s="321"/>
      <c r="F549" s="321"/>
      <c r="G549" s="321"/>
      <c r="H549" s="321"/>
      <c r="I549" s="321"/>
      <c r="J549" s="321"/>
      <c r="K549" s="321"/>
      <c r="L549" s="321"/>
      <c r="M549" s="321"/>
      <c r="N549" s="321"/>
      <c r="O549" s="321"/>
      <c r="P549" s="321"/>
      <c r="Q549" s="321"/>
      <c r="R549" s="321"/>
      <c r="S549" s="321"/>
      <c r="T549" s="321"/>
      <c r="U549" s="321"/>
      <c r="V549" s="321"/>
      <c r="W549" s="321"/>
      <c r="X549" s="321"/>
      <c r="Y549" s="321"/>
    </row>
    <row r="550" spans="1:25" ht="12.75" x14ac:dyDescent="0.2">
      <c r="A550" s="321"/>
      <c r="B550" s="321"/>
      <c r="C550" s="321"/>
      <c r="D550" s="321"/>
      <c r="E550" s="321"/>
      <c r="F550" s="321"/>
      <c r="G550" s="321"/>
      <c r="H550" s="321"/>
      <c r="I550" s="321"/>
      <c r="J550" s="321"/>
      <c r="K550" s="321"/>
      <c r="L550" s="321"/>
      <c r="M550" s="321"/>
      <c r="N550" s="321"/>
      <c r="O550" s="321"/>
      <c r="P550" s="321"/>
      <c r="Q550" s="321"/>
      <c r="R550" s="321"/>
      <c r="S550" s="321"/>
      <c r="T550" s="321"/>
      <c r="U550" s="321"/>
      <c r="V550" s="321"/>
      <c r="W550" s="321"/>
      <c r="X550" s="321"/>
      <c r="Y550" s="321"/>
    </row>
    <row r="551" spans="1:25" ht="12.75" x14ac:dyDescent="0.2">
      <c r="A551" s="321"/>
      <c r="B551" s="321"/>
      <c r="C551" s="321"/>
      <c r="D551" s="321"/>
      <c r="E551" s="321"/>
      <c r="F551" s="321"/>
      <c r="G551" s="321"/>
      <c r="H551" s="321"/>
      <c r="I551" s="321"/>
      <c r="J551" s="321"/>
      <c r="K551" s="321"/>
      <c r="L551" s="321"/>
      <c r="M551" s="321"/>
      <c r="N551" s="321"/>
      <c r="O551" s="321"/>
      <c r="P551" s="321"/>
      <c r="Q551" s="321"/>
      <c r="R551" s="321"/>
      <c r="S551" s="321"/>
      <c r="T551" s="321"/>
      <c r="U551" s="321"/>
      <c r="V551" s="321"/>
      <c r="W551" s="321"/>
      <c r="X551" s="321"/>
      <c r="Y551" s="321"/>
    </row>
    <row r="552" spans="1:25" ht="12.75" x14ac:dyDescent="0.2">
      <c r="A552" s="321"/>
      <c r="B552" s="321"/>
      <c r="C552" s="321"/>
      <c r="D552" s="321"/>
      <c r="E552" s="321"/>
      <c r="F552" s="321"/>
      <c r="G552" s="321"/>
      <c r="H552" s="321"/>
      <c r="I552" s="321"/>
      <c r="J552" s="321"/>
      <c r="K552" s="321"/>
      <c r="L552" s="321"/>
      <c r="M552" s="321"/>
      <c r="N552" s="321"/>
      <c r="O552" s="321"/>
      <c r="P552" s="321"/>
      <c r="Q552" s="321"/>
      <c r="R552" s="321"/>
      <c r="S552" s="321"/>
      <c r="T552" s="321"/>
      <c r="U552" s="321"/>
      <c r="V552" s="321"/>
      <c r="W552" s="321"/>
      <c r="X552" s="321"/>
      <c r="Y552" s="321"/>
    </row>
    <row r="553" spans="1:25" ht="12.75" x14ac:dyDescent="0.2">
      <c r="A553" s="321"/>
      <c r="B553" s="321"/>
      <c r="C553" s="321"/>
      <c r="D553" s="321"/>
      <c r="E553" s="321"/>
      <c r="F553" s="321"/>
      <c r="G553" s="321"/>
      <c r="H553" s="321"/>
      <c r="I553" s="321"/>
      <c r="J553" s="321"/>
      <c r="K553" s="321"/>
      <c r="L553" s="321"/>
      <c r="M553" s="321"/>
      <c r="N553" s="321"/>
      <c r="O553" s="321"/>
      <c r="P553" s="321"/>
      <c r="Q553" s="321"/>
      <c r="R553" s="321"/>
      <c r="S553" s="321"/>
      <c r="T553" s="321"/>
      <c r="U553" s="321"/>
      <c r="V553" s="321"/>
      <c r="W553" s="321"/>
      <c r="X553" s="321"/>
      <c r="Y553" s="321"/>
    </row>
    <row r="554" spans="1:25" ht="12.75" x14ac:dyDescent="0.2">
      <c r="A554" s="321"/>
      <c r="B554" s="321"/>
      <c r="C554" s="321"/>
      <c r="D554" s="321"/>
      <c r="E554" s="321"/>
      <c r="F554" s="321"/>
      <c r="G554" s="321"/>
      <c r="H554" s="321"/>
      <c r="I554" s="321"/>
      <c r="J554" s="321"/>
      <c r="K554" s="321"/>
      <c r="L554" s="321"/>
      <c r="M554" s="321"/>
      <c r="N554" s="321"/>
      <c r="O554" s="321"/>
      <c r="P554" s="321"/>
      <c r="Q554" s="321"/>
      <c r="R554" s="321"/>
      <c r="S554" s="321"/>
      <c r="T554" s="321"/>
      <c r="U554" s="321"/>
      <c r="V554" s="321"/>
      <c r="W554" s="321"/>
      <c r="X554" s="321"/>
      <c r="Y554" s="321"/>
    </row>
    <row r="555" spans="1:25" ht="12.75" x14ac:dyDescent="0.2">
      <c r="A555" s="321"/>
      <c r="B555" s="321"/>
      <c r="C555" s="321"/>
      <c r="D555" s="321"/>
      <c r="E555" s="321"/>
      <c r="F555" s="321"/>
      <c r="G555" s="321"/>
      <c r="H555" s="321"/>
      <c r="I555" s="321"/>
      <c r="J555" s="321"/>
      <c r="K555" s="321"/>
      <c r="L555" s="321"/>
      <c r="M555" s="321"/>
      <c r="N555" s="321"/>
      <c r="O555" s="321"/>
      <c r="P555" s="321"/>
      <c r="Q555" s="321"/>
      <c r="R555" s="321"/>
      <c r="S555" s="321"/>
      <c r="T555" s="321"/>
      <c r="U555" s="321"/>
      <c r="V555" s="321"/>
      <c r="W555" s="321"/>
      <c r="X555" s="321"/>
      <c r="Y555" s="321"/>
    </row>
    <row r="556" spans="1:25" ht="12.75" x14ac:dyDescent="0.2">
      <c r="A556" s="321"/>
      <c r="B556" s="321"/>
      <c r="C556" s="321"/>
      <c r="D556" s="321"/>
      <c r="E556" s="321"/>
      <c r="F556" s="321"/>
      <c r="G556" s="321"/>
      <c r="H556" s="321"/>
      <c r="I556" s="321"/>
      <c r="J556" s="321"/>
      <c r="K556" s="321"/>
      <c r="L556" s="321"/>
      <c r="M556" s="321"/>
      <c r="N556" s="321"/>
      <c r="O556" s="321"/>
      <c r="P556" s="321"/>
      <c r="Q556" s="321"/>
      <c r="R556" s="321"/>
      <c r="S556" s="321"/>
      <c r="T556" s="321"/>
      <c r="U556" s="321"/>
      <c r="V556" s="321"/>
      <c r="W556" s="321"/>
      <c r="X556" s="321"/>
      <c r="Y556" s="321"/>
    </row>
    <row r="557" spans="1:25" ht="12.75" x14ac:dyDescent="0.2">
      <c r="A557" s="321"/>
      <c r="B557" s="321"/>
      <c r="C557" s="321"/>
      <c r="D557" s="321"/>
      <c r="E557" s="321"/>
      <c r="F557" s="321"/>
      <c r="G557" s="321"/>
      <c r="H557" s="321"/>
      <c r="I557" s="321"/>
      <c r="J557" s="321"/>
      <c r="K557" s="321"/>
      <c r="L557" s="321"/>
      <c r="M557" s="321"/>
      <c r="N557" s="321"/>
      <c r="O557" s="321"/>
      <c r="P557" s="321"/>
      <c r="Q557" s="321"/>
      <c r="R557" s="321"/>
      <c r="S557" s="321"/>
      <c r="T557" s="321"/>
      <c r="U557" s="321"/>
      <c r="V557" s="321"/>
      <c r="W557" s="321"/>
      <c r="X557" s="321"/>
      <c r="Y557" s="321"/>
    </row>
    <row r="558" spans="1:25" ht="12.75" x14ac:dyDescent="0.2">
      <c r="A558" s="321"/>
      <c r="B558" s="321"/>
      <c r="C558" s="321"/>
      <c r="D558" s="321"/>
      <c r="E558" s="321"/>
      <c r="F558" s="321"/>
      <c r="G558" s="321"/>
      <c r="H558" s="321"/>
      <c r="I558" s="321"/>
      <c r="J558" s="321"/>
      <c r="K558" s="321"/>
      <c r="L558" s="321"/>
      <c r="M558" s="321"/>
      <c r="N558" s="321"/>
      <c r="O558" s="321"/>
      <c r="P558" s="321"/>
      <c r="Q558" s="321"/>
      <c r="R558" s="321"/>
      <c r="S558" s="321"/>
      <c r="T558" s="321"/>
      <c r="U558" s="321"/>
      <c r="V558" s="321"/>
      <c r="W558" s="321"/>
      <c r="X558" s="321"/>
      <c r="Y558" s="321"/>
    </row>
    <row r="559" spans="1:25" ht="12.75" x14ac:dyDescent="0.2">
      <c r="A559" s="321"/>
      <c r="B559" s="321"/>
      <c r="C559" s="321"/>
      <c r="D559" s="321"/>
      <c r="E559" s="321"/>
      <c r="F559" s="321"/>
      <c r="G559" s="321"/>
      <c r="H559" s="321"/>
      <c r="I559" s="321"/>
      <c r="J559" s="321"/>
      <c r="K559" s="321"/>
      <c r="L559" s="321"/>
      <c r="M559" s="321"/>
      <c r="N559" s="321"/>
      <c r="O559" s="321"/>
      <c r="P559" s="321"/>
      <c r="Q559" s="321"/>
      <c r="R559" s="321"/>
      <c r="S559" s="321"/>
      <c r="T559" s="321"/>
      <c r="U559" s="321"/>
      <c r="V559" s="321"/>
      <c r="W559" s="321"/>
      <c r="X559" s="321"/>
      <c r="Y559" s="321"/>
    </row>
    <row r="560" spans="1:25" ht="12.75" x14ac:dyDescent="0.2">
      <c r="A560" s="321"/>
      <c r="B560" s="321"/>
      <c r="C560" s="321"/>
      <c r="D560" s="321"/>
      <c r="E560" s="321"/>
      <c r="F560" s="321"/>
      <c r="G560" s="321"/>
      <c r="H560" s="321"/>
      <c r="I560" s="321"/>
      <c r="J560" s="321"/>
      <c r="K560" s="321"/>
      <c r="L560" s="321"/>
      <c r="M560" s="321"/>
      <c r="N560" s="321"/>
      <c r="O560" s="321"/>
      <c r="P560" s="321"/>
      <c r="Q560" s="321"/>
      <c r="R560" s="321"/>
      <c r="S560" s="321"/>
      <c r="T560" s="321"/>
      <c r="U560" s="321"/>
      <c r="V560" s="321"/>
      <c r="W560" s="321"/>
      <c r="X560" s="321"/>
      <c r="Y560" s="321"/>
    </row>
    <row r="561" spans="1:25" ht="12.75" x14ac:dyDescent="0.2">
      <c r="A561" s="321"/>
      <c r="B561" s="321"/>
      <c r="C561" s="321"/>
      <c r="D561" s="321"/>
      <c r="E561" s="321"/>
      <c r="F561" s="321"/>
      <c r="G561" s="321"/>
      <c r="H561" s="321"/>
      <c r="I561" s="321"/>
      <c r="J561" s="321"/>
      <c r="K561" s="321"/>
      <c r="L561" s="321"/>
      <c r="M561" s="321"/>
      <c r="N561" s="321"/>
      <c r="O561" s="321"/>
      <c r="P561" s="321"/>
      <c r="Q561" s="321"/>
      <c r="R561" s="321"/>
      <c r="S561" s="321"/>
      <c r="T561" s="321"/>
      <c r="U561" s="321"/>
      <c r="V561" s="321"/>
      <c r="W561" s="321"/>
      <c r="X561" s="321"/>
      <c r="Y561" s="321"/>
    </row>
    <row r="562" spans="1:25" ht="12.75" x14ac:dyDescent="0.2">
      <c r="A562" s="321"/>
      <c r="B562" s="321"/>
      <c r="C562" s="321"/>
      <c r="D562" s="321"/>
      <c r="E562" s="321"/>
      <c r="F562" s="321"/>
      <c r="G562" s="321"/>
      <c r="H562" s="321"/>
      <c r="I562" s="321"/>
      <c r="J562" s="321"/>
      <c r="K562" s="321"/>
      <c r="L562" s="321"/>
      <c r="M562" s="321"/>
      <c r="N562" s="321"/>
      <c r="O562" s="321"/>
      <c r="P562" s="321"/>
      <c r="Q562" s="321"/>
      <c r="R562" s="321"/>
      <c r="S562" s="321"/>
      <c r="T562" s="321"/>
      <c r="U562" s="321"/>
      <c r="V562" s="321"/>
      <c r="W562" s="321"/>
      <c r="X562" s="321"/>
      <c r="Y562" s="321"/>
    </row>
    <row r="563" spans="1:25" ht="12.75" x14ac:dyDescent="0.2">
      <c r="A563" s="321"/>
      <c r="B563" s="321"/>
      <c r="C563" s="321"/>
      <c r="D563" s="321"/>
      <c r="E563" s="321"/>
      <c r="F563" s="321"/>
      <c r="G563" s="321"/>
      <c r="H563" s="321"/>
      <c r="I563" s="321"/>
      <c r="J563" s="321"/>
      <c r="K563" s="321"/>
      <c r="L563" s="321"/>
      <c r="M563" s="321"/>
      <c r="N563" s="321"/>
      <c r="O563" s="321"/>
      <c r="P563" s="321"/>
      <c r="Q563" s="321"/>
      <c r="R563" s="321"/>
      <c r="S563" s="321"/>
      <c r="T563" s="321"/>
      <c r="U563" s="321"/>
      <c r="V563" s="321"/>
      <c r="W563" s="321"/>
      <c r="X563" s="321"/>
      <c r="Y563" s="321"/>
    </row>
    <row r="564" spans="1:25" ht="12.75" x14ac:dyDescent="0.2">
      <c r="A564" s="321"/>
      <c r="B564" s="321"/>
      <c r="C564" s="321"/>
      <c r="D564" s="321"/>
      <c r="E564" s="321"/>
      <c r="F564" s="321"/>
      <c r="G564" s="321"/>
      <c r="H564" s="321"/>
      <c r="I564" s="321"/>
      <c r="J564" s="321"/>
      <c r="K564" s="321"/>
      <c r="L564" s="321"/>
      <c r="M564" s="321"/>
      <c r="N564" s="321"/>
      <c r="O564" s="321"/>
      <c r="P564" s="321"/>
      <c r="Q564" s="321"/>
      <c r="R564" s="321"/>
      <c r="S564" s="321"/>
      <c r="T564" s="321"/>
      <c r="U564" s="321"/>
      <c r="V564" s="321"/>
      <c r="W564" s="321"/>
      <c r="X564" s="321"/>
      <c r="Y564" s="321"/>
    </row>
    <row r="565" spans="1:25" ht="12.75" x14ac:dyDescent="0.2">
      <c r="A565" s="321"/>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row>
    <row r="566" spans="1:25" ht="12.75" x14ac:dyDescent="0.2">
      <c r="A566" s="321"/>
      <c r="B566" s="321"/>
      <c r="C566" s="321"/>
      <c r="D566" s="321"/>
      <c r="E566" s="321"/>
      <c r="F566" s="321"/>
      <c r="G566" s="321"/>
      <c r="H566" s="321"/>
      <c r="I566" s="321"/>
      <c r="J566" s="321"/>
      <c r="K566" s="321"/>
      <c r="L566" s="321"/>
      <c r="M566" s="321"/>
      <c r="N566" s="321"/>
      <c r="O566" s="321"/>
      <c r="P566" s="321"/>
      <c r="Q566" s="321"/>
      <c r="R566" s="321"/>
      <c r="S566" s="321"/>
      <c r="T566" s="321"/>
      <c r="U566" s="321"/>
      <c r="V566" s="321"/>
      <c r="W566" s="321"/>
      <c r="X566" s="321"/>
      <c r="Y566" s="321"/>
    </row>
    <row r="567" spans="1:25" ht="12.75" x14ac:dyDescent="0.2">
      <c r="A567" s="321"/>
      <c r="B567" s="321"/>
      <c r="C567" s="321"/>
      <c r="D567" s="321"/>
      <c r="E567" s="321"/>
      <c r="F567" s="321"/>
      <c r="G567" s="321"/>
      <c r="H567" s="321"/>
      <c r="I567" s="321"/>
      <c r="J567" s="321"/>
      <c r="K567" s="321"/>
      <c r="L567" s="321"/>
      <c r="M567" s="321"/>
      <c r="N567" s="321"/>
      <c r="O567" s="321"/>
      <c r="P567" s="321"/>
      <c r="Q567" s="321"/>
      <c r="R567" s="321"/>
      <c r="S567" s="321"/>
      <c r="T567" s="321"/>
      <c r="U567" s="321"/>
      <c r="V567" s="321"/>
      <c r="W567" s="321"/>
      <c r="X567" s="321"/>
      <c r="Y567" s="321"/>
    </row>
    <row r="568" spans="1:25" ht="12.75" x14ac:dyDescent="0.2">
      <c r="A568" s="321"/>
      <c r="B568" s="321"/>
      <c r="C568" s="321"/>
      <c r="D568" s="321"/>
      <c r="E568" s="321"/>
      <c r="F568" s="321"/>
      <c r="G568" s="321"/>
      <c r="H568" s="321"/>
      <c r="I568" s="321"/>
      <c r="J568" s="321"/>
      <c r="K568" s="321"/>
      <c r="L568" s="321"/>
      <c r="M568" s="321"/>
      <c r="N568" s="321"/>
      <c r="O568" s="321"/>
      <c r="P568" s="321"/>
      <c r="Q568" s="321"/>
      <c r="R568" s="321"/>
      <c r="S568" s="321"/>
      <c r="T568" s="321"/>
      <c r="U568" s="321"/>
      <c r="V568" s="321"/>
      <c r="W568" s="321"/>
      <c r="X568" s="321"/>
      <c r="Y568" s="321"/>
    </row>
    <row r="569" spans="1:25" ht="12.75" x14ac:dyDescent="0.2">
      <c r="A569" s="321"/>
      <c r="B569" s="321"/>
      <c r="C569" s="321"/>
      <c r="D569" s="321"/>
      <c r="E569" s="321"/>
      <c r="F569" s="321"/>
      <c r="G569" s="321"/>
      <c r="H569" s="321"/>
      <c r="I569" s="321"/>
      <c r="J569" s="321"/>
      <c r="K569" s="321"/>
      <c r="L569" s="321"/>
      <c r="M569" s="321"/>
      <c r="N569" s="321"/>
      <c r="O569" s="321"/>
      <c r="P569" s="321"/>
      <c r="Q569" s="321"/>
      <c r="R569" s="321"/>
      <c r="S569" s="321"/>
      <c r="T569" s="321"/>
      <c r="U569" s="321"/>
      <c r="V569" s="321"/>
      <c r="W569" s="321"/>
      <c r="X569" s="321"/>
      <c r="Y569" s="321"/>
    </row>
    <row r="570" spans="1:25" ht="12.75" x14ac:dyDescent="0.2">
      <c r="A570" s="321"/>
      <c r="B570" s="321"/>
      <c r="C570" s="321"/>
      <c r="D570" s="321"/>
      <c r="E570" s="321"/>
      <c r="F570" s="321"/>
      <c r="G570" s="321"/>
      <c r="H570" s="321"/>
      <c r="I570" s="321"/>
      <c r="J570" s="321"/>
      <c r="K570" s="321"/>
      <c r="L570" s="321"/>
      <c r="M570" s="321"/>
      <c r="N570" s="321"/>
      <c r="O570" s="321"/>
      <c r="P570" s="321"/>
      <c r="Q570" s="321"/>
      <c r="R570" s="321"/>
      <c r="S570" s="321"/>
      <c r="T570" s="321"/>
      <c r="U570" s="321"/>
      <c r="V570" s="321"/>
      <c r="W570" s="321"/>
      <c r="X570" s="321"/>
      <c r="Y570" s="321"/>
    </row>
    <row r="571" spans="1:25" ht="12.75" x14ac:dyDescent="0.2">
      <c r="A571" s="321"/>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row>
    <row r="572" spans="1:25" ht="12.75" x14ac:dyDescent="0.2">
      <c r="A572" s="321"/>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row>
    <row r="573" spans="1:25" ht="12.75" x14ac:dyDescent="0.2">
      <c r="A573" s="321"/>
      <c r="B573" s="321"/>
      <c r="C573" s="321"/>
      <c r="D573" s="321"/>
      <c r="E573" s="321"/>
      <c r="F573" s="321"/>
      <c r="G573" s="321"/>
      <c r="H573" s="321"/>
      <c r="I573" s="321"/>
      <c r="J573" s="321"/>
      <c r="K573" s="321"/>
      <c r="L573" s="321"/>
      <c r="M573" s="321"/>
      <c r="N573" s="321"/>
      <c r="O573" s="321"/>
      <c r="P573" s="321"/>
      <c r="Q573" s="321"/>
      <c r="R573" s="321"/>
      <c r="S573" s="321"/>
      <c r="T573" s="321"/>
      <c r="U573" s="321"/>
      <c r="V573" s="321"/>
      <c r="W573" s="321"/>
      <c r="X573" s="321"/>
      <c r="Y573" s="321"/>
    </row>
    <row r="574" spans="1:25" ht="12.75" x14ac:dyDescent="0.2">
      <c r="A574" s="321"/>
      <c r="B574" s="321"/>
      <c r="C574" s="321"/>
      <c r="D574" s="321"/>
      <c r="E574" s="321"/>
      <c r="F574" s="321"/>
      <c r="G574" s="321"/>
      <c r="H574" s="321"/>
      <c r="I574" s="321"/>
      <c r="J574" s="321"/>
      <c r="K574" s="321"/>
      <c r="L574" s="321"/>
      <c r="M574" s="321"/>
      <c r="N574" s="321"/>
      <c r="O574" s="321"/>
      <c r="P574" s="321"/>
      <c r="Q574" s="321"/>
      <c r="R574" s="321"/>
      <c r="S574" s="321"/>
      <c r="T574" s="321"/>
      <c r="U574" s="321"/>
      <c r="V574" s="321"/>
      <c r="W574" s="321"/>
      <c r="X574" s="321"/>
      <c r="Y574" s="321"/>
    </row>
    <row r="575" spans="1:25" ht="12.75" x14ac:dyDescent="0.2">
      <c r="A575" s="321"/>
      <c r="B575" s="321"/>
      <c r="C575" s="321"/>
      <c r="D575" s="321"/>
      <c r="E575" s="321"/>
      <c r="F575" s="321"/>
      <c r="G575" s="321"/>
      <c r="H575" s="321"/>
      <c r="I575" s="321"/>
      <c r="J575" s="321"/>
      <c r="K575" s="321"/>
      <c r="L575" s="321"/>
      <c r="M575" s="321"/>
      <c r="N575" s="321"/>
      <c r="O575" s="321"/>
      <c r="P575" s="321"/>
      <c r="Q575" s="321"/>
      <c r="R575" s="321"/>
      <c r="S575" s="321"/>
      <c r="T575" s="321"/>
      <c r="U575" s="321"/>
      <c r="V575" s="321"/>
      <c r="W575" s="321"/>
      <c r="X575" s="321"/>
      <c r="Y575" s="321"/>
    </row>
    <row r="576" spans="1:25" ht="12.75" x14ac:dyDescent="0.2">
      <c r="A576" s="321"/>
      <c r="B576" s="321"/>
      <c r="C576" s="321"/>
      <c r="D576" s="321"/>
      <c r="E576" s="321"/>
      <c r="F576" s="321"/>
      <c r="G576" s="321"/>
      <c r="H576" s="321"/>
      <c r="I576" s="321"/>
      <c r="J576" s="321"/>
      <c r="K576" s="321"/>
      <c r="L576" s="321"/>
      <c r="M576" s="321"/>
      <c r="N576" s="321"/>
      <c r="O576" s="321"/>
      <c r="P576" s="321"/>
      <c r="Q576" s="321"/>
      <c r="R576" s="321"/>
      <c r="S576" s="321"/>
      <c r="T576" s="321"/>
      <c r="U576" s="321"/>
      <c r="V576" s="321"/>
      <c r="W576" s="321"/>
      <c r="X576" s="321"/>
      <c r="Y576" s="321"/>
    </row>
    <row r="577" spans="1:25" ht="12.75" x14ac:dyDescent="0.2">
      <c r="A577" s="321"/>
      <c r="B577" s="321"/>
      <c r="C577" s="321"/>
      <c r="D577" s="321"/>
      <c r="E577" s="321"/>
      <c r="F577" s="321"/>
      <c r="G577" s="321"/>
      <c r="H577" s="321"/>
      <c r="I577" s="321"/>
      <c r="J577" s="321"/>
      <c r="K577" s="321"/>
      <c r="L577" s="321"/>
      <c r="M577" s="321"/>
      <c r="N577" s="321"/>
      <c r="O577" s="321"/>
      <c r="P577" s="321"/>
      <c r="Q577" s="321"/>
      <c r="R577" s="321"/>
      <c r="S577" s="321"/>
      <c r="T577" s="321"/>
      <c r="U577" s="321"/>
      <c r="V577" s="321"/>
      <c r="W577" s="321"/>
      <c r="X577" s="321"/>
      <c r="Y577" s="321"/>
    </row>
    <row r="578" spans="1:25" ht="12.75" x14ac:dyDescent="0.2">
      <c r="A578" s="321"/>
      <c r="B578" s="321"/>
      <c r="C578" s="321"/>
      <c r="D578" s="321"/>
      <c r="E578" s="321"/>
      <c r="F578" s="321"/>
      <c r="G578" s="321"/>
      <c r="H578" s="321"/>
      <c r="I578" s="321"/>
      <c r="J578" s="321"/>
      <c r="K578" s="321"/>
      <c r="L578" s="321"/>
      <c r="M578" s="321"/>
      <c r="N578" s="321"/>
      <c r="O578" s="321"/>
      <c r="P578" s="321"/>
      <c r="Q578" s="321"/>
      <c r="R578" s="321"/>
      <c r="S578" s="321"/>
      <c r="T578" s="321"/>
      <c r="U578" s="321"/>
      <c r="V578" s="321"/>
      <c r="W578" s="321"/>
      <c r="X578" s="321"/>
      <c r="Y578" s="321"/>
    </row>
    <row r="579" spans="1:25" ht="12.75" x14ac:dyDescent="0.2">
      <c r="A579" s="321"/>
      <c r="B579" s="321"/>
      <c r="C579" s="321"/>
      <c r="D579" s="321"/>
      <c r="E579" s="321"/>
      <c r="F579" s="321"/>
      <c r="G579" s="321"/>
      <c r="H579" s="321"/>
      <c r="I579" s="321"/>
      <c r="J579" s="321"/>
      <c r="K579" s="321"/>
      <c r="L579" s="321"/>
      <c r="M579" s="321"/>
      <c r="N579" s="321"/>
      <c r="O579" s="321"/>
      <c r="P579" s="321"/>
      <c r="Q579" s="321"/>
      <c r="R579" s="321"/>
      <c r="S579" s="321"/>
      <c r="T579" s="321"/>
      <c r="U579" s="321"/>
      <c r="V579" s="321"/>
      <c r="W579" s="321"/>
      <c r="X579" s="321"/>
      <c r="Y579" s="321"/>
    </row>
    <row r="580" spans="1:25" ht="12.75" x14ac:dyDescent="0.2">
      <c r="A580" s="321"/>
      <c r="B580" s="321"/>
      <c r="C580" s="321"/>
      <c r="D580" s="321"/>
      <c r="E580" s="321"/>
      <c r="F580" s="321"/>
      <c r="G580" s="321"/>
      <c r="H580" s="321"/>
      <c r="I580" s="321"/>
      <c r="J580" s="321"/>
      <c r="K580" s="321"/>
      <c r="L580" s="321"/>
      <c r="M580" s="321"/>
      <c r="N580" s="321"/>
      <c r="O580" s="321"/>
      <c r="P580" s="321"/>
      <c r="Q580" s="321"/>
      <c r="R580" s="321"/>
      <c r="S580" s="321"/>
      <c r="T580" s="321"/>
      <c r="U580" s="321"/>
      <c r="V580" s="321"/>
      <c r="W580" s="321"/>
      <c r="X580" s="321"/>
      <c r="Y580" s="321"/>
    </row>
    <row r="581" spans="1:25" ht="12.75" x14ac:dyDescent="0.2">
      <c r="A581" s="321"/>
      <c r="B581" s="321"/>
      <c r="C581" s="321"/>
      <c r="D581" s="321"/>
      <c r="E581" s="321"/>
      <c r="F581" s="321"/>
      <c r="G581" s="321"/>
      <c r="H581" s="321"/>
      <c r="I581" s="321"/>
      <c r="J581" s="321"/>
      <c r="K581" s="321"/>
      <c r="L581" s="321"/>
      <c r="M581" s="321"/>
      <c r="N581" s="321"/>
      <c r="O581" s="321"/>
      <c r="P581" s="321"/>
      <c r="Q581" s="321"/>
      <c r="R581" s="321"/>
      <c r="S581" s="321"/>
      <c r="T581" s="321"/>
      <c r="U581" s="321"/>
      <c r="V581" s="321"/>
      <c r="W581" s="321"/>
      <c r="X581" s="321"/>
      <c r="Y581" s="321"/>
    </row>
    <row r="582" spans="1:25" ht="12.75" x14ac:dyDescent="0.2">
      <c r="A582" s="321"/>
      <c r="B582" s="321"/>
      <c r="C582" s="321"/>
      <c r="D582" s="321"/>
      <c r="E582" s="321"/>
      <c r="F582" s="321"/>
      <c r="G582" s="321"/>
      <c r="H582" s="321"/>
      <c r="I582" s="321"/>
      <c r="J582" s="321"/>
      <c r="K582" s="321"/>
      <c r="L582" s="321"/>
      <c r="M582" s="321"/>
      <c r="N582" s="321"/>
      <c r="O582" s="321"/>
      <c r="P582" s="321"/>
      <c r="Q582" s="321"/>
      <c r="R582" s="321"/>
      <c r="S582" s="321"/>
      <c r="T582" s="321"/>
      <c r="U582" s="321"/>
      <c r="V582" s="321"/>
      <c r="W582" s="321"/>
      <c r="X582" s="321"/>
      <c r="Y582" s="321"/>
    </row>
    <row r="583" spans="1:25" ht="12.75" x14ac:dyDescent="0.2">
      <c r="A583" s="321"/>
      <c r="B583" s="321"/>
      <c r="C583" s="321"/>
      <c r="D583" s="321"/>
      <c r="E583" s="321"/>
      <c r="F583" s="321"/>
      <c r="G583" s="321"/>
      <c r="H583" s="321"/>
      <c r="I583" s="321"/>
      <c r="J583" s="321"/>
      <c r="K583" s="321"/>
      <c r="L583" s="321"/>
      <c r="M583" s="321"/>
      <c r="N583" s="321"/>
      <c r="O583" s="321"/>
      <c r="P583" s="321"/>
      <c r="Q583" s="321"/>
      <c r="R583" s="321"/>
      <c r="S583" s="321"/>
      <c r="T583" s="321"/>
      <c r="U583" s="321"/>
      <c r="V583" s="321"/>
      <c r="W583" s="321"/>
      <c r="X583" s="321"/>
      <c r="Y583" s="321"/>
    </row>
    <row r="584" spans="1:25" ht="12.75" x14ac:dyDescent="0.2">
      <c r="A584" s="321"/>
      <c r="B584" s="321"/>
      <c r="C584" s="321"/>
      <c r="D584" s="321"/>
      <c r="E584" s="321"/>
      <c r="F584" s="321"/>
      <c r="G584" s="321"/>
      <c r="H584" s="321"/>
      <c r="I584" s="321"/>
      <c r="J584" s="321"/>
      <c r="K584" s="321"/>
      <c r="L584" s="321"/>
      <c r="M584" s="321"/>
      <c r="N584" s="321"/>
      <c r="O584" s="321"/>
      <c r="P584" s="321"/>
      <c r="Q584" s="321"/>
      <c r="R584" s="321"/>
      <c r="S584" s="321"/>
      <c r="T584" s="321"/>
      <c r="U584" s="321"/>
      <c r="V584" s="321"/>
      <c r="W584" s="321"/>
      <c r="X584" s="321"/>
      <c r="Y584" s="321"/>
    </row>
    <row r="585" spans="1:25" ht="12.75" x14ac:dyDescent="0.2">
      <c r="A585" s="321"/>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row>
    <row r="586" spans="1:25" ht="12.75" x14ac:dyDescent="0.2">
      <c r="A586" s="321"/>
      <c r="B586" s="321"/>
      <c r="C586" s="321"/>
      <c r="D586" s="321"/>
      <c r="E586" s="321"/>
      <c r="F586" s="321"/>
      <c r="G586" s="321"/>
      <c r="H586" s="321"/>
      <c r="I586" s="321"/>
      <c r="J586" s="321"/>
      <c r="K586" s="321"/>
      <c r="L586" s="321"/>
      <c r="M586" s="321"/>
      <c r="N586" s="321"/>
      <c r="O586" s="321"/>
      <c r="P586" s="321"/>
      <c r="Q586" s="321"/>
      <c r="R586" s="321"/>
      <c r="S586" s="321"/>
      <c r="T586" s="321"/>
      <c r="U586" s="321"/>
      <c r="V586" s="321"/>
      <c r="W586" s="321"/>
      <c r="X586" s="321"/>
      <c r="Y586" s="321"/>
    </row>
    <row r="587" spans="1:25" ht="12.75" x14ac:dyDescent="0.2">
      <c r="A587" s="321"/>
      <c r="B587" s="321"/>
      <c r="C587" s="321"/>
      <c r="D587" s="321"/>
      <c r="E587" s="321"/>
      <c r="F587" s="321"/>
      <c r="G587" s="321"/>
      <c r="H587" s="321"/>
      <c r="I587" s="321"/>
      <c r="J587" s="321"/>
      <c r="K587" s="321"/>
      <c r="L587" s="321"/>
      <c r="M587" s="321"/>
      <c r="N587" s="321"/>
      <c r="O587" s="321"/>
      <c r="P587" s="321"/>
      <c r="Q587" s="321"/>
      <c r="R587" s="321"/>
      <c r="S587" s="321"/>
      <c r="T587" s="321"/>
      <c r="U587" s="321"/>
      <c r="V587" s="321"/>
      <c r="W587" s="321"/>
      <c r="X587" s="321"/>
      <c r="Y587" s="321"/>
    </row>
    <row r="588" spans="1:25" ht="12.75" x14ac:dyDescent="0.2">
      <c r="A588" s="321"/>
      <c r="B588" s="321"/>
      <c r="C588" s="321"/>
      <c r="D588" s="321"/>
      <c r="E588" s="321"/>
      <c r="F588" s="321"/>
      <c r="G588" s="321"/>
      <c r="H588" s="321"/>
      <c r="I588" s="321"/>
      <c r="J588" s="321"/>
      <c r="K588" s="321"/>
      <c r="L588" s="321"/>
      <c r="M588" s="321"/>
      <c r="N588" s="321"/>
      <c r="O588" s="321"/>
      <c r="P588" s="321"/>
      <c r="Q588" s="321"/>
      <c r="R588" s="321"/>
      <c r="S588" s="321"/>
      <c r="T588" s="321"/>
      <c r="U588" s="321"/>
      <c r="V588" s="321"/>
      <c r="W588" s="321"/>
      <c r="X588" s="321"/>
      <c r="Y588" s="321"/>
    </row>
    <row r="589" spans="1:25" ht="12.75" x14ac:dyDescent="0.2">
      <c r="A589" s="321"/>
      <c r="B589" s="321"/>
      <c r="C589" s="321"/>
      <c r="D589" s="321"/>
      <c r="E589" s="321"/>
      <c r="F589" s="321"/>
      <c r="G589" s="321"/>
      <c r="H589" s="321"/>
      <c r="I589" s="321"/>
      <c r="J589" s="321"/>
      <c r="K589" s="321"/>
      <c r="L589" s="321"/>
      <c r="M589" s="321"/>
      <c r="N589" s="321"/>
      <c r="O589" s="321"/>
      <c r="P589" s="321"/>
      <c r="Q589" s="321"/>
      <c r="R589" s="321"/>
      <c r="S589" s="321"/>
      <c r="T589" s="321"/>
      <c r="U589" s="321"/>
      <c r="V589" s="321"/>
      <c r="W589" s="321"/>
      <c r="X589" s="321"/>
      <c r="Y589" s="321"/>
    </row>
    <row r="590" spans="1:25" ht="12.75" x14ac:dyDescent="0.2">
      <c r="A590" s="321"/>
      <c r="B590" s="321"/>
      <c r="C590" s="321"/>
      <c r="D590" s="321"/>
      <c r="E590" s="321"/>
      <c r="F590" s="321"/>
      <c r="G590" s="321"/>
      <c r="H590" s="321"/>
      <c r="I590" s="321"/>
      <c r="J590" s="321"/>
      <c r="K590" s="321"/>
      <c r="L590" s="321"/>
      <c r="M590" s="321"/>
      <c r="N590" s="321"/>
      <c r="O590" s="321"/>
      <c r="P590" s="321"/>
      <c r="Q590" s="321"/>
      <c r="R590" s="321"/>
      <c r="S590" s="321"/>
      <c r="T590" s="321"/>
      <c r="U590" s="321"/>
      <c r="V590" s="321"/>
      <c r="W590" s="321"/>
      <c r="X590" s="321"/>
      <c r="Y590" s="321"/>
    </row>
    <row r="591" spans="1:25" ht="12.75" x14ac:dyDescent="0.2">
      <c r="A591" s="321"/>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row>
    <row r="592" spans="1:25" ht="12.75" x14ac:dyDescent="0.2">
      <c r="A592" s="321"/>
      <c r="B592" s="321"/>
      <c r="C592" s="321"/>
      <c r="D592" s="321"/>
      <c r="E592" s="321"/>
      <c r="F592" s="321"/>
      <c r="G592" s="321"/>
      <c r="H592" s="321"/>
      <c r="I592" s="321"/>
      <c r="J592" s="321"/>
      <c r="K592" s="321"/>
      <c r="L592" s="321"/>
      <c r="M592" s="321"/>
      <c r="N592" s="321"/>
      <c r="O592" s="321"/>
      <c r="P592" s="321"/>
      <c r="Q592" s="321"/>
      <c r="R592" s="321"/>
      <c r="S592" s="321"/>
      <c r="T592" s="321"/>
      <c r="U592" s="321"/>
      <c r="V592" s="321"/>
      <c r="W592" s="321"/>
      <c r="X592" s="321"/>
      <c r="Y592" s="321"/>
    </row>
    <row r="593" spans="1:25" ht="12.75" x14ac:dyDescent="0.2">
      <c r="A593" s="321"/>
      <c r="B593" s="321"/>
      <c r="C593" s="321"/>
      <c r="D593" s="321"/>
      <c r="E593" s="321"/>
      <c r="F593" s="321"/>
      <c r="G593" s="321"/>
      <c r="H593" s="321"/>
      <c r="I593" s="321"/>
      <c r="J593" s="321"/>
      <c r="K593" s="321"/>
      <c r="L593" s="321"/>
      <c r="M593" s="321"/>
      <c r="N593" s="321"/>
      <c r="O593" s="321"/>
      <c r="P593" s="321"/>
      <c r="Q593" s="321"/>
      <c r="R593" s="321"/>
      <c r="S593" s="321"/>
      <c r="T593" s="321"/>
      <c r="U593" s="321"/>
      <c r="V593" s="321"/>
      <c r="W593" s="321"/>
      <c r="X593" s="321"/>
      <c r="Y593" s="321"/>
    </row>
    <row r="594" spans="1:25" ht="12.75" x14ac:dyDescent="0.2">
      <c r="A594" s="321"/>
      <c r="B594" s="321"/>
      <c r="C594" s="321"/>
      <c r="D594" s="321"/>
      <c r="E594" s="321"/>
      <c r="F594" s="321"/>
      <c r="G594" s="321"/>
      <c r="H594" s="321"/>
      <c r="I594" s="321"/>
      <c r="J594" s="321"/>
      <c r="K594" s="321"/>
      <c r="L594" s="321"/>
      <c r="M594" s="321"/>
      <c r="N594" s="321"/>
      <c r="O594" s="321"/>
      <c r="P594" s="321"/>
      <c r="Q594" s="321"/>
      <c r="R594" s="321"/>
      <c r="S594" s="321"/>
      <c r="T594" s="321"/>
      <c r="U594" s="321"/>
      <c r="V594" s="321"/>
      <c r="W594" s="321"/>
      <c r="X594" s="321"/>
      <c r="Y594" s="321"/>
    </row>
    <row r="595" spans="1:25" ht="12.75" x14ac:dyDescent="0.2">
      <c r="A595" s="321"/>
      <c r="B595" s="321"/>
      <c r="C595" s="321"/>
      <c r="D595" s="321"/>
      <c r="E595" s="321"/>
      <c r="F595" s="321"/>
      <c r="G595" s="321"/>
      <c r="H595" s="321"/>
      <c r="I595" s="321"/>
      <c r="J595" s="321"/>
      <c r="K595" s="321"/>
      <c r="L595" s="321"/>
      <c r="M595" s="321"/>
      <c r="N595" s="321"/>
      <c r="O595" s="321"/>
      <c r="P595" s="321"/>
      <c r="Q595" s="321"/>
      <c r="R595" s="321"/>
      <c r="S595" s="321"/>
      <c r="T595" s="321"/>
      <c r="U595" s="321"/>
      <c r="V595" s="321"/>
      <c r="W595" s="321"/>
      <c r="X595" s="321"/>
      <c r="Y595" s="321"/>
    </row>
    <row r="596" spans="1:25" ht="12.75" x14ac:dyDescent="0.2">
      <c r="A596" s="321"/>
      <c r="B596" s="321"/>
      <c r="C596" s="321"/>
      <c r="D596" s="321"/>
      <c r="E596" s="321"/>
      <c r="F596" s="321"/>
      <c r="G596" s="321"/>
      <c r="H596" s="321"/>
      <c r="I596" s="321"/>
      <c r="J596" s="321"/>
      <c r="K596" s="321"/>
      <c r="L596" s="321"/>
      <c r="M596" s="321"/>
      <c r="N596" s="321"/>
      <c r="O596" s="321"/>
      <c r="P596" s="321"/>
      <c r="Q596" s="321"/>
      <c r="R596" s="321"/>
      <c r="S596" s="321"/>
      <c r="T596" s="321"/>
      <c r="U596" s="321"/>
      <c r="V596" s="321"/>
      <c r="W596" s="321"/>
      <c r="X596" s="321"/>
      <c r="Y596" s="321"/>
    </row>
    <row r="597" spans="1:25" ht="12.75" x14ac:dyDescent="0.2">
      <c r="A597" s="321"/>
      <c r="B597" s="321"/>
      <c r="C597" s="321"/>
      <c r="D597" s="321"/>
      <c r="E597" s="321"/>
      <c r="F597" s="321"/>
      <c r="G597" s="321"/>
      <c r="H597" s="321"/>
      <c r="I597" s="321"/>
      <c r="J597" s="321"/>
      <c r="K597" s="321"/>
      <c r="L597" s="321"/>
      <c r="M597" s="321"/>
      <c r="N597" s="321"/>
      <c r="O597" s="321"/>
      <c r="P597" s="321"/>
      <c r="Q597" s="321"/>
      <c r="R597" s="321"/>
      <c r="S597" s="321"/>
      <c r="T597" s="321"/>
      <c r="U597" s="321"/>
      <c r="V597" s="321"/>
      <c r="W597" s="321"/>
      <c r="X597" s="321"/>
      <c r="Y597" s="321"/>
    </row>
    <row r="598" spans="1:25" ht="12.75" x14ac:dyDescent="0.2">
      <c r="A598" s="321"/>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row>
    <row r="599" spans="1:25" ht="12.75" x14ac:dyDescent="0.2">
      <c r="A599" s="321"/>
      <c r="B599" s="321"/>
      <c r="C599" s="321"/>
      <c r="D599" s="321"/>
      <c r="E599" s="321"/>
      <c r="F599" s="321"/>
      <c r="G599" s="321"/>
      <c r="H599" s="321"/>
      <c r="I599" s="321"/>
      <c r="J599" s="321"/>
      <c r="K599" s="321"/>
      <c r="L599" s="321"/>
      <c r="M599" s="321"/>
      <c r="N599" s="321"/>
      <c r="O599" s="321"/>
      <c r="P599" s="321"/>
      <c r="Q599" s="321"/>
      <c r="R599" s="321"/>
      <c r="S599" s="321"/>
      <c r="T599" s="321"/>
      <c r="U599" s="321"/>
      <c r="V599" s="321"/>
      <c r="W599" s="321"/>
      <c r="X599" s="321"/>
      <c r="Y599" s="321"/>
    </row>
    <row r="600" spans="1:25" ht="12.75" x14ac:dyDescent="0.2">
      <c r="A600" s="321"/>
      <c r="B600" s="321"/>
      <c r="C600" s="321"/>
      <c r="D600" s="321"/>
      <c r="E600" s="321"/>
      <c r="F600" s="321"/>
      <c r="G600" s="321"/>
      <c r="H600" s="321"/>
      <c r="I600" s="321"/>
      <c r="J600" s="321"/>
      <c r="K600" s="321"/>
      <c r="L600" s="321"/>
      <c r="M600" s="321"/>
      <c r="N600" s="321"/>
      <c r="O600" s="321"/>
      <c r="P600" s="321"/>
      <c r="Q600" s="321"/>
      <c r="R600" s="321"/>
      <c r="S600" s="321"/>
      <c r="T600" s="321"/>
      <c r="U600" s="321"/>
      <c r="V600" s="321"/>
      <c r="W600" s="321"/>
      <c r="X600" s="321"/>
      <c r="Y600" s="321"/>
    </row>
    <row r="601" spans="1:25" ht="12.75" x14ac:dyDescent="0.2">
      <c r="A601" s="321"/>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row>
    <row r="602" spans="1:25" ht="12.75" x14ac:dyDescent="0.2">
      <c r="A602" s="321"/>
      <c r="B602" s="321"/>
      <c r="C602" s="321"/>
      <c r="D602" s="321"/>
      <c r="E602" s="321"/>
      <c r="F602" s="321"/>
      <c r="G602" s="321"/>
      <c r="H602" s="321"/>
      <c r="I602" s="321"/>
      <c r="J602" s="321"/>
      <c r="K602" s="321"/>
      <c r="L602" s="321"/>
      <c r="M602" s="321"/>
      <c r="N602" s="321"/>
      <c r="O602" s="321"/>
      <c r="P602" s="321"/>
      <c r="Q602" s="321"/>
      <c r="R602" s="321"/>
      <c r="S602" s="321"/>
      <c r="T602" s="321"/>
      <c r="U602" s="321"/>
      <c r="V602" s="321"/>
      <c r="W602" s="321"/>
      <c r="X602" s="321"/>
      <c r="Y602" s="321"/>
    </row>
    <row r="603" spans="1:25" ht="12.75" x14ac:dyDescent="0.2">
      <c r="A603" s="321"/>
      <c r="B603" s="321"/>
      <c r="C603" s="321"/>
      <c r="D603" s="321"/>
      <c r="E603" s="321"/>
      <c r="F603" s="321"/>
      <c r="G603" s="321"/>
      <c r="H603" s="321"/>
      <c r="I603" s="321"/>
      <c r="J603" s="321"/>
      <c r="K603" s="321"/>
      <c r="L603" s="321"/>
      <c r="M603" s="321"/>
      <c r="N603" s="321"/>
      <c r="O603" s="321"/>
      <c r="P603" s="321"/>
      <c r="Q603" s="321"/>
      <c r="R603" s="321"/>
      <c r="S603" s="321"/>
      <c r="T603" s="321"/>
      <c r="U603" s="321"/>
      <c r="V603" s="321"/>
      <c r="W603" s="321"/>
      <c r="X603" s="321"/>
      <c r="Y603" s="321"/>
    </row>
    <row r="604" spans="1:25" ht="12.75" x14ac:dyDescent="0.2">
      <c r="A604" s="321"/>
      <c r="B604" s="321"/>
      <c r="C604" s="321"/>
      <c r="D604" s="321"/>
      <c r="E604" s="321"/>
      <c r="F604" s="321"/>
      <c r="G604" s="321"/>
      <c r="H604" s="321"/>
      <c r="I604" s="321"/>
      <c r="J604" s="321"/>
      <c r="K604" s="321"/>
      <c r="L604" s="321"/>
      <c r="M604" s="321"/>
      <c r="N604" s="321"/>
      <c r="O604" s="321"/>
      <c r="P604" s="321"/>
      <c r="Q604" s="321"/>
      <c r="R604" s="321"/>
      <c r="S604" s="321"/>
      <c r="T604" s="321"/>
      <c r="U604" s="321"/>
      <c r="V604" s="321"/>
      <c r="W604" s="321"/>
      <c r="X604" s="321"/>
      <c r="Y604" s="321"/>
    </row>
    <row r="605" spans="1:25" ht="12.75" x14ac:dyDescent="0.2">
      <c r="A605" s="321"/>
      <c r="B605" s="321"/>
      <c r="C605" s="321"/>
      <c r="D605" s="321"/>
      <c r="E605" s="321"/>
      <c r="F605" s="321"/>
      <c r="G605" s="321"/>
      <c r="H605" s="321"/>
      <c r="I605" s="321"/>
      <c r="J605" s="321"/>
      <c r="K605" s="321"/>
      <c r="L605" s="321"/>
      <c r="M605" s="321"/>
      <c r="N605" s="321"/>
      <c r="O605" s="321"/>
      <c r="P605" s="321"/>
      <c r="Q605" s="321"/>
      <c r="R605" s="321"/>
      <c r="S605" s="321"/>
      <c r="T605" s="321"/>
      <c r="U605" s="321"/>
      <c r="V605" s="321"/>
      <c r="W605" s="321"/>
      <c r="X605" s="321"/>
      <c r="Y605" s="321"/>
    </row>
    <row r="606" spans="1:25" ht="12.75" x14ac:dyDescent="0.2">
      <c r="A606" s="321"/>
      <c r="B606" s="321"/>
      <c r="C606" s="321"/>
      <c r="D606" s="321"/>
      <c r="E606" s="321"/>
      <c r="F606" s="321"/>
      <c r="G606" s="321"/>
      <c r="H606" s="321"/>
      <c r="I606" s="321"/>
      <c r="J606" s="321"/>
      <c r="K606" s="321"/>
      <c r="L606" s="321"/>
      <c r="M606" s="321"/>
      <c r="N606" s="321"/>
      <c r="O606" s="321"/>
      <c r="P606" s="321"/>
      <c r="Q606" s="321"/>
      <c r="R606" s="321"/>
      <c r="S606" s="321"/>
      <c r="T606" s="321"/>
      <c r="U606" s="321"/>
      <c r="V606" s="321"/>
      <c r="W606" s="321"/>
      <c r="X606" s="321"/>
      <c r="Y606" s="321"/>
    </row>
    <row r="607" spans="1:25" ht="12.75" x14ac:dyDescent="0.2">
      <c r="A607" s="321"/>
      <c r="B607" s="321"/>
      <c r="C607" s="321"/>
      <c r="D607" s="321"/>
      <c r="E607" s="321"/>
      <c r="F607" s="321"/>
      <c r="G607" s="321"/>
      <c r="H607" s="321"/>
      <c r="I607" s="321"/>
      <c r="J607" s="321"/>
      <c r="K607" s="321"/>
      <c r="L607" s="321"/>
      <c r="M607" s="321"/>
      <c r="N607" s="321"/>
      <c r="O607" s="321"/>
      <c r="P607" s="321"/>
      <c r="Q607" s="321"/>
      <c r="R607" s="321"/>
      <c r="S607" s="321"/>
      <c r="T607" s="321"/>
      <c r="U607" s="321"/>
      <c r="V607" s="321"/>
      <c r="W607" s="321"/>
      <c r="X607" s="321"/>
      <c r="Y607" s="321"/>
    </row>
    <row r="608" spans="1:25" ht="12.75" x14ac:dyDescent="0.2">
      <c r="A608" s="321"/>
      <c r="B608" s="321"/>
      <c r="C608" s="321"/>
      <c r="D608" s="321"/>
      <c r="E608" s="321"/>
      <c r="F608" s="321"/>
      <c r="G608" s="321"/>
      <c r="H608" s="321"/>
      <c r="I608" s="321"/>
      <c r="J608" s="321"/>
      <c r="K608" s="321"/>
      <c r="L608" s="321"/>
      <c r="M608" s="321"/>
      <c r="N608" s="321"/>
      <c r="O608" s="321"/>
      <c r="P608" s="321"/>
      <c r="Q608" s="321"/>
      <c r="R608" s="321"/>
      <c r="S608" s="321"/>
      <c r="T608" s="321"/>
      <c r="U608" s="321"/>
      <c r="V608" s="321"/>
      <c r="W608" s="321"/>
      <c r="X608" s="321"/>
      <c r="Y608" s="321"/>
    </row>
    <row r="609" spans="1:25" ht="12.75" x14ac:dyDescent="0.2">
      <c r="A609" s="321"/>
      <c r="B609" s="321"/>
      <c r="C609" s="321"/>
      <c r="D609" s="321"/>
      <c r="E609" s="321"/>
      <c r="F609" s="321"/>
      <c r="G609" s="321"/>
      <c r="H609" s="321"/>
      <c r="I609" s="321"/>
      <c r="J609" s="321"/>
      <c r="K609" s="321"/>
      <c r="L609" s="321"/>
      <c r="M609" s="321"/>
      <c r="N609" s="321"/>
      <c r="O609" s="321"/>
      <c r="P609" s="321"/>
      <c r="Q609" s="321"/>
      <c r="R609" s="321"/>
      <c r="S609" s="321"/>
      <c r="T609" s="321"/>
      <c r="U609" s="321"/>
      <c r="V609" s="321"/>
      <c r="W609" s="321"/>
      <c r="X609" s="321"/>
      <c r="Y609" s="321"/>
    </row>
    <row r="610" spans="1:25" ht="12.75" x14ac:dyDescent="0.2">
      <c r="A610" s="321"/>
      <c r="B610" s="321"/>
      <c r="C610" s="321"/>
      <c r="D610" s="321"/>
      <c r="E610" s="321"/>
      <c r="F610" s="321"/>
      <c r="G610" s="321"/>
      <c r="H610" s="321"/>
      <c r="I610" s="321"/>
      <c r="J610" s="321"/>
      <c r="K610" s="321"/>
      <c r="L610" s="321"/>
      <c r="M610" s="321"/>
      <c r="N610" s="321"/>
      <c r="O610" s="321"/>
      <c r="P610" s="321"/>
      <c r="Q610" s="321"/>
      <c r="R610" s="321"/>
      <c r="S610" s="321"/>
      <c r="T610" s="321"/>
      <c r="U610" s="321"/>
      <c r="V610" s="321"/>
      <c r="W610" s="321"/>
      <c r="X610" s="321"/>
      <c r="Y610" s="321"/>
    </row>
    <row r="611" spans="1:25" ht="12.75" x14ac:dyDescent="0.2">
      <c r="A611" s="321"/>
      <c r="B611" s="321"/>
      <c r="C611" s="321"/>
      <c r="D611" s="321"/>
      <c r="E611" s="321"/>
      <c r="F611" s="321"/>
      <c r="G611" s="321"/>
      <c r="H611" s="321"/>
      <c r="I611" s="321"/>
      <c r="J611" s="321"/>
      <c r="K611" s="321"/>
      <c r="L611" s="321"/>
      <c r="M611" s="321"/>
      <c r="N611" s="321"/>
      <c r="O611" s="321"/>
      <c r="P611" s="321"/>
      <c r="Q611" s="321"/>
      <c r="R611" s="321"/>
      <c r="S611" s="321"/>
      <c r="T611" s="321"/>
      <c r="U611" s="321"/>
      <c r="V611" s="321"/>
      <c r="W611" s="321"/>
      <c r="X611" s="321"/>
      <c r="Y611" s="321"/>
    </row>
    <row r="612" spans="1:25" ht="12.75" x14ac:dyDescent="0.2">
      <c r="A612" s="321"/>
      <c r="B612" s="321"/>
      <c r="C612" s="321"/>
      <c r="D612" s="321"/>
      <c r="E612" s="321"/>
      <c r="F612" s="321"/>
      <c r="G612" s="321"/>
      <c r="H612" s="321"/>
      <c r="I612" s="321"/>
      <c r="J612" s="321"/>
      <c r="K612" s="321"/>
      <c r="L612" s="321"/>
      <c r="M612" s="321"/>
      <c r="N612" s="321"/>
      <c r="O612" s="321"/>
      <c r="P612" s="321"/>
      <c r="Q612" s="321"/>
      <c r="R612" s="321"/>
      <c r="S612" s="321"/>
      <c r="T612" s="321"/>
      <c r="U612" s="321"/>
      <c r="V612" s="321"/>
      <c r="W612" s="321"/>
      <c r="X612" s="321"/>
      <c r="Y612" s="321"/>
    </row>
    <row r="613" spans="1:25" ht="12.75" x14ac:dyDescent="0.2">
      <c r="A613" s="321"/>
      <c r="B613" s="321"/>
      <c r="C613" s="321"/>
      <c r="D613" s="321"/>
      <c r="E613" s="321"/>
      <c r="F613" s="321"/>
      <c r="G613" s="321"/>
      <c r="H613" s="321"/>
      <c r="I613" s="321"/>
      <c r="J613" s="321"/>
      <c r="K613" s="321"/>
      <c r="L613" s="321"/>
      <c r="M613" s="321"/>
      <c r="N613" s="321"/>
      <c r="O613" s="321"/>
      <c r="P613" s="321"/>
      <c r="Q613" s="321"/>
      <c r="R613" s="321"/>
      <c r="S613" s="321"/>
      <c r="T613" s="321"/>
      <c r="U613" s="321"/>
      <c r="V613" s="321"/>
      <c r="W613" s="321"/>
      <c r="X613" s="321"/>
      <c r="Y613" s="321"/>
    </row>
    <row r="614" spans="1:25" ht="12.75" x14ac:dyDescent="0.2">
      <c r="A614" s="321"/>
      <c r="B614" s="321"/>
      <c r="C614" s="321"/>
      <c r="D614" s="321"/>
      <c r="E614" s="321"/>
      <c r="F614" s="321"/>
      <c r="G614" s="321"/>
      <c r="H614" s="321"/>
      <c r="I614" s="321"/>
      <c r="J614" s="321"/>
      <c r="K614" s="321"/>
      <c r="L614" s="321"/>
      <c r="M614" s="321"/>
      <c r="N614" s="321"/>
      <c r="O614" s="321"/>
      <c r="P614" s="321"/>
      <c r="Q614" s="321"/>
      <c r="R614" s="321"/>
      <c r="S614" s="321"/>
      <c r="T614" s="321"/>
      <c r="U614" s="321"/>
      <c r="V614" s="321"/>
      <c r="W614" s="321"/>
      <c r="X614" s="321"/>
      <c r="Y614" s="321"/>
    </row>
    <row r="615" spans="1:25" ht="12.75" x14ac:dyDescent="0.2">
      <c r="A615" s="321"/>
      <c r="B615" s="321"/>
      <c r="C615" s="321"/>
      <c r="D615" s="321"/>
      <c r="E615" s="321"/>
      <c r="F615" s="321"/>
      <c r="G615" s="321"/>
      <c r="H615" s="321"/>
      <c r="I615" s="321"/>
      <c r="J615" s="321"/>
      <c r="K615" s="321"/>
      <c r="L615" s="321"/>
      <c r="M615" s="321"/>
      <c r="N615" s="321"/>
      <c r="O615" s="321"/>
      <c r="P615" s="321"/>
      <c r="Q615" s="321"/>
      <c r="R615" s="321"/>
      <c r="S615" s="321"/>
      <c r="T615" s="321"/>
      <c r="U615" s="321"/>
      <c r="V615" s="321"/>
      <c r="W615" s="321"/>
      <c r="X615" s="321"/>
      <c r="Y615" s="321"/>
    </row>
    <row r="616" spans="1:25" ht="12.75" x14ac:dyDescent="0.2">
      <c r="A616" s="321"/>
      <c r="B616" s="321"/>
      <c r="C616" s="321"/>
      <c r="D616" s="321"/>
      <c r="E616" s="321"/>
      <c r="F616" s="321"/>
      <c r="G616" s="321"/>
      <c r="H616" s="321"/>
      <c r="I616" s="321"/>
      <c r="J616" s="321"/>
      <c r="K616" s="321"/>
      <c r="L616" s="321"/>
      <c r="M616" s="321"/>
      <c r="N616" s="321"/>
      <c r="O616" s="321"/>
      <c r="P616" s="321"/>
      <c r="Q616" s="321"/>
      <c r="R616" s="321"/>
      <c r="S616" s="321"/>
      <c r="T616" s="321"/>
      <c r="U616" s="321"/>
      <c r="V616" s="321"/>
      <c r="W616" s="321"/>
      <c r="X616" s="321"/>
      <c r="Y616" s="321"/>
    </row>
    <row r="617" spans="1:25" ht="12.75" x14ac:dyDescent="0.2">
      <c r="A617" s="321"/>
      <c r="B617" s="321"/>
      <c r="C617" s="321"/>
      <c r="D617" s="321"/>
      <c r="E617" s="321"/>
      <c r="F617" s="321"/>
      <c r="G617" s="321"/>
      <c r="H617" s="321"/>
      <c r="I617" s="321"/>
      <c r="J617" s="321"/>
      <c r="K617" s="321"/>
      <c r="L617" s="321"/>
      <c r="M617" s="321"/>
      <c r="N617" s="321"/>
      <c r="O617" s="321"/>
      <c r="P617" s="321"/>
      <c r="Q617" s="321"/>
      <c r="R617" s="321"/>
      <c r="S617" s="321"/>
      <c r="T617" s="321"/>
      <c r="U617" s="321"/>
      <c r="V617" s="321"/>
      <c r="W617" s="321"/>
      <c r="X617" s="321"/>
      <c r="Y617" s="321"/>
    </row>
    <row r="618" spans="1:25" ht="12.75" x14ac:dyDescent="0.2">
      <c r="A618" s="321"/>
      <c r="B618" s="321"/>
      <c r="C618" s="321"/>
      <c r="D618" s="321"/>
      <c r="E618" s="321"/>
      <c r="F618" s="321"/>
      <c r="G618" s="321"/>
      <c r="H618" s="321"/>
      <c r="I618" s="321"/>
      <c r="J618" s="321"/>
      <c r="K618" s="321"/>
      <c r="L618" s="321"/>
      <c r="M618" s="321"/>
      <c r="N618" s="321"/>
      <c r="O618" s="321"/>
      <c r="P618" s="321"/>
      <c r="Q618" s="321"/>
      <c r="R618" s="321"/>
      <c r="S618" s="321"/>
      <c r="T618" s="321"/>
      <c r="U618" s="321"/>
      <c r="V618" s="321"/>
      <c r="W618" s="321"/>
      <c r="X618" s="321"/>
      <c r="Y618" s="321"/>
    </row>
    <row r="619" spans="1:25" ht="12.75" x14ac:dyDescent="0.2">
      <c r="A619" s="321"/>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row>
    <row r="620" spans="1:25" ht="12.75" x14ac:dyDescent="0.2">
      <c r="A620" s="321"/>
      <c r="B620" s="321"/>
      <c r="C620" s="321"/>
      <c r="D620" s="321"/>
      <c r="E620" s="321"/>
      <c r="F620" s="321"/>
      <c r="G620" s="321"/>
      <c r="H620" s="321"/>
      <c r="I620" s="321"/>
      <c r="J620" s="321"/>
      <c r="K620" s="321"/>
      <c r="L620" s="321"/>
      <c r="M620" s="321"/>
      <c r="N620" s="321"/>
      <c r="O620" s="321"/>
      <c r="P620" s="321"/>
      <c r="Q620" s="321"/>
      <c r="R620" s="321"/>
      <c r="S620" s="321"/>
      <c r="T620" s="321"/>
      <c r="U620" s="321"/>
      <c r="V620" s="321"/>
      <c r="W620" s="321"/>
      <c r="X620" s="321"/>
      <c r="Y620" s="321"/>
    </row>
    <row r="621" spans="1:25" ht="12.75" x14ac:dyDescent="0.2">
      <c r="A621" s="321"/>
      <c r="B621" s="321"/>
      <c r="C621" s="321"/>
      <c r="D621" s="321"/>
      <c r="E621" s="321"/>
      <c r="F621" s="321"/>
      <c r="G621" s="321"/>
      <c r="H621" s="321"/>
      <c r="I621" s="321"/>
      <c r="J621" s="321"/>
      <c r="K621" s="321"/>
      <c r="L621" s="321"/>
      <c r="M621" s="321"/>
      <c r="N621" s="321"/>
      <c r="O621" s="321"/>
      <c r="P621" s="321"/>
      <c r="Q621" s="321"/>
      <c r="R621" s="321"/>
      <c r="S621" s="321"/>
      <c r="T621" s="321"/>
      <c r="U621" s="321"/>
      <c r="V621" s="321"/>
      <c r="W621" s="321"/>
      <c r="X621" s="321"/>
      <c r="Y621" s="321"/>
    </row>
    <row r="622" spans="1:25" ht="12.75" x14ac:dyDescent="0.2">
      <c r="A622" s="321"/>
      <c r="B622" s="321"/>
      <c r="C622" s="321"/>
      <c r="D622" s="321"/>
      <c r="E622" s="321"/>
      <c r="F622" s="321"/>
      <c r="G622" s="321"/>
      <c r="H622" s="321"/>
      <c r="I622" s="321"/>
      <c r="J622" s="321"/>
      <c r="K622" s="321"/>
      <c r="L622" s="321"/>
      <c r="M622" s="321"/>
      <c r="N622" s="321"/>
      <c r="O622" s="321"/>
      <c r="P622" s="321"/>
      <c r="Q622" s="321"/>
      <c r="R622" s="321"/>
      <c r="S622" s="321"/>
      <c r="T622" s="321"/>
      <c r="U622" s="321"/>
      <c r="V622" s="321"/>
      <c r="W622" s="321"/>
      <c r="X622" s="321"/>
      <c r="Y622" s="321"/>
    </row>
    <row r="623" spans="1:25" ht="12.75" x14ac:dyDescent="0.2">
      <c r="A623" s="321"/>
      <c r="B623" s="321"/>
      <c r="C623" s="321"/>
      <c r="D623" s="321"/>
      <c r="E623" s="321"/>
      <c r="F623" s="321"/>
      <c r="G623" s="321"/>
      <c r="H623" s="321"/>
      <c r="I623" s="321"/>
      <c r="J623" s="321"/>
      <c r="K623" s="321"/>
      <c r="L623" s="321"/>
      <c r="M623" s="321"/>
      <c r="N623" s="321"/>
      <c r="O623" s="321"/>
      <c r="P623" s="321"/>
      <c r="Q623" s="321"/>
      <c r="R623" s="321"/>
      <c r="S623" s="321"/>
      <c r="T623" s="321"/>
      <c r="U623" s="321"/>
      <c r="V623" s="321"/>
      <c r="W623" s="321"/>
      <c r="X623" s="321"/>
      <c r="Y623" s="321"/>
    </row>
    <row r="624" spans="1:25" ht="12.75" x14ac:dyDescent="0.2">
      <c r="A624" s="321"/>
      <c r="B624" s="321"/>
      <c r="C624" s="321"/>
      <c r="D624" s="321"/>
      <c r="E624" s="321"/>
      <c r="F624" s="321"/>
      <c r="G624" s="321"/>
      <c r="H624" s="321"/>
      <c r="I624" s="321"/>
      <c r="J624" s="321"/>
      <c r="K624" s="321"/>
      <c r="L624" s="321"/>
      <c r="M624" s="321"/>
      <c r="N624" s="321"/>
      <c r="O624" s="321"/>
      <c r="P624" s="321"/>
      <c r="Q624" s="321"/>
      <c r="R624" s="321"/>
      <c r="S624" s="321"/>
      <c r="T624" s="321"/>
      <c r="U624" s="321"/>
      <c r="V624" s="321"/>
      <c r="W624" s="321"/>
      <c r="X624" s="321"/>
      <c r="Y624" s="321"/>
    </row>
    <row r="625" spans="1:25" ht="12.75" x14ac:dyDescent="0.2">
      <c r="A625" s="321"/>
      <c r="B625" s="321"/>
      <c r="C625" s="321"/>
      <c r="D625" s="321"/>
      <c r="E625" s="321"/>
      <c r="F625" s="321"/>
      <c r="G625" s="321"/>
      <c r="H625" s="321"/>
      <c r="I625" s="321"/>
      <c r="J625" s="321"/>
      <c r="K625" s="321"/>
      <c r="L625" s="321"/>
      <c r="M625" s="321"/>
      <c r="N625" s="321"/>
      <c r="O625" s="321"/>
      <c r="P625" s="321"/>
      <c r="Q625" s="321"/>
      <c r="R625" s="321"/>
      <c r="S625" s="321"/>
      <c r="T625" s="321"/>
      <c r="U625" s="321"/>
      <c r="V625" s="321"/>
      <c r="W625" s="321"/>
      <c r="X625" s="321"/>
      <c r="Y625" s="321"/>
    </row>
    <row r="626" spans="1:25" ht="12.75" x14ac:dyDescent="0.2">
      <c r="A626" s="321"/>
      <c r="B626" s="321"/>
      <c r="C626" s="321"/>
      <c r="D626" s="321"/>
      <c r="E626" s="321"/>
      <c r="F626" s="321"/>
      <c r="G626" s="321"/>
      <c r="H626" s="321"/>
      <c r="I626" s="321"/>
      <c r="J626" s="321"/>
      <c r="K626" s="321"/>
      <c r="L626" s="321"/>
      <c r="M626" s="321"/>
      <c r="N626" s="321"/>
      <c r="O626" s="321"/>
      <c r="P626" s="321"/>
      <c r="Q626" s="321"/>
      <c r="R626" s="321"/>
      <c r="S626" s="321"/>
      <c r="T626" s="321"/>
      <c r="U626" s="321"/>
      <c r="V626" s="321"/>
      <c r="W626" s="321"/>
      <c r="X626" s="321"/>
      <c r="Y626" s="321"/>
    </row>
    <row r="627" spans="1:25" ht="12.75" x14ac:dyDescent="0.2">
      <c r="A627" s="321"/>
      <c r="B627" s="321"/>
      <c r="C627" s="321"/>
      <c r="D627" s="321"/>
      <c r="E627" s="321"/>
      <c r="F627" s="321"/>
      <c r="G627" s="321"/>
      <c r="H627" s="321"/>
      <c r="I627" s="321"/>
      <c r="J627" s="321"/>
      <c r="K627" s="321"/>
      <c r="L627" s="321"/>
      <c r="M627" s="321"/>
      <c r="N627" s="321"/>
      <c r="O627" s="321"/>
      <c r="P627" s="321"/>
      <c r="Q627" s="321"/>
      <c r="R627" s="321"/>
      <c r="S627" s="321"/>
      <c r="T627" s="321"/>
      <c r="U627" s="321"/>
      <c r="V627" s="321"/>
      <c r="W627" s="321"/>
      <c r="X627" s="321"/>
      <c r="Y627" s="321"/>
    </row>
    <row r="628" spans="1:25" ht="12.75" x14ac:dyDescent="0.2">
      <c r="A628" s="321"/>
      <c r="B628" s="321"/>
      <c r="C628" s="321"/>
      <c r="D628" s="321"/>
      <c r="E628" s="321"/>
      <c r="F628" s="321"/>
      <c r="G628" s="321"/>
      <c r="H628" s="321"/>
      <c r="I628" s="321"/>
      <c r="J628" s="321"/>
      <c r="K628" s="321"/>
      <c r="L628" s="321"/>
      <c r="M628" s="321"/>
      <c r="N628" s="321"/>
      <c r="O628" s="321"/>
      <c r="P628" s="321"/>
      <c r="Q628" s="321"/>
      <c r="R628" s="321"/>
      <c r="S628" s="321"/>
      <c r="T628" s="321"/>
      <c r="U628" s="321"/>
      <c r="V628" s="321"/>
      <c r="W628" s="321"/>
      <c r="X628" s="321"/>
      <c r="Y628" s="321"/>
    </row>
    <row r="629" spans="1:25" ht="12.75" x14ac:dyDescent="0.2">
      <c r="A629" s="321"/>
      <c r="B629" s="321"/>
      <c r="C629" s="321"/>
      <c r="D629" s="321"/>
      <c r="E629" s="321"/>
      <c r="F629" s="321"/>
      <c r="G629" s="321"/>
      <c r="H629" s="321"/>
      <c r="I629" s="321"/>
      <c r="J629" s="321"/>
      <c r="K629" s="321"/>
      <c r="L629" s="321"/>
      <c r="M629" s="321"/>
      <c r="N629" s="321"/>
      <c r="O629" s="321"/>
      <c r="P629" s="321"/>
      <c r="Q629" s="321"/>
      <c r="R629" s="321"/>
      <c r="S629" s="321"/>
      <c r="T629" s="321"/>
      <c r="U629" s="321"/>
      <c r="V629" s="321"/>
      <c r="W629" s="321"/>
      <c r="X629" s="321"/>
      <c r="Y629" s="321"/>
    </row>
    <row r="630" spans="1:25" ht="12.75" x14ac:dyDescent="0.2">
      <c r="A630" s="321"/>
      <c r="B630" s="321"/>
      <c r="C630" s="321"/>
      <c r="D630" s="321"/>
      <c r="E630" s="321"/>
      <c r="F630" s="321"/>
      <c r="G630" s="321"/>
      <c r="H630" s="321"/>
      <c r="I630" s="321"/>
      <c r="J630" s="321"/>
      <c r="K630" s="321"/>
      <c r="L630" s="321"/>
      <c r="M630" s="321"/>
      <c r="N630" s="321"/>
      <c r="O630" s="321"/>
      <c r="P630" s="321"/>
      <c r="Q630" s="321"/>
      <c r="R630" s="321"/>
      <c r="S630" s="321"/>
      <c r="T630" s="321"/>
      <c r="U630" s="321"/>
      <c r="V630" s="321"/>
      <c r="W630" s="321"/>
      <c r="X630" s="321"/>
      <c r="Y630" s="321"/>
    </row>
    <row r="631" spans="1:25" ht="12.75" x14ac:dyDescent="0.2">
      <c r="A631" s="321"/>
      <c r="B631" s="321"/>
      <c r="C631" s="321"/>
      <c r="D631" s="321"/>
      <c r="E631" s="321"/>
      <c r="F631" s="321"/>
      <c r="G631" s="321"/>
      <c r="H631" s="321"/>
      <c r="I631" s="321"/>
      <c r="J631" s="321"/>
      <c r="K631" s="321"/>
      <c r="L631" s="321"/>
      <c r="M631" s="321"/>
      <c r="N631" s="321"/>
      <c r="O631" s="321"/>
      <c r="P631" s="321"/>
      <c r="Q631" s="321"/>
      <c r="R631" s="321"/>
      <c r="S631" s="321"/>
      <c r="T631" s="321"/>
      <c r="U631" s="321"/>
      <c r="V631" s="321"/>
      <c r="W631" s="321"/>
      <c r="X631" s="321"/>
      <c r="Y631" s="321"/>
    </row>
    <row r="632" spans="1:25" ht="12.75" x14ac:dyDescent="0.2">
      <c r="A632" s="321"/>
      <c r="B632" s="321"/>
      <c r="C632" s="321"/>
      <c r="D632" s="321"/>
      <c r="E632" s="321"/>
      <c r="F632" s="321"/>
      <c r="G632" s="321"/>
      <c r="H632" s="321"/>
      <c r="I632" s="321"/>
      <c r="J632" s="321"/>
      <c r="K632" s="321"/>
      <c r="L632" s="321"/>
      <c r="M632" s="321"/>
      <c r="N632" s="321"/>
      <c r="O632" s="321"/>
      <c r="P632" s="321"/>
      <c r="Q632" s="321"/>
      <c r="R632" s="321"/>
      <c r="S632" s="321"/>
      <c r="T632" s="321"/>
      <c r="U632" s="321"/>
      <c r="V632" s="321"/>
      <c r="W632" s="321"/>
      <c r="X632" s="321"/>
      <c r="Y632" s="321"/>
    </row>
    <row r="633" spans="1:25" ht="12.75" x14ac:dyDescent="0.2">
      <c r="A633" s="321"/>
      <c r="B633" s="321"/>
      <c r="C633" s="321"/>
      <c r="D633" s="321"/>
      <c r="E633" s="321"/>
      <c r="F633" s="321"/>
      <c r="G633" s="321"/>
      <c r="H633" s="321"/>
      <c r="I633" s="321"/>
      <c r="J633" s="321"/>
      <c r="K633" s="321"/>
      <c r="L633" s="321"/>
      <c r="M633" s="321"/>
      <c r="N633" s="321"/>
      <c r="O633" s="321"/>
      <c r="P633" s="321"/>
      <c r="Q633" s="321"/>
      <c r="R633" s="321"/>
      <c r="S633" s="321"/>
      <c r="T633" s="321"/>
      <c r="U633" s="321"/>
      <c r="V633" s="321"/>
      <c r="W633" s="321"/>
      <c r="X633" s="321"/>
      <c r="Y633" s="321"/>
    </row>
    <row r="634" spans="1:25" ht="12.75" x14ac:dyDescent="0.2">
      <c r="A634" s="321"/>
      <c r="B634" s="321"/>
      <c r="C634" s="321"/>
      <c r="D634" s="321"/>
      <c r="E634" s="321"/>
      <c r="F634" s="321"/>
      <c r="G634" s="321"/>
      <c r="H634" s="321"/>
      <c r="I634" s="321"/>
      <c r="J634" s="321"/>
      <c r="K634" s="321"/>
      <c r="L634" s="321"/>
      <c r="M634" s="321"/>
      <c r="N634" s="321"/>
      <c r="O634" s="321"/>
      <c r="P634" s="321"/>
      <c r="Q634" s="321"/>
      <c r="R634" s="321"/>
      <c r="S634" s="321"/>
      <c r="T634" s="321"/>
      <c r="U634" s="321"/>
      <c r="V634" s="321"/>
      <c r="W634" s="321"/>
      <c r="X634" s="321"/>
      <c r="Y634" s="321"/>
    </row>
    <row r="635" spans="1:25" ht="12.75" x14ac:dyDescent="0.2">
      <c r="A635" s="321"/>
      <c r="B635" s="321"/>
      <c r="C635" s="321"/>
      <c r="D635" s="321"/>
      <c r="E635" s="321"/>
      <c r="F635" s="321"/>
      <c r="G635" s="321"/>
      <c r="H635" s="321"/>
      <c r="I635" s="321"/>
      <c r="J635" s="321"/>
      <c r="K635" s="321"/>
      <c r="L635" s="321"/>
      <c r="M635" s="321"/>
      <c r="N635" s="321"/>
      <c r="O635" s="321"/>
      <c r="P635" s="321"/>
      <c r="Q635" s="321"/>
      <c r="R635" s="321"/>
      <c r="S635" s="321"/>
      <c r="T635" s="321"/>
      <c r="U635" s="321"/>
      <c r="V635" s="321"/>
      <c r="W635" s="321"/>
      <c r="X635" s="321"/>
      <c r="Y635" s="321"/>
    </row>
    <row r="636" spans="1:25" ht="12.75" x14ac:dyDescent="0.2">
      <c r="A636" s="321"/>
      <c r="B636" s="321"/>
      <c r="C636" s="321"/>
      <c r="D636" s="321"/>
      <c r="E636" s="321"/>
      <c r="F636" s="321"/>
      <c r="G636" s="321"/>
      <c r="H636" s="321"/>
      <c r="I636" s="321"/>
      <c r="J636" s="321"/>
      <c r="K636" s="321"/>
      <c r="L636" s="321"/>
      <c r="M636" s="321"/>
      <c r="N636" s="321"/>
      <c r="O636" s="321"/>
      <c r="P636" s="321"/>
      <c r="Q636" s="321"/>
      <c r="R636" s="321"/>
      <c r="S636" s="321"/>
      <c r="T636" s="321"/>
      <c r="U636" s="321"/>
      <c r="V636" s="321"/>
      <c r="W636" s="321"/>
      <c r="X636" s="321"/>
      <c r="Y636" s="321"/>
    </row>
    <row r="637" spans="1:25" ht="12.75" x14ac:dyDescent="0.2">
      <c r="A637" s="321"/>
      <c r="B637" s="321"/>
      <c r="C637" s="321"/>
      <c r="D637" s="321"/>
      <c r="E637" s="321"/>
      <c r="F637" s="321"/>
      <c r="G637" s="321"/>
      <c r="H637" s="321"/>
      <c r="I637" s="321"/>
      <c r="J637" s="321"/>
      <c r="K637" s="321"/>
      <c r="L637" s="321"/>
      <c r="M637" s="321"/>
      <c r="N637" s="321"/>
      <c r="O637" s="321"/>
      <c r="P637" s="321"/>
      <c r="Q637" s="321"/>
      <c r="R637" s="321"/>
      <c r="S637" s="321"/>
      <c r="T637" s="321"/>
      <c r="U637" s="321"/>
      <c r="V637" s="321"/>
      <c r="W637" s="321"/>
      <c r="X637" s="321"/>
      <c r="Y637" s="321"/>
    </row>
    <row r="638" spans="1:25" ht="12.75" x14ac:dyDescent="0.2">
      <c r="A638" s="321"/>
      <c r="B638" s="321"/>
      <c r="C638" s="321"/>
      <c r="D638" s="321"/>
      <c r="E638" s="321"/>
      <c r="F638" s="321"/>
      <c r="G638" s="321"/>
      <c r="H638" s="321"/>
      <c r="I638" s="321"/>
      <c r="J638" s="321"/>
      <c r="K638" s="321"/>
      <c r="L638" s="321"/>
      <c r="M638" s="321"/>
      <c r="N638" s="321"/>
      <c r="O638" s="321"/>
      <c r="P638" s="321"/>
      <c r="Q638" s="321"/>
      <c r="R638" s="321"/>
      <c r="S638" s="321"/>
      <c r="T638" s="321"/>
      <c r="U638" s="321"/>
      <c r="V638" s="321"/>
      <c r="W638" s="321"/>
      <c r="X638" s="321"/>
      <c r="Y638" s="321"/>
    </row>
    <row r="639" spans="1:25" ht="12.75" x14ac:dyDescent="0.2">
      <c r="A639" s="321"/>
      <c r="B639" s="321"/>
      <c r="C639" s="321"/>
      <c r="D639" s="321"/>
      <c r="E639" s="321"/>
      <c r="F639" s="321"/>
      <c r="G639" s="321"/>
      <c r="H639" s="321"/>
      <c r="I639" s="321"/>
      <c r="J639" s="321"/>
      <c r="K639" s="321"/>
      <c r="L639" s="321"/>
      <c r="M639" s="321"/>
      <c r="N639" s="321"/>
      <c r="O639" s="321"/>
      <c r="P639" s="321"/>
      <c r="Q639" s="321"/>
      <c r="R639" s="321"/>
      <c r="S639" s="321"/>
      <c r="T639" s="321"/>
      <c r="U639" s="321"/>
      <c r="V639" s="321"/>
      <c r="W639" s="321"/>
      <c r="X639" s="321"/>
      <c r="Y639" s="321"/>
    </row>
    <row r="640" spans="1:25" ht="12.75" x14ac:dyDescent="0.2">
      <c r="A640" s="321"/>
      <c r="B640" s="321"/>
      <c r="C640" s="321"/>
      <c r="D640" s="321"/>
      <c r="E640" s="321"/>
      <c r="F640" s="321"/>
      <c r="G640" s="321"/>
      <c r="H640" s="321"/>
      <c r="I640" s="321"/>
      <c r="J640" s="321"/>
      <c r="K640" s="321"/>
      <c r="L640" s="321"/>
      <c r="M640" s="321"/>
      <c r="N640" s="321"/>
      <c r="O640" s="321"/>
      <c r="P640" s="321"/>
      <c r="Q640" s="321"/>
      <c r="R640" s="321"/>
      <c r="S640" s="321"/>
      <c r="T640" s="321"/>
      <c r="U640" s="321"/>
      <c r="V640" s="321"/>
      <c r="W640" s="321"/>
      <c r="X640" s="321"/>
      <c r="Y640" s="321"/>
    </row>
    <row r="641" spans="1:25" ht="12.75" x14ac:dyDescent="0.2">
      <c r="A641" s="321"/>
      <c r="B641" s="321"/>
      <c r="C641" s="321"/>
      <c r="D641" s="321"/>
      <c r="E641" s="321"/>
      <c r="F641" s="321"/>
      <c r="G641" s="321"/>
      <c r="H641" s="321"/>
      <c r="I641" s="321"/>
      <c r="J641" s="321"/>
      <c r="K641" s="321"/>
      <c r="L641" s="321"/>
      <c r="M641" s="321"/>
      <c r="N641" s="321"/>
      <c r="O641" s="321"/>
      <c r="P641" s="321"/>
      <c r="Q641" s="321"/>
      <c r="R641" s="321"/>
      <c r="S641" s="321"/>
      <c r="T641" s="321"/>
      <c r="U641" s="321"/>
      <c r="V641" s="321"/>
      <c r="W641" s="321"/>
      <c r="X641" s="321"/>
      <c r="Y641" s="321"/>
    </row>
    <row r="642" spans="1:25" ht="12.75" x14ac:dyDescent="0.2">
      <c r="A642" s="321"/>
      <c r="B642" s="321"/>
      <c r="C642" s="321"/>
      <c r="D642" s="321"/>
      <c r="E642" s="321"/>
      <c r="F642" s="321"/>
      <c r="G642" s="321"/>
      <c r="H642" s="321"/>
      <c r="I642" s="321"/>
      <c r="J642" s="321"/>
      <c r="K642" s="321"/>
      <c r="L642" s="321"/>
      <c r="M642" s="321"/>
      <c r="N642" s="321"/>
      <c r="O642" s="321"/>
      <c r="P642" s="321"/>
      <c r="Q642" s="321"/>
      <c r="R642" s="321"/>
      <c r="S642" s="321"/>
      <c r="T642" s="321"/>
      <c r="U642" s="321"/>
      <c r="V642" s="321"/>
      <c r="W642" s="321"/>
      <c r="X642" s="321"/>
      <c r="Y642" s="321"/>
    </row>
    <row r="643" spans="1:25" ht="12.75" x14ac:dyDescent="0.2">
      <c r="A643" s="321"/>
      <c r="B643" s="321"/>
      <c r="C643" s="321"/>
      <c r="D643" s="321"/>
      <c r="E643" s="321"/>
      <c r="F643" s="321"/>
      <c r="G643" s="321"/>
      <c r="H643" s="321"/>
      <c r="I643" s="321"/>
      <c r="J643" s="321"/>
      <c r="K643" s="321"/>
      <c r="L643" s="321"/>
      <c r="M643" s="321"/>
      <c r="N643" s="321"/>
      <c r="O643" s="321"/>
      <c r="P643" s="321"/>
      <c r="Q643" s="321"/>
      <c r="R643" s="321"/>
      <c r="S643" s="321"/>
      <c r="T643" s="321"/>
      <c r="U643" s="321"/>
      <c r="V643" s="321"/>
      <c r="W643" s="321"/>
      <c r="X643" s="321"/>
      <c r="Y643" s="321"/>
    </row>
    <row r="644" spans="1:25" ht="12.75" x14ac:dyDescent="0.2">
      <c r="A644" s="321"/>
      <c r="B644" s="321"/>
      <c r="C644" s="321"/>
      <c r="D644" s="321"/>
      <c r="E644" s="321"/>
      <c r="F644" s="321"/>
      <c r="G644" s="321"/>
      <c r="H644" s="321"/>
      <c r="I644" s="321"/>
      <c r="J644" s="321"/>
      <c r="K644" s="321"/>
      <c r="L644" s="321"/>
      <c r="M644" s="321"/>
      <c r="N644" s="321"/>
      <c r="O644" s="321"/>
      <c r="P644" s="321"/>
      <c r="Q644" s="321"/>
      <c r="R644" s="321"/>
      <c r="S644" s="321"/>
      <c r="T644" s="321"/>
      <c r="U644" s="321"/>
      <c r="V644" s="321"/>
      <c r="W644" s="321"/>
      <c r="X644" s="321"/>
      <c r="Y644" s="321"/>
    </row>
    <row r="645" spans="1:25" ht="12.75" x14ac:dyDescent="0.2">
      <c r="A645" s="321"/>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row>
    <row r="646" spans="1:25" ht="12.75" x14ac:dyDescent="0.2">
      <c r="A646" s="321"/>
      <c r="B646" s="321"/>
      <c r="C646" s="321"/>
      <c r="D646" s="321"/>
      <c r="E646" s="321"/>
      <c r="F646" s="321"/>
      <c r="G646" s="321"/>
      <c r="H646" s="321"/>
      <c r="I646" s="321"/>
      <c r="J646" s="321"/>
      <c r="K646" s="321"/>
      <c r="L646" s="321"/>
      <c r="M646" s="321"/>
      <c r="N646" s="321"/>
      <c r="O646" s="321"/>
      <c r="P646" s="321"/>
      <c r="Q646" s="321"/>
      <c r="R646" s="321"/>
      <c r="S646" s="321"/>
      <c r="T646" s="321"/>
      <c r="U646" s="321"/>
      <c r="V646" s="321"/>
      <c r="W646" s="321"/>
      <c r="X646" s="321"/>
      <c r="Y646" s="321"/>
    </row>
    <row r="647" spans="1:25" ht="12.75" x14ac:dyDescent="0.2">
      <c r="A647" s="321"/>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row>
    <row r="648" spans="1:25" ht="12.75" x14ac:dyDescent="0.2">
      <c r="A648" s="321"/>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row>
    <row r="649" spans="1:25" ht="12.75" x14ac:dyDescent="0.2">
      <c r="A649" s="321"/>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row>
    <row r="650" spans="1:25" ht="12.75" x14ac:dyDescent="0.2">
      <c r="A650" s="321"/>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row>
    <row r="651" spans="1:25" ht="12.75" x14ac:dyDescent="0.2">
      <c r="A651" s="321"/>
      <c r="B651" s="321"/>
      <c r="C651" s="321"/>
      <c r="D651" s="321"/>
      <c r="E651" s="321"/>
      <c r="F651" s="321"/>
      <c r="G651" s="321"/>
      <c r="H651" s="321"/>
      <c r="I651" s="321"/>
      <c r="J651" s="321"/>
      <c r="K651" s="321"/>
      <c r="L651" s="321"/>
      <c r="M651" s="321"/>
      <c r="N651" s="321"/>
      <c r="O651" s="321"/>
      <c r="P651" s="321"/>
      <c r="Q651" s="321"/>
      <c r="R651" s="321"/>
      <c r="S651" s="321"/>
      <c r="T651" s="321"/>
      <c r="U651" s="321"/>
      <c r="V651" s="321"/>
      <c r="W651" s="321"/>
      <c r="X651" s="321"/>
      <c r="Y651" s="321"/>
    </row>
    <row r="652" spans="1:25" ht="12.75" x14ac:dyDescent="0.2">
      <c r="A652" s="321"/>
      <c r="B652" s="321"/>
      <c r="C652" s="321"/>
      <c r="D652" s="321"/>
      <c r="E652" s="321"/>
      <c r="F652" s="321"/>
      <c r="G652" s="321"/>
      <c r="H652" s="321"/>
      <c r="I652" s="321"/>
      <c r="J652" s="321"/>
      <c r="K652" s="321"/>
      <c r="L652" s="321"/>
      <c r="M652" s="321"/>
      <c r="N652" s="321"/>
      <c r="O652" s="321"/>
      <c r="P652" s="321"/>
      <c r="Q652" s="321"/>
      <c r="R652" s="321"/>
      <c r="S652" s="321"/>
      <c r="T652" s="321"/>
      <c r="U652" s="321"/>
      <c r="V652" s="321"/>
      <c r="W652" s="321"/>
      <c r="X652" s="321"/>
      <c r="Y652" s="321"/>
    </row>
    <row r="653" spans="1:25" ht="12.75" x14ac:dyDescent="0.2">
      <c r="A653" s="321"/>
      <c r="B653" s="321"/>
      <c r="C653" s="321"/>
      <c r="D653" s="321"/>
      <c r="E653" s="321"/>
      <c r="F653" s="321"/>
      <c r="G653" s="321"/>
      <c r="H653" s="321"/>
      <c r="I653" s="321"/>
      <c r="J653" s="321"/>
      <c r="K653" s="321"/>
      <c r="L653" s="321"/>
      <c r="M653" s="321"/>
      <c r="N653" s="321"/>
      <c r="O653" s="321"/>
      <c r="P653" s="321"/>
      <c r="Q653" s="321"/>
      <c r="R653" s="321"/>
      <c r="S653" s="321"/>
      <c r="T653" s="321"/>
      <c r="U653" s="321"/>
      <c r="V653" s="321"/>
      <c r="W653" s="321"/>
      <c r="X653" s="321"/>
      <c r="Y653" s="321"/>
    </row>
    <row r="654" spans="1:25" ht="12.75" x14ac:dyDescent="0.2">
      <c r="A654" s="321"/>
      <c r="B654" s="321"/>
      <c r="C654" s="321"/>
      <c r="D654" s="321"/>
      <c r="E654" s="321"/>
      <c r="F654" s="321"/>
      <c r="G654" s="321"/>
      <c r="H654" s="321"/>
      <c r="I654" s="321"/>
      <c r="J654" s="321"/>
      <c r="K654" s="321"/>
      <c r="L654" s="321"/>
      <c r="M654" s="321"/>
      <c r="N654" s="321"/>
      <c r="O654" s="321"/>
      <c r="P654" s="321"/>
      <c r="Q654" s="321"/>
      <c r="R654" s="321"/>
      <c r="S654" s="321"/>
      <c r="T654" s="321"/>
      <c r="U654" s="321"/>
      <c r="V654" s="321"/>
      <c r="W654" s="321"/>
      <c r="X654" s="321"/>
      <c r="Y654" s="321"/>
    </row>
    <row r="655" spans="1:25" ht="12.75" x14ac:dyDescent="0.2">
      <c r="A655" s="321"/>
      <c r="B655" s="321"/>
      <c r="C655" s="321"/>
      <c r="D655" s="321"/>
      <c r="E655" s="321"/>
      <c r="F655" s="321"/>
      <c r="G655" s="321"/>
      <c r="H655" s="321"/>
      <c r="I655" s="321"/>
      <c r="J655" s="321"/>
      <c r="K655" s="321"/>
      <c r="L655" s="321"/>
      <c r="M655" s="321"/>
      <c r="N655" s="321"/>
      <c r="O655" s="321"/>
      <c r="P655" s="321"/>
      <c r="Q655" s="321"/>
      <c r="R655" s="321"/>
      <c r="S655" s="321"/>
      <c r="T655" s="321"/>
      <c r="U655" s="321"/>
      <c r="V655" s="321"/>
      <c r="W655" s="321"/>
      <c r="X655" s="321"/>
      <c r="Y655" s="321"/>
    </row>
    <row r="656" spans="1:25" ht="12.75" x14ac:dyDescent="0.2">
      <c r="A656" s="321"/>
      <c r="B656" s="321"/>
      <c r="C656" s="321"/>
      <c r="D656" s="321"/>
      <c r="E656" s="321"/>
      <c r="F656" s="321"/>
      <c r="G656" s="321"/>
      <c r="H656" s="321"/>
      <c r="I656" s="321"/>
      <c r="J656" s="321"/>
      <c r="K656" s="321"/>
      <c r="L656" s="321"/>
      <c r="M656" s="321"/>
      <c r="N656" s="321"/>
      <c r="O656" s="321"/>
      <c r="P656" s="321"/>
      <c r="Q656" s="321"/>
      <c r="R656" s="321"/>
      <c r="S656" s="321"/>
      <c r="T656" s="321"/>
      <c r="U656" s="321"/>
      <c r="V656" s="321"/>
      <c r="W656" s="321"/>
      <c r="X656" s="321"/>
      <c r="Y656" s="321"/>
    </row>
    <row r="657" spans="1:25" ht="12.75" x14ac:dyDescent="0.2">
      <c r="A657" s="321"/>
      <c r="B657" s="321"/>
      <c r="C657" s="321"/>
      <c r="D657" s="321"/>
      <c r="E657" s="321"/>
      <c r="F657" s="321"/>
      <c r="G657" s="321"/>
      <c r="H657" s="321"/>
      <c r="I657" s="321"/>
      <c r="J657" s="321"/>
      <c r="K657" s="321"/>
      <c r="L657" s="321"/>
      <c r="M657" s="321"/>
      <c r="N657" s="321"/>
      <c r="O657" s="321"/>
      <c r="P657" s="321"/>
      <c r="Q657" s="321"/>
      <c r="R657" s="321"/>
      <c r="S657" s="321"/>
      <c r="T657" s="321"/>
      <c r="U657" s="321"/>
      <c r="V657" s="321"/>
      <c r="W657" s="321"/>
      <c r="X657" s="321"/>
      <c r="Y657" s="321"/>
    </row>
    <row r="658" spans="1:25" ht="12.75" x14ac:dyDescent="0.2">
      <c r="A658" s="321"/>
      <c r="B658" s="321"/>
      <c r="C658" s="321"/>
      <c r="D658" s="321"/>
      <c r="E658" s="321"/>
      <c r="F658" s="321"/>
      <c r="G658" s="321"/>
      <c r="H658" s="321"/>
      <c r="I658" s="321"/>
      <c r="J658" s="321"/>
      <c r="K658" s="321"/>
      <c r="L658" s="321"/>
      <c r="M658" s="321"/>
      <c r="N658" s="321"/>
      <c r="O658" s="321"/>
      <c r="P658" s="321"/>
      <c r="Q658" s="321"/>
      <c r="R658" s="321"/>
      <c r="S658" s="321"/>
      <c r="T658" s="321"/>
      <c r="U658" s="321"/>
      <c r="V658" s="321"/>
      <c r="W658" s="321"/>
      <c r="X658" s="321"/>
      <c r="Y658" s="321"/>
    </row>
    <row r="659" spans="1:25" ht="12.75" x14ac:dyDescent="0.2">
      <c r="A659" s="321"/>
      <c r="B659" s="321"/>
      <c r="C659" s="321"/>
      <c r="D659" s="321"/>
      <c r="E659" s="321"/>
      <c r="F659" s="321"/>
      <c r="G659" s="321"/>
      <c r="H659" s="321"/>
      <c r="I659" s="321"/>
      <c r="J659" s="321"/>
      <c r="K659" s="321"/>
      <c r="L659" s="321"/>
      <c r="M659" s="321"/>
      <c r="N659" s="321"/>
      <c r="O659" s="321"/>
      <c r="P659" s="321"/>
      <c r="Q659" s="321"/>
      <c r="R659" s="321"/>
      <c r="S659" s="321"/>
      <c r="T659" s="321"/>
      <c r="U659" s="321"/>
      <c r="V659" s="321"/>
      <c r="W659" s="321"/>
      <c r="X659" s="321"/>
      <c r="Y659" s="321"/>
    </row>
    <row r="660" spans="1:25" ht="12.75" x14ac:dyDescent="0.2">
      <c r="A660" s="321"/>
      <c r="B660" s="321"/>
      <c r="C660" s="321"/>
      <c r="D660" s="321"/>
      <c r="E660" s="321"/>
      <c r="F660" s="321"/>
      <c r="G660" s="321"/>
      <c r="H660" s="321"/>
      <c r="I660" s="321"/>
      <c r="J660" s="321"/>
      <c r="K660" s="321"/>
      <c r="L660" s="321"/>
      <c r="M660" s="321"/>
      <c r="N660" s="321"/>
      <c r="O660" s="321"/>
      <c r="P660" s="321"/>
      <c r="Q660" s="321"/>
      <c r="R660" s="321"/>
      <c r="S660" s="321"/>
      <c r="T660" s="321"/>
      <c r="U660" s="321"/>
      <c r="V660" s="321"/>
      <c r="W660" s="321"/>
      <c r="X660" s="321"/>
      <c r="Y660" s="321"/>
    </row>
    <row r="661" spans="1:25" ht="12.75" x14ac:dyDescent="0.2">
      <c r="A661" s="321"/>
      <c r="B661" s="321"/>
      <c r="C661" s="321"/>
      <c r="D661" s="321"/>
      <c r="E661" s="321"/>
      <c r="F661" s="321"/>
      <c r="G661" s="321"/>
      <c r="H661" s="321"/>
      <c r="I661" s="321"/>
      <c r="J661" s="321"/>
      <c r="K661" s="321"/>
      <c r="L661" s="321"/>
      <c r="M661" s="321"/>
      <c r="N661" s="321"/>
      <c r="O661" s="321"/>
      <c r="P661" s="321"/>
      <c r="Q661" s="321"/>
      <c r="R661" s="321"/>
      <c r="S661" s="321"/>
      <c r="T661" s="321"/>
      <c r="U661" s="321"/>
      <c r="V661" s="321"/>
      <c r="W661" s="321"/>
      <c r="X661" s="321"/>
      <c r="Y661" s="321"/>
    </row>
    <row r="662" spans="1:25" ht="12.75" x14ac:dyDescent="0.2">
      <c r="A662" s="321"/>
      <c r="B662" s="321"/>
      <c r="C662" s="321"/>
      <c r="D662" s="321"/>
      <c r="E662" s="321"/>
      <c r="F662" s="321"/>
      <c r="G662" s="321"/>
      <c r="H662" s="321"/>
      <c r="I662" s="321"/>
      <c r="J662" s="321"/>
      <c r="K662" s="321"/>
      <c r="L662" s="321"/>
      <c r="M662" s="321"/>
      <c r="N662" s="321"/>
      <c r="O662" s="321"/>
      <c r="P662" s="321"/>
      <c r="Q662" s="321"/>
      <c r="R662" s="321"/>
      <c r="S662" s="321"/>
      <c r="T662" s="321"/>
      <c r="U662" s="321"/>
      <c r="V662" s="321"/>
      <c r="W662" s="321"/>
      <c r="X662" s="321"/>
      <c r="Y662" s="321"/>
    </row>
    <row r="663" spans="1:25" ht="12.75" x14ac:dyDescent="0.2">
      <c r="A663" s="321"/>
      <c r="B663" s="321"/>
      <c r="C663" s="321"/>
      <c r="D663" s="321"/>
      <c r="E663" s="321"/>
      <c r="F663" s="321"/>
      <c r="G663" s="321"/>
      <c r="H663" s="321"/>
      <c r="I663" s="321"/>
      <c r="J663" s="321"/>
      <c r="K663" s="321"/>
      <c r="L663" s="321"/>
      <c r="M663" s="321"/>
      <c r="N663" s="321"/>
      <c r="O663" s="321"/>
      <c r="P663" s="321"/>
      <c r="Q663" s="321"/>
      <c r="R663" s="321"/>
      <c r="S663" s="321"/>
      <c r="T663" s="321"/>
      <c r="U663" s="321"/>
      <c r="V663" s="321"/>
      <c r="W663" s="321"/>
      <c r="X663" s="321"/>
      <c r="Y663" s="321"/>
    </row>
    <row r="664" spans="1:25" ht="12.75" x14ac:dyDescent="0.2">
      <c r="A664" s="321"/>
      <c r="B664" s="321"/>
      <c r="C664" s="321"/>
      <c r="D664" s="321"/>
      <c r="E664" s="321"/>
      <c r="F664" s="321"/>
      <c r="G664" s="321"/>
      <c r="H664" s="321"/>
      <c r="I664" s="321"/>
      <c r="J664" s="321"/>
      <c r="K664" s="321"/>
      <c r="L664" s="321"/>
      <c r="M664" s="321"/>
      <c r="N664" s="321"/>
      <c r="O664" s="321"/>
      <c r="P664" s="321"/>
      <c r="Q664" s="321"/>
      <c r="R664" s="321"/>
      <c r="S664" s="321"/>
      <c r="T664" s="321"/>
      <c r="U664" s="321"/>
      <c r="V664" s="321"/>
      <c r="W664" s="321"/>
      <c r="X664" s="321"/>
      <c r="Y664" s="321"/>
    </row>
    <row r="665" spans="1:25" ht="12.75" x14ac:dyDescent="0.2">
      <c r="A665" s="321"/>
      <c r="B665" s="321"/>
      <c r="C665" s="321"/>
      <c r="D665" s="321"/>
      <c r="E665" s="321"/>
      <c r="F665" s="321"/>
      <c r="G665" s="321"/>
      <c r="H665" s="321"/>
      <c r="I665" s="321"/>
      <c r="J665" s="321"/>
      <c r="K665" s="321"/>
      <c r="L665" s="321"/>
      <c r="M665" s="321"/>
      <c r="N665" s="321"/>
      <c r="O665" s="321"/>
      <c r="P665" s="321"/>
      <c r="Q665" s="321"/>
      <c r="R665" s="321"/>
      <c r="S665" s="321"/>
      <c r="T665" s="321"/>
      <c r="U665" s="321"/>
      <c r="V665" s="321"/>
      <c r="W665" s="321"/>
      <c r="X665" s="321"/>
      <c r="Y665" s="321"/>
    </row>
    <row r="666" spans="1:25" ht="12.75" x14ac:dyDescent="0.2">
      <c r="A666" s="321"/>
      <c r="B666" s="321"/>
      <c r="C666" s="321"/>
      <c r="D666" s="321"/>
      <c r="E666" s="321"/>
      <c r="F666" s="321"/>
      <c r="G666" s="321"/>
      <c r="H666" s="321"/>
      <c r="I666" s="321"/>
      <c r="J666" s="321"/>
      <c r="K666" s="321"/>
      <c r="L666" s="321"/>
      <c r="M666" s="321"/>
      <c r="N666" s="321"/>
      <c r="O666" s="321"/>
      <c r="P666" s="321"/>
      <c r="Q666" s="321"/>
      <c r="R666" s="321"/>
      <c r="S666" s="321"/>
      <c r="T666" s="321"/>
      <c r="U666" s="321"/>
      <c r="V666" s="321"/>
      <c r="W666" s="321"/>
      <c r="X666" s="321"/>
      <c r="Y666" s="321"/>
    </row>
    <row r="667" spans="1:25" ht="12.75" x14ac:dyDescent="0.2">
      <c r="A667" s="321"/>
      <c r="B667" s="321"/>
      <c r="C667" s="321"/>
      <c r="D667" s="321"/>
      <c r="E667" s="321"/>
      <c r="F667" s="321"/>
      <c r="G667" s="321"/>
      <c r="H667" s="321"/>
      <c r="I667" s="321"/>
      <c r="J667" s="321"/>
      <c r="K667" s="321"/>
      <c r="L667" s="321"/>
      <c r="M667" s="321"/>
      <c r="N667" s="321"/>
      <c r="O667" s="321"/>
      <c r="P667" s="321"/>
      <c r="Q667" s="321"/>
      <c r="R667" s="321"/>
      <c r="S667" s="321"/>
      <c r="T667" s="321"/>
      <c r="U667" s="321"/>
      <c r="V667" s="321"/>
      <c r="W667" s="321"/>
      <c r="X667" s="321"/>
      <c r="Y667" s="321"/>
    </row>
    <row r="668" spans="1:25" ht="12.75" x14ac:dyDescent="0.2">
      <c r="A668" s="321"/>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row>
    <row r="669" spans="1:25" ht="12.75" x14ac:dyDescent="0.2">
      <c r="A669" s="321"/>
      <c r="B669" s="321"/>
      <c r="C669" s="321"/>
      <c r="D669" s="321"/>
      <c r="E669" s="321"/>
      <c r="F669" s="321"/>
      <c r="G669" s="321"/>
      <c r="H669" s="321"/>
      <c r="I669" s="321"/>
      <c r="J669" s="321"/>
      <c r="K669" s="321"/>
      <c r="L669" s="321"/>
      <c r="M669" s="321"/>
      <c r="N669" s="321"/>
      <c r="O669" s="321"/>
      <c r="P669" s="321"/>
      <c r="Q669" s="321"/>
      <c r="R669" s="321"/>
      <c r="S669" s="321"/>
      <c r="T669" s="321"/>
      <c r="U669" s="321"/>
      <c r="V669" s="321"/>
      <c r="W669" s="321"/>
      <c r="X669" s="321"/>
      <c r="Y669" s="321"/>
    </row>
    <row r="670" spans="1:25" ht="12.75" x14ac:dyDescent="0.2">
      <c r="A670" s="321"/>
      <c r="B670" s="321"/>
      <c r="C670" s="321"/>
      <c r="D670" s="321"/>
      <c r="E670" s="321"/>
      <c r="F670" s="321"/>
      <c r="G670" s="321"/>
      <c r="H670" s="321"/>
      <c r="I670" s="321"/>
      <c r="J670" s="321"/>
      <c r="K670" s="321"/>
      <c r="L670" s="321"/>
      <c r="M670" s="321"/>
      <c r="N670" s="321"/>
      <c r="O670" s="321"/>
      <c r="P670" s="321"/>
      <c r="Q670" s="321"/>
      <c r="R670" s="321"/>
      <c r="S670" s="321"/>
      <c r="T670" s="321"/>
      <c r="U670" s="321"/>
      <c r="V670" s="321"/>
      <c r="W670" s="321"/>
      <c r="X670" s="321"/>
      <c r="Y670" s="321"/>
    </row>
    <row r="671" spans="1:25" ht="12.75" x14ac:dyDescent="0.2">
      <c r="A671" s="321"/>
      <c r="B671" s="321"/>
      <c r="C671" s="321"/>
      <c r="D671" s="321"/>
      <c r="E671" s="321"/>
      <c r="F671" s="321"/>
      <c r="G671" s="321"/>
      <c r="H671" s="321"/>
      <c r="I671" s="321"/>
      <c r="J671" s="321"/>
      <c r="K671" s="321"/>
      <c r="L671" s="321"/>
      <c r="M671" s="321"/>
      <c r="N671" s="321"/>
      <c r="O671" s="321"/>
      <c r="P671" s="321"/>
      <c r="Q671" s="321"/>
      <c r="R671" s="321"/>
      <c r="S671" s="321"/>
      <c r="T671" s="321"/>
      <c r="U671" s="321"/>
      <c r="V671" s="321"/>
      <c r="W671" s="321"/>
      <c r="X671" s="321"/>
      <c r="Y671" s="321"/>
    </row>
    <row r="672" spans="1:25" ht="12.75" x14ac:dyDescent="0.2">
      <c r="A672" s="321"/>
      <c r="B672" s="321"/>
      <c r="C672" s="321"/>
      <c r="D672" s="321"/>
      <c r="E672" s="321"/>
      <c r="F672" s="321"/>
      <c r="G672" s="321"/>
      <c r="H672" s="321"/>
      <c r="I672" s="321"/>
      <c r="J672" s="321"/>
      <c r="K672" s="321"/>
      <c r="L672" s="321"/>
      <c r="M672" s="321"/>
      <c r="N672" s="321"/>
      <c r="O672" s="321"/>
      <c r="P672" s="321"/>
      <c r="Q672" s="321"/>
      <c r="R672" s="321"/>
      <c r="S672" s="321"/>
      <c r="T672" s="321"/>
      <c r="U672" s="321"/>
      <c r="V672" s="321"/>
      <c r="W672" s="321"/>
      <c r="X672" s="321"/>
      <c r="Y672" s="321"/>
    </row>
    <row r="673" spans="1:25" ht="12.75" x14ac:dyDescent="0.2">
      <c r="A673" s="321"/>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row>
    <row r="674" spans="1:25" ht="12.75" x14ac:dyDescent="0.2">
      <c r="A674" s="321"/>
      <c r="B674" s="321"/>
      <c r="C674" s="321"/>
      <c r="D674" s="321"/>
      <c r="E674" s="321"/>
      <c r="F674" s="321"/>
      <c r="G674" s="321"/>
      <c r="H674" s="321"/>
      <c r="I674" s="321"/>
      <c r="J674" s="321"/>
      <c r="K674" s="321"/>
      <c r="L674" s="321"/>
      <c r="M674" s="321"/>
      <c r="N674" s="321"/>
      <c r="O674" s="321"/>
      <c r="P674" s="321"/>
      <c r="Q674" s="321"/>
      <c r="R674" s="321"/>
      <c r="S674" s="321"/>
      <c r="T674" s="321"/>
      <c r="U674" s="321"/>
      <c r="V674" s="321"/>
      <c r="W674" s="321"/>
      <c r="X674" s="321"/>
      <c r="Y674" s="321"/>
    </row>
    <row r="675" spans="1:25" ht="12.75" x14ac:dyDescent="0.2">
      <c r="A675" s="321"/>
      <c r="B675" s="321"/>
      <c r="C675" s="321"/>
      <c r="D675" s="321"/>
      <c r="E675" s="321"/>
      <c r="F675" s="321"/>
      <c r="G675" s="321"/>
      <c r="H675" s="321"/>
      <c r="I675" s="321"/>
      <c r="J675" s="321"/>
      <c r="K675" s="321"/>
      <c r="L675" s="321"/>
      <c r="M675" s="321"/>
      <c r="N675" s="321"/>
      <c r="O675" s="321"/>
      <c r="P675" s="321"/>
      <c r="Q675" s="321"/>
      <c r="R675" s="321"/>
      <c r="S675" s="321"/>
      <c r="T675" s="321"/>
      <c r="U675" s="321"/>
      <c r="V675" s="321"/>
      <c r="W675" s="321"/>
      <c r="X675" s="321"/>
      <c r="Y675" s="321"/>
    </row>
    <row r="676" spans="1:25" ht="12.75" x14ac:dyDescent="0.2">
      <c r="A676" s="321"/>
      <c r="B676" s="321"/>
      <c r="C676" s="321"/>
      <c r="D676" s="321"/>
      <c r="E676" s="321"/>
      <c r="F676" s="321"/>
      <c r="G676" s="321"/>
      <c r="H676" s="321"/>
      <c r="I676" s="321"/>
      <c r="J676" s="321"/>
      <c r="K676" s="321"/>
      <c r="L676" s="321"/>
      <c r="M676" s="321"/>
      <c r="N676" s="321"/>
      <c r="O676" s="321"/>
      <c r="P676" s="321"/>
      <c r="Q676" s="321"/>
      <c r="R676" s="321"/>
      <c r="S676" s="321"/>
      <c r="T676" s="321"/>
      <c r="U676" s="321"/>
      <c r="V676" s="321"/>
      <c r="W676" s="321"/>
      <c r="X676" s="321"/>
      <c r="Y676" s="321"/>
    </row>
    <row r="677" spans="1:25" ht="12.75" x14ac:dyDescent="0.2">
      <c r="A677" s="321"/>
      <c r="B677" s="321"/>
      <c r="C677" s="321"/>
      <c r="D677" s="321"/>
      <c r="E677" s="321"/>
      <c r="F677" s="321"/>
      <c r="G677" s="321"/>
      <c r="H677" s="321"/>
      <c r="I677" s="321"/>
      <c r="J677" s="321"/>
      <c r="K677" s="321"/>
      <c r="L677" s="321"/>
      <c r="M677" s="321"/>
      <c r="N677" s="321"/>
      <c r="O677" s="321"/>
      <c r="P677" s="321"/>
      <c r="Q677" s="321"/>
      <c r="R677" s="321"/>
      <c r="S677" s="321"/>
      <c r="T677" s="321"/>
      <c r="U677" s="321"/>
      <c r="V677" s="321"/>
      <c r="W677" s="321"/>
      <c r="X677" s="321"/>
      <c r="Y677" s="321"/>
    </row>
    <row r="678" spans="1:25" ht="12.75" x14ac:dyDescent="0.2">
      <c r="A678" s="321"/>
      <c r="B678" s="321"/>
      <c r="C678" s="321"/>
      <c r="D678" s="321"/>
      <c r="E678" s="321"/>
      <c r="F678" s="321"/>
      <c r="G678" s="321"/>
      <c r="H678" s="321"/>
      <c r="I678" s="321"/>
      <c r="J678" s="321"/>
      <c r="K678" s="321"/>
      <c r="L678" s="321"/>
      <c r="M678" s="321"/>
      <c r="N678" s="321"/>
      <c r="O678" s="321"/>
      <c r="P678" s="321"/>
      <c r="Q678" s="321"/>
      <c r="R678" s="321"/>
      <c r="S678" s="321"/>
      <c r="T678" s="321"/>
      <c r="U678" s="321"/>
      <c r="V678" s="321"/>
      <c r="W678" s="321"/>
      <c r="X678" s="321"/>
      <c r="Y678" s="321"/>
    </row>
    <row r="679" spans="1:25" ht="12.75" x14ac:dyDescent="0.2">
      <c r="A679" s="321"/>
      <c r="B679" s="321"/>
      <c r="C679" s="321"/>
      <c r="D679" s="321"/>
      <c r="E679" s="321"/>
      <c r="F679" s="321"/>
      <c r="G679" s="321"/>
      <c r="H679" s="321"/>
      <c r="I679" s="321"/>
      <c r="J679" s="321"/>
      <c r="K679" s="321"/>
      <c r="L679" s="321"/>
      <c r="M679" s="321"/>
      <c r="N679" s="321"/>
      <c r="O679" s="321"/>
      <c r="P679" s="321"/>
      <c r="Q679" s="321"/>
      <c r="R679" s="321"/>
      <c r="S679" s="321"/>
      <c r="T679" s="321"/>
      <c r="U679" s="321"/>
      <c r="V679" s="321"/>
      <c r="W679" s="321"/>
      <c r="X679" s="321"/>
      <c r="Y679" s="321"/>
    </row>
    <row r="680" spans="1:25" ht="12.75" x14ac:dyDescent="0.2">
      <c r="A680" s="321"/>
      <c r="B680" s="321"/>
      <c r="C680" s="321"/>
      <c r="D680" s="321"/>
      <c r="E680" s="321"/>
      <c r="F680" s="321"/>
      <c r="G680" s="321"/>
      <c r="H680" s="321"/>
      <c r="I680" s="321"/>
      <c r="J680" s="321"/>
      <c r="K680" s="321"/>
      <c r="L680" s="321"/>
      <c r="M680" s="321"/>
      <c r="N680" s="321"/>
      <c r="O680" s="321"/>
      <c r="P680" s="321"/>
      <c r="Q680" s="321"/>
      <c r="R680" s="321"/>
      <c r="S680" s="321"/>
      <c r="T680" s="321"/>
      <c r="U680" s="321"/>
      <c r="V680" s="321"/>
      <c r="W680" s="321"/>
      <c r="X680" s="321"/>
      <c r="Y680" s="321"/>
    </row>
    <row r="681" spans="1:25" ht="12.75" x14ac:dyDescent="0.2">
      <c r="A681" s="321"/>
      <c r="B681" s="321"/>
      <c r="C681" s="321"/>
      <c r="D681" s="321"/>
      <c r="E681" s="321"/>
      <c r="F681" s="321"/>
      <c r="G681" s="321"/>
      <c r="H681" s="321"/>
      <c r="I681" s="321"/>
      <c r="J681" s="321"/>
      <c r="K681" s="321"/>
      <c r="L681" s="321"/>
      <c r="M681" s="321"/>
      <c r="N681" s="321"/>
      <c r="O681" s="321"/>
      <c r="P681" s="321"/>
      <c r="Q681" s="321"/>
      <c r="R681" s="321"/>
      <c r="S681" s="321"/>
      <c r="T681" s="321"/>
      <c r="U681" s="321"/>
      <c r="V681" s="321"/>
      <c r="W681" s="321"/>
      <c r="X681" s="321"/>
      <c r="Y681" s="321"/>
    </row>
    <row r="682" spans="1:25" ht="12.75" x14ac:dyDescent="0.2">
      <c r="A682" s="321"/>
      <c r="B682" s="321"/>
      <c r="C682" s="321"/>
      <c r="D682" s="321"/>
      <c r="E682" s="321"/>
      <c r="F682" s="321"/>
      <c r="G682" s="321"/>
      <c r="H682" s="321"/>
      <c r="I682" s="321"/>
      <c r="J682" s="321"/>
      <c r="K682" s="321"/>
      <c r="L682" s="321"/>
      <c r="M682" s="321"/>
      <c r="N682" s="321"/>
      <c r="O682" s="321"/>
      <c r="P682" s="321"/>
      <c r="Q682" s="321"/>
      <c r="R682" s="321"/>
      <c r="S682" s="321"/>
      <c r="T682" s="321"/>
      <c r="U682" s="321"/>
      <c r="V682" s="321"/>
      <c r="W682" s="321"/>
      <c r="X682" s="321"/>
      <c r="Y682" s="321"/>
    </row>
    <row r="683" spans="1:25" ht="12.75" x14ac:dyDescent="0.2">
      <c r="A683" s="321"/>
      <c r="B683" s="321"/>
      <c r="C683" s="321"/>
      <c r="D683" s="321"/>
      <c r="E683" s="321"/>
      <c r="F683" s="321"/>
      <c r="G683" s="321"/>
      <c r="H683" s="321"/>
      <c r="I683" s="321"/>
      <c r="J683" s="321"/>
      <c r="K683" s="321"/>
      <c r="L683" s="321"/>
      <c r="M683" s="321"/>
      <c r="N683" s="321"/>
      <c r="O683" s="321"/>
      <c r="P683" s="321"/>
      <c r="Q683" s="321"/>
      <c r="R683" s="321"/>
      <c r="S683" s="321"/>
      <c r="T683" s="321"/>
      <c r="U683" s="321"/>
      <c r="V683" s="321"/>
      <c r="W683" s="321"/>
      <c r="X683" s="321"/>
      <c r="Y683" s="321"/>
    </row>
    <row r="684" spans="1:25" ht="12.75" x14ac:dyDescent="0.2">
      <c r="A684" s="321"/>
      <c r="B684" s="321"/>
      <c r="C684" s="321"/>
      <c r="D684" s="321"/>
      <c r="E684" s="321"/>
      <c r="F684" s="321"/>
      <c r="G684" s="321"/>
      <c r="H684" s="321"/>
      <c r="I684" s="321"/>
      <c r="J684" s="321"/>
      <c r="K684" s="321"/>
      <c r="L684" s="321"/>
      <c r="M684" s="321"/>
      <c r="N684" s="321"/>
      <c r="O684" s="321"/>
      <c r="P684" s="321"/>
      <c r="Q684" s="321"/>
      <c r="R684" s="321"/>
      <c r="S684" s="321"/>
      <c r="T684" s="321"/>
      <c r="U684" s="321"/>
      <c r="V684" s="321"/>
      <c r="W684" s="321"/>
      <c r="X684" s="321"/>
      <c r="Y684" s="321"/>
    </row>
    <row r="685" spans="1:25" ht="12.75" x14ac:dyDescent="0.2">
      <c r="A685" s="321"/>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row>
    <row r="686" spans="1:25" ht="12.75" x14ac:dyDescent="0.2">
      <c r="A686" s="321"/>
      <c r="B686" s="321"/>
      <c r="C686" s="321"/>
      <c r="D686" s="321"/>
      <c r="E686" s="321"/>
      <c r="F686" s="321"/>
      <c r="G686" s="321"/>
      <c r="H686" s="321"/>
      <c r="I686" s="321"/>
      <c r="J686" s="321"/>
      <c r="K686" s="321"/>
      <c r="L686" s="321"/>
      <c r="M686" s="321"/>
      <c r="N686" s="321"/>
      <c r="O686" s="321"/>
      <c r="P686" s="321"/>
      <c r="Q686" s="321"/>
      <c r="R686" s="321"/>
      <c r="S686" s="321"/>
      <c r="T686" s="321"/>
      <c r="U686" s="321"/>
      <c r="V686" s="321"/>
      <c r="W686" s="321"/>
      <c r="X686" s="321"/>
      <c r="Y686" s="321"/>
    </row>
    <row r="687" spans="1:25" ht="12.75" x14ac:dyDescent="0.2">
      <c r="A687" s="321"/>
      <c r="B687" s="321"/>
      <c r="C687" s="321"/>
      <c r="D687" s="321"/>
      <c r="E687" s="321"/>
      <c r="F687" s="321"/>
      <c r="G687" s="321"/>
      <c r="H687" s="321"/>
      <c r="I687" s="321"/>
      <c r="J687" s="321"/>
      <c r="K687" s="321"/>
      <c r="L687" s="321"/>
      <c r="M687" s="321"/>
      <c r="N687" s="321"/>
      <c r="O687" s="321"/>
      <c r="P687" s="321"/>
      <c r="Q687" s="321"/>
      <c r="R687" s="321"/>
      <c r="S687" s="321"/>
      <c r="T687" s="321"/>
      <c r="U687" s="321"/>
      <c r="V687" s="321"/>
      <c r="W687" s="321"/>
      <c r="X687" s="321"/>
      <c r="Y687" s="321"/>
    </row>
    <row r="688" spans="1:25" ht="12.75" x14ac:dyDescent="0.2">
      <c r="A688" s="321"/>
      <c r="B688" s="321"/>
      <c r="C688" s="321"/>
      <c r="D688" s="321"/>
      <c r="E688" s="321"/>
      <c r="F688" s="321"/>
      <c r="G688" s="321"/>
      <c r="H688" s="321"/>
      <c r="I688" s="321"/>
      <c r="J688" s="321"/>
      <c r="K688" s="321"/>
      <c r="L688" s="321"/>
      <c r="M688" s="321"/>
      <c r="N688" s="321"/>
      <c r="O688" s="321"/>
      <c r="P688" s="321"/>
      <c r="Q688" s="321"/>
      <c r="R688" s="321"/>
      <c r="S688" s="321"/>
      <c r="T688" s="321"/>
      <c r="U688" s="321"/>
      <c r="V688" s="321"/>
      <c r="W688" s="321"/>
      <c r="X688" s="321"/>
      <c r="Y688" s="321"/>
    </row>
    <row r="689" spans="1:25" ht="12.75" x14ac:dyDescent="0.2">
      <c r="A689" s="321"/>
      <c r="B689" s="321"/>
      <c r="C689" s="321"/>
      <c r="D689" s="321"/>
      <c r="E689" s="321"/>
      <c r="F689" s="321"/>
      <c r="G689" s="321"/>
      <c r="H689" s="321"/>
      <c r="I689" s="321"/>
      <c r="J689" s="321"/>
      <c r="K689" s="321"/>
      <c r="L689" s="321"/>
      <c r="M689" s="321"/>
      <c r="N689" s="321"/>
      <c r="O689" s="321"/>
      <c r="P689" s="321"/>
      <c r="Q689" s="321"/>
      <c r="R689" s="321"/>
      <c r="S689" s="321"/>
      <c r="T689" s="321"/>
      <c r="U689" s="321"/>
      <c r="V689" s="321"/>
      <c r="W689" s="321"/>
      <c r="X689" s="321"/>
      <c r="Y689" s="321"/>
    </row>
    <row r="690" spans="1:25" ht="12.75" x14ac:dyDescent="0.2">
      <c r="A690" s="321"/>
      <c r="B690" s="321"/>
      <c r="C690" s="321"/>
      <c r="D690" s="321"/>
      <c r="E690" s="321"/>
      <c r="F690" s="321"/>
      <c r="G690" s="321"/>
      <c r="H690" s="321"/>
      <c r="I690" s="321"/>
      <c r="J690" s="321"/>
      <c r="K690" s="321"/>
      <c r="L690" s="321"/>
      <c r="M690" s="321"/>
      <c r="N690" s="321"/>
      <c r="O690" s="321"/>
      <c r="P690" s="321"/>
      <c r="Q690" s="321"/>
      <c r="R690" s="321"/>
      <c r="S690" s="321"/>
      <c r="T690" s="321"/>
      <c r="U690" s="321"/>
      <c r="V690" s="321"/>
      <c r="W690" s="321"/>
      <c r="X690" s="321"/>
      <c r="Y690" s="321"/>
    </row>
    <row r="691" spans="1:25" ht="12.75" x14ac:dyDescent="0.2">
      <c r="A691" s="321"/>
      <c r="B691" s="321"/>
      <c r="C691" s="321"/>
      <c r="D691" s="321"/>
      <c r="E691" s="321"/>
      <c r="F691" s="321"/>
      <c r="G691" s="321"/>
      <c r="H691" s="321"/>
      <c r="I691" s="321"/>
      <c r="J691" s="321"/>
      <c r="K691" s="321"/>
      <c r="L691" s="321"/>
      <c r="M691" s="321"/>
      <c r="N691" s="321"/>
      <c r="O691" s="321"/>
      <c r="P691" s="321"/>
      <c r="Q691" s="321"/>
      <c r="R691" s="321"/>
      <c r="S691" s="321"/>
      <c r="T691" s="321"/>
      <c r="U691" s="321"/>
      <c r="V691" s="321"/>
      <c r="W691" s="321"/>
      <c r="X691" s="321"/>
      <c r="Y691" s="321"/>
    </row>
    <row r="692" spans="1:25" ht="12.75" x14ac:dyDescent="0.2">
      <c r="A692" s="321"/>
      <c r="B692" s="321"/>
      <c r="C692" s="321"/>
      <c r="D692" s="321"/>
      <c r="E692" s="321"/>
      <c r="F692" s="321"/>
      <c r="G692" s="321"/>
      <c r="H692" s="321"/>
      <c r="I692" s="321"/>
      <c r="J692" s="321"/>
      <c r="K692" s="321"/>
      <c r="L692" s="321"/>
      <c r="M692" s="321"/>
      <c r="N692" s="321"/>
      <c r="O692" s="321"/>
      <c r="P692" s="321"/>
      <c r="Q692" s="321"/>
      <c r="R692" s="321"/>
      <c r="S692" s="321"/>
      <c r="T692" s="321"/>
      <c r="U692" s="321"/>
      <c r="V692" s="321"/>
      <c r="W692" s="321"/>
      <c r="X692" s="321"/>
      <c r="Y692" s="321"/>
    </row>
    <row r="693" spans="1:25" ht="12.75" x14ac:dyDescent="0.2">
      <c r="A693" s="321"/>
      <c r="B693" s="321"/>
      <c r="C693" s="321"/>
      <c r="D693" s="321"/>
      <c r="E693" s="321"/>
      <c r="F693" s="321"/>
      <c r="G693" s="321"/>
      <c r="H693" s="321"/>
      <c r="I693" s="321"/>
      <c r="J693" s="321"/>
      <c r="K693" s="321"/>
      <c r="L693" s="321"/>
      <c r="M693" s="321"/>
      <c r="N693" s="321"/>
      <c r="O693" s="321"/>
      <c r="P693" s="321"/>
      <c r="Q693" s="321"/>
      <c r="R693" s="321"/>
      <c r="S693" s="321"/>
      <c r="T693" s="321"/>
      <c r="U693" s="321"/>
      <c r="V693" s="321"/>
      <c r="W693" s="321"/>
      <c r="X693" s="321"/>
      <c r="Y693" s="321"/>
    </row>
    <row r="694" spans="1:25" ht="12.75" x14ac:dyDescent="0.2">
      <c r="A694" s="321"/>
      <c r="B694" s="321"/>
      <c r="C694" s="321"/>
      <c r="D694" s="321"/>
      <c r="E694" s="321"/>
      <c r="F694" s="321"/>
      <c r="G694" s="321"/>
      <c r="H694" s="321"/>
      <c r="I694" s="321"/>
      <c r="J694" s="321"/>
      <c r="K694" s="321"/>
      <c r="L694" s="321"/>
      <c r="M694" s="321"/>
      <c r="N694" s="321"/>
      <c r="O694" s="321"/>
      <c r="P694" s="321"/>
      <c r="Q694" s="321"/>
      <c r="R694" s="321"/>
      <c r="S694" s="321"/>
      <c r="T694" s="321"/>
      <c r="U694" s="321"/>
      <c r="V694" s="321"/>
      <c r="W694" s="321"/>
      <c r="X694" s="321"/>
      <c r="Y694" s="321"/>
    </row>
    <row r="695" spans="1:25" ht="12.75" x14ac:dyDescent="0.2">
      <c r="A695" s="321"/>
      <c r="B695" s="321"/>
      <c r="C695" s="321"/>
      <c r="D695" s="321"/>
      <c r="E695" s="321"/>
      <c r="F695" s="321"/>
      <c r="G695" s="321"/>
      <c r="H695" s="321"/>
      <c r="I695" s="321"/>
      <c r="J695" s="321"/>
      <c r="K695" s="321"/>
      <c r="L695" s="321"/>
      <c r="M695" s="321"/>
      <c r="N695" s="321"/>
      <c r="O695" s="321"/>
      <c r="P695" s="321"/>
      <c r="Q695" s="321"/>
      <c r="R695" s="321"/>
      <c r="S695" s="321"/>
      <c r="T695" s="321"/>
      <c r="U695" s="321"/>
      <c r="V695" s="321"/>
      <c r="W695" s="321"/>
      <c r="X695" s="321"/>
      <c r="Y695" s="321"/>
    </row>
    <row r="696" spans="1:25" ht="12.75" x14ac:dyDescent="0.2">
      <c r="A696" s="321"/>
      <c r="B696" s="321"/>
      <c r="C696" s="321"/>
      <c r="D696" s="321"/>
      <c r="E696" s="321"/>
      <c r="F696" s="321"/>
      <c r="G696" s="321"/>
      <c r="H696" s="321"/>
      <c r="I696" s="321"/>
      <c r="J696" s="321"/>
      <c r="K696" s="321"/>
      <c r="L696" s="321"/>
      <c r="M696" s="321"/>
      <c r="N696" s="321"/>
      <c r="O696" s="321"/>
      <c r="P696" s="321"/>
      <c r="Q696" s="321"/>
      <c r="R696" s="321"/>
      <c r="S696" s="321"/>
      <c r="T696" s="321"/>
      <c r="U696" s="321"/>
      <c r="V696" s="321"/>
      <c r="W696" s="321"/>
      <c r="X696" s="321"/>
      <c r="Y696" s="321"/>
    </row>
    <row r="697" spans="1:25" ht="12.75" x14ac:dyDescent="0.2">
      <c r="A697" s="321"/>
      <c r="B697" s="321"/>
      <c r="C697" s="321"/>
      <c r="D697" s="321"/>
      <c r="E697" s="321"/>
      <c r="F697" s="321"/>
      <c r="G697" s="321"/>
      <c r="H697" s="321"/>
      <c r="I697" s="321"/>
      <c r="J697" s="321"/>
      <c r="K697" s="321"/>
      <c r="L697" s="321"/>
      <c r="M697" s="321"/>
      <c r="N697" s="321"/>
      <c r="O697" s="321"/>
      <c r="P697" s="321"/>
      <c r="Q697" s="321"/>
      <c r="R697" s="321"/>
      <c r="S697" s="321"/>
      <c r="T697" s="321"/>
      <c r="U697" s="321"/>
      <c r="V697" s="321"/>
      <c r="W697" s="321"/>
      <c r="X697" s="321"/>
      <c r="Y697" s="321"/>
    </row>
    <row r="698" spans="1:25" ht="12.75" x14ac:dyDescent="0.2">
      <c r="A698" s="321"/>
      <c r="B698" s="321"/>
      <c r="C698" s="321"/>
      <c r="D698" s="321"/>
      <c r="E698" s="321"/>
      <c r="F698" s="321"/>
      <c r="G698" s="321"/>
      <c r="H698" s="321"/>
      <c r="I698" s="321"/>
      <c r="J698" s="321"/>
      <c r="K698" s="321"/>
      <c r="L698" s="321"/>
      <c r="M698" s="321"/>
      <c r="N698" s="321"/>
      <c r="O698" s="321"/>
      <c r="P698" s="321"/>
      <c r="Q698" s="321"/>
      <c r="R698" s="321"/>
      <c r="S698" s="321"/>
      <c r="T698" s="321"/>
      <c r="U698" s="321"/>
      <c r="V698" s="321"/>
      <c r="W698" s="321"/>
      <c r="X698" s="321"/>
      <c r="Y698" s="321"/>
    </row>
    <row r="699" spans="1:25" ht="12.75" x14ac:dyDescent="0.2">
      <c r="A699" s="321"/>
      <c r="B699" s="321"/>
      <c r="C699" s="321"/>
      <c r="D699" s="321"/>
      <c r="E699" s="321"/>
      <c r="F699" s="321"/>
      <c r="G699" s="321"/>
      <c r="H699" s="321"/>
      <c r="I699" s="321"/>
      <c r="J699" s="321"/>
      <c r="K699" s="321"/>
      <c r="L699" s="321"/>
      <c r="M699" s="321"/>
      <c r="N699" s="321"/>
      <c r="O699" s="321"/>
      <c r="P699" s="321"/>
      <c r="Q699" s="321"/>
      <c r="R699" s="321"/>
      <c r="S699" s="321"/>
      <c r="T699" s="321"/>
      <c r="U699" s="321"/>
      <c r="V699" s="321"/>
      <c r="W699" s="321"/>
      <c r="X699" s="321"/>
      <c r="Y699" s="321"/>
    </row>
    <row r="700" spans="1:25" ht="12.75" x14ac:dyDescent="0.2">
      <c r="A700" s="321"/>
      <c r="B700" s="321"/>
      <c r="C700" s="321"/>
      <c r="D700" s="321"/>
      <c r="E700" s="321"/>
      <c r="F700" s="321"/>
      <c r="G700" s="321"/>
      <c r="H700" s="321"/>
      <c r="I700" s="321"/>
      <c r="J700" s="321"/>
      <c r="K700" s="321"/>
      <c r="L700" s="321"/>
      <c r="M700" s="321"/>
      <c r="N700" s="321"/>
      <c r="O700" s="321"/>
      <c r="P700" s="321"/>
      <c r="Q700" s="321"/>
      <c r="R700" s="321"/>
      <c r="S700" s="321"/>
      <c r="T700" s="321"/>
      <c r="U700" s="321"/>
      <c r="V700" s="321"/>
      <c r="W700" s="321"/>
      <c r="X700" s="321"/>
      <c r="Y700" s="321"/>
    </row>
    <row r="701" spans="1:25" ht="12.75" x14ac:dyDescent="0.2">
      <c r="A701" s="321"/>
      <c r="B701" s="321"/>
      <c r="C701" s="321"/>
      <c r="D701" s="321"/>
      <c r="E701" s="321"/>
      <c r="F701" s="321"/>
      <c r="G701" s="321"/>
      <c r="H701" s="321"/>
      <c r="I701" s="321"/>
      <c r="J701" s="321"/>
      <c r="K701" s="321"/>
      <c r="L701" s="321"/>
      <c r="M701" s="321"/>
      <c r="N701" s="321"/>
      <c r="O701" s="321"/>
      <c r="P701" s="321"/>
      <c r="Q701" s="321"/>
      <c r="R701" s="321"/>
      <c r="S701" s="321"/>
      <c r="T701" s="321"/>
      <c r="U701" s="321"/>
      <c r="V701" s="321"/>
      <c r="W701" s="321"/>
      <c r="X701" s="321"/>
      <c r="Y701" s="321"/>
    </row>
    <row r="702" spans="1:25" ht="12.75" x14ac:dyDescent="0.2">
      <c r="A702" s="321"/>
      <c r="B702" s="321"/>
      <c r="C702" s="321"/>
      <c r="D702" s="321"/>
      <c r="E702" s="321"/>
      <c r="F702" s="321"/>
      <c r="G702" s="321"/>
      <c r="H702" s="321"/>
      <c r="I702" s="321"/>
      <c r="J702" s="321"/>
      <c r="K702" s="321"/>
      <c r="L702" s="321"/>
      <c r="M702" s="321"/>
      <c r="N702" s="321"/>
      <c r="O702" s="321"/>
      <c r="P702" s="321"/>
      <c r="Q702" s="321"/>
      <c r="R702" s="321"/>
      <c r="S702" s="321"/>
      <c r="T702" s="321"/>
      <c r="U702" s="321"/>
      <c r="V702" s="321"/>
      <c r="W702" s="321"/>
      <c r="X702" s="321"/>
      <c r="Y702" s="321"/>
    </row>
    <row r="703" spans="1:25" ht="12.75" x14ac:dyDescent="0.2">
      <c r="A703" s="321"/>
      <c r="B703" s="321"/>
      <c r="C703" s="321"/>
      <c r="D703" s="321"/>
      <c r="E703" s="321"/>
      <c r="F703" s="321"/>
      <c r="G703" s="321"/>
      <c r="H703" s="321"/>
      <c r="I703" s="321"/>
      <c r="J703" s="321"/>
      <c r="K703" s="321"/>
      <c r="L703" s="321"/>
      <c r="M703" s="321"/>
      <c r="N703" s="321"/>
      <c r="O703" s="321"/>
      <c r="P703" s="321"/>
      <c r="Q703" s="321"/>
      <c r="R703" s="321"/>
      <c r="S703" s="321"/>
      <c r="T703" s="321"/>
      <c r="U703" s="321"/>
      <c r="V703" s="321"/>
      <c r="W703" s="321"/>
      <c r="X703" s="321"/>
      <c r="Y703" s="321"/>
    </row>
    <row r="704" spans="1:25" ht="12.75" x14ac:dyDescent="0.2">
      <c r="A704" s="321"/>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row>
    <row r="705" spans="1:25" ht="12.75" x14ac:dyDescent="0.2">
      <c r="A705" s="321"/>
      <c r="B705" s="321"/>
      <c r="C705" s="321"/>
      <c r="D705" s="321"/>
      <c r="E705" s="321"/>
      <c r="F705" s="321"/>
      <c r="G705" s="321"/>
      <c r="H705" s="321"/>
      <c r="I705" s="321"/>
      <c r="J705" s="321"/>
      <c r="K705" s="321"/>
      <c r="L705" s="321"/>
      <c r="M705" s="321"/>
      <c r="N705" s="321"/>
      <c r="O705" s="321"/>
      <c r="P705" s="321"/>
      <c r="Q705" s="321"/>
      <c r="R705" s="321"/>
      <c r="S705" s="321"/>
      <c r="T705" s="321"/>
      <c r="U705" s="321"/>
      <c r="V705" s="321"/>
      <c r="W705" s="321"/>
      <c r="X705" s="321"/>
      <c r="Y705" s="321"/>
    </row>
    <row r="706" spans="1:25" ht="12.75" x14ac:dyDescent="0.2">
      <c r="A706" s="321"/>
      <c r="B706" s="321"/>
      <c r="C706" s="321"/>
      <c r="D706" s="321"/>
      <c r="E706" s="321"/>
      <c r="F706" s="321"/>
      <c r="G706" s="321"/>
      <c r="H706" s="321"/>
      <c r="I706" s="321"/>
      <c r="J706" s="321"/>
      <c r="K706" s="321"/>
      <c r="L706" s="321"/>
      <c r="M706" s="321"/>
      <c r="N706" s="321"/>
      <c r="O706" s="321"/>
      <c r="P706" s="321"/>
      <c r="Q706" s="321"/>
      <c r="R706" s="321"/>
      <c r="S706" s="321"/>
      <c r="T706" s="321"/>
      <c r="U706" s="321"/>
      <c r="V706" s="321"/>
      <c r="W706" s="321"/>
      <c r="X706" s="321"/>
      <c r="Y706" s="321"/>
    </row>
    <row r="707" spans="1:25" ht="12.75" x14ac:dyDescent="0.2">
      <c r="A707" s="321"/>
      <c r="B707" s="321"/>
      <c r="C707" s="321"/>
      <c r="D707" s="321"/>
      <c r="E707" s="321"/>
      <c r="F707" s="321"/>
      <c r="G707" s="321"/>
      <c r="H707" s="321"/>
      <c r="I707" s="321"/>
      <c r="J707" s="321"/>
      <c r="K707" s="321"/>
      <c r="L707" s="321"/>
      <c r="M707" s="321"/>
      <c r="N707" s="321"/>
      <c r="O707" s="321"/>
      <c r="P707" s="321"/>
      <c r="Q707" s="321"/>
      <c r="R707" s="321"/>
      <c r="S707" s="321"/>
      <c r="T707" s="321"/>
      <c r="U707" s="321"/>
      <c r="V707" s="321"/>
      <c r="W707" s="321"/>
      <c r="X707" s="321"/>
      <c r="Y707" s="321"/>
    </row>
    <row r="708" spans="1:25" ht="12.75" x14ac:dyDescent="0.2">
      <c r="A708" s="321"/>
      <c r="B708" s="321"/>
      <c r="C708" s="321"/>
      <c r="D708" s="321"/>
      <c r="E708" s="321"/>
      <c r="F708" s="321"/>
      <c r="G708" s="321"/>
      <c r="H708" s="321"/>
      <c r="I708" s="321"/>
      <c r="J708" s="321"/>
      <c r="K708" s="321"/>
      <c r="L708" s="321"/>
      <c r="M708" s="321"/>
      <c r="N708" s="321"/>
      <c r="O708" s="321"/>
      <c r="P708" s="321"/>
      <c r="Q708" s="321"/>
      <c r="R708" s="321"/>
      <c r="S708" s="321"/>
      <c r="T708" s="321"/>
      <c r="U708" s="321"/>
      <c r="V708" s="321"/>
      <c r="W708" s="321"/>
      <c r="X708" s="321"/>
      <c r="Y708" s="321"/>
    </row>
    <row r="709" spans="1:25" ht="12.75" x14ac:dyDescent="0.2">
      <c r="A709" s="321"/>
      <c r="B709" s="321"/>
      <c r="C709" s="321"/>
      <c r="D709" s="321"/>
      <c r="E709" s="321"/>
      <c r="F709" s="321"/>
      <c r="G709" s="321"/>
      <c r="H709" s="321"/>
      <c r="I709" s="321"/>
      <c r="J709" s="321"/>
      <c r="K709" s="321"/>
      <c r="L709" s="321"/>
      <c r="M709" s="321"/>
      <c r="N709" s="321"/>
      <c r="O709" s="321"/>
      <c r="P709" s="321"/>
      <c r="Q709" s="321"/>
      <c r="R709" s="321"/>
      <c r="S709" s="321"/>
      <c r="T709" s="321"/>
      <c r="U709" s="321"/>
      <c r="V709" s="321"/>
      <c r="W709" s="321"/>
      <c r="X709" s="321"/>
      <c r="Y709" s="321"/>
    </row>
    <row r="710" spans="1:25" ht="12.75" x14ac:dyDescent="0.2">
      <c r="A710" s="321"/>
      <c r="B710" s="321"/>
      <c r="C710" s="321"/>
      <c r="D710" s="321"/>
      <c r="E710" s="321"/>
      <c r="F710" s="321"/>
      <c r="G710" s="321"/>
      <c r="H710" s="321"/>
      <c r="I710" s="321"/>
      <c r="J710" s="321"/>
      <c r="K710" s="321"/>
      <c r="L710" s="321"/>
      <c r="M710" s="321"/>
      <c r="N710" s="321"/>
      <c r="O710" s="321"/>
      <c r="P710" s="321"/>
      <c r="Q710" s="321"/>
      <c r="R710" s="321"/>
      <c r="S710" s="321"/>
      <c r="T710" s="321"/>
      <c r="U710" s="321"/>
      <c r="V710" s="321"/>
      <c r="W710" s="321"/>
      <c r="X710" s="321"/>
      <c r="Y710" s="321"/>
    </row>
    <row r="711" spans="1:25" ht="12.75" x14ac:dyDescent="0.2">
      <c r="A711" s="321"/>
      <c r="B711" s="321"/>
      <c r="C711" s="321"/>
      <c r="D711" s="321"/>
      <c r="E711" s="321"/>
      <c r="F711" s="321"/>
      <c r="G711" s="321"/>
      <c r="H711" s="321"/>
      <c r="I711" s="321"/>
      <c r="J711" s="321"/>
      <c r="K711" s="321"/>
      <c r="L711" s="321"/>
      <c r="M711" s="321"/>
      <c r="N711" s="321"/>
      <c r="O711" s="321"/>
      <c r="P711" s="321"/>
      <c r="Q711" s="321"/>
      <c r="R711" s="321"/>
      <c r="S711" s="321"/>
      <c r="T711" s="321"/>
      <c r="U711" s="321"/>
      <c r="V711" s="321"/>
      <c r="W711" s="321"/>
      <c r="X711" s="321"/>
      <c r="Y711" s="321"/>
    </row>
    <row r="712" spans="1:25" ht="12.75" x14ac:dyDescent="0.2">
      <c r="A712" s="321"/>
      <c r="B712" s="321"/>
      <c r="C712" s="321"/>
      <c r="D712" s="321"/>
      <c r="E712" s="321"/>
      <c r="F712" s="321"/>
      <c r="G712" s="321"/>
      <c r="H712" s="321"/>
      <c r="I712" s="321"/>
      <c r="J712" s="321"/>
      <c r="K712" s="321"/>
      <c r="L712" s="321"/>
      <c r="M712" s="321"/>
      <c r="N712" s="321"/>
      <c r="O712" s="321"/>
      <c r="P712" s="321"/>
      <c r="Q712" s="321"/>
      <c r="R712" s="321"/>
      <c r="S712" s="321"/>
      <c r="T712" s="321"/>
      <c r="U712" s="321"/>
      <c r="V712" s="321"/>
      <c r="W712" s="321"/>
      <c r="X712" s="321"/>
      <c r="Y712" s="321"/>
    </row>
    <row r="713" spans="1:25" ht="12.75" x14ac:dyDescent="0.2">
      <c r="A713" s="321"/>
      <c r="B713" s="321"/>
      <c r="C713" s="321"/>
      <c r="D713" s="321"/>
      <c r="E713" s="321"/>
      <c r="F713" s="321"/>
      <c r="G713" s="321"/>
      <c r="H713" s="321"/>
      <c r="I713" s="321"/>
      <c r="J713" s="321"/>
      <c r="K713" s="321"/>
      <c r="L713" s="321"/>
      <c r="M713" s="321"/>
      <c r="N713" s="321"/>
      <c r="O713" s="321"/>
      <c r="P713" s="321"/>
      <c r="Q713" s="321"/>
      <c r="R713" s="321"/>
      <c r="S713" s="321"/>
      <c r="T713" s="321"/>
      <c r="U713" s="321"/>
      <c r="V713" s="321"/>
      <c r="W713" s="321"/>
      <c r="X713" s="321"/>
      <c r="Y713" s="321"/>
    </row>
    <row r="714" spans="1:25" ht="12.75" x14ac:dyDescent="0.2">
      <c r="A714" s="321"/>
      <c r="B714" s="321"/>
      <c r="C714" s="321"/>
      <c r="D714" s="321"/>
      <c r="E714" s="321"/>
      <c r="F714" s="321"/>
      <c r="G714" s="321"/>
      <c r="H714" s="321"/>
      <c r="I714" s="321"/>
      <c r="J714" s="321"/>
      <c r="K714" s="321"/>
      <c r="L714" s="321"/>
      <c r="M714" s="321"/>
      <c r="N714" s="321"/>
      <c r="O714" s="321"/>
      <c r="P714" s="321"/>
      <c r="Q714" s="321"/>
      <c r="R714" s="321"/>
      <c r="S714" s="321"/>
      <c r="T714" s="321"/>
      <c r="U714" s="321"/>
      <c r="V714" s="321"/>
      <c r="W714" s="321"/>
      <c r="X714" s="321"/>
      <c r="Y714" s="321"/>
    </row>
    <row r="715" spans="1:25" ht="12.75" x14ac:dyDescent="0.2">
      <c r="A715" s="321"/>
      <c r="B715" s="321"/>
      <c r="C715" s="321"/>
      <c r="D715" s="321"/>
      <c r="E715" s="321"/>
      <c r="F715" s="321"/>
      <c r="G715" s="321"/>
      <c r="H715" s="321"/>
      <c r="I715" s="321"/>
      <c r="J715" s="321"/>
      <c r="K715" s="321"/>
      <c r="L715" s="321"/>
      <c r="M715" s="321"/>
      <c r="N715" s="321"/>
      <c r="O715" s="321"/>
      <c r="P715" s="321"/>
      <c r="Q715" s="321"/>
      <c r="R715" s="321"/>
      <c r="S715" s="321"/>
      <c r="T715" s="321"/>
      <c r="U715" s="321"/>
      <c r="V715" s="321"/>
      <c r="W715" s="321"/>
      <c r="X715" s="321"/>
      <c r="Y715" s="321"/>
    </row>
    <row r="716" spans="1:25" ht="12.75" x14ac:dyDescent="0.2">
      <c r="A716" s="321"/>
      <c r="B716" s="321"/>
      <c r="C716" s="321"/>
      <c r="D716" s="321"/>
      <c r="E716" s="321"/>
      <c r="F716" s="321"/>
      <c r="G716" s="321"/>
      <c r="H716" s="321"/>
      <c r="I716" s="321"/>
      <c r="J716" s="321"/>
      <c r="K716" s="321"/>
      <c r="L716" s="321"/>
      <c r="M716" s="321"/>
      <c r="N716" s="321"/>
      <c r="O716" s="321"/>
      <c r="P716" s="321"/>
      <c r="Q716" s="321"/>
      <c r="R716" s="321"/>
      <c r="S716" s="321"/>
      <c r="T716" s="321"/>
      <c r="U716" s="321"/>
      <c r="V716" s="321"/>
      <c r="W716" s="321"/>
      <c r="X716" s="321"/>
      <c r="Y716" s="321"/>
    </row>
    <row r="717" spans="1:25" ht="12.75" x14ac:dyDescent="0.2">
      <c r="A717" s="321"/>
      <c r="B717" s="321"/>
      <c r="C717" s="321"/>
      <c r="D717" s="321"/>
      <c r="E717" s="321"/>
      <c r="F717" s="321"/>
      <c r="G717" s="321"/>
      <c r="H717" s="321"/>
      <c r="I717" s="321"/>
      <c r="J717" s="321"/>
      <c r="K717" s="321"/>
      <c r="L717" s="321"/>
      <c r="M717" s="321"/>
      <c r="N717" s="321"/>
      <c r="O717" s="321"/>
      <c r="P717" s="321"/>
      <c r="Q717" s="321"/>
      <c r="R717" s="321"/>
      <c r="S717" s="321"/>
      <c r="T717" s="321"/>
      <c r="U717" s="321"/>
      <c r="V717" s="321"/>
      <c r="W717" s="321"/>
      <c r="X717" s="321"/>
      <c r="Y717" s="321"/>
    </row>
    <row r="718" spans="1:25" ht="12.75" x14ac:dyDescent="0.2">
      <c r="A718" s="321"/>
      <c r="B718" s="321"/>
      <c r="C718" s="321"/>
      <c r="D718" s="321"/>
      <c r="E718" s="321"/>
      <c r="F718" s="321"/>
      <c r="G718" s="321"/>
      <c r="H718" s="321"/>
      <c r="I718" s="321"/>
      <c r="J718" s="321"/>
      <c r="K718" s="321"/>
      <c r="L718" s="321"/>
      <c r="M718" s="321"/>
      <c r="N718" s="321"/>
      <c r="O718" s="321"/>
      <c r="P718" s="321"/>
      <c r="Q718" s="321"/>
      <c r="R718" s="321"/>
      <c r="S718" s="321"/>
      <c r="T718" s="321"/>
      <c r="U718" s="321"/>
      <c r="V718" s="321"/>
      <c r="W718" s="321"/>
      <c r="X718" s="321"/>
      <c r="Y718" s="321"/>
    </row>
    <row r="719" spans="1:25" ht="12.75" x14ac:dyDescent="0.2">
      <c r="A719" s="321"/>
      <c r="B719" s="321"/>
      <c r="C719" s="321"/>
      <c r="D719" s="321"/>
      <c r="E719" s="321"/>
      <c r="F719" s="321"/>
      <c r="G719" s="321"/>
      <c r="H719" s="321"/>
      <c r="I719" s="321"/>
      <c r="J719" s="321"/>
      <c r="K719" s="321"/>
      <c r="L719" s="321"/>
      <c r="M719" s="321"/>
      <c r="N719" s="321"/>
      <c r="O719" s="321"/>
      <c r="P719" s="321"/>
      <c r="Q719" s="321"/>
      <c r="R719" s="321"/>
      <c r="S719" s="321"/>
      <c r="T719" s="321"/>
      <c r="U719" s="321"/>
      <c r="V719" s="321"/>
      <c r="W719" s="321"/>
      <c r="X719" s="321"/>
      <c r="Y719" s="321"/>
    </row>
    <row r="720" spans="1:25" ht="12.75" x14ac:dyDescent="0.2">
      <c r="A720" s="321"/>
      <c r="B720" s="321"/>
      <c r="C720" s="321"/>
      <c r="D720" s="321"/>
      <c r="E720" s="321"/>
      <c r="F720" s="321"/>
      <c r="G720" s="321"/>
      <c r="H720" s="321"/>
      <c r="I720" s="321"/>
      <c r="J720" s="321"/>
      <c r="K720" s="321"/>
      <c r="L720" s="321"/>
      <c r="M720" s="321"/>
      <c r="N720" s="321"/>
      <c r="O720" s="321"/>
      <c r="P720" s="321"/>
      <c r="Q720" s="321"/>
      <c r="R720" s="321"/>
      <c r="S720" s="321"/>
      <c r="T720" s="321"/>
      <c r="U720" s="321"/>
      <c r="V720" s="321"/>
      <c r="W720" s="321"/>
      <c r="X720" s="321"/>
      <c r="Y720" s="321"/>
    </row>
    <row r="721" spans="1:25" ht="12.75" x14ac:dyDescent="0.2">
      <c r="A721" s="321"/>
      <c r="B721" s="321"/>
      <c r="C721" s="321"/>
      <c r="D721" s="321"/>
      <c r="E721" s="321"/>
      <c r="F721" s="321"/>
      <c r="G721" s="321"/>
      <c r="H721" s="321"/>
      <c r="I721" s="321"/>
      <c r="J721" s="321"/>
      <c r="K721" s="321"/>
      <c r="L721" s="321"/>
      <c r="M721" s="321"/>
      <c r="N721" s="321"/>
      <c r="O721" s="321"/>
      <c r="P721" s="321"/>
      <c r="Q721" s="321"/>
      <c r="R721" s="321"/>
      <c r="S721" s="321"/>
      <c r="T721" s="321"/>
      <c r="U721" s="321"/>
      <c r="V721" s="321"/>
      <c r="W721" s="321"/>
      <c r="X721" s="321"/>
      <c r="Y721" s="321"/>
    </row>
    <row r="722" spans="1:25" ht="12.75" x14ac:dyDescent="0.2">
      <c r="A722" s="321"/>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row>
    <row r="723" spans="1:25" ht="12.75" x14ac:dyDescent="0.2">
      <c r="A723" s="321"/>
      <c r="B723" s="321"/>
      <c r="C723" s="321"/>
      <c r="D723" s="321"/>
      <c r="E723" s="321"/>
      <c r="F723" s="321"/>
      <c r="G723" s="321"/>
      <c r="H723" s="321"/>
      <c r="I723" s="321"/>
      <c r="J723" s="321"/>
      <c r="K723" s="321"/>
      <c r="L723" s="321"/>
      <c r="M723" s="321"/>
      <c r="N723" s="321"/>
      <c r="O723" s="321"/>
      <c r="P723" s="321"/>
      <c r="Q723" s="321"/>
      <c r="R723" s="321"/>
      <c r="S723" s="321"/>
      <c r="T723" s="321"/>
      <c r="U723" s="321"/>
      <c r="V723" s="321"/>
      <c r="W723" s="321"/>
      <c r="X723" s="321"/>
      <c r="Y723" s="321"/>
    </row>
    <row r="724" spans="1:25" ht="12.75" x14ac:dyDescent="0.2">
      <c r="A724" s="321"/>
      <c r="B724" s="321"/>
      <c r="C724" s="321"/>
      <c r="D724" s="321"/>
      <c r="E724" s="321"/>
      <c r="F724" s="321"/>
      <c r="G724" s="321"/>
      <c r="H724" s="321"/>
      <c r="I724" s="321"/>
      <c r="J724" s="321"/>
      <c r="K724" s="321"/>
      <c r="L724" s="321"/>
      <c r="M724" s="321"/>
      <c r="N724" s="321"/>
      <c r="O724" s="321"/>
      <c r="P724" s="321"/>
      <c r="Q724" s="321"/>
      <c r="R724" s="321"/>
      <c r="S724" s="321"/>
      <c r="T724" s="321"/>
      <c r="U724" s="321"/>
      <c r="V724" s="321"/>
      <c r="W724" s="321"/>
      <c r="X724" s="321"/>
      <c r="Y724" s="321"/>
    </row>
    <row r="725" spans="1:25" ht="12.75" x14ac:dyDescent="0.2">
      <c r="A725" s="321"/>
      <c r="B725" s="321"/>
      <c r="C725" s="321"/>
      <c r="D725" s="321"/>
      <c r="E725" s="321"/>
      <c r="F725" s="321"/>
      <c r="G725" s="321"/>
      <c r="H725" s="321"/>
      <c r="I725" s="321"/>
      <c r="J725" s="321"/>
      <c r="K725" s="321"/>
      <c r="L725" s="321"/>
      <c r="M725" s="321"/>
      <c r="N725" s="321"/>
      <c r="O725" s="321"/>
      <c r="P725" s="321"/>
      <c r="Q725" s="321"/>
      <c r="R725" s="321"/>
      <c r="S725" s="321"/>
      <c r="T725" s="321"/>
      <c r="U725" s="321"/>
      <c r="V725" s="321"/>
      <c r="W725" s="321"/>
      <c r="X725" s="321"/>
      <c r="Y725" s="321"/>
    </row>
    <row r="726" spans="1:25" ht="12.75" x14ac:dyDescent="0.2">
      <c r="A726" s="321"/>
      <c r="B726" s="321"/>
      <c r="C726" s="321"/>
      <c r="D726" s="321"/>
      <c r="E726" s="321"/>
      <c r="F726" s="321"/>
      <c r="G726" s="321"/>
      <c r="H726" s="321"/>
      <c r="I726" s="321"/>
      <c r="J726" s="321"/>
      <c r="K726" s="321"/>
      <c r="L726" s="321"/>
      <c r="M726" s="321"/>
      <c r="N726" s="321"/>
      <c r="O726" s="321"/>
      <c r="P726" s="321"/>
      <c r="Q726" s="321"/>
      <c r="R726" s="321"/>
      <c r="S726" s="321"/>
      <c r="T726" s="321"/>
      <c r="U726" s="321"/>
      <c r="V726" s="321"/>
      <c r="W726" s="321"/>
      <c r="X726" s="321"/>
      <c r="Y726" s="321"/>
    </row>
    <row r="727" spans="1:25" ht="12.75" x14ac:dyDescent="0.2">
      <c r="A727" s="321"/>
      <c r="B727" s="321"/>
      <c r="C727" s="321"/>
      <c r="D727" s="321"/>
      <c r="E727" s="321"/>
      <c r="F727" s="321"/>
      <c r="G727" s="321"/>
      <c r="H727" s="321"/>
      <c r="I727" s="321"/>
      <c r="J727" s="321"/>
      <c r="K727" s="321"/>
      <c r="L727" s="321"/>
      <c r="M727" s="321"/>
      <c r="N727" s="321"/>
      <c r="O727" s="321"/>
      <c r="P727" s="321"/>
      <c r="Q727" s="321"/>
      <c r="R727" s="321"/>
      <c r="S727" s="321"/>
      <c r="T727" s="321"/>
      <c r="U727" s="321"/>
      <c r="V727" s="321"/>
      <c r="W727" s="321"/>
      <c r="X727" s="321"/>
      <c r="Y727" s="321"/>
    </row>
    <row r="728" spans="1:25" ht="12.75" x14ac:dyDescent="0.2">
      <c r="A728" s="321"/>
      <c r="B728" s="321"/>
      <c r="C728" s="321"/>
      <c r="D728" s="321"/>
      <c r="E728" s="321"/>
      <c r="F728" s="321"/>
      <c r="G728" s="321"/>
      <c r="H728" s="321"/>
      <c r="I728" s="321"/>
      <c r="J728" s="321"/>
      <c r="K728" s="321"/>
      <c r="L728" s="321"/>
      <c r="M728" s="321"/>
      <c r="N728" s="321"/>
      <c r="O728" s="321"/>
      <c r="P728" s="321"/>
      <c r="Q728" s="321"/>
      <c r="R728" s="321"/>
      <c r="S728" s="321"/>
      <c r="T728" s="321"/>
      <c r="U728" s="321"/>
      <c r="V728" s="321"/>
      <c r="W728" s="321"/>
      <c r="X728" s="321"/>
      <c r="Y728" s="321"/>
    </row>
    <row r="729" spans="1:25" ht="12.75" x14ac:dyDescent="0.2">
      <c r="A729" s="321"/>
      <c r="B729" s="321"/>
      <c r="C729" s="321"/>
      <c r="D729" s="321"/>
      <c r="E729" s="321"/>
      <c r="F729" s="321"/>
      <c r="G729" s="321"/>
      <c r="H729" s="321"/>
      <c r="I729" s="321"/>
      <c r="J729" s="321"/>
      <c r="K729" s="321"/>
      <c r="L729" s="321"/>
      <c r="M729" s="321"/>
      <c r="N729" s="321"/>
      <c r="O729" s="321"/>
      <c r="P729" s="321"/>
      <c r="Q729" s="321"/>
      <c r="R729" s="321"/>
      <c r="S729" s="321"/>
      <c r="T729" s="321"/>
      <c r="U729" s="321"/>
      <c r="V729" s="321"/>
      <c r="W729" s="321"/>
      <c r="X729" s="321"/>
      <c r="Y729" s="321"/>
    </row>
    <row r="730" spans="1:25" ht="12.75" x14ac:dyDescent="0.2">
      <c r="A730" s="321"/>
      <c r="B730" s="321"/>
      <c r="C730" s="321"/>
      <c r="D730" s="321"/>
      <c r="E730" s="321"/>
      <c r="F730" s="321"/>
      <c r="G730" s="321"/>
      <c r="H730" s="321"/>
      <c r="I730" s="321"/>
      <c r="J730" s="321"/>
      <c r="K730" s="321"/>
      <c r="L730" s="321"/>
      <c r="M730" s="321"/>
      <c r="N730" s="321"/>
      <c r="O730" s="321"/>
      <c r="P730" s="321"/>
      <c r="Q730" s="321"/>
      <c r="R730" s="321"/>
      <c r="S730" s="321"/>
      <c r="T730" s="321"/>
      <c r="U730" s="321"/>
      <c r="V730" s="321"/>
      <c r="W730" s="321"/>
      <c r="X730" s="321"/>
      <c r="Y730" s="321"/>
    </row>
    <row r="731" spans="1:25" ht="12.75" x14ac:dyDescent="0.2">
      <c r="A731" s="321"/>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row>
    <row r="732" spans="1:25" ht="12.75" x14ac:dyDescent="0.2">
      <c r="A732" s="321"/>
      <c r="B732" s="321"/>
      <c r="C732" s="321"/>
      <c r="D732" s="321"/>
      <c r="E732" s="321"/>
      <c r="F732" s="321"/>
      <c r="G732" s="321"/>
      <c r="H732" s="321"/>
      <c r="I732" s="321"/>
      <c r="J732" s="321"/>
      <c r="K732" s="321"/>
      <c r="L732" s="321"/>
      <c r="M732" s="321"/>
      <c r="N732" s="321"/>
      <c r="O732" s="321"/>
      <c r="P732" s="321"/>
      <c r="Q732" s="321"/>
      <c r="R732" s="321"/>
      <c r="S732" s="321"/>
      <c r="T732" s="321"/>
      <c r="U732" s="321"/>
      <c r="V732" s="321"/>
      <c r="W732" s="321"/>
      <c r="X732" s="321"/>
      <c r="Y732" s="321"/>
    </row>
    <row r="733" spans="1:25" ht="12.75" x14ac:dyDescent="0.2">
      <c r="A733" s="321"/>
      <c r="B733" s="321"/>
      <c r="C733" s="321"/>
      <c r="D733" s="321"/>
      <c r="E733" s="321"/>
      <c r="F733" s="321"/>
      <c r="G733" s="321"/>
      <c r="H733" s="321"/>
      <c r="I733" s="321"/>
      <c r="J733" s="321"/>
      <c r="K733" s="321"/>
      <c r="L733" s="321"/>
      <c r="M733" s="321"/>
      <c r="N733" s="321"/>
      <c r="O733" s="321"/>
      <c r="P733" s="321"/>
      <c r="Q733" s="321"/>
      <c r="R733" s="321"/>
      <c r="S733" s="321"/>
      <c r="T733" s="321"/>
      <c r="U733" s="321"/>
      <c r="V733" s="321"/>
      <c r="W733" s="321"/>
      <c r="X733" s="321"/>
      <c r="Y733" s="321"/>
    </row>
    <row r="734" spans="1:25" ht="12.75" x14ac:dyDescent="0.2">
      <c r="A734" s="321"/>
      <c r="B734" s="321"/>
      <c r="C734" s="321"/>
      <c r="D734" s="321"/>
      <c r="E734" s="321"/>
      <c r="F734" s="321"/>
      <c r="G734" s="321"/>
      <c r="H734" s="321"/>
      <c r="I734" s="321"/>
      <c r="J734" s="321"/>
      <c r="K734" s="321"/>
      <c r="L734" s="321"/>
      <c r="M734" s="321"/>
      <c r="N734" s="321"/>
      <c r="O734" s="321"/>
      <c r="P734" s="321"/>
      <c r="Q734" s="321"/>
      <c r="R734" s="321"/>
      <c r="S734" s="321"/>
      <c r="T734" s="321"/>
      <c r="U734" s="321"/>
      <c r="V734" s="321"/>
      <c r="W734" s="321"/>
      <c r="X734" s="321"/>
      <c r="Y734" s="321"/>
    </row>
    <row r="735" spans="1:25" ht="12.75" x14ac:dyDescent="0.2">
      <c r="A735" s="321"/>
      <c r="B735" s="321"/>
      <c r="C735" s="321"/>
      <c r="D735" s="321"/>
      <c r="E735" s="321"/>
      <c r="F735" s="321"/>
      <c r="G735" s="321"/>
      <c r="H735" s="321"/>
      <c r="I735" s="321"/>
      <c r="J735" s="321"/>
      <c r="K735" s="321"/>
      <c r="L735" s="321"/>
      <c r="M735" s="321"/>
      <c r="N735" s="321"/>
      <c r="O735" s="321"/>
      <c r="P735" s="321"/>
      <c r="Q735" s="321"/>
      <c r="R735" s="321"/>
      <c r="S735" s="321"/>
      <c r="T735" s="321"/>
      <c r="U735" s="321"/>
      <c r="V735" s="321"/>
      <c r="W735" s="321"/>
      <c r="X735" s="321"/>
      <c r="Y735" s="321"/>
    </row>
    <row r="736" spans="1:25" ht="12.75" x14ac:dyDescent="0.2">
      <c r="A736" s="321"/>
      <c r="B736" s="321"/>
      <c r="C736" s="321"/>
      <c r="D736" s="321"/>
      <c r="E736" s="321"/>
      <c r="F736" s="321"/>
      <c r="G736" s="321"/>
      <c r="H736" s="321"/>
      <c r="I736" s="321"/>
      <c r="J736" s="321"/>
      <c r="K736" s="321"/>
      <c r="L736" s="321"/>
      <c r="M736" s="321"/>
      <c r="N736" s="321"/>
      <c r="O736" s="321"/>
      <c r="P736" s="321"/>
      <c r="Q736" s="321"/>
      <c r="R736" s="321"/>
      <c r="S736" s="321"/>
      <c r="T736" s="321"/>
      <c r="U736" s="321"/>
      <c r="V736" s="321"/>
      <c r="W736" s="321"/>
      <c r="X736" s="321"/>
      <c r="Y736" s="321"/>
    </row>
    <row r="737" spans="1:25" ht="12.75" x14ac:dyDescent="0.2">
      <c r="A737" s="321"/>
      <c r="B737" s="321"/>
      <c r="C737" s="321"/>
      <c r="D737" s="321"/>
      <c r="E737" s="321"/>
      <c r="F737" s="321"/>
      <c r="G737" s="321"/>
      <c r="H737" s="321"/>
      <c r="I737" s="321"/>
      <c r="J737" s="321"/>
      <c r="K737" s="321"/>
      <c r="L737" s="321"/>
      <c r="M737" s="321"/>
      <c r="N737" s="321"/>
      <c r="O737" s="321"/>
      <c r="P737" s="321"/>
      <c r="Q737" s="321"/>
      <c r="R737" s="321"/>
      <c r="S737" s="321"/>
      <c r="T737" s="321"/>
      <c r="U737" s="321"/>
      <c r="V737" s="321"/>
      <c r="W737" s="321"/>
      <c r="X737" s="321"/>
      <c r="Y737" s="321"/>
    </row>
    <row r="738" spans="1:25" ht="12.75" x14ac:dyDescent="0.2">
      <c r="A738" s="321"/>
      <c r="B738" s="321"/>
      <c r="C738" s="321"/>
      <c r="D738" s="321"/>
      <c r="E738" s="321"/>
      <c r="F738" s="321"/>
      <c r="G738" s="321"/>
      <c r="H738" s="321"/>
      <c r="I738" s="321"/>
      <c r="J738" s="321"/>
      <c r="K738" s="321"/>
      <c r="L738" s="321"/>
      <c r="M738" s="321"/>
      <c r="N738" s="321"/>
      <c r="O738" s="321"/>
      <c r="P738" s="321"/>
      <c r="Q738" s="321"/>
      <c r="R738" s="321"/>
      <c r="S738" s="321"/>
      <c r="T738" s="321"/>
      <c r="U738" s="321"/>
      <c r="V738" s="321"/>
      <c r="W738" s="321"/>
      <c r="X738" s="321"/>
      <c r="Y738" s="321"/>
    </row>
    <row r="739" spans="1:25" ht="12.75" x14ac:dyDescent="0.2">
      <c r="A739" s="321"/>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row>
    <row r="740" spans="1:25" ht="12.75" x14ac:dyDescent="0.2">
      <c r="A740" s="321"/>
      <c r="B740" s="321"/>
      <c r="C740" s="321"/>
      <c r="D740" s="321"/>
      <c r="E740" s="321"/>
      <c r="F740" s="321"/>
      <c r="G740" s="321"/>
      <c r="H740" s="321"/>
      <c r="I740" s="321"/>
      <c r="J740" s="321"/>
      <c r="K740" s="321"/>
      <c r="L740" s="321"/>
      <c r="M740" s="321"/>
      <c r="N740" s="321"/>
      <c r="O740" s="321"/>
      <c r="P740" s="321"/>
      <c r="Q740" s="321"/>
      <c r="R740" s="321"/>
      <c r="S740" s="321"/>
      <c r="T740" s="321"/>
      <c r="U740" s="321"/>
      <c r="V740" s="321"/>
      <c r="W740" s="321"/>
      <c r="X740" s="321"/>
      <c r="Y740" s="321"/>
    </row>
    <row r="741" spans="1:25" ht="12.75" x14ac:dyDescent="0.2">
      <c r="A741" s="321"/>
      <c r="B741" s="321"/>
      <c r="C741" s="321"/>
      <c r="D741" s="321"/>
      <c r="E741" s="321"/>
      <c r="F741" s="321"/>
      <c r="G741" s="321"/>
      <c r="H741" s="321"/>
      <c r="I741" s="321"/>
      <c r="J741" s="321"/>
      <c r="K741" s="321"/>
      <c r="L741" s="321"/>
      <c r="M741" s="321"/>
      <c r="N741" s="321"/>
      <c r="O741" s="321"/>
      <c r="P741" s="321"/>
      <c r="Q741" s="321"/>
      <c r="R741" s="321"/>
      <c r="S741" s="321"/>
      <c r="T741" s="321"/>
      <c r="U741" s="321"/>
      <c r="V741" s="321"/>
      <c r="W741" s="321"/>
      <c r="X741" s="321"/>
      <c r="Y741" s="321"/>
    </row>
    <row r="742" spans="1:25" ht="12.75" x14ac:dyDescent="0.2">
      <c r="A742" s="321"/>
      <c r="B742" s="321"/>
      <c r="C742" s="321"/>
      <c r="D742" s="321"/>
      <c r="E742" s="321"/>
      <c r="F742" s="321"/>
      <c r="G742" s="321"/>
      <c r="H742" s="321"/>
      <c r="I742" s="321"/>
      <c r="J742" s="321"/>
      <c r="K742" s="321"/>
      <c r="L742" s="321"/>
      <c r="M742" s="321"/>
      <c r="N742" s="321"/>
      <c r="O742" s="321"/>
      <c r="P742" s="321"/>
      <c r="Q742" s="321"/>
      <c r="R742" s="321"/>
      <c r="S742" s="321"/>
      <c r="T742" s="321"/>
      <c r="U742" s="321"/>
      <c r="V742" s="321"/>
      <c r="W742" s="321"/>
      <c r="X742" s="321"/>
      <c r="Y742" s="321"/>
    </row>
    <row r="743" spans="1:25" ht="12.75" x14ac:dyDescent="0.2">
      <c r="A743" s="321"/>
      <c r="B743" s="321"/>
      <c r="C743" s="321"/>
      <c r="D743" s="321"/>
      <c r="E743" s="321"/>
      <c r="F743" s="321"/>
      <c r="G743" s="321"/>
      <c r="H743" s="321"/>
      <c r="I743" s="321"/>
      <c r="J743" s="321"/>
      <c r="K743" s="321"/>
      <c r="L743" s="321"/>
      <c r="M743" s="321"/>
      <c r="N743" s="321"/>
      <c r="O743" s="321"/>
      <c r="P743" s="321"/>
      <c r="Q743" s="321"/>
      <c r="R743" s="321"/>
      <c r="S743" s="321"/>
      <c r="T743" s="321"/>
      <c r="U743" s="321"/>
      <c r="V743" s="321"/>
      <c r="W743" s="321"/>
      <c r="X743" s="321"/>
      <c r="Y743" s="321"/>
    </row>
    <row r="744" spans="1:25" ht="12.75" x14ac:dyDescent="0.2">
      <c r="A744" s="321"/>
      <c r="B744" s="321"/>
      <c r="C744" s="321"/>
      <c r="D744" s="321"/>
      <c r="E744" s="321"/>
      <c r="F744" s="321"/>
      <c r="G744" s="321"/>
      <c r="H744" s="321"/>
      <c r="I744" s="321"/>
      <c r="J744" s="321"/>
      <c r="K744" s="321"/>
      <c r="L744" s="321"/>
      <c r="M744" s="321"/>
      <c r="N744" s="321"/>
      <c r="O744" s="321"/>
      <c r="P744" s="321"/>
      <c r="Q744" s="321"/>
      <c r="R744" s="321"/>
      <c r="S744" s="321"/>
      <c r="T744" s="321"/>
      <c r="U744" s="321"/>
      <c r="V744" s="321"/>
      <c r="W744" s="321"/>
      <c r="X744" s="321"/>
      <c r="Y744" s="321"/>
    </row>
    <row r="745" spans="1:25" ht="12.75" x14ac:dyDescent="0.2">
      <c r="A745" s="321"/>
      <c r="B745" s="321"/>
      <c r="C745" s="321"/>
      <c r="D745" s="321"/>
      <c r="E745" s="321"/>
      <c r="F745" s="321"/>
      <c r="G745" s="321"/>
      <c r="H745" s="321"/>
      <c r="I745" s="321"/>
      <c r="J745" s="321"/>
      <c r="K745" s="321"/>
      <c r="L745" s="321"/>
      <c r="M745" s="321"/>
      <c r="N745" s="321"/>
      <c r="O745" s="321"/>
      <c r="P745" s="321"/>
      <c r="Q745" s="321"/>
      <c r="R745" s="321"/>
      <c r="S745" s="321"/>
      <c r="T745" s="321"/>
      <c r="U745" s="321"/>
      <c r="V745" s="321"/>
      <c r="W745" s="321"/>
      <c r="X745" s="321"/>
      <c r="Y745" s="321"/>
    </row>
    <row r="746" spans="1:25" ht="12.75" x14ac:dyDescent="0.2">
      <c r="A746" s="321"/>
      <c r="B746" s="321"/>
      <c r="C746" s="321"/>
      <c r="D746" s="321"/>
      <c r="E746" s="321"/>
      <c r="F746" s="321"/>
      <c r="G746" s="321"/>
      <c r="H746" s="321"/>
      <c r="I746" s="321"/>
      <c r="J746" s="321"/>
      <c r="K746" s="321"/>
      <c r="L746" s="321"/>
      <c r="M746" s="321"/>
      <c r="N746" s="321"/>
      <c r="O746" s="321"/>
      <c r="P746" s="321"/>
      <c r="Q746" s="321"/>
      <c r="R746" s="321"/>
      <c r="S746" s="321"/>
      <c r="T746" s="321"/>
      <c r="U746" s="321"/>
      <c r="V746" s="321"/>
      <c r="W746" s="321"/>
      <c r="X746" s="321"/>
      <c r="Y746" s="321"/>
    </row>
    <row r="747" spans="1:25" ht="12.75" x14ac:dyDescent="0.2">
      <c r="A747" s="321"/>
      <c r="B747" s="321"/>
      <c r="C747" s="321"/>
      <c r="D747" s="321"/>
      <c r="E747" s="321"/>
      <c r="F747" s="321"/>
      <c r="G747" s="321"/>
      <c r="H747" s="321"/>
      <c r="I747" s="321"/>
      <c r="J747" s="321"/>
      <c r="K747" s="321"/>
      <c r="L747" s="321"/>
      <c r="M747" s="321"/>
      <c r="N747" s="321"/>
      <c r="O747" s="321"/>
      <c r="P747" s="321"/>
      <c r="Q747" s="321"/>
      <c r="R747" s="321"/>
      <c r="S747" s="321"/>
      <c r="T747" s="321"/>
      <c r="U747" s="321"/>
      <c r="V747" s="321"/>
      <c r="W747" s="321"/>
      <c r="X747" s="321"/>
      <c r="Y747" s="321"/>
    </row>
    <row r="748" spans="1:25" ht="12.75" x14ac:dyDescent="0.2">
      <c r="A748" s="321"/>
      <c r="B748" s="321"/>
      <c r="C748" s="321"/>
      <c r="D748" s="321"/>
      <c r="E748" s="321"/>
      <c r="F748" s="321"/>
      <c r="G748" s="321"/>
      <c r="H748" s="321"/>
      <c r="I748" s="321"/>
      <c r="J748" s="321"/>
      <c r="K748" s="321"/>
      <c r="L748" s="321"/>
      <c r="M748" s="321"/>
      <c r="N748" s="321"/>
      <c r="O748" s="321"/>
      <c r="P748" s="321"/>
      <c r="Q748" s="321"/>
      <c r="R748" s="321"/>
      <c r="S748" s="321"/>
      <c r="T748" s="321"/>
      <c r="U748" s="321"/>
      <c r="V748" s="321"/>
      <c r="W748" s="321"/>
      <c r="X748" s="321"/>
      <c r="Y748" s="321"/>
    </row>
    <row r="749" spans="1:25" ht="12.75" x14ac:dyDescent="0.2">
      <c r="A749" s="321"/>
      <c r="B749" s="321"/>
      <c r="C749" s="321"/>
      <c r="D749" s="321"/>
      <c r="E749" s="321"/>
      <c r="F749" s="321"/>
      <c r="G749" s="321"/>
      <c r="H749" s="321"/>
      <c r="I749" s="321"/>
      <c r="J749" s="321"/>
      <c r="K749" s="321"/>
      <c r="L749" s="321"/>
      <c r="M749" s="321"/>
      <c r="N749" s="321"/>
      <c r="O749" s="321"/>
      <c r="P749" s="321"/>
      <c r="Q749" s="321"/>
      <c r="R749" s="321"/>
      <c r="S749" s="321"/>
      <c r="T749" s="321"/>
      <c r="U749" s="321"/>
      <c r="V749" s="321"/>
      <c r="W749" s="321"/>
      <c r="X749" s="321"/>
      <c r="Y749" s="321"/>
    </row>
    <row r="750" spans="1:25" ht="12.75" x14ac:dyDescent="0.2">
      <c r="A750" s="321"/>
      <c r="B750" s="321"/>
      <c r="C750" s="321"/>
      <c r="D750" s="321"/>
      <c r="E750" s="321"/>
      <c r="F750" s="321"/>
      <c r="G750" s="321"/>
      <c r="H750" s="321"/>
      <c r="I750" s="321"/>
      <c r="J750" s="321"/>
      <c r="K750" s="321"/>
      <c r="L750" s="321"/>
      <c r="M750" s="321"/>
      <c r="N750" s="321"/>
      <c r="O750" s="321"/>
      <c r="P750" s="321"/>
      <c r="Q750" s="321"/>
      <c r="R750" s="321"/>
      <c r="S750" s="321"/>
      <c r="T750" s="321"/>
      <c r="U750" s="321"/>
      <c r="V750" s="321"/>
      <c r="W750" s="321"/>
      <c r="X750" s="321"/>
      <c r="Y750" s="321"/>
    </row>
    <row r="751" spans="1:25" ht="12.75" x14ac:dyDescent="0.2">
      <c r="A751" s="321"/>
      <c r="B751" s="321"/>
      <c r="C751" s="321"/>
      <c r="D751" s="321"/>
      <c r="E751" s="321"/>
      <c r="F751" s="321"/>
      <c r="G751" s="321"/>
      <c r="H751" s="321"/>
      <c r="I751" s="321"/>
      <c r="J751" s="321"/>
      <c r="K751" s="321"/>
      <c r="L751" s="321"/>
      <c r="M751" s="321"/>
      <c r="N751" s="321"/>
      <c r="O751" s="321"/>
      <c r="P751" s="321"/>
      <c r="Q751" s="321"/>
      <c r="R751" s="321"/>
      <c r="S751" s="321"/>
      <c r="T751" s="321"/>
      <c r="U751" s="321"/>
      <c r="V751" s="321"/>
      <c r="W751" s="321"/>
      <c r="X751" s="321"/>
      <c r="Y751" s="321"/>
    </row>
    <row r="752" spans="1:25" ht="12.75" x14ac:dyDescent="0.2">
      <c r="A752" s="321"/>
      <c r="B752" s="321"/>
      <c r="C752" s="321"/>
      <c r="D752" s="321"/>
      <c r="E752" s="321"/>
      <c r="F752" s="321"/>
      <c r="G752" s="321"/>
      <c r="H752" s="321"/>
      <c r="I752" s="321"/>
      <c r="J752" s="321"/>
      <c r="K752" s="321"/>
      <c r="L752" s="321"/>
      <c r="M752" s="321"/>
      <c r="N752" s="321"/>
      <c r="O752" s="321"/>
      <c r="P752" s="321"/>
      <c r="Q752" s="321"/>
      <c r="R752" s="321"/>
      <c r="S752" s="321"/>
      <c r="T752" s="321"/>
      <c r="U752" s="321"/>
      <c r="V752" s="321"/>
      <c r="W752" s="321"/>
      <c r="X752" s="321"/>
      <c r="Y752" s="321"/>
    </row>
    <row r="753" spans="1:25" ht="12.75" x14ac:dyDescent="0.2">
      <c r="A753" s="321"/>
      <c r="B753" s="321"/>
      <c r="C753" s="321"/>
      <c r="D753" s="321"/>
      <c r="E753" s="321"/>
      <c r="F753" s="321"/>
      <c r="G753" s="321"/>
      <c r="H753" s="321"/>
      <c r="I753" s="321"/>
      <c r="J753" s="321"/>
      <c r="K753" s="321"/>
      <c r="L753" s="321"/>
      <c r="M753" s="321"/>
      <c r="N753" s="321"/>
      <c r="O753" s="321"/>
      <c r="P753" s="321"/>
      <c r="Q753" s="321"/>
      <c r="R753" s="321"/>
      <c r="S753" s="321"/>
      <c r="T753" s="321"/>
      <c r="U753" s="321"/>
      <c r="V753" s="321"/>
      <c r="W753" s="321"/>
      <c r="X753" s="321"/>
      <c r="Y753" s="321"/>
    </row>
    <row r="754" spans="1:25" ht="12.75" x14ac:dyDescent="0.2">
      <c r="A754" s="321"/>
      <c r="B754" s="321"/>
      <c r="C754" s="321"/>
      <c r="D754" s="321"/>
      <c r="E754" s="321"/>
      <c r="F754" s="321"/>
      <c r="G754" s="321"/>
      <c r="H754" s="321"/>
      <c r="I754" s="321"/>
      <c r="J754" s="321"/>
      <c r="K754" s="321"/>
      <c r="L754" s="321"/>
      <c r="M754" s="321"/>
      <c r="N754" s="321"/>
      <c r="O754" s="321"/>
      <c r="P754" s="321"/>
      <c r="Q754" s="321"/>
      <c r="R754" s="321"/>
      <c r="S754" s="321"/>
      <c r="T754" s="321"/>
      <c r="U754" s="321"/>
      <c r="V754" s="321"/>
      <c r="W754" s="321"/>
      <c r="X754" s="321"/>
      <c r="Y754" s="321"/>
    </row>
    <row r="755" spans="1:25" ht="12.75" x14ac:dyDescent="0.2">
      <c r="A755" s="321"/>
      <c r="B755" s="321"/>
      <c r="C755" s="321"/>
      <c r="D755" s="321"/>
      <c r="E755" s="321"/>
      <c r="F755" s="321"/>
      <c r="G755" s="321"/>
      <c r="H755" s="321"/>
      <c r="I755" s="321"/>
      <c r="J755" s="321"/>
      <c r="K755" s="321"/>
      <c r="L755" s="321"/>
      <c r="M755" s="321"/>
      <c r="N755" s="321"/>
      <c r="O755" s="321"/>
      <c r="P755" s="321"/>
      <c r="Q755" s="321"/>
      <c r="R755" s="321"/>
      <c r="S755" s="321"/>
      <c r="T755" s="321"/>
      <c r="U755" s="321"/>
      <c r="V755" s="321"/>
      <c r="W755" s="321"/>
      <c r="X755" s="321"/>
      <c r="Y755" s="321"/>
    </row>
    <row r="756" spans="1:25" ht="12.75" x14ac:dyDescent="0.2">
      <c r="A756" s="321"/>
      <c r="B756" s="321"/>
      <c r="C756" s="321"/>
      <c r="D756" s="321"/>
      <c r="E756" s="321"/>
      <c r="F756" s="321"/>
      <c r="G756" s="321"/>
      <c r="H756" s="321"/>
      <c r="I756" s="321"/>
      <c r="J756" s="321"/>
      <c r="K756" s="321"/>
      <c r="L756" s="321"/>
      <c r="M756" s="321"/>
      <c r="N756" s="321"/>
      <c r="O756" s="321"/>
      <c r="P756" s="321"/>
      <c r="Q756" s="321"/>
      <c r="R756" s="321"/>
      <c r="S756" s="321"/>
      <c r="T756" s="321"/>
      <c r="U756" s="321"/>
      <c r="V756" s="321"/>
      <c r="W756" s="321"/>
      <c r="X756" s="321"/>
      <c r="Y756" s="321"/>
    </row>
    <row r="757" spans="1:25" ht="12.75" x14ac:dyDescent="0.2">
      <c r="A757" s="321"/>
      <c r="B757" s="321"/>
      <c r="C757" s="321"/>
      <c r="D757" s="321"/>
      <c r="E757" s="321"/>
      <c r="F757" s="321"/>
      <c r="G757" s="321"/>
      <c r="H757" s="321"/>
      <c r="I757" s="321"/>
      <c r="J757" s="321"/>
      <c r="K757" s="321"/>
      <c r="L757" s="321"/>
      <c r="M757" s="321"/>
      <c r="N757" s="321"/>
      <c r="O757" s="321"/>
      <c r="P757" s="321"/>
      <c r="Q757" s="321"/>
      <c r="R757" s="321"/>
      <c r="S757" s="321"/>
      <c r="T757" s="321"/>
      <c r="U757" s="321"/>
      <c r="V757" s="321"/>
      <c r="W757" s="321"/>
      <c r="X757" s="321"/>
      <c r="Y757" s="321"/>
    </row>
    <row r="758" spans="1:25" ht="12.75" x14ac:dyDescent="0.2">
      <c r="A758" s="321"/>
      <c r="B758" s="321"/>
      <c r="C758" s="321"/>
      <c r="D758" s="321"/>
      <c r="E758" s="321"/>
      <c r="F758" s="321"/>
      <c r="G758" s="321"/>
      <c r="H758" s="321"/>
      <c r="I758" s="321"/>
      <c r="J758" s="321"/>
      <c r="K758" s="321"/>
      <c r="L758" s="321"/>
      <c r="M758" s="321"/>
      <c r="N758" s="321"/>
      <c r="O758" s="321"/>
      <c r="P758" s="321"/>
      <c r="Q758" s="321"/>
      <c r="R758" s="321"/>
      <c r="S758" s="321"/>
      <c r="T758" s="321"/>
      <c r="U758" s="321"/>
      <c r="V758" s="321"/>
      <c r="W758" s="321"/>
      <c r="X758" s="321"/>
      <c r="Y758" s="321"/>
    </row>
    <row r="759" spans="1:25" ht="12.75" x14ac:dyDescent="0.2">
      <c r="A759" s="321"/>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row>
    <row r="760" spans="1:25" ht="12.75" x14ac:dyDescent="0.2">
      <c r="A760" s="321"/>
      <c r="B760" s="321"/>
      <c r="C760" s="321"/>
      <c r="D760" s="321"/>
      <c r="E760" s="321"/>
      <c r="F760" s="321"/>
      <c r="G760" s="321"/>
      <c r="H760" s="321"/>
      <c r="I760" s="321"/>
      <c r="J760" s="321"/>
      <c r="K760" s="321"/>
      <c r="L760" s="321"/>
      <c r="M760" s="321"/>
      <c r="N760" s="321"/>
      <c r="O760" s="321"/>
      <c r="P760" s="321"/>
      <c r="Q760" s="321"/>
      <c r="R760" s="321"/>
      <c r="S760" s="321"/>
      <c r="T760" s="321"/>
      <c r="U760" s="321"/>
      <c r="V760" s="321"/>
      <c r="W760" s="321"/>
      <c r="X760" s="321"/>
      <c r="Y760" s="321"/>
    </row>
    <row r="761" spans="1:25" ht="12.75" x14ac:dyDescent="0.2">
      <c r="A761" s="321"/>
      <c r="B761" s="321"/>
      <c r="C761" s="321"/>
      <c r="D761" s="321"/>
      <c r="E761" s="321"/>
      <c r="F761" s="321"/>
      <c r="G761" s="321"/>
      <c r="H761" s="321"/>
      <c r="I761" s="321"/>
      <c r="J761" s="321"/>
      <c r="K761" s="321"/>
      <c r="L761" s="321"/>
      <c r="M761" s="321"/>
      <c r="N761" s="321"/>
      <c r="O761" s="321"/>
      <c r="P761" s="321"/>
      <c r="Q761" s="321"/>
      <c r="R761" s="321"/>
      <c r="S761" s="321"/>
      <c r="T761" s="321"/>
      <c r="U761" s="321"/>
      <c r="V761" s="321"/>
      <c r="W761" s="321"/>
      <c r="X761" s="321"/>
      <c r="Y761" s="321"/>
    </row>
    <row r="762" spans="1:25" ht="12.75" x14ac:dyDescent="0.2">
      <c r="A762" s="321"/>
      <c r="B762" s="321"/>
      <c r="C762" s="321"/>
      <c r="D762" s="321"/>
      <c r="E762" s="321"/>
      <c r="F762" s="321"/>
      <c r="G762" s="321"/>
      <c r="H762" s="321"/>
      <c r="I762" s="321"/>
      <c r="J762" s="321"/>
      <c r="K762" s="321"/>
      <c r="L762" s="321"/>
      <c r="M762" s="321"/>
      <c r="N762" s="321"/>
      <c r="O762" s="321"/>
      <c r="P762" s="321"/>
      <c r="Q762" s="321"/>
      <c r="R762" s="321"/>
      <c r="S762" s="321"/>
      <c r="T762" s="321"/>
      <c r="U762" s="321"/>
      <c r="V762" s="321"/>
      <c r="W762" s="321"/>
      <c r="X762" s="321"/>
      <c r="Y762" s="321"/>
    </row>
    <row r="763" spans="1:25" ht="12.75" x14ac:dyDescent="0.2">
      <c r="A763" s="321"/>
      <c r="B763" s="321"/>
      <c r="C763" s="321"/>
      <c r="D763" s="321"/>
      <c r="E763" s="321"/>
      <c r="F763" s="321"/>
      <c r="G763" s="321"/>
      <c r="H763" s="321"/>
      <c r="I763" s="321"/>
      <c r="J763" s="321"/>
      <c r="K763" s="321"/>
      <c r="L763" s="321"/>
      <c r="M763" s="321"/>
      <c r="N763" s="321"/>
      <c r="O763" s="321"/>
      <c r="P763" s="321"/>
      <c r="Q763" s="321"/>
      <c r="R763" s="321"/>
      <c r="S763" s="321"/>
      <c r="T763" s="321"/>
      <c r="U763" s="321"/>
      <c r="V763" s="321"/>
      <c r="W763" s="321"/>
      <c r="X763" s="321"/>
      <c r="Y763" s="321"/>
    </row>
    <row r="764" spans="1:25" ht="12.75" x14ac:dyDescent="0.2">
      <c r="A764" s="321"/>
      <c r="B764" s="321"/>
      <c r="C764" s="321"/>
      <c r="D764" s="321"/>
      <c r="E764" s="321"/>
      <c r="F764" s="321"/>
      <c r="G764" s="321"/>
      <c r="H764" s="321"/>
      <c r="I764" s="321"/>
      <c r="J764" s="321"/>
      <c r="K764" s="321"/>
      <c r="L764" s="321"/>
      <c r="M764" s="321"/>
      <c r="N764" s="321"/>
      <c r="O764" s="321"/>
      <c r="P764" s="321"/>
      <c r="Q764" s="321"/>
      <c r="R764" s="321"/>
      <c r="S764" s="321"/>
      <c r="T764" s="321"/>
      <c r="U764" s="321"/>
      <c r="V764" s="321"/>
      <c r="W764" s="321"/>
      <c r="X764" s="321"/>
      <c r="Y764" s="321"/>
    </row>
    <row r="765" spans="1:25" ht="12.75" x14ac:dyDescent="0.2">
      <c r="A765" s="321"/>
      <c r="B765" s="321"/>
      <c r="C765" s="321"/>
      <c r="D765" s="321"/>
      <c r="E765" s="321"/>
      <c r="F765" s="321"/>
      <c r="G765" s="321"/>
      <c r="H765" s="321"/>
      <c r="I765" s="321"/>
      <c r="J765" s="321"/>
      <c r="K765" s="321"/>
      <c r="L765" s="321"/>
      <c r="M765" s="321"/>
      <c r="N765" s="321"/>
      <c r="O765" s="321"/>
      <c r="P765" s="321"/>
      <c r="Q765" s="321"/>
      <c r="R765" s="321"/>
      <c r="S765" s="321"/>
      <c r="T765" s="321"/>
      <c r="U765" s="321"/>
      <c r="V765" s="321"/>
      <c r="W765" s="321"/>
      <c r="X765" s="321"/>
      <c r="Y765" s="321"/>
    </row>
    <row r="766" spans="1:25" ht="12.75" x14ac:dyDescent="0.2">
      <c r="A766" s="321"/>
      <c r="B766" s="321"/>
      <c r="C766" s="321"/>
      <c r="D766" s="321"/>
      <c r="E766" s="321"/>
      <c r="F766" s="321"/>
      <c r="G766" s="321"/>
      <c r="H766" s="321"/>
      <c r="I766" s="321"/>
      <c r="J766" s="321"/>
      <c r="K766" s="321"/>
      <c r="L766" s="321"/>
      <c r="M766" s="321"/>
      <c r="N766" s="321"/>
      <c r="O766" s="321"/>
      <c r="P766" s="321"/>
      <c r="Q766" s="321"/>
      <c r="R766" s="321"/>
      <c r="S766" s="321"/>
      <c r="T766" s="321"/>
      <c r="U766" s="321"/>
      <c r="V766" s="321"/>
      <c r="W766" s="321"/>
      <c r="X766" s="321"/>
      <c r="Y766" s="321"/>
    </row>
    <row r="767" spans="1:25" ht="12.75" x14ac:dyDescent="0.2">
      <c r="A767" s="321"/>
      <c r="B767" s="321"/>
      <c r="C767" s="321"/>
      <c r="D767" s="321"/>
      <c r="E767" s="321"/>
      <c r="F767" s="321"/>
      <c r="G767" s="321"/>
      <c r="H767" s="321"/>
      <c r="I767" s="321"/>
      <c r="J767" s="321"/>
      <c r="K767" s="321"/>
      <c r="L767" s="321"/>
      <c r="M767" s="321"/>
      <c r="N767" s="321"/>
      <c r="O767" s="321"/>
      <c r="P767" s="321"/>
      <c r="Q767" s="321"/>
      <c r="R767" s="321"/>
      <c r="S767" s="321"/>
      <c r="T767" s="321"/>
      <c r="U767" s="321"/>
      <c r="V767" s="321"/>
      <c r="W767" s="321"/>
      <c r="X767" s="321"/>
      <c r="Y767" s="321"/>
    </row>
    <row r="768" spans="1:25" ht="12.75" x14ac:dyDescent="0.2">
      <c r="A768" s="321"/>
      <c r="B768" s="321"/>
      <c r="C768" s="321"/>
      <c r="D768" s="321"/>
      <c r="E768" s="321"/>
      <c r="F768" s="321"/>
      <c r="G768" s="321"/>
      <c r="H768" s="321"/>
      <c r="I768" s="321"/>
      <c r="J768" s="321"/>
      <c r="K768" s="321"/>
      <c r="L768" s="321"/>
      <c r="M768" s="321"/>
      <c r="N768" s="321"/>
      <c r="O768" s="321"/>
      <c r="P768" s="321"/>
      <c r="Q768" s="321"/>
      <c r="R768" s="321"/>
      <c r="S768" s="321"/>
      <c r="T768" s="321"/>
      <c r="U768" s="321"/>
      <c r="V768" s="321"/>
      <c r="W768" s="321"/>
      <c r="X768" s="321"/>
      <c r="Y768" s="321"/>
    </row>
    <row r="769" spans="1:25" ht="12.75" x14ac:dyDescent="0.2">
      <c r="A769" s="321"/>
      <c r="B769" s="321"/>
      <c r="C769" s="321"/>
      <c r="D769" s="321"/>
      <c r="E769" s="321"/>
      <c r="F769" s="321"/>
      <c r="G769" s="321"/>
      <c r="H769" s="321"/>
      <c r="I769" s="321"/>
      <c r="J769" s="321"/>
      <c r="K769" s="321"/>
      <c r="L769" s="321"/>
      <c r="M769" s="321"/>
      <c r="N769" s="321"/>
      <c r="O769" s="321"/>
      <c r="P769" s="321"/>
      <c r="Q769" s="321"/>
      <c r="R769" s="321"/>
      <c r="S769" s="321"/>
      <c r="T769" s="321"/>
      <c r="U769" s="321"/>
      <c r="V769" s="321"/>
      <c r="W769" s="321"/>
      <c r="X769" s="321"/>
      <c r="Y769" s="321"/>
    </row>
    <row r="770" spans="1:25" ht="12.75" x14ac:dyDescent="0.2">
      <c r="A770" s="321"/>
      <c r="B770" s="321"/>
      <c r="C770" s="321"/>
      <c r="D770" s="321"/>
      <c r="E770" s="321"/>
      <c r="F770" s="321"/>
      <c r="G770" s="321"/>
      <c r="H770" s="321"/>
      <c r="I770" s="321"/>
      <c r="J770" s="321"/>
      <c r="K770" s="321"/>
      <c r="L770" s="321"/>
      <c r="M770" s="321"/>
      <c r="N770" s="321"/>
      <c r="O770" s="321"/>
      <c r="P770" s="321"/>
      <c r="Q770" s="321"/>
      <c r="R770" s="321"/>
      <c r="S770" s="321"/>
      <c r="T770" s="321"/>
      <c r="U770" s="321"/>
      <c r="V770" s="321"/>
      <c r="W770" s="321"/>
      <c r="X770" s="321"/>
      <c r="Y770" s="321"/>
    </row>
    <row r="771" spans="1:25" ht="12.75" x14ac:dyDescent="0.2">
      <c r="A771" s="321"/>
      <c r="B771" s="321"/>
      <c r="C771" s="321"/>
      <c r="D771" s="321"/>
      <c r="E771" s="321"/>
      <c r="F771" s="321"/>
      <c r="G771" s="321"/>
      <c r="H771" s="321"/>
      <c r="I771" s="321"/>
      <c r="J771" s="321"/>
      <c r="K771" s="321"/>
      <c r="L771" s="321"/>
      <c r="M771" s="321"/>
      <c r="N771" s="321"/>
      <c r="O771" s="321"/>
      <c r="P771" s="321"/>
      <c r="Q771" s="321"/>
      <c r="R771" s="321"/>
      <c r="S771" s="321"/>
      <c r="T771" s="321"/>
      <c r="U771" s="321"/>
      <c r="V771" s="321"/>
      <c r="W771" s="321"/>
      <c r="X771" s="321"/>
      <c r="Y771" s="321"/>
    </row>
    <row r="772" spans="1:25" ht="12.75" x14ac:dyDescent="0.2">
      <c r="A772" s="321"/>
      <c r="B772" s="321"/>
      <c r="C772" s="321"/>
      <c r="D772" s="321"/>
      <c r="E772" s="321"/>
      <c r="F772" s="321"/>
      <c r="G772" s="321"/>
      <c r="H772" s="321"/>
      <c r="I772" s="321"/>
      <c r="J772" s="321"/>
      <c r="K772" s="321"/>
      <c r="L772" s="321"/>
      <c r="M772" s="321"/>
      <c r="N772" s="321"/>
      <c r="O772" s="321"/>
      <c r="P772" s="321"/>
      <c r="Q772" s="321"/>
      <c r="R772" s="321"/>
      <c r="S772" s="321"/>
      <c r="T772" s="321"/>
      <c r="U772" s="321"/>
      <c r="V772" s="321"/>
      <c r="W772" s="321"/>
      <c r="X772" s="321"/>
      <c r="Y772" s="321"/>
    </row>
    <row r="773" spans="1:25" ht="12.75" x14ac:dyDescent="0.2">
      <c r="A773" s="321"/>
      <c r="B773" s="321"/>
      <c r="C773" s="321"/>
      <c r="D773" s="321"/>
      <c r="E773" s="321"/>
      <c r="F773" s="321"/>
      <c r="G773" s="321"/>
      <c r="H773" s="321"/>
      <c r="I773" s="321"/>
      <c r="J773" s="321"/>
      <c r="K773" s="321"/>
      <c r="L773" s="321"/>
      <c r="M773" s="321"/>
      <c r="N773" s="321"/>
      <c r="O773" s="321"/>
      <c r="P773" s="321"/>
      <c r="Q773" s="321"/>
      <c r="R773" s="321"/>
      <c r="S773" s="321"/>
      <c r="T773" s="321"/>
      <c r="U773" s="321"/>
      <c r="V773" s="321"/>
      <c r="W773" s="321"/>
      <c r="X773" s="321"/>
      <c r="Y773" s="321"/>
    </row>
    <row r="774" spans="1:25" ht="12.75" x14ac:dyDescent="0.2">
      <c r="A774" s="321"/>
      <c r="B774" s="321"/>
      <c r="C774" s="321"/>
      <c r="D774" s="321"/>
      <c r="E774" s="321"/>
      <c r="F774" s="321"/>
      <c r="G774" s="321"/>
      <c r="H774" s="321"/>
      <c r="I774" s="321"/>
      <c r="J774" s="321"/>
      <c r="K774" s="321"/>
      <c r="L774" s="321"/>
      <c r="M774" s="321"/>
      <c r="N774" s="321"/>
      <c r="O774" s="321"/>
      <c r="P774" s="321"/>
      <c r="Q774" s="321"/>
      <c r="R774" s="321"/>
      <c r="S774" s="321"/>
      <c r="T774" s="321"/>
      <c r="U774" s="321"/>
      <c r="V774" s="321"/>
      <c r="W774" s="321"/>
      <c r="X774" s="321"/>
      <c r="Y774" s="321"/>
    </row>
    <row r="775" spans="1:25" ht="12.75" x14ac:dyDescent="0.2">
      <c r="A775" s="321"/>
      <c r="B775" s="321"/>
      <c r="C775" s="321"/>
      <c r="D775" s="321"/>
      <c r="E775" s="321"/>
      <c r="F775" s="321"/>
      <c r="G775" s="321"/>
      <c r="H775" s="321"/>
      <c r="I775" s="321"/>
      <c r="J775" s="321"/>
      <c r="K775" s="321"/>
      <c r="L775" s="321"/>
      <c r="M775" s="321"/>
      <c r="N775" s="321"/>
      <c r="O775" s="321"/>
      <c r="P775" s="321"/>
      <c r="Q775" s="321"/>
      <c r="R775" s="321"/>
      <c r="S775" s="321"/>
      <c r="T775" s="321"/>
      <c r="U775" s="321"/>
      <c r="V775" s="321"/>
      <c r="W775" s="321"/>
      <c r="X775" s="321"/>
      <c r="Y775" s="321"/>
    </row>
    <row r="776" spans="1:25" ht="12.75" x14ac:dyDescent="0.2">
      <c r="A776" s="321"/>
      <c r="B776" s="321"/>
      <c r="C776" s="321"/>
      <c r="D776" s="321"/>
      <c r="E776" s="321"/>
      <c r="F776" s="321"/>
      <c r="G776" s="321"/>
      <c r="H776" s="321"/>
      <c r="I776" s="321"/>
      <c r="J776" s="321"/>
      <c r="K776" s="321"/>
      <c r="L776" s="321"/>
      <c r="M776" s="321"/>
      <c r="N776" s="321"/>
      <c r="O776" s="321"/>
      <c r="P776" s="321"/>
      <c r="Q776" s="321"/>
      <c r="R776" s="321"/>
      <c r="S776" s="321"/>
      <c r="T776" s="321"/>
      <c r="U776" s="321"/>
      <c r="V776" s="321"/>
      <c r="W776" s="321"/>
      <c r="X776" s="321"/>
      <c r="Y776" s="321"/>
    </row>
    <row r="777" spans="1:25" ht="12.75" x14ac:dyDescent="0.2">
      <c r="A777" s="321"/>
      <c r="B777" s="321"/>
      <c r="C777" s="321"/>
      <c r="D777" s="321"/>
      <c r="E777" s="321"/>
      <c r="F777" s="321"/>
      <c r="G777" s="321"/>
      <c r="H777" s="321"/>
      <c r="I777" s="321"/>
      <c r="J777" s="321"/>
      <c r="K777" s="321"/>
      <c r="L777" s="321"/>
      <c r="M777" s="321"/>
      <c r="N777" s="321"/>
      <c r="O777" s="321"/>
      <c r="P777" s="321"/>
      <c r="Q777" s="321"/>
      <c r="R777" s="321"/>
      <c r="S777" s="321"/>
      <c r="T777" s="321"/>
      <c r="U777" s="321"/>
      <c r="V777" s="321"/>
      <c r="W777" s="321"/>
      <c r="X777" s="321"/>
      <c r="Y777" s="321"/>
    </row>
    <row r="778" spans="1:25" ht="12.75" x14ac:dyDescent="0.2">
      <c r="A778" s="321"/>
      <c r="B778" s="321"/>
      <c r="C778" s="321"/>
      <c r="D778" s="321"/>
      <c r="E778" s="321"/>
      <c r="F778" s="321"/>
      <c r="G778" s="321"/>
      <c r="H778" s="321"/>
      <c r="I778" s="321"/>
      <c r="J778" s="321"/>
      <c r="K778" s="321"/>
      <c r="L778" s="321"/>
      <c r="M778" s="321"/>
      <c r="N778" s="321"/>
      <c r="O778" s="321"/>
      <c r="P778" s="321"/>
      <c r="Q778" s="321"/>
      <c r="R778" s="321"/>
      <c r="S778" s="321"/>
      <c r="T778" s="321"/>
      <c r="U778" s="321"/>
      <c r="V778" s="321"/>
      <c r="W778" s="321"/>
      <c r="X778" s="321"/>
      <c r="Y778" s="321"/>
    </row>
    <row r="779" spans="1:25" ht="12.75" x14ac:dyDescent="0.2">
      <c r="A779" s="321"/>
      <c r="B779" s="321"/>
      <c r="C779" s="321"/>
      <c r="D779" s="321"/>
      <c r="E779" s="321"/>
      <c r="F779" s="321"/>
      <c r="G779" s="321"/>
      <c r="H779" s="321"/>
      <c r="I779" s="321"/>
      <c r="J779" s="321"/>
      <c r="K779" s="321"/>
      <c r="L779" s="321"/>
      <c r="M779" s="321"/>
      <c r="N779" s="321"/>
      <c r="O779" s="321"/>
      <c r="P779" s="321"/>
      <c r="Q779" s="321"/>
      <c r="R779" s="321"/>
      <c r="S779" s="321"/>
      <c r="T779" s="321"/>
      <c r="U779" s="321"/>
      <c r="V779" s="321"/>
      <c r="W779" s="321"/>
      <c r="X779" s="321"/>
      <c r="Y779" s="321"/>
    </row>
    <row r="780" spans="1:25" ht="12.75" x14ac:dyDescent="0.2">
      <c r="A780" s="321"/>
      <c r="B780" s="321"/>
      <c r="C780" s="321"/>
      <c r="D780" s="321"/>
      <c r="E780" s="321"/>
      <c r="F780" s="321"/>
      <c r="G780" s="321"/>
      <c r="H780" s="321"/>
      <c r="I780" s="321"/>
      <c r="J780" s="321"/>
      <c r="K780" s="321"/>
      <c r="L780" s="321"/>
      <c r="M780" s="321"/>
      <c r="N780" s="321"/>
      <c r="O780" s="321"/>
      <c r="P780" s="321"/>
      <c r="Q780" s="321"/>
      <c r="R780" s="321"/>
      <c r="S780" s="321"/>
      <c r="T780" s="321"/>
      <c r="U780" s="321"/>
      <c r="V780" s="321"/>
      <c r="W780" s="321"/>
      <c r="X780" s="321"/>
      <c r="Y780" s="321"/>
    </row>
    <row r="781" spans="1:25" ht="12.75" x14ac:dyDescent="0.2">
      <c r="A781" s="321"/>
      <c r="B781" s="321"/>
      <c r="C781" s="321"/>
      <c r="D781" s="321"/>
      <c r="E781" s="321"/>
      <c r="F781" s="321"/>
      <c r="G781" s="321"/>
      <c r="H781" s="321"/>
      <c r="I781" s="321"/>
      <c r="J781" s="321"/>
      <c r="K781" s="321"/>
      <c r="L781" s="321"/>
      <c r="M781" s="321"/>
      <c r="N781" s="321"/>
      <c r="O781" s="321"/>
      <c r="P781" s="321"/>
      <c r="Q781" s="321"/>
      <c r="R781" s="321"/>
      <c r="S781" s="321"/>
      <c r="T781" s="321"/>
      <c r="U781" s="321"/>
      <c r="V781" s="321"/>
      <c r="W781" s="321"/>
      <c r="X781" s="321"/>
      <c r="Y781" s="321"/>
    </row>
    <row r="782" spans="1:25" ht="12.75" x14ac:dyDescent="0.2">
      <c r="A782" s="321"/>
      <c r="B782" s="321"/>
      <c r="C782" s="321"/>
      <c r="D782" s="321"/>
      <c r="E782" s="321"/>
      <c r="F782" s="321"/>
      <c r="G782" s="321"/>
      <c r="H782" s="321"/>
      <c r="I782" s="321"/>
      <c r="J782" s="321"/>
      <c r="K782" s="321"/>
      <c r="L782" s="321"/>
      <c r="M782" s="321"/>
      <c r="N782" s="321"/>
      <c r="O782" s="321"/>
      <c r="P782" s="321"/>
      <c r="Q782" s="321"/>
      <c r="R782" s="321"/>
      <c r="S782" s="321"/>
      <c r="T782" s="321"/>
      <c r="U782" s="321"/>
      <c r="V782" s="321"/>
      <c r="W782" s="321"/>
      <c r="X782" s="321"/>
      <c r="Y782" s="321"/>
    </row>
    <row r="783" spans="1:25" ht="12.75" x14ac:dyDescent="0.2">
      <c r="A783" s="321"/>
      <c r="B783" s="321"/>
      <c r="C783" s="321"/>
      <c r="D783" s="321"/>
      <c r="E783" s="321"/>
      <c r="F783" s="321"/>
      <c r="G783" s="321"/>
      <c r="H783" s="321"/>
      <c r="I783" s="321"/>
      <c r="J783" s="321"/>
      <c r="K783" s="321"/>
      <c r="L783" s="321"/>
      <c r="M783" s="321"/>
      <c r="N783" s="321"/>
      <c r="O783" s="321"/>
      <c r="P783" s="321"/>
      <c r="Q783" s="321"/>
      <c r="R783" s="321"/>
      <c r="S783" s="321"/>
      <c r="T783" s="321"/>
      <c r="U783" s="321"/>
      <c r="V783" s="321"/>
      <c r="W783" s="321"/>
      <c r="X783" s="321"/>
      <c r="Y783" s="321"/>
    </row>
    <row r="784" spans="1:25" ht="12.75" x14ac:dyDescent="0.2">
      <c r="A784" s="321"/>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row>
    <row r="785" spans="1:25" ht="12.75" x14ac:dyDescent="0.2">
      <c r="A785" s="321"/>
      <c r="B785" s="321"/>
      <c r="C785" s="321"/>
      <c r="D785" s="321"/>
      <c r="E785" s="321"/>
      <c r="F785" s="321"/>
      <c r="G785" s="321"/>
      <c r="H785" s="321"/>
      <c r="I785" s="321"/>
      <c r="J785" s="321"/>
      <c r="K785" s="321"/>
      <c r="L785" s="321"/>
      <c r="M785" s="321"/>
      <c r="N785" s="321"/>
      <c r="O785" s="321"/>
      <c r="P785" s="321"/>
      <c r="Q785" s="321"/>
      <c r="R785" s="321"/>
      <c r="S785" s="321"/>
      <c r="T785" s="321"/>
      <c r="U785" s="321"/>
      <c r="V785" s="321"/>
      <c r="W785" s="321"/>
      <c r="X785" s="321"/>
      <c r="Y785" s="321"/>
    </row>
    <row r="786" spans="1:25" ht="12.75" x14ac:dyDescent="0.2">
      <c r="A786" s="321"/>
      <c r="B786" s="321"/>
      <c r="C786" s="321"/>
      <c r="D786" s="321"/>
      <c r="E786" s="321"/>
      <c r="F786" s="321"/>
      <c r="G786" s="321"/>
      <c r="H786" s="321"/>
      <c r="I786" s="321"/>
      <c r="J786" s="321"/>
      <c r="K786" s="321"/>
      <c r="L786" s="321"/>
      <c r="M786" s="321"/>
      <c r="N786" s="321"/>
      <c r="O786" s="321"/>
      <c r="P786" s="321"/>
      <c r="Q786" s="321"/>
      <c r="R786" s="321"/>
      <c r="S786" s="321"/>
      <c r="T786" s="321"/>
      <c r="U786" s="321"/>
      <c r="V786" s="321"/>
      <c r="W786" s="321"/>
      <c r="X786" s="321"/>
      <c r="Y786" s="321"/>
    </row>
    <row r="787" spans="1:25" ht="12.75" x14ac:dyDescent="0.2">
      <c r="A787" s="321"/>
      <c r="B787" s="321"/>
      <c r="C787" s="321"/>
      <c r="D787" s="321"/>
      <c r="E787" s="321"/>
      <c r="F787" s="321"/>
      <c r="G787" s="321"/>
      <c r="H787" s="321"/>
      <c r="I787" s="321"/>
      <c r="J787" s="321"/>
      <c r="K787" s="321"/>
      <c r="L787" s="321"/>
      <c r="M787" s="321"/>
      <c r="N787" s="321"/>
      <c r="O787" s="321"/>
      <c r="P787" s="321"/>
      <c r="Q787" s="321"/>
      <c r="R787" s="321"/>
      <c r="S787" s="321"/>
      <c r="T787" s="321"/>
      <c r="U787" s="321"/>
      <c r="V787" s="321"/>
      <c r="W787" s="321"/>
      <c r="X787" s="321"/>
      <c r="Y787" s="321"/>
    </row>
    <row r="788" spans="1:25" ht="12.75" x14ac:dyDescent="0.2">
      <c r="A788" s="321"/>
      <c r="B788" s="321"/>
      <c r="C788" s="321"/>
      <c r="D788" s="321"/>
      <c r="E788" s="321"/>
      <c r="F788" s="321"/>
      <c r="G788" s="321"/>
      <c r="H788" s="321"/>
      <c r="I788" s="321"/>
      <c r="J788" s="321"/>
      <c r="K788" s="321"/>
      <c r="L788" s="321"/>
      <c r="M788" s="321"/>
      <c r="N788" s="321"/>
      <c r="O788" s="321"/>
      <c r="P788" s="321"/>
      <c r="Q788" s="321"/>
      <c r="R788" s="321"/>
      <c r="S788" s="321"/>
      <c r="T788" s="321"/>
      <c r="U788" s="321"/>
      <c r="V788" s="321"/>
      <c r="W788" s="321"/>
      <c r="X788" s="321"/>
      <c r="Y788" s="321"/>
    </row>
    <row r="789" spans="1:25" ht="12.75" x14ac:dyDescent="0.2">
      <c r="A789" s="321"/>
      <c r="B789" s="321"/>
      <c r="C789" s="321"/>
      <c r="D789" s="321"/>
      <c r="E789" s="321"/>
      <c r="F789" s="321"/>
      <c r="G789" s="321"/>
      <c r="H789" s="321"/>
      <c r="I789" s="321"/>
      <c r="J789" s="321"/>
      <c r="K789" s="321"/>
      <c r="L789" s="321"/>
      <c r="M789" s="321"/>
      <c r="N789" s="321"/>
      <c r="O789" s="321"/>
      <c r="P789" s="321"/>
      <c r="Q789" s="321"/>
      <c r="R789" s="321"/>
      <c r="S789" s="321"/>
      <c r="T789" s="321"/>
      <c r="U789" s="321"/>
      <c r="V789" s="321"/>
      <c r="W789" s="321"/>
      <c r="X789" s="321"/>
      <c r="Y789" s="321"/>
    </row>
    <row r="790" spans="1:25" ht="12.75" x14ac:dyDescent="0.2">
      <c r="A790" s="321"/>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row>
    <row r="791" spans="1:25" ht="12.75" x14ac:dyDescent="0.2">
      <c r="A791" s="321"/>
      <c r="B791" s="321"/>
      <c r="C791" s="321"/>
      <c r="D791" s="321"/>
      <c r="E791" s="321"/>
      <c r="F791" s="321"/>
      <c r="G791" s="321"/>
      <c r="H791" s="321"/>
      <c r="I791" s="321"/>
      <c r="J791" s="321"/>
      <c r="K791" s="321"/>
      <c r="L791" s="321"/>
      <c r="M791" s="321"/>
      <c r="N791" s="321"/>
      <c r="O791" s="321"/>
      <c r="P791" s="321"/>
      <c r="Q791" s="321"/>
      <c r="R791" s="321"/>
      <c r="S791" s="321"/>
      <c r="T791" s="321"/>
      <c r="U791" s="321"/>
      <c r="V791" s="321"/>
      <c r="W791" s="321"/>
      <c r="X791" s="321"/>
      <c r="Y791" s="321"/>
    </row>
    <row r="792" spans="1:25" ht="12.75" x14ac:dyDescent="0.2">
      <c r="A792" s="321"/>
      <c r="B792" s="321"/>
      <c r="C792" s="321"/>
      <c r="D792" s="321"/>
      <c r="E792" s="321"/>
      <c r="F792" s="321"/>
      <c r="G792" s="321"/>
      <c r="H792" s="321"/>
      <c r="I792" s="321"/>
      <c r="J792" s="321"/>
      <c r="K792" s="321"/>
      <c r="L792" s="321"/>
      <c r="M792" s="321"/>
      <c r="N792" s="321"/>
      <c r="O792" s="321"/>
      <c r="P792" s="321"/>
      <c r="Q792" s="321"/>
      <c r="R792" s="321"/>
      <c r="S792" s="321"/>
      <c r="T792" s="321"/>
      <c r="U792" s="321"/>
      <c r="V792" s="321"/>
      <c r="W792" s="321"/>
      <c r="X792" s="321"/>
      <c r="Y792" s="321"/>
    </row>
    <row r="793" spans="1:25" ht="12.75" x14ac:dyDescent="0.2">
      <c r="A793" s="321"/>
      <c r="B793" s="321"/>
      <c r="C793" s="321"/>
      <c r="D793" s="321"/>
      <c r="E793" s="321"/>
      <c r="F793" s="321"/>
      <c r="G793" s="321"/>
      <c r="H793" s="321"/>
      <c r="I793" s="321"/>
      <c r="J793" s="321"/>
      <c r="K793" s="321"/>
      <c r="L793" s="321"/>
      <c r="M793" s="321"/>
      <c r="N793" s="321"/>
      <c r="O793" s="321"/>
      <c r="P793" s="321"/>
      <c r="Q793" s="321"/>
      <c r="R793" s="321"/>
      <c r="S793" s="321"/>
      <c r="T793" s="321"/>
      <c r="U793" s="321"/>
      <c r="V793" s="321"/>
      <c r="W793" s="321"/>
      <c r="X793" s="321"/>
      <c r="Y793" s="321"/>
    </row>
    <row r="794" spans="1:25" ht="12.75" x14ac:dyDescent="0.2">
      <c r="A794" s="321"/>
      <c r="B794" s="321"/>
      <c r="C794" s="321"/>
      <c r="D794" s="321"/>
      <c r="E794" s="321"/>
      <c r="F794" s="321"/>
      <c r="G794" s="321"/>
      <c r="H794" s="321"/>
      <c r="I794" s="321"/>
      <c r="J794" s="321"/>
      <c r="K794" s="321"/>
      <c r="L794" s="321"/>
      <c r="M794" s="321"/>
      <c r="N794" s="321"/>
      <c r="O794" s="321"/>
      <c r="P794" s="321"/>
      <c r="Q794" s="321"/>
      <c r="R794" s="321"/>
      <c r="S794" s="321"/>
      <c r="T794" s="321"/>
      <c r="U794" s="321"/>
      <c r="V794" s="321"/>
      <c r="W794" s="321"/>
      <c r="X794" s="321"/>
      <c r="Y794" s="321"/>
    </row>
    <row r="795" spans="1:25" ht="12.75" x14ac:dyDescent="0.2">
      <c r="A795" s="321"/>
      <c r="B795" s="321"/>
      <c r="C795" s="321"/>
      <c r="D795" s="321"/>
      <c r="E795" s="321"/>
      <c r="F795" s="321"/>
      <c r="G795" s="321"/>
      <c r="H795" s="321"/>
      <c r="I795" s="321"/>
      <c r="J795" s="321"/>
      <c r="K795" s="321"/>
      <c r="L795" s="321"/>
      <c r="M795" s="321"/>
      <c r="N795" s="321"/>
      <c r="O795" s="321"/>
      <c r="P795" s="321"/>
      <c r="Q795" s="321"/>
      <c r="R795" s="321"/>
      <c r="S795" s="321"/>
      <c r="T795" s="321"/>
      <c r="U795" s="321"/>
      <c r="V795" s="321"/>
      <c r="W795" s="321"/>
      <c r="X795" s="321"/>
      <c r="Y795" s="321"/>
    </row>
    <row r="796" spans="1:25" ht="12.75" x14ac:dyDescent="0.2">
      <c r="A796" s="321"/>
      <c r="B796" s="321"/>
      <c r="C796" s="321"/>
      <c r="D796" s="321"/>
      <c r="E796" s="321"/>
      <c r="F796" s="321"/>
      <c r="G796" s="321"/>
      <c r="H796" s="321"/>
      <c r="I796" s="321"/>
      <c r="J796" s="321"/>
      <c r="K796" s="321"/>
      <c r="L796" s="321"/>
      <c r="M796" s="321"/>
      <c r="N796" s="321"/>
      <c r="O796" s="321"/>
      <c r="P796" s="321"/>
      <c r="Q796" s="321"/>
      <c r="R796" s="321"/>
      <c r="S796" s="321"/>
      <c r="T796" s="321"/>
      <c r="U796" s="321"/>
      <c r="V796" s="321"/>
      <c r="W796" s="321"/>
      <c r="X796" s="321"/>
      <c r="Y796" s="321"/>
    </row>
    <row r="797" spans="1:25" ht="12.75" x14ac:dyDescent="0.2">
      <c r="A797" s="321"/>
      <c r="B797" s="321"/>
      <c r="C797" s="321"/>
      <c r="D797" s="321"/>
      <c r="E797" s="321"/>
      <c r="F797" s="321"/>
      <c r="G797" s="321"/>
      <c r="H797" s="321"/>
      <c r="I797" s="321"/>
      <c r="J797" s="321"/>
      <c r="K797" s="321"/>
      <c r="L797" s="321"/>
      <c r="M797" s="321"/>
      <c r="N797" s="321"/>
      <c r="O797" s="321"/>
      <c r="P797" s="321"/>
      <c r="Q797" s="321"/>
      <c r="R797" s="321"/>
      <c r="S797" s="321"/>
      <c r="T797" s="321"/>
      <c r="U797" s="321"/>
      <c r="V797" s="321"/>
      <c r="W797" s="321"/>
      <c r="X797" s="321"/>
      <c r="Y797" s="321"/>
    </row>
    <row r="798" spans="1:25" ht="12.75" x14ac:dyDescent="0.2">
      <c r="A798" s="321"/>
      <c r="B798" s="321"/>
      <c r="C798" s="321"/>
      <c r="D798" s="321"/>
      <c r="E798" s="321"/>
      <c r="F798" s="321"/>
      <c r="G798" s="321"/>
      <c r="H798" s="321"/>
      <c r="I798" s="321"/>
      <c r="J798" s="321"/>
      <c r="K798" s="321"/>
      <c r="L798" s="321"/>
      <c r="M798" s="321"/>
      <c r="N798" s="321"/>
      <c r="O798" s="321"/>
      <c r="P798" s="321"/>
      <c r="Q798" s="321"/>
      <c r="R798" s="321"/>
      <c r="S798" s="321"/>
      <c r="T798" s="321"/>
      <c r="U798" s="321"/>
      <c r="V798" s="321"/>
      <c r="W798" s="321"/>
      <c r="X798" s="321"/>
      <c r="Y798" s="321"/>
    </row>
    <row r="799" spans="1:25" ht="12.75" x14ac:dyDescent="0.2">
      <c r="A799" s="321"/>
      <c r="B799" s="321"/>
      <c r="C799" s="321"/>
      <c r="D799" s="321"/>
      <c r="E799" s="321"/>
      <c r="F799" s="321"/>
      <c r="G799" s="321"/>
      <c r="H799" s="321"/>
      <c r="I799" s="321"/>
      <c r="J799" s="321"/>
      <c r="K799" s="321"/>
      <c r="L799" s="321"/>
      <c r="M799" s="321"/>
      <c r="N799" s="321"/>
      <c r="O799" s="321"/>
      <c r="P799" s="321"/>
      <c r="Q799" s="321"/>
      <c r="R799" s="321"/>
      <c r="S799" s="321"/>
      <c r="T799" s="321"/>
      <c r="U799" s="321"/>
      <c r="V799" s="321"/>
      <c r="W799" s="321"/>
      <c r="X799" s="321"/>
      <c r="Y799" s="321"/>
    </row>
    <row r="800" spans="1:25" ht="12.75" x14ac:dyDescent="0.2">
      <c r="A800" s="321"/>
      <c r="B800" s="321"/>
      <c r="C800" s="321"/>
      <c r="D800" s="321"/>
      <c r="E800" s="321"/>
      <c r="F800" s="321"/>
      <c r="G800" s="321"/>
      <c r="H800" s="321"/>
      <c r="I800" s="321"/>
      <c r="J800" s="321"/>
      <c r="K800" s="321"/>
      <c r="L800" s="321"/>
      <c r="M800" s="321"/>
      <c r="N800" s="321"/>
      <c r="O800" s="321"/>
      <c r="P800" s="321"/>
      <c r="Q800" s="321"/>
      <c r="R800" s="321"/>
      <c r="S800" s="321"/>
      <c r="T800" s="321"/>
      <c r="U800" s="321"/>
      <c r="V800" s="321"/>
      <c r="W800" s="321"/>
      <c r="X800" s="321"/>
      <c r="Y800" s="321"/>
    </row>
    <row r="801" spans="1:25" ht="12.75" x14ac:dyDescent="0.2">
      <c r="A801" s="321"/>
      <c r="B801" s="321"/>
      <c r="C801" s="321"/>
      <c r="D801" s="321"/>
      <c r="E801" s="321"/>
      <c r="F801" s="321"/>
      <c r="G801" s="321"/>
      <c r="H801" s="321"/>
      <c r="I801" s="321"/>
      <c r="J801" s="321"/>
      <c r="K801" s="321"/>
      <c r="L801" s="321"/>
      <c r="M801" s="321"/>
      <c r="N801" s="321"/>
      <c r="O801" s="321"/>
      <c r="P801" s="321"/>
      <c r="Q801" s="321"/>
      <c r="R801" s="321"/>
      <c r="S801" s="321"/>
      <c r="T801" s="321"/>
      <c r="U801" s="321"/>
      <c r="V801" s="321"/>
      <c r="W801" s="321"/>
      <c r="X801" s="321"/>
      <c r="Y801" s="321"/>
    </row>
    <row r="802" spans="1:25" ht="12.75" x14ac:dyDescent="0.2">
      <c r="A802" s="321"/>
      <c r="B802" s="321"/>
      <c r="C802" s="321"/>
      <c r="D802" s="321"/>
      <c r="E802" s="321"/>
      <c r="F802" s="321"/>
      <c r="G802" s="321"/>
      <c r="H802" s="321"/>
      <c r="I802" s="321"/>
      <c r="J802" s="321"/>
      <c r="K802" s="321"/>
      <c r="L802" s="321"/>
      <c r="M802" s="321"/>
      <c r="N802" s="321"/>
      <c r="O802" s="321"/>
      <c r="P802" s="321"/>
      <c r="Q802" s="321"/>
      <c r="R802" s="321"/>
      <c r="S802" s="321"/>
      <c r="T802" s="321"/>
      <c r="U802" s="321"/>
      <c r="V802" s="321"/>
      <c r="W802" s="321"/>
      <c r="X802" s="321"/>
      <c r="Y802" s="321"/>
    </row>
    <row r="803" spans="1:25" ht="12.75" x14ac:dyDescent="0.2">
      <c r="A803" s="321"/>
      <c r="B803" s="321"/>
      <c r="C803" s="321"/>
      <c r="D803" s="321"/>
      <c r="E803" s="321"/>
      <c r="F803" s="321"/>
      <c r="G803" s="321"/>
      <c r="H803" s="321"/>
      <c r="I803" s="321"/>
      <c r="J803" s="321"/>
      <c r="K803" s="321"/>
      <c r="L803" s="321"/>
      <c r="M803" s="321"/>
      <c r="N803" s="321"/>
      <c r="O803" s="321"/>
      <c r="P803" s="321"/>
      <c r="Q803" s="321"/>
      <c r="R803" s="321"/>
      <c r="S803" s="321"/>
      <c r="T803" s="321"/>
      <c r="U803" s="321"/>
      <c r="V803" s="321"/>
      <c r="W803" s="321"/>
      <c r="X803" s="321"/>
      <c r="Y803" s="321"/>
    </row>
    <row r="804" spans="1:25" ht="12.75" x14ac:dyDescent="0.2">
      <c r="A804" s="321"/>
      <c r="B804" s="321"/>
      <c r="C804" s="321"/>
      <c r="D804" s="321"/>
      <c r="E804" s="321"/>
      <c r="F804" s="321"/>
      <c r="G804" s="321"/>
      <c r="H804" s="321"/>
      <c r="I804" s="321"/>
      <c r="J804" s="321"/>
      <c r="K804" s="321"/>
      <c r="L804" s="321"/>
      <c r="M804" s="321"/>
      <c r="N804" s="321"/>
      <c r="O804" s="321"/>
      <c r="P804" s="321"/>
      <c r="Q804" s="321"/>
      <c r="R804" s="321"/>
      <c r="S804" s="321"/>
      <c r="T804" s="321"/>
      <c r="U804" s="321"/>
      <c r="V804" s="321"/>
      <c r="W804" s="321"/>
      <c r="X804" s="321"/>
      <c r="Y804" s="321"/>
    </row>
    <row r="805" spans="1:25" ht="12.75" x14ac:dyDescent="0.2">
      <c r="A805" s="321"/>
      <c r="B805" s="321"/>
      <c r="C805" s="321"/>
      <c r="D805" s="321"/>
      <c r="E805" s="321"/>
      <c r="F805" s="321"/>
      <c r="G805" s="321"/>
      <c r="H805" s="321"/>
      <c r="I805" s="321"/>
      <c r="J805" s="321"/>
      <c r="K805" s="321"/>
      <c r="L805" s="321"/>
      <c r="M805" s="321"/>
      <c r="N805" s="321"/>
      <c r="O805" s="321"/>
      <c r="P805" s="321"/>
      <c r="Q805" s="321"/>
      <c r="R805" s="321"/>
      <c r="S805" s="321"/>
      <c r="T805" s="321"/>
      <c r="U805" s="321"/>
      <c r="V805" s="321"/>
      <c r="W805" s="321"/>
      <c r="X805" s="321"/>
      <c r="Y805" s="321"/>
    </row>
    <row r="806" spans="1:25" ht="12.75" x14ac:dyDescent="0.2">
      <c r="A806" s="321"/>
      <c r="B806" s="321"/>
      <c r="C806" s="321"/>
      <c r="D806" s="321"/>
      <c r="E806" s="321"/>
      <c r="F806" s="321"/>
      <c r="G806" s="321"/>
      <c r="H806" s="321"/>
      <c r="I806" s="321"/>
      <c r="J806" s="321"/>
      <c r="K806" s="321"/>
      <c r="L806" s="321"/>
      <c r="M806" s="321"/>
      <c r="N806" s="321"/>
      <c r="O806" s="321"/>
      <c r="P806" s="321"/>
      <c r="Q806" s="321"/>
      <c r="R806" s="321"/>
      <c r="S806" s="321"/>
      <c r="T806" s="321"/>
      <c r="U806" s="321"/>
      <c r="V806" s="321"/>
      <c r="W806" s="321"/>
      <c r="X806" s="321"/>
      <c r="Y806" s="321"/>
    </row>
    <row r="807" spans="1:25" ht="12.75" x14ac:dyDescent="0.2">
      <c r="A807" s="321"/>
      <c r="B807" s="321"/>
      <c r="C807" s="321"/>
      <c r="D807" s="321"/>
      <c r="E807" s="321"/>
      <c r="F807" s="321"/>
      <c r="G807" s="321"/>
      <c r="H807" s="321"/>
      <c r="I807" s="321"/>
      <c r="J807" s="321"/>
      <c r="K807" s="321"/>
      <c r="L807" s="321"/>
      <c r="M807" s="321"/>
      <c r="N807" s="321"/>
      <c r="O807" s="321"/>
      <c r="P807" s="321"/>
      <c r="Q807" s="321"/>
      <c r="R807" s="321"/>
      <c r="S807" s="321"/>
      <c r="T807" s="321"/>
      <c r="U807" s="321"/>
      <c r="V807" s="321"/>
      <c r="W807" s="321"/>
      <c r="X807" s="321"/>
      <c r="Y807" s="321"/>
    </row>
    <row r="808" spans="1:25" ht="12.75" x14ac:dyDescent="0.2">
      <c r="A808" s="321"/>
      <c r="B808" s="321"/>
      <c r="C808" s="321"/>
      <c r="D808" s="321"/>
      <c r="E808" s="321"/>
      <c r="F808" s="321"/>
      <c r="G808" s="321"/>
      <c r="H808" s="321"/>
      <c r="I808" s="321"/>
      <c r="J808" s="321"/>
      <c r="K808" s="321"/>
      <c r="L808" s="321"/>
      <c r="M808" s="321"/>
      <c r="N808" s="321"/>
      <c r="O808" s="321"/>
      <c r="P808" s="321"/>
      <c r="Q808" s="321"/>
      <c r="R808" s="321"/>
      <c r="S808" s="321"/>
      <c r="T808" s="321"/>
      <c r="U808" s="321"/>
      <c r="V808" s="321"/>
      <c r="W808" s="321"/>
      <c r="X808" s="321"/>
      <c r="Y808" s="321"/>
    </row>
    <row r="809" spans="1:25" ht="12.75" x14ac:dyDescent="0.2">
      <c r="A809" s="321"/>
      <c r="B809" s="321"/>
      <c r="C809" s="321"/>
      <c r="D809" s="321"/>
      <c r="E809" s="321"/>
      <c r="F809" s="321"/>
      <c r="G809" s="321"/>
      <c r="H809" s="321"/>
      <c r="I809" s="321"/>
      <c r="J809" s="321"/>
      <c r="K809" s="321"/>
      <c r="L809" s="321"/>
      <c r="M809" s="321"/>
      <c r="N809" s="321"/>
      <c r="O809" s="321"/>
      <c r="P809" s="321"/>
      <c r="Q809" s="321"/>
      <c r="R809" s="321"/>
      <c r="S809" s="321"/>
      <c r="T809" s="321"/>
      <c r="U809" s="321"/>
      <c r="V809" s="321"/>
      <c r="W809" s="321"/>
      <c r="X809" s="321"/>
      <c r="Y809" s="321"/>
    </row>
    <row r="810" spans="1:25" ht="12.75" x14ac:dyDescent="0.2">
      <c r="A810" s="321"/>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row>
    <row r="811" spans="1:25" ht="12.75" x14ac:dyDescent="0.2">
      <c r="A811" s="321"/>
      <c r="B811" s="321"/>
      <c r="C811" s="321"/>
      <c r="D811" s="321"/>
      <c r="E811" s="321"/>
      <c r="F811" s="321"/>
      <c r="G811" s="321"/>
      <c r="H811" s="321"/>
      <c r="I811" s="321"/>
      <c r="J811" s="321"/>
      <c r="K811" s="321"/>
      <c r="L811" s="321"/>
      <c r="M811" s="321"/>
      <c r="N811" s="321"/>
      <c r="O811" s="321"/>
      <c r="P811" s="321"/>
      <c r="Q811" s="321"/>
      <c r="R811" s="321"/>
      <c r="S811" s="321"/>
      <c r="T811" s="321"/>
      <c r="U811" s="321"/>
      <c r="V811" s="321"/>
      <c r="W811" s="321"/>
      <c r="X811" s="321"/>
      <c r="Y811" s="321"/>
    </row>
    <row r="812" spans="1:25" ht="12.75" x14ac:dyDescent="0.2">
      <c r="A812" s="321"/>
      <c r="B812" s="321"/>
      <c r="C812" s="321"/>
      <c r="D812" s="321"/>
      <c r="E812" s="321"/>
      <c r="F812" s="321"/>
      <c r="G812" s="321"/>
      <c r="H812" s="321"/>
      <c r="I812" s="321"/>
      <c r="J812" s="321"/>
      <c r="K812" s="321"/>
      <c r="L812" s="321"/>
      <c r="M812" s="321"/>
      <c r="N812" s="321"/>
      <c r="O812" s="321"/>
      <c r="P812" s="321"/>
      <c r="Q812" s="321"/>
      <c r="R812" s="321"/>
      <c r="S812" s="321"/>
      <c r="T812" s="321"/>
      <c r="U812" s="321"/>
      <c r="V812" s="321"/>
      <c r="W812" s="321"/>
      <c r="X812" s="321"/>
      <c r="Y812" s="321"/>
    </row>
    <row r="813" spans="1:25" ht="12.75" x14ac:dyDescent="0.2">
      <c r="A813" s="321"/>
      <c r="B813" s="321"/>
      <c r="C813" s="321"/>
      <c r="D813" s="321"/>
      <c r="E813" s="321"/>
      <c r="F813" s="321"/>
      <c r="G813" s="321"/>
      <c r="H813" s="321"/>
      <c r="I813" s="321"/>
      <c r="J813" s="321"/>
      <c r="K813" s="321"/>
      <c r="L813" s="321"/>
      <c r="M813" s="321"/>
      <c r="N813" s="321"/>
      <c r="O813" s="321"/>
      <c r="P813" s="321"/>
      <c r="Q813" s="321"/>
      <c r="R813" s="321"/>
      <c r="S813" s="321"/>
      <c r="T813" s="321"/>
      <c r="U813" s="321"/>
      <c r="V813" s="321"/>
      <c r="W813" s="321"/>
      <c r="X813" s="321"/>
      <c r="Y813" s="321"/>
    </row>
    <row r="814" spans="1:25" ht="12.75" x14ac:dyDescent="0.2">
      <c r="A814" s="321"/>
      <c r="B814" s="321"/>
      <c r="C814" s="321"/>
      <c r="D814" s="321"/>
      <c r="E814" s="321"/>
      <c r="F814" s="321"/>
      <c r="G814" s="321"/>
      <c r="H814" s="321"/>
      <c r="I814" s="321"/>
      <c r="J814" s="321"/>
      <c r="K814" s="321"/>
      <c r="L814" s="321"/>
      <c r="M814" s="321"/>
      <c r="N814" s="321"/>
      <c r="O814" s="321"/>
      <c r="P814" s="321"/>
      <c r="Q814" s="321"/>
      <c r="R814" s="321"/>
      <c r="S814" s="321"/>
      <c r="T814" s="321"/>
      <c r="U814" s="321"/>
      <c r="V814" s="321"/>
      <c r="W814" s="321"/>
      <c r="X814" s="321"/>
      <c r="Y814" s="321"/>
    </row>
    <row r="815" spans="1:25" ht="12.75" x14ac:dyDescent="0.2">
      <c r="A815" s="321"/>
      <c r="B815" s="321"/>
      <c r="C815" s="321"/>
      <c r="D815" s="321"/>
      <c r="E815" s="321"/>
      <c r="F815" s="321"/>
      <c r="G815" s="321"/>
      <c r="H815" s="321"/>
      <c r="I815" s="321"/>
      <c r="J815" s="321"/>
      <c r="K815" s="321"/>
      <c r="L815" s="321"/>
      <c r="M815" s="321"/>
      <c r="N815" s="321"/>
      <c r="O815" s="321"/>
      <c r="P815" s="321"/>
      <c r="Q815" s="321"/>
      <c r="R815" s="321"/>
      <c r="S815" s="321"/>
      <c r="T815" s="321"/>
      <c r="U815" s="321"/>
      <c r="V815" s="321"/>
      <c r="W815" s="321"/>
      <c r="X815" s="321"/>
      <c r="Y815" s="321"/>
    </row>
    <row r="816" spans="1:25" ht="12.75" x14ac:dyDescent="0.2">
      <c r="A816" s="321"/>
      <c r="B816" s="321"/>
      <c r="C816" s="321"/>
      <c r="D816" s="321"/>
      <c r="E816" s="321"/>
      <c r="F816" s="321"/>
      <c r="G816" s="321"/>
      <c r="H816" s="321"/>
      <c r="I816" s="321"/>
      <c r="J816" s="321"/>
      <c r="K816" s="321"/>
      <c r="L816" s="321"/>
      <c r="M816" s="321"/>
      <c r="N816" s="321"/>
      <c r="O816" s="321"/>
      <c r="P816" s="321"/>
      <c r="Q816" s="321"/>
      <c r="R816" s="321"/>
      <c r="S816" s="321"/>
      <c r="T816" s="321"/>
      <c r="U816" s="321"/>
      <c r="V816" s="321"/>
      <c r="W816" s="321"/>
      <c r="X816" s="321"/>
      <c r="Y816" s="321"/>
    </row>
    <row r="817" spans="1:25" ht="12.75" x14ac:dyDescent="0.2">
      <c r="A817" s="321"/>
      <c r="B817" s="321"/>
      <c r="C817" s="321"/>
      <c r="D817" s="321"/>
      <c r="E817" s="321"/>
      <c r="F817" s="321"/>
      <c r="G817" s="321"/>
      <c r="H817" s="321"/>
      <c r="I817" s="321"/>
      <c r="J817" s="321"/>
      <c r="K817" s="321"/>
      <c r="L817" s="321"/>
      <c r="M817" s="321"/>
      <c r="N817" s="321"/>
      <c r="O817" s="321"/>
      <c r="P817" s="321"/>
      <c r="Q817" s="321"/>
      <c r="R817" s="321"/>
      <c r="S817" s="321"/>
      <c r="T817" s="321"/>
      <c r="U817" s="321"/>
      <c r="V817" s="321"/>
      <c r="W817" s="321"/>
      <c r="X817" s="321"/>
      <c r="Y817" s="321"/>
    </row>
    <row r="818" spans="1:25" ht="12.75" x14ac:dyDescent="0.2">
      <c r="A818" s="321"/>
      <c r="B818" s="321"/>
      <c r="C818" s="321"/>
      <c r="D818" s="321"/>
      <c r="E818" s="321"/>
      <c r="F818" s="321"/>
      <c r="G818" s="321"/>
      <c r="H818" s="321"/>
      <c r="I818" s="321"/>
      <c r="J818" s="321"/>
      <c r="K818" s="321"/>
      <c r="L818" s="321"/>
      <c r="M818" s="321"/>
      <c r="N818" s="321"/>
      <c r="O818" s="321"/>
      <c r="P818" s="321"/>
      <c r="Q818" s="321"/>
      <c r="R818" s="321"/>
      <c r="S818" s="321"/>
      <c r="T818" s="321"/>
      <c r="U818" s="321"/>
      <c r="V818" s="321"/>
      <c r="W818" s="321"/>
      <c r="X818" s="321"/>
      <c r="Y818" s="321"/>
    </row>
    <row r="819" spans="1:25" ht="12.75" x14ac:dyDescent="0.2">
      <c r="A819" s="321"/>
      <c r="B819" s="321"/>
      <c r="C819" s="321"/>
      <c r="D819" s="321"/>
      <c r="E819" s="321"/>
      <c r="F819" s="321"/>
      <c r="G819" s="321"/>
      <c r="H819" s="321"/>
      <c r="I819" s="321"/>
      <c r="J819" s="321"/>
      <c r="K819" s="321"/>
      <c r="L819" s="321"/>
      <c r="M819" s="321"/>
      <c r="N819" s="321"/>
      <c r="O819" s="321"/>
      <c r="P819" s="321"/>
      <c r="Q819" s="321"/>
      <c r="R819" s="321"/>
      <c r="S819" s="321"/>
      <c r="T819" s="321"/>
      <c r="U819" s="321"/>
      <c r="V819" s="321"/>
      <c r="W819" s="321"/>
      <c r="X819" s="321"/>
      <c r="Y819" s="321"/>
    </row>
    <row r="820" spans="1:25" ht="12.75" x14ac:dyDescent="0.2">
      <c r="A820" s="321"/>
      <c r="B820" s="321"/>
      <c r="C820" s="321"/>
      <c r="D820" s="321"/>
      <c r="E820" s="321"/>
      <c r="F820" s="321"/>
      <c r="G820" s="321"/>
      <c r="H820" s="321"/>
      <c r="I820" s="321"/>
      <c r="J820" s="321"/>
      <c r="K820" s="321"/>
      <c r="L820" s="321"/>
      <c r="M820" s="321"/>
      <c r="N820" s="321"/>
      <c r="O820" s="321"/>
      <c r="P820" s="321"/>
      <c r="Q820" s="321"/>
      <c r="R820" s="321"/>
      <c r="S820" s="321"/>
      <c r="T820" s="321"/>
      <c r="U820" s="321"/>
      <c r="V820" s="321"/>
      <c r="W820" s="321"/>
      <c r="X820" s="321"/>
      <c r="Y820" s="321"/>
    </row>
    <row r="821" spans="1:25" ht="12.75" x14ac:dyDescent="0.2">
      <c r="A821" s="321"/>
      <c r="B821" s="321"/>
      <c r="C821" s="321"/>
      <c r="D821" s="321"/>
      <c r="E821" s="321"/>
      <c r="F821" s="321"/>
      <c r="G821" s="321"/>
      <c r="H821" s="321"/>
      <c r="I821" s="321"/>
      <c r="J821" s="321"/>
      <c r="K821" s="321"/>
      <c r="L821" s="321"/>
      <c r="M821" s="321"/>
      <c r="N821" s="321"/>
      <c r="O821" s="321"/>
      <c r="P821" s="321"/>
      <c r="Q821" s="321"/>
      <c r="R821" s="321"/>
      <c r="S821" s="321"/>
      <c r="T821" s="321"/>
      <c r="U821" s="321"/>
      <c r="V821" s="321"/>
      <c r="W821" s="321"/>
      <c r="X821" s="321"/>
      <c r="Y821" s="321"/>
    </row>
    <row r="822" spans="1:25" ht="12.75" x14ac:dyDescent="0.2">
      <c r="A822" s="321"/>
      <c r="B822" s="321"/>
      <c r="C822" s="321"/>
      <c r="D822" s="321"/>
      <c r="E822" s="321"/>
      <c r="F822" s="321"/>
      <c r="G822" s="321"/>
      <c r="H822" s="321"/>
      <c r="I822" s="321"/>
      <c r="J822" s="321"/>
      <c r="K822" s="321"/>
      <c r="L822" s="321"/>
      <c r="M822" s="321"/>
      <c r="N822" s="321"/>
      <c r="O822" s="321"/>
      <c r="P822" s="321"/>
      <c r="Q822" s="321"/>
      <c r="R822" s="321"/>
      <c r="S822" s="321"/>
      <c r="T822" s="321"/>
      <c r="U822" s="321"/>
      <c r="V822" s="321"/>
      <c r="W822" s="321"/>
      <c r="X822" s="321"/>
      <c r="Y822" s="321"/>
    </row>
    <row r="823" spans="1:25" ht="12.75" x14ac:dyDescent="0.2">
      <c r="A823" s="321"/>
      <c r="B823" s="321"/>
      <c r="C823" s="321"/>
      <c r="D823" s="321"/>
      <c r="E823" s="321"/>
      <c r="F823" s="321"/>
      <c r="G823" s="321"/>
      <c r="H823" s="321"/>
      <c r="I823" s="321"/>
      <c r="J823" s="321"/>
      <c r="K823" s="321"/>
      <c r="L823" s="321"/>
      <c r="M823" s="321"/>
      <c r="N823" s="321"/>
      <c r="O823" s="321"/>
      <c r="P823" s="321"/>
      <c r="Q823" s="321"/>
      <c r="R823" s="321"/>
      <c r="S823" s="321"/>
      <c r="T823" s="321"/>
      <c r="U823" s="321"/>
      <c r="V823" s="321"/>
      <c r="W823" s="321"/>
      <c r="X823" s="321"/>
      <c r="Y823" s="321"/>
    </row>
    <row r="824" spans="1:25" ht="12.75" x14ac:dyDescent="0.2">
      <c r="A824" s="321"/>
      <c r="B824" s="321"/>
      <c r="C824" s="321"/>
      <c r="D824" s="321"/>
      <c r="E824" s="321"/>
      <c r="F824" s="321"/>
      <c r="G824" s="321"/>
      <c r="H824" s="321"/>
      <c r="I824" s="321"/>
      <c r="J824" s="321"/>
      <c r="K824" s="321"/>
      <c r="L824" s="321"/>
      <c r="M824" s="321"/>
      <c r="N824" s="321"/>
      <c r="O824" s="321"/>
      <c r="P824" s="321"/>
      <c r="Q824" s="321"/>
      <c r="R824" s="321"/>
      <c r="S824" s="321"/>
      <c r="T824" s="321"/>
      <c r="U824" s="321"/>
      <c r="V824" s="321"/>
      <c r="W824" s="321"/>
      <c r="X824" s="321"/>
      <c r="Y824" s="321"/>
    </row>
    <row r="825" spans="1:25" ht="12.75" x14ac:dyDescent="0.2">
      <c r="A825" s="321"/>
      <c r="B825" s="321"/>
      <c r="C825" s="321"/>
      <c r="D825" s="321"/>
      <c r="E825" s="321"/>
      <c r="F825" s="321"/>
      <c r="G825" s="321"/>
      <c r="H825" s="321"/>
      <c r="I825" s="321"/>
      <c r="J825" s="321"/>
      <c r="K825" s="321"/>
      <c r="L825" s="321"/>
      <c r="M825" s="321"/>
      <c r="N825" s="321"/>
      <c r="O825" s="321"/>
      <c r="P825" s="321"/>
      <c r="Q825" s="321"/>
      <c r="R825" s="321"/>
      <c r="S825" s="321"/>
      <c r="T825" s="321"/>
      <c r="U825" s="321"/>
      <c r="V825" s="321"/>
      <c r="W825" s="321"/>
      <c r="X825" s="321"/>
      <c r="Y825" s="321"/>
    </row>
    <row r="826" spans="1:25" ht="12.75" x14ac:dyDescent="0.2">
      <c r="A826" s="321"/>
      <c r="B826" s="321"/>
      <c r="C826" s="321"/>
      <c r="D826" s="321"/>
      <c r="E826" s="321"/>
      <c r="F826" s="321"/>
      <c r="G826" s="321"/>
      <c r="H826" s="321"/>
      <c r="I826" s="321"/>
      <c r="J826" s="321"/>
      <c r="K826" s="321"/>
      <c r="L826" s="321"/>
      <c r="M826" s="321"/>
      <c r="N826" s="321"/>
      <c r="O826" s="321"/>
      <c r="P826" s="321"/>
      <c r="Q826" s="321"/>
      <c r="R826" s="321"/>
      <c r="S826" s="321"/>
      <c r="T826" s="321"/>
      <c r="U826" s="321"/>
      <c r="V826" s="321"/>
      <c r="W826" s="321"/>
      <c r="X826" s="321"/>
      <c r="Y826" s="321"/>
    </row>
    <row r="827" spans="1:25" ht="12.75" x14ac:dyDescent="0.2">
      <c r="A827" s="321"/>
      <c r="B827" s="321"/>
      <c r="C827" s="321"/>
      <c r="D827" s="321"/>
      <c r="E827" s="321"/>
      <c r="F827" s="321"/>
      <c r="G827" s="321"/>
      <c r="H827" s="321"/>
      <c r="I827" s="321"/>
      <c r="J827" s="321"/>
      <c r="K827" s="321"/>
      <c r="L827" s="321"/>
      <c r="M827" s="321"/>
      <c r="N827" s="321"/>
      <c r="O827" s="321"/>
      <c r="P827" s="321"/>
      <c r="Q827" s="321"/>
      <c r="R827" s="321"/>
      <c r="S827" s="321"/>
      <c r="T827" s="321"/>
      <c r="U827" s="321"/>
      <c r="V827" s="321"/>
      <c r="W827" s="321"/>
      <c r="X827" s="321"/>
      <c r="Y827" s="321"/>
    </row>
    <row r="828" spans="1:25" ht="12.75" x14ac:dyDescent="0.2">
      <c r="A828" s="321"/>
      <c r="B828" s="321"/>
      <c r="C828" s="321"/>
      <c r="D828" s="321"/>
      <c r="E828" s="321"/>
      <c r="F828" s="321"/>
      <c r="G828" s="321"/>
      <c r="H828" s="321"/>
      <c r="I828" s="321"/>
      <c r="J828" s="321"/>
      <c r="K828" s="321"/>
      <c r="L828" s="321"/>
      <c r="M828" s="321"/>
      <c r="N828" s="321"/>
      <c r="O828" s="321"/>
      <c r="P828" s="321"/>
      <c r="Q828" s="321"/>
      <c r="R828" s="321"/>
      <c r="S828" s="321"/>
      <c r="T828" s="321"/>
      <c r="U828" s="321"/>
      <c r="V828" s="321"/>
      <c r="W828" s="321"/>
      <c r="X828" s="321"/>
      <c r="Y828" s="321"/>
    </row>
    <row r="829" spans="1:25" ht="12.75" x14ac:dyDescent="0.2">
      <c r="A829" s="321"/>
      <c r="B829" s="321"/>
      <c r="C829" s="321"/>
      <c r="D829" s="321"/>
      <c r="E829" s="321"/>
      <c r="F829" s="321"/>
      <c r="G829" s="321"/>
      <c r="H829" s="321"/>
      <c r="I829" s="321"/>
      <c r="J829" s="321"/>
      <c r="K829" s="321"/>
      <c r="L829" s="321"/>
      <c r="M829" s="321"/>
      <c r="N829" s="321"/>
      <c r="O829" s="321"/>
      <c r="P829" s="321"/>
      <c r="Q829" s="321"/>
      <c r="R829" s="321"/>
      <c r="S829" s="321"/>
      <c r="T829" s="321"/>
      <c r="U829" s="321"/>
      <c r="V829" s="321"/>
      <c r="W829" s="321"/>
      <c r="X829" s="321"/>
      <c r="Y829" s="321"/>
    </row>
    <row r="830" spans="1:25" ht="12.75" x14ac:dyDescent="0.2">
      <c r="A830" s="321"/>
      <c r="B830" s="321"/>
      <c r="C830" s="321"/>
      <c r="D830" s="321"/>
      <c r="E830" s="321"/>
      <c r="F830" s="321"/>
      <c r="G830" s="321"/>
      <c r="H830" s="321"/>
      <c r="I830" s="321"/>
      <c r="J830" s="321"/>
      <c r="K830" s="321"/>
      <c r="L830" s="321"/>
      <c r="M830" s="321"/>
      <c r="N830" s="321"/>
      <c r="O830" s="321"/>
      <c r="P830" s="321"/>
      <c r="Q830" s="321"/>
      <c r="R830" s="321"/>
      <c r="S830" s="321"/>
      <c r="T830" s="321"/>
      <c r="U830" s="321"/>
      <c r="V830" s="321"/>
      <c r="W830" s="321"/>
      <c r="X830" s="321"/>
      <c r="Y830" s="321"/>
    </row>
    <row r="831" spans="1:25" ht="12.75" x14ac:dyDescent="0.2">
      <c r="A831" s="321"/>
      <c r="B831" s="321"/>
      <c r="C831" s="321"/>
      <c r="D831" s="321"/>
      <c r="E831" s="321"/>
      <c r="F831" s="321"/>
      <c r="G831" s="321"/>
      <c r="H831" s="321"/>
      <c r="I831" s="321"/>
      <c r="J831" s="321"/>
      <c r="K831" s="321"/>
      <c r="L831" s="321"/>
      <c r="M831" s="321"/>
      <c r="N831" s="321"/>
      <c r="O831" s="321"/>
      <c r="P831" s="321"/>
      <c r="Q831" s="321"/>
      <c r="R831" s="321"/>
      <c r="S831" s="321"/>
      <c r="T831" s="321"/>
      <c r="U831" s="321"/>
      <c r="V831" s="321"/>
      <c r="W831" s="321"/>
      <c r="X831" s="321"/>
      <c r="Y831" s="321"/>
    </row>
    <row r="832" spans="1:25" ht="12.75" x14ac:dyDescent="0.2">
      <c r="A832" s="321"/>
      <c r="B832" s="321"/>
      <c r="C832" s="321"/>
      <c r="D832" s="321"/>
      <c r="E832" s="321"/>
      <c r="F832" s="321"/>
      <c r="G832" s="321"/>
      <c r="H832" s="321"/>
      <c r="I832" s="321"/>
      <c r="J832" s="321"/>
      <c r="K832" s="321"/>
      <c r="L832" s="321"/>
      <c r="M832" s="321"/>
      <c r="N832" s="321"/>
      <c r="O832" s="321"/>
      <c r="P832" s="321"/>
      <c r="Q832" s="321"/>
      <c r="R832" s="321"/>
      <c r="S832" s="321"/>
      <c r="T832" s="321"/>
      <c r="U832" s="321"/>
      <c r="V832" s="321"/>
      <c r="W832" s="321"/>
      <c r="X832" s="321"/>
      <c r="Y832" s="321"/>
    </row>
    <row r="833" spans="1:25" ht="12.75" x14ac:dyDescent="0.2">
      <c r="A833" s="321"/>
      <c r="B833" s="321"/>
      <c r="C833" s="321"/>
      <c r="D833" s="321"/>
      <c r="E833" s="321"/>
      <c r="F833" s="321"/>
      <c r="G833" s="321"/>
      <c r="H833" s="321"/>
      <c r="I833" s="321"/>
      <c r="J833" s="321"/>
      <c r="K833" s="321"/>
      <c r="L833" s="321"/>
      <c r="M833" s="321"/>
      <c r="N833" s="321"/>
      <c r="O833" s="321"/>
      <c r="P833" s="321"/>
      <c r="Q833" s="321"/>
      <c r="R833" s="321"/>
      <c r="S833" s="321"/>
      <c r="T833" s="321"/>
      <c r="U833" s="321"/>
      <c r="V833" s="321"/>
      <c r="W833" s="321"/>
      <c r="X833" s="321"/>
      <c r="Y833" s="321"/>
    </row>
    <row r="834" spans="1:25" ht="12.75" x14ac:dyDescent="0.2">
      <c r="A834" s="321"/>
      <c r="B834" s="321"/>
      <c r="C834" s="321"/>
      <c r="D834" s="321"/>
      <c r="E834" s="321"/>
      <c r="F834" s="321"/>
      <c r="G834" s="321"/>
      <c r="H834" s="321"/>
      <c r="I834" s="321"/>
      <c r="J834" s="321"/>
      <c r="K834" s="321"/>
      <c r="L834" s="321"/>
      <c r="M834" s="321"/>
      <c r="N834" s="321"/>
      <c r="O834" s="321"/>
      <c r="P834" s="321"/>
      <c r="Q834" s="321"/>
      <c r="R834" s="321"/>
      <c r="S834" s="321"/>
      <c r="T834" s="321"/>
      <c r="U834" s="321"/>
      <c r="V834" s="321"/>
      <c r="W834" s="321"/>
      <c r="X834" s="321"/>
      <c r="Y834" s="321"/>
    </row>
    <row r="835" spans="1:25" ht="12.75" x14ac:dyDescent="0.2">
      <c r="A835" s="321"/>
      <c r="B835" s="321"/>
      <c r="C835" s="321"/>
      <c r="D835" s="321"/>
      <c r="E835" s="321"/>
      <c r="F835" s="321"/>
      <c r="G835" s="321"/>
      <c r="H835" s="321"/>
      <c r="I835" s="321"/>
      <c r="J835" s="321"/>
      <c r="K835" s="321"/>
      <c r="L835" s="321"/>
      <c r="M835" s="321"/>
      <c r="N835" s="321"/>
      <c r="O835" s="321"/>
      <c r="P835" s="321"/>
      <c r="Q835" s="321"/>
      <c r="R835" s="321"/>
      <c r="S835" s="321"/>
      <c r="T835" s="321"/>
      <c r="U835" s="321"/>
      <c r="V835" s="321"/>
      <c r="W835" s="321"/>
      <c r="X835" s="321"/>
      <c r="Y835" s="321"/>
    </row>
    <row r="836" spans="1:25" ht="12.75" x14ac:dyDescent="0.2">
      <c r="A836" s="321"/>
      <c r="B836" s="321"/>
      <c r="C836" s="321"/>
      <c r="D836" s="321"/>
      <c r="E836" s="321"/>
      <c r="F836" s="321"/>
      <c r="G836" s="321"/>
      <c r="H836" s="321"/>
      <c r="I836" s="321"/>
      <c r="J836" s="321"/>
      <c r="K836" s="321"/>
      <c r="L836" s="321"/>
      <c r="M836" s="321"/>
      <c r="N836" s="321"/>
      <c r="O836" s="321"/>
      <c r="P836" s="321"/>
      <c r="Q836" s="321"/>
      <c r="R836" s="321"/>
      <c r="S836" s="321"/>
      <c r="T836" s="321"/>
      <c r="U836" s="321"/>
      <c r="V836" s="321"/>
      <c r="W836" s="321"/>
      <c r="X836" s="321"/>
      <c r="Y836" s="321"/>
    </row>
    <row r="837" spans="1:25" ht="12.75" x14ac:dyDescent="0.2">
      <c r="A837" s="321"/>
      <c r="B837" s="321"/>
      <c r="C837" s="321"/>
      <c r="D837" s="321"/>
      <c r="E837" s="321"/>
      <c r="F837" s="321"/>
      <c r="G837" s="321"/>
      <c r="H837" s="321"/>
      <c r="I837" s="321"/>
      <c r="J837" s="321"/>
      <c r="K837" s="321"/>
      <c r="L837" s="321"/>
      <c r="M837" s="321"/>
      <c r="N837" s="321"/>
      <c r="O837" s="321"/>
      <c r="P837" s="321"/>
      <c r="Q837" s="321"/>
      <c r="R837" s="321"/>
      <c r="S837" s="321"/>
      <c r="T837" s="321"/>
      <c r="U837" s="321"/>
      <c r="V837" s="321"/>
      <c r="W837" s="321"/>
      <c r="X837" s="321"/>
      <c r="Y837" s="321"/>
    </row>
    <row r="838" spans="1:25" ht="12.75" x14ac:dyDescent="0.2">
      <c r="A838" s="321"/>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row>
    <row r="839" spans="1:25" ht="12.75" x14ac:dyDescent="0.2">
      <c r="A839" s="321"/>
      <c r="B839" s="321"/>
      <c r="C839" s="321"/>
      <c r="D839" s="321"/>
      <c r="E839" s="321"/>
      <c r="F839" s="321"/>
      <c r="G839" s="321"/>
      <c r="H839" s="321"/>
      <c r="I839" s="321"/>
      <c r="J839" s="321"/>
      <c r="K839" s="321"/>
      <c r="L839" s="321"/>
      <c r="M839" s="321"/>
      <c r="N839" s="321"/>
      <c r="O839" s="321"/>
      <c r="P839" s="321"/>
      <c r="Q839" s="321"/>
      <c r="R839" s="321"/>
      <c r="S839" s="321"/>
      <c r="T839" s="321"/>
      <c r="U839" s="321"/>
      <c r="V839" s="321"/>
      <c r="W839" s="321"/>
      <c r="X839" s="321"/>
      <c r="Y839" s="321"/>
    </row>
    <row r="840" spans="1:25" ht="12.75" x14ac:dyDescent="0.2">
      <c r="A840" s="321"/>
      <c r="B840" s="321"/>
      <c r="C840" s="321"/>
      <c r="D840" s="321"/>
      <c r="E840" s="321"/>
      <c r="F840" s="321"/>
      <c r="G840" s="321"/>
      <c r="H840" s="321"/>
      <c r="I840" s="321"/>
      <c r="J840" s="321"/>
      <c r="K840" s="321"/>
      <c r="L840" s="321"/>
      <c r="M840" s="321"/>
      <c r="N840" s="321"/>
      <c r="O840" s="321"/>
      <c r="P840" s="321"/>
      <c r="Q840" s="321"/>
      <c r="R840" s="321"/>
      <c r="S840" s="321"/>
      <c r="T840" s="321"/>
      <c r="U840" s="321"/>
      <c r="V840" s="321"/>
      <c r="W840" s="321"/>
      <c r="X840" s="321"/>
      <c r="Y840" s="321"/>
    </row>
    <row r="841" spans="1:25" ht="12.75" x14ac:dyDescent="0.2">
      <c r="A841" s="321"/>
      <c r="B841" s="321"/>
      <c r="C841" s="321"/>
      <c r="D841" s="321"/>
      <c r="E841" s="321"/>
      <c r="F841" s="321"/>
      <c r="G841" s="321"/>
      <c r="H841" s="321"/>
      <c r="I841" s="321"/>
      <c r="J841" s="321"/>
      <c r="K841" s="321"/>
      <c r="L841" s="321"/>
      <c r="M841" s="321"/>
      <c r="N841" s="321"/>
      <c r="O841" s="321"/>
      <c r="P841" s="321"/>
      <c r="Q841" s="321"/>
      <c r="R841" s="321"/>
      <c r="S841" s="321"/>
      <c r="T841" s="321"/>
      <c r="U841" s="321"/>
      <c r="V841" s="321"/>
      <c r="W841" s="321"/>
      <c r="X841" s="321"/>
      <c r="Y841" s="321"/>
    </row>
    <row r="842" spans="1:25" ht="12.75" x14ac:dyDescent="0.2">
      <c r="A842" s="321"/>
      <c r="B842" s="321"/>
      <c r="C842" s="321"/>
      <c r="D842" s="321"/>
      <c r="E842" s="321"/>
      <c r="F842" s="321"/>
      <c r="G842" s="321"/>
      <c r="H842" s="321"/>
      <c r="I842" s="321"/>
      <c r="J842" s="321"/>
      <c r="K842" s="321"/>
      <c r="L842" s="321"/>
      <c r="M842" s="321"/>
      <c r="N842" s="321"/>
      <c r="O842" s="321"/>
      <c r="P842" s="321"/>
      <c r="Q842" s="321"/>
      <c r="R842" s="321"/>
      <c r="S842" s="321"/>
      <c r="T842" s="321"/>
      <c r="U842" s="321"/>
      <c r="V842" s="321"/>
      <c r="W842" s="321"/>
      <c r="X842" s="321"/>
      <c r="Y842" s="321"/>
    </row>
    <row r="843" spans="1:25" ht="12.75" x14ac:dyDescent="0.2">
      <c r="A843" s="321"/>
      <c r="B843" s="321"/>
      <c r="C843" s="321"/>
      <c r="D843" s="321"/>
      <c r="E843" s="321"/>
      <c r="F843" s="321"/>
      <c r="G843" s="321"/>
      <c r="H843" s="321"/>
      <c r="I843" s="321"/>
      <c r="J843" s="321"/>
      <c r="K843" s="321"/>
      <c r="L843" s="321"/>
      <c r="M843" s="321"/>
      <c r="N843" s="321"/>
      <c r="O843" s="321"/>
      <c r="P843" s="321"/>
      <c r="Q843" s="321"/>
      <c r="R843" s="321"/>
      <c r="S843" s="321"/>
      <c r="T843" s="321"/>
      <c r="U843" s="321"/>
      <c r="V843" s="321"/>
      <c r="W843" s="321"/>
      <c r="X843" s="321"/>
      <c r="Y843" s="321"/>
    </row>
    <row r="844" spans="1:25" ht="12.75" x14ac:dyDescent="0.2">
      <c r="A844" s="321"/>
      <c r="B844" s="321"/>
      <c r="C844" s="321"/>
      <c r="D844" s="321"/>
      <c r="E844" s="321"/>
      <c r="F844" s="321"/>
      <c r="G844" s="321"/>
      <c r="H844" s="321"/>
      <c r="I844" s="321"/>
      <c r="J844" s="321"/>
      <c r="K844" s="321"/>
      <c r="L844" s="321"/>
      <c r="M844" s="321"/>
      <c r="N844" s="321"/>
      <c r="O844" s="321"/>
      <c r="P844" s="321"/>
      <c r="Q844" s="321"/>
      <c r="R844" s="321"/>
      <c r="S844" s="321"/>
      <c r="T844" s="321"/>
      <c r="U844" s="321"/>
      <c r="V844" s="321"/>
      <c r="W844" s="321"/>
      <c r="X844" s="321"/>
      <c r="Y844" s="321"/>
    </row>
    <row r="845" spans="1:25" ht="12.75" x14ac:dyDescent="0.2">
      <c r="A845" s="321"/>
      <c r="B845" s="321"/>
      <c r="C845" s="321"/>
      <c r="D845" s="321"/>
      <c r="E845" s="321"/>
      <c r="F845" s="321"/>
      <c r="G845" s="321"/>
      <c r="H845" s="321"/>
      <c r="I845" s="321"/>
      <c r="J845" s="321"/>
      <c r="K845" s="321"/>
      <c r="L845" s="321"/>
      <c r="M845" s="321"/>
      <c r="N845" s="321"/>
      <c r="O845" s="321"/>
      <c r="P845" s="321"/>
      <c r="Q845" s="321"/>
      <c r="R845" s="321"/>
      <c r="S845" s="321"/>
      <c r="T845" s="321"/>
      <c r="U845" s="321"/>
      <c r="V845" s="321"/>
      <c r="W845" s="321"/>
      <c r="X845" s="321"/>
      <c r="Y845" s="321"/>
    </row>
    <row r="846" spans="1:25" ht="12.75" x14ac:dyDescent="0.2">
      <c r="A846" s="321"/>
      <c r="B846" s="321"/>
      <c r="C846" s="321"/>
      <c r="D846" s="321"/>
      <c r="E846" s="321"/>
      <c r="F846" s="321"/>
      <c r="G846" s="321"/>
      <c r="H846" s="321"/>
      <c r="I846" s="321"/>
      <c r="J846" s="321"/>
      <c r="K846" s="321"/>
      <c r="L846" s="321"/>
      <c r="M846" s="321"/>
      <c r="N846" s="321"/>
      <c r="O846" s="321"/>
      <c r="P846" s="321"/>
      <c r="Q846" s="321"/>
      <c r="R846" s="321"/>
      <c r="S846" s="321"/>
      <c r="T846" s="321"/>
      <c r="U846" s="321"/>
      <c r="V846" s="321"/>
      <c r="W846" s="321"/>
      <c r="X846" s="321"/>
      <c r="Y846" s="321"/>
    </row>
    <row r="847" spans="1:25" ht="12.75" x14ac:dyDescent="0.2">
      <c r="A847" s="321"/>
      <c r="B847" s="321"/>
      <c r="C847" s="321"/>
      <c r="D847" s="321"/>
      <c r="E847" s="321"/>
      <c r="F847" s="321"/>
      <c r="G847" s="321"/>
      <c r="H847" s="321"/>
      <c r="I847" s="321"/>
      <c r="J847" s="321"/>
      <c r="K847" s="321"/>
      <c r="L847" s="321"/>
      <c r="M847" s="321"/>
      <c r="N847" s="321"/>
      <c r="O847" s="321"/>
      <c r="P847" s="321"/>
      <c r="Q847" s="321"/>
      <c r="R847" s="321"/>
      <c r="S847" s="321"/>
      <c r="T847" s="321"/>
      <c r="U847" s="321"/>
      <c r="V847" s="321"/>
      <c r="W847" s="321"/>
      <c r="X847" s="321"/>
      <c r="Y847" s="321"/>
    </row>
    <row r="848" spans="1:25" ht="12.75" x14ac:dyDescent="0.2">
      <c r="A848" s="321"/>
      <c r="B848" s="321"/>
      <c r="C848" s="321"/>
      <c r="D848" s="321"/>
      <c r="E848" s="321"/>
      <c r="F848" s="321"/>
      <c r="G848" s="321"/>
      <c r="H848" s="321"/>
      <c r="I848" s="321"/>
      <c r="J848" s="321"/>
      <c r="K848" s="321"/>
      <c r="L848" s="321"/>
      <c r="M848" s="321"/>
      <c r="N848" s="321"/>
      <c r="O848" s="321"/>
      <c r="P848" s="321"/>
      <c r="Q848" s="321"/>
      <c r="R848" s="321"/>
      <c r="S848" s="321"/>
      <c r="T848" s="321"/>
      <c r="U848" s="321"/>
      <c r="V848" s="321"/>
      <c r="W848" s="321"/>
      <c r="X848" s="321"/>
      <c r="Y848" s="321"/>
    </row>
    <row r="849" spans="1:25" ht="12.75" x14ac:dyDescent="0.2">
      <c r="A849" s="321"/>
      <c r="B849" s="321"/>
      <c r="C849" s="321"/>
      <c r="D849" s="321"/>
      <c r="E849" s="321"/>
      <c r="F849" s="321"/>
      <c r="G849" s="321"/>
      <c r="H849" s="321"/>
      <c r="I849" s="321"/>
      <c r="J849" s="321"/>
      <c r="K849" s="321"/>
      <c r="L849" s="321"/>
      <c r="M849" s="321"/>
      <c r="N849" s="321"/>
      <c r="O849" s="321"/>
      <c r="P849" s="321"/>
      <c r="Q849" s="321"/>
      <c r="R849" s="321"/>
      <c r="S849" s="321"/>
      <c r="T849" s="321"/>
      <c r="U849" s="321"/>
      <c r="V849" s="321"/>
      <c r="W849" s="321"/>
      <c r="X849" s="321"/>
      <c r="Y849" s="321"/>
    </row>
    <row r="850" spans="1:25" ht="12.75" x14ac:dyDescent="0.2">
      <c r="A850" s="321"/>
      <c r="B850" s="321"/>
      <c r="C850" s="321"/>
      <c r="D850" s="321"/>
      <c r="E850" s="321"/>
      <c r="F850" s="321"/>
      <c r="G850" s="321"/>
      <c r="H850" s="321"/>
      <c r="I850" s="321"/>
      <c r="J850" s="321"/>
      <c r="K850" s="321"/>
      <c r="L850" s="321"/>
      <c r="M850" s="321"/>
      <c r="N850" s="321"/>
      <c r="O850" s="321"/>
      <c r="P850" s="321"/>
      <c r="Q850" s="321"/>
      <c r="R850" s="321"/>
      <c r="S850" s="321"/>
      <c r="T850" s="321"/>
      <c r="U850" s="321"/>
      <c r="V850" s="321"/>
      <c r="W850" s="321"/>
      <c r="X850" s="321"/>
      <c r="Y850" s="321"/>
    </row>
    <row r="851" spans="1:25" ht="12.75" x14ac:dyDescent="0.2">
      <c r="A851" s="321"/>
      <c r="B851" s="321"/>
      <c r="C851" s="321"/>
      <c r="D851" s="321"/>
      <c r="E851" s="321"/>
      <c r="F851" s="321"/>
      <c r="G851" s="321"/>
      <c r="H851" s="321"/>
      <c r="I851" s="321"/>
      <c r="J851" s="321"/>
      <c r="K851" s="321"/>
      <c r="L851" s="321"/>
      <c r="M851" s="321"/>
      <c r="N851" s="321"/>
      <c r="O851" s="321"/>
      <c r="P851" s="321"/>
      <c r="Q851" s="321"/>
      <c r="R851" s="321"/>
      <c r="S851" s="321"/>
      <c r="T851" s="321"/>
      <c r="U851" s="321"/>
      <c r="V851" s="321"/>
      <c r="W851" s="321"/>
      <c r="X851" s="321"/>
      <c r="Y851" s="321"/>
    </row>
    <row r="852" spans="1:25" ht="12.75" x14ac:dyDescent="0.2">
      <c r="A852" s="321"/>
      <c r="B852" s="321"/>
      <c r="C852" s="321"/>
      <c r="D852" s="321"/>
      <c r="E852" s="321"/>
      <c r="F852" s="321"/>
      <c r="G852" s="321"/>
      <c r="H852" s="321"/>
      <c r="I852" s="321"/>
      <c r="J852" s="321"/>
      <c r="K852" s="321"/>
      <c r="L852" s="321"/>
      <c r="M852" s="321"/>
      <c r="N852" s="321"/>
      <c r="O852" s="321"/>
      <c r="P852" s="321"/>
      <c r="Q852" s="321"/>
      <c r="R852" s="321"/>
      <c r="S852" s="321"/>
      <c r="T852" s="321"/>
      <c r="U852" s="321"/>
      <c r="V852" s="321"/>
      <c r="W852" s="321"/>
      <c r="X852" s="321"/>
      <c r="Y852" s="321"/>
    </row>
    <row r="853" spans="1:25" ht="12.75" x14ac:dyDescent="0.2">
      <c r="A853" s="321"/>
      <c r="B853" s="321"/>
      <c r="C853" s="321"/>
      <c r="D853" s="321"/>
      <c r="E853" s="321"/>
      <c r="F853" s="321"/>
      <c r="G853" s="321"/>
      <c r="H853" s="321"/>
      <c r="I853" s="321"/>
      <c r="J853" s="321"/>
      <c r="K853" s="321"/>
      <c r="L853" s="321"/>
      <c r="M853" s="321"/>
      <c r="N853" s="321"/>
      <c r="O853" s="321"/>
      <c r="P853" s="321"/>
      <c r="Q853" s="321"/>
      <c r="R853" s="321"/>
      <c r="S853" s="321"/>
      <c r="T853" s="321"/>
      <c r="U853" s="321"/>
      <c r="V853" s="321"/>
      <c r="W853" s="321"/>
      <c r="X853" s="321"/>
      <c r="Y853" s="321"/>
    </row>
    <row r="854" spans="1:25" ht="12.75" x14ac:dyDescent="0.2">
      <c r="A854" s="321"/>
      <c r="B854" s="321"/>
      <c r="C854" s="321"/>
      <c r="D854" s="321"/>
      <c r="E854" s="321"/>
      <c r="F854" s="321"/>
      <c r="G854" s="321"/>
      <c r="H854" s="321"/>
      <c r="I854" s="321"/>
      <c r="J854" s="321"/>
      <c r="K854" s="321"/>
      <c r="L854" s="321"/>
      <c r="M854" s="321"/>
      <c r="N854" s="321"/>
      <c r="O854" s="321"/>
      <c r="P854" s="321"/>
      <c r="Q854" s="321"/>
      <c r="R854" s="321"/>
      <c r="S854" s="321"/>
      <c r="T854" s="321"/>
      <c r="U854" s="321"/>
      <c r="V854" s="321"/>
      <c r="W854" s="321"/>
      <c r="X854" s="321"/>
      <c r="Y854" s="321"/>
    </row>
    <row r="855" spans="1:25" ht="12.75" x14ac:dyDescent="0.2">
      <c r="A855" s="321"/>
      <c r="B855" s="321"/>
      <c r="C855" s="321"/>
      <c r="D855" s="321"/>
      <c r="E855" s="321"/>
      <c r="F855" s="321"/>
      <c r="G855" s="321"/>
      <c r="H855" s="321"/>
      <c r="I855" s="321"/>
      <c r="J855" s="321"/>
      <c r="K855" s="321"/>
      <c r="L855" s="321"/>
      <c r="M855" s="321"/>
      <c r="N855" s="321"/>
      <c r="O855" s="321"/>
      <c r="P855" s="321"/>
      <c r="Q855" s="321"/>
      <c r="R855" s="321"/>
      <c r="S855" s="321"/>
      <c r="T855" s="321"/>
      <c r="U855" s="321"/>
      <c r="V855" s="321"/>
      <c r="W855" s="321"/>
      <c r="X855" s="321"/>
      <c r="Y855" s="321"/>
    </row>
    <row r="856" spans="1:25" ht="12.75" x14ac:dyDescent="0.2">
      <c r="A856" s="321"/>
      <c r="B856" s="321"/>
      <c r="C856" s="321"/>
      <c r="D856" s="321"/>
      <c r="E856" s="321"/>
      <c r="F856" s="321"/>
      <c r="G856" s="321"/>
      <c r="H856" s="321"/>
      <c r="I856" s="321"/>
      <c r="J856" s="321"/>
      <c r="K856" s="321"/>
      <c r="L856" s="321"/>
      <c r="M856" s="321"/>
      <c r="N856" s="321"/>
      <c r="O856" s="321"/>
      <c r="P856" s="321"/>
      <c r="Q856" s="321"/>
      <c r="R856" s="321"/>
      <c r="S856" s="321"/>
      <c r="T856" s="321"/>
      <c r="U856" s="321"/>
      <c r="V856" s="321"/>
      <c r="W856" s="321"/>
      <c r="X856" s="321"/>
      <c r="Y856" s="321"/>
    </row>
    <row r="857" spans="1:25" ht="12.75" x14ac:dyDescent="0.2">
      <c r="A857" s="321"/>
      <c r="B857" s="321"/>
      <c r="C857" s="321"/>
      <c r="D857" s="321"/>
      <c r="E857" s="321"/>
      <c r="F857" s="321"/>
      <c r="G857" s="321"/>
      <c r="H857" s="321"/>
      <c r="I857" s="321"/>
      <c r="J857" s="321"/>
      <c r="K857" s="321"/>
      <c r="L857" s="321"/>
      <c r="M857" s="321"/>
      <c r="N857" s="321"/>
      <c r="O857" s="321"/>
      <c r="P857" s="321"/>
      <c r="Q857" s="321"/>
      <c r="R857" s="321"/>
      <c r="S857" s="321"/>
      <c r="T857" s="321"/>
      <c r="U857" s="321"/>
      <c r="V857" s="321"/>
      <c r="W857" s="321"/>
      <c r="X857" s="321"/>
      <c r="Y857" s="321"/>
    </row>
    <row r="858" spans="1:25" ht="12.75" x14ac:dyDescent="0.2">
      <c r="A858" s="321"/>
      <c r="B858" s="321"/>
      <c r="C858" s="321"/>
      <c r="D858" s="321"/>
      <c r="E858" s="321"/>
      <c r="F858" s="321"/>
      <c r="G858" s="321"/>
      <c r="H858" s="321"/>
      <c r="I858" s="321"/>
      <c r="J858" s="321"/>
      <c r="K858" s="321"/>
      <c r="L858" s="321"/>
      <c r="M858" s="321"/>
      <c r="N858" s="321"/>
      <c r="O858" s="321"/>
      <c r="P858" s="321"/>
      <c r="Q858" s="321"/>
      <c r="R858" s="321"/>
      <c r="S858" s="321"/>
      <c r="T858" s="321"/>
      <c r="U858" s="321"/>
      <c r="V858" s="321"/>
      <c r="W858" s="321"/>
      <c r="X858" s="321"/>
      <c r="Y858" s="321"/>
    </row>
    <row r="859" spans="1:25" ht="12.75" x14ac:dyDescent="0.2">
      <c r="A859" s="321"/>
      <c r="B859" s="321"/>
      <c r="C859" s="321"/>
      <c r="D859" s="321"/>
      <c r="E859" s="321"/>
      <c r="F859" s="321"/>
      <c r="G859" s="321"/>
      <c r="H859" s="321"/>
      <c r="I859" s="321"/>
      <c r="J859" s="321"/>
      <c r="K859" s="321"/>
      <c r="L859" s="321"/>
      <c r="M859" s="321"/>
      <c r="N859" s="321"/>
      <c r="O859" s="321"/>
      <c r="P859" s="321"/>
      <c r="Q859" s="321"/>
      <c r="R859" s="321"/>
      <c r="S859" s="321"/>
      <c r="T859" s="321"/>
      <c r="U859" s="321"/>
      <c r="V859" s="321"/>
      <c r="W859" s="321"/>
      <c r="X859" s="321"/>
      <c r="Y859" s="321"/>
    </row>
    <row r="860" spans="1:25" ht="12.75" x14ac:dyDescent="0.2">
      <c r="A860" s="321"/>
      <c r="B860" s="321"/>
      <c r="C860" s="321"/>
      <c r="D860" s="321"/>
      <c r="E860" s="321"/>
      <c r="F860" s="321"/>
      <c r="G860" s="321"/>
      <c r="H860" s="321"/>
      <c r="I860" s="321"/>
      <c r="J860" s="321"/>
      <c r="K860" s="321"/>
      <c r="L860" s="321"/>
      <c r="M860" s="321"/>
      <c r="N860" s="321"/>
      <c r="O860" s="321"/>
      <c r="P860" s="321"/>
      <c r="Q860" s="321"/>
      <c r="R860" s="321"/>
      <c r="S860" s="321"/>
      <c r="T860" s="321"/>
      <c r="U860" s="321"/>
      <c r="V860" s="321"/>
      <c r="W860" s="321"/>
      <c r="X860" s="321"/>
      <c r="Y860" s="321"/>
    </row>
    <row r="861" spans="1:25" ht="12.75" x14ac:dyDescent="0.2">
      <c r="A861" s="321"/>
      <c r="B861" s="321"/>
      <c r="C861" s="321"/>
      <c r="D861" s="321"/>
      <c r="E861" s="321"/>
      <c r="F861" s="321"/>
      <c r="G861" s="321"/>
      <c r="H861" s="321"/>
      <c r="I861" s="321"/>
      <c r="J861" s="321"/>
      <c r="K861" s="321"/>
      <c r="L861" s="321"/>
      <c r="M861" s="321"/>
      <c r="N861" s="321"/>
      <c r="O861" s="321"/>
      <c r="P861" s="321"/>
      <c r="Q861" s="321"/>
      <c r="R861" s="321"/>
      <c r="S861" s="321"/>
      <c r="T861" s="321"/>
      <c r="U861" s="321"/>
      <c r="V861" s="321"/>
      <c r="W861" s="321"/>
      <c r="X861" s="321"/>
      <c r="Y861" s="321"/>
    </row>
    <row r="862" spans="1:25" ht="12.75" x14ac:dyDescent="0.2">
      <c r="A862" s="321"/>
      <c r="B862" s="321"/>
      <c r="C862" s="321"/>
      <c r="D862" s="321"/>
      <c r="E862" s="321"/>
      <c r="F862" s="321"/>
      <c r="G862" s="321"/>
      <c r="H862" s="321"/>
      <c r="I862" s="321"/>
      <c r="J862" s="321"/>
      <c r="K862" s="321"/>
      <c r="L862" s="321"/>
      <c r="M862" s="321"/>
      <c r="N862" s="321"/>
      <c r="O862" s="321"/>
      <c r="P862" s="321"/>
      <c r="Q862" s="321"/>
      <c r="R862" s="321"/>
      <c r="S862" s="321"/>
      <c r="T862" s="321"/>
      <c r="U862" s="321"/>
      <c r="V862" s="321"/>
      <c r="W862" s="321"/>
      <c r="X862" s="321"/>
      <c r="Y862" s="321"/>
    </row>
    <row r="863" spans="1:25" ht="12.75" x14ac:dyDescent="0.2">
      <c r="A863" s="321"/>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row>
    <row r="864" spans="1:25" ht="12.75" x14ac:dyDescent="0.2">
      <c r="A864" s="321"/>
      <c r="B864" s="321"/>
      <c r="C864" s="321"/>
      <c r="D864" s="321"/>
      <c r="E864" s="321"/>
      <c r="F864" s="321"/>
      <c r="G864" s="321"/>
      <c r="H864" s="321"/>
      <c r="I864" s="321"/>
      <c r="J864" s="321"/>
      <c r="K864" s="321"/>
      <c r="L864" s="321"/>
      <c r="M864" s="321"/>
      <c r="N864" s="321"/>
      <c r="O864" s="321"/>
      <c r="P864" s="321"/>
      <c r="Q864" s="321"/>
      <c r="R864" s="321"/>
      <c r="S864" s="321"/>
      <c r="T864" s="321"/>
      <c r="U864" s="321"/>
      <c r="V864" s="321"/>
      <c r="W864" s="321"/>
      <c r="X864" s="321"/>
      <c r="Y864" s="321"/>
    </row>
    <row r="865" spans="1:25" ht="12.75" x14ac:dyDescent="0.2">
      <c r="A865" s="321"/>
      <c r="B865" s="321"/>
      <c r="C865" s="321"/>
      <c r="D865" s="321"/>
      <c r="E865" s="321"/>
      <c r="F865" s="321"/>
      <c r="G865" s="321"/>
      <c r="H865" s="321"/>
      <c r="I865" s="321"/>
      <c r="J865" s="321"/>
      <c r="K865" s="321"/>
      <c r="L865" s="321"/>
      <c r="M865" s="321"/>
      <c r="N865" s="321"/>
      <c r="O865" s="321"/>
      <c r="P865" s="321"/>
      <c r="Q865" s="321"/>
      <c r="R865" s="321"/>
      <c r="S865" s="321"/>
      <c r="T865" s="321"/>
      <c r="U865" s="321"/>
      <c r="V865" s="321"/>
      <c r="W865" s="321"/>
      <c r="X865" s="321"/>
      <c r="Y865" s="321"/>
    </row>
    <row r="866" spans="1:25" ht="12.75" x14ac:dyDescent="0.2">
      <c r="A866" s="321"/>
      <c r="B866" s="321"/>
      <c r="C866" s="321"/>
      <c r="D866" s="321"/>
      <c r="E866" s="321"/>
      <c r="F866" s="321"/>
      <c r="G866" s="321"/>
      <c r="H866" s="321"/>
      <c r="I866" s="321"/>
      <c r="J866" s="321"/>
      <c r="K866" s="321"/>
      <c r="L866" s="321"/>
      <c r="M866" s="321"/>
      <c r="N866" s="321"/>
      <c r="O866" s="321"/>
      <c r="P866" s="321"/>
      <c r="Q866" s="321"/>
      <c r="R866" s="321"/>
      <c r="S866" s="321"/>
      <c r="T866" s="321"/>
      <c r="U866" s="321"/>
      <c r="V866" s="321"/>
      <c r="W866" s="321"/>
      <c r="X866" s="321"/>
      <c r="Y866" s="321"/>
    </row>
    <row r="867" spans="1:25" ht="12.75" x14ac:dyDescent="0.2">
      <c r="A867" s="321"/>
      <c r="B867" s="321"/>
      <c r="C867" s="321"/>
      <c r="D867" s="321"/>
      <c r="E867" s="321"/>
      <c r="F867" s="321"/>
      <c r="G867" s="321"/>
      <c r="H867" s="321"/>
      <c r="I867" s="321"/>
      <c r="J867" s="321"/>
      <c r="K867" s="321"/>
      <c r="L867" s="321"/>
      <c r="M867" s="321"/>
      <c r="N867" s="321"/>
      <c r="O867" s="321"/>
      <c r="P867" s="321"/>
      <c r="Q867" s="321"/>
      <c r="R867" s="321"/>
      <c r="S867" s="321"/>
      <c r="T867" s="321"/>
      <c r="U867" s="321"/>
      <c r="V867" s="321"/>
      <c r="W867" s="321"/>
      <c r="X867" s="321"/>
      <c r="Y867" s="321"/>
    </row>
    <row r="868" spans="1:25" ht="12.75" x14ac:dyDescent="0.2">
      <c r="A868" s="321"/>
      <c r="B868" s="321"/>
      <c r="C868" s="321"/>
      <c r="D868" s="321"/>
      <c r="E868" s="321"/>
      <c r="F868" s="321"/>
      <c r="G868" s="321"/>
      <c r="H868" s="321"/>
      <c r="I868" s="321"/>
      <c r="J868" s="321"/>
      <c r="K868" s="321"/>
      <c r="L868" s="321"/>
      <c r="M868" s="321"/>
      <c r="N868" s="321"/>
      <c r="O868" s="321"/>
      <c r="P868" s="321"/>
      <c r="Q868" s="321"/>
      <c r="R868" s="321"/>
      <c r="S868" s="321"/>
      <c r="T868" s="321"/>
      <c r="U868" s="321"/>
      <c r="V868" s="321"/>
      <c r="W868" s="321"/>
      <c r="X868" s="321"/>
      <c r="Y868" s="321"/>
    </row>
    <row r="869" spans="1:25" ht="12.75" x14ac:dyDescent="0.2">
      <c r="A869" s="321"/>
      <c r="B869" s="321"/>
      <c r="C869" s="321"/>
      <c r="D869" s="321"/>
      <c r="E869" s="321"/>
      <c r="F869" s="321"/>
      <c r="G869" s="321"/>
      <c r="H869" s="321"/>
      <c r="I869" s="321"/>
      <c r="J869" s="321"/>
      <c r="K869" s="321"/>
      <c r="L869" s="321"/>
      <c r="M869" s="321"/>
      <c r="N869" s="321"/>
      <c r="O869" s="321"/>
      <c r="P869" s="321"/>
      <c r="Q869" s="321"/>
      <c r="R869" s="321"/>
      <c r="S869" s="321"/>
      <c r="T869" s="321"/>
      <c r="U869" s="321"/>
      <c r="V869" s="321"/>
      <c r="W869" s="321"/>
      <c r="X869" s="321"/>
      <c r="Y869" s="321"/>
    </row>
    <row r="870" spans="1:25" ht="12.75" x14ac:dyDescent="0.2">
      <c r="A870" s="321"/>
      <c r="B870" s="321"/>
      <c r="C870" s="321"/>
      <c r="D870" s="321"/>
      <c r="E870" s="321"/>
      <c r="F870" s="321"/>
      <c r="G870" s="321"/>
      <c r="H870" s="321"/>
      <c r="I870" s="321"/>
      <c r="J870" s="321"/>
      <c r="K870" s="321"/>
      <c r="L870" s="321"/>
      <c r="M870" s="321"/>
      <c r="N870" s="321"/>
      <c r="O870" s="321"/>
      <c r="P870" s="321"/>
      <c r="Q870" s="321"/>
      <c r="R870" s="321"/>
      <c r="S870" s="321"/>
      <c r="T870" s="321"/>
      <c r="U870" s="321"/>
      <c r="V870" s="321"/>
      <c r="W870" s="321"/>
      <c r="X870" s="321"/>
      <c r="Y870" s="321"/>
    </row>
    <row r="871" spans="1:25" ht="12.75" x14ac:dyDescent="0.2">
      <c r="A871" s="321"/>
      <c r="B871" s="321"/>
      <c r="C871" s="321"/>
      <c r="D871" s="321"/>
      <c r="E871" s="321"/>
      <c r="F871" s="321"/>
      <c r="G871" s="321"/>
      <c r="H871" s="321"/>
      <c r="I871" s="321"/>
      <c r="J871" s="321"/>
      <c r="K871" s="321"/>
      <c r="L871" s="321"/>
      <c r="M871" s="321"/>
      <c r="N871" s="321"/>
      <c r="O871" s="321"/>
      <c r="P871" s="321"/>
      <c r="Q871" s="321"/>
      <c r="R871" s="321"/>
      <c r="S871" s="321"/>
      <c r="T871" s="321"/>
      <c r="U871" s="321"/>
      <c r="V871" s="321"/>
      <c r="W871" s="321"/>
      <c r="X871" s="321"/>
      <c r="Y871" s="321"/>
    </row>
    <row r="872" spans="1:25" ht="12.75" x14ac:dyDescent="0.2">
      <c r="A872" s="321"/>
      <c r="B872" s="321"/>
      <c r="C872" s="321"/>
      <c r="D872" s="321"/>
      <c r="E872" s="321"/>
      <c r="F872" s="321"/>
      <c r="G872" s="321"/>
      <c r="H872" s="321"/>
      <c r="I872" s="321"/>
      <c r="J872" s="321"/>
      <c r="K872" s="321"/>
      <c r="L872" s="321"/>
      <c r="M872" s="321"/>
      <c r="N872" s="321"/>
      <c r="O872" s="321"/>
      <c r="P872" s="321"/>
      <c r="Q872" s="321"/>
      <c r="R872" s="321"/>
      <c r="S872" s="321"/>
      <c r="T872" s="321"/>
      <c r="U872" s="321"/>
      <c r="V872" s="321"/>
      <c r="W872" s="321"/>
      <c r="X872" s="321"/>
      <c r="Y872" s="321"/>
    </row>
    <row r="873" spans="1:25" ht="12.75" x14ac:dyDescent="0.2">
      <c r="A873" s="321"/>
      <c r="B873" s="321"/>
      <c r="C873" s="321"/>
      <c r="D873" s="321"/>
      <c r="E873" s="321"/>
      <c r="F873" s="321"/>
      <c r="G873" s="321"/>
      <c r="H873" s="321"/>
      <c r="I873" s="321"/>
      <c r="J873" s="321"/>
      <c r="K873" s="321"/>
      <c r="L873" s="321"/>
      <c r="M873" s="321"/>
      <c r="N873" s="321"/>
      <c r="O873" s="321"/>
      <c r="P873" s="321"/>
      <c r="Q873" s="321"/>
      <c r="R873" s="321"/>
      <c r="S873" s="321"/>
      <c r="T873" s="321"/>
      <c r="U873" s="321"/>
      <c r="V873" s="321"/>
      <c r="W873" s="321"/>
      <c r="X873" s="321"/>
      <c r="Y873" s="321"/>
    </row>
    <row r="874" spans="1:25" ht="12.75" x14ac:dyDescent="0.2">
      <c r="A874" s="321"/>
      <c r="B874" s="321"/>
      <c r="C874" s="321"/>
      <c r="D874" s="321"/>
      <c r="E874" s="321"/>
      <c r="F874" s="321"/>
      <c r="G874" s="321"/>
      <c r="H874" s="321"/>
      <c r="I874" s="321"/>
      <c r="J874" s="321"/>
      <c r="K874" s="321"/>
      <c r="L874" s="321"/>
      <c r="M874" s="321"/>
      <c r="N874" s="321"/>
      <c r="O874" s="321"/>
      <c r="P874" s="321"/>
      <c r="Q874" s="321"/>
      <c r="R874" s="321"/>
      <c r="S874" s="321"/>
      <c r="T874" s="321"/>
      <c r="U874" s="321"/>
      <c r="V874" s="321"/>
      <c r="W874" s="321"/>
      <c r="X874" s="321"/>
      <c r="Y874" s="321"/>
    </row>
    <row r="875" spans="1:25" ht="12.75" x14ac:dyDescent="0.2">
      <c r="A875" s="321"/>
      <c r="B875" s="321"/>
      <c r="C875" s="321"/>
      <c r="D875" s="321"/>
      <c r="E875" s="321"/>
      <c r="F875" s="321"/>
      <c r="G875" s="321"/>
      <c r="H875" s="321"/>
      <c r="I875" s="321"/>
      <c r="J875" s="321"/>
      <c r="K875" s="321"/>
      <c r="L875" s="321"/>
      <c r="M875" s="321"/>
      <c r="N875" s="321"/>
      <c r="O875" s="321"/>
      <c r="P875" s="321"/>
      <c r="Q875" s="321"/>
      <c r="R875" s="321"/>
      <c r="S875" s="321"/>
      <c r="T875" s="321"/>
      <c r="U875" s="321"/>
      <c r="V875" s="321"/>
      <c r="W875" s="321"/>
      <c r="X875" s="321"/>
      <c r="Y875" s="321"/>
    </row>
    <row r="876" spans="1:25" ht="12.75" x14ac:dyDescent="0.2">
      <c r="A876" s="321"/>
      <c r="B876" s="321"/>
      <c r="C876" s="321"/>
      <c r="D876" s="321"/>
      <c r="E876" s="321"/>
      <c r="F876" s="321"/>
      <c r="G876" s="321"/>
      <c r="H876" s="321"/>
      <c r="I876" s="321"/>
      <c r="J876" s="321"/>
      <c r="K876" s="321"/>
      <c r="L876" s="321"/>
      <c r="M876" s="321"/>
      <c r="N876" s="321"/>
      <c r="O876" s="321"/>
      <c r="P876" s="321"/>
      <c r="Q876" s="321"/>
      <c r="R876" s="321"/>
      <c r="S876" s="321"/>
      <c r="T876" s="321"/>
      <c r="U876" s="321"/>
      <c r="V876" s="321"/>
      <c r="W876" s="321"/>
      <c r="X876" s="321"/>
      <c r="Y876" s="321"/>
    </row>
    <row r="877" spans="1:25" ht="12.75" x14ac:dyDescent="0.2">
      <c r="A877" s="321"/>
      <c r="B877" s="321"/>
      <c r="C877" s="321"/>
      <c r="D877" s="321"/>
      <c r="E877" s="321"/>
      <c r="F877" s="321"/>
      <c r="G877" s="321"/>
      <c r="H877" s="321"/>
      <c r="I877" s="321"/>
      <c r="J877" s="321"/>
      <c r="K877" s="321"/>
      <c r="L877" s="321"/>
      <c r="M877" s="321"/>
      <c r="N877" s="321"/>
      <c r="O877" s="321"/>
      <c r="P877" s="321"/>
      <c r="Q877" s="321"/>
      <c r="R877" s="321"/>
      <c r="S877" s="321"/>
      <c r="T877" s="321"/>
      <c r="U877" s="321"/>
      <c r="V877" s="321"/>
      <c r="W877" s="321"/>
      <c r="X877" s="321"/>
      <c r="Y877" s="321"/>
    </row>
    <row r="878" spans="1:25" ht="12.75" x14ac:dyDescent="0.2">
      <c r="A878" s="321"/>
      <c r="B878" s="321"/>
      <c r="C878" s="321"/>
      <c r="D878" s="321"/>
      <c r="E878" s="321"/>
      <c r="F878" s="321"/>
      <c r="G878" s="321"/>
      <c r="H878" s="321"/>
      <c r="I878" s="321"/>
      <c r="J878" s="321"/>
      <c r="K878" s="321"/>
      <c r="L878" s="321"/>
      <c r="M878" s="321"/>
      <c r="N878" s="321"/>
      <c r="O878" s="321"/>
      <c r="P878" s="321"/>
      <c r="Q878" s="321"/>
      <c r="R878" s="321"/>
      <c r="S878" s="321"/>
      <c r="T878" s="321"/>
      <c r="U878" s="321"/>
      <c r="V878" s="321"/>
      <c r="W878" s="321"/>
      <c r="X878" s="321"/>
      <c r="Y878" s="321"/>
    </row>
    <row r="879" spans="1:25" ht="12.75" x14ac:dyDescent="0.2">
      <c r="A879" s="321"/>
      <c r="B879" s="321"/>
      <c r="C879" s="321"/>
      <c r="D879" s="321"/>
      <c r="E879" s="321"/>
      <c r="F879" s="321"/>
      <c r="G879" s="321"/>
      <c r="H879" s="321"/>
      <c r="I879" s="321"/>
      <c r="J879" s="321"/>
      <c r="K879" s="321"/>
      <c r="L879" s="321"/>
      <c r="M879" s="321"/>
      <c r="N879" s="321"/>
      <c r="O879" s="321"/>
      <c r="P879" s="321"/>
      <c r="Q879" s="321"/>
      <c r="R879" s="321"/>
      <c r="S879" s="321"/>
      <c r="T879" s="321"/>
      <c r="U879" s="321"/>
      <c r="V879" s="321"/>
      <c r="W879" s="321"/>
      <c r="X879" s="321"/>
      <c r="Y879" s="321"/>
    </row>
    <row r="880" spans="1:25" ht="12.75" x14ac:dyDescent="0.2">
      <c r="A880" s="321"/>
      <c r="B880" s="321"/>
      <c r="C880" s="321"/>
      <c r="D880" s="321"/>
      <c r="E880" s="321"/>
      <c r="F880" s="321"/>
      <c r="G880" s="321"/>
      <c r="H880" s="321"/>
      <c r="I880" s="321"/>
      <c r="J880" s="321"/>
      <c r="K880" s="321"/>
      <c r="L880" s="321"/>
      <c r="M880" s="321"/>
      <c r="N880" s="321"/>
      <c r="O880" s="321"/>
      <c r="P880" s="321"/>
      <c r="Q880" s="321"/>
      <c r="R880" s="321"/>
      <c r="S880" s="321"/>
      <c r="T880" s="321"/>
      <c r="U880" s="321"/>
      <c r="V880" s="321"/>
      <c r="W880" s="321"/>
      <c r="X880" s="321"/>
      <c r="Y880" s="321"/>
    </row>
    <row r="881" spans="1:25" ht="12.75" x14ac:dyDescent="0.2">
      <c r="A881" s="321"/>
      <c r="B881" s="321"/>
      <c r="C881" s="321"/>
      <c r="D881" s="321"/>
      <c r="E881" s="321"/>
      <c r="F881" s="321"/>
      <c r="G881" s="321"/>
      <c r="H881" s="321"/>
      <c r="I881" s="321"/>
      <c r="J881" s="321"/>
      <c r="K881" s="321"/>
      <c r="L881" s="321"/>
      <c r="M881" s="321"/>
      <c r="N881" s="321"/>
      <c r="O881" s="321"/>
      <c r="P881" s="321"/>
      <c r="Q881" s="321"/>
      <c r="R881" s="321"/>
      <c r="S881" s="321"/>
      <c r="T881" s="321"/>
      <c r="U881" s="321"/>
      <c r="V881" s="321"/>
      <c r="W881" s="321"/>
      <c r="X881" s="321"/>
      <c r="Y881" s="321"/>
    </row>
    <row r="882" spans="1:25" ht="12.75" x14ac:dyDescent="0.2">
      <c r="A882" s="321"/>
      <c r="B882" s="321"/>
      <c r="C882" s="321"/>
      <c r="D882" s="321"/>
      <c r="E882" s="321"/>
      <c r="F882" s="321"/>
      <c r="G882" s="321"/>
      <c r="H882" s="321"/>
      <c r="I882" s="321"/>
      <c r="J882" s="321"/>
      <c r="K882" s="321"/>
      <c r="L882" s="321"/>
      <c r="M882" s="321"/>
      <c r="N882" s="321"/>
      <c r="O882" s="321"/>
      <c r="P882" s="321"/>
      <c r="Q882" s="321"/>
      <c r="R882" s="321"/>
      <c r="S882" s="321"/>
      <c r="T882" s="321"/>
      <c r="U882" s="321"/>
      <c r="V882" s="321"/>
      <c r="W882" s="321"/>
      <c r="X882" s="321"/>
      <c r="Y882" s="321"/>
    </row>
    <row r="883" spans="1:25" ht="12.75" x14ac:dyDescent="0.2">
      <c r="A883" s="321"/>
      <c r="B883" s="321"/>
      <c r="C883" s="321"/>
      <c r="D883" s="321"/>
      <c r="E883" s="321"/>
      <c r="F883" s="321"/>
      <c r="G883" s="321"/>
      <c r="H883" s="321"/>
      <c r="I883" s="321"/>
      <c r="J883" s="321"/>
      <c r="K883" s="321"/>
      <c r="L883" s="321"/>
      <c r="M883" s="321"/>
      <c r="N883" s="321"/>
      <c r="O883" s="321"/>
      <c r="P883" s="321"/>
      <c r="Q883" s="321"/>
      <c r="R883" s="321"/>
      <c r="S883" s="321"/>
      <c r="T883" s="321"/>
      <c r="U883" s="321"/>
      <c r="V883" s="321"/>
      <c r="W883" s="321"/>
      <c r="X883" s="321"/>
      <c r="Y883" s="321"/>
    </row>
    <row r="884" spans="1:25" ht="12.75" x14ac:dyDescent="0.2">
      <c r="A884" s="321"/>
      <c r="B884" s="321"/>
      <c r="C884" s="321"/>
      <c r="D884" s="321"/>
      <c r="E884" s="321"/>
      <c r="F884" s="321"/>
      <c r="G884" s="321"/>
      <c r="H884" s="321"/>
      <c r="I884" s="321"/>
      <c r="J884" s="321"/>
      <c r="K884" s="321"/>
      <c r="L884" s="321"/>
      <c r="M884" s="321"/>
      <c r="N884" s="321"/>
      <c r="O884" s="321"/>
      <c r="P884" s="321"/>
      <c r="Q884" s="321"/>
      <c r="R884" s="321"/>
      <c r="S884" s="321"/>
      <c r="T884" s="321"/>
      <c r="U884" s="321"/>
      <c r="V884" s="321"/>
      <c r="W884" s="321"/>
      <c r="X884" s="321"/>
      <c r="Y884" s="321"/>
    </row>
    <row r="885" spans="1:25" ht="12.75" x14ac:dyDescent="0.2">
      <c r="A885" s="321"/>
      <c r="B885" s="321"/>
      <c r="C885" s="321"/>
      <c r="D885" s="321"/>
      <c r="E885" s="321"/>
      <c r="F885" s="321"/>
      <c r="G885" s="321"/>
      <c r="H885" s="321"/>
      <c r="I885" s="321"/>
      <c r="J885" s="321"/>
      <c r="K885" s="321"/>
      <c r="L885" s="321"/>
      <c r="M885" s="321"/>
      <c r="N885" s="321"/>
      <c r="O885" s="321"/>
      <c r="P885" s="321"/>
      <c r="Q885" s="321"/>
      <c r="R885" s="321"/>
      <c r="S885" s="321"/>
      <c r="T885" s="321"/>
      <c r="U885" s="321"/>
      <c r="V885" s="321"/>
      <c r="W885" s="321"/>
      <c r="X885" s="321"/>
      <c r="Y885" s="321"/>
    </row>
    <row r="886" spans="1:25" ht="12.75" x14ac:dyDescent="0.2">
      <c r="A886" s="321"/>
      <c r="B886" s="321"/>
      <c r="C886" s="321"/>
      <c r="D886" s="321"/>
      <c r="E886" s="321"/>
      <c r="F886" s="321"/>
      <c r="G886" s="321"/>
      <c r="H886" s="321"/>
      <c r="I886" s="321"/>
      <c r="J886" s="321"/>
      <c r="K886" s="321"/>
      <c r="L886" s="321"/>
      <c r="M886" s="321"/>
      <c r="N886" s="321"/>
      <c r="O886" s="321"/>
      <c r="P886" s="321"/>
      <c r="Q886" s="321"/>
      <c r="R886" s="321"/>
      <c r="S886" s="321"/>
      <c r="T886" s="321"/>
      <c r="U886" s="321"/>
      <c r="V886" s="321"/>
      <c r="W886" s="321"/>
      <c r="X886" s="321"/>
      <c r="Y886" s="321"/>
    </row>
    <row r="887" spans="1:25" ht="12.75" x14ac:dyDescent="0.2">
      <c r="A887" s="321"/>
      <c r="B887" s="321"/>
      <c r="C887" s="321"/>
      <c r="D887" s="321"/>
      <c r="E887" s="321"/>
      <c r="F887" s="321"/>
      <c r="G887" s="321"/>
      <c r="H887" s="321"/>
      <c r="I887" s="321"/>
      <c r="J887" s="321"/>
      <c r="K887" s="321"/>
      <c r="L887" s="321"/>
      <c r="M887" s="321"/>
      <c r="N887" s="321"/>
      <c r="O887" s="321"/>
      <c r="P887" s="321"/>
      <c r="Q887" s="321"/>
      <c r="R887" s="321"/>
      <c r="S887" s="321"/>
      <c r="T887" s="321"/>
      <c r="U887" s="321"/>
      <c r="V887" s="321"/>
      <c r="W887" s="321"/>
      <c r="X887" s="321"/>
      <c r="Y887" s="321"/>
    </row>
    <row r="888" spans="1:25" ht="12.75" x14ac:dyDescent="0.2">
      <c r="A888" s="321"/>
      <c r="B888" s="321"/>
      <c r="C888" s="321"/>
      <c r="D888" s="321"/>
      <c r="E888" s="321"/>
      <c r="F888" s="321"/>
      <c r="G888" s="321"/>
      <c r="H888" s="321"/>
      <c r="I888" s="321"/>
      <c r="J888" s="321"/>
      <c r="K888" s="321"/>
      <c r="L888" s="321"/>
      <c r="M888" s="321"/>
      <c r="N888" s="321"/>
      <c r="O888" s="321"/>
      <c r="P888" s="321"/>
      <c r="Q888" s="321"/>
      <c r="R888" s="321"/>
      <c r="S888" s="321"/>
      <c r="T888" s="321"/>
      <c r="U888" s="321"/>
      <c r="V888" s="321"/>
      <c r="W888" s="321"/>
      <c r="X888" s="321"/>
      <c r="Y888" s="321"/>
    </row>
    <row r="889" spans="1:25" ht="12.75" x14ac:dyDescent="0.2">
      <c r="A889" s="321"/>
      <c r="B889" s="321"/>
      <c r="C889" s="321"/>
      <c r="D889" s="321"/>
      <c r="E889" s="321"/>
      <c r="F889" s="321"/>
      <c r="G889" s="321"/>
      <c r="H889" s="321"/>
      <c r="I889" s="321"/>
      <c r="J889" s="321"/>
      <c r="K889" s="321"/>
      <c r="L889" s="321"/>
      <c r="M889" s="321"/>
      <c r="N889" s="321"/>
      <c r="O889" s="321"/>
      <c r="P889" s="321"/>
      <c r="Q889" s="321"/>
      <c r="R889" s="321"/>
      <c r="S889" s="321"/>
      <c r="T889" s="321"/>
      <c r="U889" s="321"/>
      <c r="V889" s="321"/>
      <c r="W889" s="321"/>
      <c r="X889" s="321"/>
      <c r="Y889" s="321"/>
    </row>
    <row r="890" spans="1:25" ht="12.75" x14ac:dyDescent="0.2">
      <c r="A890" s="321"/>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row>
    <row r="891" spans="1:25" ht="12.75" x14ac:dyDescent="0.2">
      <c r="A891" s="321"/>
      <c r="B891" s="321"/>
      <c r="C891" s="321"/>
      <c r="D891" s="321"/>
      <c r="E891" s="321"/>
      <c r="F891" s="321"/>
      <c r="G891" s="321"/>
      <c r="H891" s="321"/>
      <c r="I891" s="321"/>
      <c r="J891" s="321"/>
      <c r="K891" s="321"/>
      <c r="L891" s="321"/>
      <c r="M891" s="321"/>
      <c r="N891" s="321"/>
      <c r="O891" s="321"/>
      <c r="P891" s="321"/>
      <c r="Q891" s="321"/>
      <c r="R891" s="321"/>
      <c r="S891" s="321"/>
      <c r="T891" s="321"/>
      <c r="U891" s="321"/>
      <c r="V891" s="321"/>
      <c r="W891" s="321"/>
      <c r="X891" s="321"/>
      <c r="Y891" s="321"/>
    </row>
    <row r="892" spans="1:25" ht="12.75" x14ac:dyDescent="0.2">
      <c r="A892" s="321"/>
      <c r="B892" s="321"/>
      <c r="C892" s="321"/>
      <c r="D892" s="321"/>
      <c r="E892" s="321"/>
      <c r="F892" s="321"/>
      <c r="G892" s="321"/>
      <c r="H892" s="321"/>
      <c r="I892" s="321"/>
      <c r="J892" s="321"/>
      <c r="K892" s="321"/>
      <c r="L892" s="321"/>
      <c r="M892" s="321"/>
      <c r="N892" s="321"/>
      <c r="O892" s="321"/>
      <c r="P892" s="321"/>
      <c r="Q892" s="321"/>
      <c r="R892" s="321"/>
      <c r="S892" s="321"/>
      <c r="T892" s="321"/>
      <c r="U892" s="321"/>
      <c r="V892" s="321"/>
      <c r="W892" s="321"/>
      <c r="X892" s="321"/>
      <c r="Y892" s="321"/>
    </row>
    <row r="893" spans="1:25" ht="12.75" x14ac:dyDescent="0.2">
      <c r="A893" s="321"/>
      <c r="B893" s="321"/>
      <c r="C893" s="321"/>
      <c r="D893" s="321"/>
      <c r="E893" s="321"/>
      <c r="F893" s="321"/>
      <c r="G893" s="321"/>
      <c r="H893" s="321"/>
      <c r="I893" s="321"/>
      <c r="J893" s="321"/>
      <c r="K893" s="321"/>
      <c r="L893" s="321"/>
      <c r="M893" s="321"/>
      <c r="N893" s="321"/>
      <c r="O893" s="321"/>
      <c r="P893" s="321"/>
      <c r="Q893" s="321"/>
      <c r="R893" s="321"/>
      <c r="S893" s="321"/>
      <c r="T893" s="321"/>
      <c r="U893" s="321"/>
      <c r="V893" s="321"/>
      <c r="W893" s="321"/>
      <c r="X893" s="321"/>
      <c r="Y893" s="321"/>
    </row>
    <row r="894" spans="1:25" ht="12.75" x14ac:dyDescent="0.2">
      <c r="A894" s="321"/>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row>
    <row r="895" spans="1:25" ht="12.75" x14ac:dyDescent="0.2">
      <c r="A895" s="321"/>
      <c r="B895" s="321"/>
      <c r="C895" s="321"/>
      <c r="D895" s="321"/>
      <c r="E895" s="321"/>
      <c r="F895" s="321"/>
      <c r="G895" s="321"/>
      <c r="H895" s="321"/>
      <c r="I895" s="321"/>
      <c r="J895" s="321"/>
      <c r="K895" s="321"/>
      <c r="L895" s="321"/>
      <c r="M895" s="321"/>
      <c r="N895" s="321"/>
      <c r="O895" s="321"/>
      <c r="P895" s="321"/>
      <c r="Q895" s="321"/>
      <c r="R895" s="321"/>
      <c r="S895" s="321"/>
      <c r="T895" s="321"/>
      <c r="U895" s="321"/>
      <c r="V895" s="321"/>
      <c r="W895" s="321"/>
      <c r="X895" s="321"/>
      <c r="Y895" s="321"/>
    </row>
    <row r="896" spans="1:25" ht="12.75" x14ac:dyDescent="0.2">
      <c r="A896" s="321"/>
      <c r="B896" s="321"/>
      <c r="C896" s="321"/>
      <c r="D896" s="321"/>
      <c r="E896" s="321"/>
      <c r="F896" s="321"/>
      <c r="G896" s="321"/>
      <c r="H896" s="321"/>
      <c r="I896" s="321"/>
      <c r="J896" s="321"/>
      <c r="K896" s="321"/>
      <c r="L896" s="321"/>
      <c r="M896" s="321"/>
      <c r="N896" s="321"/>
      <c r="O896" s="321"/>
      <c r="P896" s="321"/>
      <c r="Q896" s="321"/>
      <c r="R896" s="321"/>
      <c r="S896" s="321"/>
      <c r="T896" s="321"/>
      <c r="U896" s="321"/>
      <c r="V896" s="321"/>
      <c r="W896" s="321"/>
      <c r="X896" s="321"/>
      <c r="Y896" s="321"/>
    </row>
    <row r="897" spans="1:25" ht="12.75" x14ac:dyDescent="0.2">
      <c r="A897" s="321"/>
      <c r="B897" s="321"/>
      <c r="C897" s="321"/>
      <c r="D897" s="321"/>
      <c r="E897" s="321"/>
      <c r="F897" s="321"/>
      <c r="G897" s="321"/>
      <c r="H897" s="321"/>
      <c r="I897" s="321"/>
      <c r="J897" s="321"/>
      <c r="K897" s="321"/>
      <c r="L897" s="321"/>
      <c r="M897" s="321"/>
      <c r="N897" s="321"/>
      <c r="O897" s="321"/>
      <c r="P897" s="321"/>
      <c r="Q897" s="321"/>
      <c r="R897" s="321"/>
      <c r="S897" s="321"/>
      <c r="T897" s="321"/>
      <c r="U897" s="321"/>
      <c r="V897" s="321"/>
      <c r="W897" s="321"/>
      <c r="X897" s="321"/>
      <c r="Y897" s="321"/>
    </row>
    <row r="898" spans="1:25" ht="12.75" x14ac:dyDescent="0.2">
      <c r="A898" s="321"/>
      <c r="B898" s="321"/>
      <c r="C898" s="321"/>
      <c r="D898" s="321"/>
      <c r="E898" s="321"/>
      <c r="F898" s="321"/>
      <c r="G898" s="321"/>
      <c r="H898" s="321"/>
      <c r="I898" s="321"/>
      <c r="J898" s="321"/>
      <c r="K898" s="321"/>
      <c r="L898" s="321"/>
      <c r="M898" s="321"/>
      <c r="N898" s="321"/>
      <c r="O898" s="321"/>
      <c r="P898" s="321"/>
      <c r="Q898" s="321"/>
      <c r="R898" s="321"/>
      <c r="S898" s="321"/>
      <c r="T898" s="321"/>
      <c r="U898" s="321"/>
      <c r="V898" s="321"/>
      <c r="W898" s="321"/>
      <c r="X898" s="321"/>
      <c r="Y898" s="321"/>
    </row>
    <row r="899" spans="1:25" ht="12.75" x14ac:dyDescent="0.2">
      <c r="A899" s="321"/>
      <c r="B899" s="321"/>
      <c r="C899" s="321"/>
      <c r="D899" s="321"/>
      <c r="E899" s="321"/>
      <c r="F899" s="321"/>
      <c r="G899" s="321"/>
      <c r="H899" s="321"/>
      <c r="I899" s="321"/>
      <c r="J899" s="321"/>
      <c r="K899" s="321"/>
      <c r="L899" s="321"/>
      <c r="M899" s="321"/>
      <c r="N899" s="321"/>
      <c r="O899" s="321"/>
      <c r="P899" s="321"/>
      <c r="Q899" s="321"/>
      <c r="R899" s="321"/>
      <c r="S899" s="321"/>
      <c r="T899" s="321"/>
      <c r="U899" s="321"/>
      <c r="V899" s="321"/>
      <c r="W899" s="321"/>
      <c r="X899" s="321"/>
      <c r="Y899" s="321"/>
    </row>
    <row r="900" spans="1:25" ht="12.75" x14ac:dyDescent="0.2">
      <c r="A900" s="321"/>
      <c r="B900" s="321"/>
      <c r="C900" s="321"/>
      <c r="D900" s="321"/>
      <c r="E900" s="321"/>
      <c r="F900" s="321"/>
      <c r="G900" s="321"/>
      <c r="H900" s="321"/>
      <c r="I900" s="321"/>
      <c r="J900" s="321"/>
      <c r="K900" s="321"/>
      <c r="L900" s="321"/>
      <c r="M900" s="321"/>
      <c r="N900" s="321"/>
      <c r="O900" s="321"/>
      <c r="P900" s="321"/>
      <c r="Q900" s="321"/>
      <c r="R900" s="321"/>
      <c r="S900" s="321"/>
      <c r="T900" s="321"/>
      <c r="U900" s="321"/>
      <c r="V900" s="321"/>
      <c r="W900" s="321"/>
      <c r="X900" s="321"/>
      <c r="Y900" s="321"/>
    </row>
    <row r="901" spans="1:25" ht="12.75" x14ac:dyDescent="0.2">
      <c r="A901" s="321"/>
      <c r="B901" s="321"/>
      <c r="C901" s="321"/>
      <c r="D901" s="321"/>
      <c r="E901" s="321"/>
      <c r="F901" s="321"/>
      <c r="G901" s="321"/>
      <c r="H901" s="321"/>
      <c r="I901" s="321"/>
      <c r="J901" s="321"/>
      <c r="K901" s="321"/>
      <c r="L901" s="321"/>
      <c r="M901" s="321"/>
      <c r="N901" s="321"/>
      <c r="O901" s="321"/>
      <c r="P901" s="321"/>
      <c r="Q901" s="321"/>
      <c r="R901" s="321"/>
      <c r="S901" s="321"/>
      <c r="T901" s="321"/>
      <c r="U901" s="321"/>
      <c r="V901" s="321"/>
      <c r="W901" s="321"/>
      <c r="X901" s="321"/>
      <c r="Y901" s="321"/>
    </row>
    <row r="902" spans="1:25" ht="12.75" x14ac:dyDescent="0.2">
      <c r="A902" s="321"/>
      <c r="B902" s="321"/>
      <c r="C902" s="321"/>
      <c r="D902" s="321"/>
      <c r="E902" s="321"/>
      <c r="F902" s="321"/>
      <c r="G902" s="321"/>
      <c r="H902" s="321"/>
      <c r="I902" s="321"/>
      <c r="J902" s="321"/>
      <c r="K902" s="321"/>
      <c r="L902" s="321"/>
      <c r="M902" s="321"/>
      <c r="N902" s="321"/>
      <c r="O902" s="321"/>
      <c r="P902" s="321"/>
      <c r="Q902" s="321"/>
      <c r="R902" s="321"/>
      <c r="S902" s="321"/>
      <c r="T902" s="321"/>
      <c r="U902" s="321"/>
      <c r="V902" s="321"/>
      <c r="W902" s="321"/>
      <c r="X902" s="321"/>
      <c r="Y902" s="321"/>
    </row>
    <row r="903" spans="1:25" ht="12.75" x14ac:dyDescent="0.2">
      <c r="A903" s="321"/>
      <c r="B903" s="321"/>
      <c r="C903" s="321"/>
      <c r="D903" s="321"/>
      <c r="E903" s="321"/>
      <c r="F903" s="321"/>
      <c r="G903" s="321"/>
      <c r="H903" s="321"/>
      <c r="I903" s="321"/>
      <c r="J903" s="321"/>
      <c r="K903" s="321"/>
      <c r="L903" s="321"/>
      <c r="M903" s="321"/>
      <c r="N903" s="321"/>
      <c r="O903" s="321"/>
      <c r="P903" s="321"/>
      <c r="Q903" s="321"/>
      <c r="R903" s="321"/>
      <c r="S903" s="321"/>
      <c r="T903" s="321"/>
      <c r="U903" s="321"/>
      <c r="V903" s="321"/>
      <c r="W903" s="321"/>
      <c r="X903" s="321"/>
      <c r="Y903" s="321"/>
    </row>
    <row r="904" spans="1:25" ht="12.75" x14ac:dyDescent="0.2">
      <c r="A904" s="321"/>
      <c r="B904" s="321"/>
      <c r="C904" s="321"/>
      <c r="D904" s="321"/>
      <c r="E904" s="321"/>
      <c r="F904" s="321"/>
      <c r="G904" s="321"/>
      <c r="H904" s="321"/>
      <c r="I904" s="321"/>
      <c r="J904" s="321"/>
      <c r="K904" s="321"/>
      <c r="L904" s="321"/>
      <c r="M904" s="321"/>
      <c r="N904" s="321"/>
      <c r="O904" s="321"/>
      <c r="P904" s="321"/>
      <c r="Q904" s="321"/>
      <c r="R904" s="321"/>
      <c r="S904" s="321"/>
      <c r="T904" s="321"/>
      <c r="U904" s="321"/>
      <c r="V904" s="321"/>
      <c r="W904" s="321"/>
      <c r="X904" s="321"/>
      <c r="Y904" s="321"/>
    </row>
    <row r="905" spans="1:25" ht="12.75" x14ac:dyDescent="0.2">
      <c r="A905" s="321"/>
      <c r="B905" s="321"/>
      <c r="C905" s="321"/>
      <c r="D905" s="321"/>
      <c r="E905" s="321"/>
      <c r="F905" s="321"/>
      <c r="G905" s="321"/>
      <c r="H905" s="321"/>
      <c r="I905" s="321"/>
      <c r="J905" s="321"/>
      <c r="K905" s="321"/>
      <c r="L905" s="321"/>
      <c r="M905" s="321"/>
      <c r="N905" s="321"/>
      <c r="O905" s="321"/>
      <c r="P905" s="321"/>
      <c r="Q905" s="321"/>
      <c r="R905" s="321"/>
      <c r="S905" s="321"/>
      <c r="T905" s="321"/>
      <c r="U905" s="321"/>
      <c r="V905" s="321"/>
      <c r="W905" s="321"/>
      <c r="X905" s="321"/>
      <c r="Y905" s="321"/>
    </row>
    <row r="906" spans="1:25" ht="12.75" x14ac:dyDescent="0.2">
      <c r="A906" s="321"/>
      <c r="B906" s="321"/>
      <c r="C906" s="321"/>
      <c r="D906" s="321"/>
      <c r="E906" s="321"/>
      <c r="F906" s="321"/>
      <c r="G906" s="321"/>
      <c r="H906" s="321"/>
      <c r="I906" s="321"/>
      <c r="J906" s="321"/>
      <c r="K906" s="321"/>
      <c r="L906" s="321"/>
      <c r="M906" s="321"/>
      <c r="N906" s="321"/>
      <c r="O906" s="321"/>
      <c r="P906" s="321"/>
      <c r="Q906" s="321"/>
      <c r="R906" s="321"/>
      <c r="S906" s="321"/>
      <c r="T906" s="321"/>
      <c r="U906" s="321"/>
      <c r="V906" s="321"/>
      <c r="W906" s="321"/>
      <c r="X906" s="321"/>
      <c r="Y906" s="321"/>
    </row>
    <row r="907" spans="1:25" ht="12.75" x14ac:dyDescent="0.2">
      <c r="A907" s="321"/>
      <c r="B907" s="321"/>
      <c r="C907" s="321"/>
      <c r="D907" s="321"/>
      <c r="E907" s="321"/>
      <c r="F907" s="321"/>
      <c r="G907" s="321"/>
      <c r="H907" s="321"/>
      <c r="I907" s="321"/>
      <c r="J907" s="321"/>
      <c r="K907" s="321"/>
      <c r="L907" s="321"/>
      <c r="M907" s="321"/>
      <c r="N907" s="321"/>
      <c r="O907" s="321"/>
      <c r="P907" s="321"/>
      <c r="Q907" s="321"/>
      <c r="R907" s="321"/>
      <c r="S907" s="321"/>
      <c r="T907" s="321"/>
      <c r="U907" s="321"/>
      <c r="V907" s="321"/>
      <c r="W907" s="321"/>
      <c r="X907" s="321"/>
      <c r="Y907" s="321"/>
    </row>
    <row r="908" spans="1:25" ht="12.75" x14ac:dyDescent="0.2">
      <c r="A908" s="321"/>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row>
    <row r="909" spans="1:25" ht="12.75" x14ac:dyDescent="0.2">
      <c r="A909" s="321"/>
      <c r="B909" s="321"/>
      <c r="C909" s="321"/>
      <c r="D909" s="321"/>
      <c r="E909" s="321"/>
      <c r="F909" s="321"/>
      <c r="G909" s="321"/>
      <c r="H909" s="321"/>
      <c r="I909" s="321"/>
      <c r="J909" s="321"/>
      <c r="K909" s="321"/>
      <c r="L909" s="321"/>
      <c r="M909" s="321"/>
      <c r="N909" s="321"/>
      <c r="O909" s="321"/>
      <c r="P909" s="321"/>
      <c r="Q909" s="321"/>
      <c r="R909" s="321"/>
      <c r="S909" s="321"/>
      <c r="T909" s="321"/>
      <c r="U909" s="321"/>
      <c r="V909" s="321"/>
      <c r="W909" s="321"/>
      <c r="X909" s="321"/>
      <c r="Y909" s="321"/>
    </row>
    <row r="910" spans="1:25" ht="12.75" x14ac:dyDescent="0.2">
      <c r="A910" s="321"/>
      <c r="B910" s="321"/>
      <c r="C910" s="321"/>
      <c r="D910" s="321"/>
      <c r="E910" s="321"/>
      <c r="F910" s="321"/>
      <c r="G910" s="321"/>
      <c r="H910" s="321"/>
      <c r="I910" s="321"/>
      <c r="J910" s="321"/>
      <c r="K910" s="321"/>
      <c r="L910" s="321"/>
      <c r="M910" s="321"/>
      <c r="N910" s="321"/>
      <c r="O910" s="321"/>
      <c r="P910" s="321"/>
      <c r="Q910" s="321"/>
      <c r="R910" s="321"/>
      <c r="S910" s="321"/>
      <c r="T910" s="321"/>
      <c r="U910" s="321"/>
      <c r="V910" s="321"/>
      <c r="W910" s="321"/>
      <c r="X910" s="321"/>
      <c r="Y910" s="321"/>
    </row>
    <row r="911" spans="1:25" ht="12.75" x14ac:dyDescent="0.2">
      <c r="A911" s="321"/>
      <c r="B911" s="321"/>
      <c r="C911" s="321"/>
      <c r="D911" s="321"/>
      <c r="E911" s="321"/>
      <c r="F911" s="321"/>
      <c r="G911" s="321"/>
      <c r="H911" s="321"/>
      <c r="I911" s="321"/>
      <c r="J911" s="321"/>
      <c r="K911" s="321"/>
      <c r="L911" s="321"/>
      <c r="M911" s="321"/>
      <c r="N911" s="321"/>
      <c r="O911" s="321"/>
      <c r="P911" s="321"/>
      <c r="Q911" s="321"/>
      <c r="R911" s="321"/>
      <c r="S911" s="321"/>
      <c r="T911" s="321"/>
      <c r="U911" s="321"/>
      <c r="V911" s="321"/>
      <c r="W911" s="321"/>
      <c r="X911" s="321"/>
      <c r="Y911" s="321"/>
    </row>
    <row r="912" spans="1:25" ht="12.75" x14ac:dyDescent="0.2">
      <c r="A912" s="321"/>
      <c r="B912" s="321"/>
      <c r="C912" s="321"/>
      <c r="D912" s="321"/>
      <c r="E912" s="321"/>
      <c r="F912" s="321"/>
      <c r="G912" s="321"/>
      <c r="H912" s="321"/>
      <c r="I912" s="321"/>
      <c r="J912" s="321"/>
      <c r="K912" s="321"/>
      <c r="L912" s="321"/>
      <c r="M912" s="321"/>
      <c r="N912" s="321"/>
      <c r="O912" s="321"/>
      <c r="P912" s="321"/>
      <c r="Q912" s="321"/>
      <c r="R912" s="321"/>
      <c r="S912" s="321"/>
      <c r="T912" s="321"/>
      <c r="U912" s="321"/>
      <c r="V912" s="321"/>
      <c r="W912" s="321"/>
      <c r="X912" s="321"/>
      <c r="Y912" s="321"/>
    </row>
    <row r="913" spans="1:25" ht="12.75" x14ac:dyDescent="0.2">
      <c r="A913" s="321"/>
      <c r="B913" s="321"/>
      <c r="C913" s="321"/>
      <c r="D913" s="321"/>
      <c r="E913" s="321"/>
      <c r="F913" s="321"/>
      <c r="G913" s="321"/>
      <c r="H913" s="321"/>
      <c r="I913" s="321"/>
      <c r="J913" s="321"/>
      <c r="K913" s="321"/>
      <c r="L913" s="321"/>
      <c r="M913" s="321"/>
      <c r="N913" s="321"/>
      <c r="O913" s="321"/>
      <c r="P913" s="321"/>
      <c r="Q913" s="321"/>
      <c r="R913" s="321"/>
      <c r="S913" s="321"/>
      <c r="T913" s="321"/>
      <c r="U913" s="321"/>
      <c r="V913" s="321"/>
      <c r="W913" s="321"/>
      <c r="X913" s="321"/>
      <c r="Y913" s="321"/>
    </row>
    <row r="914" spans="1:25" ht="12.75" x14ac:dyDescent="0.2">
      <c r="A914" s="321"/>
      <c r="B914" s="321"/>
      <c r="C914" s="321"/>
      <c r="D914" s="321"/>
      <c r="E914" s="321"/>
      <c r="F914" s="321"/>
      <c r="G914" s="321"/>
      <c r="H914" s="321"/>
      <c r="I914" s="321"/>
      <c r="J914" s="321"/>
      <c r="K914" s="321"/>
      <c r="L914" s="321"/>
      <c r="M914" s="321"/>
      <c r="N914" s="321"/>
      <c r="O914" s="321"/>
      <c r="P914" s="321"/>
      <c r="Q914" s="321"/>
      <c r="R914" s="321"/>
      <c r="S914" s="321"/>
      <c r="T914" s="321"/>
      <c r="U914" s="321"/>
      <c r="V914" s="321"/>
      <c r="W914" s="321"/>
      <c r="X914" s="321"/>
      <c r="Y914" s="321"/>
    </row>
    <row r="915" spans="1:25" ht="12.75" x14ac:dyDescent="0.2">
      <c r="A915" s="321"/>
      <c r="B915" s="321"/>
      <c r="C915" s="321"/>
      <c r="D915" s="321"/>
      <c r="E915" s="321"/>
      <c r="F915" s="321"/>
      <c r="G915" s="321"/>
      <c r="H915" s="321"/>
      <c r="I915" s="321"/>
      <c r="J915" s="321"/>
      <c r="K915" s="321"/>
      <c r="L915" s="321"/>
      <c r="M915" s="321"/>
      <c r="N915" s="321"/>
      <c r="O915" s="321"/>
      <c r="P915" s="321"/>
      <c r="Q915" s="321"/>
      <c r="R915" s="321"/>
      <c r="S915" s="321"/>
      <c r="T915" s="321"/>
      <c r="U915" s="321"/>
      <c r="V915" s="321"/>
      <c r="W915" s="321"/>
      <c r="X915" s="321"/>
      <c r="Y915" s="321"/>
    </row>
    <row r="916" spans="1:25" ht="12.75" x14ac:dyDescent="0.2">
      <c r="A916" s="321"/>
      <c r="B916" s="321"/>
      <c r="C916" s="321"/>
      <c r="D916" s="321"/>
      <c r="E916" s="321"/>
      <c r="F916" s="321"/>
      <c r="G916" s="321"/>
      <c r="H916" s="321"/>
      <c r="I916" s="321"/>
      <c r="J916" s="321"/>
      <c r="K916" s="321"/>
      <c r="L916" s="321"/>
      <c r="M916" s="321"/>
      <c r="N916" s="321"/>
      <c r="O916" s="321"/>
      <c r="P916" s="321"/>
      <c r="Q916" s="321"/>
      <c r="R916" s="321"/>
      <c r="S916" s="321"/>
      <c r="T916" s="321"/>
      <c r="U916" s="321"/>
      <c r="V916" s="321"/>
      <c r="W916" s="321"/>
      <c r="X916" s="321"/>
      <c r="Y916" s="321"/>
    </row>
    <row r="917" spans="1:25" ht="12.75" x14ac:dyDescent="0.2">
      <c r="A917" s="321"/>
      <c r="B917" s="321"/>
      <c r="C917" s="321"/>
      <c r="D917" s="321"/>
      <c r="E917" s="321"/>
      <c r="F917" s="321"/>
      <c r="G917" s="321"/>
      <c r="H917" s="321"/>
      <c r="I917" s="321"/>
      <c r="J917" s="321"/>
      <c r="K917" s="321"/>
      <c r="L917" s="321"/>
      <c r="M917" s="321"/>
      <c r="N917" s="321"/>
      <c r="O917" s="321"/>
      <c r="P917" s="321"/>
      <c r="Q917" s="321"/>
      <c r="R917" s="321"/>
      <c r="S917" s="321"/>
      <c r="T917" s="321"/>
      <c r="U917" s="321"/>
      <c r="V917" s="321"/>
      <c r="W917" s="321"/>
      <c r="X917" s="321"/>
      <c r="Y917" s="321"/>
    </row>
    <row r="918" spans="1:25" ht="12.75" x14ac:dyDescent="0.2">
      <c r="A918" s="321"/>
      <c r="B918" s="321"/>
      <c r="C918" s="321"/>
      <c r="D918" s="321"/>
      <c r="E918" s="321"/>
      <c r="F918" s="321"/>
      <c r="G918" s="321"/>
      <c r="H918" s="321"/>
      <c r="I918" s="321"/>
      <c r="J918" s="321"/>
      <c r="K918" s="321"/>
      <c r="L918" s="321"/>
      <c r="M918" s="321"/>
      <c r="N918" s="321"/>
      <c r="O918" s="321"/>
      <c r="P918" s="321"/>
      <c r="Q918" s="321"/>
      <c r="R918" s="321"/>
      <c r="S918" s="321"/>
      <c r="T918" s="321"/>
      <c r="U918" s="321"/>
      <c r="V918" s="321"/>
      <c r="W918" s="321"/>
      <c r="X918" s="321"/>
      <c r="Y918" s="321"/>
    </row>
    <row r="919" spans="1:25" ht="12.75" x14ac:dyDescent="0.2">
      <c r="A919" s="321"/>
      <c r="B919" s="321"/>
      <c r="C919" s="321"/>
      <c r="D919" s="321"/>
      <c r="E919" s="321"/>
      <c r="F919" s="321"/>
      <c r="G919" s="321"/>
      <c r="H919" s="321"/>
      <c r="I919" s="321"/>
      <c r="J919" s="321"/>
      <c r="K919" s="321"/>
      <c r="L919" s="321"/>
      <c r="M919" s="321"/>
      <c r="N919" s="321"/>
      <c r="O919" s="321"/>
      <c r="P919" s="321"/>
      <c r="Q919" s="321"/>
      <c r="R919" s="321"/>
      <c r="S919" s="321"/>
      <c r="T919" s="321"/>
      <c r="U919" s="321"/>
      <c r="V919" s="321"/>
      <c r="W919" s="321"/>
      <c r="X919" s="321"/>
      <c r="Y919" s="321"/>
    </row>
    <row r="920" spans="1:25" ht="12.75" x14ac:dyDescent="0.2">
      <c r="A920" s="321"/>
      <c r="B920" s="321"/>
      <c r="C920" s="321"/>
      <c r="D920" s="321"/>
      <c r="E920" s="321"/>
      <c r="F920" s="321"/>
      <c r="G920" s="321"/>
      <c r="H920" s="321"/>
      <c r="I920" s="321"/>
      <c r="J920" s="321"/>
      <c r="K920" s="321"/>
      <c r="L920" s="321"/>
      <c r="M920" s="321"/>
      <c r="N920" s="321"/>
      <c r="O920" s="321"/>
      <c r="P920" s="321"/>
      <c r="Q920" s="321"/>
      <c r="R920" s="321"/>
      <c r="S920" s="321"/>
      <c r="T920" s="321"/>
      <c r="U920" s="321"/>
      <c r="V920" s="321"/>
      <c r="W920" s="321"/>
      <c r="X920" s="321"/>
      <c r="Y920" s="321"/>
    </row>
    <row r="921" spans="1:25" ht="12.75" x14ac:dyDescent="0.2">
      <c r="A921" s="321"/>
      <c r="B921" s="321"/>
      <c r="C921" s="321"/>
      <c r="D921" s="321"/>
      <c r="E921" s="321"/>
      <c r="F921" s="321"/>
      <c r="G921" s="321"/>
      <c r="H921" s="321"/>
      <c r="I921" s="321"/>
      <c r="J921" s="321"/>
      <c r="K921" s="321"/>
      <c r="L921" s="321"/>
      <c r="M921" s="321"/>
      <c r="N921" s="321"/>
      <c r="O921" s="321"/>
      <c r="P921" s="321"/>
      <c r="Q921" s="321"/>
      <c r="R921" s="321"/>
      <c r="S921" s="321"/>
      <c r="T921" s="321"/>
      <c r="U921" s="321"/>
      <c r="V921" s="321"/>
      <c r="W921" s="321"/>
      <c r="X921" s="321"/>
      <c r="Y921" s="321"/>
    </row>
    <row r="922" spans="1:25" ht="12.75" x14ac:dyDescent="0.2">
      <c r="A922" s="321"/>
      <c r="B922" s="321"/>
      <c r="C922" s="321"/>
      <c r="D922" s="321"/>
      <c r="E922" s="321"/>
      <c r="F922" s="321"/>
      <c r="G922" s="321"/>
      <c r="H922" s="321"/>
      <c r="I922" s="321"/>
      <c r="J922" s="321"/>
      <c r="K922" s="321"/>
      <c r="L922" s="321"/>
      <c r="M922" s="321"/>
      <c r="N922" s="321"/>
      <c r="O922" s="321"/>
      <c r="P922" s="321"/>
      <c r="Q922" s="321"/>
      <c r="R922" s="321"/>
      <c r="S922" s="321"/>
      <c r="T922" s="321"/>
      <c r="U922" s="321"/>
      <c r="V922" s="321"/>
      <c r="W922" s="321"/>
      <c r="X922" s="321"/>
      <c r="Y922" s="321"/>
    </row>
    <row r="923" spans="1:25" ht="12.75" x14ac:dyDescent="0.2">
      <c r="A923" s="321"/>
      <c r="B923" s="321"/>
      <c r="C923" s="321"/>
      <c r="D923" s="321"/>
      <c r="E923" s="321"/>
      <c r="F923" s="321"/>
      <c r="G923" s="321"/>
      <c r="H923" s="321"/>
      <c r="I923" s="321"/>
      <c r="J923" s="321"/>
      <c r="K923" s="321"/>
      <c r="L923" s="321"/>
      <c r="M923" s="321"/>
      <c r="N923" s="321"/>
      <c r="O923" s="321"/>
      <c r="P923" s="321"/>
      <c r="Q923" s="321"/>
      <c r="R923" s="321"/>
      <c r="S923" s="321"/>
      <c r="T923" s="321"/>
      <c r="U923" s="321"/>
      <c r="V923" s="321"/>
      <c r="W923" s="321"/>
      <c r="X923" s="321"/>
      <c r="Y923" s="321"/>
    </row>
    <row r="924" spans="1:25" ht="12.75" x14ac:dyDescent="0.2">
      <c r="A924" s="321"/>
      <c r="B924" s="321"/>
      <c r="C924" s="321"/>
      <c r="D924" s="321"/>
      <c r="E924" s="321"/>
      <c r="F924" s="321"/>
      <c r="G924" s="321"/>
      <c r="H924" s="321"/>
      <c r="I924" s="321"/>
      <c r="J924" s="321"/>
      <c r="K924" s="321"/>
      <c r="L924" s="321"/>
      <c r="M924" s="321"/>
      <c r="N924" s="321"/>
      <c r="O924" s="321"/>
      <c r="P924" s="321"/>
      <c r="Q924" s="321"/>
      <c r="R924" s="321"/>
      <c r="S924" s="321"/>
      <c r="T924" s="321"/>
      <c r="U924" s="321"/>
      <c r="V924" s="321"/>
      <c r="W924" s="321"/>
      <c r="X924" s="321"/>
      <c r="Y924" s="321"/>
    </row>
    <row r="925" spans="1:25" ht="12.75" x14ac:dyDescent="0.2">
      <c r="A925" s="321"/>
      <c r="B925" s="321"/>
      <c r="C925" s="321"/>
      <c r="D925" s="321"/>
      <c r="E925" s="321"/>
      <c r="F925" s="321"/>
      <c r="G925" s="321"/>
      <c r="H925" s="321"/>
      <c r="I925" s="321"/>
      <c r="J925" s="321"/>
      <c r="K925" s="321"/>
      <c r="L925" s="321"/>
      <c r="M925" s="321"/>
      <c r="N925" s="321"/>
      <c r="O925" s="321"/>
      <c r="P925" s="321"/>
      <c r="Q925" s="321"/>
      <c r="R925" s="321"/>
      <c r="S925" s="321"/>
      <c r="T925" s="321"/>
      <c r="U925" s="321"/>
      <c r="V925" s="321"/>
      <c r="W925" s="321"/>
      <c r="X925" s="321"/>
      <c r="Y925" s="321"/>
    </row>
    <row r="926" spans="1:25" ht="12.75" x14ac:dyDescent="0.2">
      <c r="A926" s="321"/>
      <c r="B926" s="321"/>
      <c r="C926" s="321"/>
      <c r="D926" s="321"/>
      <c r="E926" s="321"/>
      <c r="F926" s="321"/>
      <c r="G926" s="321"/>
      <c r="H926" s="321"/>
      <c r="I926" s="321"/>
      <c r="J926" s="321"/>
      <c r="K926" s="321"/>
      <c r="L926" s="321"/>
      <c r="M926" s="321"/>
      <c r="N926" s="321"/>
      <c r="O926" s="321"/>
      <c r="P926" s="321"/>
      <c r="Q926" s="321"/>
      <c r="R926" s="321"/>
      <c r="S926" s="321"/>
      <c r="T926" s="321"/>
      <c r="U926" s="321"/>
      <c r="V926" s="321"/>
      <c r="W926" s="321"/>
      <c r="X926" s="321"/>
      <c r="Y926" s="321"/>
    </row>
    <row r="927" spans="1:25" ht="12.75" x14ac:dyDescent="0.2">
      <c r="A927" s="321"/>
      <c r="B927" s="321"/>
      <c r="C927" s="321"/>
      <c r="D927" s="321"/>
      <c r="E927" s="321"/>
      <c r="F927" s="321"/>
      <c r="G927" s="321"/>
      <c r="H927" s="321"/>
      <c r="I927" s="321"/>
      <c r="J927" s="321"/>
      <c r="K927" s="321"/>
      <c r="L927" s="321"/>
      <c r="M927" s="321"/>
      <c r="N927" s="321"/>
      <c r="O927" s="321"/>
      <c r="P927" s="321"/>
      <c r="Q927" s="321"/>
      <c r="R927" s="321"/>
      <c r="S927" s="321"/>
      <c r="T927" s="321"/>
      <c r="U927" s="321"/>
      <c r="V927" s="321"/>
      <c r="W927" s="321"/>
      <c r="X927" s="321"/>
      <c r="Y927" s="321"/>
    </row>
    <row r="928" spans="1:25" ht="12.75" x14ac:dyDescent="0.2">
      <c r="A928" s="321"/>
      <c r="B928" s="321"/>
      <c r="C928" s="321"/>
      <c r="D928" s="321"/>
      <c r="E928" s="321"/>
      <c r="F928" s="321"/>
      <c r="G928" s="321"/>
      <c r="H928" s="321"/>
      <c r="I928" s="321"/>
      <c r="J928" s="321"/>
      <c r="K928" s="321"/>
      <c r="L928" s="321"/>
      <c r="M928" s="321"/>
      <c r="N928" s="321"/>
      <c r="O928" s="321"/>
      <c r="P928" s="321"/>
      <c r="Q928" s="321"/>
      <c r="R928" s="321"/>
      <c r="S928" s="321"/>
      <c r="T928" s="321"/>
      <c r="U928" s="321"/>
      <c r="V928" s="321"/>
      <c r="W928" s="321"/>
      <c r="X928" s="321"/>
      <c r="Y928" s="321"/>
    </row>
    <row r="929" spans="1:25" ht="12.75" x14ac:dyDescent="0.2">
      <c r="A929" s="321"/>
      <c r="B929" s="321"/>
      <c r="C929" s="321"/>
      <c r="D929" s="321"/>
      <c r="E929" s="321"/>
      <c r="F929" s="321"/>
      <c r="G929" s="321"/>
      <c r="H929" s="321"/>
      <c r="I929" s="321"/>
      <c r="J929" s="321"/>
      <c r="K929" s="321"/>
      <c r="L929" s="321"/>
      <c r="M929" s="321"/>
      <c r="N929" s="321"/>
      <c r="O929" s="321"/>
      <c r="P929" s="321"/>
      <c r="Q929" s="321"/>
      <c r="R929" s="321"/>
      <c r="S929" s="321"/>
      <c r="T929" s="321"/>
      <c r="U929" s="321"/>
      <c r="V929" s="321"/>
      <c r="W929" s="321"/>
      <c r="X929" s="321"/>
      <c r="Y929" s="321"/>
    </row>
    <row r="930" spans="1:25" ht="12.75" x14ac:dyDescent="0.2">
      <c r="A930" s="321"/>
      <c r="B930" s="321"/>
      <c r="C930" s="321"/>
      <c r="D930" s="321"/>
      <c r="E930" s="321"/>
      <c r="F930" s="321"/>
      <c r="G930" s="321"/>
      <c r="H930" s="321"/>
      <c r="I930" s="321"/>
      <c r="J930" s="321"/>
      <c r="K930" s="321"/>
      <c r="L930" s="321"/>
      <c r="M930" s="321"/>
      <c r="N930" s="321"/>
      <c r="O930" s="321"/>
      <c r="P930" s="321"/>
      <c r="Q930" s="321"/>
      <c r="R930" s="321"/>
      <c r="S930" s="321"/>
      <c r="T930" s="321"/>
      <c r="U930" s="321"/>
      <c r="V930" s="321"/>
      <c r="W930" s="321"/>
      <c r="X930" s="321"/>
      <c r="Y930" s="321"/>
    </row>
    <row r="931" spans="1:25" ht="12.75" x14ac:dyDescent="0.2">
      <c r="A931" s="321"/>
      <c r="B931" s="321"/>
      <c r="C931" s="321"/>
      <c r="D931" s="321"/>
      <c r="E931" s="321"/>
      <c r="F931" s="321"/>
      <c r="G931" s="321"/>
      <c r="H931" s="321"/>
      <c r="I931" s="321"/>
      <c r="J931" s="321"/>
      <c r="K931" s="321"/>
      <c r="L931" s="321"/>
      <c r="M931" s="321"/>
      <c r="N931" s="321"/>
      <c r="O931" s="321"/>
      <c r="P931" s="321"/>
      <c r="Q931" s="321"/>
      <c r="R931" s="321"/>
      <c r="S931" s="321"/>
      <c r="T931" s="321"/>
      <c r="U931" s="321"/>
      <c r="V931" s="321"/>
      <c r="W931" s="321"/>
      <c r="X931" s="321"/>
      <c r="Y931" s="321"/>
    </row>
    <row r="932" spans="1:25" ht="12.75" x14ac:dyDescent="0.2">
      <c r="A932" s="321"/>
      <c r="B932" s="321"/>
      <c r="C932" s="321"/>
      <c r="D932" s="321"/>
      <c r="E932" s="321"/>
      <c r="F932" s="321"/>
      <c r="G932" s="321"/>
      <c r="H932" s="321"/>
      <c r="I932" s="321"/>
      <c r="J932" s="321"/>
      <c r="K932" s="321"/>
      <c r="L932" s="321"/>
      <c r="M932" s="321"/>
      <c r="N932" s="321"/>
      <c r="O932" s="321"/>
      <c r="P932" s="321"/>
      <c r="Q932" s="321"/>
      <c r="R932" s="321"/>
      <c r="S932" s="321"/>
      <c r="T932" s="321"/>
      <c r="U932" s="321"/>
      <c r="V932" s="321"/>
      <c r="W932" s="321"/>
      <c r="X932" s="321"/>
      <c r="Y932" s="321"/>
    </row>
    <row r="933" spans="1:25" ht="12.75" x14ac:dyDescent="0.2">
      <c r="A933" s="321"/>
      <c r="B933" s="321"/>
      <c r="C933" s="321"/>
      <c r="D933" s="321"/>
      <c r="E933" s="321"/>
      <c r="F933" s="321"/>
      <c r="G933" s="321"/>
      <c r="H933" s="321"/>
      <c r="I933" s="321"/>
      <c r="J933" s="321"/>
      <c r="K933" s="321"/>
      <c r="L933" s="321"/>
      <c r="M933" s="321"/>
      <c r="N933" s="321"/>
      <c r="O933" s="321"/>
      <c r="P933" s="321"/>
      <c r="Q933" s="321"/>
      <c r="R933" s="321"/>
      <c r="S933" s="321"/>
      <c r="T933" s="321"/>
      <c r="U933" s="321"/>
      <c r="V933" s="321"/>
      <c r="W933" s="321"/>
      <c r="X933" s="321"/>
      <c r="Y933" s="321"/>
    </row>
    <row r="934" spans="1:25" ht="12.75" x14ac:dyDescent="0.2">
      <c r="A934" s="321"/>
      <c r="B934" s="321"/>
      <c r="C934" s="321"/>
      <c r="D934" s="321"/>
      <c r="E934" s="321"/>
      <c r="F934" s="321"/>
      <c r="G934" s="321"/>
      <c r="H934" s="321"/>
      <c r="I934" s="321"/>
      <c r="J934" s="321"/>
      <c r="K934" s="321"/>
      <c r="L934" s="321"/>
      <c r="M934" s="321"/>
      <c r="N934" s="321"/>
      <c r="O934" s="321"/>
      <c r="P934" s="321"/>
      <c r="Q934" s="321"/>
      <c r="R934" s="321"/>
      <c r="S934" s="321"/>
      <c r="T934" s="321"/>
      <c r="U934" s="321"/>
      <c r="V934" s="321"/>
      <c r="W934" s="321"/>
      <c r="X934" s="321"/>
      <c r="Y934" s="321"/>
    </row>
    <row r="935" spans="1:25" ht="12.75" x14ac:dyDescent="0.2">
      <c r="A935" s="321"/>
      <c r="B935" s="321"/>
      <c r="C935" s="321"/>
      <c r="D935" s="321"/>
      <c r="E935" s="321"/>
      <c r="F935" s="321"/>
      <c r="G935" s="321"/>
      <c r="H935" s="321"/>
      <c r="I935" s="321"/>
      <c r="J935" s="321"/>
      <c r="K935" s="321"/>
      <c r="L935" s="321"/>
      <c r="M935" s="321"/>
      <c r="N935" s="321"/>
      <c r="O935" s="321"/>
      <c r="P935" s="321"/>
      <c r="Q935" s="321"/>
      <c r="R935" s="321"/>
      <c r="S935" s="321"/>
      <c r="T935" s="321"/>
      <c r="U935" s="321"/>
      <c r="V935" s="321"/>
      <c r="W935" s="321"/>
      <c r="X935" s="321"/>
      <c r="Y935" s="321"/>
    </row>
    <row r="936" spans="1:25" ht="12.75" x14ac:dyDescent="0.2">
      <c r="A936" s="321"/>
      <c r="B936" s="321"/>
      <c r="C936" s="321"/>
      <c r="D936" s="321"/>
      <c r="E936" s="321"/>
      <c r="F936" s="321"/>
      <c r="G936" s="321"/>
      <c r="H936" s="321"/>
      <c r="I936" s="321"/>
      <c r="J936" s="321"/>
      <c r="K936" s="321"/>
      <c r="L936" s="321"/>
      <c r="M936" s="321"/>
      <c r="N936" s="321"/>
      <c r="O936" s="321"/>
      <c r="P936" s="321"/>
      <c r="Q936" s="321"/>
      <c r="R936" s="321"/>
      <c r="S936" s="321"/>
      <c r="T936" s="321"/>
      <c r="U936" s="321"/>
      <c r="V936" s="321"/>
      <c r="W936" s="321"/>
      <c r="X936" s="321"/>
      <c r="Y936" s="321"/>
    </row>
    <row r="937" spans="1:25" ht="12.75" x14ac:dyDescent="0.2">
      <c r="A937" s="321"/>
      <c r="B937" s="321"/>
      <c r="C937" s="321"/>
      <c r="D937" s="321"/>
      <c r="E937" s="321"/>
      <c r="F937" s="321"/>
      <c r="G937" s="321"/>
      <c r="H937" s="321"/>
      <c r="I937" s="321"/>
      <c r="J937" s="321"/>
      <c r="K937" s="321"/>
      <c r="L937" s="321"/>
      <c r="M937" s="321"/>
      <c r="N937" s="321"/>
      <c r="O937" s="321"/>
      <c r="P937" s="321"/>
      <c r="Q937" s="321"/>
      <c r="R937" s="321"/>
      <c r="S937" s="321"/>
      <c r="T937" s="321"/>
      <c r="U937" s="321"/>
      <c r="V937" s="321"/>
      <c r="W937" s="321"/>
      <c r="X937" s="321"/>
      <c r="Y937" s="321"/>
    </row>
    <row r="938" spans="1:25" ht="12.75" x14ac:dyDescent="0.2">
      <c r="A938" s="321"/>
      <c r="B938" s="321"/>
      <c r="C938" s="321"/>
      <c r="D938" s="321"/>
      <c r="E938" s="321"/>
      <c r="F938" s="321"/>
      <c r="G938" s="321"/>
      <c r="H938" s="321"/>
      <c r="I938" s="321"/>
      <c r="J938" s="321"/>
      <c r="K938" s="321"/>
      <c r="L938" s="321"/>
      <c r="M938" s="321"/>
      <c r="N938" s="321"/>
      <c r="O938" s="321"/>
      <c r="P938" s="321"/>
      <c r="Q938" s="321"/>
      <c r="R938" s="321"/>
      <c r="S938" s="321"/>
      <c r="T938" s="321"/>
      <c r="U938" s="321"/>
      <c r="V938" s="321"/>
      <c r="W938" s="321"/>
      <c r="X938" s="321"/>
      <c r="Y938" s="321"/>
    </row>
    <row r="939" spans="1:25" ht="12.75" x14ac:dyDescent="0.2">
      <c r="A939" s="321"/>
      <c r="B939" s="321"/>
      <c r="C939" s="321"/>
      <c r="D939" s="321"/>
      <c r="E939" s="321"/>
      <c r="F939" s="321"/>
      <c r="G939" s="321"/>
      <c r="H939" s="321"/>
      <c r="I939" s="321"/>
      <c r="J939" s="321"/>
      <c r="K939" s="321"/>
      <c r="L939" s="321"/>
      <c r="M939" s="321"/>
      <c r="N939" s="321"/>
      <c r="O939" s="321"/>
      <c r="P939" s="321"/>
      <c r="Q939" s="321"/>
      <c r="R939" s="321"/>
      <c r="S939" s="321"/>
      <c r="T939" s="321"/>
      <c r="U939" s="321"/>
      <c r="V939" s="321"/>
      <c r="W939" s="321"/>
      <c r="X939" s="321"/>
      <c r="Y939" s="321"/>
    </row>
    <row r="940" spans="1:25" ht="12.75" x14ac:dyDescent="0.2">
      <c r="A940" s="321"/>
      <c r="B940" s="321"/>
      <c r="C940" s="321"/>
      <c r="D940" s="321"/>
      <c r="E940" s="321"/>
      <c r="F940" s="321"/>
      <c r="G940" s="321"/>
      <c r="H940" s="321"/>
      <c r="I940" s="321"/>
      <c r="J940" s="321"/>
      <c r="K940" s="321"/>
      <c r="L940" s="321"/>
      <c r="M940" s="321"/>
      <c r="N940" s="321"/>
      <c r="O940" s="321"/>
      <c r="P940" s="321"/>
      <c r="Q940" s="321"/>
      <c r="R940" s="321"/>
      <c r="S940" s="321"/>
      <c r="T940" s="321"/>
      <c r="U940" s="321"/>
      <c r="V940" s="321"/>
      <c r="W940" s="321"/>
      <c r="X940" s="321"/>
      <c r="Y940" s="321"/>
    </row>
    <row r="941" spans="1:25" ht="12.75" x14ac:dyDescent="0.2">
      <c r="A941" s="321"/>
      <c r="B941" s="321"/>
      <c r="C941" s="321"/>
      <c r="D941" s="321"/>
      <c r="E941" s="321"/>
      <c r="F941" s="321"/>
      <c r="G941" s="321"/>
      <c r="H941" s="321"/>
      <c r="I941" s="321"/>
      <c r="J941" s="321"/>
      <c r="K941" s="321"/>
      <c r="L941" s="321"/>
      <c r="M941" s="321"/>
      <c r="N941" s="321"/>
      <c r="O941" s="321"/>
      <c r="P941" s="321"/>
      <c r="Q941" s="321"/>
      <c r="R941" s="321"/>
      <c r="S941" s="321"/>
      <c r="T941" s="321"/>
      <c r="U941" s="321"/>
      <c r="V941" s="321"/>
      <c r="W941" s="321"/>
      <c r="X941" s="321"/>
      <c r="Y941" s="321"/>
    </row>
    <row r="942" spans="1:25" ht="12.75" x14ac:dyDescent="0.2">
      <c r="A942" s="321"/>
      <c r="B942" s="321"/>
      <c r="C942" s="321"/>
      <c r="D942" s="321"/>
      <c r="E942" s="321"/>
      <c r="F942" s="321"/>
      <c r="G942" s="321"/>
      <c r="H942" s="321"/>
      <c r="I942" s="321"/>
      <c r="J942" s="321"/>
      <c r="K942" s="321"/>
      <c r="L942" s="321"/>
      <c r="M942" s="321"/>
      <c r="N942" s="321"/>
      <c r="O942" s="321"/>
      <c r="P942" s="321"/>
      <c r="Q942" s="321"/>
      <c r="R942" s="321"/>
      <c r="S942" s="321"/>
      <c r="T942" s="321"/>
      <c r="U942" s="321"/>
      <c r="V942" s="321"/>
      <c r="W942" s="321"/>
      <c r="X942" s="321"/>
      <c r="Y942" s="321"/>
    </row>
    <row r="943" spans="1:25" ht="12.75" x14ac:dyDescent="0.2">
      <c r="A943" s="321"/>
      <c r="B943" s="321"/>
      <c r="C943" s="321"/>
      <c r="D943" s="321"/>
      <c r="E943" s="321"/>
      <c r="F943" s="321"/>
      <c r="G943" s="321"/>
      <c r="H943" s="321"/>
      <c r="I943" s="321"/>
      <c r="J943" s="321"/>
      <c r="K943" s="321"/>
      <c r="L943" s="321"/>
      <c r="M943" s="321"/>
      <c r="N943" s="321"/>
      <c r="O943" s="321"/>
      <c r="P943" s="321"/>
      <c r="Q943" s="321"/>
      <c r="R943" s="321"/>
      <c r="S943" s="321"/>
      <c r="T943" s="321"/>
      <c r="U943" s="321"/>
      <c r="V943" s="321"/>
      <c r="W943" s="321"/>
      <c r="X943" s="321"/>
      <c r="Y943" s="321"/>
    </row>
    <row r="944" spans="1:25" ht="12.75" x14ac:dyDescent="0.2">
      <c r="A944" s="321"/>
      <c r="B944" s="321"/>
      <c r="C944" s="321"/>
      <c r="D944" s="321"/>
      <c r="E944" s="321"/>
      <c r="F944" s="321"/>
      <c r="G944" s="321"/>
      <c r="H944" s="321"/>
      <c r="I944" s="321"/>
      <c r="J944" s="321"/>
      <c r="K944" s="321"/>
      <c r="L944" s="321"/>
      <c r="M944" s="321"/>
      <c r="N944" s="321"/>
      <c r="O944" s="321"/>
      <c r="P944" s="321"/>
      <c r="Q944" s="321"/>
      <c r="R944" s="321"/>
      <c r="S944" s="321"/>
      <c r="T944" s="321"/>
      <c r="U944" s="321"/>
      <c r="V944" s="321"/>
      <c r="W944" s="321"/>
      <c r="X944" s="321"/>
      <c r="Y944" s="321"/>
    </row>
    <row r="945" spans="1:25" ht="12.75" x14ac:dyDescent="0.2">
      <c r="A945" s="321"/>
      <c r="B945" s="321"/>
      <c r="C945" s="321"/>
      <c r="D945" s="321"/>
      <c r="E945" s="321"/>
      <c r="F945" s="321"/>
      <c r="G945" s="321"/>
      <c r="H945" s="321"/>
      <c r="I945" s="321"/>
      <c r="J945" s="321"/>
      <c r="K945" s="321"/>
      <c r="L945" s="321"/>
      <c r="M945" s="321"/>
      <c r="N945" s="321"/>
      <c r="O945" s="321"/>
      <c r="P945" s="321"/>
      <c r="Q945" s="321"/>
      <c r="R945" s="321"/>
      <c r="S945" s="321"/>
      <c r="T945" s="321"/>
      <c r="U945" s="321"/>
      <c r="V945" s="321"/>
      <c r="W945" s="321"/>
      <c r="X945" s="321"/>
      <c r="Y945" s="321"/>
    </row>
    <row r="946" spans="1:25" ht="12.75" x14ac:dyDescent="0.2">
      <c r="A946" s="321"/>
      <c r="B946" s="321"/>
      <c r="C946" s="321"/>
      <c r="D946" s="321"/>
      <c r="E946" s="321"/>
      <c r="F946" s="321"/>
      <c r="G946" s="321"/>
      <c r="H946" s="321"/>
      <c r="I946" s="321"/>
      <c r="J946" s="321"/>
      <c r="K946" s="321"/>
      <c r="L946" s="321"/>
      <c r="M946" s="321"/>
      <c r="N946" s="321"/>
      <c r="O946" s="321"/>
      <c r="P946" s="321"/>
      <c r="Q946" s="321"/>
      <c r="R946" s="321"/>
      <c r="S946" s="321"/>
      <c r="T946" s="321"/>
      <c r="U946" s="321"/>
      <c r="V946" s="321"/>
      <c r="W946" s="321"/>
      <c r="X946" s="321"/>
      <c r="Y946" s="321"/>
    </row>
    <row r="947" spans="1:25" ht="12.75" x14ac:dyDescent="0.2">
      <c r="A947" s="321"/>
      <c r="B947" s="321"/>
      <c r="C947" s="321"/>
      <c r="D947" s="321"/>
      <c r="E947" s="321"/>
      <c r="F947" s="321"/>
      <c r="G947" s="321"/>
      <c r="H947" s="321"/>
      <c r="I947" s="321"/>
      <c r="J947" s="321"/>
      <c r="K947" s="321"/>
      <c r="L947" s="321"/>
      <c r="M947" s="321"/>
      <c r="N947" s="321"/>
      <c r="O947" s="321"/>
      <c r="P947" s="321"/>
      <c r="Q947" s="321"/>
      <c r="R947" s="321"/>
      <c r="S947" s="321"/>
      <c r="T947" s="321"/>
      <c r="U947" s="321"/>
      <c r="V947" s="321"/>
      <c r="W947" s="321"/>
      <c r="X947" s="321"/>
      <c r="Y947" s="321"/>
    </row>
    <row r="948" spans="1:25" ht="12.75" x14ac:dyDescent="0.2">
      <c r="A948" s="321"/>
      <c r="B948" s="321"/>
      <c r="C948" s="321"/>
      <c r="D948" s="321"/>
      <c r="E948" s="321"/>
      <c r="F948" s="321"/>
      <c r="G948" s="321"/>
      <c r="H948" s="321"/>
      <c r="I948" s="321"/>
      <c r="J948" s="321"/>
      <c r="K948" s="321"/>
      <c r="L948" s="321"/>
      <c r="M948" s="321"/>
      <c r="N948" s="321"/>
      <c r="O948" s="321"/>
      <c r="P948" s="321"/>
      <c r="Q948" s="321"/>
      <c r="R948" s="321"/>
      <c r="S948" s="321"/>
      <c r="T948" s="321"/>
      <c r="U948" s="321"/>
      <c r="V948" s="321"/>
      <c r="W948" s="321"/>
      <c r="X948" s="321"/>
      <c r="Y948" s="321"/>
    </row>
    <row r="949" spans="1:25" ht="12.75" x14ac:dyDescent="0.2">
      <c r="A949" s="321"/>
      <c r="B949" s="321"/>
      <c r="C949" s="321"/>
      <c r="D949" s="321"/>
      <c r="E949" s="321"/>
      <c r="F949" s="321"/>
      <c r="G949" s="321"/>
      <c r="H949" s="321"/>
      <c r="I949" s="321"/>
      <c r="J949" s="321"/>
      <c r="K949" s="321"/>
      <c r="L949" s="321"/>
      <c r="M949" s="321"/>
      <c r="N949" s="321"/>
      <c r="O949" s="321"/>
      <c r="P949" s="321"/>
      <c r="Q949" s="321"/>
      <c r="R949" s="321"/>
      <c r="S949" s="321"/>
      <c r="T949" s="321"/>
      <c r="U949" s="321"/>
      <c r="V949" s="321"/>
      <c r="W949" s="321"/>
      <c r="X949" s="321"/>
      <c r="Y949" s="321"/>
    </row>
    <row r="950" spans="1:25" ht="12.75" x14ac:dyDescent="0.2">
      <c r="A950" s="321"/>
      <c r="B950" s="321"/>
      <c r="C950" s="321"/>
      <c r="D950" s="321"/>
      <c r="E950" s="321"/>
      <c r="F950" s="321"/>
      <c r="G950" s="321"/>
      <c r="H950" s="321"/>
      <c r="I950" s="321"/>
      <c r="J950" s="321"/>
      <c r="K950" s="321"/>
      <c r="L950" s="321"/>
      <c r="M950" s="321"/>
      <c r="N950" s="321"/>
      <c r="O950" s="321"/>
      <c r="P950" s="321"/>
      <c r="Q950" s="321"/>
      <c r="R950" s="321"/>
      <c r="S950" s="321"/>
      <c r="T950" s="321"/>
      <c r="U950" s="321"/>
      <c r="V950" s="321"/>
      <c r="W950" s="321"/>
      <c r="X950" s="321"/>
      <c r="Y950" s="321"/>
    </row>
    <row r="951" spans="1:25" ht="12.75" x14ac:dyDescent="0.2">
      <c r="A951" s="321"/>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row>
    <row r="952" spans="1:25" ht="12.75" x14ac:dyDescent="0.2">
      <c r="A952" s="321"/>
      <c r="B952" s="321"/>
      <c r="C952" s="321"/>
      <c r="D952" s="321"/>
      <c r="E952" s="321"/>
      <c r="F952" s="321"/>
      <c r="G952" s="321"/>
      <c r="H952" s="321"/>
      <c r="I952" s="321"/>
      <c r="J952" s="321"/>
      <c r="K952" s="321"/>
      <c r="L952" s="321"/>
      <c r="M952" s="321"/>
      <c r="N952" s="321"/>
      <c r="O952" s="321"/>
      <c r="P952" s="321"/>
      <c r="Q952" s="321"/>
      <c r="R952" s="321"/>
      <c r="S952" s="321"/>
      <c r="T952" s="321"/>
      <c r="U952" s="321"/>
      <c r="V952" s="321"/>
      <c r="W952" s="321"/>
      <c r="X952" s="321"/>
      <c r="Y952" s="321"/>
    </row>
    <row r="953" spans="1:25" ht="12.75" x14ac:dyDescent="0.2">
      <c r="A953" s="321"/>
      <c r="B953" s="321"/>
      <c r="C953" s="321"/>
      <c r="D953" s="321"/>
      <c r="E953" s="321"/>
      <c r="F953" s="321"/>
      <c r="G953" s="321"/>
      <c r="H953" s="321"/>
      <c r="I953" s="321"/>
      <c r="J953" s="321"/>
      <c r="K953" s="321"/>
      <c r="L953" s="321"/>
      <c r="M953" s="321"/>
      <c r="N953" s="321"/>
      <c r="O953" s="321"/>
      <c r="P953" s="321"/>
      <c r="Q953" s="321"/>
      <c r="R953" s="321"/>
      <c r="S953" s="321"/>
      <c r="T953" s="321"/>
      <c r="U953" s="321"/>
      <c r="V953" s="321"/>
      <c r="W953" s="321"/>
      <c r="X953" s="321"/>
      <c r="Y953" s="321"/>
    </row>
    <row r="954" spans="1:25" ht="12.75" x14ac:dyDescent="0.2">
      <c r="A954" s="321"/>
      <c r="B954" s="321"/>
      <c r="C954" s="321"/>
      <c r="D954" s="321"/>
      <c r="E954" s="321"/>
      <c r="F954" s="321"/>
      <c r="G954" s="321"/>
      <c r="H954" s="321"/>
      <c r="I954" s="321"/>
      <c r="J954" s="321"/>
      <c r="K954" s="321"/>
      <c r="L954" s="321"/>
      <c r="M954" s="321"/>
      <c r="N954" s="321"/>
      <c r="O954" s="321"/>
      <c r="P954" s="321"/>
      <c r="Q954" s="321"/>
      <c r="R954" s="321"/>
      <c r="S954" s="321"/>
      <c r="T954" s="321"/>
      <c r="U954" s="321"/>
      <c r="V954" s="321"/>
      <c r="W954" s="321"/>
      <c r="X954" s="321"/>
      <c r="Y954" s="321"/>
    </row>
    <row r="955" spans="1:25" ht="12.75" x14ac:dyDescent="0.2">
      <c r="A955" s="321"/>
      <c r="B955" s="321"/>
      <c r="C955" s="321"/>
      <c r="D955" s="321"/>
      <c r="E955" s="321"/>
      <c r="F955" s="321"/>
      <c r="G955" s="321"/>
      <c r="H955" s="321"/>
      <c r="I955" s="321"/>
      <c r="J955" s="321"/>
      <c r="K955" s="321"/>
      <c r="L955" s="321"/>
      <c r="M955" s="321"/>
      <c r="N955" s="321"/>
      <c r="O955" s="321"/>
      <c r="P955" s="321"/>
      <c r="Q955" s="321"/>
      <c r="R955" s="321"/>
      <c r="S955" s="321"/>
      <c r="T955" s="321"/>
      <c r="U955" s="321"/>
      <c r="V955" s="321"/>
      <c r="W955" s="321"/>
      <c r="X955" s="321"/>
      <c r="Y955" s="321"/>
    </row>
    <row r="956" spans="1:25" ht="12.75" x14ac:dyDescent="0.2">
      <c r="A956" s="321"/>
      <c r="B956" s="321"/>
      <c r="C956" s="321"/>
      <c r="D956" s="321"/>
      <c r="E956" s="321"/>
      <c r="F956" s="321"/>
      <c r="G956" s="321"/>
      <c r="H956" s="321"/>
      <c r="I956" s="321"/>
      <c r="J956" s="321"/>
      <c r="K956" s="321"/>
      <c r="L956" s="321"/>
      <c r="M956" s="321"/>
      <c r="N956" s="321"/>
      <c r="O956" s="321"/>
      <c r="P956" s="321"/>
      <c r="Q956" s="321"/>
      <c r="R956" s="321"/>
      <c r="S956" s="321"/>
      <c r="T956" s="321"/>
      <c r="U956" s="321"/>
      <c r="V956" s="321"/>
      <c r="W956" s="321"/>
      <c r="X956" s="321"/>
      <c r="Y956" s="321"/>
    </row>
    <row r="957" spans="1:25" ht="12.75" x14ac:dyDescent="0.2">
      <c r="A957" s="321"/>
      <c r="B957" s="321"/>
      <c r="C957" s="321"/>
      <c r="D957" s="321"/>
      <c r="E957" s="321"/>
      <c r="F957" s="321"/>
      <c r="G957" s="321"/>
      <c r="H957" s="321"/>
      <c r="I957" s="321"/>
      <c r="J957" s="321"/>
      <c r="K957" s="321"/>
      <c r="L957" s="321"/>
      <c r="M957" s="321"/>
      <c r="N957" s="321"/>
      <c r="O957" s="321"/>
      <c r="P957" s="321"/>
      <c r="Q957" s="321"/>
      <c r="R957" s="321"/>
      <c r="S957" s="321"/>
      <c r="T957" s="321"/>
      <c r="U957" s="321"/>
      <c r="V957" s="321"/>
      <c r="W957" s="321"/>
      <c r="X957" s="321"/>
      <c r="Y957" s="321"/>
    </row>
    <row r="958" spans="1:25" ht="12.75" x14ac:dyDescent="0.2">
      <c r="A958" s="321"/>
      <c r="B958" s="321"/>
      <c r="C958" s="321"/>
      <c r="D958" s="321"/>
      <c r="E958" s="321"/>
      <c r="F958" s="321"/>
      <c r="G958" s="321"/>
      <c r="H958" s="321"/>
      <c r="I958" s="321"/>
      <c r="J958" s="321"/>
      <c r="K958" s="321"/>
      <c r="L958" s="321"/>
      <c r="M958" s="321"/>
      <c r="N958" s="321"/>
      <c r="O958" s="321"/>
      <c r="P958" s="321"/>
      <c r="Q958" s="321"/>
      <c r="R958" s="321"/>
      <c r="S958" s="321"/>
      <c r="T958" s="321"/>
      <c r="U958" s="321"/>
      <c r="V958" s="321"/>
      <c r="W958" s="321"/>
      <c r="X958" s="321"/>
      <c r="Y958" s="321"/>
    </row>
    <row r="959" spans="1:25" ht="12.75" x14ac:dyDescent="0.2">
      <c r="A959" s="321"/>
      <c r="B959" s="321"/>
      <c r="C959" s="321"/>
      <c r="D959" s="321"/>
      <c r="E959" s="321"/>
      <c r="F959" s="321"/>
      <c r="G959" s="321"/>
      <c r="H959" s="321"/>
      <c r="I959" s="321"/>
      <c r="J959" s="321"/>
      <c r="K959" s="321"/>
      <c r="L959" s="321"/>
      <c r="M959" s="321"/>
      <c r="N959" s="321"/>
      <c r="O959" s="321"/>
      <c r="P959" s="321"/>
      <c r="Q959" s="321"/>
      <c r="R959" s="321"/>
      <c r="S959" s="321"/>
      <c r="T959" s="321"/>
      <c r="U959" s="321"/>
      <c r="V959" s="321"/>
      <c r="W959" s="321"/>
      <c r="X959" s="321"/>
      <c r="Y959" s="321"/>
    </row>
    <row r="960" spans="1:25" ht="12.75" x14ac:dyDescent="0.2">
      <c r="A960" s="321"/>
      <c r="B960" s="321"/>
      <c r="C960" s="321"/>
      <c r="D960" s="321"/>
      <c r="E960" s="321"/>
      <c r="F960" s="321"/>
      <c r="G960" s="321"/>
      <c r="H960" s="321"/>
      <c r="I960" s="321"/>
      <c r="J960" s="321"/>
      <c r="K960" s="321"/>
      <c r="L960" s="321"/>
      <c r="M960" s="321"/>
      <c r="N960" s="321"/>
      <c r="O960" s="321"/>
      <c r="P960" s="321"/>
      <c r="Q960" s="321"/>
      <c r="R960" s="321"/>
      <c r="S960" s="321"/>
      <c r="T960" s="321"/>
      <c r="U960" s="321"/>
      <c r="V960" s="321"/>
      <c r="W960" s="321"/>
      <c r="X960" s="321"/>
      <c r="Y960" s="321"/>
    </row>
    <row r="961" spans="1:25" ht="12.75" x14ac:dyDescent="0.2">
      <c r="A961" s="321"/>
      <c r="B961" s="321"/>
      <c r="C961" s="321"/>
      <c r="D961" s="321"/>
      <c r="E961" s="321"/>
      <c r="F961" s="321"/>
      <c r="G961" s="321"/>
      <c r="H961" s="321"/>
      <c r="I961" s="321"/>
      <c r="J961" s="321"/>
      <c r="K961" s="321"/>
      <c r="L961" s="321"/>
      <c r="M961" s="321"/>
      <c r="N961" s="321"/>
      <c r="O961" s="321"/>
      <c r="P961" s="321"/>
      <c r="Q961" s="321"/>
      <c r="R961" s="321"/>
      <c r="S961" s="321"/>
      <c r="T961" s="321"/>
      <c r="U961" s="321"/>
      <c r="V961" s="321"/>
      <c r="W961" s="321"/>
      <c r="X961" s="321"/>
      <c r="Y961" s="321"/>
    </row>
    <row r="962" spans="1:25" ht="12.75" x14ac:dyDescent="0.2">
      <c r="A962" s="321"/>
      <c r="B962" s="321"/>
      <c r="C962" s="321"/>
      <c r="D962" s="321"/>
      <c r="E962" s="321"/>
      <c r="F962" s="321"/>
      <c r="G962" s="321"/>
      <c r="H962" s="321"/>
      <c r="I962" s="321"/>
      <c r="J962" s="321"/>
      <c r="K962" s="321"/>
      <c r="L962" s="321"/>
      <c r="M962" s="321"/>
      <c r="N962" s="321"/>
      <c r="O962" s="321"/>
      <c r="P962" s="321"/>
      <c r="Q962" s="321"/>
      <c r="R962" s="321"/>
      <c r="S962" s="321"/>
      <c r="T962" s="321"/>
      <c r="U962" s="321"/>
      <c r="V962" s="321"/>
      <c r="W962" s="321"/>
      <c r="X962" s="321"/>
      <c r="Y962" s="321"/>
    </row>
    <row r="963" spans="1:25" ht="12.75" x14ac:dyDescent="0.2">
      <c r="A963" s="321"/>
      <c r="B963" s="321"/>
      <c r="C963" s="321"/>
      <c r="D963" s="321"/>
      <c r="E963" s="321"/>
      <c r="F963" s="321"/>
      <c r="G963" s="321"/>
      <c r="H963" s="321"/>
      <c r="I963" s="321"/>
      <c r="J963" s="321"/>
      <c r="K963" s="321"/>
      <c r="L963" s="321"/>
      <c r="M963" s="321"/>
      <c r="N963" s="321"/>
      <c r="O963" s="321"/>
      <c r="P963" s="321"/>
      <c r="Q963" s="321"/>
      <c r="R963" s="321"/>
      <c r="S963" s="321"/>
      <c r="T963" s="321"/>
      <c r="U963" s="321"/>
      <c r="V963" s="321"/>
      <c r="W963" s="321"/>
      <c r="X963" s="321"/>
      <c r="Y963" s="321"/>
    </row>
    <row r="964" spans="1:25" ht="12.75" x14ac:dyDescent="0.2">
      <c r="A964" s="321"/>
      <c r="B964" s="321"/>
      <c r="C964" s="321"/>
      <c r="D964" s="321"/>
      <c r="E964" s="321"/>
      <c r="F964" s="321"/>
      <c r="G964" s="321"/>
      <c r="H964" s="321"/>
      <c r="I964" s="321"/>
      <c r="J964" s="321"/>
      <c r="K964" s="321"/>
      <c r="L964" s="321"/>
      <c r="M964" s="321"/>
      <c r="N964" s="321"/>
      <c r="O964" s="321"/>
      <c r="P964" s="321"/>
      <c r="Q964" s="321"/>
      <c r="R964" s="321"/>
      <c r="S964" s="321"/>
      <c r="T964" s="321"/>
      <c r="U964" s="321"/>
      <c r="V964" s="321"/>
      <c r="W964" s="321"/>
      <c r="X964" s="321"/>
      <c r="Y964" s="321"/>
    </row>
    <row r="965" spans="1:25" ht="12.75" x14ac:dyDescent="0.2">
      <c r="A965" s="321"/>
      <c r="B965" s="321"/>
      <c r="C965" s="321"/>
      <c r="D965" s="321"/>
      <c r="E965" s="321"/>
      <c r="F965" s="321"/>
      <c r="G965" s="321"/>
      <c r="H965" s="321"/>
      <c r="I965" s="321"/>
      <c r="J965" s="321"/>
      <c r="K965" s="321"/>
      <c r="L965" s="321"/>
      <c r="M965" s="321"/>
      <c r="N965" s="321"/>
      <c r="O965" s="321"/>
      <c r="P965" s="321"/>
      <c r="Q965" s="321"/>
      <c r="R965" s="321"/>
      <c r="S965" s="321"/>
      <c r="T965" s="321"/>
      <c r="U965" s="321"/>
      <c r="V965" s="321"/>
      <c r="W965" s="321"/>
      <c r="X965" s="321"/>
      <c r="Y965" s="321"/>
    </row>
    <row r="966" spans="1:25" ht="12.75" x14ac:dyDescent="0.2">
      <c r="A966" s="321"/>
      <c r="B966" s="321"/>
      <c r="C966" s="321"/>
      <c r="D966" s="321"/>
      <c r="E966" s="321"/>
      <c r="F966" s="321"/>
      <c r="G966" s="321"/>
      <c r="H966" s="321"/>
      <c r="I966" s="321"/>
      <c r="J966" s="321"/>
      <c r="K966" s="321"/>
      <c r="L966" s="321"/>
      <c r="M966" s="321"/>
      <c r="N966" s="321"/>
      <c r="O966" s="321"/>
      <c r="P966" s="321"/>
      <c r="Q966" s="321"/>
      <c r="R966" s="321"/>
      <c r="S966" s="321"/>
      <c r="T966" s="321"/>
      <c r="U966" s="321"/>
      <c r="V966" s="321"/>
      <c r="W966" s="321"/>
      <c r="X966" s="321"/>
      <c r="Y966" s="321"/>
    </row>
    <row r="967" spans="1:25" ht="12.75" x14ac:dyDescent="0.2">
      <c r="A967" s="321"/>
      <c r="B967" s="321"/>
      <c r="C967" s="321"/>
      <c r="D967" s="321"/>
      <c r="E967" s="321"/>
      <c r="F967" s="321"/>
      <c r="G967" s="321"/>
      <c r="H967" s="321"/>
      <c r="I967" s="321"/>
      <c r="J967" s="321"/>
      <c r="K967" s="321"/>
      <c r="L967" s="321"/>
      <c r="M967" s="321"/>
      <c r="N967" s="321"/>
      <c r="O967" s="321"/>
      <c r="P967" s="321"/>
      <c r="Q967" s="321"/>
      <c r="R967" s="321"/>
      <c r="S967" s="321"/>
      <c r="T967" s="321"/>
      <c r="U967" s="321"/>
      <c r="V967" s="321"/>
      <c r="W967" s="321"/>
      <c r="X967" s="321"/>
      <c r="Y967" s="321"/>
    </row>
    <row r="968" spans="1:25" ht="12.75" x14ac:dyDescent="0.2">
      <c r="A968" s="321"/>
      <c r="B968" s="321"/>
      <c r="C968" s="321"/>
      <c r="D968" s="321"/>
      <c r="E968" s="321"/>
      <c r="F968" s="321"/>
      <c r="G968" s="321"/>
      <c r="H968" s="321"/>
      <c r="I968" s="321"/>
      <c r="J968" s="321"/>
      <c r="K968" s="321"/>
      <c r="L968" s="321"/>
      <c r="M968" s="321"/>
      <c r="N968" s="321"/>
      <c r="O968" s="321"/>
      <c r="P968" s="321"/>
      <c r="Q968" s="321"/>
      <c r="R968" s="321"/>
      <c r="S968" s="321"/>
      <c r="T968" s="321"/>
      <c r="U968" s="321"/>
      <c r="V968" s="321"/>
      <c r="W968" s="321"/>
      <c r="X968" s="321"/>
      <c r="Y968" s="321"/>
    </row>
    <row r="969" spans="1:25" ht="12.75" x14ac:dyDescent="0.2">
      <c r="A969" s="321"/>
      <c r="B969" s="321"/>
      <c r="C969" s="321"/>
      <c r="D969" s="321"/>
      <c r="E969" s="321"/>
      <c r="F969" s="321"/>
      <c r="G969" s="321"/>
      <c r="H969" s="321"/>
      <c r="I969" s="321"/>
      <c r="J969" s="321"/>
      <c r="K969" s="321"/>
      <c r="L969" s="321"/>
      <c r="M969" s="321"/>
      <c r="N969" s="321"/>
      <c r="O969" s="321"/>
      <c r="P969" s="321"/>
      <c r="Q969" s="321"/>
      <c r="R969" s="321"/>
      <c r="S969" s="321"/>
      <c r="T969" s="321"/>
      <c r="U969" s="321"/>
      <c r="V969" s="321"/>
      <c r="W969" s="321"/>
      <c r="X969" s="321"/>
      <c r="Y969" s="321"/>
    </row>
    <row r="970" spans="1:25" ht="12.75" x14ac:dyDescent="0.2">
      <c r="A970" s="321"/>
      <c r="B970" s="321"/>
      <c r="C970" s="321"/>
      <c r="D970" s="321"/>
      <c r="E970" s="321"/>
      <c r="F970" s="321"/>
      <c r="G970" s="321"/>
      <c r="H970" s="321"/>
      <c r="I970" s="321"/>
      <c r="J970" s="321"/>
      <c r="K970" s="321"/>
      <c r="L970" s="321"/>
      <c r="M970" s="321"/>
      <c r="N970" s="321"/>
      <c r="O970" s="321"/>
      <c r="P970" s="321"/>
      <c r="Q970" s="321"/>
      <c r="R970" s="321"/>
      <c r="S970" s="321"/>
      <c r="T970" s="321"/>
      <c r="U970" s="321"/>
      <c r="V970" s="321"/>
      <c r="W970" s="321"/>
      <c r="X970" s="321"/>
      <c r="Y970" s="321"/>
    </row>
    <row r="971" spans="1:25" ht="12.75" x14ac:dyDescent="0.2">
      <c r="A971" s="321"/>
      <c r="B971" s="321"/>
      <c r="C971" s="321"/>
      <c r="D971" s="321"/>
      <c r="E971" s="321"/>
      <c r="F971" s="321"/>
      <c r="G971" s="321"/>
      <c r="H971" s="321"/>
      <c r="I971" s="321"/>
      <c r="J971" s="321"/>
      <c r="K971" s="321"/>
      <c r="L971" s="321"/>
      <c r="M971" s="321"/>
      <c r="N971" s="321"/>
      <c r="O971" s="321"/>
      <c r="P971" s="321"/>
      <c r="Q971" s="321"/>
      <c r="R971" s="321"/>
      <c r="S971" s="321"/>
      <c r="T971" s="321"/>
      <c r="U971" s="321"/>
      <c r="V971" s="321"/>
      <c r="W971" s="321"/>
      <c r="X971" s="321"/>
      <c r="Y971" s="321"/>
    </row>
    <row r="972" spans="1:25" ht="12.75" x14ac:dyDescent="0.2">
      <c r="A972" s="321"/>
      <c r="B972" s="321"/>
      <c r="C972" s="321"/>
      <c r="D972" s="321"/>
      <c r="E972" s="321"/>
      <c r="F972" s="321"/>
      <c r="G972" s="321"/>
      <c r="H972" s="321"/>
      <c r="I972" s="321"/>
      <c r="J972" s="321"/>
      <c r="K972" s="321"/>
      <c r="L972" s="321"/>
      <c r="M972" s="321"/>
      <c r="N972" s="321"/>
      <c r="O972" s="321"/>
      <c r="P972" s="321"/>
      <c r="Q972" s="321"/>
      <c r="R972" s="321"/>
      <c r="S972" s="321"/>
      <c r="T972" s="321"/>
      <c r="U972" s="321"/>
      <c r="V972" s="321"/>
      <c r="W972" s="321"/>
      <c r="X972" s="321"/>
      <c r="Y972" s="321"/>
    </row>
    <row r="973" spans="1:25" ht="12.75" x14ac:dyDescent="0.2">
      <c r="A973" s="321"/>
      <c r="B973" s="321"/>
      <c r="C973" s="321"/>
      <c r="D973" s="321"/>
      <c r="E973" s="321"/>
      <c r="F973" s="321"/>
      <c r="G973" s="321"/>
      <c r="H973" s="321"/>
      <c r="I973" s="321"/>
      <c r="J973" s="321"/>
      <c r="K973" s="321"/>
      <c r="L973" s="321"/>
      <c r="M973" s="321"/>
      <c r="N973" s="321"/>
      <c r="O973" s="321"/>
      <c r="P973" s="321"/>
      <c r="Q973" s="321"/>
      <c r="R973" s="321"/>
      <c r="S973" s="321"/>
      <c r="T973" s="321"/>
      <c r="U973" s="321"/>
      <c r="V973" s="321"/>
      <c r="W973" s="321"/>
      <c r="X973" s="321"/>
      <c r="Y973" s="321"/>
    </row>
    <row r="974" spans="1:25" ht="12.75" x14ac:dyDescent="0.2">
      <c r="A974" s="321"/>
      <c r="B974" s="321"/>
      <c r="C974" s="321"/>
      <c r="D974" s="321"/>
      <c r="E974" s="321"/>
      <c r="F974" s="321"/>
      <c r="G974" s="321"/>
      <c r="H974" s="321"/>
      <c r="I974" s="321"/>
      <c r="J974" s="321"/>
      <c r="K974" s="321"/>
      <c r="L974" s="321"/>
      <c r="M974" s="321"/>
      <c r="N974" s="321"/>
      <c r="O974" s="321"/>
      <c r="P974" s="321"/>
      <c r="Q974" s="321"/>
      <c r="R974" s="321"/>
      <c r="S974" s="321"/>
      <c r="T974" s="321"/>
      <c r="U974" s="321"/>
      <c r="V974" s="321"/>
      <c r="W974" s="321"/>
      <c r="X974" s="321"/>
      <c r="Y974" s="321"/>
    </row>
    <row r="975" spans="1:25" ht="12.75" x14ac:dyDescent="0.2">
      <c r="A975" s="321"/>
      <c r="B975" s="321"/>
      <c r="C975" s="321"/>
      <c r="D975" s="321"/>
      <c r="E975" s="321"/>
      <c r="F975" s="321"/>
      <c r="G975" s="321"/>
      <c r="H975" s="321"/>
      <c r="I975" s="321"/>
      <c r="J975" s="321"/>
      <c r="K975" s="321"/>
      <c r="L975" s="321"/>
      <c r="M975" s="321"/>
      <c r="N975" s="321"/>
      <c r="O975" s="321"/>
      <c r="P975" s="321"/>
      <c r="Q975" s="321"/>
      <c r="R975" s="321"/>
      <c r="S975" s="321"/>
      <c r="T975" s="321"/>
      <c r="U975" s="321"/>
      <c r="V975" s="321"/>
      <c r="W975" s="321"/>
      <c r="X975" s="321"/>
      <c r="Y975" s="321"/>
    </row>
    <row r="976" spans="1:25" ht="12.75" x14ac:dyDescent="0.2">
      <c r="A976" s="321"/>
      <c r="B976" s="321"/>
      <c r="C976" s="321"/>
      <c r="D976" s="321"/>
      <c r="E976" s="321"/>
      <c r="F976" s="321"/>
      <c r="G976" s="321"/>
      <c r="H976" s="321"/>
      <c r="I976" s="321"/>
      <c r="J976" s="321"/>
      <c r="K976" s="321"/>
      <c r="L976" s="321"/>
      <c r="M976" s="321"/>
      <c r="N976" s="321"/>
      <c r="O976" s="321"/>
      <c r="P976" s="321"/>
      <c r="Q976" s="321"/>
      <c r="R976" s="321"/>
      <c r="S976" s="321"/>
      <c r="T976" s="321"/>
      <c r="U976" s="321"/>
      <c r="V976" s="321"/>
      <c r="W976" s="321"/>
      <c r="X976" s="321"/>
      <c r="Y976" s="321"/>
    </row>
    <row r="977" spans="1:25" ht="12.75" x14ac:dyDescent="0.2">
      <c r="A977" s="321"/>
      <c r="B977" s="321"/>
      <c r="C977" s="321"/>
      <c r="D977" s="321"/>
      <c r="E977" s="321"/>
      <c r="F977" s="321"/>
      <c r="G977" s="321"/>
      <c r="H977" s="321"/>
      <c r="I977" s="321"/>
      <c r="J977" s="321"/>
      <c r="K977" s="321"/>
      <c r="L977" s="321"/>
      <c r="M977" s="321"/>
      <c r="N977" s="321"/>
      <c r="O977" s="321"/>
      <c r="P977" s="321"/>
      <c r="Q977" s="321"/>
      <c r="R977" s="321"/>
      <c r="S977" s="321"/>
      <c r="T977" s="321"/>
      <c r="U977" s="321"/>
      <c r="V977" s="321"/>
      <c r="W977" s="321"/>
      <c r="X977" s="321"/>
      <c r="Y977" s="321"/>
    </row>
    <row r="978" spans="1:25" ht="12.75" x14ac:dyDescent="0.2">
      <c r="A978" s="321"/>
      <c r="B978" s="321"/>
      <c r="C978" s="321"/>
      <c r="D978" s="321"/>
      <c r="E978" s="321"/>
      <c r="F978" s="321"/>
      <c r="G978" s="321"/>
      <c r="H978" s="321"/>
      <c r="I978" s="321"/>
      <c r="J978" s="321"/>
      <c r="K978" s="321"/>
      <c r="L978" s="321"/>
      <c r="M978" s="321"/>
      <c r="N978" s="321"/>
      <c r="O978" s="321"/>
      <c r="P978" s="321"/>
      <c r="Q978" s="321"/>
      <c r="R978" s="321"/>
      <c r="S978" s="321"/>
      <c r="T978" s="321"/>
      <c r="U978" s="321"/>
      <c r="V978" s="321"/>
      <c r="W978" s="321"/>
      <c r="X978" s="321"/>
      <c r="Y978" s="321"/>
    </row>
    <row r="979" spans="1:25" ht="12.75" x14ac:dyDescent="0.2">
      <c r="A979" s="321"/>
      <c r="B979" s="321"/>
      <c r="C979" s="321"/>
      <c r="D979" s="321"/>
      <c r="E979" s="321"/>
      <c r="F979" s="321"/>
      <c r="G979" s="321"/>
      <c r="H979" s="321"/>
      <c r="I979" s="321"/>
      <c r="J979" s="321"/>
      <c r="K979" s="321"/>
      <c r="L979" s="321"/>
      <c r="M979" s="321"/>
      <c r="N979" s="321"/>
      <c r="O979" s="321"/>
      <c r="P979" s="321"/>
      <c r="Q979" s="321"/>
      <c r="R979" s="321"/>
      <c r="S979" s="321"/>
      <c r="T979" s="321"/>
      <c r="U979" s="321"/>
      <c r="V979" s="321"/>
      <c r="W979" s="321"/>
      <c r="X979" s="321"/>
      <c r="Y979" s="321"/>
    </row>
    <row r="980" spans="1:25" ht="12.75" x14ac:dyDescent="0.2">
      <c r="A980" s="321"/>
      <c r="B980" s="321"/>
      <c r="C980" s="321"/>
      <c r="D980" s="321"/>
      <c r="E980" s="321"/>
      <c r="F980" s="321"/>
      <c r="G980" s="321"/>
      <c r="H980" s="321"/>
      <c r="I980" s="321"/>
      <c r="J980" s="321"/>
      <c r="K980" s="321"/>
      <c r="L980" s="321"/>
      <c r="M980" s="321"/>
      <c r="N980" s="321"/>
      <c r="O980" s="321"/>
      <c r="P980" s="321"/>
      <c r="Q980" s="321"/>
      <c r="R980" s="321"/>
      <c r="S980" s="321"/>
      <c r="T980" s="321"/>
      <c r="U980" s="321"/>
      <c r="V980" s="321"/>
      <c r="W980" s="321"/>
      <c r="X980" s="321"/>
      <c r="Y980" s="321"/>
    </row>
    <row r="981" spans="1:25" ht="12.75" x14ac:dyDescent="0.2">
      <c r="A981" s="321"/>
      <c r="B981" s="321"/>
      <c r="C981" s="321"/>
      <c r="D981" s="321"/>
      <c r="E981" s="321"/>
      <c r="F981" s="321"/>
      <c r="G981" s="321"/>
      <c r="H981" s="321"/>
      <c r="I981" s="321"/>
      <c r="J981" s="321"/>
      <c r="K981" s="321"/>
      <c r="L981" s="321"/>
      <c r="M981" s="321"/>
      <c r="N981" s="321"/>
      <c r="O981" s="321"/>
      <c r="P981" s="321"/>
      <c r="Q981" s="321"/>
      <c r="R981" s="321"/>
      <c r="S981" s="321"/>
      <c r="T981" s="321"/>
      <c r="U981" s="321"/>
      <c r="V981" s="321"/>
      <c r="W981" s="321"/>
      <c r="X981" s="321"/>
      <c r="Y981" s="321"/>
    </row>
    <row r="982" spans="1:25" ht="12.75" x14ac:dyDescent="0.2">
      <c r="A982" s="321"/>
      <c r="B982" s="321"/>
      <c r="C982" s="321"/>
      <c r="D982" s="321"/>
      <c r="E982" s="321"/>
      <c r="F982" s="321"/>
      <c r="G982" s="321"/>
      <c r="H982" s="321"/>
      <c r="I982" s="321"/>
      <c r="J982" s="321"/>
      <c r="K982" s="321"/>
      <c r="L982" s="321"/>
      <c r="M982" s="321"/>
      <c r="N982" s="321"/>
      <c r="O982" s="321"/>
      <c r="P982" s="321"/>
      <c r="Q982" s="321"/>
      <c r="R982" s="321"/>
      <c r="S982" s="321"/>
      <c r="T982" s="321"/>
      <c r="U982" s="321"/>
      <c r="V982" s="321"/>
      <c r="W982" s="321"/>
      <c r="X982" s="321"/>
      <c r="Y982" s="321"/>
    </row>
    <row r="983" spans="1:25" ht="12.75" x14ac:dyDescent="0.2">
      <c r="A983" s="321"/>
      <c r="B983" s="321"/>
      <c r="C983" s="321"/>
      <c r="D983" s="321"/>
      <c r="E983" s="321"/>
      <c r="F983" s="321"/>
      <c r="G983" s="321"/>
      <c r="H983" s="321"/>
      <c r="I983" s="321"/>
      <c r="J983" s="321"/>
      <c r="K983" s="321"/>
      <c r="L983" s="321"/>
      <c r="M983" s="321"/>
      <c r="N983" s="321"/>
      <c r="O983" s="321"/>
      <c r="P983" s="321"/>
      <c r="Q983" s="321"/>
      <c r="R983" s="321"/>
      <c r="S983" s="321"/>
      <c r="T983" s="321"/>
      <c r="U983" s="321"/>
      <c r="V983" s="321"/>
      <c r="W983" s="321"/>
      <c r="X983" s="321"/>
      <c r="Y983" s="321"/>
    </row>
    <row r="984" spans="1:25" ht="12.75" x14ac:dyDescent="0.2">
      <c r="A984" s="321"/>
      <c r="B984" s="321"/>
      <c r="C984" s="321"/>
      <c r="D984" s="321"/>
      <c r="E984" s="321"/>
      <c r="F984" s="321"/>
      <c r="G984" s="321"/>
      <c r="H984" s="321"/>
      <c r="I984" s="321"/>
      <c r="J984" s="321"/>
      <c r="K984" s="321"/>
      <c r="L984" s="321"/>
      <c r="M984" s="321"/>
      <c r="N984" s="321"/>
      <c r="O984" s="321"/>
      <c r="P984" s="321"/>
      <c r="Q984" s="321"/>
      <c r="R984" s="321"/>
      <c r="S984" s="321"/>
      <c r="T984" s="321"/>
      <c r="U984" s="321"/>
      <c r="V984" s="321"/>
      <c r="W984" s="321"/>
      <c r="X984" s="321"/>
      <c r="Y984" s="321"/>
    </row>
    <row r="985" spans="1:25" ht="12.75" x14ac:dyDescent="0.2">
      <c r="A985" s="321"/>
      <c r="B985" s="321"/>
      <c r="C985" s="321"/>
      <c r="D985" s="321"/>
      <c r="E985" s="321"/>
      <c r="F985" s="321"/>
      <c r="G985" s="321"/>
      <c r="H985" s="321"/>
      <c r="I985" s="321"/>
      <c r="J985" s="321"/>
      <c r="K985" s="321"/>
      <c r="L985" s="321"/>
      <c r="M985" s="321"/>
      <c r="N985" s="321"/>
      <c r="O985" s="321"/>
      <c r="P985" s="321"/>
      <c r="Q985" s="321"/>
      <c r="R985" s="321"/>
      <c r="S985" s="321"/>
      <c r="T985" s="321"/>
      <c r="U985" s="321"/>
      <c r="V985" s="321"/>
      <c r="W985" s="321"/>
      <c r="X985" s="321"/>
      <c r="Y985" s="321"/>
    </row>
    <row r="986" spans="1:25" ht="12.75" x14ac:dyDescent="0.2">
      <c r="A986" s="321"/>
      <c r="B986" s="321"/>
      <c r="C986" s="321"/>
      <c r="D986" s="321"/>
      <c r="E986" s="321"/>
      <c r="F986" s="321"/>
      <c r="G986" s="321"/>
      <c r="H986" s="321"/>
      <c r="I986" s="321"/>
      <c r="J986" s="321"/>
      <c r="K986" s="321"/>
      <c r="L986" s="321"/>
      <c r="M986" s="321"/>
      <c r="N986" s="321"/>
      <c r="O986" s="321"/>
      <c r="P986" s="321"/>
      <c r="Q986" s="321"/>
      <c r="R986" s="321"/>
      <c r="S986" s="321"/>
      <c r="T986" s="321"/>
      <c r="U986" s="321"/>
      <c r="V986" s="321"/>
      <c r="W986" s="321"/>
      <c r="X986" s="321"/>
      <c r="Y986" s="321"/>
    </row>
    <row r="987" spans="1:25" ht="12.75" x14ac:dyDescent="0.2">
      <c r="A987" s="321"/>
      <c r="B987" s="321"/>
      <c r="C987" s="321"/>
      <c r="D987" s="321"/>
      <c r="E987" s="321"/>
      <c r="F987" s="321"/>
      <c r="G987" s="321"/>
      <c r="H987" s="321"/>
      <c r="I987" s="321"/>
      <c r="J987" s="321"/>
      <c r="K987" s="321"/>
      <c r="L987" s="321"/>
      <c r="M987" s="321"/>
      <c r="N987" s="321"/>
      <c r="O987" s="321"/>
      <c r="P987" s="321"/>
      <c r="Q987" s="321"/>
      <c r="R987" s="321"/>
      <c r="S987" s="321"/>
      <c r="T987" s="321"/>
      <c r="U987" s="321"/>
      <c r="V987" s="321"/>
      <c r="W987" s="321"/>
      <c r="X987" s="321"/>
      <c r="Y987" s="321"/>
    </row>
    <row r="988" spans="1:25" ht="12.75" x14ac:dyDescent="0.2">
      <c r="A988" s="321"/>
      <c r="B988" s="321"/>
      <c r="C988" s="321"/>
      <c r="D988" s="321"/>
      <c r="E988" s="321"/>
      <c r="F988" s="321"/>
      <c r="G988" s="321"/>
      <c r="H988" s="321"/>
      <c r="I988" s="321"/>
      <c r="J988" s="321"/>
      <c r="K988" s="321"/>
      <c r="L988" s="321"/>
      <c r="M988" s="321"/>
      <c r="N988" s="321"/>
      <c r="O988" s="321"/>
      <c r="P988" s="321"/>
      <c r="Q988" s="321"/>
      <c r="R988" s="321"/>
      <c r="S988" s="321"/>
      <c r="T988" s="321"/>
      <c r="U988" s="321"/>
      <c r="V988" s="321"/>
      <c r="W988" s="321"/>
      <c r="X988" s="321"/>
      <c r="Y988" s="321"/>
    </row>
    <row r="989" spans="1:25" ht="12.75" x14ac:dyDescent="0.2">
      <c r="A989" s="321"/>
      <c r="B989" s="321"/>
      <c r="C989" s="321"/>
      <c r="D989" s="321"/>
      <c r="E989" s="321"/>
      <c r="F989" s="321"/>
      <c r="G989" s="321"/>
      <c r="H989" s="321"/>
      <c r="I989" s="321"/>
      <c r="J989" s="321"/>
      <c r="K989" s="321"/>
      <c r="L989" s="321"/>
      <c r="M989" s="321"/>
      <c r="N989" s="321"/>
      <c r="O989" s="321"/>
      <c r="P989" s="321"/>
      <c r="Q989" s="321"/>
      <c r="R989" s="321"/>
      <c r="S989" s="321"/>
      <c r="T989" s="321"/>
      <c r="U989" s="321"/>
      <c r="V989" s="321"/>
      <c r="W989" s="321"/>
      <c r="X989" s="321"/>
      <c r="Y989" s="321"/>
    </row>
    <row r="990" spans="1:25" ht="12.75" x14ac:dyDescent="0.2">
      <c r="A990" s="321"/>
      <c r="B990" s="321"/>
      <c r="C990" s="321"/>
      <c r="D990" s="321"/>
      <c r="E990" s="321"/>
      <c r="F990" s="321"/>
      <c r="G990" s="321"/>
      <c r="H990" s="321"/>
      <c r="I990" s="321"/>
      <c r="J990" s="321"/>
      <c r="K990" s="321"/>
      <c r="L990" s="321"/>
      <c r="M990" s="321"/>
      <c r="N990" s="321"/>
      <c r="O990" s="321"/>
      <c r="P990" s="321"/>
      <c r="Q990" s="321"/>
      <c r="R990" s="321"/>
      <c r="S990" s="321"/>
      <c r="T990" s="321"/>
      <c r="U990" s="321"/>
      <c r="V990" s="321"/>
      <c r="W990" s="321"/>
      <c r="X990" s="321"/>
      <c r="Y990" s="321"/>
    </row>
    <row r="991" spans="1:25" ht="12.75" x14ac:dyDescent="0.2">
      <c r="A991" s="321"/>
      <c r="B991" s="321"/>
      <c r="C991" s="321"/>
      <c r="D991" s="321"/>
      <c r="E991" s="321"/>
      <c r="F991" s="321"/>
      <c r="G991" s="321"/>
      <c r="H991" s="321"/>
      <c r="I991" s="321"/>
      <c r="J991" s="321"/>
      <c r="K991" s="321"/>
      <c r="L991" s="321"/>
      <c r="M991" s="321"/>
      <c r="N991" s="321"/>
      <c r="O991" s="321"/>
      <c r="P991" s="321"/>
      <c r="Q991" s="321"/>
      <c r="R991" s="321"/>
      <c r="S991" s="321"/>
      <c r="T991" s="321"/>
      <c r="U991" s="321"/>
      <c r="V991" s="321"/>
      <c r="W991" s="321"/>
      <c r="X991" s="321"/>
      <c r="Y991" s="321"/>
    </row>
    <row r="992" spans="1:25" ht="12.75" x14ac:dyDescent="0.2">
      <c r="A992" s="321"/>
      <c r="B992" s="321"/>
      <c r="C992" s="321"/>
      <c r="D992" s="321"/>
      <c r="E992" s="321"/>
      <c r="F992" s="321"/>
      <c r="G992" s="321"/>
      <c r="H992" s="321"/>
      <c r="I992" s="321"/>
      <c r="J992" s="321"/>
      <c r="K992" s="321"/>
      <c r="L992" s="321"/>
      <c r="M992" s="321"/>
      <c r="N992" s="321"/>
      <c r="O992" s="321"/>
      <c r="P992" s="321"/>
      <c r="Q992" s="321"/>
      <c r="R992" s="321"/>
      <c r="S992" s="321"/>
      <c r="T992" s="321"/>
      <c r="U992" s="321"/>
      <c r="V992" s="321"/>
      <c r="W992" s="321"/>
      <c r="X992" s="321"/>
      <c r="Y992" s="321"/>
    </row>
    <row r="993" spans="1:25" ht="12.75" x14ac:dyDescent="0.2">
      <c r="A993" s="321"/>
      <c r="B993" s="321"/>
      <c r="C993" s="321"/>
      <c r="D993" s="321"/>
      <c r="E993" s="321"/>
      <c r="F993" s="321"/>
      <c r="G993" s="321"/>
      <c r="H993" s="321"/>
      <c r="I993" s="321"/>
      <c r="J993" s="321"/>
      <c r="K993" s="321"/>
      <c r="L993" s="321"/>
      <c r="M993" s="321"/>
      <c r="N993" s="321"/>
      <c r="O993" s="321"/>
      <c r="P993" s="321"/>
      <c r="Q993" s="321"/>
      <c r="R993" s="321"/>
      <c r="S993" s="321"/>
      <c r="T993" s="321"/>
      <c r="U993" s="321"/>
      <c r="V993" s="321"/>
      <c r="W993" s="321"/>
      <c r="X993" s="321"/>
      <c r="Y993" s="321"/>
    </row>
    <row r="994" spans="1:25" ht="12.75" x14ac:dyDescent="0.2">
      <c r="A994" s="321"/>
      <c r="B994" s="321"/>
      <c r="C994" s="321"/>
      <c r="D994" s="321"/>
      <c r="E994" s="321"/>
      <c r="F994" s="321"/>
      <c r="G994" s="321"/>
      <c r="H994" s="321"/>
      <c r="I994" s="321"/>
      <c r="J994" s="321"/>
      <c r="K994" s="321"/>
      <c r="L994" s="321"/>
      <c r="M994" s="321"/>
      <c r="N994" s="321"/>
      <c r="O994" s="321"/>
      <c r="P994" s="321"/>
      <c r="Q994" s="321"/>
      <c r="R994" s="321"/>
      <c r="S994" s="321"/>
      <c r="T994" s="321"/>
      <c r="U994" s="321"/>
      <c r="V994" s="321"/>
      <c r="W994" s="321"/>
      <c r="X994" s="321"/>
      <c r="Y994" s="321"/>
    </row>
    <row r="995" spans="1:25" ht="12.75" x14ac:dyDescent="0.2">
      <c r="A995" s="321"/>
      <c r="B995" s="321"/>
      <c r="C995" s="321"/>
      <c r="D995" s="321"/>
      <c r="E995" s="321"/>
      <c r="F995" s="321"/>
      <c r="G995" s="321"/>
      <c r="H995" s="321"/>
      <c r="I995" s="321"/>
      <c r="J995" s="321"/>
      <c r="K995" s="321"/>
      <c r="L995" s="321"/>
      <c r="M995" s="321"/>
      <c r="N995" s="321"/>
      <c r="O995" s="321"/>
      <c r="P995" s="321"/>
      <c r="Q995" s="321"/>
      <c r="R995" s="321"/>
      <c r="S995" s="321"/>
      <c r="T995" s="321"/>
      <c r="U995" s="321"/>
      <c r="V995" s="321"/>
      <c r="W995" s="321"/>
      <c r="X995" s="321"/>
      <c r="Y995" s="321"/>
    </row>
    <row r="996" spans="1:25" ht="12.75" x14ac:dyDescent="0.2">
      <c r="A996" s="321"/>
      <c r="B996" s="321"/>
      <c r="C996" s="321"/>
      <c r="D996" s="321"/>
      <c r="E996" s="321"/>
      <c r="F996" s="321"/>
      <c r="G996" s="321"/>
      <c r="H996" s="321"/>
      <c r="I996" s="321"/>
      <c r="J996" s="321"/>
      <c r="K996" s="321"/>
      <c r="L996" s="321"/>
      <c r="M996" s="321"/>
      <c r="N996" s="321"/>
      <c r="O996" s="321"/>
      <c r="P996" s="321"/>
      <c r="Q996" s="321"/>
      <c r="R996" s="321"/>
      <c r="S996" s="321"/>
      <c r="T996" s="321"/>
      <c r="U996" s="321"/>
      <c r="V996" s="321"/>
      <c r="W996" s="321"/>
      <c r="X996" s="321"/>
      <c r="Y996" s="321"/>
    </row>
    <row r="997" spans="1:25" ht="12.75" x14ac:dyDescent="0.2">
      <c r="A997" s="321"/>
      <c r="B997" s="321"/>
      <c r="C997" s="321"/>
      <c r="D997" s="321"/>
      <c r="E997" s="321"/>
      <c r="F997" s="321"/>
      <c r="G997" s="321"/>
      <c r="H997" s="321"/>
      <c r="I997" s="321"/>
      <c r="J997" s="321"/>
      <c r="K997" s="321"/>
      <c r="L997" s="321"/>
      <c r="M997" s="321"/>
      <c r="N997" s="321"/>
      <c r="O997" s="321"/>
      <c r="P997" s="321"/>
      <c r="Q997" s="321"/>
      <c r="R997" s="321"/>
      <c r="S997" s="321"/>
      <c r="T997" s="321"/>
      <c r="U997" s="321"/>
      <c r="V997" s="321"/>
      <c r="W997" s="321"/>
      <c r="X997" s="321"/>
      <c r="Y997" s="321"/>
    </row>
    <row r="998" spans="1:25" ht="12.75" x14ac:dyDescent="0.2">
      <c r="A998" s="321"/>
      <c r="B998" s="321"/>
      <c r="C998" s="321"/>
      <c r="D998" s="321"/>
      <c r="E998" s="321"/>
      <c r="F998" s="321"/>
      <c r="G998" s="321"/>
      <c r="H998" s="321"/>
      <c r="I998" s="321"/>
      <c r="J998" s="321"/>
      <c r="K998" s="321"/>
      <c r="L998" s="321"/>
      <c r="M998" s="321"/>
      <c r="N998" s="321"/>
      <c r="O998" s="321"/>
      <c r="P998" s="321"/>
      <c r="Q998" s="321"/>
      <c r="R998" s="321"/>
      <c r="S998" s="321"/>
      <c r="T998" s="321"/>
      <c r="U998" s="321"/>
      <c r="V998" s="321"/>
      <c r="W998" s="321"/>
      <c r="X998" s="321"/>
      <c r="Y998" s="321"/>
    </row>
    <row r="999" spans="1:25" ht="12.75" x14ac:dyDescent="0.2">
      <c r="A999" s="321"/>
      <c r="B999" s="321"/>
      <c r="C999" s="321"/>
      <c r="D999" s="321"/>
      <c r="E999" s="321"/>
      <c r="F999" s="321"/>
      <c r="G999" s="321"/>
      <c r="H999" s="321"/>
      <c r="I999" s="321"/>
      <c r="J999" s="321"/>
      <c r="K999" s="321"/>
      <c r="L999" s="321"/>
      <c r="M999" s="321"/>
      <c r="N999" s="321"/>
      <c r="O999" s="321"/>
      <c r="P999" s="321"/>
      <c r="Q999" s="321"/>
      <c r="R999" s="321"/>
      <c r="S999" s="321"/>
      <c r="T999" s="321"/>
      <c r="U999" s="321"/>
      <c r="V999" s="321"/>
      <c r="W999" s="321"/>
      <c r="X999" s="321"/>
      <c r="Y999" s="321"/>
    </row>
    <row r="1000" spans="1:25" ht="12.75" x14ac:dyDescent="0.2">
      <c r="A1000" s="321"/>
      <c r="B1000" s="321"/>
      <c r="C1000" s="321"/>
      <c r="D1000" s="321"/>
      <c r="E1000" s="321"/>
      <c r="F1000" s="321"/>
      <c r="G1000" s="321"/>
      <c r="H1000" s="321"/>
      <c r="I1000" s="321"/>
      <c r="J1000" s="321"/>
      <c r="K1000" s="321"/>
      <c r="L1000" s="321"/>
      <c r="M1000" s="321"/>
      <c r="N1000" s="321"/>
      <c r="O1000" s="321"/>
      <c r="P1000" s="321"/>
      <c r="Q1000" s="321"/>
      <c r="R1000" s="321"/>
      <c r="S1000" s="321"/>
      <c r="T1000" s="321"/>
      <c r="U1000" s="321"/>
      <c r="V1000" s="321"/>
      <c r="W1000" s="321"/>
      <c r="X1000" s="321"/>
      <c r="Y1000" s="321"/>
    </row>
    <row r="1001" spans="1:25" ht="12.75" x14ac:dyDescent="0.2">
      <c r="A1001" s="321"/>
      <c r="B1001" s="321"/>
      <c r="C1001" s="321"/>
      <c r="D1001" s="321"/>
      <c r="E1001" s="321"/>
      <c r="F1001" s="321"/>
      <c r="G1001" s="321"/>
      <c r="H1001" s="321"/>
      <c r="I1001" s="321"/>
      <c r="J1001" s="321"/>
      <c r="K1001" s="321"/>
      <c r="L1001" s="321"/>
      <c r="M1001" s="321"/>
      <c r="N1001" s="321"/>
      <c r="O1001" s="321"/>
      <c r="P1001" s="321"/>
      <c r="Q1001" s="321"/>
      <c r="R1001" s="321"/>
      <c r="S1001" s="321"/>
      <c r="T1001" s="321"/>
      <c r="U1001" s="321"/>
      <c r="V1001" s="321"/>
      <c r="W1001" s="321"/>
      <c r="X1001" s="321"/>
      <c r="Y1001" s="321"/>
    </row>
    <row r="1002" spans="1:25" ht="12.75" x14ac:dyDescent="0.2">
      <c r="A1002" s="321"/>
      <c r="B1002" s="321"/>
      <c r="C1002" s="321"/>
      <c r="D1002" s="321"/>
      <c r="E1002" s="321"/>
      <c r="F1002" s="321"/>
      <c r="G1002" s="321"/>
      <c r="H1002" s="321"/>
      <c r="I1002" s="321"/>
      <c r="J1002" s="321"/>
      <c r="K1002" s="321"/>
      <c r="L1002" s="321"/>
      <c r="M1002" s="321"/>
      <c r="N1002" s="321"/>
      <c r="O1002" s="321"/>
      <c r="P1002" s="321"/>
      <c r="Q1002" s="321"/>
      <c r="R1002" s="321"/>
      <c r="S1002" s="321"/>
      <c r="T1002" s="321"/>
      <c r="U1002" s="321"/>
      <c r="V1002" s="321"/>
      <c r="W1002" s="321"/>
      <c r="X1002" s="321"/>
      <c r="Y1002" s="321"/>
    </row>
  </sheetData>
  <mergeCells count="1">
    <mergeCell ref="A1:F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5089"/>
    <outlinePr summaryBelow="0" summaryRight="0"/>
  </sheetPr>
  <dimension ref="F2:T85"/>
  <sheetViews>
    <sheetView showGridLines="0" topLeftCell="A46" workbookViewId="0">
      <selection activeCell="U22" sqref="U22"/>
    </sheetView>
  </sheetViews>
  <sheetFormatPr defaultColWidth="14.42578125" defaultRowHeight="15.75" customHeight="1" x14ac:dyDescent="0.2"/>
  <sheetData>
    <row r="2" spans="14:20" ht="15.75" customHeight="1" x14ac:dyDescent="0.35">
      <c r="N2" s="338" t="s">
        <v>39</v>
      </c>
      <c r="O2" s="339"/>
      <c r="P2" s="339"/>
      <c r="Q2" s="339"/>
      <c r="R2" s="339"/>
      <c r="S2" s="339"/>
      <c r="T2" s="39"/>
    </row>
    <row r="3" spans="14:20" ht="15.75" customHeight="1" x14ac:dyDescent="0.35">
      <c r="N3" s="339"/>
      <c r="O3" s="339"/>
      <c r="P3" s="339"/>
      <c r="Q3" s="339"/>
      <c r="R3" s="339"/>
      <c r="S3" s="339"/>
      <c r="T3" s="39"/>
    </row>
    <row r="4" spans="14:20" ht="15.75" customHeight="1" x14ac:dyDescent="0.3">
      <c r="N4" s="340">
        <v>43922</v>
      </c>
      <c r="O4" s="339"/>
      <c r="P4" s="339"/>
      <c r="Q4" s="339"/>
      <c r="R4" s="339"/>
      <c r="S4" s="339"/>
      <c r="T4" s="40"/>
    </row>
    <row r="5" spans="14:20" ht="15.75" customHeight="1" x14ac:dyDescent="0.3">
      <c r="N5" s="339"/>
      <c r="O5" s="339"/>
      <c r="P5" s="339"/>
      <c r="Q5" s="339"/>
      <c r="R5" s="339"/>
      <c r="S5" s="339"/>
      <c r="T5" s="40"/>
    </row>
    <row r="7" spans="14:20" ht="15.75" customHeight="1" x14ac:dyDescent="0.2">
      <c r="P7" s="41" t="s">
        <v>40</v>
      </c>
      <c r="Q7" s="42" t="s">
        <v>41</v>
      </c>
      <c r="R7" s="341" t="s">
        <v>42</v>
      </c>
      <c r="S7" s="339"/>
    </row>
    <row r="8" spans="14:20" ht="15.75" customHeight="1" x14ac:dyDescent="0.2">
      <c r="N8" s="43" t="s">
        <v>43</v>
      </c>
      <c r="P8" s="44">
        <f>Q8</f>
        <v>43922</v>
      </c>
      <c r="Q8" s="45">
        <f>Current_Month</f>
        <v>43922</v>
      </c>
      <c r="R8" s="9" t="s">
        <v>4</v>
      </c>
      <c r="S8" s="9" t="s">
        <v>5</v>
      </c>
    </row>
    <row r="9" spans="14:20" ht="15.75" customHeight="1" x14ac:dyDescent="0.2">
      <c r="N9" s="46" t="s">
        <v>8</v>
      </c>
      <c r="O9" s="47"/>
      <c r="P9" s="48">
        <f t="array" ref="P9">INDEX(Oper_Model_Revenue_2020_Target,MATCH(P8,Oper_Model_Months_2020_Target,0))*12</f>
        <v>10344470.390341662</v>
      </c>
      <c r="Q9" s="49">
        <f t="array" ref="Q9">INDEX(Revenue_Model_MRR,MATCH(Q8,Revenue_Model_Months,0))*12</f>
        <v>9536481.13441699</v>
      </c>
      <c r="R9" s="17">
        <f>Q9-P9</f>
        <v>-807989.25592467189</v>
      </c>
      <c r="S9" s="18">
        <f>Q9/P9-1</f>
        <v>-7.8108325069891293E-2</v>
      </c>
    </row>
    <row r="10" spans="14:20" ht="15.75" customHeight="1" x14ac:dyDescent="0.2">
      <c r="P10" s="52"/>
      <c r="Q10" s="53"/>
      <c r="R10" s="52"/>
      <c r="S10" s="52"/>
    </row>
    <row r="11" spans="14:20" ht="15.75" customHeight="1" x14ac:dyDescent="0.2">
      <c r="N11" s="23" t="s">
        <v>9</v>
      </c>
      <c r="P11" s="55">
        <f t="array" ref="P11">INDEX(Oper_Model_Revenue_2020_Target,MATCH(P8,Oper_Model_Months_2020_Target,0))</f>
        <v>862039.19919513853</v>
      </c>
      <c r="Q11" s="56">
        <f t="array" aca="1" ref="Q11" ca="1">INDEX(Oper_Model_Revenue,MATCH(Q8,Oper_Model_Months,0))</f>
        <v>796507</v>
      </c>
      <c r="R11" s="55">
        <f ca="1">Q11-P11</f>
        <v>-65532.199195138528</v>
      </c>
      <c r="S11" s="18">
        <f ca="1">Q11/P11-1</f>
        <v>-7.6019975955065711E-2</v>
      </c>
    </row>
    <row r="12" spans="14:20" ht="15.75" customHeight="1" x14ac:dyDescent="0.2">
      <c r="N12" s="23" t="s">
        <v>13</v>
      </c>
      <c r="P12" s="52"/>
      <c r="Q12" s="53"/>
      <c r="R12" s="52"/>
      <c r="S12" s="18"/>
    </row>
    <row r="13" spans="14:20" ht="15.75" customHeight="1" x14ac:dyDescent="0.2">
      <c r="N13" s="23" t="s">
        <v>14</v>
      </c>
      <c r="P13" s="57">
        <f t="array" ref="P13">INDEX(Oper_Model_Support_2020_Target,MATCH(P8,Oper_Model_Months_2020_Target,0))</f>
        <v>106639.14542694954</v>
      </c>
      <c r="Q13" s="59">
        <f t="array" aca="1" ref="Q13" ca="1">INDEX(Oper_Model_Support,MATCH(Q8,Oper_Model_Months,0))</f>
        <v>75015</v>
      </c>
      <c r="R13" s="57">
        <f t="shared" ref="R13:R14" ca="1" si="0">Q13-P13</f>
        <v>-31624.145426949544</v>
      </c>
      <c r="S13" s="18">
        <f t="shared" ref="S13:S14" ca="1" si="1">Q13/P13-1</f>
        <v>-0.29655287746667913</v>
      </c>
    </row>
    <row r="14" spans="14:20" ht="15.75" customHeight="1" x14ac:dyDescent="0.2">
      <c r="N14" s="23" t="s">
        <v>15</v>
      </c>
      <c r="P14" s="57">
        <f t="array" ref="P14">INDEX(Oper_Model_Service_Delivery_2020_Target,MATCH(P8,Oper_Model_Months_2020_Target,0))</f>
        <v>61315.083712705818</v>
      </c>
      <c r="Q14" s="59">
        <f t="array" aca="1" ref="Q14" ca="1">INDEX(Oper_Model_Service_Delivery,MATCH(Q8,Oper_Model_Months,0))</f>
        <v>70756</v>
      </c>
      <c r="R14" s="57">
        <f t="shared" ca="1" si="0"/>
        <v>9440.9162872941815</v>
      </c>
      <c r="S14" s="18">
        <f t="shared" ca="1" si="1"/>
        <v>0.15397379756553797</v>
      </c>
    </row>
    <row r="15" spans="14:20" ht="15.75" customHeight="1" x14ac:dyDescent="0.2">
      <c r="N15" s="60" t="s">
        <v>13</v>
      </c>
      <c r="O15" s="51"/>
      <c r="P15" s="61">
        <f t="shared" ref="P15:S15" si="2">SUM(P13:P14)</f>
        <v>167954.22913965536</v>
      </c>
      <c r="Q15" s="62">
        <f t="shared" ca="1" si="2"/>
        <v>145771</v>
      </c>
      <c r="R15" s="61">
        <f t="shared" ca="1" si="2"/>
        <v>-22183.229139655363</v>
      </c>
      <c r="S15" s="30">
        <f t="shared" ca="1" si="2"/>
        <v>-0.14257907990114116</v>
      </c>
    </row>
    <row r="16" spans="14:20" ht="15.75" customHeight="1" x14ac:dyDescent="0.2">
      <c r="N16" s="50" t="s">
        <v>16</v>
      </c>
      <c r="O16" s="51"/>
      <c r="P16" s="61">
        <f t="shared" ref="P16:Q16" si="3">P11-P15</f>
        <v>694084.97005548317</v>
      </c>
      <c r="Q16" s="62">
        <f t="shared" ca="1" si="3"/>
        <v>650736</v>
      </c>
      <c r="R16" s="61">
        <f ca="1">Q16-P16</f>
        <v>-43348.970055483165</v>
      </c>
      <c r="S16" s="30">
        <f ca="1">Q16/P16-1</f>
        <v>-6.2454846201349001E-2</v>
      </c>
    </row>
    <row r="17" spans="14:20" ht="15.75" customHeight="1" x14ac:dyDescent="0.2">
      <c r="N17" s="23" t="s">
        <v>17</v>
      </c>
      <c r="P17" s="63">
        <f t="shared" ref="P17:Q17" si="4">P16/P11</f>
        <v>0.80516636680040832</v>
      </c>
      <c r="Q17" s="64">
        <f t="shared" ca="1" si="4"/>
        <v>0.81698717023202561</v>
      </c>
      <c r="R17" s="63"/>
      <c r="S17" s="18"/>
    </row>
    <row r="18" spans="14:20" ht="15.75" customHeight="1" x14ac:dyDescent="0.2">
      <c r="N18" s="23" t="s">
        <v>18</v>
      </c>
      <c r="P18" s="52"/>
      <c r="Q18" s="53"/>
      <c r="R18" s="52"/>
      <c r="S18" s="18"/>
    </row>
    <row r="19" spans="14:20" ht="15.75" customHeight="1" x14ac:dyDescent="0.2">
      <c r="N19" s="23" t="s">
        <v>19</v>
      </c>
      <c r="P19" s="57">
        <f t="array" ref="P19">INDEX(Oper_Model_Engineering_2020_Target,MATCH(P8,Oper_Model_Months_2020_Target,0))</f>
        <v>282865.83333333337</v>
      </c>
      <c r="Q19" s="59">
        <f t="array" aca="1" ref="Q19" ca="1">INDEX(Oper_Model_Engineering,MATCH(Q8,Oper_Model_Months,0))</f>
        <v>278352</v>
      </c>
      <c r="R19" s="57">
        <f t="shared" ref="R19:R21" ca="1" si="5">Q19-P19</f>
        <v>-4513.8333333333721</v>
      </c>
      <c r="S19" s="18">
        <f t="shared" ref="S19:S21" ca="1" si="6">Q19/P19-1</f>
        <v>-1.5957506356075846E-2</v>
      </c>
    </row>
    <row r="20" spans="14:20" ht="15.75" customHeight="1" x14ac:dyDescent="0.2">
      <c r="N20" s="23" t="s">
        <v>21</v>
      </c>
      <c r="P20" s="57">
        <f t="array" ref="P20">INDEX(Oper_Model_General_2020_Target,MATCH(P8,Oper_Model_Months_2020_Target,0))</f>
        <v>93644.333333333328</v>
      </c>
      <c r="Q20" s="59">
        <f t="array" aca="1" ref="Q20" ca="1">INDEX(Oper_Model_General,MATCH(Q8,Oper_Model_Months,0))</f>
        <v>87926</v>
      </c>
      <c r="R20" s="57">
        <f t="shared" ca="1" si="5"/>
        <v>-5718.3333333333285</v>
      </c>
      <c r="S20" s="18">
        <f t="shared" ca="1" si="6"/>
        <v>-6.1064381898886855E-2</v>
      </c>
    </row>
    <row r="21" spans="14:20" ht="15.75" customHeight="1" x14ac:dyDescent="0.2">
      <c r="N21" s="23" t="s">
        <v>22</v>
      </c>
      <c r="P21" s="57">
        <f t="array" ref="P21">INDEX(Oper_Model_Sales_and_Marketing_2020_Target,MATCH(P8,Oper_Model_Months_2020_Target,0))</f>
        <v>399958</v>
      </c>
      <c r="Q21" s="59">
        <f t="array" aca="1" ref="Q21" ca="1">INDEX(Oper_Model_Sales_and_Marketing,MATCH(Q8,Oper_Model_Months,0))</f>
        <v>284575</v>
      </c>
      <c r="R21" s="57">
        <f t="shared" ca="1" si="5"/>
        <v>-115383</v>
      </c>
      <c r="S21" s="18">
        <f t="shared" ca="1" si="6"/>
        <v>-0.28848779121807788</v>
      </c>
    </row>
    <row r="22" spans="14:20" ht="15.75" customHeight="1" x14ac:dyDescent="0.2">
      <c r="N22" s="60" t="s">
        <v>23</v>
      </c>
      <c r="O22" s="51"/>
      <c r="P22" s="61">
        <f t="shared" ref="P22:S22" si="7">SUM(P19:P21)</f>
        <v>776468.16666666674</v>
      </c>
      <c r="Q22" s="62">
        <f t="shared" ca="1" si="7"/>
        <v>650853</v>
      </c>
      <c r="R22" s="61">
        <f t="shared" ca="1" si="7"/>
        <v>-125615.1666666667</v>
      </c>
      <c r="S22" s="30">
        <f t="shared" ca="1" si="7"/>
        <v>-0.36550967947304058</v>
      </c>
    </row>
    <row r="23" spans="14:20" ht="15.75" customHeight="1" x14ac:dyDescent="0.2">
      <c r="N23" s="60" t="s">
        <v>24</v>
      </c>
      <c r="O23" s="51"/>
      <c r="P23" s="61">
        <f t="shared" ref="P23:S23" si="8">P16-P22</f>
        <v>-82383.196611183579</v>
      </c>
      <c r="Q23" s="62">
        <f t="shared" ca="1" si="8"/>
        <v>-117</v>
      </c>
      <c r="R23" s="61">
        <f t="shared" ca="1" si="8"/>
        <v>82266.196611183535</v>
      </c>
      <c r="S23" s="30">
        <f t="shared" ca="1" si="8"/>
        <v>0.30305483327169158</v>
      </c>
    </row>
    <row r="24" spans="14:20" ht="15.75" customHeight="1" x14ac:dyDescent="0.2">
      <c r="Q24" s="65"/>
      <c r="S24" s="18"/>
    </row>
    <row r="25" spans="14:20" ht="15.75" customHeight="1" x14ac:dyDescent="0.2">
      <c r="N25" s="43" t="s">
        <v>45</v>
      </c>
      <c r="P25" s="44">
        <f>Current_Month</f>
        <v>43922</v>
      </c>
      <c r="Q25" s="45">
        <f>Current_Month</f>
        <v>43922</v>
      </c>
      <c r="R25" s="9" t="s">
        <v>4</v>
      </c>
      <c r="S25" s="9" t="s">
        <v>5</v>
      </c>
    </row>
    <row r="26" spans="14:20" ht="15.75" customHeight="1" x14ac:dyDescent="0.2">
      <c r="N26" s="46" t="s">
        <v>46</v>
      </c>
      <c r="O26" s="47"/>
      <c r="P26" s="66">
        <f t="array" ref="P26">INDEX(Oper_Model_Operating_Activities_2020_Target,MATCH(P8,Oper_Model_Months_2020_Target,0))</f>
        <v>22616.803388816421</v>
      </c>
      <c r="Q26" s="67">
        <f t="array" aca="1" ref="Q26" ca="1">INDEX(Oper_Model_Operating_Activities,MATCH(Q8,Oper_Model_Months,0))</f>
        <v>-117</v>
      </c>
      <c r="R26" s="66">
        <f t="shared" ref="R26:R28" ca="1" si="9">Q26-P26</f>
        <v>-22733.803388816421</v>
      </c>
      <c r="S26" s="18">
        <f t="shared" ref="S26:S28" ca="1" si="10">IFERROR(Q26/P26-1,0)</f>
        <v>-1.0051731448511356</v>
      </c>
    </row>
    <row r="27" spans="14:20" ht="15.75" customHeight="1" x14ac:dyDescent="0.2">
      <c r="N27" s="23" t="s">
        <v>47</v>
      </c>
      <c r="P27" s="57">
        <f t="array" ref="P27">INDEX(Oper_Model_Investing_Activities_2020_Target,MATCH(P8,Oper_Model_Months_2020_Target,0))</f>
        <v>0</v>
      </c>
      <c r="Q27" s="59">
        <f t="array" aca="1" ref="Q27" ca="1">INDEX(Oper_Model_Investing_Activities,MATCH(Q8,Oper_Model_Months,0))</f>
        <v>0</v>
      </c>
      <c r="R27" s="57">
        <f t="shared" ca="1" si="9"/>
        <v>0</v>
      </c>
      <c r="S27" s="18">
        <f t="shared" ca="1" si="10"/>
        <v>0</v>
      </c>
    </row>
    <row r="28" spans="14:20" ht="15.75" customHeight="1" x14ac:dyDescent="0.2">
      <c r="N28" s="23" t="s">
        <v>48</v>
      </c>
      <c r="P28" s="57">
        <f t="array" ref="P28">INDEX(Oper_Model_Financing_Activities_2020_Target,MATCH(P8,Oper_Model_Months_2020_Target,0))</f>
        <v>0</v>
      </c>
      <c r="Q28" s="59">
        <f t="array" aca="1" ref="Q28" ca="1">INDEX(Oper_Model_Financing_Activities,MATCH(Q8,Oper_Model_Months,0))</f>
        <v>0</v>
      </c>
      <c r="R28" s="57">
        <f t="shared" ca="1" si="9"/>
        <v>0</v>
      </c>
      <c r="S28" s="18">
        <f t="shared" ca="1" si="10"/>
        <v>0</v>
      </c>
    </row>
    <row r="29" spans="14:20" ht="15.75" customHeight="1" x14ac:dyDescent="0.2">
      <c r="N29" s="60" t="s">
        <v>50</v>
      </c>
      <c r="O29" s="51"/>
      <c r="P29" s="61">
        <f t="shared" ref="P29:S29" si="11">SUM(P26:P28)</f>
        <v>22616.803388816421</v>
      </c>
      <c r="Q29" s="62">
        <f t="shared" ca="1" si="11"/>
        <v>-117</v>
      </c>
      <c r="R29" s="61">
        <f t="shared" ca="1" si="11"/>
        <v>-22733.803388816421</v>
      </c>
      <c r="S29" s="30">
        <f t="shared" ca="1" si="11"/>
        <v>-1.0051731448511356</v>
      </c>
    </row>
    <row r="30" spans="14:20" ht="15.75" customHeight="1" x14ac:dyDescent="0.2">
      <c r="Q30" s="59"/>
      <c r="S30" s="18"/>
    </row>
    <row r="31" spans="14:20" ht="15.75" customHeight="1" x14ac:dyDescent="0.2">
      <c r="N31" s="23" t="s">
        <v>25</v>
      </c>
      <c r="P31" s="57">
        <f t="array" ref="P31">INDEX(Oper_Model_Bank_Accounts_2020_Target,MATCH(P8,Oper_Model_Months_2020_Target,0))</f>
        <v>243356.62552640424</v>
      </c>
      <c r="Q31" s="59">
        <f t="array" aca="1" ref="Q31" ca="1">INDEX(Oper_Model_Bank_Accounts,MATCH(Q8,Oper_Model_Months,0))</f>
        <v>263700.19</v>
      </c>
      <c r="R31" s="57">
        <f ca="1">Q31-P31</f>
        <v>20343.564473595761</v>
      </c>
      <c r="S31" s="18">
        <f ca="1">Q31/P31-1</f>
        <v>8.3595687726153445E-2</v>
      </c>
      <c r="T31" s="57"/>
    </row>
    <row r="34" spans="14:19" ht="15.75" customHeight="1" x14ac:dyDescent="0.2">
      <c r="P34" s="68" t="s">
        <v>41</v>
      </c>
      <c r="Q34" s="42" t="s">
        <v>41</v>
      </c>
      <c r="R34" s="68" t="s">
        <v>52</v>
      </c>
      <c r="S34" s="68" t="s">
        <v>52</v>
      </c>
    </row>
    <row r="35" spans="14:19" ht="15.75" customHeight="1" x14ac:dyDescent="0.2">
      <c r="N35" s="43" t="s">
        <v>53</v>
      </c>
      <c r="P35" s="44">
        <f>EDATE(Q35,-1)</f>
        <v>43891</v>
      </c>
      <c r="Q35" s="45">
        <f>Current_Month</f>
        <v>43922</v>
      </c>
      <c r="R35" s="44">
        <f t="shared" ref="R35:S35" si="12">EDATE(Q35,1)</f>
        <v>43952</v>
      </c>
      <c r="S35" s="44">
        <f t="shared" si="12"/>
        <v>43983</v>
      </c>
    </row>
    <row r="36" spans="14:19" ht="15.75" customHeight="1" x14ac:dyDescent="0.2">
      <c r="N36" s="46" t="s">
        <v>8</v>
      </c>
      <c r="O36" s="47"/>
      <c r="P36" s="48">
        <f t="array" ref="P36">INDEX(Revenue_Model_MRR,MATCH(P$35,Revenue_Model_Months,0))*12</f>
        <v>9841953.13441699</v>
      </c>
      <c r="Q36" s="49">
        <f t="array" ref="Q36">INDEX(Revenue_Model_MRR,MATCH(Q$35,Revenue_Model_Months,0))*12</f>
        <v>9536481.13441699</v>
      </c>
      <c r="R36" s="48">
        <f t="array" aca="1" ref="R36" ca="1">INDEX(Revenue_Model_MRR,MATCH(R$35,Revenue_Model_Months,0))*12</f>
        <v>9364193.1466511935</v>
      </c>
      <c r="S36" s="48">
        <f t="array" aca="1" ref="S36" ca="1">INDEX(Revenue_Model_MRR,MATCH(S$35,Revenue_Model_Months,0))*12</f>
        <v>9322066.780099757</v>
      </c>
    </row>
    <row r="37" spans="14:19" ht="15.75" customHeight="1" x14ac:dyDescent="0.2">
      <c r="P37" s="52"/>
      <c r="Q37" s="53"/>
      <c r="R37" s="52"/>
      <c r="S37" s="52"/>
    </row>
    <row r="38" spans="14:19" ht="15.75" customHeight="1" x14ac:dyDescent="0.2">
      <c r="N38" s="23" t="s">
        <v>9</v>
      </c>
      <c r="P38" s="55">
        <f t="array" aca="1" ref="P38" ca="1">INDEX(Oper_Model_Revenue,MATCH(P35,Oper_Model_Months,0))</f>
        <v>819162.19</v>
      </c>
      <c r="Q38" s="56">
        <f t="array" aca="1" ref="Q38" ca="1">INDEX(Oper_Model_Revenue,MATCH(Q35,Oper_Model_Months,0))</f>
        <v>796507</v>
      </c>
      <c r="R38" s="55">
        <f t="array" aca="1" ref="R38" ca="1">INDEX(Oper_Model_Revenue,MATCH(R35,Oper_Model_Months,0))</f>
        <v>780349.42888759938</v>
      </c>
      <c r="S38" s="55">
        <f t="array" aca="1" ref="S38" ca="1">INDEX(Oper_Model_Revenue,MATCH(S35,Oper_Model_Months,0))</f>
        <v>776838.89834164642</v>
      </c>
    </row>
    <row r="39" spans="14:19" ht="15.75" customHeight="1" x14ac:dyDescent="0.2">
      <c r="N39" s="23" t="s">
        <v>13</v>
      </c>
      <c r="P39" s="52"/>
      <c r="Q39" s="53"/>
      <c r="R39" s="52"/>
      <c r="S39" s="52"/>
    </row>
    <row r="40" spans="14:19" ht="15.75" customHeight="1" x14ac:dyDescent="0.2">
      <c r="N40" s="23" t="s">
        <v>14</v>
      </c>
      <c r="P40" s="57">
        <f t="array" aca="1" ref="P40" ca="1">INDEX(Oper_Model_Support,MATCH(P35,Oper_Model_Months,0))</f>
        <v>75196</v>
      </c>
      <c r="Q40" s="59">
        <f t="array" aca="1" ref="Q40" ca="1">INDEX(Oper_Model_Support,MATCH(Q35,Oper_Model_Months,0))</f>
        <v>75015</v>
      </c>
      <c r="R40" s="57">
        <f t="array" aca="1" ref="R40" ca="1">INDEX(Oper_Model_Support,MATCH(R35,Oper_Model_Months,0))</f>
        <v>76050.3090559259</v>
      </c>
      <c r="S40" s="57">
        <f t="array" aca="1" ref="S40" ca="1">INDEX(Oper_Model_Support,MATCH(S35,Oper_Model_Months,0))</f>
        <v>76018.512601986557</v>
      </c>
    </row>
    <row r="41" spans="14:19" ht="15.75" customHeight="1" x14ac:dyDescent="0.2">
      <c r="N41" s="23" t="s">
        <v>15</v>
      </c>
      <c r="P41" s="57">
        <f t="array" aca="1" ref="P41" ca="1">INDEX(Oper_Model_Service_Delivery,MATCH(P35,Oper_Model_Months,0))</f>
        <v>71648</v>
      </c>
      <c r="Q41" s="59">
        <f t="array" aca="1" ref="Q41" ca="1">INDEX(Oper_Model_Service_Delivery,MATCH(Q35,Oper_Model_Months,0))</f>
        <v>70756</v>
      </c>
      <c r="R41" s="57">
        <f t="array" aca="1" ref="R41" ca="1">INDEX(Oper_Model_Service_Delivery,MATCH(R35,Oper_Model_Months,0))</f>
        <v>67774.097308735276</v>
      </c>
      <c r="S41" s="57">
        <f t="array" aca="1" ref="S41" ca="1">INDEX(Oper_Model_Service_Delivery,MATCH(S35,Oper_Model_Months,0))</f>
        <v>67469.204359475523</v>
      </c>
    </row>
    <row r="42" spans="14:19" ht="15.75" customHeight="1" x14ac:dyDescent="0.2">
      <c r="N42" s="50" t="s">
        <v>13</v>
      </c>
      <c r="O42" s="51"/>
      <c r="P42" s="61">
        <f t="shared" ref="P42:S42" ca="1" si="13">SUM(P40:P41)</f>
        <v>146844</v>
      </c>
      <c r="Q42" s="62">
        <f t="shared" ca="1" si="13"/>
        <v>145771</v>
      </c>
      <c r="R42" s="61">
        <f t="shared" ca="1" si="13"/>
        <v>143824.40636466118</v>
      </c>
      <c r="S42" s="61">
        <f t="shared" ca="1" si="13"/>
        <v>143487.71696146208</v>
      </c>
    </row>
    <row r="43" spans="14:19" ht="15.75" customHeight="1" x14ac:dyDescent="0.2">
      <c r="N43" s="50" t="s">
        <v>16</v>
      </c>
      <c r="O43" s="51"/>
      <c r="P43" s="61">
        <f t="shared" ref="P43:S43" ca="1" si="14">P38-P42</f>
        <v>672318.19</v>
      </c>
      <c r="Q43" s="62">
        <f t="shared" ca="1" si="14"/>
        <v>650736</v>
      </c>
      <c r="R43" s="61">
        <f t="shared" ca="1" si="14"/>
        <v>636525.0225229382</v>
      </c>
      <c r="S43" s="61">
        <f t="shared" ca="1" si="14"/>
        <v>633351.18138018437</v>
      </c>
    </row>
    <row r="44" spans="14:19" ht="15.75" customHeight="1" x14ac:dyDescent="0.2">
      <c r="N44" s="23" t="s">
        <v>17</v>
      </c>
      <c r="P44" s="63">
        <f t="shared" ref="P44:S44" ca="1" si="15">P43/P38</f>
        <v>0.8207387965501679</v>
      </c>
      <c r="Q44" s="64">
        <f t="shared" ca="1" si="15"/>
        <v>0.81698717023202561</v>
      </c>
      <c r="R44" s="63">
        <f t="shared" ca="1" si="15"/>
        <v>0.81569230265256276</v>
      </c>
      <c r="S44" s="63">
        <f t="shared" ca="1" si="15"/>
        <v>0.8152928267781494</v>
      </c>
    </row>
    <row r="45" spans="14:19" ht="15.75" customHeight="1" x14ac:dyDescent="0.2">
      <c r="N45" s="23" t="s">
        <v>18</v>
      </c>
      <c r="P45" s="52"/>
      <c r="Q45" s="53"/>
      <c r="R45" s="52"/>
      <c r="S45" s="52"/>
    </row>
    <row r="46" spans="14:19" ht="15.75" customHeight="1" x14ac:dyDescent="0.2">
      <c r="N46" s="23" t="s">
        <v>19</v>
      </c>
      <c r="P46" s="57">
        <f t="array" aca="1" ref="P46" ca="1">INDEX(Oper_Model_Engineering,MATCH(P35,Oper_Model_Months,0))</f>
        <v>280952</v>
      </c>
      <c r="Q46" s="59">
        <f t="array" aca="1" ref="Q46" ca="1">INDEX(Oper_Model_Engineering,MATCH(Q35,Oper_Model_Months,0))</f>
        <v>278352</v>
      </c>
      <c r="R46" s="57">
        <f t="array" ref="R46">INDEX(Oper_Model_Engineering,MATCH(R35,Oper_Model_Months,0))</f>
        <v>229392.50000000003</v>
      </c>
      <c r="S46" s="57">
        <f t="array" ref="S46">INDEX(Oper_Model_Engineering,MATCH(S35,Oper_Model_Months,0))</f>
        <v>229392.50000000003</v>
      </c>
    </row>
    <row r="47" spans="14:19" ht="15.75" customHeight="1" x14ac:dyDescent="0.2">
      <c r="N47" s="23" t="s">
        <v>21</v>
      </c>
      <c r="P47" s="57">
        <f t="array" aca="1" ref="P47" ca="1">INDEX(Oper_Model_General,MATCH(P35,Oper_Model_Months,0))</f>
        <v>86317</v>
      </c>
      <c r="Q47" s="59">
        <f t="array" aca="1" ref="Q47" ca="1">INDEX(Oper_Model_General,MATCH(Q35,Oper_Model_Months,0))</f>
        <v>87926</v>
      </c>
      <c r="R47" s="57">
        <f t="array" aca="1" ref="R47" ca="1">INDEX(Oper_Model_General,MATCH(R35,Oper_Model_Months,0))</f>
        <v>78155.666666666657</v>
      </c>
      <c r="S47" s="57">
        <f t="array" aca="1" ref="S47" ca="1">INDEX(Oper_Model_General,MATCH(S35,Oper_Model_Months,0))</f>
        <v>78155.666666666657</v>
      </c>
    </row>
    <row r="48" spans="14:19" ht="15.75" customHeight="1" x14ac:dyDescent="0.2">
      <c r="N48" s="23" t="s">
        <v>22</v>
      </c>
      <c r="P48" s="57">
        <f t="array" aca="1" ref="P48" ca="1">INDEX(Oper_Model_Sales_and_Marketing,MATCH(P35,Oper_Model_Months,0))</f>
        <v>296642</v>
      </c>
      <c r="Q48" s="59">
        <f t="array" aca="1" ref="Q48" ca="1">INDEX(Oper_Model_Sales_and_Marketing,MATCH(Q35,Oper_Model_Months,0))</f>
        <v>284575</v>
      </c>
      <c r="R48" s="57">
        <f t="array" aca="1" ref="R48" ca="1">INDEX(Oper_Model_Sales_and_Marketing,MATCH(R35,Oper_Model_Months,0))</f>
        <v>275628.6895190989</v>
      </c>
      <c r="S48" s="57">
        <f t="array" aca="1" ref="S48" ca="1">INDEX(Oper_Model_Sales_and_Marketing,MATCH(S35,Oper_Model_Months,0))</f>
        <v>290437.16025988699</v>
      </c>
    </row>
    <row r="49" spans="14:19" ht="15.75" customHeight="1" x14ac:dyDescent="0.2">
      <c r="N49" s="50" t="s">
        <v>23</v>
      </c>
      <c r="O49" s="51"/>
      <c r="P49" s="61">
        <f t="shared" ref="P49:S49" ca="1" si="16">SUM(P46:P48)</f>
        <v>663911</v>
      </c>
      <c r="Q49" s="62">
        <f t="shared" ca="1" si="16"/>
        <v>650853</v>
      </c>
      <c r="R49" s="61">
        <f t="shared" ca="1" si="16"/>
        <v>583176.85618576559</v>
      </c>
      <c r="S49" s="61">
        <f t="shared" ca="1" si="16"/>
        <v>597985.32692655362</v>
      </c>
    </row>
    <row r="50" spans="14:19" ht="15.75" customHeight="1" x14ac:dyDescent="0.2">
      <c r="N50" s="50" t="s">
        <v>24</v>
      </c>
      <c r="O50" s="51"/>
      <c r="P50" s="61">
        <f t="shared" ref="P50:S50" ca="1" si="17">P43-P49</f>
        <v>8407.1899999999441</v>
      </c>
      <c r="Q50" s="62">
        <f t="shared" ca="1" si="17"/>
        <v>-117</v>
      </c>
      <c r="R50" s="61">
        <f t="shared" ca="1" si="17"/>
        <v>53348.166337172617</v>
      </c>
      <c r="S50" s="61">
        <f t="shared" ca="1" si="17"/>
        <v>35365.854453630745</v>
      </c>
    </row>
    <row r="51" spans="14:19" ht="15.75" customHeight="1" x14ac:dyDescent="0.2">
      <c r="Q51" s="65"/>
    </row>
    <row r="52" spans="14:19" ht="15.75" customHeight="1" x14ac:dyDescent="0.2">
      <c r="N52" s="43" t="s">
        <v>45</v>
      </c>
      <c r="P52" s="44">
        <f>EDATE(Q52,-1)</f>
        <v>43891</v>
      </c>
      <c r="Q52" s="45">
        <f>Current_Month</f>
        <v>43922</v>
      </c>
      <c r="R52" s="44">
        <f t="shared" ref="R52:S52" si="18">EDATE(Q52,1)</f>
        <v>43952</v>
      </c>
      <c r="S52" s="44">
        <f t="shared" si="18"/>
        <v>43983</v>
      </c>
    </row>
    <row r="53" spans="14:19" ht="12.75" x14ac:dyDescent="0.2">
      <c r="N53" s="46" t="s">
        <v>46</v>
      </c>
      <c r="O53" s="47"/>
      <c r="P53" s="66">
        <f t="array" aca="1" ref="P53" ca="1">INDEX(Oper_Model_Operating_Activities,MATCH(P35,Oper_Model_Months,0))</f>
        <v>8407.1899999999441</v>
      </c>
      <c r="Q53" s="67">
        <f t="array" aca="1" ref="Q53" ca="1">INDEX(Oper_Model_Operating_Activities,MATCH(Q35,Oper_Model_Months,0))</f>
        <v>-117</v>
      </c>
      <c r="R53" s="66">
        <f t="array" aca="1" ref="R53" ca="1">INDEX(Oper_Model_Operating_Activities,MATCH(R35,Oper_Model_Months,0))</f>
        <v>53348.166337172617</v>
      </c>
      <c r="S53" s="66">
        <f t="array" aca="1" ref="S53" ca="1">INDEX(Oper_Model_Operating_Activities,MATCH(S35,Oper_Model_Months,0))</f>
        <v>35365.854453630745</v>
      </c>
    </row>
    <row r="54" spans="14:19" ht="12.75" x14ac:dyDescent="0.2">
      <c r="N54" s="23" t="s">
        <v>47</v>
      </c>
      <c r="P54" s="57">
        <f t="array" aca="1" ref="P54" ca="1">INDEX(Oper_Model_Investing_Activities,MATCH(P35,Oper_Model_Months,0))</f>
        <v>0</v>
      </c>
      <c r="Q54" s="59">
        <f t="array" aca="1" ref="Q54" ca="1">INDEX(Oper_Model_Investing_Activities,MATCH(Q35,Oper_Model_Months,0))</f>
        <v>0</v>
      </c>
      <c r="R54" s="57">
        <f t="array" aca="1" ref="R54" ca="1">INDEX(Oper_Model_Investing_Activities,MATCH(R35,Oper_Model_Months,0))</f>
        <v>0</v>
      </c>
      <c r="S54" s="57">
        <f t="array" aca="1" ref="S54" ca="1">INDEX(Oper_Model_Investing_Activities,MATCH(S35,Oper_Model_Months,0))</f>
        <v>0</v>
      </c>
    </row>
    <row r="55" spans="14:19" ht="12.75" x14ac:dyDescent="0.2">
      <c r="N55" s="23" t="s">
        <v>48</v>
      </c>
      <c r="P55" s="57">
        <f t="array" aca="1" ref="P55" ca="1">INDEX(Oper_Model_Financing_Activities,MATCH(P35,Oper_Model_Months,0))</f>
        <v>0</v>
      </c>
      <c r="Q55" s="59">
        <f t="array" aca="1" ref="Q55" ca="1">INDEX(Oper_Model_Financing_Activities,MATCH(Q35,Oper_Model_Months,0))</f>
        <v>0</v>
      </c>
      <c r="R55" s="57">
        <f t="array" aca="1" ref="R55" ca="1">INDEX(Oper_Model_Financing_Activities,MATCH(R35,Oper_Model_Months,0))</f>
        <v>0</v>
      </c>
      <c r="S55" s="57">
        <f t="array" aca="1" ref="S55" ca="1">INDEX(Oper_Model_Financing_Activities,MATCH(S35,Oper_Model_Months,0))</f>
        <v>0</v>
      </c>
    </row>
    <row r="56" spans="14:19" ht="12.75" x14ac:dyDescent="0.2">
      <c r="N56" s="50" t="s">
        <v>50</v>
      </c>
      <c r="O56" s="51"/>
      <c r="P56" s="61">
        <f t="shared" ref="P56:S56" ca="1" si="19">SUM(P53:P55)</f>
        <v>8407.1899999999441</v>
      </c>
      <c r="Q56" s="62">
        <f t="shared" ca="1" si="19"/>
        <v>-117</v>
      </c>
      <c r="R56" s="61">
        <f t="shared" ca="1" si="19"/>
        <v>53348.166337172617</v>
      </c>
      <c r="S56" s="61">
        <f t="shared" ca="1" si="19"/>
        <v>35365.854453630745</v>
      </c>
    </row>
    <row r="57" spans="14:19" ht="12.75" x14ac:dyDescent="0.2">
      <c r="N57" s="69"/>
      <c r="Q57" s="65"/>
    </row>
    <row r="58" spans="14:19" ht="12.75" x14ac:dyDescent="0.2">
      <c r="Q58" s="65"/>
    </row>
    <row r="59" spans="14:19" ht="12.75" x14ac:dyDescent="0.2">
      <c r="N59" s="23" t="s">
        <v>25</v>
      </c>
      <c r="P59" s="57">
        <f t="array" aca="1" ref="P59" ca="1">INDEX(Oper_Model_Bank_Accounts,MATCH(P$35,Oper_Model_Months,0))</f>
        <v>263817.19</v>
      </c>
      <c r="Q59" s="59">
        <f t="array" aca="1" ref="Q59" ca="1">INDEX(Oper_Model_Bank_Accounts,MATCH(Q$35,Oper_Model_Months,0))</f>
        <v>263700.19</v>
      </c>
      <c r="R59" s="57">
        <f t="array" aca="1" ref="R59" ca="1">INDEX(Oper_Model_Bank_Accounts,MATCH(R$35,Oper_Model_Months,0))</f>
        <v>317048.35633717262</v>
      </c>
      <c r="S59" s="57">
        <f t="array" aca="1" ref="S59" ca="1">INDEX(Oper_Model_Bank_Accounts,MATCH(S$35,Oper_Model_Months,0))</f>
        <v>352414.21079080336</v>
      </c>
    </row>
    <row r="60" spans="14:19" ht="12.75" x14ac:dyDescent="0.2">
      <c r="Q60" s="65"/>
    </row>
    <row r="61" spans="14:19" ht="12.75" x14ac:dyDescent="0.2">
      <c r="Q61" s="42"/>
    </row>
    <row r="62" spans="14:19" ht="12.75" x14ac:dyDescent="0.2">
      <c r="N62" s="43" t="s">
        <v>62</v>
      </c>
      <c r="O62" s="70"/>
      <c r="P62" s="44">
        <f>EDATE(Q62,-1)</f>
        <v>43891</v>
      </c>
      <c r="Q62" s="45">
        <f>Current_Month</f>
        <v>43922</v>
      </c>
      <c r="R62" s="44">
        <f t="shared" ref="R62:S62" si="20">EDATE(Q62,1)</f>
        <v>43952</v>
      </c>
      <c r="S62" s="44">
        <f t="shared" si="20"/>
        <v>43983</v>
      </c>
    </row>
    <row r="63" spans="14:19" ht="12.75" x14ac:dyDescent="0.2">
      <c r="N63" s="46" t="s">
        <v>9</v>
      </c>
      <c r="O63" s="47"/>
      <c r="P63" s="72">
        <v>1</v>
      </c>
      <c r="Q63" s="73">
        <v>1</v>
      </c>
      <c r="R63" s="72">
        <v>1</v>
      </c>
      <c r="S63" s="72">
        <v>1</v>
      </c>
    </row>
    <row r="64" spans="14:19" ht="12.75" x14ac:dyDescent="0.2">
      <c r="N64" s="23" t="s">
        <v>13</v>
      </c>
      <c r="Q64" s="65"/>
    </row>
    <row r="65" spans="14:19" ht="12.75" x14ac:dyDescent="0.2">
      <c r="N65" s="23" t="s">
        <v>14</v>
      </c>
      <c r="P65" s="74">
        <f t="shared" ref="P65:S65" ca="1" si="21">P40/P$38</f>
        <v>9.1796229022728701E-2</v>
      </c>
      <c r="Q65" s="75">
        <f t="shared" ca="1" si="21"/>
        <v>9.417996326460408E-2</v>
      </c>
      <c r="R65" s="74">
        <f t="shared" ca="1" si="21"/>
        <v>9.7456736995805635E-2</v>
      </c>
      <c r="S65" s="74">
        <f t="shared" ca="1" si="21"/>
        <v>9.7856212870218978E-2</v>
      </c>
    </row>
    <row r="66" spans="14:19" ht="12.75" x14ac:dyDescent="0.2">
      <c r="N66" s="23" t="s">
        <v>15</v>
      </c>
      <c r="P66" s="74">
        <f t="shared" ref="P66:S66" ca="1" si="22">P41/P$38</f>
        <v>8.7464974427103381E-2</v>
      </c>
      <c r="Q66" s="75">
        <f t="shared" ca="1" si="22"/>
        <v>8.8832866503370342E-2</v>
      </c>
      <c r="R66" s="74">
        <f t="shared" ca="1" si="22"/>
        <v>8.6850960351631631E-2</v>
      </c>
      <c r="S66" s="74">
        <f t="shared" ca="1" si="22"/>
        <v>8.6850960351631631E-2</v>
      </c>
    </row>
    <row r="67" spans="14:19" ht="12.75" x14ac:dyDescent="0.2">
      <c r="N67" s="50" t="s">
        <v>13</v>
      </c>
      <c r="O67" s="51"/>
      <c r="P67" s="76">
        <f t="shared" ref="P67:S67" ca="1" si="23">P42/P$38</f>
        <v>0.1792612034498321</v>
      </c>
      <c r="Q67" s="77">
        <f t="shared" ca="1" si="23"/>
        <v>0.18301282976797442</v>
      </c>
      <c r="R67" s="76">
        <f t="shared" ca="1" si="23"/>
        <v>0.18430769734743727</v>
      </c>
      <c r="S67" s="76">
        <f t="shared" ca="1" si="23"/>
        <v>0.1847071732218506</v>
      </c>
    </row>
    <row r="68" spans="14:19" ht="12.75" x14ac:dyDescent="0.2">
      <c r="N68" s="50" t="s">
        <v>16</v>
      </c>
      <c r="O68" s="51"/>
      <c r="P68" s="76">
        <f t="shared" ref="P68:S68" ca="1" si="24">P43/P$38</f>
        <v>0.8207387965501679</v>
      </c>
      <c r="Q68" s="77">
        <f t="shared" ca="1" si="24"/>
        <v>0.81698717023202561</v>
      </c>
      <c r="R68" s="76">
        <f t="shared" ca="1" si="24"/>
        <v>0.81569230265256276</v>
      </c>
      <c r="S68" s="76">
        <f t="shared" ca="1" si="24"/>
        <v>0.8152928267781494</v>
      </c>
    </row>
    <row r="69" spans="14:19" ht="12.75" x14ac:dyDescent="0.2">
      <c r="Q69" s="65"/>
    </row>
    <row r="70" spans="14:19" ht="12.75" x14ac:dyDescent="0.2">
      <c r="N70" s="23" t="s">
        <v>18</v>
      </c>
      <c r="Q70" s="65"/>
    </row>
    <row r="71" spans="14:19" ht="12.75" x14ac:dyDescent="0.2">
      <c r="N71" s="23" t="s">
        <v>19</v>
      </c>
      <c r="P71" s="74">
        <f t="shared" ref="P71:S71" ca="1" si="25">P46/P$38</f>
        <v>0.34297481430386823</v>
      </c>
      <c r="Q71" s="75">
        <f t="shared" ca="1" si="25"/>
        <v>0.34946585529066287</v>
      </c>
      <c r="R71" s="74">
        <f t="shared" ca="1" si="25"/>
        <v>0.29396125826221559</v>
      </c>
      <c r="S71" s="74">
        <f t="shared" ca="1" si="25"/>
        <v>0.2952896675098205</v>
      </c>
    </row>
    <row r="72" spans="14:19" ht="12.75" x14ac:dyDescent="0.2">
      <c r="N72" s="23" t="s">
        <v>21</v>
      </c>
      <c r="P72" s="74">
        <f t="shared" ref="P72:S72" ca="1" si="26">P47/P$38</f>
        <v>0.10537229507626568</v>
      </c>
      <c r="Q72" s="75">
        <f t="shared" ca="1" si="26"/>
        <v>0.11038948810242723</v>
      </c>
      <c r="R72" s="74">
        <f t="shared" ca="1" si="26"/>
        <v>0.10015470476870703</v>
      </c>
      <c r="S72" s="74">
        <f t="shared" ca="1" si="26"/>
        <v>0.10060730330768598</v>
      </c>
    </row>
    <row r="73" spans="14:19" ht="12.75" x14ac:dyDescent="0.2">
      <c r="N73" s="23" t="s">
        <v>22</v>
      </c>
      <c r="P73" s="74">
        <f t="shared" ref="P73:S73" ca="1" si="27">P48/P$38</f>
        <v>0.36212853037076825</v>
      </c>
      <c r="Q73" s="75">
        <f t="shared" ca="1" si="27"/>
        <v>0.35727871820335538</v>
      </c>
      <c r="R73" s="74">
        <f t="shared" ca="1" si="27"/>
        <v>0.35321188087753458</v>
      </c>
      <c r="S73" s="74">
        <f t="shared" ca="1" si="27"/>
        <v>0.37387051662821791</v>
      </c>
    </row>
    <row r="74" spans="14:19" ht="12.75" x14ac:dyDescent="0.2">
      <c r="N74" s="50" t="s">
        <v>23</v>
      </c>
      <c r="O74" s="51"/>
      <c r="P74" s="76">
        <f t="shared" ref="P74:S74" ca="1" si="28">P49/P$38</f>
        <v>0.81047563975090209</v>
      </c>
      <c r="Q74" s="77">
        <f t="shared" ca="1" si="28"/>
        <v>0.81713406159644553</v>
      </c>
      <c r="R74" s="76">
        <f t="shared" ca="1" si="28"/>
        <v>0.74732784390845719</v>
      </c>
      <c r="S74" s="76">
        <f t="shared" ca="1" si="28"/>
        <v>0.76976748744572432</v>
      </c>
    </row>
    <row r="75" spans="14:19" ht="12.75" x14ac:dyDescent="0.2">
      <c r="N75" s="50" t="s">
        <v>24</v>
      </c>
      <c r="O75" s="51"/>
      <c r="P75" s="76">
        <f t="shared" ref="P75:S75" ca="1" si="29">P50/P$38</f>
        <v>1.0263156799265778E-2</v>
      </c>
      <c r="Q75" s="77">
        <f t="shared" ca="1" si="29"/>
        <v>-1.4689136441989838E-4</v>
      </c>
      <c r="R75" s="76">
        <f t="shared" ca="1" si="29"/>
        <v>6.8364458744105558E-2</v>
      </c>
      <c r="S75" s="76">
        <f t="shared" ca="1" si="29"/>
        <v>4.5525339332425106E-2</v>
      </c>
    </row>
    <row r="85" spans="6:6" ht="12.75" x14ac:dyDescent="0.2">
      <c r="F85" s="78"/>
    </row>
  </sheetData>
  <mergeCells count="3">
    <mergeCell ref="N2:S3"/>
    <mergeCell ref="N4:S5"/>
    <mergeCell ref="R7:S7"/>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7B7B7"/>
    <outlinePr summaryBelow="0" summaryRight="0"/>
  </sheetPr>
  <dimension ref="A1:K5075"/>
  <sheetViews>
    <sheetView workbookViewId="0"/>
  </sheetViews>
  <sheetFormatPr defaultColWidth="14.42578125" defaultRowHeight="15.75" customHeight="1" x14ac:dyDescent="0.2"/>
  <cols>
    <col min="1" max="1" width="35.42578125" customWidth="1"/>
    <col min="2" max="4" width="28.28515625" customWidth="1"/>
    <col min="7" max="7" width="54" customWidth="1"/>
  </cols>
  <sheetData>
    <row r="1" spans="1:10" ht="15.75" customHeight="1" x14ac:dyDescent="0.2">
      <c r="A1" s="21" t="s">
        <v>568</v>
      </c>
      <c r="B1" s="325" t="s">
        <v>569</v>
      </c>
      <c r="C1" s="325" t="s">
        <v>570</v>
      </c>
      <c r="D1" s="325" t="s">
        <v>571</v>
      </c>
    </row>
    <row r="2" spans="1:10" ht="15.75" customHeight="1" x14ac:dyDescent="0.2">
      <c r="B2" s="326"/>
      <c r="C2" s="327"/>
      <c r="D2" s="328"/>
      <c r="F2" s="329"/>
      <c r="I2" s="330"/>
      <c r="J2" s="330"/>
    </row>
    <row r="3" spans="1:10" ht="15.75" customHeight="1" x14ac:dyDescent="0.2">
      <c r="B3" s="326"/>
      <c r="C3" s="327"/>
      <c r="D3" s="328"/>
      <c r="F3" s="329"/>
      <c r="I3" s="330"/>
      <c r="J3" s="330"/>
    </row>
    <row r="4" spans="1:10" ht="15.75" customHeight="1" x14ac:dyDescent="0.2">
      <c r="B4" s="326"/>
      <c r="C4" s="327"/>
      <c r="D4" s="328"/>
      <c r="F4" s="329"/>
      <c r="I4" s="330"/>
      <c r="J4" s="330"/>
    </row>
    <row r="5" spans="1:10" ht="15.75" customHeight="1" x14ac:dyDescent="0.2">
      <c r="B5" s="331"/>
      <c r="C5" s="327"/>
      <c r="D5" s="331"/>
      <c r="F5" s="329"/>
      <c r="I5" s="330"/>
      <c r="J5" s="330"/>
    </row>
    <row r="6" spans="1:10" ht="15.75" customHeight="1" x14ac:dyDescent="0.2">
      <c r="B6" s="331"/>
      <c r="C6" s="327"/>
      <c r="D6" s="331"/>
      <c r="F6" s="329"/>
      <c r="I6" s="330"/>
      <c r="J6" s="330"/>
    </row>
    <row r="7" spans="1:10" ht="15.75" customHeight="1" x14ac:dyDescent="0.2">
      <c r="B7" s="331"/>
      <c r="C7" s="327"/>
      <c r="D7" s="331"/>
      <c r="F7" s="329"/>
      <c r="I7" s="330"/>
      <c r="J7" s="330"/>
    </row>
    <row r="8" spans="1:10" ht="15.75" customHeight="1" x14ac:dyDescent="0.2">
      <c r="B8" s="331"/>
      <c r="C8" s="327"/>
      <c r="D8" s="331"/>
      <c r="F8" s="329"/>
      <c r="I8" s="330"/>
      <c r="J8" s="330"/>
    </row>
    <row r="9" spans="1:10" ht="15.75" customHeight="1" x14ac:dyDescent="0.2">
      <c r="B9" s="331"/>
      <c r="C9" s="327"/>
      <c r="D9" s="331"/>
      <c r="F9" s="329"/>
      <c r="I9" s="330"/>
      <c r="J9" s="330"/>
    </row>
    <row r="10" spans="1:10" ht="15.75" customHeight="1" x14ac:dyDescent="0.2">
      <c r="B10" s="331"/>
      <c r="C10" s="327"/>
      <c r="D10" s="331"/>
      <c r="F10" s="329"/>
      <c r="I10" s="330"/>
      <c r="J10" s="330"/>
    </row>
    <row r="11" spans="1:10" ht="15.75" customHeight="1" x14ac:dyDescent="0.2">
      <c r="B11" s="331"/>
      <c r="C11" s="327"/>
      <c r="D11" s="331"/>
      <c r="F11" s="329"/>
      <c r="I11" s="330"/>
      <c r="J11" s="330"/>
    </row>
    <row r="12" spans="1:10" ht="15.75" customHeight="1" x14ac:dyDescent="0.2">
      <c r="B12" s="331"/>
      <c r="C12" s="327"/>
      <c r="D12" s="331"/>
      <c r="F12" s="329"/>
      <c r="I12" s="330"/>
      <c r="J12" s="330"/>
    </row>
    <row r="13" spans="1:10" ht="15.75" customHeight="1" x14ac:dyDescent="0.2">
      <c r="B13" s="331"/>
      <c r="C13" s="327"/>
      <c r="D13" s="331"/>
      <c r="F13" s="329"/>
      <c r="I13" s="330"/>
      <c r="J13" s="330"/>
    </row>
    <row r="14" spans="1:10" ht="15.75" customHeight="1" x14ac:dyDescent="0.2">
      <c r="B14" s="331"/>
      <c r="C14" s="327"/>
      <c r="D14" s="331"/>
      <c r="F14" s="329"/>
      <c r="I14" s="330"/>
      <c r="J14" s="330"/>
    </row>
    <row r="15" spans="1:10" ht="15.75" customHeight="1" x14ac:dyDescent="0.2">
      <c r="B15" s="331"/>
      <c r="C15" s="327"/>
      <c r="D15" s="331"/>
      <c r="F15" s="329"/>
      <c r="I15" s="330"/>
      <c r="J15" s="330"/>
    </row>
    <row r="16" spans="1:10" ht="15.75" customHeight="1" x14ac:dyDescent="0.2">
      <c r="B16" s="331"/>
      <c r="C16" s="327"/>
      <c r="D16" s="331"/>
      <c r="F16" s="329"/>
      <c r="I16" s="330"/>
      <c r="J16" s="330"/>
    </row>
    <row r="17" spans="2:10" ht="15.75" customHeight="1" x14ac:dyDescent="0.2">
      <c r="B17" s="331"/>
      <c r="C17" s="327"/>
      <c r="D17" s="331"/>
      <c r="F17" s="329"/>
      <c r="I17" s="330"/>
      <c r="J17" s="330"/>
    </row>
    <row r="18" spans="2:10" ht="15.75" customHeight="1" x14ac:dyDescent="0.2">
      <c r="B18" s="331"/>
      <c r="C18" s="327"/>
      <c r="D18" s="331"/>
      <c r="F18" s="329"/>
      <c r="I18" s="330"/>
      <c r="J18" s="330"/>
    </row>
    <row r="19" spans="2:10" ht="15.75" customHeight="1" x14ac:dyDescent="0.2">
      <c r="B19" s="331"/>
      <c r="C19" s="327"/>
      <c r="D19" s="331"/>
      <c r="F19" s="329"/>
      <c r="I19" s="330"/>
      <c r="J19" s="330"/>
    </row>
    <row r="20" spans="2:10" ht="15.75" customHeight="1" x14ac:dyDescent="0.2">
      <c r="B20" s="331"/>
      <c r="C20" s="327"/>
      <c r="D20" s="331"/>
      <c r="F20" s="329"/>
      <c r="I20" s="330"/>
      <c r="J20" s="330"/>
    </row>
    <row r="21" spans="2:10" ht="15.75" customHeight="1" x14ac:dyDescent="0.2">
      <c r="B21" s="331"/>
      <c r="C21" s="327"/>
      <c r="D21" s="331"/>
      <c r="F21" s="329"/>
      <c r="I21" s="330"/>
      <c r="J21" s="330"/>
    </row>
    <row r="22" spans="2:10" ht="15.75" customHeight="1" x14ac:dyDescent="0.2">
      <c r="B22" s="331"/>
      <c r="C22" s="327"/>
      <c r="D22" s="331"/>
      <c r="F22" s="329"/>
      <c r="I22" s="330"/>
      <c r="J22" s="330"/>
    </row>
    <row r="23" spans="2:10" ht="15.75" customHeight="1" x14ac:dyDescent="0.2">
      <c r="B23" s="331"/>
      <c r="C23" s="327"/>
      <c r="D23" s="331"/>
      <c r="F23" s="329"/>
      <c r="I23" s="330"/>
      <c r="J23" s="330"/>
    </row>
    <row r="24" spans="2:10" ht="15.75" customHeight="1" x14ac:dyDescent="0.2">
      <c r="B24" s="331"/>
      <c r="C24" s="327"/>
      <c r="D24" s="331"/>
      <c r="F24" s="329"/>
      <c r="I24" s="330"/>
      <c r="J24" s="330"/>
    </row>
    <row r="25" spans="2:10" ht="15.75" customHeight="1" x14ac:dyDescent="0.2">
      <c r="B25" s="331"/>
      <c r="C25" s="327"/>
      <c r="D25" s="331"/>
      <c r="F25" s="329"/>
      <c r="I25" s="330"/>
      <c r="J25" s="330"/>
    </row>
    <row r="26" spans="2:10" ht="15.75" customHeight="1" x14ac:dyDescent="0.2">
      <c r="B26" s="331"/>
      <c r="C26" s="327"/>
      <c r="D26" s="331"/>
      <c r="F26" s="329"/>
      <c r="I26" s="330"/>
      <c r="J26" s="330"/>
    </row>
    <row r="27" spans="2:10" ht="15.75" customHeight="1" x14ac:dyDescent="0.2">
      <c r="B27" s="331"/>
      <c r="C27" s="327"/>
      <c r="D27" s="331"/>
      <c r="F27" s="329"/>
      <c r="I27" s="330"/>
      <c r="J27" s="330"/>
    </row>
    <row r="28" spans="2:10" ht="15.75" customHeight="1" x14ac:dyDescent="0.2">
      <c r="B28" s="331"/>
      <c r="C28" s="327"/>
      <c r="D28" s="331"/>
      <c r="F28" s="329"/>
      <c r="I28" s="330"/>
      <c r="J28" s="330"/>
    </row>
    <row r="29" spans="2:10" ht="15.75" customHeight="1" x14ac:dyDescent="0.2">
      <c r="B29" s="331"/>
      <c r="C29" s="327"/>
      <c r="D29" s="331"/>
      <c r="F29" s="329"/>
      <c r="I29" s="330"/>
      <c r="J29" s="330"/>
    </row>
    <row r="30" spans="2:10" ht="15.75" customHeight="1" x14ac:dyDescent="0.2">
      <c r="B30" s="331"/>
      <c r="C30" s="327"/>
      <c r="D30" s="331"/>
      <c r="F30" s="329"/>
      <c r="I30" s="330"/>
      <c r="J30" s="330"/>
    </row>
    <row r="31" spans="2:10" ht="15.75" customHeight="1" x14ac:dyDescent="0.2">
      <c r="B31" s="331"/>
      <c r="C31" s="327"/>
      <c r="D31" s="331"/>
      <c r="F31" s="329"/>
      <c r="I31" s="330"/>
      <c r="J31" s="330"/>
    </row>
    <row r="32" spans="2:10" ht="15.75" customHeight="1" x14ac:dyDescent="0.2">
      <c r="B32" s="331"/>
      <c r="C32" s="327"/>
      <c r="D32" s="331"/>
      <c r="F32" s="329"/>
      <c r="I32" s="330"/>
      <c r="J32" s="330"/>
    </row>
    <row r="33" spans="2:10" ht="15.75" customHeight="1" x14ac:dyDescent="0.2">
      <c r="B33" s="331"/>
      <c r="C33" s="327"/>
      <c r="D33" s="331"/>
      <c r="F33" s="329"/>
      <c r="I33" s="330"/>
      <c r="J33" s="330"/>
    </row>
    <row r="34" spans="2:10" ht="15.75" customHeight="1" x14ac:dyDescent="0.2">
      <c r="B34" s="331"/>
      <c r="C34" s="327"/>
      <c r="D34" s="331"/>
      <c r="F34" s="329"/>
      <c r="I34" s="330"/>
      <c r="J34" s="330"/>
    </row>
    <row r="35" spans="2:10" ht="15.75" customHeight="1" x14ac:dyDescent="0.2">
      <c r="B35" s="331"/>
      <c r="C35" s="327"/>
      <c r="D35" s="331"/>
      <c r="F35" s="329"/>
      <c r="I35" s="330"/>
      <c r="J35" s="330"/>
    </row>
    <row r="36" spans="2:10" ht="15.75" customHeight="1" x14ac:dyDescent="0.2">
      <c r="B36" s="331"/>
      <c r="C36" s="327"/>
      <c r="D36" s="331"/>
      <c r="F36" s="329"/>
      <c r="I36" s="330"/>
      <c r="J36" s="330"/>
    </row>
    <row r="37" spans="2:10" ht="15.75" customHeight="1" x14ac:dyDescent="0.2">
      <c r="B37" s="331"/>
      <c r="C37" s="327"/>
      <c r="D37" s="331"/>
      <c r="F37" s="329"/>
      <c r="I37" s="330"/>
      <c r="J37" s="330"/>
    </row>
    <row r="38" spans="2:10" ht="15.75" customHeight="1" x14ac:dyDescent="0.2">
      <c r="B38" s="331"/>
      <c r="C38" s="327"/>
      <c r="D38" s="331"/>
      <c r="F38" s="329"/>
      <c r="I38" s="330"/>
      <c r="J38" s="330"/>
    </row>
    <row r="39" spans="2:10" ht="15.75" customHeight="1" x14ac:dyDescent="0.2">
      <c r="B39" s="331"/>
      <c r="C39" s="327"/>
      <c r="D39" s="331"/>
      <c r="F39" s="329"/>
      <c r="I39" s="330"/>
      <c r="J39" s="330"/>
    </row>
    <row r="40" spans="2:10" ht="15.75" customHeight="1" x14ac:dyDescent="0.2">
      <c r="B40" s="331"/>
      <c r="C40" s="327"/>
      <c r="D40" s="331"/>
      <c r="F40" s="329"/>
      <c r="I40" s="330"/>
      <c r="J40" s="330"/>
    </row>
    <row r="41" spans="2:10" ht="15.75" customHeight="1" x14ac:dyDescent="0.2">
      <c r="B41" s="331"/>
      <c r="C41" s="327"/>
      <c r="D41" s="331"/>
      <c r="F41" s="329"/>
      <c r="I41" s="330"/>
      <c r="J41" s="330"/>
    </row>
    <row r="42" spans="2:10" ht="15.75" customHeight="1" x14ac:dyDescent="0.2">
      <c r="B42" s="331"/>
      <c r="C42" s="327"/>
      <c r="D42" s="331"/>
      <c r="F42" s="329"/>
      <c r="I42" s="330"/>
      <c r="J42" s="330"/>
    </row>
    <row r="43" spans="2:10" ht="15.75" customHeight="1" x14ac:dyDescent="0.2">
      <c r="B43" s="331"/>
      <c r="C43" s="327"/>
      <c r="D43" s="331"/>
      <c r="F43" s="329"/>
      <c r="I43" s="330"/>
      <c r="J43" s="330"/>
    </row>
    <row r="44" spans="2:10" ht="15.75" customHeight="1" x14ac:dyDescent="0.2">
      <c r="B44" s="331"/>
      <c r="C44" s="327"/>
      <c r="D44" s="331"/>
      <c r="F44" s="329"/>
      <c r="I44" s="330"/>
      <c r="J44" s="330"/>
    </row>
    <row r="45" spans="2:10" ht="15.75" customHeight="1" x14ac:dyDescent="0.2">
      <c r="B45" s="331"/>
      <c r="C45" s="327"/>
      <c r="D45" s="331"/>
      <c r="F45" s="329"/>
      <c r="I45" s="330"/>
      <c r="J45" s="330"/>
    </row>
    <row r="46" spans="2:10" ht="15.75" customHeight="1" x14ac:dyDescent="0.2">
      <c r="B46" s="331"/>
      <c r="C46" s="327"/>
      <c r="D46" s="331"/>
      <c r="F46" s="329"/>
      <c r="I46" s="330"/>
      <c r="J46" s="330"/>
    </row>
    <row r="47" spans="2:10" ht="15.75" customHeight="1" x14ac:dyDescent="0.2">
      <c r="B47" s="331"/>
      <c r="C47" s="327"/>
      <c r="D47" s="331"/>
      <c r="F47" s="329"/>
      <c r="I47" s="330"/>
      <c r="J47" s="330"/>
    </row>
    <row r="48" spans="2:10" ht="15.75" customHeight="1" x14ac:dyDescent="0.2">
      <c r="B48" s="331"/>
      <c r="C48" s="327"/>
      <c r="D48" s="331"/>
      <c r="F48" s="329"/>
      <c r="I48" s="330"/>
      <c r="J48" s="330"/>
    </row>
    <row r="49" spans="2:10" ht="15.75" customHeight="1" x14ac:dyDescent="0.2">
      <c r="B49" s="331"/>
      <c r="C49" s="327"/>
      <c r="D49" s="331"/>
      <c r="F49" s="329"/>
      <c r="I49" s="330"/>
      <c r="J49" s="330"/>
    </row>
    <row r="50" spans="2:10" ht="15.75" customHeight="1" x14ac:dyDescent="0.2">
      <c r="B50" s="331"/>
      <c r="C50" s="327"/>
      <c r="D50" s="331"/>
      <c r="F50" s="329"/>
      <c r="I50" s="330"/>
      <c r="J50" s="330"/>
    </row>
    <row r="51" spans="2:10" ht="15.75" customHeight="1" x14ac:dyDescent="0.2">
      <c r="B51" s="331"/>
      <c r="C51" s="327"/>
      <c r="D51" s="331"/>
      <c r="F51" s="329"/>
      <c r="I51" s="330"/>
      <c r="J51" s="330"/>
    </row>
    <row r="52" spans="2:10" ht="15.75" customHeight="1" x14ac:dyDescent="0.2">
      <c r="B52" s="331"/>
      <c r="C52" s="327"/>
      <c r="D52" s="331"/>
      <c r="F52" s="329"/>
      <c r="I52" s="330"/>
      <c r="J52" s="330"/>
    </row>
    <row r="53" spans="2:10" ht="12.75" x14ac:dyDescent="0.2">
      <c r="B53" s="331"/>
      <c r="C53" s="327"/>
      <c r="D53" s="331"/>
      <c r="F53" s="329"/>
      <c r="I53" s="330"/>
      <c r="J53" s="330"/>
    </row>
    <row r="54" spans="2:10" ht="12.75" x14ac:dyDescent="0.2">
      <c r="B54" s="331"/>
      <c r="C54" s="327"/>
      <c r="D54" s="331"/>
      <c r="F54" s="329"/>
      <c r="I54" s="330"/>
      <c r="J54" s="330"/>
    </row>
    <row r="55" spans="2:10" ht="12.75" x14ac:dyDescent="0.2">
      <c r="B55" s="331"/>
      <c r="C55" s="327"/>
      <c r="D55" s="331"/>
      <c r="F55" s="329"/>
      <c r="I55" s="330"/>
      <c r="J55" s="330"/>
    </row>
    <row r="56" spans="2:10" ht="12.75" x14ac:dyDescent="0.2">
      <c r="B56" s="331"/>
      <c r="C56" s="327"/>
      <c r="D56" s="331"/>
      <c r="F56" s="329"/>
      <c r="I56" s="330"/>
      <c r="J56" s="330"/>
    </row>
    <row r="57" spans="2:10" ht="12.75" x14ac:dyDescent="0.2">
      <c r="B57" s="331"/>
      <c r="C57" s="327"/>
      <c r="D57" s="331"/>
      <c r="F57" s="329"/>
      <c r="I57" s="330"/>
      <c r="J57" s="330"/>
    </row>
    <row r="58" spans="2:10" ht="12.75" x14ac:dyDescent="0.2">
      <c r="B58" s="331"/>
      <c r="C58" s="327"/>
      <c r="D58" s="331"/>
      <c r="F58" s="329"/>
      <c r="I58" s="330"/>
      <c r="J58" s="330"/>
    </row>
    <row r="59" spans="2:10" ht="12.75" x14ac:dyDescent="0.2">
      <c r="B59" s="331"/>
      <c r="C59" s="327"/>
      <c r="D59" s="331"/>
      <c r="F59" s="329"/>
      <c r="I59" s="330"/>
      <c r="J59" s="330"/>
    </row>
    <row r="60" spans="2:10" ht="12.75" x14ac:dyDescent="0.2">
      <c r="B60" s="331"/>
      <c r="C60" s="327"/>
      <c r="D60" s="331"/>
      <c r="F60" s="329"/>
      <c r="I60" s="330"/>
      <c r="J60" s="330"/>
    </row>
    <row r="61" spans="2:10" ht="12.75" x14ac:dyDescent="0.2">
      <c r="B61" s="331"/>
      <c r="C61" s="327"/>
      <c r="D61" s="331"/>
      <c r="F61" s="329"/>
      <c r="I61" s="330"/>
      <c r="J61" s="330"/>
    </row>
    <row r="62" spans="2:10" ht="12.75" x14ac:dyDescent="0.2">
      <c r="B62" s="331"/>
      <c r="C62" s="327"/>
      <c r="D62" s="331"/>
      <c r="F62" s="329"/>
      <c r="I62" s="330"/>
      <c r="J62" s="330"/>
    </row>
    <row r="63" spans="2:10" ht="12.75" x14ac:dyDescent="0.2">
      <c r="B63" s="331"/>
      <c r="C63" s="327"/>
      <c r="D63" s="331"/>
      <c r="F63" s="329"/>
      <c r="I63" s="330"/>
      <c r="J63" s="330"/>
    </row>
    <row r="64" spans="2:10" ht="12.75" x14ac:dyDescent="0.2">
      <c r="B64" s="331"/>
      <c r="C64" s="327"/>
      <c r="D64" s="331"/>
      <c r="F64" s="329"/>
      <c r="I64" s="330"/>
      <c r="J64" s="330"/>
    </row>
    <row r="65" spans="2:10" ht="12.75" x14ac:dyDescent="0.2">
      <c r="B65" s="331"/>
      <c r="C65" s="327"/>
      <c r="D65" s="331"/>
      <c r="F65" s="329"/>
      <c r="I65" s="330"/>
      <c r="J65" s="330"/>
    </row>
    <row r="66" spans="2:10" ht="12.75" x14ac:dyDescent="0.2">
      <c r="B66" s="331"/>
      <c r="C66" s="327"/>
      <c r="D66" s="331"/>
      <c r="F66" s="329"/>
      <c r="I66" s="330"/>
      <c r="J66" s="330"/>
    </row>
    <row r="67" spans="2:10" ht="12.75" x14ac:dyDescent="0.2">
      <c r="B67" s="331"/>
      <c r="C67" s="327"/>
      <c r="D67" s="331"/>
      <c r="F67" s="329"/>
      <c r="I67" s="330"/>
      <c r="J67" s="330"/>
    </row>
    <row r="68" spans="2:10" ht="12.75" x14ac:dyDescent="0.2">
      <c r="B68" s="331"/>
      <c r="C68" s="327"/>
      <c r="D68" s="331"/>
      <c r="F68" s="329"/>
      <c r="I68" s="330"/>
      <c r="J68" s="330"/>
    </row>
    <row r="69" spans="2:10" ht="12.75" x14ac:dyDescent="0.2">
      <c r="B69" s="331"/>
      <c r="C69" s="327"/>
      <c r="D69" s="331"/>
      <c r="F69" s="329"/>
      <c r="I69" s="330"/>
      <c r="J69" s="330"/>
    </row>
    <row r="70" spans="2:10" ht="12.75" x14ac:dyDescent="0.2">
      <c r="B70" s="331"/>
      <c r="C70" s="327"/>
      <c r="D70" s="331"/>
      <c r="F70" s="329"/>
      <c r="I70" s="330"/>
      <c r="J70" s="330"/>
    </row>
    <row r="71" spans="2:10" ht="12.75" x14ac:dyDescent="0.2">
      <c r="B71" s="331"/>
      <c r="C71" s="327"/>
      <c r="D71" s="331"/>
      <c r="F71" s="329"/>
      <c r="I71" s="330"/>
      <c r="J71" s="330"/>
    </row>
    <row r="72" spans="2:10" ht="12.75" x14ac:dyDescent="0.2">
      <c r="B72" s="331"/>
      <c r="C72" s="327"/>
      <c r="D72" s="331"/>
      <c r="F72" s="329"/>
      <c r="I72" s="330"/>
      <c r="J72" s="330"/>
    </row>
    <row r="73" spans="2:10" ht="12.75" x14ac:dyDescent="0.2">
      <c r="B73" s="331"/>
      <c r="C73" s="327"/>
      <c r="D73" s="331"/>
      <c r="F73" s="329"/>
      <c r="I73" s="330"/>
      <c r="J73" s="330"/>
    </row>
    <row r="74" spans="2:10" ht="12.75" x14ac:dyDescent="0.2">
      <c r="B74" s="331"/>
      <c r="C74" s="327"/>
      <c r="D74" s="331"/>
      <c r="F74" s="329"/>
      <c r="I74" s="330"/>
      <c r="J74" s="330"/>
    </row>
    <row r="75" spans="2:10" ht="12.75" x14ac:dyDescent="0.2">
      <c r="B75" s="331"/>
      <c r="C75" s="327"/>
      <c r="D75" s="331"/>
      <c r="F75" s="329"/>
      <c r="I75" s="330"/>
      <c r="J75" s="330"/>
    </row>
    <row r="76" spans="2:10" ht="12.75" x14ac:dyDescent="0.2">
      <c r="B76" s="331"/>
      <c r="C76" s="327"/>
      <c r="D76" s="331"/>
      <c r="F76" s="329"/>
      <c r="I76" s="330"/>
      <c r="J76" s="330"/>
    </row>
    <row r="77" spans="2:10" ht="12.75" x14ac:dyDescent="0.2">
      <c r="B77" s="331"/>
      <c r="C77" s="327"/>
      <c r="D77" s="331"/>
      <c r="F77" s="329"/>
      <c r="I77" s="330"/>
      <c r="J77" s="330"/>
    </row>
    <row r="78" spans="2:10" ht="12.75" x14ac:dyDescent="0.2">
      <c r="B78" s="331"/>
      <c r="C78" s="327"/>
      <c r="D78" s="331"/>
      <c r="F78" s="329"/>
      <c r="I78" s="330"/>
      <c r="J78" s="330"/>
    </row>
    <row r="79" spans="2:10" ht="12.75" x14ac:dyDescent="0.2">
      <c r="B79" s="331"/>
      <c r="C79" s="327"/>
      <c r="D79" s="331"/>
      <c r="F79" s="329"/>
      <c r="I79" s="330"/>
      <c r="J79" s="330"/>
    </row>
    <row r="80" spans="2:10" ht="12.75" x14ac:dyDescent="0.2">
      <c r="B80" s="331"/>
      <c r="C80" s="327"/>
      <c r="D80" s="331"/>
      <c r="F80" s="329"/>
      <c r="I80" s="330"/>
      <c r="J80" s="330"/>
    </row>
    <row r="81" spans="2:10" ht="12.75" x14ac:dyDescent="0.2">
      <c r="B81" s="331"/>
      <c r="C81" s="327"/>
      <c r="D81" s="331"/>
      <c r="F81" s="329"/>
      <c r="I81" s="330"/>
      <c r="J81" s="330"/>
    </row>
    <row r="82" spans="2:10" ht="12.75" x14ac:dyDescent="0.2">
      <c r="B82" s="331"/>
      <c r="C82" s="327"/>
      <c r="D82" s="331"/>
      <c r="F82" s="329"/>
      <c r="I82" s="330"/>
      <c r="J82" s="330"/>
    </row>
    <row r="83" spans="2:10" ht="12.75" x14ac:dyDescent="0.2">
      <c r="B83" s="331"/>
      <c r="C83" s="327"/>
      <c r="D83" s="331"/>
      <c r="F83" s="329"/>
      <c r="I83" s="330"/>
      <c r="J83" s="330"/>
    </row>
    <row r="84" spans="2:10" ht="12.75" x14ac:dyDescent="0.2">
      <c r="B84" s="331"/>
      <c r="C84" s="327"/>
      <c r="D84" s="331"/>
      <c r="F84" s="329"/>
      <c r="I84" s="330"/>
      <c r="J84" s="330"/>
    </row>
    <row r="85" spans="2:10" ht="12.75" x14ac:dyDescent="0.2">
      <c r="B85" s="331"/>
      <c r="C85" s="327"/>
      <c r="D85" s="331"/>
      <c r="F85" s="329"/>
      <c r="I85" s="330"/>
      <c r="J85" s="330"/>
    </row>
    <row r="86" spans="2:10" ht="12.75" x14ac:dyDescent="0.2">
      <c r="B86" s="331"/>
      <c r="C86" s="327"/>
      <c r="D86" s="331"/>
      <c r="F86" s="329"/>
      <c r="I86" s="330"/>
      <c r="J86" s="330"/>
    </row>
    <row r="87" spans="2:10" ht="12.75" x14ac:dyDescent="0.2">
      <c r="B87" s="331"/>
      <c r="C87" s="327"/>
      <c r="D87" s="331"/>
      <c r="F87" s="329"/>
      <c r="I87" s="330"/>
      <c r="J87" s="330"/>
    </row>
    <row r="88" spans="2:10" ht="12.75" x14ac:dyDescent="0.2">
      <c r="B88" s="331"/>
      <c r="C88" s="327"/>
      <c r="D88" s="331"/>
      <c r="F88" s="329"/>
      <c r="I88" s="330"/>
      <c r="J88" s="330"/>
    </row>
    <row r="89" spans="2:10" ht="12.75" x14ac:dyDescent="0.2">
      <c r="B89" s="331"/>
      <c r="C89" s="327"/>
      <c r="D89" s="331"/>
      <c r="F89" s="329"/>
      <c r="I89" s="330"/>
      <c r="J89" s="330"/>
    </row>
    <row r="90" spans="2:10" ht="12.75" x14ac:dyDescent="0.2">
      <c r="B90" s="331"/>
      <c r="C90" s="327"/>
      <c r="D90" s="331"/>
      <c r="F90" s="329"/>
      <c r="I90" s="330"/>
      <c r="J90" s="330"/>
    </row>
    <row r="91" spans="2:10" ht="12.75" x14ac:dyDescent="0.2">
      <c r="B91" s="331"/>
      <c r="C91" s="327"/>
      <c r="D91" s="331"/>
      <c r="F91" s="329"/>
      <c r="I91" s="330"/>
      <c r="J91" s="330"/>
    </row>
    <row r="92" spans="2:10" ht="12.75" x14ac:dyDescent="0.2">
      <c r="B92" s="331"/>
      <c r="C92" s="327"/>
      <c r="D92" s="331"/>
      <c r="F92" s="329"/>
      <c r="I92" s="330"/>
      <c r="J92" s="330"/>
    </row>
    <row r="93" spans="2:10" ht="12.75" x14ac:dyDescent="0.2">
      <c r="B93" s="331"/>
      <c r="C93" s="327"/>
      <c r="D93" s="331"/>
      <c r="F93" s="329"/>
      <c r="I93" s="330"/>
      <c r="J93" s="330"/>
    </row>
    <row r="94" spans="2:10" ht="12.75" x14ac:dyDescent="0.2">
      <c r="B94" s="331"/>
      <c r="C94" s="327"/>
      <c r="D94" s="331"/>
      <c r="F94" s="329"/>
      <c r="I94" s="330"/>
      <c r="J94" s="330"/>
    </row>
    <row r="95" spans="2:10" ht="12.75" x14ac:dyDescent="0.2">
      <c r="B95" s="331"/>
      <c r="C95" s="327"/>
      <c r="D95" s="331"/>
      <c r="F95" s="329"/>
      <c r="I95" s="330"/>
      <c r="J95" s="330"/>
    </row>
    <row r="96" spans="2:10" ht="12.75" x14ac:dyDescent="0.2">
      <c r="B96" s="331"/>
      <c r="C96" s="327"/>
      <c r="D96" s="331"/>
      <c r="F96" s="329"/>
      <c r="I96" s="330"/>
      <c r="J96" s="330"/>
    </row>
    <row r="97" spans="2:10" ht="12.75" x14ac:dyDescent="0.2">
      <c r="B97" s="331"/>
      <c r="C97" s="327"/>
      <c r="D97" s="331"/>
      <c r="F97" s="329"/>
      <c r="I97" s="330"/>
      <c r="J97" s="330"/>
    </row>
    <row r="98" spans="2:10" ht="12.75" x14ac:dyDescent="0.2">
      <c r="B98" s="331"/>
      <c r="C98" s="327"/>
      <c r="D98" s="331"/>
      <c r="F98" s="329"/>
      <c r="I98" s="330"/>
      <c r="J98" s="330"/>
    </row>
    <row r="99" spans="2:10" ht="12.75" x14ac:dyDescent="0.2">
      <c r="B99" s="331"/>
      <c r="C99" s="327"/>
      <c r="D99" s="331"/>
      <c r="F99" s="329"/>
      <c r="I99" s="330"/>
      <c r="J99" s="330"/>
    </row>
    <row r="100" spans="2:10" ht="12.75" x14ac:dyDescent="0.2">
      <c r="B100" s="331"/>
      <c r="C100" s="327"/>
      <c r="D100" s="331"/>
      <c r="F100" s="329"/>
      <c r="I100" s="330"/>
      <c r="J100" s="330"/>
    </row>
    <row r="101" spans="2:10" ht="12.75" x14ac:dyDescent="0.2">
      <c r="B101" s="331"/>
      <c r="C101" s="327"/>
      <c r="D101" s="331"/>
      <c r="F101" s="329"/>
      <c r="I101" s="330"/>
      <c r="J101" s="330"/>
    </row>
    <row r="102" spans="2:10" ht="12.75" x14ac:dyDescent="0.2">
      <c r="B102" s="331"/>
      <c r="C102" s="327"/>
      <c r="D102" s="331"/>
      <c r="F102" s="329"/>
      <c r="I102" s="330"/>
      <c r="J102" s="330"/>
    </row>
    <row r="103" spans="2:10" ht="12.75" x14ac:dyDescent="0.2">
      <c r="B103" s="331"/>
      <c r="C103" s="327"/>
      <c r="D103" s="331"/>
      <c r="F103" s="329"/>
      <c r="I103" s="330"/>
      <c r="J103" s="330"/>
    </row>
    <row r="104" spans="2:10" ht="12.75" x14ac:dyDescent="0.2">
      <c r="B104" s="331"/>
      <c r="C104" s="327"/>
      <c r="D104" s="331"/>
      <c r="F104" s="329"/>
      <c r="I104" s="330"/>
      <c r="J104" s="330"/>
    </row>
    <row r="105" spans="2:10" ht="12.75" x14ac:dyDescent="0.2">
      <c r="B105" s="331"/>
      <c r="C105" s="327"/>
      <c r="D105" s="331"/>
      <c r="F105" s="329"/>
      <c r="I105" s="330"/>
      <c r="J105" s="330"/>
    </row>
    <row r="106" spans="2:10" ht="12.75" x14ac:dyDescent="0.2">
      <c r="B106" s="331"/>
      <c r="C106" s="327"/>
      <c r="D106" s="331"/>
      <c r="F106" s="329"/>
      <c r="I106" s="330"/>
      <c r="J106" s="330"/>
    </row>
    <row r="107" spans="2:10" ht="12.75" x14ac:dyDescent="0.2">
      <c r="B107" s="331"/>
      <c r="C107" s="327"/>
      <c r="D107" s="331"/>
      <c r="F107" s="329"/>
      <c r="I107" s="330"/>
      <c r="J107" s="330"/>
    </row>
    <row r="108" spans="2:10" ht="12.75" x14ac:dyDescent="0.2">
      <c r="B108" s="331"/>
      <c r="C108" s="327"/>
      <c r="D108" s="331"/>
      <c r="F108" s="329"/>
      <c r="I108" s="330"/>
      <c r="J108" s="330"/>
    </row>
    <row r="109" spans="2:10" ht="12.75" x14ac:dyDescent="0.2">
      <c r="B109" s="331"/>
      <c r="C109" s="327"/>
      <c r="D109" s="331"/>
      <c r="F109" s="329"/>
      <c r="I109" s="330"/>
      <c r="J109" s="330"/>
    </row>
    <row r="110" spans="2:10" ht="12.75" x14ac:dyDescent="0.2">
      <c r="B110" s="331"/>
      <c r="C110" s="327"/>
      <c r="D110" s="331"/>
      <c r="F110" s="329"/>
      <c r="I110" s="330"/>
      <c r="J110" s="330"/>
    </row>
    <row r="111" spans="2:10" ht="12.75" x14ac:dyDescent="0.2">
      <c r="B111" s="331"/>
      <c r="C111" s="327"/>
      <c r="D111" s="331"/>
      <c r="F111" s="329"/>
      <c r="I111" s="330"/>
      <c r="J111" s="330"/>
    </row>
    <row r="112" spans="2:10" ht="12.75" x14ac:dyDescent="0.2">
      <c r="B112" s="331"/>
      <c r="C112" s="327"/>
      <c r="D112" s="331"/>
      <c r="F112" s="329"/>
      <c r="I112" s="330"/>
      <c r="J112" s="330"/>
    </row>
    <row r="113" spans="2:10" ht="12.75" x14ac:dyDescent="0.2">
      <c r="B113" s="331"/>
      <c r="C113" s="327"/>
      <c r="D113" s="331"/>
      <c r="F113" s="329"/>
      <c r="I113" s="330"/>
      <c r="J113" s="330"/>
    </row>
    <row r="114" spans="2:10" ht="12.75" x14ac:dyDescent="0.2">
      <c r="B114" s="331"/>
      <c r="C114" s="327"/>
      <c r="D114" s="331"/>
      <c r="F114" s="329"/>
      <c r="I114" s="330"/>
      <c r="J114" s="330"/>
    </row>
    <row r="115" spans="2:10" ht="12.75" x14ac:dyDescent="0.2">
      <c r="B115" s="331"/>
      <c r="C115" s="327"/>
      <c r="D115" s="331"/>
      <c r="F115" s="329"/>
      <c r="I115" s="330"/>
      <c r="J115" s="330"/>
    </row>
    <row r="116" spans="2:10" ht="12.75" x14ac:dyDescent="0.2">
      <c r="B116" s="331"/>
      <c r="C116" s="327"/>
      <c r="D116" s="331"/>
      <c r="F116" s="329"/>
      <c r="I116" s="330"/>
      <c r="J116" s="330"/>
    </row>
    <row r="117" spans="2:10" ht="12.75" x14ac:dyDescent="0.2">
      <c r="B117" s="331"/>
      <c r="C117" s="327"/>
      <c r="D117" s="331"/>
      <c r="F117" s="329"/>
      <c r="I117" s="330"/>
      <c r="J117" s="330"/>
    </row>
    <row r="118" spans="2:10" ht="12.75" x14ac:dyDescent="0.2">
      <c r="B118" s="331"/>
      <c r="C118" s="327"/>
      <c r="D118" s="331"/>
      <c r="F118" s="329"/>
      <c r="I118" s="330"/>
      <c r="J118" s="330"/>
    </row>
    <row r="119" spans="2:10" ht="12.75" x14ac:dyDescent="0.2">
      <c r="B119" s="331"/>
      <c r="C119" s="327"/>
      <c r="D119" s="331"/>
      <c r="F119" s="329"/>
      <c r="I119" s="330"/>
      <c r="J119" s="330"/>
    </row>
    <row r="120" spans="2:10" ht="12.75" x14ac:dyDescent="0.2">
      <c r="B120" s="331"/>
      <c r="C120" s="327"/>
      <c r="D120" s="331"/>
      <c r="F120" s="329"/>
      <c r="I120" s="330"/>
      <c r="J120" s="330"/>
    </row>
    <row r="121" spans="2:10" ht="12.75" x14ac:dyDescent="0.2">
      <c r="B121" s="331"/>
      <c r="C121" s="327"/>
      <c r="D121" s="331"/>
      <c r="F121" s="329"/>
      <c r="I121" s="330"/>
      <c r="J121" s="330"/>
    </row>
    <row r="122" spans="2:10" ht="12.75" x14ac:dyDescent="0.2">
      <c r="B122" s="331"/>
      <c r="C122" s="327"/>
      <c r="D122" s="331"/>
      <c r="F122" s="329"/>
      <c r="I122" s="330"/>
      <c r="J122" s="330"/>
    </row>
    <row r="123" spans="2:10" ht="12.75" x14ac:dyDescent="0.2">
      <c r="B123" s="331"/>
      <c r="C123" s="327"/>
      <c r="D123" s="331"/>
      <c r="F123" s="329"/>
      <c r="I123" s="330"/>
      <c r="J123" s="330"/>
    </row>
    <row r="124" spans="2:10" ht="12.75" x14ac:dyDescent="0.2">
      <c r="B124" s="331"/>
      <c r="C124" s="327"/>
      <c r="D124" s="331"/>
      <c r="F124" s="329"/>
      <c r="I124" s="330"/>
      <c r="J124" s="330"/>
    </row>
    <row r="125" spans="2:10" ht="12.75" x14ac:dyDescent="0.2">
      <c r="B125" s="331"/>
      <c r="C125" s="327"/>
      <c r="D125" s="331"/>
      <c r="F125" s="329"/>
      <c r="I125" s="330"/>
      <c r="J125" s="330"/>
    </row>
    <row r="126" spans="2:10" ht="12.75" x14ac:dyDescent="0.2">
      <c r="B126" s="331"/>
      <c r="C126" s="327"/>
      <c r="D126" s="331"/>
      <c r="F126" s="329"/>
      <c r="I126" s="330"/>
      <c r="J126" s="330"/>
    </row>
    <row r="127" spans="2:10" ht="12.75" x14ac:dyDescent="0.2">
      <c r="B127" s="331"/>
      <c r="C127" s="327"/>
      <c r="D127" s="331"/>
      <c r="F127" s="329"/>
      <c r="I127" s="330"/>
      <c r="J127" s="330"/>
    </row>
    <row r="128" spans="2:10" ht="12.75" x14ac:dyDescent="0.2">
      <c r="B128" s="331"/>
      <c r="C128" s="327"/>
      <c r="D128" s="331"/>
      <c r="F128" s="329"/>
      <c r="I128" s="330"/>
      <c r="J128" s="330"/>
    </row>
    <row r="129" spans="2:10" ht="12.75" x14ac:dyDescent="0.2">
      <c r="B129" s="331"/>
      <c r="C129" s="327"/>
      <c r="D129" s="331"/>
      <c r="F129" s="329"/>
      <c r="I129" s="330"/>
      <c r="J129" s="330"/>
    </row>
    <row r="130" spans="2:10" ht="12.75" x14ac:dyDescent="0.2">
      <c r="B130" s="331"/>
      <c r="C130" s="327"/>
      <c r="D130" s="331"/>
      <c r="F130" s="329"/>
      <c r="I130" s="330"/>
      <c r="J130" s="330"/>
    </row>
    <row r="131" spans="2:10" ht="12.75" x14ac:dyDescent="0.2">
      <c r="B131" s="331"/>
      <c r="C131" s="327"/>
      <c r="D131" s="331"/>
      <c r="F131" s="329"/>
      <c r="I131" s="330"/>
      <c r="J131" s="330"/>
    </row>
    <row r="132" spans="2:10" ht="12.75" x14ac:dyDescent="0.2">
      <c r="B132" s="331"/>
      <c r="C132" s="327"/>
      <c r="D132" s="331"/>
      <c r="F132" s="329"/>
      <c r="I132" s="330"/>
      <c r="J132" s="330"/>
    </row>
    <row r="133" spans="2:10" ht="12.75" x14ac:dyDescent="0.2">
      <c r="B133" s="331"/>
      <c r="C133" s="327"/>
      <c r="D133" s="331"/>
      <c r="F133" s="329"/>
      <c r="I133" s="330"/>
      <c r="J133" s="330"/>
    </row>
    <row r="134" spans="2:10" ht="12.75" x14ac:dyDescent="0.2">
      <c r="B134" s="331"/>
      <c r="C134" s="327"/>
      <c r="D134" s="331"/>
      <c r="F134" s="329"/>
      <c r="I134" s="330"/>
      <c r="J134" s="330"/>
    </row>
    <row r="135" spans="2:10" ht="12.75" x14ac:dyDescent="0.2">
      <c r="B135" s="331"/>
      <c r="C135" s="327"/>
      <c r="D135" s="331"/>
      <c r="F135" s="329"/>
      <c r="I135" s="330"/>
      <c r="J135" s="330"/>
    </row>
    <row r="136" spans="2:10" ht="12.75" x14ac:dyDescent="0.2">
      <c r="B136" s="331"/>
      <c r="C136" s="327"/>
      <c r="D136" s="331"/>
      <c r="F136" s="329"/>
      <c r="I136" s="330"/>
      <c r="J136" s="330"/>
    </row>
    <row r="137" spans="2:10" ht="12.75" x14ac:dyDescent="0.2">
      <c r="B137" s="331"/>
      <c r="C137" s="327"/>
      <c r="D137" s="331"/>
      <c r="F137" s="329"/>
      <c r="I137" s="330"/>
      <c r="J137" s="330"/>
    </row>
    <row r="138" spans="2:10" ht="12.75" x14ac:dyDescent="0.2">
      <c r="B138" s="331"/>
      <c r="C138" s="327"/>
      <c r="D138" s="331"/>
      <c r="F138" s="329"/>
      <c r="I138" s="330"/>
      <c r="J138" s="330"/>
    </row>
    <row r="139" spans="2:10" ht="12.75" x14ac:dyDescent="0.2">
      <c r="B139" s="331"/>
      <c r="C139" s="327"/>
      <c r="D139" s="331"/>
      <c r="F139" s="329"/>
      <c r="I139" s="330"/>
      <c r="J139" s="330"/>
    </row>
    <row r="140" spans="2:10" ht="12.75" x14ac:dyDescent="0.2">
      <c r="B140" s="331"/>
      <c r="C140" s="327"/>
      <c r="D140" s="331"/>
      <c r="F140" s="329"/>
      <c r="I140" s="330"/>
      <c r="J140" s="330"/>
    </row>
    <row r="141" spans="2:10" ht="12.75" x14ac:dyDescent="0.2">
      <c r="B141" s="331"/>
      <c r="C141" s="327"/>
      <c r="D141" s="331"/>
      <c r="F141" s="329"/>
      <c r="I141" s="330"/>
      <c r="J141" s="330"/>
    </row>
    <row r="142" spans="2:10" ht="12.75" x14ac:dyDescent="0.2">
      <c r="B142" s="331"/>
      <c r="C142" s="327"/>
      <c r="D142" s="331"/>
      <c r="F142" s="329"/>
      <c r="I142" s="330"/>
      <c r="J142" s="330"/>
    </row>
    <row r="143" spans="2:10" ht="12.75" x14ac:dyDescent="0.2">
      <c r="B143" s="331"/>
      <c r="C143" s="327"/>
      <c r="D143" s="331"/>
      <c r="F143" s="329"/>
      <c r="I143" s="330"/>
      <c r="J143" s="330"/>
    </row>
    <row r="144" spans="2:10" ht="12.75" x14ac:dyDescent="0.2">
      <c r="B144" s="331"/>
      <c r="C144" s="327"/>
      <c r="D144" s="331"/>
      <c r="F144" s="329"/>
      <c r="I144" s="330"/>
      <c r="J144" s="330"/>
    </row>
    <row r="145" spans="2:10" ht="12.75" x14ac:dyDescent="0.2">
      <c r="B145" s="331"/>
      <c r="C145" s="327"/>
      <c r="D145" s="331"/>
      <c r="F145" s="329"/>
      <c r="I145" s="330"/>
      <c r="J145" s="330"/>
    </row>
    <row r="146" spans="2:10" ht="12.75" x14ac:dyDescent="0.2">
      <c r="B146" s="331"/>
      <c r="C146" s="327"/>
      <c r="D146" s="331"/>
      <c r="F146" s="329"/>
      <c r="I146" s="330"/>
      <c r="J146" s="330"/>
    </row>
    <row r="147" spans="2:10" ht="12.75" x14ac:dyDescent="0.2">
      <c r="B147" s="331"/>
      <c r="C147" s="327"/>
      <c r="D147" s="331"/>
      <c r="F147" s="329"/>
      <c r="I147" s="330"/>
      <c r="J147" s="330"/>
    </row>
    <row r="148" spans="2:10" ht="12.75" x14ac:dyDescent="0.2">
      <c r="B148" s="331"/>
      <c r="C148" s="327"/>
      <c r="D148" s="331"/>
      <c r="F148" s="329"/>
      <c r="I148" s="330"/>
      <c r="J148" s="330"/>
    </row>
    <row r="149" spans="2:10" ht="12.75" x14ac:dyDescent="0.2">
      <c r="B149" s="331"/>
      <c r="C149" s="327"/>
      <c r="D149" s="331"/>
      <c r="F149" s="329"/>
      <c r="I149" s="330"/>
      <c r="J149" s="330"/>
    </row>
    <row r="150" spans="2:10" ht="12.75" x14ac:dyDescent="0.2">
      <c r="B150" s="331"/>
      <c r="C150" s="327"/>
      <c r="D150" s="331"/>
      <c r="F150" s="329"/>
      <c r="I150" s="330"/>
      <c r="J150" s="330"/>
    </row>
    <row r="151" spans="2:10" ht="12.75" x14ac:dyDescent="0.2">
      <c r="B151" s="331"/>
      <c r="C151" s="327"/>
      <c r="D151" s="331"/>
      <c r="F151" s="329"/>
      <c r="I151" s="330"/>
      <c r="J151" s="330"/>
    </row>
    <row r="152" spans="2:10" ht="12.75" x14ac:dyDescent="0.2">
      <c r="B152" s="331"/>
      <c r="C152" s="327"/>
      <c r="D152" s="331"/>
      <c r="F152" s="329"/>
      <c r="I152" s="330"/>
      <c r="J152" s="330"/>
    </row>
    <row r="153" spans="2:10" ht="12.75" x14ac:dyDescent="0.2">
      <c r="B153" s="331"/>
      <c r="C153" s="327"/>
      <c r="D153" s="331"/>
      <c r="F153" s="329"/>
      <c r="I153" s="330"/>
      <c r="J153" s="330"/>
    </row>
    <row r="154" spans="2:10" ht="12.75" x14ac:dyDescent="0.2">
      <c r="B154" s="331"/>
      <c r="C154" s="327"/>
      <c r="D154" s="331"/>
      <c r="F154" s="329"/>
      <c r="I154" s="330"/>
      <c r="J154" s="330"/>
    </row>
    <row r="155" spans="2:10" ht="12.75" x14ac:dyDescent="0.2">
      <c r="B155" s="331"/>
      <c r="C155" s="327"/>
      <c r="D155" s="331"/>
      <c r="F155" s="329"/>
      <c r="I155" s="330"/>
      <c r="J155" s="330"/>
    </row>
    <row r="156" spans="2:10" ht="12.75" x14ac:dyDescent="0.2">
      <c r="B156" s="331"/>
      <c r="C156" s="327"/>
      <c r="D156" s="331"/>
      <c r="F156" s="329"/>
      <c r="I156" s="330"/>
      <c r="J156" s="330"/>
    </row>
    <row r="157" spans="2:10" ht="12.75" x14ac:dyDescent="0.2">
      <c r="B157" s="331"/>
      <c r="C157" s="327"/>
      <c r="D157" s="331"/>
      <c r="F157" s="329"/>
      <c r="I157" s="330"/>
      <c r="J157" s="330"/>
    </row>
    <row r="158" spans="2:10" ht="12.75" x14ac:dyDescent="0.2">
      <c r="B158" s="331"/>
      <c r="C158" s="327"/>
      <c r="D158" s="331"/>
      <c r="F158" s="329"/>
      <c r="I158" s="330"/>
      <c r="J158" s="330"/>
    </row>
    <row r="159" spans="2:10" ht="12.75" x14ac:dyDescent="0.2">
      <c r="B159" s="331"/>
      <c r="C159" s="327"/>
      <c r="D159" s="331"/>
      <c r="F159" s="329"/>
      <c r="I159" s="330"/>
      <c r="J159" s="330"/>
    </row>
    <row r="160" spans="2:10" ht="12.75" x14ac:dyDescent="0.2">
      <c r="B160" s="331"/>
      <c r="C160" s="327"/>
      <c r="D160" s="331"/>
      <c r="F160" s="329"/>
      <c r="I160" s="330"/>
      <c r="J160" s="330"/>
    </row>
    <row r="161" spans="2:10" ht="12.75" x14ac:dyDescent="0.2">
      <c r="B161" s="331"/>
      <c r="C161" s="327"/>
      <c r="D161" s="331"/>
      <c r="F161" s="329"/>
      <c r="I161" s="330"/>
      <c r="J161" s="330"/>
    </row>
    <row r="162" spans="2:10" ht="12.75" x14ac:dyDescent="0.2">
      <c r="B162" s="331"/>
      <c r="C162" s="327"/>
      <c r="D162" s="331"/>
      <c r="F162" s="329"/>
      <c r="I162" s="330"/>
      <c r="J162" s="330"/>
    </row>
    <row r="163" spans="2:10" ht="12.75" x14ac:dyDescent="0.2">
      <c r="B163" s="331"/>
      <c r="C163" s="327"/>
      <c r="D163" s="331"/>
      <c r="F163" s="329"/>
      <c r="I163" s="330"/>
      <c r="J163" s="330"/>
    </row>
    <row r="164" spans="2:10" ht="12.75" x14ac:dyDescent="0.2">
      <c r="B164" s="331"/>
      <c r="C164" s="327"/>
      <c r="D164" s="331"/>
      <c r="F164" s="329"/>
      <c r="I164" s="330"/>
      <c r="J164" s="330"/>
    </row>
    <row r="165" spans="2:10" ht="12.75" x14ac:dyDescent="0.2">
      <c r="B165" s="331"/>
      <c r="C165" s="327"/>
      <c r="D165" s="331"/>
      <c r="F165" s="329"/>
      <c r="I165" s="330"/>
      <c r="J165" s="330"/>
    </row>
    <row r="166" spans="2:10" ht="12.75" x14ac:dyDescent="0.2">
      <c r="B166" s="331"/>
      <c r="C166" s="327"/>
      <c r="D166" s="331"/>
      <c r="F166" s="329"/>
      <c r="I166" s="330"/>
      <c r="J166" s="330"/>
    </row>
    <row r="167" spans="2:10" ht="12.75" x14ac:dyDescent="0.2">
      <c r="B167" s="331"/>
      <c r="C167" s="327"/>
      <c r="D167" s="331"/>
      <c r="F167" s="329"/>
      <c r="I167" s="330"/>
      <c r="J167" s="330"/>
    </row>
    <row r="168" spans="2:10" ht="12.75" x14ac:dyDescent="0.2">
      <c r="B168" s="331"/>
      <c r="C168" s="327"/>
      <c r="D168" s="331"/>
      <c r="F168" s="329"/>
      <c r="I168" s="330"/>
      <c r="J168" s="330"/>
    </row>
    <row r="169" spans="2:10" ht="12.75" x14ac:dyDescent="0.2">
      <c r="B169" s="331"/>
      <c r="C169" s="327"/>
      <c r="D169" s="331"/>
      <c r="F169" s="329"/>
      <c r="I169" s="330"/>
      <c r="J169" s="330"/>
    </row>
    <row r="170" spans="2:10" ht="12.75" x14ac:dyDescent="0.2">
      <c r="B170" s="331"/>
      <c r="C170" s="327"/>
      <c r="D170" s="331"/>
      <c r="F170" s="329"/>
      <c r="I170" s="330"/>
      <c r="J170" s="330"/>
    </row>
    <row r="171" spans="2:10" ht="12.75" x14ac:dyDescent="0.2">
      <c r="B171" s="331"/>
      <c r="C171" s="327"/>
      <c r="D171" s="331"/>
      <c r="F171" s="329"/>
      <c r="I171" s="330"/>
      <c r="J171" s="330"/>
    </row>
    <row r="172" spans="2:10" ht="12.75" x14ac:dyDescent="0.2">
      <c r="B172" s="331"/>
      <c r="C172" s="327"/>
      <c r="D172" s="331"/>
      <c r="F172" s="329"/>
      <c r="I172" s="330"/>
      <c r="J172" s="330"/>
    </row>
    <row r="173" spans="2:10" ht="12.75" x14ac:dyDescent="0.2">
      <c r="B173" s="331"/>
      <c r="C173" s="327"/>
      <c r="D173" s="331"/>
      <c r="F173" s="329"/>
      <c r="I173" s="330"/>
      <c r="J173" s="330"/>
    </row>
    <row r="174" spans="2:10" ht="12.75" x14ac:dyDescent="0.2">
      <c r="B174" s="331"/>
      <c r="C174" s="327"/>
      <c r="D174" s="331"/>
      <c r="F174" s="329"/>
      <c r="I174" s="330"/>
      <c r="J174" s="330"/>
    </row>
    <row r="175" spans="2:10" ht="12.75" x14ac:dyDescent="0.2">
      <c r="B175" s="331"/>
      <c r="C175" s="327"/>
      <c r="D175" s="331"/>
      <c r="F175" s="329"/>
      <c r="I175" s="330"/>
      <c r="J175" s="330"/>
    </row>
    <row r="176" spans="2:10" ht="12.75" x14ac:dyDescent="0.2">
      <c r="B176" s="331"/>
      <c r="C176" s="327"/>
      <c r="D176" s="331"/>
      <c r="F176" s="329"/>
      <c r="I176" s="330"/>
      <c r="J176" s="330"/>
    </row>
    <row r="177" spans="2:10" ht="12.75" x14ac:dyDescent="0.2">
      <c r="B177" s="331"/>
      <c r="C177" s="327"/>
      <c r="D177" s="331"/>
      <c r="F177" s="329"/>
      <c r="I177" s="330"/>
      <c r="J177" s="330"/>
    </row>
    <row r="178" spans="2:10" ht="12.75" x14ac:dyDescent="0.2">
      <c r="B178" s="331"/>
      <c r="C178" s="327"/>
      <c r="D178" s="331"/>
      <c r="F178" s="329"/>
      <c r="I178" s="330"/>
      <c r="J178" s="330"/>
    </row>
    <row r="179" spans="2:10" ht="12.75" x14ac:dyDescent="0.2">
      <c r="B179" s="331"/>
      <c r="C179" s="327"/>
      <c r="D179" s="331"/>
      <c r="F179" s="329"/>
      <c r="I179" s="330"/>
      <c r="J179" s="330"/>
    </row>
    <row r="180" spans="2:10" ht="12.75" x14ac:dyDescent="0.2">
      <c r="B180" s="331"/>
      <c r="C180" s="327"/>
      <c r="D180" s="331"/>
      <c r="F180" s="329"/>
      <c r="I180" s="330"/>
      <c r="J180" s="330"/>
    </row>
    <row r="181" spans="2:10" ht="12.75" x14ac:dyDescent="0.2">
      <c r="B181" s="331"/>
      <c r="C181" s="327"/>
      <c r="D181" s="331"/>
      <c r="F181" s="329"/>
      <c r="I181" s="330"/>
      <c r="J181" s="330"/>
    </row>
    <row r="182" spans="2:10" ht="12.75" x14ac:dyDescent="0.2">
      <c r="B182" s="331"/>
      <c r="C182" s="327"/>
      <c r="D182" s="331"/>
      <c r="F182" s="329"/>
      <c r="I182" s="330"/>
      <c r="J182" s="330"/>
    </row>
    <row r="183" spans="2:10" ht="12.75" x14ac:dyDescent="0.2">
      <c r="B183" s="331"/>
      <c r="C183" s="327"/>
      <c r="D183" s="331"/>
      <c r="F183" s="329"/>
      <c r="I183" s="330"/>
      <c r="J183" s="330"/>
    </row>
    <row r="184" spans="2:10" ht="12.75" x14ac:dyDescent="0.2">
      <c r="B184" s="331"/>
      <c r="C184" s="327"/>
      <c r="D184" s="331"/>
      <c r="F184" s="329"/>
      <c r="I184" s="330"/>
      <c r="J184" s="330"/>
    </row>
    <row r="185" spans="2:10" ht="12.75" x14ac:dyDescent="0.2">
      <c r="B185" s="331"/>
      <c r="C185" s="327"/>
      <c r="D185" s="331"/>
      <c r="F185" s="329"/>
      <c r="I185" s="330"/>
      <c r="J185" s="330"/>
    </row>
    <row r="186" spans="2:10" ht="12.75" x14ac:dyDescent="0.2">
      <c r="B186" s="331"/>
      <c r="C186" s="327"/>
      <c r="D186" s="331"/>
      <c r="F186" s="329"/>
      <c r="I186" s="330"/>
      <c r="J186" s="330"/>
    </row>
    <row r="187" spans="2:10" ht="12.75" x14ac:dyDescent="0.2">
      <c r="B187" s="331"/>
      <c r="C187" s="327"/>
      <c r="D187" s="331"/>
      <c r="F187" s="329"/>
      <c r="I187" s="330"/>
      <c r="J187" s="330"/>
    </row>
    <row r="188" spans="2:10" ht="12.75" x14ac:dyDescent="0.2">
      <c r="B188" s="331"/>
      <c r="C188" s="327"/>
      <c r="D188" s="331"/>
      <c r="F188" s="329"/>
      <c r="I188" s="330"/>
      <c r="J188" s="330"/>
    </row>
    <row r="189" spans="2:10" ht="12.75" x14ac:dyDescent="0.2">
      <c r="B189" s="331"/>
      <c r="C189" s="327"/>
      <c r="D189" s="331"/>
      <c r="F189" s="329"/>
      <c r="I189" s="330"/>
      <c r="J189" s="330"/>
    </row>
    <row r="190" spans="2:10" ht="12.75" x14ac:dyDescent="0.2">
      <c r="B190" s="331"/>
      <c r="C190" s="327"/>
      <c r="D190" s="331"/>
      <c r="F190" s="329"/>
      <c r="I190" s="330"/>
      <c r="J190" s="330"/>
    </row>
    <row r="191" spans="2:10" ht="12.75" x14ac:dyDescent="0.2">
      <c r="B191" s="331"/>
      <c r="C191" s="327"/>
      <c r="D191" s="331"/>
      <c r="F191" s="329"/>
      <c r="I191" s="330"/>
      <c r="J191" s="330"/>
    </row>
    <row r="192" spans="2:10" ht="12.75" x14ac:dyDescent="0.2">
      <c r="B192" s="331"/>
      <c r="C192" s="327"/>
      <c r="D192" s="331"/>
      <c r="F192" s="329"/>
      <c r="I192" s="330"/>
      <c r="J192" s="330"/>
    </row>
    <row r="193" spans="2:10" ht="12.75" x14ac:dyDescent="0.2">
      <c r="B193" s="331"/>
      <c r="C193" s="327"/>
      <c r="D193" s="331"/>
      <c r="F193" s="329"/>
      <c r="I193" s="330"/>
      <c r="J193" s="330"/>
    </row>
    <row r="194" spans="2:10" ht="12.75" x14ac:dyDescent="0.2">
      <c r="B194" s="331"/>
      <c r="C194" s="327"/>
      <c r="D194" s="331"/>
      <c r="F194" s="329"/>
      <c r="I194" s="330"/>
      <c r="J194" s="330"/>
    </row>
    <row r="195" spans="2:10" ht="12.75" x14ac:dyDescent="0.2">
      <c r="B195" s="331"/>
      <c r="C195" s="327"/>
      <c r="D195" s="331"/>
      <c r="F195" s="329"/>
      <c r="I195" s="330"/>
      <c r="J195" s="330"/>
    </row>
    <row r="196" spans="2:10" ht="12.75" x14ac:dyDescent="0.2">
      <c r="B196" s="331"/>
      <c r="C196" s="327"/>
      <c r="D196" s="331"/>
      <c r="F196" s="329"/>
      <c r="I196" s="330"/>
      <c r="J196" s="330"/>
    </row>
    <row r="197" spans="2:10" ht="12.75" x14ac:dyDescent="0.2">
      <c r="B197" s="331"/>
      <c r="C197" s="327"/>
      <c r="D197" s="331"/>
      <c r="F197" s="329"/>
      <c r="I197" s="330"/>
      <c r="J197" s="330"/>
    </row>
    <row r="198" spans="2:10" ht="12.75" x14ac:dyDescent="0.2">
      <c r="B198" s="331"/>
      <c r="C198" s="327"/>
      <c r="D198" s="331"/>
      <c r="F198" s="329"/>
      <c r="I198" s="330"/>
      <c r="J198" s="330"/>
    </row>
    <row r="199" spans="2:10" ht="12.75" x14ac:dyDescent="0.2">
      <c r="B199" s="331"/>
      <c r="C199" s="327"/>
      <c r="D199" s="331"/>
      <c r="F199" s="329"/>
      <c r="I199" s="330"/>
      <c r="J199" s="330"/>
    </row>
    <row r="200" spans="2:10" ht="12.75" x14ac:dyDescent="0.2">
      <c r="B200" s="331"/>
      <c r="C200" s="327"/>
      <c r="D200" s="331"/>
      <c r="F200" s="329"/>
      <c r="I200" s="330"/>
      <c r="J200" s="330"/>
    </row>
    <row r="201" spans="2:10" ht="12.75" x14ac:dyDescent="0.2">
      <c r="B201" s="331"/>
      <c r="C201" s="327"/>
      <c r="D201" s="331"/>
      <c r="F201" s="329"/>
      <c r="I201" s="330"/>
      <c r="J201" s="330"/>
    </row>
    <row r="202" spans="2:10" ht="12.75" x14ac:dyDescent="0.2">
      <c r="B202" s="331"/>
      <c r="C202" s="327"/>
      <c r="D202" s="331"/>
      <c r="F202" s="329"/>
      <c r="I202" s="330"/>
      <c r="J202" s="330"/>
    </row>
    <row r="203" spans="2:10" ht="12.75" x14ac:dyDescent="0.2">
      <c r="B203" s="331"/>
      <c r="C203" s="327"/>
      <c r="D203" s="331"/>
      <c r="F203" s="329"/>
      <c r="I203" s="330"/>
      <c r="J203" s="330"/>
    </row>
    <row r="204" spans="2:10" ht="12.75" x14ac:dyDescent="0.2">
      <c r="B204" s="331"/>
      <c r="C204" s="327"/>
      <c r="D204" s="331"/>
      <c r="F204" s="329"/>
      <c r="I204" s="330"/>
      <c r="J204" s="330"/>
    </row>
    <row r="205" spans="2:10" ht="12.75" x14ac:dyDescent="0.2">
      <c r="B205" s="331"/>
      <c r="C205" s="327"/>
      <c r="D205" s="331"/>
      <c r="F205" s="329"/>
      <c r="I205" s="330"/>
      <c r="J205" s="330"/>
    </row>
    <row r="206" spans="2:10" ht="12.75" x14ac:dyDescent="0.2">
      <c r="B206" s="331"/>
      <c r="C206" s="327"/>
      <c r="D206" s="331"/>
      <c r="F206" s="329"/>
      <c r="I206" s="330"/>
      <c r="J206" s="330"/>
    </row>
    <row r="207" spans="2:10" ht="12.75" x14ac:dyDescent="0.2">
      <c r="B207" s="331"/>
      <c r="C207" s="327"/>
      <c r="D207" s="331"/>
      <c r="F207" s="329"/>
      <c r="I207" s="330"/>
      <c r="J207" s="330"/>
    </row>
    <row r="208" spans="2:10" ht="12.75" x14ac:dyDescent="0.2">
      <c r="B208" s="331"/>
      <c r="C208" s="327"/>
      <c r="D208" s="331"/>
      <c r="F208" s="329"/>
      <c r="I208" s="330"/>
      <c r="J208" s="330"/>
    </row>
    <row r="209" spans="2:10" ht="12.75" x14ac:dyDescent="0.2">
      <c r="B209" s="331"/>
      <c r="C209" s="327"/>
      <c r="D209" s="331"/>
      <c r="F209" s="329"/>
      <c r="I209" s="330"/>
      <c r="J209" s="330"/>
    </row>
    <row r="210" spans="2:10" ht="12.75" x14ac:dyDescent="0.2">
      <c r="B210" s="331"/>
      <c r="C210" s="327"/>
      <c r="D210" s="331"/>
      <c r="F210" s="329"/>
      <c r="I210" s="330"/>
      <c r="J210" s="330"/>
    </row>
    <row r="211" spans="2:10" ht="12.75" x14ac:dyDescent="0.2">
      <c r="B211" s="331"/>
      <c r="C211" s="327"/>
      <c r="D211" s="331"/>
      <c r="F211" s="329"/>
      <c r="I211" s="330"/>
      <c r="J211" s="330"/>
    </row>
    <row r="212" spans="2:10" ht="12.75" x14ac:dyDescent="0.2">
      <c r="B212" s="331"/>
      <c r="C212" s="327"/>
      <c r="D212" s="331"/>
      <c r="F212" s="329"/>
      <c r="I212" s="330"/>
      <c r="J212" s="330"/>
    </row>
    <row r="213" spans="2:10" ht="12.75" x14ac:dyDescent="0.2">
      <c r="B213" s="331"/>
      <c r="C213" s="327"/>
      <c r="D213" s="331"/>
      <c r="F213" s="329"/>
      <c r="I213" s="330"/>
      <c r="J213" s="330"/>
    </row>
    <row r="214" spans="2:10" ht="12.75" x14ac:dyDescent="0.2">
      <c r="B214" s="331"/>
      <c r="C214" s="327"/>
      <c r="D214" s="331"/>
      <c r="F214" s="329"/>
      <c r="I214" s="330"/>
      <c r="J214" s="330"/>
    </row>
    <row r="215" spans="2:10" ht="12.75" x14ac:dyDescent="0.2">
      <c r="B215" s="331"/>
      <c r="C215" s="327"/>
      <c r="D215" s="331"/>
      <c r="F215" s="329"/>
      <c r="I215" s="330"/>
      <c r="J215" s="330"/>
    </row>
    <row r="216" spans="2:10" ht="12.75" x14ac:dyDescent="0.2">
      <c r="B216" s="331"/>
      <c r="C216" s="327"/>
      <c r="D216" s="331"/>
      <c r="F216" s="329"/>
      <c r="I216" s="330"/>
      <c r="J216" s="330"/>
    </row>
    <row r="217" spans="2:10" ht="12.75" x14ac:dyDescent="0.2">
      <c r="B217" s="331"/>
      <c r="C217" s="327"/>
      <c r="D217" s="331"/>
      <c r="F217" s="329"/>
      <c r="I217" s="330"/>
      <c r="J217" s="330"/>
    </row>
    <row r="218" spans="2:10" ht="12.75" x14ac:dyDescent="0.2">
      <c r="B218" s="331"/>
      <c r="C218" s="327"/>
      <c r="D218" s="331"/>
      <c r="F218" s="329"/>
      <c r="I218" s="330"/>
      <c r="J218" s="330"/>
    </row>
    <row r="219" spans="2:10" ht="12.75" x14ac:dyDescent="0.2">
      <c r="B219" s="331"/>
      <c r="C219" s="327"/>
      <c r="D219" s="331"/>
      <c r="F219" s="329"/>
      <c r="I219" s="330"/>
      <c r="J219" s="330"/>
    </row>
    <row r="220" spans="2:10" ht="12.75" x14ac:dyDescent="0.2">
      <c r="B220" s="331"/>
      <c r="C220" s="327"/>
      <c r="D220" s="331"/>
      <c r="F220" s="329"/>
      <c r="I220" s="330"/>
      <c r="J220" s="330"/>
    </row>
    <row r="221" spans="2:10" ht="12.75" x14ac:dyDescent="0.2">
      <c r="B221" s="331"/>
      <c r="C221" s="327"/>
      <c r="D221" s="331"/>
      <c r="F221" s="329"/>
      <c r="I221" s="330"/>
      <c r="J221" s="330"/>
    </row>
    <row r="222" spans="2:10" ht="12.75" x14ac:dyDescent="0.2">
      <c r="B222" s="331"/>
      <c r="C222" s="327"/>
      <c r="D222" s="331"/>
      <c r="F222" s="329"/>
      <c r="I222" s="330"/>
      <c r="J222" s="330"/>
    </row>
    <row r="223" spans="2:10" ht="12.75" x14ac:dyDescent="0.2">
      <c r="B223" s="331"/>
      <c r="C223" s="327"/>
      <c r="D223" s="331"/>
      <c r="F223" s="329"/>
      <c r="I223" s="330"/>
      <c r="J223" s="330"/>
    </row>
    <row r="224" spans="2:10" ht="12.75" x14ac:dyDescent="0.2">
      <c r="B224" s="331"/>
      <c r="C224" s="327"/>
      <c r="D224" s="331"/>
      <c r="F224" s="329"/>
      <c r="I224" s="330"/>
      <c r="J224" s="330"/>
    </row>
    <row r="225" spans="2:10" ht="12.75" x14ac:dyDescent="0.2">
      <c r="B225" s="331"/>
      <c r="C225" s="327"/>
      <c r="D225" s="331"/>
      <c r="F225" s="329"/>
      <c r="I225" s="330"/>
      <c r="J225" s="330"/>
    </row>
    <row r="226" spans="2:10" ht="12.75" x14ac:dyDescent="0.2">
      <c r="B226" s="331"/>
      <c r="C226" s="327"/>
      <c r="D226" s="331"/>
      <c r="F226" s="329"/>
      <c r="I226" s="330"/>
      <c r="J226" s="330"/>
    </row>
    <row r="227" spans="2:10" ht="12.75" x14ac:dyDescent="0.2">
      <c r="B227" s="331"/>
      <c r="C227" s="327"/>
      <c r="D227" s="331"/>
      <c r="F227" s="329"/>
      <c r="I227" s="330"/>
      <c r="J227" s="330"/>
    </row>
    <row r="228" spans="2:10" ht="12.75" x14ac:dyDescent="0.2">
      <c r="B228" s="331"/>
      <c r="C228" s="327"/>
      <c r="D228" s="331"/>
      <c r="F228" s="329"/>
      <c r="I228" s="330"/>
      <c r="J228" s="330"/>
    </row>
    <row r="229" spans="2:10" ht="12.75" x14ac:dyDescent="0.2">
      <c r="B229" s="331"/>
      <c r="C229" s="327"/>
      <c r="D229" s="331"/>
      <c r="F229" s="329"/>
      <c r="I229" s="330"/>
      <c r="J229" s="330"/>
    </row>
    <row r="230" spans="2:10" ht="12.75" x14ac:dyDescent="0.2">
      <c r="B230" s="331"/>
      <c r="C230" s="327"/>
      <c r="D230" s="331"/>
      <c r="F230" s="329"/>
      <c r="I230" s="330"/>
      <c r="J230" s="330"/>
    </row>
    <row r="231" spans="2:10" ht="12.75" x14ac:dyDescent="0.2">
      <c r="B231" s="331"/>
      <c r="C231" s="327"/>
      <c r="D231" s="331"/>
      <c r="F231" s="329"/>
      <c r="I231" s="330"/>
      <c r="J231" s="330"/>
    </row>
    <row r="232" spans="2:10" ht="12.75" x14ac:dyDescent="0.2">
      <c r="B232" s="331"/>
      <c r="C232" s="327"/>
      <c r="D232" s="331"/>
      <c r="F232" s="329"/>
      <c r="I232" s="330"/>
      <c r="J232" s="330"/>
    </row>
    <row r="233" spans="2:10" ht="12.75" x14ac:dyDescent="0.2">
      <c r="B233" s="331"/>
      <c r="C233" s="327"/>
      <c r="D233" s="331"/>
      <c r="F233" s="329"/>
      <c r="I233" s="330"/>
      <c r="J233" s="330"/>
    </row>
    <row r="234" spans="2:10" ht="12.75" x14ac:dyDescent="0.2">
      <c r="B234" s="331"/>
      <c r="C234" s="327"/>
      <c r="D234" s="331"/>
      <c r="F234" s="329"/>
      <c r="I234" s="330"/>
      <c r="J234" s="330"/>
    </row>
    <row r="235" spans="2:10" ht="12.75" x14ac:dyDescent="0.2">
      <c r="B235" s="331"/>
      <c r="C235" s="327"/>
      <c r="D235" s="331"/>
      <c r="F235" s="329"/>
      <c r="I235" s="330"/>
      <c r="J235" s="330"/>
    </row>
    <row r="236" spans="2:10" ht="12.75" x14ac:dyDescent="0.2">
      <c r="B236" s="331"/>
      <c r="C236" s="327"/>
      <c r="D236" s="331"/>
      <c r="F236" s="329"/>
      <c r="I236" s="330"/>
      <c r="J236" s="330"/>
    </row>
    <row r="237" spans="2:10" ht="12.75" x14ac:dyDescent="0.2">
      <c r="B237" s="331"/>
      <c r="C237" s="327"/>
      <c r="D237" s="331"/>
      <c r="F237" s="329"/>
      <c r="I237" s="330"/>
      <c r="J237" s="330"/>
    </row>
    <row r="238" spans="2:10" ht="12.75" x14ac:dyDescent="0.2">
      <c r="B238" s="331"/>
      <c r="C238" s="327"/>
      <c r="D238" s="331"/>
      <c r="F238" s="329"/>
      <c r="I238" s="330"/>
      <c r="J238" s="330"/>
    </row>
    <row r="239" spans="2:10" ht="12.75" x14ac:dyDescent="0.2">
      <c r="B239" s="331"/>
      <c r="C239" s="327"/>
      <c r="D239" s="331"/>
      <c r="F239" s="329"/>
      <c r="I239" s="330"/>
      <c r="J239" s="330"/>
    </row>
    <row r="240" spans="2:10" ht="12.75" x14ac:dyDescent="0.2">
      <c r="B240" s="331"/>
      <c r="C240" s="327"/>
      <c r="D240" s="331"/>
      <c r="F240" s="329"/>
      <c r="I240" s="330"/>
      <c r="J240" s="330"/>
    </row>
    <row r="241" spans="2:10" ht="12.75" x14ac:dyDescent="0.2">
      <c r="B241" s="331"/>
      <c r="C241" s="327"/>
      <c r="D241" s="331"/>
      <c r="F241" s="329"/>
      <c r="I241" s="330"/>
      <c r="J241" s="330"/>
    </row>
    <row r="242" spans="2:10" ht="12.75" x14ac:dyDescent="0.2">
      <c r="B242" s="331"/>
      <c r="C242" s="327"/>
      <c r="D242" s="331"/>
      <c r="F242" s="329"/>
      <c r="I242" s="330"/>
      <c r="J242" s="330"/>
    </row>
    <row r="243" spans="2:10" ht="12.75" x14ac:dyDescent="0.2">
      <c r="B243" s="331"/>
      <c r="C243" s="327"/>
      <c r="D243" s="331"/>
      <c r="F243" s="329"/>
      <c r="I243" s="330"/>
      <c r="J243" s="330"/>
    </row>
    <row r="244" spans="2:10" ht="12.75" x14ac:dyDescent="0.2">
      <c r="B244" s="331"/>
      <c r="C244" s="327"/>
      <c r="D244" s="331"/>
      <c r="F244" s="329"/>
      <c r="I244" s="330"/>
      <c r="J244" s="330"/>
    </row>
    <row r="245" spans="2:10" ht="12.75" x14ac:dyDescent="0.2">
      <c r="B245" s="331"/>
      <c r="C245" s="327"/>
      <c r="D245" s="331"/>
      <c r="F245" s="329"/>
      <c r="I245" s="330"/>
      <c r="J245" s="330"/>
    </row>
    <row r="246" spans="2:10" ht="12.75" x14ac:dyDescent="0.2">
      <c r="B246" s="331"/>
      <c r="C246" s="327"/>
      <c r="D246" s="331"/>
      <c r="F246" s="329"/>
      <c r="I246" s="330"/>
      <c r="J246" s="330"/>
    </row>
    <row r="247" spans="2:10" ht="12.75" x14ac:dyDescent="0.2">
      <c r="B247" s="331"/>
      <c r="C247" s="327"/>
      <c r="D247" s="331"/>
      <c r="F247" s="329"/>
      <c r="I247" s="330"/>
      <c r="J247" s="330"/>
    </row>
    <row r="248" spans="2:10" ht="12.75" x14ac:dyDescent="0.2">
      <c r="B248" s="331"/>
      <c r="C248" s="327"/>
      <c r="D248" s="331"/>
      <c r="F248" s="329"/>
      <c r="I248" s="330"/>
      <c r="J248" s="330"/>
    </row>
    <row r="249" spans="2:10" ht="12.75" x14ac:dyDescent="0.2">
      <c r="B249" s="331"/>
      <c r="C249" s="327"/>
      <c r="D249" s="331"/>
      <c r="F249" s="329"/>
      <c r="I249" s="330"/>
      <c r="J249" s="330"/>
    </row>
    <row r="250" spans="2:10" ht="12.75" x14ac:dyDescent="0.2">
      <c r="B250" s="331"/>
      <c r="C250" s="327"/>
      <c r="D250" s="331"/>
      <c r="F250" s="329"/>
      <c r="I250" s="330"/>
      <c r="J250" s="330"/>
    </row>
    <row r="251" spans="2:10" ht="12.75" x14ac:dyDescent="0.2">
      <c r="B251" s="331"/>
      <c r="C251" s="327"/>
      <c r="D251" s="331"/>
      <c r="F251" s="329"/>
      <c r="I251" s="330"/>
      <c r="J251" s="330"/>
    </row>
    <row r="252" spans="2:10" ht="12.75" x14ac:dyDescent="0.2">
      <c r="B252" s="331"/>
      <c r="C252" s="327"/>
      <c r="D252" s="331"/>
      <c r="F252" s="329"/>
      <c r="I252" s="330"/>
      <c r="J252" s="330"/>
    </row>
    <row r="253" spans="2:10" ht="12.75" x14ac:dyDescent="0.2">
      <c r="B253" s="331"/>
      <c r="C253" s="327"/>
      <c r="D253" s="331"/>
      <c r="F253" s="329"/>
      <c r="I253" s="330"/>
      <c r="J253" s="330"/>
    </row>
    <row r="254" spans="2:10" ht="12.75" x14ac:dyDescent="0.2">
      <c r="B254" s="331"/>
      <c r="C254" s="327"/>
      <c r="D254" s="331"/>
      <c r="F254" s="329"/>
      <c r="I254" s="330"/>
      <c r="J254" s="330"/>
    </row>
    <row r="255" spans="2:10" ht="12.75" x14ac:dyDescent="0.2">
      <c r="B255" s="331"/>
      <c r="C255" s="327"/>
      <c r="D255" s="331"/>
      <c r="F255" s="329"/>
      <c r="I255" s="330"/>
      <c r="J255" s="330"/>
    </row>
    <row r="256" spans="2:10" ht="12.75" x14ac:dyDescent="0.2">
      <c r="B256" s="331"/>
      <c r="C256" s="327"/>
      <c r="D256" s="331"/>
      <c r="F256" s="329"/>
      <c r="I256" s="330"/>
      <c r="J256" s="330"/>
    </row>
    <row r="257" spans="2:10" ht="12.75" x14ac:dyDescent="0.2">
      <c r="B257" s="331"/>
      <c r="C257" s="327"/>
      <c r="D257" s="331"/>
      <c r="F257" s="329"/>
      <c r="I257" s="330"/>
      <c r="J257" s="330"/>
    </row>
    <row r="258" spans="2:10" ht="12.75" x14ac:dyDescent="0.2">
      <c r="B258" s="331"/>
      <c r="C258" s="327"/>
      <c r="D258" s="331"/>
      <c r="F258" s="329"/>
      <c r="I258" s="330"/>
      <c r="J258" s="330"/>
    </row>
    <row r="259" spans="2:10" ht="12.75" x14ac:dyDescent="0.2">
      <c r="B259" s="331"/>
      <c r="C259" s="327"/>
      <c r="D259" s="331"/>
      <c r="F259" s="329"/>
      <c r="I259" s="330"/>
      <c r="J259" s="330"/>
    </row>
    <row r="260" spans="2:10" ht="12.75" x14ac:dyDescent="0.2">
      <c r="B260" s="331"/>
      <c r="C260" s="327"/>
      <c r="D260" s="331"/>
      <c r="F260" s="329"/>
      <c r="I260" s="330"/>
      <c r="J260" s="330"/>
    </row>
    <row r="261" spans="2:10" ht="12.75" x14ac:dyDescent="0.2">
      <c r="B261" s="331"/>
      <c r="C261" s="327"/>
      <c r="D261" s="331"/>
      <c r="F261" s="329"/>
      <c r="I261" s="330"/>
      <c r="J261" s="330"/>
    </row>
    <row r="262" spans="2:10" ht="12.75" x14ac:dyDescent="0.2">
      <c r="B262" s="331"/>
      <c r="C262" s="327"/>
      <c r="D262" s="331"/>
      <c r="F262" s="329"/>
      <c r="I262" s="330"/>
      <c r="J262" s="330"/>
    </row>
    <row r="263" spans="2:10" ht="12.75" x14ac:dyDescent="0.2">
      <c r="B263" s="331"/>
      <c r="C263" s="327"/>
      <c r="D263" s="331"/>
      <c r="F263" s="329"/>
      <c r="I263" s="330"/>
      <c r="J263" s="330"/>
    </row>
    <row r="264" spans="2:10" ht="12.75" x14ac:dyDescent="0.2">
      <c r="B264" s="331"/>
      <c r="C264" s="327"/>
      <c r="D264" s="331"/>
      <c r="F264" s="329"/>
      <c r="I264" s="330"/>
      <c r="J264" s="330"/>
    </row>
    <row r="265" spans="2:10" ht="12.75" x14ac:dyDescent="0.2">
      <c r="B265" s="331"/>
      <c r="C265" s="327"/>
      <c r="D265" s="331"/>
      <c r="F265" s="329"/>
      <c r="I265" s="330"/>
      <c r="J265" s="330"/>
    </row>
    <row r="266" spans="2:10" ht="12.75" x14ac:dyDescent="0.2">
      <c r="B266" s="331"/>
      <c r="C266" s="327"/>
      <c r="D266" s="331"/>
      <c r="F266" s="329"/>
      <c r="I266" s="330"/>
      <c r="J266" s="330"/>
    </row>
    <row r="267" spans="2:10" ht="12.75" x14ac:dyDescent="0.2">
      <c r="B267" s="331"/>
      <c r="C267" s="327"/>
      <c r="D267" s="331"/>
      <c r="F267" s="329"/>
      <c r="I267" s="330"/>
      <c r="J267" s="330"/>
    </row>
    <row r="268" spans="2:10" ht="12.75" x14ac:dyDescent="0.2">
      <c r="B268" s="331"/>
      <c r="C268" s="327"/>
      <c r="D268" s="331"/>
      <c r="F268" s="329"/>
      <c r="I268" s="330"/>
      <c r="J268" s="330"/>
    </row>
    <row r="269" spans="2:10" ht="12.75" x14ac:dyDescent="0.2">
      <c r="B269" s="331"/>
      <c r="C269" s="327"/>
      <c r="D269" s="331"/>
      <c r="F269" s="329"/>
      <c r="I269" s="330"/>
      <c r="J269" s="330"/>
    </row>
    <row r="270" spans="2:10" ht="12.75" x14ac:dyDescent="0.2">
      <c r="B270" s="331"/>
      <c r="C270" s="327"/>
      <c r="D270" s="331"/>
      <c r="F270" s="329"/>
      <c r="I270" s="330"/>
      <c r="J270" s="330"/>
    </row>
    <row r="271" spans="2:10" ht="12.75" x14ac:dyDescent="0.2">
      <c r="B271" s="331"/>
      <c r="C271" s="327"/>
      <c r="D271" s="331"/>
      <c r="F271" s="329"/>
      <c r="I271" s="330"/>
      <c r="J271" s="330"/>
    </row>
    <row r="272" spans="2:10" ht="12.75" x14ac:dyDescent="0.2">
      <c r="B272" s="331"/>
      <c r="C272" s="327"/>
      <c r="D272" s="331"/>
      <c r="F272" s="329"/>
      <c r="I272" s="330"/>
      <c r="J272" s="330"/>
    </row>
    <row r="273" spans="2:10" ht="12.75" x14ac:dyDescent="0.2">
      <c r="B273" s="331"/>
      <c r="C273" s="327"/>
      <c r="D273" s="331"/>
      <c r="F273" s="329"/>
      <c r="I273" s="330"/>
      <c r="J273" s="330"/>
    </row>
    <row r="274" spans="2:10" ht="12.75" x14ac:dyDescent="0.2">
      <c r="B274" s="331"/>
      <c r="C274" s="327"/>
      <c r="D274" s="331"/>
      <c r="F274" s="329"/>
      <c r="I274" s="330"/>
      <c r="J274" s="330"/>
    </row>
    <row r="275" spans="2:10" ht="12.75" x14ac:dyDescent="0.2">
      <c r="B275" s="331"/>
      <c r="C275" s="327"/>
      <c r="D275" s="331"/>
      <c r="F275" s="329"/>
      <c r="I275" s="330"/>
      <c r="J275" s="330"/>
    </row>
    <row r="276" spans="2:10" ht="12.75" x14ac:dyDescent="0.2">
      <c r="B276" s="331"/>
      <c r="C276" s="327"/>
      <c r="D276" s="331"/>
      <c r="F276" s="329"/>
      <c r="I276" s="330"/>
      <c r="J276" s="330"/>
    </row>
    <row r="277" spans="2:10" ht="12.75" x14ac:dyDescent="0.2">
      <c r="B277" s="331"/>
      <c r="C277" s="327"/>
      <c r="D277" s="331"/>
      <c r="F277" s="329"/>
      <c r="I277" s="330"/>
      <c r="J277" s="330"/>
    </row>
    <row r="278" spans="2:10" ht="12.75" x14ac:dyDescent="0.2">
      <c r="B278" s="331"/>
      <c r="C278" s="327"/>
      <c r="D278" s="331"/>
      <c r="F278" s="329"/>
      <c r="I278" s="330"/>
      <c r="J278" s="330"/>
    </row>
    <row r="279" spans="2:10" ht="12.75" x14ac:dyDescent="0.2">
      <c r="B279" s="331"/>
      <c r="C279" s="327"/>
      <c r="D279" s="331"/>
      <c r="F279" s="329"/>
      <c r="I279" s="330"/>
      <c r="J279" s="330"/>
    </row>
    <row r="280" spans="2:10" ht="12.75" x14ac:dyDescent="0.2">
      <c r="B280" s="331"/>
      <c r="C280" s="327"/>
      <c r="D280" s="331"/>
      <c r="F280" s="329"/>
      <c r="I280" s="330"/>
      <c r="J280" s="330"/>
    </row>
    <row r="281" spans="2:10" ht="12.75" x14ac:dyDescent="0.2">
      <c r="B281" s="331"/>
      <c r="C281" s="327"/>
      <c r="D281" s="331"/>
      <c r="F281" s="329"/>
      <c r="I281" s="330"/>
      <c r="J281" s="330"/>
    </row>
    <row r="282" spans="2:10" ht="12.75" x14ac:dyDescent="0.2">
      <c r="B282" s="331"/>
      <c r="C282" s="327"/>
      <c r="D282" s="331"/>
      <c r="F282" s="329"/>
      <c r="I282" s="330"/>
      <c r="J282" s="330"/>
    </row>
    <row r="283" spans="2:10" ht="12.75" x14ac:dyDescent="0.2">
      <c r="B283" s="331"/>
      <c r="C283" s="327"/>
      <c r="D283" s="331"/>
      <c r="F283" s="329"/>
      <c r="I283" s="330"/>
      <c r="J283" s="330"/>
    </row>
    <row r="284" spans="2:10" ht="12.75" x14ac:dyDescent="0.2">
      <c r="B284" s="331"/>
      <c r="C284" s="327"/>
      <c r="D284" s="331"/>
      <c r="F284" s="329"/>
      <c r="I284" s="330"/>
      <c r="J284" s="330"/>
    </row>
    <row r="285" spans="2:10" ht="12.75" x14ac:dyDescent="0.2">
      <c r="B285" s="331"/>
      <c r="C285" s="327"/>
      <c r="D285" s="331"/>
      <c r="F285" s="329"/>
      <c r="I285" s="330"/>
      <c r="J285" s="330"/>
    </row>
    <row r="286" spans="2:10" ht="12.75" x14ac:dyDescent="0.2">
      <c r="B286" s="331"/>
      <c r="C286" s="327"/>
      <c r="D286" s="331"/>
      <c r="F286" s="329"/>
      <c r="I286" s="330"/>
      <c r="J286" s="330"/>
    </row>
    <row r="287" spans="2:10" ht="12.75" x14ac:dyDescent="0.2">
      <c r="B287" s="331"/>
      <c r="C287" s="327"/>
      <c r="D287" s="331"/>
      <c r="F287" s="329"/>
      <c r="I287" s="330"/>
      <c r="J287" s="330"/>
    </row>
    <row r="288" spans="2:10" ht="12.75" x14ac:dyDescent="0.2">
      <c r="B288" s="331"/>
      <c r="C288" s="327"/>
      <c r="D288" s="331"/>
      <c r="F288" s="329"/>
      <c r="I288" s="330"/>
      <c r="J288" s="330"/>
    </row>
    <row r="289" spans="2:10" ht="12.75" x14ac:dyDescent="0.2">
      <c r="B289" s="331"/>
      <c r="C289" s="327"/>
      <c r="D289" s="331"/>
      <c r="F289" s="329"/>
      <c r="I289" s="330"/>
      <c r="J289" s="330"/>
    </row>
    <row r="290" spans="2:10" ht="12.75" x14ac:dyDescent="0.2">
      <c r="B290" s="331"/>
      <c r="C290" s="327"/>
      <c r="D290" s="331"/>
      <c r="F290" s="329"/>
      <c r="I290" s="330"/>
      <c r="J290" s="330"/>
    </row>
    <row r="291" spans="2:10" ht="12.75" x14ac:dyDescent="0.2">
      <c r="B291" s="331"/>
      <c r="C291" s="327"/>
      <c r="D291" s="331"/>
      <c r="F291" s="329"/>
      <c r="I291" s="330"/>
      <c r="J291" s="330"/>
    </row>
    <row r="292" spans="2:10" ht="12.75" x14ac:dyDescent="0.2">
      <c r="B292" s="331"/>
      <c r="C292" s="327"/>
      <c r="D292" s="331"/>
      <c r="F292" s="329"/>
      <c r="I292" s="330"/>
      <c r="J292" s="330"/>
    </row>
    <row r="293" spans="2:10" ht="12.75" x14ac:dyDescent="0.2">
      <c r="B293" s="331"/>
      <c r="C293" s="327"/>
      <c r="D293" s="331"/>
      <c r="F293" s="329"/>
      <c r="I293" s="330"/>
      <c r="J293" s="330"/>
    </row>
    <row r="294" spans="2:10" ht="12.75" x14ac:dyDescent="0.2">
      <c r="B294" s="331"/>
      <c r="C294" s="327"/>
      <c r="D294" s="331"/>
      <c r="F294" s="329"/>
      <c r="I294" s="330"/>
      <c r="J294" s="330"/>
    </row>
    <row r="295" spans="2:10" ht="12.75" x14ac:dyDescent="0.2">
      <c r="B295" s="331"/>
      <c r="C295" s="327"/>
      <c r="D295" s="331"/>
      <c r="F295" s="329"/>
      <c r="I295" s="330"/>
      <c r="J295" s="330"/>
    </row>
    <row r="296" spans="2:10" ht="12.75" x14ac:dyDescent="0.2">
      <c r="B296" s="331"/>
      <c r="C296" s="327"/>
      <c r="D296" s="331"/>
      <c r="F296" s="329"/>
      <c r="I296" s="330"/>
      <c r="J296" s="330"/>
    </row>
    <row r="297" spans="2:10" ht="12.75" x14ac:dyDescent="0.2">
      <c r="B297" s="331"/>
      <c r="C297" s="327"/>
      <c r="D297" s="331"/>
      <c r="F297" s="329"/>
      <c r="I297" s="330"/>
      <c r="J297" s="330"/>
    </row>
    <row r="298" spans="2:10" ht="12.75" x14ac:dyDescent="0.2">
      <c r="B298" s="331"/>
      <c r="C298" s="327"/>
      <c r="D298" s="331"/>
      <c r="F298" s="329"/>
      <c r="I298" s="330"/>
      <c r="J298" s="330"/>
    </row>
    <row r="299" spans="2:10" ht="12.75" x14ac:dyDescent="0.2">
      <c r="B299" s="331"/>
      <c r="C299" s="327"/>
      <c r="D299" s="331"/>
      <c r="F299" s="329"/>
      <c r="I299" s="330"/>
      <c r="J299" s="330"/>
    </row>
    <row r="300" spans="2:10" ht="12.75" x14ac:dyDescent="0.2">
      <c r="B300" s="331"/>
      <c r="C300" s="327"/>
      <c r="D300" s="331"/>
      <c r="F300" s="329"/>
      <c r="I300" s="330"/>
      <c r="J300" s="330"/>
    </row>
    <row r="301" spans="2:10" ht="12.75" x14ac:dyDescent="0.2">
      <c r="B301" s="331"/>
      <c r="C301" s="327"/>
      <c r="D301" s="331"/>
      <c r="F301" s="329"/>
      <c r="I301" s="330"/>
      <c r="J301" s="330"/>
    </row>
    <row r="302" spans="2:10" ht="12.75" x14ac:dyDescent="0.2">
      <c r="B302" s="331"/>
      <c r="C302" s="327"/>
      <c r="D302" s="331"/>
      <c r="F302" s="329"/>
      <c r="I302" s="330"/>
      <c r="J302" s="330"/>
    </row>
    <row r="303" spans="2:10" ht="12.75" x14ac:dyDescent="0.2">
      <c r="B303" s="331"/>
      <c r="C303" s="327"/>
      <c r="D303" s="331"/>
      <c r="F303" s="329"/>
      <c r="I303" s="330"/>
      <c r="J303" s="330"/>
    </row>
    <row r="304" spans="2:10" ht="12.75" x14ac:dyDescent="0.2">
      <c r="B304" s="331"/>
      <c r="C304" s="327"/>
      <c r="D304" s="331"/>
      <c r="F304" s="329"/>
      <c r="I304" s="330"/>
      <c r="J304" s="330"/>
    </row>
    <row r="305" spans="2:10" ht="12.75" x14ac:dyDescent="0.2">
      <c r="B305" s="331"/>
      <c r="C305" s="327"/>
      <c r="D305" s="331"/>
      <c r="F305" s="329"/>
      <c r="I305" s="330"/>
      <c r="J305" s="330"/>
    </row>
    <row r="306" spans="2:10" ht="12.75" x14ac:dyDescent="0.2">
      <c r="B306" s="331"/>
      <c r="C306" s="327"/>
      <c r="D306" s="331"/>
      <c r="F306" s="329"/>
      <c r="I306" s="330"/>
      <c r="J306" s="330"/>
    </row>
    <row r="307" spans="2:10" ht="12.75" x14ac:dyDescent="0.2">
      <c r="B307" s="331"/>
      <c r="C307" s="327"/>
      <c r="D307" s="331"/>
      <c r="F307" s="329"/>
      <c r="I307" s="330"/>
      <c r="J307" s="330"/>
    </row>
    <row r="308" spans="2:10" ht="12.75" x14ac:dyDescent="0.2">
      <c r="B308" s="331"/>
      <c r="C308" s="327"/>
      <c r="D308" s="331"/>
      <c r="F308" s="329"/>
      <c r="I308" s="330"/>
      <c r="J308" s="330"/>
    </row>
    <row r="309" spans="2:10" ht="12.75" x14ac:dyDescent="0.2">
      <c r="B309" s="331"/>
      <c r="C309" s="327"/>
      <c r="D309" s="331"/>
      <c r="F309" s="329"/>
      <c r="I309" s="330"/>
      <c r="J309" s="330"/>
    </row>
    <row r="310" spans="2:10" ht="12.75" x14ac:dyDescent="0.2">
      <c r="B310" s="331"/>
      <c r="C310" s="327"/>
      <c r="D310" s="331"/>
      <c r="F310" s="329"/>
      <c r="I310" s="330"/>
      <c r="J310" s="330"/>
    </row>
    <row r="311" spans="2:10" ht="12.75" x14ac:dyDescent="0.2">
      <c r="B311" s="331"/>
      <c r="C311" s="327"/>
      <c r="D311" s="331"/>
      <c r="F311" s="329"/>
      <c r="I311" s="330"/>
      <c r="J311" s="330"/>
    </row>
    <row r="312" spans="2:10" ht="12.75" x14ac:dyDescent="0.2">
      <c r="B312" s="331"/>
      <c r="C312" s="327"/>
      <c r="D312" s="331"/>
      <c r="F312" s="329"/>
      <c r="I312" s="330"/>
      <c r="J312" s="330"/>
    </row>
    <row r="313" spans="2:10" ht="12.75" x14ac:dyDescent="0.2">
      <c r="B313" s="331"/>
      <c r="C313" s="327"/>
      <c r="D313" s="331"/>
      <c r="F313" s="329"/>
      <c r="I313" s="330"/>
      <c r="J313" s="330"/>
    </row>
    <row r="314" spans="2:10" ht="12.75" x14ac:dyDescent="0.2">
      <c r="B314" s="331"/>
      <c r="C314" s="327"/>
      <c r="D314" s="331"/>
      <c r="F314" s="329"/>
      <c r="I314" s="330"/>
      <c r="J314" s="330"/>
    </row>
    <row r="315" spans="2:10" ht="12.75" x14ac:dyDescent="0.2">
      <c r="B315" s="331"/>
      <c r="C315" s="327"/>
      <c r="D315" s="331"/>
      <c r="F315" s="329"/>
      <c r="I315" s="330"/>
      <c r="J315" s="330"/>
    </row>
    <row r="316" spans="2:10" ht="12.75" x14ac:dyDescent="0.2">
      <c r="B316" s="331"/>
      <c r="C316" s="327"/>
      <c r="D316" s="331"/>
      <c r="F316" s="329"/>
      <c r="I316" s="330"/>
      <c r="J316" s="330"/>
    </row>
    <row r="317" spans="2:10" ht="12.75" x14ac:dyDescent="0.2">
      <c r="B317" s="331"/>
      <c r="C317" s="327"/>
      <c r="D317" s="331"/>
      <c r="F317" s="329"/>
      <c r="I317" s="330"/>
      <c r="J317" s="330"/>
    </row>
    <row r="318" spans="2:10" ht="12.75" x14ac:dyDescent="0.2">
      <c r="B318" s="331"/>
      <c r="C318" s="327"/>
      <c r="D318" s="331"/>
      <c r="F318" s="329"/>
      <c r="I318" s="330"/>
      <c r="J318" s="330"/>
    </row>
    <row r="319" spans="2:10" ht="12.75" x14ac:dyDescent="0.2">
      <c r="B319" s="331"/>
      <c r="C319" s="327"/>
      <c r="D319" s="331"/>
      <c r="F319" s="329"/>
      <c r="I319" s="330"/>
      <c r="J319" s="330"/>
    </row>
    <row r="320" spans="2:10" ht="12.75" x14ac:dyDescent="0.2">
      <c r="B320" s="331"/>
      <c r="C320" s="327"/>
      <c r="D320" s="331"/>
      <c r="F320" s="329"/>
      <c r="I320" s="330"/>
      <c r="J320" s="330"/>
    </row>
    <row r="321" spans="2:10" ht="12.75" x14ac:dyDescent="0.2">
      <c r="B321" s="331"/>
      <c r="C321" s="327"/>
      <c r="D321" s="331"/>
      <c r="F321" s="329"/>
      <c r="I321" s="330"/>
      <c r="J321" s="330"/>
    </row>
    <row r="322" spans="2:10" ht="12.75" x14ac:dyDescent="0.2">
      <c r="B322" s="331"/>
      <c r="C322" s="327"/>
      <c r="D322" s="331"/>
      <c r="F322" s="329"/>
      <c r="I322" s="330"/>
      <c r="J322" s="330"/>
    </row>
    <row r="323" spans="2:10" ht="12.75" x14ac:dyDescent="0.2">
      <c r="B323" s="331"/>
      <c r="C323" s="327"/>
      <c r="D323" s="331"/>
      <c r="F323" s="329"/>
      <c r="I323" s="330"/>
      <c r="J323" s="330"/>
    </row>
    <row r="324" spans="2:10" ht="12.75" x14ac:dyDescent="0.2">
      <c r="B324" s="331"/>
      <c r="C324" s="327"/>
      <c r="D324" s="331"/>
      <c r="F324" s="329"/>
      <c r="I324" s="330"/>
      <c r="J324" s="330"/>
    </row>
    <row r="325" spans="2:10" ht="12.75" x14ac:dyDescent="0.2">
      <c r="B325" s="331"/>
      <c r="C325" s="327"/>
      <c r="D325" s="331"/>
      <c r="F325" s="329"/>
      <c r="I325" s="330"/>
      <c r="J325" s="330"/>
    </row>
    <row r="326" spans="2:10" ht="12.75" x14ac:dyDescent="0.2">
      <c r="B326" s="331"/>
      <c r="C326" s="327"/>
      <c r="D326" s="331"/>
      <c r="F326" s="329"/>
      <c r="I326" s="330"/>
      <c r="J326" s="330"/>
    </row>
    <row r="327" spans="2:10" ht="12.75" x14ac:dyDescent="0.2">
      <c r="B327" s="331"/>
      <c r="C327" s="327"/>
      <c r="D327" s="331"/>
      <c r="F327" s="329"/>
      <c r="I327" s="330"/>
      <c r="J327" s="330"/>
    </row>
    <row r="328" spans="2:10" ht="12.75" x14ac:dyDescent="0.2">
      <c r="B328" s="331"/>
      <c r="C328" s="327"/>
      <c r="D328" s="331"/>
      <c r="F328" s="329"/>
      <c r="I328" s="330"/>
      <c r="J328" s="330"/>
    </row>
    <row r="329" spans="2:10" ht="12.75" x14ac:dyDescent="0.2">
      <c r="B329" s="331"/>
      <c r="C329" s="327"/>
      <c r="D329" s="331"/>
      <c r="F329" s="329"/>
      <c r="I329" s="330"/>
      <c r="J329" s="330"/>
    </row>
    <row r="330" spans="2:10" ht="12.75" x14ac:dyDescent="0.2">
      <c r="B330" s="331"/>
      <c r="C330" s="327"/>
      <c r="D330" s="331"/>
      <c r="F330" s="329"/>
      <c r="I330" s="330"/>
      <c r="J330" s="330"/>
    </row>
    <row r="331" spans="2:10" ht="12.75" x14ac:dyDescent="0.2">
      <c r="B331" s="331"/>
      <c r="C331" s="327"/>
      <c r="D331" s="331"/>
      <c r="F331" s="329"/>
      <c r="I331" s="330"/>
      <c r="J331" s="330"/>
    </row>
    <row r="332" spans="2:10" ht="12.75" x14ac:dyDescent="0.2">
      <c r="B332" s="331"/>
      <c r="C332" s="327"/>
      <c r="D332" s="331"/>
      <c r="F332" s="329"/>
      <c r="I332" s="330"/>
      <c r="J332" s="330"/>
    </row>
    <row r="333" spans="2:10" ht="12.75" x14ac:dyDescent="0.2">
      <c r="B333" s="331"/>
      <c r="C333" s="327"/>
      <c r="D333" s="331"/>
      <c r="F333" s="329"/>
      <c r="I333" s="330"/>
      <c r="J333" s="330"/>
    </row>
    <row r="334" spans="2:10" ht="12.75" x14ac:dyDescent="0.2">
      <c r="B334" s="331"/>
      <c r="C334" s="327"/>
      <c r="D334" s="331"/>
      <c r="F334" s="329"/>
      <c r="I334" s="330"/>
      <c r="J334" s="330"/>
    </row>
    <row r="335" spans="2:10" ht="12.75" x14ac:dyDescent="0.2">
      <c r="B335" s="331"/>
      <c r="C335" s="327"/>
      <c r="D335" s="331"/>
      <c r="F335" s="329"/>
      <c r="I335" s="330"/>
      <c r="J335" s="330"/>
    </row>
    <row r="336" spans="2:10" ht="12.75" x14ac:dyDescent="0.2">
      <c r="B336" s="331"/>
      <c r="C336" s="327"/>
      <c r="D336" s="331"/>
      <c r="F336" s="329"/>
      <c r="I336" s="330"/>
      <c r="J336" s="330"/>
    </row>
    <row r="337" spans="2:10" ht="12.75" x14ac:dyDescent="0.2">
      <c r="B337" s="331"/>
      <c r="C337" s="327"/>
      <c r="D337" s="331"/>
      <c r="F337" s="329"/>
      <c r="I337" s="330"/>
      <c r="J337" s="330"/>
    </row>
    <row r="338" spans="2:10" ht="12.75" x14ac:dyDescent="0.2">
      <c r="B338" s="331"/>
      <c r="C338" s="327"/>
      <c r="D338" s="331"/>
      <c r="F338" s="329"/>
      <c r="I338" s="330"/>
      <c r="J338" s="330"/>
    </row>
    <row r="339" spans="2:10" ht="12.75" x14ac:dyDescent="0.2">
      <c r="B339" s="331"/>
      <c r="C339" s="327"/>
      <c r="D339" s="331"/>
      <c r="F339" s="329"/>
      <c r="I339" s="330"/>
      <c r="J339" s="330"/>
    </row>
    <row r="340" spans="2:10" ht="12.75" x14ac:dyDescent="0.2">
      <c r="B340" s="331"/>
      <c r="C340" s="327"/>
      <c r="D340" s="331"/>
      <c r="F340" s="329"/>
      <c r="I340" s="330"/>
      <c r="J340" s="330"/>
    </row>
    <row r="341" spans="2:10" ht="12.75" x14ac:dyDescent="0.2">
      <c r="B341" s="331"/>
      <c r="C341" s="327"/>
      <c r="D341" s="331"/>
      <c r="F341" s="329"/>
      <c r="I341" s="330"/>
      <c r="J341" s="330"/>
    </row>
    <row r="342" spans="2:10" ht="12.75" x14ac:dyDescent="0.2">
      <c r="B342" s="331"/>
      <c r="C342" s="327"/>
      <c r="D342" s="331"/>
      <c r="F342" s="329"/>
      <c r="I342" s="330"/>
      <c r="J342" s="330"/>
    </row>
    <row r="343" spans="2:10" ht="12.75" x14ac:dyDescent="0.2">
      <c r="B343" s="331"/>
      <c r="C343" s="327"/>
      <c r="D343" s="331"/>
      <c r="F343" s="329"/>
      <c r="I343" s="330"/>
      <c r="J343" s="330"/>
    </row>
    <row r="344" spans="2:10" ht="12.75" x14ac:dyDescent="0.2">
      <c r="B344" s="331"/>
      <c r="C344" s="327"/>
      <c r="D344" s="331"/>
      <c r="F344" s="329"/>
      <c r="I344" s="330"/>
      <c r="J344" s="330"/>
    </row>
    <row r="345" spans="2:10" ht="12.75" x14ac:dyDescent="0.2">
      <c r="B345" s="331"/>
      <c r="C345" s="327"/>
      <c r="D345" s="331"/>
      <c r="F345" s="329"/>
      <c r="I345" s="330"/>
      <c r="J345" s="330"/>
    </row>
    <row r="346" spans="2:10" ht="12.75" x14ac:dyDescent="0.2">
      <c r="B346" s="331"/>
      <c r="C346" s="327"/>
      <c r="D346" s="331"/>
      <c r="F346" s="329"/>
      <c r="I346" s="330"/>
      <c r="J346" s="330"/>
    </row>
    <row r="347" spans="2:10" ht="12.75" x14ac:dyDescent="0.2">
      <c r="B347" s="331"/>
      <c r="C347" s="327"/>
      <c r="D347" s="331"/>
      <c r="F347" s="329"/>
      <c r="I347" s="330"/>
      <c r="J347" s="330"/>
    </row>
    <row r="348" spans="2:10" ht="12.75" x14ac:dyDescent="0.2">
      <c r="B348" s="331"/>
      <c r="C348" s="327"/>
      <c r="D348" s="331"/>
      <c r="F348" s="329"/>
      <c r="I348" s="330"/>
      <c r="J348" s="330"/>
    </row>
    <row r="349" spans="2:10" ht="12.75" x14ac:dyDescent="0.2">
      <c r="B349" s="331"/>
      <c r="C349" s="327"/>
      <c r="D349" s="331"/>
      <c r="F349" s="329"/>
      <c r="I349" s="330"/>
      <c r="J349" s="330"/>
    </row>
    <row r="350" spans="2:10" ht="12.75" x14ac:dyDescent="0.2">
      <c r="B350" s="331"/>
      <c r="C350" s="327"/>
      <c r="D350" s="331"/>
      <c r="F350" s="329"/>
      <c r="I350" s="330"/>
      <c r="J350" s="330"/>
    </row>
    <row r="351" spans="2:10" ht="12.75" x14ac:dyDescent="0.2">
      <c r="B351" s="331"/>
      <c r="C351" s="327"/>
      <c r="D351" s="331"/>
      <c r="F351" s="329"/>
      <c r="I351" s="330"/>
      <c r="J351" s="330"/>
    </row>
    <row r="352" spans="2:10" ht="12.75" x14ac:dyDescent="0.2">
      <c r="B352" s="331"/>
      <c r="C352" s="327"/>
      <c r="D352" s="331"/>
      <c r="F352" s="329"/>
      <c r="I352" s="330"/>
      <c r="J352" s="330"/>
    </row>
    <row r="353" spans="2:10" ht="12.75" x14ac:dyDescent="0.2">
      <c r="B353" s="331"/>
      <c r="C353" s="327"/>
      <c r="D353" s="331"/>
      <c r="F353" s="329"/>
      <c r="I353" s="330"/>
      <c r="J353" s="330"/>
    </row>
    <row r="354" spans="2:10" ht="12.75" x14ac:dyDescent="0.2">
      <c r="B354" s="331"/>
      <c r="C354" s="327"/>
      <c r="D354" s="331"/>
      <c r="F354" s="329"/>
      <c r="I354" s="330"/>
      <c r="J354" s="330"/>
    </row>
    <row r="355" spans="2:10" ht="12.75" x14ac:dyDescent="0.2">
      <c r="B355" s="331"/>
      <c r="C355" s="327"/>
      <c r="D355" s="331"/>
      <c r="F355" s="329"/>
      <c r="I355" s="330"/>
      <c r="J355" s="330"/>
    </row>
    <row r="356" spans="2:10" ht="12.75" x14ac:dyDescent="0.2">
      <c r="B356" s="331"/>
      <c r="C356" s="327"/>
      <c r="D356" s="331"/>
      <c r="F356" s="329"/>
      <c r="I356" s="330"/>
      <c r="J356" s="330"/>
    </row>
    <row r="357" spans="2:10" ht="12.75" x14ac:dyDescent="0.2">
      <c r="B357" s="331"/>
      <c r="C357" s="327"/>
      <c r="D357" s="331"/>
      <c r="F357" s="329"/>
      <c r="I357" s="330"/>
      <c r="J357" s="330"/>
    </row>
    <row r="358" spans="2:10" ht="12.75" x14ac:dyDescent="0.2">
      <c r="B358" s="331"/>
      <c r="C358" s="327"/>
      <c r="D358" s="331"/>
      <c r="F358" s="329"/>
      <c r="I358" s="330"/>
      <c r="J358" s="330"/>
    </row>
    <row r="359" spans="2:10" ht="12.75" x14ac:dyDescent="0.2">
      <c r="B359" s="331"/>
      <c r="C359" s="327"/>
      <c r="D359" s="331"/>
      <c r="F359" s="329"/>
      <c r="I359" s="330"/>
      <c r="J359" s="330"/>
    </row>
    <row r="360" spans="2:10" ht="12.75" x14ac:dyDescent="0.2">
      <c r="B360" s="331"/>
      <c r="C360" s="327"/>
      <c r="D360" s="331"/>
      <c r="F360" s="329"/>
      <c r="I360" s="330"/>
      <c r="J360" s="330"/>
    </row>
    <row r="361" spans="2:10" ht="12.75" x14ac:dyDescent="0.2">
      <c r="B361" s="331"/>
      <c r="C361" s="327"/>
      <c r="D361" s="331"/>
      <c r="F361" s="329"/>
      <c r="I361" s="330"/>
      <c r="J361" s="330"/>
    </row>
    <row r="362" spans="2:10" ht="12.75" x14ac:dyDescent="0.2">
      <c r="B362" s="331"/>
      <c r="C362" s="327"/>
      <c r="D362" s="331"/>
      <c r="F362" s="329"/>
      <c r="I362" s="330"/>
      <c r="J362" s="330"/>
    </row>
    <row r="363" spans="2:10" ht="12.75" x14ac:dyDescent="0.2">
      <c r="B363" s="331"/>
      <c r="C363" s="327"/>
      <c r="D363" s="331"/>
      <c r="F363" s="329"/>
      <c r="I363" s="330"/>
      <c r="J363" s="330"/>
    </row>
    <row r="364" spans="2:10" ht="12.75" x14ac:dyDescent="0.2">
      <c r="B364" s="331"/>
      <c r="C364" s="327"/>
      <c r="D364" s="331"/>
      <c r="F364" s="329"/>
      <c r="I364" s="330"/>
      <c r="J364" s="330"/>
    </row>
    <row r="365" spans="2:10" ht="12.75" x14ac:dyDescent="0.2">
      <c r="B365" s="331"/>
      <c r="C365" s="327"/>
      <c r="D365" s="331"/>
      <c r="F365" s="329"/>
      <c r="I365" s="330"/>
      <c r="J365" s="330"/>
    </row>
    <row r="366" spans="2:10" ht="12.75" x14ac:dyDescent="0.2">
      <c r="B366" s="331"/>
      <c r="C366" s="327"/>
      <c r="D366" s="331"/>
      <c r="F366" s="329"/>
      <c r="I366" s="330"/>
      <c r="J366" s="330"/>
    </row>
    <row r="367" spans="2:10" ht="12.75" x14ac:dyDescent="0.2">
      <c r="B367" s="331"/>
      <c r="C367" s="327"/>
      <c r="D367" s="331"/>
      <c r="F367" s="329"/>
      <c r="I367" s="330"/>
      <c r="J367" s="330"/>
    </row>
    <row r="368" spans="2:10" ht="12.75" x14ac:dyDescent="0.2">
      <c r="B368" s="331"/>
      <c r="C368" s="327"/>
      <c r="D368" s="331"/>
      <c r="F368" s="329"/>
      <c r="I368" s="330"/>
      <c r="J368" s="330"/>
    </row>
    <row r="369" spans="2:10" ht="12.75" x14ac:dyDescent="0.2">
      <c r="B369" s="331"/>
      <c r="C369" s="327"/>
      <c r="D369" s="331"/>
      <c r="F369" s="329"/>
      <c r="I369" s="330"/>
      <c r="J369" s="330"/>
    </row>
    <row r="370" spans="2:10" ht="12.75" x14ac:dyDescent="0.2">
      <c r="B370" s="331"/>
      <c r="C370" s="327"/>
      <c r="D370" s="331"/>
      <c r="F370" s="329"/>
      <c r="I370" s="330"/>
      <c r="J370" s="330"/>
    </row>
    <row r="371" spans="2:10" ht="12.75" x14ac:dyDescent="0.2">
      <c r="B371" s="331"/>
      <c r="C371" s="327"/>
      <c r="D371" s="331"/>
      <c r="F371" s="329"/>
      <c r="I371" s="330"/>
      <c r="J371" s="330"/>
    </row>
    <row r="372" spans="2:10" ht="12.75" x14ac:dyDescent="0.2">
      <c r="B372" s="331"/>
      <c r="C372" s="327"/>
      <c r="D372" s="331"/>
      <c r="F372" s="329"/>
      <c r="I372" s="330"/>
      <c r="J372" s="330"/>
    </row>
    <row r="373" spans="2:10" ht="12.75" x14ac:dyDescent="0.2">
      <c r="B373" s="331"/>
      <c r="C373" s="327"/>
      <c r="D373" s="331"/>
      <c r="F373" s="329"/>
      <c r="I373" s="330"/>
      <c r="J373" s="330"/>
    </row>
    <row r="374" spans="2:10" ht="12.75" x14ac:dyDescent="0.2">
      <c r="B374" s="331"/>
      <c r="C374" s="327"/>
      <c r="D374" s="331"/>
      <c r="F374" s="329"/>
      <c r="I374" s="330"/>
      <c r="J374" s="330"/>
    </row>
    <row r="375" spans="2:10" ht="12.75" x14ac:dyDescent="0.2">
      <c r="B375" s="331"/>
      <c r="C375" s="327"/>
      <c r="D375" s="331"/>
      <c r="F375" s="329"/>
      <c r="I375" s="330"/>
      <c r="J375" s="330"/>
    </row>
    <row r="376" spans="2:10" ht="12.75" x14ac:dyDescent="0.2">
      <c r="B376" s="331"/>
      <c r="C376" s="327"/>
      <c r="D376" s="331"/>
      <c r="F376" s="329"/>
      <c r="I376" s="330"/>
      <c r="J376" s="330"/>
    </row>
    <row r="377" spans="2:10" ht="12.75" x14ac:dyDescent="0.2">
      <c r="B377" s="331"/>
      <c r="C377" s="327"/>
      <c r="D377" s="331"/>
      <c r="F377" s="329"/>
      <c r="I377" s="330"/>
      <c r="J377" s="330"/>
    </row>
    <row r="378" spans="2:10" ht="12.75" x14ac:dyDescent="0.2">
      <c r="B378" s="331"/>
      <c r="C378" s="327"/>
      <c r="D378" s="331"/>
      <c r="F378" s="329"/>
      <c r="I378" s="330"/>
      <c r="J378" s="330"/>
    </row>
    <row r="379" spans="2:10" ht="12.75" x14ac:dyDescent="0.2">
      <c r="B379" s="331"/>
      <c r="C379" s="327"/>
      <c r="D379" s="331"/>
      <c r="F379" s="329"/>
      <c r="I379" s="330"/>
      <c r="J379" s="330"/>
    </row>
    <row r="380" spans="2:10" ht="12.75" x14ac:dyDescent="0.2">
      <c r="B380" s="331"/>
      <c r="C380" s="327"/>
      <c r="D380" s="331"/>
      <c r="F380" s="329"/>
      <c r="I380" s="330"/>
      <c r="J380" s="330"/>
    </row>
    <row r="381" spans="2:10" ht="12.75" x14ac:dyDescent="0.2">
      <c r="B381" s="331"/>
      <c r="C381" s="327"/>
      <c r="D381" s="331"/>
      <c r="F381" s="329"/>
      <c r="I381" s="330"/>
      <c r="J381" s="330"/>
    </row>
    <row r="382" spans="2:10" ht="12.75" x14ac:dyDescent="0.2">
      <c r="B382" s="331"/>
      <c r="C382" s="327"/>
      <c r="D382" s="331"/>
      <c r="F382" s="329"/>
      <c r="I382" s="330"/>
      <c r="J382" s="330"/>
    </row>
    <row r="383" spans="2:10" ht="12.75" x14ac:dyDescent="0.2">
      <c r="B383" s="331"/>
      <c r="C383" s="327"/>
      <c r="D383" s="331"/>
      <c r="F383" s="329"/>
      <c r="I383" s="330"/>
      <c r="J383" s="330"/>
    </row>
    <row r="384" spans="2:10" ht="12.75" x14ac:dyDescent="0.2">
      <c r="B384" s="331"/>
      <c r="C384" s="327"/>
      <c r="D384" s="331"/>
      <c r="F384" s="329"/>
      <c r="I384" s="330"/>
      <c r="J384" s="330"/>
    </row>
    <row r="385" spans="2:10" ht="12.75" x14ac:dyDescent="0.2">
      <c r="B385" s="331"/>
      <c r="C385" s="327"/>
      <c r="D385" s="331"/>
      <c r="F385" s="329"/>
      <c r="I385" s="330"/>
      <c r="J385" s="330"/>
    </row>
    <row r="386" spans="2:10" ht="12.75" x14ac:dyDescent="0.2">
      <c r="B386" s="331"/>
      <c r="C386" s="327"/>
      <c r="D386" s="331"/>
      <c r="F386" s="329"/>
      <c r="I386" s="330"/>
      <c r="J386" s="330"/>
    </row>
    <row r="387" spans="2:10" ht="12.75" x14ac:dyDescent="0.2">
      <c r="B387" s="331"/>
      <c r="C387" s="327"/>
      <c r="D387" s="331"/>
      <c r="F387" s="329"/>
      <c r="I387" s="330"/>
      <c r="J387" s="330"/>
    </row>
    <row r="388" spans="2:10" ht="12.75" x14ac:dyDescent="0.2">
      <c r="B388" s="331"/>
      <c r="C388" s="327"/>
      <c r="D388" s="331"/>
      <c r="F388" s="329"/>
      <c r="I388" s="330"/>
      <c r="J388" s="330"/>
    </row>
    <row r="389" spans="2:10" ht="12.75" x14ac:dyDescent="0.2">
      <c r="B389" s="331"/>
      <c r="C389" s="327"/>
      <c r="D389" s="331"/>
      <c r="F389" s="329"/>
      <c r="I389" s="330"/>
      <c r="J389" s="330"/>
    </row>
    <row r="390" spans="2:10" ht="12.75" x14ac:dyDescent="0.2">
      <c r="B390" s="331"/>
      <c r="C390" s="327"/>
      <c r="D390" s="331"/>
      <c r="F390" s="329"/>
      <c r="I390" s="330"/>
      <c r="J390" s="330"/>
    </row>
    <row r="391" spans="2:10" ht="12.75" x14ac:dyDescent="0.2">
      <c r="B391" s="331"/>
      <c r="C391" s="327"/>
      <c r="D391" s="331"/>
      <c r="F391" s="329"/>
      <c r="I391" s="330"/>
      <c r="J391" s="330"/>
    </row>
    <row r="392" spans="2:10" ht="12.75" x14ac:dyDescent="0.2">
      <c r="B392" s="331"/>
      <c r="C392" s="327"/>
      <c r="D392" s="331"/>
      <c r="F392" s="329"/>
      <c r="I392" s="330"/>
      <c r="J392" s="330"/>
    </row>
    <row r="393" spans="2:10" ht="12.75" x14ac:dyDescent="0.2">
      <c r="B393" s="331"/>
      <c r="C393" s="327"/>
      <c r="D393" s="331"/>
      <c r="F393" s="329"/>
      <c r="I393" s="330"/>
      <c r="J393" s="330"/>
    </row>
    <row r="394" spans="2:10" ht="12.75" x14ac:dyDescent="0.2">
      <c r="B394" s="331"/>
      <c r="C394" s="327"/>
      <c r="D394" s="331"/>
      <c r="F394" s="329"/>
      <c r="I394" s="330"/>
      <c r="J394" s="330"/>
    </row>
    <row r="395" spans="2:10" ht="12.75" x14ac:dyDescent="0.2">
      <c r="B395" s="331"/>
      <c r="C395" s="327"/>
      <c r="D395" s="331"/>
      <c r="F395" s="329"/>
      <c r="I395" s="330"/>
      <c r="J395" s="330"/>
    </row>
    <row r="396" spans="2:10" ht="12.75" x14ac:dyDescent="0.2">
      <c r="B396" s="331"/>
      <c r="C396" s="327"/>
      <c r="D396" s="331"/>
      <c r="F396" s="329"/>
      <c r="I396" s="330"/>
      <c r="J396" s="330"/>
    </row>
    <row r="397" spans="2:10" ht="12.75" x14ac:dyDescent="0.2">
      <c r="B397" s="331"/>
      <c r="C397" s="327"/>
      <c r="D397" s="331"/>
      <c r="F397" s="329"/>
      <c r="I397" s="330"/>
      <c r="J397" s="330"/>
    </row>
    <row r="398" spans="2:10" ht="12.75" x14ac:dyDescent="0.2">
      <c r="B398" s="331"/>
      <c r="C398" s="327"/>
      <c r="D398" s="331"/>
      <c r="F398" s="329"/>
      <c r="I398" s="330"/>
      <c r="J398" s="330"/>
    </row>
    <row r="399" spans="2:10" ht="12.75" x14ac:dyDescent="0.2">
      <c r="B399" s="331"/>
      <c r="C399" s="327"/>
      <c r="D399" s="331"/>
      <c r="F399" s="329"/>
      <c r="I399" s="330"/>
      <c r="J399" s="330"/>
    </row>
    <row r="400" spans="2:10" ht="12.75" x14ac:dyDescent="0.2">
      <c r="B400" s="331"/>
      <c r="C400" s="327"/>
      <c r="D400" s="331"/>
      <c r="F400" s="329"/>
      <c r="I400" s="330"/>
      <c r="J400" s="330"/>
    </row>
    <row r="401" spans="2:10" ht="12.75" x14ac:dyDescent="0.2">
      <c r="B401" s="331"/>
      <c r="C401" s="327"/>
      <c r="D401" s="331"/>
      <c r="F401" s="329"/>
      <c r="I401" s="330"/>
      <c r="J401" s="330"/>
    </row>
    <row r="402" spans="2:10" ht="12.75" x14ac:dyDescent="0.2">
      <c r="B402" s="331"/>
      <c r="C402" s="327"/>
      <c r="D402" s="331"/>
      <c r="F402" s="329"/>
      <c r="I402" s="330"/>
      <c r="J402" s="330"/>
    </row>
    <row r="403" spans="2:10" ht="12.75" x14ac:dyDescent="0.2">
      <c r="B403" s="331"/>
      <c r="C403" s="327"/>
      <c r="D403" s="331"/>
      <c r="F403" s="329"/>
      <c r="I403" s="330"/>
      <c r="J403" s="330"/>
    </row>
    <row r="404" spans="2:10" ht="12.75" x14ac:dyDescent="0.2">
      <c r="B404" s="331"/>
      <c r="C404" s="327"/>
      <c r="D404" s="331"/>
      <c r="F404" s="329"/>
      <c r="I404" s="330"/>
      <c r="J404" s="330"/>
    </row>
    <row r="405" spans="2:10" ht="12.75" x14ac:dyDescent="0.2">
      <c r="B405" s="331"/>
      <c r="C405" s="327"/>
      <c r="D405" s="331"/>
      <c r="F405" s="329"/>
      <c r="I405" s="330"/>
      <c r="J405" s="330"/>
    </row>
    <row r="406" spans="2:10" ht="12.75" x14ac:dyDescent="0.2">
      <c r="B406" s="331"/>
      <c r="C406" s="327"/>
      <c r="D406" s="331"/>
      <c r="F406" s="329"/>
      <c r="I406" s="330"/>
      <c r="J406" s="330"/>
    </row>
    <row r="407" spans="2:10" ht="12.75" x14ac:dyDescent="0.2">
      <c r="B407" s="331"/>
      <c r="C407" s="327"/>
      <c r="D407" s="331"/>
      <c r="F407" s="329"/>
      <c r="I407" s="330"/>
      <c r="J407" s="330"/>
    </row>
    <row r="408" spans="2:10" ht="12.75" x14ac:dyDescent="0.2">
      <c r="B408" s="331"/>
      <c r="C408" s="327"/>
      <c r="D408" s="331"/>
      <c r="F408" s="329"/>
      <c r="I408" s="330"/>
      <c r="J408" s="330"/>
    </row>
    <row r="409" spans="2:10" ht="12.75" x14ac:dyDescent="0.2">
      <c r="B409" s="331"/>
      <c r="C409" s="327"/>
      <c r="D409" s="331"/>
      <c r="F409" s="329"/>
      <c r="I409" s="330"/>
      <c r="J409" s="330"/>
    </row>
    <row r="410" spans="2:10" ht="12.75" x14ac:dyDescent="0.2">
      <c r="B410" s="331"/>
      <c r="C410" s="327"/>
      <c r="D410" s="331"/>
      <c r="F410" s="329"/>
      <c r="I410" s="330"/>
      <c r="J410" s="330"/>
    </row>
    <row r="411" spans="2:10" ht="12.75" x14ac:dyDescent="0.2">
      <c r="B411" s="331"/>
      <c r="C411" s="327"/>
      <c r="D411" s="331"/>
      <c r="F411" s="329"/>
      <c r="I411" s="330"/>
      <c r="J411" s="330"/>
    </row>
    <row r="412" spans="2:10" ht="12.75" x14ac:dyDescent="0.2">
      <c r="B412" s="331"/>
      <c r="C412" s="327"/>
      <c r="D412" s="331"/>
      <c r="F412" s="329"/>
      <c r="I412" s="330"/>
      <c r="J412" s="330"/>
    </row>
    <row r="413" spans="2:10" ht="12.75" x14ac:dyDescent="0.2">
      <c r="B413" s="331"/>
      <c r="C413" s="327"/>
      <c r="D413" s="331"/>
      <c r="F413" s="329"/>
      <c r="I413" s="330"/>
      <c r="J413" s="330"/>
    </row>
    <row r="414" spans="2:10" ht="12.75" x14ac:dyDescent="0.2">
      <c r="B414" s="331"/>
      <c r="C414" s="327"/>
      <c r="D414" s="331"/>
      <c r="F414" s="329"/>
      <c r="I414" s="330"/>
      <c r="J414" s="330"/>
    </row>
    <row r="415" spans="2:10" ht="12.75" x14ac:dyDescent="0.2">
      <c r="B415" s="331"/>
      <c r="C415" s="327"/>
      <c r="D415" s="331"/>
      <c r="F415" s="329"/>
      <c r="I415" s="330"/>
      <c r="J415" s="330"/>
    </row>
    <row r="416" spans="2:10" ht="12.75" x14ac:dyDescent="0.2">
      <c r="B416" s="331"/>
      <c r="C416" s="327"/>
      <c r="D416" s="331"/>
      <c r="F416" s="329"/>
      <c r="I416" s="330"/>
      <c r="J416" s="330"/>
    </row>
    <row r="417" spans="2:10" ht="12.75" x14ac:dyDescent="0.2">
      <c r="B417" s="331"/>
      <c r="C417" s="327"/>
      <c r="D417" s="331"/>
      <c r="F417" s="329"/>
      <c r="I417" s="330"/>
      <c r="J417" s="330"/>
    </row>
    <row r="418" spans="2:10" ht="12.75" x14ac:dyDescent="0.2">
      <c r="B418" s="331"/>
      <c r="C418" s="327"/>
      <c r="D418" s="331"/>
      <c r="F418" s="329"/>
      <c r="I418" s="330"/>
      <c r="J418" s="330"/>
    </row>
    <row r="419" spans="2:10" ht="12.75" x14ac:dyDescent="0.2">
      <c r="B419" s="331"/>
      <c r="C419" s="327"/>
      <c r="D419" s="331"/>
      <c r="F419" s="329"/>
      <c r="I419" s="330"/>
      <c r="J419" s="330"/>
    </row>
    <row r="420" spans="2:10" ht="12.75" x14ac:dyDescent="0.2">
      <c r="B420" s="331"/>
      <c r="C420" s="327"/>
      <c r="D420" s="331"/>
      <c r="F420" s="329"/>
      <c r="I420" s="330"/>
      <c r="J420" s="330"/>
    </row>
    <row r="421" spans="2:10" ht="12.75" x14ac:dyDescent="0.2">
      <c r="B421" s="331"/>
      <c r="C421" s="327"/>
      <c r="D421" s="331"/>
      <c r="F421" s="329"/>
      <c r="I421" s="330"/>
      <c r="J421" s="330"/>
    </row>
    <row r="422" spans="2:10" ht="12.75" x14ac:dyDescent="0.2">
      <c r="B422" s="331"/>
      <c r="C422" s="327"/>
      <c r="D422" s="331"/>
      <c r="F422" s="329"/>
      <c r="I422" s="330"/>
      <c r="J422" s="330"/>
    </row>
    <row r="423" spans="2:10" ht="12.75" x14ac:dyDescent="0.2">
      <c r="B423" s="331"/>
      <c r="C423" s="327"/>
      <c r="D423" s="331"/>
      <c r="F423" s="329"/>
      <c r="I423" s="330"/>
      <c r="J423" s="330"/>
    </row>
    <row r="424" spans="2:10" ht="12.75" x14ac:dyDescent="0.2">
      <c r="B424" s="331"/>
      <c r="C424" s="327"/>
      <c r="D424" s="331"/>
      <c r="F424" s="329"/>
      <c r="I424" s="330"/>
      <c r="J424" s="330"/>
    </row>
    <row r="425" spans="2:10" ht="12.75" x14ac:dyDescent="0.2">
      <c r="B425" s="331"/>
      <c r="C425" s="327"/>
      <c r="D425" s="331"/>
      <c r="F425" s="329"/>
      <c r="I425" s="330"/>
      <c r="J425" s="330"/>
    </row>
    <row r="426" spans="2:10" ht="12.75" x14ac:dyDescent="0.2">
      <c r="B426" s="331"/>
      <c r="C426" s="327"/>
      <c r="D426" s="331"/>
      <c r="F426" s="329"/>
      <c r="I426" s="330"/>
      <c r="J426" s="330"/>
    </row>
    <row r="427" spans="2:10" ht="12.75" x14ac:dyDescent="0.2">
      <c r="B427" s="331"/>
      <c r="C427" s="327"/>
      <c r="D427" s="331"/>
      <c r="F427" s="329"/>
      <c r="I427" s="330"/>
      <c r="J427" s="330"/>
    </row>
    <row r="428" spans="2:10" ht="12.75" x14ac:dyDescent="0.2">
      <c r="B428" s="331"/>
      <c r="C428" s="327"/>
      <c r="D428" s="331"/>
      <c r="F428" s="329"/>
      <c r="I428" s="330"/>
      <c r="J428" s="330"/>
    </row>
    <row r="429" spans="2:10" ht="12.75" x14ac:dyDescent="0.2">
      <c r="B429" s="331"/>
      <c r="C429" s="327"/>
      <c r="D429" s="331"/>
      <c r="F429" s="329"/>
      <c r="I429" s="330"/>
      <c r="J429" s="330"/>
    </row>
    <row r="430" spans="2:10" ht="12.75" x14ac:dyDescent="0.2">
      <c r="B430" s="331"/>
      <c r="C430" s="327"/>
      <c r="D430" s="331"/>
      <c r="F430" s="329"/>
      <c r="I430" s="330"/>
      <c r="J430" s="330"/>
    </row>
    <row r="431" spans="2:10" ht="12.75" x14ac:dyDescent="0.2">
      <c r="B431" s="331"/>
      <c r="C431" s="327"/>
      <c r="D431" s="331"/>
      <c r="F431" s="329"/>
      <c r="I431" s="330"/>
      <c r="J431" s="330"/>
    </row>
    <row r="432" spans="2:10" ht="12.75" x14ac:dyDescent="0.2">
      <c r="B432" s="331"/>
      <c r="C432" s="327"/>
      <c r="D432" s="331"/>
      <c r="F432" s="329"/>
      <c r="I432" s="330"/>
      <c r="J432" s="330"/>
    </row>
    <row r="433" spans="2:10" ht="12.75" x14ac:dyDescent="0.2">
      <c r="B433" s="331"/>
      <c r="C433" s="327"/>
      <c r="D433" s="331"/>
      <c r="F433" s="329"/>
      <c r="I433" s="330"/>
      <c r="J433" s="330"/>
    </row>
    <row r="434" spans="2:10" ht="12.75" x14ac:dyDescent="0.2">
      <c r="B434" s="331"/>
      <c r="C434" s="327"/>
      <c r="D434" s="331"/>
      <c r="F434" s="329"/>
      <c r="I434" s="330"/>
      <c r="J434" s="330"/>
    </row>
    <row r="435" spans="2:10" ht="12.75" x14ac:dyDescent="0.2">
      <c r="B435" s="331"/>
      <c r="C435" s="327"/>
      <c r="D435" s="331"/>
      <c r="F435" s="329"/>
      <c r="I435" s="330"/>
      <c r="J435" s="330"/>
    </row>
    <row r="436" spans="2:10" ht="12.75" x14ac:dyDescent="0.2">
      <c r="B436" s="331"/>
      <c r="C436" s="327"/>
      <c r="D436" s="331"/>
      <c r="F436" s="329"/>
      <c r="I436" s="330"/>
      <c r="J436" s="330"/>
    </row>
    <row r="437" spans="2:10" ht="12.75" x14ac:dyDescent="0.2">
      <c r="B437" s="331"/>
      <c r="C437" s="327"/>
      <c r="D437" s="331"/>
      <c r="F437" s="329"/>
      <c r="I437" s="330"/>
      <c r="J437" s="330"/>
    </row>
    <row r="438" spans="2:10" ht="12.75" x14ac:dyDescent="0.2">
      <c r="B438" s="331"/>
      <c r="C438" s="327"/>
      <c r="D438" s="331"/>
      <c r="F438" s="329"/>
      <c r="I438" s="330"/>
      <c r="J438" s="330"/>
    </row>
    <row r="439" spans="2:10" ht="12.75" x14ac:dyDescent="0.2">
      <c r="B439" s="331"/>
      <c r="C439" s="327"/>
      <c r="D439" s="331"/>
      <c r="F439" s="329"/>
      <c r="I439" s="330"/>
      <c r="J439" s="330"/>
    </row>
    <row r="440" spans="2:10" ht="12.75" x14ac:dyDescent="0.2">
      <c r="B440" s="331"/>
      <c r="C440" s="327"/>
      <c r="D440" s="331"/>
      <c r="F440" s="329"/>
      <c r="I440" s="330"/>
      <c r="J440" s="330"/>
    </row>
    <row r="441" spans="2:10" ht="12.75" x14ac:dyDescent="0.2">
      <c r="B441" s="331"/>
      <c r="C441" s="327"/>
      <c r="D441" s="331"/>
      <c r="F441" s="329"/>
      <c r="I441" s="330"/>
      <c r="J441" s="330"/>
    </row>
    <row r="442" spans="2:10" ht="12.75" x14ac:dyDescent="0.2">
      <c r="B442" s="331"/>
      <c r="C442" s="327"/>
      <c r="D442" s="331"/>
      <c r="F442" s="329"/>
      <c r="I442" s="330"/>
      <c r="J442" s="330"/>
    </row>
    <row r="443" spans="2:10" ht="12.75" x14ac:dyDescent="0.2">
      <c r="B443" s="331"/>
      <c r="C443" s="327"/>
      <c r="D443" s="331"/>
      <c r="F443" s="329"/>
      <c r="I443" s="330"/>
      <c r="J443" s="330"/>
    </row>
    <row r="444" spans="2:10" ht="12.75" x14ac:dyDescent="0.2">
      <c r="B444" s="331"/>
      <c r="C444" s="327"/>
      <c r="D444" s="331"/>
      <c r="F444" s="329"/>
      <c r="I444" s="330"/>
      <c r="J444" s="330"/>
    </row>
    <row r="445" spans="2:10" ht="12.75" x14ac:dyDescent="0.2">
      <c r="B445" s="331"/>
      <c r="C445" s="327"/>
      <c r="D445" s="331"/>
      <c r="F445" s="329"/>
      <c r="I445" s="330"/>
      <c r="J445" s="330"/>
    </row>
    <row r="446" spans="2:10" ht="12.75" x14ac:dyDescent="0.2">
      <c r="B446" s="331"/>
      <c r="C446" s="327"/>
      <c r="D446" s="331"/>
      <c r="F446" s="329"/>
      <c r="I446" s="330"/>
      <c r="J446" s="330"/>
    </row>
    <row r="447" spans="2:10" ht="12.75" x14ac:dyDescent="0.2">
      <c r="B447" s="331"/>
      <c r="C447" s="327"/>
      <c r="D447" s="331"/>
      <c r="F447" s="329"/>
      <c r="I447" s="330"/>
      <c r="J447" s="330"/>
    </row>
    <row r="448" spans="2:10" ht="12.75" x14ac:dyDescent="0.2">
      <c r="B448" s="331"/>
      <c r="C448" s="327"/>
      <c r="D448" s="331"/>
      <c r="F448" s="329"/>
      <c r="I448" s="330"/>
      <c r="J448" s="330"/>
    </row>
    <row r="449" spans="2:10" ht="12.75" x14ac:dyDescent="0.2">
      <c r="B449" s="331"/>
      <c r="C449" s="327"/>
      <c r="D449" s="331"/>
      <c r="F449" s="329"/>
      <c r="I449" s="330"/>
      <c r="J449" s="330"/>
    </row>
    <row r="450" spans="2:10" ht="12.75" x14ac:dyDescent="0.2">
      <c r="B450" s="331"/>
      <c r="C450" s="327"/>
      <c r="D450" s="331"/>
      <c r="F450" s="329"/>
      <c r="I450" s="330"/>
      <c r="J450" s="330"/>
    </row>
    <row r="451" spans="2:10" ht="12.75" x14ac:dyDescent="0.2">
      <c r="B451" s="331"/>
      <c r="C451" s="327"/>
      <c r="D451" s="331"/>
      <c r="F451" s="329"/>
      <c r="I451" s="330"/>
      <c r="J451" s="330"/>
    </row>
    <row r="452" spans="2:10" ht="12.75" x14ac:dyDescent="0.2">
      <c r="B452" s="331"/>
      <c r="C452" s="327"/>
      <c r="D452" s="331"/>
      <c r="F452" s="329"/>
      <c r="I452" s="330"/>
      <c r="J452" s="330"/>
    </row>
    <row r="453" spans="2:10" ht="12.75" x14ac:dyDescent="0.2">
      <c r="B453" s="331"/>
      <c r="C453" s="327"/>
      <c r="D453" s="331"/>
      <c r="F453" s="329"/>
      <c r="I453" s="330"/>
      <c r="J453" s="330"/>
    </row>
    <row r="454" spans="2:10" ht="12.75" x14ac:dyDescent="0.2">
      <c r="B454" s="331"/>
      <c r="C454" s="327"/>
      <c r="D454" s="331"/>
      <c r="F454" s="329"/>
      <c r="I454" s="330"/>
      <c r="J454" s="330"/>
    </row>
    <row r="455" spans="2:10" ht="12.75" x14ac:dyDescent="0.2">
      <c r="B455" s="331"/>
      <c r="C455" s="327"/>
      <c r="D455" s="331"/>
      <c r="F455" s="329"/>
      <c r="I455" s="330"/>
      <c r="J455" s="330"/>
    </row>
    <row r="456" spans="2:10" ht="12.75" x14ac:dyDescent="0.2">
      <c r="B456" s="331"/>
      <c r="C456" s="327"/>
      <c r="D456" s="331"/>
      <c r="F456" s="329"/>
      <c r="I456" s="330"/>
      <c r="J456" s="330"/>
    </row>
    <row r="457" spans="2:10" ht="12.75" x14ac:dyDescent="0.2">
      <c r="B457" s="331"/>
      <c r="C457" s="327"/>
      <c r="D457" s="331"/>
      <c r="F457" s="329"/>
      <c r="I457" s="330"/>
      <c r="J457" s="330"/>
    </row>
    <row r="458" spans="2:10" ht="12.75" x14ac:dyDescent="0.2">
      <c r="B458" s="331"/>
      <c r="C458" s="327"/>
      <c r="D458" s="331"/>
      <c r="F458" s="329"/>
      <c r="I458" s="330"/>
      <c r="J458" s="330"/>
    </row>
    <row r="459" spans="2:10" ht="12.75" x14ac:dyDescent="0.2">
      <c r="B459" s="331"/>
      <c r="C459" s="327"/>
      <c r="D459" s="331"/>
      <c r="F459" s="329"/>
      <c r="I459" s="330"/>
      <c r="J459" s="330"/>
    </row>
    <row r="460" spans="2:10" ht="12.75" x14ac:dyDescent="0.2">
      <c r="B460" s="331"/>
      <c r="C460" s="327"/>
      <c r="D460" s="331"/>
      <c r="F460" s="329"/>
      <c r="I460" s="330"/>
      <c r="J460" s="330"/>
    </row>
    <row r="461" spans="2:10" ht="12.75" x14ac:dyDescent="0.2">
      <c r="B461" s="331"/>
      <c r="C461" s="327"/>
      <c r="D461" s="331"/>
      <c r="F461" s="329"/>
      <c r="I461" s="330"/>
      <c r="J461" s="330"/>
    </row>
    <row r="462" spans="2:10" ht="12.75" x14ac:dyDescent="0.2">
      <c r="B462" s="331"/>
      <c r="C462" s="327"/>
      <c r="D462" s="331"/>
      <c r="F462" s="329"/>
      <c r="I462" s="330"/>
      <c r="J462" s="330"/>
    </row>
    <row r="463" spans="2:10" ht="12.75" x14ac:dyDescent="0.2">
      <c r="B463" s="331"/>
      <c r="C463" s="327"/>
      <c r="D463" s="331"/>
      <c r="F463" s="329"/>
      <c r="I463" s="330"/>
      <c r="J463" s="330"/>
    </row>
    <row r="464" spans="2:10" ht="12.75" x14ac:dyDescent="0.2">
      <c r="B464" s="331"/>
      <c r="C464" s="327"/>
      <c r="D464" s="331"/>
      <c r="F464" s="329"/>
      <c r="I464" s="330"/>
      <c r="J464" s="330"/>
    </row>
    <row r="465" spans="2:10" ht="12.75" x14ac:dyDescent="0.2">
      <c r="B465" s="331"/>
      <c r="C465" s="327"/>
      <c r="D465" s="331"/>
      <c r="F465" s="329"/>
      <c r="I465" s="330"/>
      <c r="J465" s="330"/>
    </row>
    <row r="466" spans="2:10" ht="12.75" x14ac:dyDescent="0.2">
      <c r="B466" s="331"/>
      <c r="C466" s="327"/>
      <c r="D466" s="331"/>
      <c r="F466" s="329"/>
      <c r="I466" s="330"/>
      <c r="J466" s="330"/>
    </row>
    <row r="467" spans="2:10" ht="12.75" x14ac:dyDescent="0.2">
      <c r="B467" s="331"/>
      <c r="C467" s="327"/>
      <c r="D467" s="331"/>
      <c r="F467" s="329"/>
      <c r="I467" s="330"/>
      <c r="J467" s="330"/>
    </row>
    <row r="468" spans="2:10" ht="12.75" x14ac:dyDescent="0.2">
      <c r="B468" s="331"/>
      <c r="C468" s="327"/>
      <c r="D468" s="331"/>
      <c r="F468" s="329"/>
      <c r="I468" s="330"/>
      <c r="J468" s="330"/>
    </row>
    <row r="469" spans="2:10" ht="12.75" x14ac:dyDescent="0.2">
      <c r="B469" s="331"/>
      <c r="C469" s="327"/>
      <c r="D469" s="331"/>
      <c r="F469" s="329"/>
      <c r="I469" s="330"/>
      <c r="J469" s="330"/>
    </row>
    <row r="470" spans="2:10" ht="12.75" x14ac:dyDescent="0.2">
      <c r="B470" s="331"/>
      <c r="C470" s="327"/>
      <c r="D470" s="331"/>
      <c r="F470" s="329"/>
      <c r="I470" s="330"/>
      <c r="J470" s="330"/>
    </row>
    <row r="471" spans="2:10" ht="12.75" x14ac:dyDescent="0.2">
      <c r="B471" s="331"/>
      <c r="C471" s="327"/>
      <c r="D471" s="331"/>
      <c r="F471" s="329"/>
      <c r="I471" s="330"/>
      <c r="J471" s="330"/>
    </row>
    <row r="472" spans="2:10" ht="12.75" x14ac:dyDescent="0.2">
      <c r="B472" s="331"/>
      <c r="C472" s="327"/>
      <c r="D472" s="331"/>
      <c r="F472" s="329"/>
      <c r="I472" s="330"/>
      <c r="J472" s="330"/>
    </row>
    <row r="473" spans="2:10" ht="12.75" x14ac:dyDescent="0.2">
      <c r="B473" s="331"/>
      <c r="C473" s="327"/>
      <c r="D473" s="331"/>
      <c r="F473" s="329"/>
      <c r="I473" s="330"/>
      <c r="J473" s="330"/>
    </row>
    <row r="474" spans="2:10" ht="12.75" x14ac:dyDescent="0.2">
      <c r="B474" s="331"/>
      <c r="C474" s="327"/>
      <c r="D474" s="331"/>
      <c r="F474" s="329"/>
      <c r="I474" s="330"/>
      <c r="J474" s="330"/>
    </row>
    <row r="475" spans="2:10" ht="12.75" x14ac:dyDescent="0.2">
      <c r="B475" s="331"/>
      <c r="C475" s="327"/>
      <c r="D475" s="331"/>
      <c r="F475" s="329"/>
      <c r="I475" s="330"/>
      <c r="J475" s="330"/>
    </row>
    <row r="476" spans="2:10" ht="12.75" x14ac:dyDescent="0.2">
      <c r="B476" s="331"/>
      <c r="C476" s="327"/>
      <c r="D476" s="331"/>
      <c r="F476" s="329"/>
      <c r="I476" s="330"/>
      <c r="J476" s="330"/>
    </row>
    <row r="477" spans="2:10" ht="12.75" x14ac:dyDescent="0.2">
      <c r="B477" s="331"/>
      <c r="C477" s="327"/>
      <c r="D477" s="331"/>
      <c r="F477" s="329"/>
      <c r="I477" s="330"/>
      <c r="J477" s="330"/>
    </row>
    <row r="478" spans="2:10" ht="12.75" x14ac:dyDescent="0.2">
      <c r="B478" s="331"/>
      <c r="C478" s="327"/>
      <c r="D478" s="331"/>
      <c r="F478" s="329"/>
      <c r="I478" s="330"/>
      <c r="J478" s="330"/>
    </row>
    <row r="479" spans="2:10" ht="12.75" x14ac:dyDescent="0.2">
      <c r="B479" s="331"/>
      <c r="C479" s="327"/>
      <c r="D479" s="331"/>
      <c r="F479" s="329"/>
      <c r="I479" s="330"/>
      <c r="J479" s="330"/>
    </row>
    <row r="480" spans="2:10" ht="12.75" x14ac:dyDescent="0.2">
      <c r="B480" s="331"/>
      <c r="C480" s="327"/>
      <c r="D480" s="331"/>
      <c r="F480" s="329"/>
      <c r="I480" s="330"/>
      <c r="J480" s="330"/>
    </row>
    <row r="481" spans="2:10" ht="12.75" x14ac:dyDescent="0.2">
      <c r="B481" s="331"/>
      <c r="C481" s="327"/>
      <c r="D481" s="331"/>
      <c r="F481" s="329"/>
      <c r="I481" s="330"/>
      <c r="J481" s="330"/>
    </row>
    <row r="482" spans="2:10" ht="12.75" x14ac:dyDescent="0.2">
      <c r="B482" s="331"/>
      <c r="C482" s="327"/>
      <c r="D482" s="331"/>
      <c r="F482" s="329"/>
      <c r="I482" s="330"/>
      <c r="J482" s="330"/>
    </row>
    <row r="483" spans="2:10" ht="12.75" x14ac:dyDescent="0.2">
      <c r="B483" s="331"/>
      <c r="C483" s="327"/>
      <c r="D483" s="331"/>
      <c r="F483" s="329"/>
      <c r="I483" s="330"/>
      <c r="J483" s="330"/>
    </row>
    <row r="484" spans="2:10" ht="12.75" x14ac:dyDescent="0.2">
      <c r="B484" s="331"/>
      <c r="C484" s="327"/>
      <c r="D484" s="331"/>
      <c r="F484" s="329"/>
      <c r="I484" s="330"/>
      <c r="J484" s="330"/>
    </row>
    <row r="485" spans="2:10" ht="12.75" x14ac:dyDescent="0.2">
      <c r="B485" s="331"/>
      <c r="C485" s="327"/>
      <c r="D485" s="331"/>
      <c r="F485" s="329"/>
      <c r="I485" s="330"/>
      <c r="J485" s="330"/>
    </row>
    <row r="486" spans="2:10" ht="12.75" x14ac:dyDescent="0.2">
      <c r="B486" s="331"/>
      <c r="C486" s="327"/>
      <c r="D486" s="331"/>
      <c r="F486" s="329"/>
      <c r="I486" s="330"/>
      <c r="J486" s="330"/>
    </row>
    <row r="487" spans="2:10" ht="12.75" x14ac:dyDescent="0.2">
      <c r="B487" s="331"/>
      <c r="C487" s="327"/>
      <c r="D487" s="331"/>
      <c r="F487" s="329"/>
      <c r="I487" s="330"/>
      <c r="J487" s="330"/>
    </row>
    <row r="488" spans="2:10" ht="12.75" x14ac:dyDescent="0.2">
      <c r="B488" s="331"/>
      <c r="C488" s="327"/>
      <c r="D488" s="331"/>
      <c r="F488" s="329"/>
      <c r="I488" s="330"/>
      <c r="J488" s="330"/>
    </row>
    <row r="489" spans="2:10" ht="12.75" x14ac:dyDescent="0.2">
      <c r="B489" s="331"/>
      <c r="C489" s="327"/>
      <c r="D489" s="331"/>
      <c r="F489" s="329"/>
      <c r="I489" s="330"/>
      <c r="J489" s="330"/>
    </row>
    <row r="490" spans="2:10" ht="12.75" x14ac:dyDescent="0.2">
      <c r="B490" s="331"/>
      <c r="C490" s="327"/>
      <c r="D490" s="331"/>
      <c r="F490" s="329"/>
      <c r="I490" s="330"/>
      <c r="J490" s="330"/>
    </row>
    <row r="491" spans="2:10" ht="12.75" x14ac:dyDescent="0.2">
      <c r="B491" s="331"/>
      <c r="C491" s="327"/>
      <c r="D491" s="331"/>
      <c r="F491" s="329"/>
      <c r="I491" s="330"/>
      <c r="J491" s="330"/>
    </row>
    <row r="492" spans="2:10" ht="12.75" x14ac:dyDescent="0.2">
      <c r="B492" s="331"/>
      <c r="C492" s="327"/>
      <c r="D492" s="331"/>
      <c r="F492" s="329"/>
      <c r="I492" s="330"/>
      <c r="J492" s="330"/>
    </row>
    <row r="493" spans="2:10" ht="12.75" x14ac:dyDescent="0.2">
      <c r="B493" s="331"/>
      <c r="C493" s="327"/>
      <c r="D493" s="331"/>
      <c r="F493" s="329"/>
      <c r="I493" s="330"/>
      <c r="J493" s="330"/>
    </row>
    <row r="494" spans="2:10" ht="12.75" x14ac:dyDescent="0.2">
      <c r="B494" s="331"/>
      <c r="C494" s="327"/>
      <c r="D494" s="331"/>
      <c r="F494" s="329"/>
      <c r="I494" s="330"/>
      <c r="J494" s="330"/>
    </row>
    <row r="495" spans="2:10" ht="12.75" x14ac:dyDescent="0.2">
      <c r="B495" s="331"/>
      <c r="C495" s="327"/>
      <c r="D495" s="331"/>
      <c r="F495" s="329"/>
      <c r="I495" s="330"/>
      <c r="J495" s="330"/>
    </row>
    <row r="496" spans="2:10" ht="12.75" x14ac:dyDescent="0.2">
      <c r="B496" s="331"/>
      <c r="C496" s="327"/>
      <c r="D496" s="331"/>
      <c r="F496" s="329"/>
      <c r="I496" s="330"/>
      <c r="J496" s="330"/>
    </row>
    <row r="497" spans="2:10" ht="12.75" x14ac:dyDescent="0.2">
      <c r="B497" s="331"/>
      <c r="C497" s="327"/>
      <c r="D497" s="331"/>
      <c r="F497" s="329"/>
      <c r="I497" s="330"/>
      <c r="J497" s="330"/>
    </row>
    <row r="498" spans="2:10" ht="12.75" x14ac:dyDescent="0.2">
      <c r="B498" s="331"/>
      <c r="C498" s="327"/>
      <c r="D498" s="331"/>
      <c r="F498" s="329"/>
      <c r="I498" s="330"/>
      <c r="J498" s="330"/>
    </row>
    <row r="499" spans="2:10" ht="12.75" x14ac:dyDescent="0.2">
      <c r="B499" s="331"/>
      <c r="C499" s="327"/>
      <c r="D499" s="331"/>
      <c r="F499" s="329"/>
      <c r="I499" s="330"/>
      <c r="J499" s="330"/>
    </row>
    <row r="500" spans="2:10" ht="12.75" x14ac:dyDescent="0.2">
      <c r="B500" s="331"/>
      <c r="C500" s="327"/>
      <c r="D500" s="331"/>
      <c r="F500" s="329"/>
      <c r="I500" s="330"/>
      <c r="J500" s="330"/>
    </row>
    <row r="501" spans="2:10" ht="12.75" x14ac:dyDescent="0.2">
      <c r="B501" s="331"/>
      <c r="C501" s="327"/>
      <c r="D501" s="331"/>
      <c r="F501" s="329"/>
      <c r="I501" s="330"/>
      <c r="J501" s="330"/>
    </row>
    <row r="502" spans="2:10" ht="12.75" x14ac:dyDescent="0.2">
      <c r="B502" s="331"/>
      <c r="C502" s="327"/>
      <c r="D502" s="331"/>
      <c r="F502" s="329"/>
      <c r="I502" s="330"/>
      <c r="J502" s="330"/>
    </row>
    <row r="503" spans="2:10" ht="12.75" x14ac:dyDescent="0.2">
      <c r="B503" s="331"/>
      <c r="C503" s="327"/>
      <c r="D503" s="331"/>
      <c r="F503" s="329"/>
      <c r="I503" s="330"/>
      <c r="J503" s="330"/>
    </row>
    <row r="504" spans="2:10" ht="12.75" x14ac:dyDescent="0.2">
      <c r="B504" s="331"/>
      <c r="C504" s="327"/>
      <c r="D504" s="331"/>
      <c r="F504" s="329"/>
      <c r="I504" s="330"/>
      <c r="J504" s="330"/>
    </row>
    <row r="505" spans="2:10" ht="12.75" x14ac:dyDescent="0.2">
      <c r="B505" s="331"/>
      <c r="C505" s="327"/>
      <c r="D505" s="331"/>
      <c r="F505" s="329"/>
      <c r="I505" s="330"/>
      <c r="J505" s="330"/>
    </row>
    <row r="506" spans="2:10" ht="12.75" x14ac:dyDescent="0.2">
      <c r="B506" s="331"/>
      <c r="C506" s="327"/>
      <c r="D506" s="331"/>
      <c r="F506" s="329"/>
      <c r="I506" s="330"/>
      <c r="J506" s="330"/>
    </row>
    <row r="507" spans="2:10" ht="12.75" x14ac:dyDescent="0.2">
      <c r="B507" s="331"/>
      <c r="C507" s="327"/>
      <c r="D507" s="331"/>
      <c r="F507" s="329"/>
      <c r="I507" s="330"/>
      <c r="J507" s="330"/>
    </row>
    <row r="508" spans="2:10" ht="12.75" x14ac:dyDescent="0.2">
      <c r="B508" s="331"/>
      <c r="C508" s="327"/>
      <c r="D508" s="331"/>
      <c r="F508" s="329"/>
      <c r="I508" s="330"/>
      <c r="J508" s="330"/>
    </row>
    <row r="509" spans="2:10" ht="12.75" x14ac:dyDescent="0.2">
      <c r="B509" s="331"/>
      <c r="C509" s="327"/>
      <c r="D509" s="331"/>
      <c r="F509" s="329"/>
      <c r="I509" s="330"/>
      <c r="J509" s="330"/>
    </row>
    <row r="510" spans="2:10" ht="12.75" x14ac:dyDescent="0.2">
      <c r="B510" s="331"/>
      <c r="C510" s="327"/>
      <c r="D510" s="331"/>
      <c r="F510" s="329"/>
      <c r="I510" s="330"/>
      <c r="J510" s="330"/>
    </row>
    <row r="511" spans="2:10" ht="12.75" x14ac:dyDescent="0.2">
      <c r="B511" s="331"/>
      <c r="C511" s="327"/>
      <c r="D511" s="331"/>
      <c r="F511" s="329"/>
      <c r="I511" s="330"/>
      <c r="J511" s="330"/>
    </row>
    <row r="512" spans="2:10" ht="12.75" x14ac:dyDescent="0.2">
      <c r="B512" s="331"/>
      <c r="C512" s="327"/>
      <c r="D512" s="331"/>
      <c r="F512" s="329"/>
      <c r="I512" s="330"/>
      <c r="J512" s="330"/>
    </row>
    <row r="513" spans="2:10" ht="12.75" x14ac:dyDescent="0.2">
      <c r="B513" s="331"/>
      <c r="C513" s="327"/>
      <c r="D513" s="331"/>
      <c r="F513" s="329"/>
      <c r="I513" s="330"/>
      <c r="J513" s="330"/>
    </row>
    <row r="514" spans="2:10" ht="12.75" x14ac:dyDescent="0.2">
      <c r="B514" s="331"/>
      <c r="C514" s="327"/>
      <c r="D514" s="331"/>
      <c r="F514" s="329"/>
      <c r="I514" s="330"/>
      <c r="J514" s="330"/>
    </row>
    <row r="515" spans="2:10" ht="12.75" x14ac:dyDescent="0.2">
      <c r="B515" s="331"/>
      <c r="C515" s="327"/>
      <c r="D515" s="331"/>
      <c r="F515" s="329"/>
      <c r="I515" s="330"/>
      <c r="J515" s="330"/>
    </row>
    <row r="516" spans="2:10" ht="12.75" x14ac:dyDescent="0.2">
      <c r="B516" s="331"/>
      <c r="C516" s="327"/>
      <c r="D516" s="331"/>
      <c r="F516" s="329"/>
      <c r="I516" s="330"/>
      <c r="J516" s="330"/>
    </row>
    <row r="517" spans="2:10" ht="12.75" x14ac:dyDescent="0.2">
      <c r="B517" s="331"/>
      <c r="C517" s="327"/>
      <c r="D517" s="331"/>
      <c r="F517" s="329"/>
      <c r="I517" s="330"/>
      <c r="J517" s="330"/>
    </row>
    <row r="518" spans="2:10" ht="12.75" x14ac:dyDescent="0.2">
      <c r="B518" s="331"/>
      <c r="C518" s="327"/>
      <c r="D518" s="331"/>
      <c r="F518" s="329"/>
      <c r="I518" s="330"/>
      <c r="J518" s="330"/>
    </row>
    <row r="519" spans="2:10" ht="12.75" x14ac:dyDescent="0.2">
      <c r="B519" s="331"/>
      <c r="C519" s="327"/>
      <c r="D519" s="331"/>
      <c r="F519" s="329"/>
      <c r="I519" s="330"/>
      <c r="J519" s="330"/>
    </row>
    <row r="520" spans="2:10" ht="12.75" x14ac:dyDescent="0.2">
      <c r="B520" s="331"/>
      <c r="C520" s="327"/>
      <c r="D520" s="331"/>
      <c r="F520" s="329"/>
      <c r="I520" s="330"/>
      <c r="J520" s="330"/>
    </row>
    <row r="521" spans="2:10" ht="12.75" x14ac:dyDescent="0.2">
      <c r="B521" s="331"/>
      <c r="C521" s="327"/>
      <c r="D521" s="331"/>
      <c r="F521" s="329"/>
      <c r="I521" s="330"/>
      <c r="J521" s="330"/>
    </row>
    <row r="522" spans="2:10" ht="12.75" x14ac:dyDescent="0.2">
      <c r="B522" s="331"/>
      <c r="C522" s="327"/>
      <c r="D522" s="331"/>
      <c r="F522" s="329"/>
      <c r="I522" s="330"/>
      <c r="J522" s="330"/>
    </row>
    <row r="523" spans="2:10" ht="12.75" x14ac:dyDescent="0.2">
      <c r="B523" s="331"/>
      <c r="C523" s="327"/>
      <c r="D523" s="331"/>
      <c r="F523" s="329"/>
      <c r="I523" s="330"/>
      <c r="J523" s="330"/>
    </row>
    <row r="524" spans="2:10" ht="12.75" x14ac:dyDescent="0.2">
      <c r="B524" s="331"/>
      <c r="C524" s="327"/>
      <c r="D524" s="331"/>
      <c r="F524" s="329"/>
      <c r="I524" s="330"/>
      <c r="J524" s="330"/>
    </row>
    <row r="525" spans="2:10" ht="12.75" x14ac:dyDescent="0.2">
      <c r="B525" s="331"/>
      <c r="C525" s="327"/>
      <c r="D525" s="331"/>
      <c r="F525" s="329"/>
      <c r="I525" s="330"/>
      <c r="J525" s="330"/>
    </row>
    <row r="526" spans="2:10" ht="12.75" x14ac:dyDescent="0.2">
      <c r="B526" s="331"/>
      <c r="C526" s="327"/>
      <c r="D526" s="331"/>
      <c r="F526" s="329"/>
      <c r="I526" s="330"/>
      <c r="J526" s="330"/>
    </row>
    <row r="527" spans="2:10" ht="12.75" x14ac:dyDescent="0.2">
      <c r="B527" s="331"/>
      <c r="C527" s="327"/>
      <c r="D527" s="331"/>
      <c r="F527" s="329"/>
      <c r="I527" s="330"/>
      <c r="J527" s="330"/>
    </row>
    <row r="528" spans="2:10" ht="12.75" x14ac:dyDescent="0.2">
      <c r="B528" s="331"/>
      <c r="C528" s="327"/>
      <c r="D528" s="331"/>
      <c r="F528" s="329"/>
      <c r="I528" s="330"/>
      <c r="J528" s="330"/>
    </row>
    <row r="529" spans="2:10" ht="12.75" x14ac:dyDescent="0.2">
      <c r="B529" s="331"/>
      <c r="C529" s="327"/>
      <c r="D529" s="331"/>
      <c r="F529" s="329"/>
      <c r="I529" s="330"/>
      <c r="J529" s="330"/>
    </row>
    <row r="530" spans="2:10" ht="12.75" x14ac:dyDescent="0.2">
      <c r="B530" s="331"/>
      <c r="C530" s="327"/>
      <c r="D530" s="331"/>
      <c r="F530" s="329"/>
      <c r="I530" s="330"/>
      <c r="J530" s="330"/>
    </row>
    <row r="531" spans="2:10" ht="12.75" x14ac:dyDescent="0.2">
      <c r="B531" s="331"/>
      <c r="C531" s="327"/>
      <c r="D531" s="331"/>
      <c r="F531" s="329"/>
      <c r="I531" s="330"/>
      <c r="J531" s="330"/>
    </row>
    <row r="532" spans="2:10" ht="12.75" x14ac:dyDescent="0.2">
      <c r="B532" s="331"/>
      <c r="C532" s="327"/>
      <c r="D532" s="331"/>
      <c r="F532" s="329"/>
      <c r="I532" s="330"/>
      <c r="J532" s="330"/>
    </row>
    <row r="533" spans="2:10" ht="12.75" x14ac:dyDescent="0.2">
      <c r="B533" s="331"/>
      <c r="C533" s="327"/>
      <c r="D533" s="331"/>
      <c r="F533" s="329"/>
      <c r="I533" s="330"/>
      <c r="J533" s="330"/>
    </row>
    <row r="534" spans="2:10" ht="12.75" x14ac:dyDescent="0.2">
      <c r="B534" s="331"/>
      <c r="C534" s="327"/>
      <c r="D534" s="331"/>
      <c r="F534" s="329"/>
      <c r="I534" s="330"/>
      <c r="J534" s="330"/>
    </row>
    <row r="535" spans="2:10" ht="12.75" x14ac:dyDescent="0.2">
      <c r="B535" s="331"/>
      <c r="C535" s="327"/>
      <c r="D535" s="331"/>
      <c r="F535" s="329"/>
      <c r="I535" s="330"/>
      <c r="J535" s="330"/>
    </row>
    <row r="536" spans="2:10" ht="12.75" x14ac:dyDescent="0.2">
      <c r="B536" s="331"/>
      <c r="C536" s="327"/>
      <c r="D536" s="331"/>
      <c r="F536" s="329"/>
      <c r="I536" s="330"/>
      <c r="J536" s="330"/>
    </row>
    <row r="537" spans="2:10" ht="12.75" x14ac:dyDescent="0.2">
      <c r="B537" s="331"/>
      <c r="C537" s="327"/>
      <c r="D537" s="331"/>
      <c r="F537" s="329"/>
      <c r="I537" s="330"/>
      <c r="J537" s="330"/>
    </row>
    <row r="538" spans="2:10" ht="12.75" x14ac:dyDescent="0.2">
      <c r="B538" s="331"/>
      <c r="C538" s="327"/>
      <c r="D538" s="331"/>
      <c r="F538" s="329"/>
      <c r="I538" s="330"/>
      <c r="J538" s="330"/>
    </row>
    <row r="539" spans="2:10" ht="12.75" x14ac:dyDescent="0.2">
      <c r="B539" s="331"/>
      <c r="C539" s="327"/>
      <c r="D539" s="331"/>
      <c r="F539" s="329"/>
      <c r="I539" s="330"/>
      <c r="J539" s="330"/>
    </row>
    <row r="540" spans="2:10" ht="12.75" x14ac:dyDescent="0.2">
      <c r="B540" s="331"/>
      <c r="C540" s="327"/>
      <c r="D540" s="331"/>
      <c r="F540" s="329"/>
      <c r="I540" s="330"/>
      <c r="J540" s="330"/>
    </row>
    <row r="541" spans="2:10" ht="12.75" x14ac:dyDescent="0.2">
      <c r="B541" s="331"/>
      <c r="C541" s="327"/>
      <c r="D541" s="331"/>
      <c r="F541" s="329"/>
      <c r="I541" s="330"/>
      <c r="J541" s="330"/>
    </row>
    <row r="542" spans="2:10" ht="12.75" x14ac:dyDescent="0.2">
      <c r="B542" s="331"/>
      <c r="C542" s="327"/>
      <c r="D542" s="331"/>
      <c r="F542" s="329"/>
      <c r="I542" s="330"/>
      <c r="J542" s="330"/>
    </row>
    <row r="543" spans="2:10" ht="12.75" x14ac:dyDescent="0.2">
      <c r="B543" s="331"/>
      <c r="C543" s="327"/>
      <c r="D543" s="331"/>
      <c r="F543" s="329"/>
      <c r="I543" s="330"/>
      <c r="J543" s="330"/>
    </row>
    <row r="544" spans="2:10" ht="12.75" x14ac:dyDescent="0.2">
      <c r="B544" s="331"/>
      <c r="C544" s="327"/>
      <c r="D544" s="331"/>
      <c r="F544" s="329"/>
      <c r="I544" s="330"/>
      <c r="J544" s="330"/>
    </row>
    <row r="545" spans="2:10" ht="12.75" x14ac:dyDescent="0.2">
      <c r="B545" s="331"/>
      <c r="C545" s="327"/>
      <c r="D545" s="331"/>
      <c r="F545" s="329"/>
      <c r="I545" s="330"/>
      <c r="J545" s="330"/>
    </row>
    <row r="546" spans="2:10" ht="12.75" x14ac:dyDescent="0.2">
      <c r="B546" s="331"/>
      <c r="C546" s="327"/>
      <c r="D546" s="331"/>
      <c r="F546" s="329"/>
      <c r="I546" s="330"/>
      <c r="J546" s="330"/>
    </row>
    <row r="547" spans="2:10" ht="12.75" x14ac:dyDescent="0.2">
      <c r="B547" s="331"/>
      <c r="C547" s="327"/>
      <c r="D547" s="331"/>
      <c r="F547" s="329"/>
      <c r="I547" s="330"/>
      <c r="J547" s="330"/>
    </row>
    <row r="548" spans="2:10" ht="12.75" x14ac:dyDescent="0.2">
      <c r="B548" s="331"/>
      <c r="C548" s="327"/>
      <c r="D548" s="331"/>
      <c r="F548" s="329"/>
      <c r="I548" s="330"/>
      <c r="J548" s="330"/>
    </row>
    <row r="549" spans="2:10" ht="12.75" x14ac:dyDescent="0.2">
      <c r="B549" s="331"/>
      <c r="C549" s="327"/>
      <c r="D549" s="331"/>
      <c r="F549" s="329"/>
      <c r="I549" s="330"/>
      <c r="J549" s="330"/>
    </row>
    <row r="550" spans="2:10" ht="12.75" x14ac:dyDescent="0.2">
      <c r="B550" s="331"/>
      <c r="C550" s="327"/>
      <c r="D550" s="331"/>
      <c r="F550" s="329"/>
      <c r="I550" s="330"/>
      <c r="J550" s="330"/>
    </row>
    <row r="551" spans="2:10" ht="12.75" x14ac:dyDescent="0.2">
      <c r="B551" s="331"/>
      <c r="C551" s="327"/>
      <c r="D551" s="331"/>
      <c r="F551" s="329"/>
      <c r="I551" s="330"/>
      <c r="J551" s="330"/>
    </row>
    <row r="552" spans="2:10" ht="12.75" x14ac:dyDescent="0.2">
      <c r="B552" s="331"/>
      <c r="C552" s="327"/>
      <c r="D552" s="331"/>
      <c r="F552" s="329"/>
      <c r="I552" s="330"/>
      <c r="J552" s="330"/>
    </row>
    <row r="553" spans="2:10" ht="12.75" x14ac:dyDescent="0.2">
      <c r="B553" s="331"/>
      <c r="C553" s="327"/>
      <c r="D553" s="331"/>
      <c r="F553" s="329"/>
      <c r="I553" s="330"/>
      <c r="J553" s="330"/>
    </row>
    <row r="554" spans="2:10" ht="12.75" x14ac:dyDescent="0.2">
      <c r="B554" s="331"/>
      <c r="C554" s="327"/>
      <c r="D554" s="331"/>
      <c r="F554" s="329"/>
      <c r="I554" s="330"/>
      <c r="J554" s="330"/>
    </row>
    <row r="555" spans="2:10" ht="12.75" x14ac:dyDescent="0.2">
      <c r="B555" s="331"/>
      <c r="C555" s="327"/>
      <c r="D555" s="331"/>
      <c r="F555" s="329"/>
      <c r="I555" s="330"/>
      <c r="J555" s="330"/>
    </row>
    <row r="556" spans="2:10" ht="12.75" x14ac:dyDescent="0.2">
      <c r="B556" s="331"/>
      <c r="C556" s="327"/>
      <c r="D556" s="331"/>
      <c r="F556" s="329"/>
      <c r="I556" s="330"/>
      <c r="J556" s="330"/>
    </row>
    <row r="557" spans="2:10" ht="12.75" x14ac:dyDescent="0.2">
      <c r="B557" s="331"/>
      <c r="C557" s="327"/>
      <c r="D557" s="331"/>
      <c r="F557" s="329"/>
      <c r="I557" s="330"/>
      <c r="J557" s="330"/>
    </row>
    <row r="558" spans="2:10" ht="12.75" x14ac:dyDescent="0.2">
      <c r="B558" s="331"/>
      <c r="C558" s="327"/>
      <c r="D558" s="331"/>
      <c r="F558" s="329"/>
      <c r="I558" s="330"/>
      <c r="J558" s="330"/>
    </row>
    <row r="559" spans="2:10" ht="12.75" x14ac:dyDescent="0.2">
      <c r="B559" s="331"/>
      <c r="C559" s="327"/>
      <c r="D559" s="331"/>
      <c r="F559" s="329"/>
      <c r="I559" s="330"/>
      <c r="J559" s="330"/>
    </row>
    <row r="560" spans="2:10" ht="12.75" x14ac:dyDescent="0.2">
      <c r="B560" s="331"/>
      <c r="C560" s="327"/>
      <c r="D560" s="331"/>
      <c r="F560" s="329"/>
      <c r="I560" s="330"/>
      <c r="J560" s="330"/>
    </row>
    <row r="561" spans="2:10" ht="12.75" x14ac:dyDescent="0.2">
      <c r="B561" s="331"/>
      <c r="C561" s="327"/>
      <c r="D561" s="331"/>
      <c r="F561" s="329"/>
      <c r="I561" s="330"/>
      <c r="J561" s="330"/>
    </row>
    <row r="562" spans="2:10" ht="12.75" x14ac:dyDescent="0.2">
      <c r="B562" s="331"/>
      <c r="C562" s="327"/>
      <c r="D562" s="331"/>
      <c r="F562" s="329"/>
      <c r="I562" s="330"/>
      <c r="J562" s="330"/>
    </row>
    <row r="563" spans="2:10" ht="12.75" x14ac:dyDescent="0.2">
      <c r="B563" s="331"/>
      <c r="C563" s="327"/>
      <c r="D563" s="331"/>
      <c r="F563" s="329"/>
      <c r="I563" s="330"/>
      <c r="J563" s="330"/>
    </row>
    <row r="564" spans="2:10" ht="12.75" x14ac:dyDescent="0.2">
      <c r="B564" s="331"/>
      <c r="C564" s="327"/>
      <c r="D564" s="331"/>
      <c r="F564" s="329"/>
      <c r="I564" s="330"/>
      <c r="J564" s="330"/>
    </row>
    <row r="565" spans="2:10" ht="12.75" x14ac:dyDescent="0.2">
      <c r="B565" s="331"/>
      <c r="C565" s="327"/>
      <c r="D565" s="331"/>
      <c r="F565" s="329"/>
      <c r="I565" s="330"/>
      <c r="J565" s="330"/>
    </row>
    <row r="566" spans="2:10" ht="12.75" x14ac:dyDescent="0.2">
      <c r="B566" s="331"/>
      <c r="C566" s="327"/>
      <c r="D566" s="331"/>
      <c r="F566" s="329"/>
      <c r="I566" s="330"/>
      <c r="J566" s="330"/>
    </row>
    <row r="567" spans="2:10" ht="12.75" x14ac:dyDescent="0.2">
      <c r="B567" s="331"/>
      <c r="C567" s="327"/>
      <c r="D567" s="331"/>
      <c r="F567" s="329"/>
      <c r="I567" s="330"/>
      <c r="J567" s="330"/>
    </row>
    <row r="568" spans="2:10" ht="12.75" x14ac:dyDescent="0.2">
      <c r="B568" s="331"/>
      <c r="C568" s="327"/>
      <c r="D568" s="331"/>
      <c r="F568" s="329"/>
      <c r="I568" s="330"/>
      <c r="J568" s="330"/>
    </row>
    <row r="569" spans="2:10" ht="12.75" x14ac:dyDescent="0.2">
      <c r="B569" s="331"/>
      <c r="C569" s="327"/>
      <c r="D569" s="331"/>
      <c r="F569" s="329"/>
      <c r="I569" s="330"/>
      <c r="J569" s="330"/>
    </row>
    <row r="570" spans="2:10" ht="12.75" x14ac:dyDescent="0.2">
      <c r="B570" s="331"/>
      <c r="C570" s="327"/>
      <c r="D570" s="331"/>
      <c r="F570" s="329"/>
      <c r="I570" s="330"/>
      <c r="J570" s="330"/>
    </row>
    <row r="571" spans="2:10" ht="12.75" x14ac:dyDescent="0.2">
      <c r="B571" s="331"/>
      <c r="C571" s="327"/>
      <c r="D571" s="331"/>
      <c r="F571" s="329"/>
      <c r="I571" s="330"/>
      <c r="J571" s="330"/>
    </row>
    <row r="572" spans="2:10" ht="12.75" x14ac:dyDescent="0.2">
      <c r="B572" s="331"/>
      <c r="C572" s="327"/>
      <c r="D572" s="331"/>
      <c r="F572" s="329"/>
      <c r="I572" s="330"/>
      <c r="J572" s="330"/>
    </row>
    <row r="573" spans="2:10" ht="12.75" x14ac:dyDescent="0.2">
      <c r="B573" s="331"/>
      <c r="C573" s="327"/>
      <c r="D573" s="331"/>
      <c r="F573" s="329"/>
      <c r="I573" s="330"/>
      <c r="J573" s="330"/>
    </row>
    <row r="574" spans="2:10" ht="12.75" x14ac:dyDescent="0.2">
      <c r="B574" s="331"/>
      <c r="C574" s="327"/>
      <c r="D574" s="331"/>
      <c r="F574" s="329"/>
      <c r="I574" s="330"/>
      <c r="J574" s="330"/>
    </row>
    <row r="575" spans="2:10" ht="12.75" x14ac:dyDescent="0.2">
      <c r="B575" s="331"/>
      <c r="C575" s="327"/>
      <c r="D575" s="331"/>
      <c r="F575" s="329"/>
      <c r="I575" s="330"/>
      <c r="J575" s="330"/>
    </row>
    <row r="576" spans="2:10" ht="12.75" x14ac:dyDescent="0.2">
      <c r="B576" s="331"/>
      <c r="C576" s="327"/>
      <c r="D576" s="331"/>
      <c r="F576" s="329"/>
      <c r="I576" s="330"/>
      <c r="J576" s="330"/>
    </row>
    <row r="577" spans="2:10" ht="12.75" x14ac:dyDescent="0.2">
      <c r="B577" s="331"/>
      <c r="C577" s="327"/>
      <c r="D577" s="331"/>
      <c r="F577" s="329"/>
      <c r="I577" s="330"/>
      <c r="J577" s="330"/>
    </row>
    <row r="578" spans="2:10" ht="12.75" x14ac:dyDescent="0.2">
      <c r="B578" s="331"/>
      <c r="C578" s="327"/>
      <c r="D578" s="331"/>
      <c r="F578" s="329"/>
      <c r="I578" s="330"/>
      <c r="J578" s="330"/>
    </row>
    <row r="579" spans="2:10" ht="12.75" x14ac:dyDescent="0.2">
      <c r="B579" s="331"/>
      <c r="C579" s="327"/>
      <c r="D579" s="331"/>
      <c r="F579" s="329"/>
      <c r="I579" s="330"/>
      <c r="J579" s="330"/>
    </row>
    <row r="580" spans="2:10" ht="12.75" x14ac:dyDescent="0.2">
      <c r="B580" s="331"/>
      <c r="C580" s="327"/>
      <c r="D580" s="331"/>
      <c r="F580" s="329"/>
      <c r="I580" s="330"/>
      <c r="J580" s="330"/>
    </row>
    <row r="581" spans="2:10" ht="12.75" x14ac:dyDescent="0.2">
      <c r="B581" s="331"/>
      <c r="C581" s="327"/>
      <c r="D581" s="331"/>
      <c r="F581" s="329"/>
      <c r="I581" s="330"/>
      <c r="J581" s="330"/>
    </row>
    <row r="582" spans="2:10" ht="12.75" x14ac:dyDescent="0.2">
      <c r="B582" s="331"/>
      <c r="C582" s="327"/>
      <c r="D582" s="331"/>
      <c r="F582" s="329"/>
      <c r="I582" s="330"/>
      <c r="J582" s="330"/>
    </row>
    <row r="583" spans="2:10" ht="12.75" x14ac:dyDescent="0.2">
      <c r="B583" s="331"/>
      <c r="C583" s="327"/>
      <c r="D583" s="331"/>
      <c r="F583" s="329"/>
      <c r="I583" s="330"/>
      <c r="J583" s="330"/>
    </row>
    <row r="584" spans="2:10" ht="12.75" x14ac:dyDescent="0.2">
      <c r="B584" s="331"/>
      <c r="C584" s="327"/>
      <c r="D584" s="331"/>
      <c r="F584" s="329"/>
      <c r="I584" s="330"/>
      <c r="J584" s="330"/>
    </row>
    <row r="585" spans="2:10" ht="12.75" x14ac:dyDescent="0.2">
      <c r="B585" s="331"/>
      <c r="C585" s="327"/>
      <c r="D585" s="331"/>
      <c r="F585" s="329"/>
      <c r="I585" s="330"/>
      <c r="J585" s="330"/>
    </row>
    <row r="586" spans="2:10" ht="12.75" x14ac:dyDescent="0.2">
      <c r="B586" s="331"/>
      <c r="C586" s="327"/>
      <c r="D586" s="331"/>
      <c r="F586" s="329"/>
      <c r="I586" s="330"/>
      <c r="J586" s="330"/>
    </row>
    <row r="587" spans="2:10" ht="12.75" x14ac:dyDescent="0.2">
      <c r="B587" s="331"/>
      <c r="C587" s="327"/>
      <c r="D587" s="331"/>
      <c r="F587" s="329"/>
      <c r="I587" s="330"/>
      <c r="J587" s="330"/>
    </row>
    <row r="588" spans="2:10" ht="12.75" x14ac:dyDescent="0.2">
      <c r="B588" s="331"/>
      <c r="C588" s="327"/>
      <c r="D588" s="331"/>
      <c r="F588" s="329"/>
      <c r="I588" s="330"/>
      <c r="J588" s="330"/>
    </row>
    <row r="589" spans="2:10" ht="12.75" x14ac:dyDescent="0.2">
      <c r="B589" s="331"/>
      <c r="C589" s="327"/>
      <c r="D589" s="331"/>
      <c r="F589" s="329"/>
      <c r="I589" s="330"/>
      <c r="J589" s="330"/>
    </row>
    <row r="590" spans="2:10" ht="12.75" x14ac:dyDescent="0.2">
      <c r="B590" s="331"/>
      <c r="C590" s="327"/>
      <c r="D590" s="331"/>
      <c r="F590" s="329"/>
      <c r="I590" s="330"/>
      <c r="J590" s="330"/>
    </row>
    <row r="591" spans="2:10" ht="12.75" x14ac:dyDescent="0.2">
      <c r="B591" s="331"/>
      <c r="C591" s="327"/>
      <c r="D591" s="331"/>
      <c r="F591" s="329"/>
      <c r="I591" s="330"/>
      <c r="J591" s="330"/>
    </row>
    <row r="592" spans="2:10" ht="12.75" x14ac:dyDescent="0.2">
      <c r="B592" s="331"/>
      <c r="C592" s="327"/>
      <c r="D592" s="331"/>
      <c r="F592" s="329"/>
      <c r="I592" s="330"/>
      <c r="J592" s="330"/>
    </row>
    <row r="593" spans="2:10" ht="12.75" x14ac:dyDescent="0.2">
      <c r="B593" s="331"/>
      <c r="C593" s="327"/>
      <c r="D593" s="331"/>
      <c r="F593" s="329"/>
      <c r="I593" s="330"/>
      <c r="J593" s="330"/>
    </row>
    <row r="594" spans="2:10" ht="12.75" x14ac:dyDescent="0.2">
      <c r="B594" s="331"/>
      <c r="C594" s="327"/>
      <c r="D594" s="331"/>
      <c r="F594" s="329"/>
      <c r="I594" s="330"/>
      <c r="J594" s="330"/>
    </row>
    <row r="595" spans="2:10" ht="12.75" x14ac:dyDescent="0.2">
      <c r="B595" s="331"/>
      <c r="C595" s="327"/>
      <c r="D595" s="331"/>
      <c r="F595" s="329"/>
      <c r="I595" s="330"/>
      <c r="J595" s="330"/>
    </row>
    <row r="596" spans="2:10" ht="12.75" x14ac:dyDescent="0.2">
      <c r="B596" s="331"/>
      <c r="C596" s="327"/>
      <c r="D596" s="331"/>
      <c r="F596" s="329"/>
      <c r="I596" s="330"/>
      <c r="J596" s="330"/>
    </row>
    <row r="597" spans="2:10" ht="12.75" x14ac:dyDescent="0.2">
      <c r="B597" s="331"/>
      <c r="C597" s="327"/>
      <c r="D597" s="331"/>
      <c r="F597" s="329"/>
      <c r="I597" s="330"/>
      <c r="J597" s="330"/>
    </row>
    <row r="598" spans="2:10" ht="12.75" x14ac:dyDescent="0.2">
      <c r="B598" s="331"/>
      <c r="C598" s="327"/>
      <c r="D598" s="331"/>
      <c r="F598" s="329"/>
      <c r="I598" s="330"/>
      <c r="J598" s="330"/>
    </row>
    <row r="599" spans="2:10" ht="12.75" x14ac:dyDescent="0.2">
      <c r="B599" s="331"/>
      <c r="C599" s="327"/>
      <c r="D599" s="331"/>
      <c r="F599" s="329"/>
      <c r="I599" s="330"/>
      <c r="J599" s="330"/>
    </row>
    <row r="600" spans="2:10" ht="12.75" x14ac:dyDescent="0.2">
      <c r="B600" s="331"/>
      <c r="C600" s="327"/>
      <c r="D600" s="331"/>
      <c r="F600" s="329"/>
      <c r="I600" s="330"/>
      <c r="J600" s="330"/>
    </row>
    <row r="601" spans="2:10" ht="12.75" x14ac:dyDescent="0.2">
      <c r="B601" s="331"/>
      <c r="C601" s="327"/>
      <c r="D601" s="331"/>
      <c r="F601" s="329"/>
      <c r="I601" s="330"/>
      <c r="J601" s="330"/>
    </row>
    <row r="602" spans="2:10" ht="12.75" x14ac:dyDescent="0.2">
      <c r="B602" s="331"/>
      <c r="C602" s="327"/>
      <c r="D602" s="331"/>
      <c r="F602" s="329"/>
      <c r="I602" s="330"/>
      <c r="J602" s="330"/>
    </row>
    <row r="603" spans="2:10" ht="12.75" x14ac:dyDescent="0.2">
      <c r="B603" s="331"/>
      <c r="C603" s="327"/>
      <c r="D603" s="331"/>
      <c r="F603" s="329"/>
      <c r="I603" s="330"/>
      <c r="J603" s="330"/>
    </row>
    <row r="604" spans="2:10" ht="12.75" x14ac:dyDescent="0.2">
      <c r="B604" s="331"/>
      <c r="C604" s="327"/>
      <c r="D604" s="331"/>
      <c r="F604" s="329"/>
      <c r="I604" s="330"/>
      <c r="J604" s="330"/>
    </row>
    <row r="605" spans="2:10" ht="12.75" x14ac:dyDescent="0.2">
      <c r="B605" s="331"/>
      <c r="C605" s="327"/>
      <c r="D605" s="331"/>
      <c r="F605" s="329"/>
      <c r="I605" s="330"/>
      <c r="J605" s="330"/>
    </row>
    <row r="606" spans="2:10" ht="12.75" x14ac:dyDescent="0.2">
      <c r="B606" s="331"/>
      <c r="C606" s="327"/>
      <c r="D606" s="331"/>
      <c r="F606" s="329"/>
      <c r="I606" s="330"/>
      <c r="J606" s="330"/>
    </row>
    <row r="607" spans="2:10" ht="12.75" x14ac:dyDescent="0.2">
      <c r="B607" s="331"/>
      <c r="C607" s="327"/>
      <c r="D607" s="331"/>
      <c r="F607" s="329"/>
      <c r="I607" s="330"/>
      <c r="J607" s="330"/>
    </row>
    <row r="608" spans="2:10" ht="12.75" x14ac:dyDescent="0.2">
      <c r="B608" s="331"/>
      <c r="C608" s="327"/>
      <c r="D608" s="331"/>
      <c r="F608" s="329"/>
      <c r="I608" s="330"/>
      <c r="J608" s="330"/>
    </row>
    <row r="609" spans="2:10" ht="12.75" x14ac:dyDescent="0.2">
      <c r="B609" s="331"/>
      <c r="C609" s="327"/>
      <c r="D609" s="331"/>
      <c r="F609" s="329"/>
      <c r="I609" s="330"/>
      <c r="J609" s="330"/>
    </row>
    <row r="610" spans="2:10" ht="12.75" x14ac:dyDescent="0.2">
      <c r="B610" s="331"/>
      <c r="C610" s="327"/>
      <c r="D610" s="331"/>
      <c r="F610" s="329"/>
      <c r="I610" s="330"/>
      <c r="J610" s="330"/>
    </row>
    <row r="611" spans="2:10" ht="12.75" x14ac:dyDescent="0.2">
      <c r="B611" s="331"/>
      <c r="C611" s="327"/>
      <c r="D611" s="331"/>
      <c r="F611" s="329"/>
      <c r="I611" s="330"/>
      <c r="J611" s="330"/>
    </row>
    <row r="612" spans="2:10" ht="12.75" x14ac:dyDescent="0.2">
      <c r="B612" s="331"/>
      <c r="C612" s="327"/>
      <c r="D612" s="331"/>
      <c r="F612" s="329"/>
      <c r="I612" s="330"/>
      <c r="J612" s="330"/>
    </row>
    <row r="613" spans="2:10" ht="12.75" x14ac:dyDescent="0.2">
      <c r="B613" s="331"/>
      <c r="C613" s="327"/>
      <c r="D613" s="331"/>
      <c r="F613" s="329"/>
      <c r="I613" s="330"/>
      <c r="J613" s="330"/>
    </row>
    <row r="614" spans="2:10" ht="12.75" x14ac:dyDescent="0.2">
      <c r="B614" s="331"/>
      <c r="C614" s="327"/>
      <c r="D614" s="331"/>
      <c r="F614" s="329"/>
      <c r="I614" s="330"/>
      <c r="J614" s="330"/>
    </row>
    <row r="615" spans="2:10" ht="12.75" x14ac:dyDescent="0.2">
      <c r="B615" s="331"/>
      <c r="C615" s="327"/>
      <c r="D615" s="331"/>
      <c r="F615" s="329"/>
      <c r="I615" s="330"/>
      <c r="J615" s="330"/>
    </row>
    <row r="616" spans="2:10" ht="12.75" x14ac:dyDescent="0.2">
      <c r="B616" s="331"/>
      <c r="C616" s="327"/>
      <c r="D616" s="331"/>
      <c r="F616" s="329"/>
      <c r="I616" s="330"/>
      <c r="J616" s="330"/>
    </row>
    <row r="617" spans="2:10" ht="12.75" x14ac:dyDescent="0.2">
      <c r="B617" s="331"/>
      <c r="C617" s="327"/>
      <c r="D617" s="331"/>
      <c r="F617" s="329"/>
      <c r="I617" s="330"/>
      <c r="J617" s="330"/>
    </row>
    <row r="618" spans="2:10" ht="12.75" x14ac:dyDescent="0.2">
      <c r="B618" s="331"/>
      <c r="C618" s="327"/>
      <c r="D618" s="331"/>
      <c r="F618" s="329"/>
      <c r="I618" s="330"/>
      <c r="J618" s="330"/>
    </row>
    <row r="619" spans="2:10" ht="12.75" x14ac:dyDescent="0.2">
      <c r="B619" s="331"/>
      <c r="C619" s="327"/>
      <c r="D619" s="331"/>
      <c r="F619" s="329"/>
      <c r="I619" s="330"/>
      <c r="J619" s="330"/>
    </row>
    <row r="620" spans="2:10" ht="12.75" x14ac:dyDescent="0.2">
      <c r="B620" s="331"/>
      <c r="C620" s="327"/>
      <c r="D620" s="331"/>
      <c r="F620" s="329"/>
      <c r="I620" s="330"/>
      <c r="J620" s="330"/>
    </row>
    <row r="621" spans="2:10" ht="12.75" x14ac:dyDescent="0.2">
      <c r="B621" s="331"/>
      <c r="C621" s="327"/>
      <c r="D621" s="331"/>
      <c r="F621" s="329"/>
      <c r="I621" s="330"/>
      <c r="J621" s="330"/>
    </row>
    <row r="622" spans="2:10" ht="12.75" x14ac:dyDescent="0.2">
      <c r="B622" s="331"/>
      <c r="C622" s="327"/>
      <c r="D622" s="331"/>
      <c r="F622" s="329"/>
      <c r="I622" s="330"/>
      <c r="J622" s="330"/>
    </row>
    <row r="623" spans="2:10" ht="12.75" x14ac:dyDescent="0.2">
      <c r="B623" s="331"/>
      <c r="C623" s="327"/>
      <c r="D623" s="331"/>
      <c r="F623" s="329"/>
      <c r="I623" s="330"/>
      <c r="J623" s="330"/>
    </row>
    <row r="624" spans="2:10" ht="12.75" x14ac:dyDescent="0.2">
      <c r="B624" s="331"/>
      <c r="C624" s="327"/>
      <c r="D624" s="331"/>
      <c r="F624" s="329"/>
      <c r="I624" s="330"/>
      <c r="J624" s="330"/>
    </row>
    <row r="625" spans="2:10" ht="12.75" x14ac:dyDescent="0.2">
      <c r="B625" s="331"/>
      <c r="C625" s="327"/>
      <c r="D625" s="331"/>
      <c r="F625" s="329"/>
      <c r="I625" s="330"/>
      <c r="J625" s="330"/>
    </row>
    <row r="626" spans="2:10" ht="12.75" x14ac:dyDescent="0.2">
      <c r="B626" s="331"/>
      <c r="C626" s="327"/>
      <c r="D626" s="331"/>
      <c r="F626" s="329"/>
      <c r="I626" s="330"/>
      <c r="J626" s="330"/>
    </row>
    <row r="627" spans="2:10" ht="12.75" x14ac:dyDescent="0.2">
      <c r="B627" s="331"/>
      <c r="C627" s="327"/>
      <c r="D627" s="331"/>
      <c r="F627" s="329"/>
      <c r="I627" s="330"/>
      <c r="J627" s="330"/>
    </row>
    <row r="628" spans="2:10" ht="12.75" x14ac:dyDescent="0.2">
      <c r="B628" s="331"/>
      <c r="C628" s="327"/>
      <c r="D628" s="331"/>
      <c r="F628" s="329"/>
      <c r="I628" s="330"/>
      <c r="J628" s="330"/>
    </row>
    <row r="629" spans="2:10" ht="12.75" x14ac:dyDescent="0.2">
      <c r="B629" s="331"/>
      <c r="C629" s="327"/>
      <c r="D629" s="331"/>
      <c r="F629" s="329"/>
      <c r="I629" s="330"/>
      <c r="J629" s="330"/>
    </row>
    <row r="630" spans="2:10" ht="12.75" x14ac:dyDescent="0.2">
      <c r="B630" s="331"/>
      <c r="C630" s="327"/>
      <c r="D630" s="331"/>
      <c r="F630" s="329"/>
      <c r="I630" s="330"/>
      <c r="J630" s="330"/>
    </row>
    <row r="631" spans="2:10" ht="12.75" x14ac:dyDescent="0.2">
      <c r="B631" s="331"/>
      <c r="C631" s="327"/>
      <c r="D631" s="331"/>
      <c r="F631" s="329"/>
      <c r="I631" s="330"/>
      <c r="J631" s="330"/>
    </row>
    <row r="632" spans="2:10" ht="12.75" x14ac:dyDescent="0.2">
      <c r="B632" s="331"/>
      <c r="C632" s="327"/>
      <c r="D632" s="331"/>
      <c r="F632" s="329"/>
      <c r="I632" s="330"/>
      <c r="J632" s="330"/>
    </row>
    <row r="633" spans="2:10" ht="12.75" x14ac:dyDescent="0.2">
      <c r="B633" s="331"/>
      <c r="C633" s="327"/>
      <c r="D633" s="331"/>
      <c r="F633" s="329"/>
      <c r="I633" s="330"/>
      <c r="J633" s="330"/>
    </row>
    <row r="634" spans="2:10" ht="12.75" x14ac:dyDescent="0.2">
      <c r="B634" s="331"/>
      <c r="C634" s="327"/>
      <c r="D634" s="331"/>
      <c r="F634" s="329"/>
      <c r="I634" s="330"/>
      <c r="J634" s="330"/>
    </row>
    <row r="635" spans="2:10" ht="12.75" x14ac:dyDescent="0.2">
      <c r="B635" s="331"/>
      <c r="C635" s="327"/>
      <c r="D635" s="331"/>
      <c r="F635" s="329"/>
      <c r="I635" s="330"/>
      <c r="J635" s="330"/>
    </row>
    <row r="636" spans="2:10" ht="12.75" x14ac:dyDescent="0.2">
      <c r="B636" s="331"/>
      <c r="C636" s="327"/>
      <c r="D636" s="331"/>
      <c r="F636" s="329"/>
      <c r="I636" s="330"/>
      <c r="J636" s="330"/>
    </row>
    <row r="637" spans="2:10" ht="12.75" x14ac:dyDescent="0.2">
      <c r="B637" s="331"/>
      <c r="C637" s="327"/>
      <c r="D637" s="331"/>
      <c r="F637" s="329"/>
      <c r="I637" s="330"/>
      <c r="J637" s="330"/>
    </row>
    <row r="638" spans="2:10" ht="12.75" x14ac:dyDescent="0.2">
      <c r="B638" s="331"/>
      <c r="C638" s="327"/>
      <c r="D638" s="331"/>
      <c r="F638" s="329"/>
      <c r="I638" s="330"/>
      <c r="J638" s="330"/>
    </row>
    <row r="639" spans="2:10" ht="12.75" x14ac:dyDescent="0.2">
      <c r="B639" s="331"/>
      <c r="C639" s="327"/>
      <c r="D639" s="331"/>
      <c r="F639" s="329"/>
      <c r="I639" s="330"/>
      <c r="J639" s="330"/>
    </row>
    <row r="640" spans="2:10" ht="12.75" x14ac:dyDescent="0.2">
      <c r="B640" s="331"/>
      <c r="C640" s="327"/>
      <c r="D640" s="331"/>
      <c r="F640" s="329"/>
      <c r="I640" s="330"/>
      <c r="J640" s="330"/>
    </row>
    <row r="641" spans="2:10" ht="12.75" x14ac:dyDescent="0.2">
      <c r="B641" s="331"/>
      <c r="C641" s="327"/>
      <c r="D641" s="331"/>
      <c r="F641" s="329"/>
      <c r="I641" s="330"/>
      <c r="J641" s="330"/>
    </row>
    <row r="642" spans="2:10" ht="12.75" x14ac:dyDescent="0.2">
      <c r="B642" s="331"/>
      <c r="C642" s="327"/>
      <c r="D642" s="331"/>
      <c r="F642" s="329"/>
      <c r="I642" s="330"/>
      <c r="J642" s="330"/>
    </row>
    <row r="643" spans="2:10" ht="12.75" x14ac:dyDescent="0.2">
      <c r="B643" s="331"/>
      <c r="C643" s="327"/>
      <c r="D643" s="331"/>
      <c r="F643" s="329"/>
      <c r="I643" s="330"/>
      <c r="J643" s="330"/>
    </row>
    <row r="644" spans="2:10" ht="12.75" x14ac:dyDescent="0.2">
      <c r="B644" s="331"/>
      <c r="C644" s="327"/>
      <c r="D644" s="331"/>
      <c r="F644" s="329"/>
      <c r="I644" s="330"/>
      <c r="J644" s="330"/>
    </row>
    <row r="645" spans="2:10" ht="12.75" x14ac:dyDescent="0.2">
      <c r="B645" s="331"/>
      <c r="C645" s="327"/>
      <c r="D645" s="331"/>
      <c r="F645" s="329"/>
      <c r="I645" s="330"/>
      <c r="J645" s="330"/>
    </row>
    <row r="646" spans="2:10" ht="12.75" x14ac:dyDescent="0.2">
      <c r="B646" s="331"/>
      <c r="C646" s="327"/>
      <c r="D646" s="331"/>
      <c r="F646" s="329"/>
      <c r="I646" s="330"/>
      <c r="J646" s="330"/>
    </row>
    <row r="647" spans="2:10" ht="12.75" x14ac:dyDescent="0.2">
      <c r="B647" s="331"/>
      <c r="C647" s="327"/>
      <c r="D647" s="331"/>
      <c r="F647" s="329"/>
      <c r="I647" s="330"/>
      <c r="J647" s="330"/>
    </row>
    <row r="648" spans="2:10" ht="12.75" x14ac:dyDescent="0.2">
      <c r="B648" s="331"/>
      <c r="C648" s="327"/>
      <c r="D648" s="331"/>
      <c r="F648" s="329"/>
      <c r="I648" s="330"/>
      <c r="J648" s="330"/>
    </row>
    <row r="649" spans="2:10" ht="12.75" x14ac:dyDescent="0.2">
      <c r="B649" s="331"/>
      <c r="C649" s="327"/>
      <c r="D649" s="331"/>
      <c r="F649" s="329"/>
      <c r="I649" s="330"/>
      <c r="J649" s="330"/>
    </row>
    <row r="650" spans="2:10" ht="12.75" x14ac:dyDescent="0.2">
      <c r="B650" s="331"/>
      <c r="C650" s="327"/>
      <c r="D650" s="331"/>
      <c r="F650" s="329"/>
      <c r="I650" s="330"/>
      <c r="J650" s="330"/>
    </row>
    <row r="651" spans="2:10" ht="12.75" x14ac:dyDescent="0.2">
      <c r="B651" s="331"/>
      <c r="C651" s="327"/>
      <c r="D651" s="331"/>
      <c r="F651" s="329"/>
      <c r="I651" s="330"/>
      <c r="J651" s="330"/>
    </row>
    <row r="652" spans="2:10" ht="12.75" x14ac:dyDescent="0.2">
      <c r="B652" s="331"/>
      <c r="C652" s="327"/>
      <c r="D652" s="331"/>
      <c r="F652" s="329"/>
      <c r="I652" s="330"/>
      <c r="J652" s="330"/>
    </row>
    <row r="653" spans="2:10" ht="12.75" x14ac:dyDescent="0.2">
      <c r="B653" s="331"/>
      <c r="C653" s="327"/>
      <c r="D653" s="331"/>
      <c r="F653" s="329"/>
      <c r="I653" s="330"/>
      <c r="J653" s="330"/>
    </row>
    <row r="654" spans="2:10" ht="12.75" x14ac:dyDescent="0.2">
      <c r="B654" s="331"/>
      <c r="C654" s="327"/>
      <c r="D654" s="331"/>
      <c r="F654" s="329"/>
      <c r="I654" s="330"/>
      <c r="J654" s="330"/>
    </row>
    <row r="655" spans="2:10" ht="12.75" x14ac:dyDescent="0.2">
      <c r="B655" s="331"/>
      <c r="C655" s="327"/>
      <c r="D655" s="331"/>
      <c r="F655" s="329"/>
      <c r="I655" s="330"/>
      <c r="J655" s="330"/>
    </row>
    <row r="656" spans="2:10" ht="12.75" x14ac:dyDescent="0.2">
      <c r="B656" s="331"/>
      <c r="C656" s="327"/>
      <c r="D656" s="331"/>
      <c r="F656" s="329"/>
      <c r="I656" s="330"/>
      <c r="J656" s="330"/>
    </row>
    <row r="657" spans="2:10" ht="12.75" x14ac:dyDescent="0.2">
      <c r="B657" s="331"/>
      <c r="C657" s="327"/>
      <c r="D657" s="331"/>
      <c r="F657" s="329"/>
      <c r="I657" s="330"/>
      <c r="J657" s="330"/>
    </row>
    <row r="658" spans="2:10" ht="12.75" x14ac:dyDescent="0.2">
      <c r="B658" s="331"/>
      <c r="C658" s="327"/>
      <c r="D658" s="331"/>
      <c r="F658" s="329"/>
      <c r="I658" s="330"/>
      <c r="J658" s="330"/>
    </row>
    <row r="659" spans="2:10" ht="12.75" x14ac:dyDescent="0.2">
      <c r="B659" s="331"/>
      <c r="C659" s="327"/>
      <c r="D659" s="331"/>
      <c r="F659" s="329"/>
      <c r="I659" s="330"/>
      <c r="J659" s="330"/>
    </row>
    <row r="660" spans="2:10" ht="12.75" x14ac:dyDescent="0.2">
      <c r="B660" s="331"/>
      <c r="C660" s="327"/>
      <c r="D660" s="331"/>
      <c r="F660" s="329"/>
      <c r="I660" s="330"/>
      <c r="J660" s="330"/>
    </row>
    <row r="661" spans="2:10" ht="12.75" x14ac:dyDescent="0.2">
      <c r="B661" s="331"/>
      <c r="C661" s="327"/>
      <c r="D661" s="331"/>
      <c r="F661" s="329"/>
      <c r="I661" s="330"/>
      <c r="J661" s="330"/>
    </row>
    <row r="662" spans="2:10" ht="12.75" x14ac:dyDescent="0.2">
      <c r="B662" s="331"/>
      <c r="C662" s="327"/>
      <c r="D662" s="331"/>
      <c r="F662" s="329"/>
      <c r="I662" s="330"/>
      <c r="J662" s="330"/>
    </row>
    <row r="663" spans="2:10" ht="12.75" x14ac:dyDescent="0.2">
      <c r="B663" s="331"/>
      <c r="C663" s="327"/>
      <c r="D663" s="331"/>
      <c r="F663" s="329"/>
      <c r="I663" s="330"/>
      <c r="J663" s="330"/>
    </row>
    <row r="664" spans="2:10" ht="12.75" x14ac:dyDescent="0.2">
      <c r="B664" s="331"/>
      <c r="C664" s="327"/>
      <c r="D664" s="331"/>
      <c r="F664" s="329"/>
      <c r="I664" s="330"/>
      <c r="J664" s="330"/>
    </row>
    <row r="665" spans="2:10" ht="12.75" x14ac:dyDescent="0.2">
      <c r="B665" s="331"/>
      <c r="C665" s="327"/>
      <c r="D665" s="331"/>
      <c r="F665" s="329"/>
      <c r="I665" s="330"/>
      <c r="J665" s="330"/>
    </row>
    <row r="666" spans="2:10" ht="12.75" x14ac:dyDescent="0.2">
      <c r="B666" s="331"/>
      <c r="C666" s="327"/>
      <c r="D666" s="331"/>
      <c r="F666" s="329"/>
      <c r="I666" s="330"/>
      <c r="J666" s="330"/>
    </row>
    <row r="667" spans="2:10" ht="12.75" x14ac:dyDescent="0.2">
      <c r="B667" s="331"/>
      <c r="C667" s="327"/>
      <c r="D667" s="331"/>
      <c r="F667" s="329"/>
      <c r="I667" s="330"/>
      <c r="J667" s="330"/>
    </row>
    <row r="668" spans="2:10" ht="12.75" x14ac:dyDescent="0.2">
      <c r="B668" s="331"/>
      <c r="C668" s="327"/>
      <c r="D668" s="331"/>
      <c r="F668" s="329"/>
      <c r="I668" s="330"/>
      <c r="J668" s="330"/>
    </row>
    <row r="669" spans="2:10" ht="12.75" x14ac:dyDescent="0.2">
      <c r="B669" s="331"/>
      <c r="C669" s="327"/>
      <c r="D669" s="331"/>
      <c r="F669" s="329"/>
      <c r="I669" s="330"/>
      <c r="J669" s="330"/>
    </row>
    <row r="670" spans="2:10" ht="12.75" x14ac:dyDescent="0.2">
      <c r="B670" s="331"/>
      <c r="C670" s="327"/>
      <c r="D670" s="331"/>
      <c r="F670" s="329"/>
      <c r="I670" s="330"/>
      <c r="J670" s="330"/>
    </row>
    <row r="671" spans="2:10" ht="12.75" x14ac:dyDescent="0.2">
      <c r="B671" s="331"/>
      <c r="C671" s="327"/>
      <c r="D671" s="331"/>
      <c r="F671" s="329"/>
      <c r="I671" s="330"/>
      <c r="J671" s="330"/>
    </row>
    <row r="672" spans="2:10" ht="12.75" x14ac:dyDescent="0.2">
      <c r="B672" s="331"/>
      <c r="C672" s="327"/>
      <c r="D672" s="331"/>
      <c r="F672" s="329"/>
      <c r="I672" s="330"/>
      <c r="J672" s="330"/>
    </row>
    <row r="673" spans="2:10" ht="12.75" x14ac:dyDescent="0.2">
      <c r="B673" s="331"/>
      <c r="C673" s="327"/>
      <c r="D673" s="331"/>
      <c r="F673" s="329"/>
      <c r="I673" s="330"/>
      <c r="J673" s="330"/>
    </row>
    <row r="674" spans="2:10" ht="12.75" x14ac:dyDescent="0.2">
      <c r="B674" s="331"/>
      <c r="C674" s="327"/>
      <c r="D674" s="331"/>
      <c r="F674" s="329"/>
      <c r="I674" s="330"/>
      <c r="J674" s="330"/>
    </row>
    <row r="675" spans="2:10" ht="12.75" x14ac:dyDescent="0.2">
      <c r="B675" s="331"/>
      <c r="C675" s="327"/>
      <c r="D675" s="331"/>
      <c r="F675" s="329"/>
      <c r="I675" s="330"/>
      <c r="J675" s="330"/>
    </row>
    <row r="676" spans="2:10" ht="12.75" x14ac:dyDescent="0.2">
      <c r="B676" s="331"/>
      <c r="C676" s="327"/>
      <c r="D676" s="331"/>
      <c r="F676" s="329"/>
      <c r="I676" s="330"/>
      <c r="J676" s="330"/>
    </row>
    <row r="677" spans="2:10" ht="12.75" x14ac:dyDescent="0.2">
      <c r="B677" s="331"/>
      <c r="C677" s="327"/>
      <c r="D677" s="331"/>
      <c r="F677" s="329"/>
      <c r="I677" s="330"/>
      <c r="J677" s="330"/>
    </row>
    <row r="678" spans="2:10" ht="12.75" x14ac:dyDescent="0.2">
      <c r="B678" s="331"/>
      <c r="C678" s="327"/>
      <c r="D678" s="331"/>
      <c r="F678" s="329"/>
      <c r="I678" s="330"/>
      <c r="J678" s="330"/>
    </row>
    <row r="679" spans="2:10" ht="12.75" x14ac:dyDescent="0.2">
      <c r="B679" s="331"/>
      <c r="C679" s="327"/>
      <c r="D679" s="331"/>
      <c r="F679" s="329"/>
      <c r="I679" s="330"/>
      <c r="J679" s="330"/>
    </row>
    <row r="680" spans="2:10" ht="12.75" x14ac:dyDescent="0.2">
      <c r="B680" s="331"/>
      <c r="C680" s="327"/>
      <c r="D680" s="331"/>
      <c r="F680" s="329"/>
      <c r="I680" s="330"/>
      <c r="J680" s="330"/>
    </row>
    <row r="681" spans="2:10" ht="12.75" x14ac:dyDescent="0.2">
      <c r="B681" s="331"/>
      <c r="C681" s="327"/>
      <c r="D681" s="331"/>
      <c r="F681" s="329"/>
      <c r="I681" s="330"/>
      <c r="J681" s="330"/>
    </row>
    <row r="682" spans="2:10" ht="12.75" x14ac:dyDescent="0.2">
      <c r="B682" s="331"/>
      <c r="C682" s="327"/>
      <c r="D682" s="331"/>
      <c r="F682" s="329"/>
      <c r="I682" s="330"/>
      <c r="J682" s="330"/>
    </row>
    <row r="683" spans="2:10" ht="12.75" x14ac:dyDescent="0.2">
      <c r="B683" s="331"/>
      <c r="C683" s="327"/>
      <c r="D683" s="331"/>
      <c r="F683" s="329"/>
      <c r="I683" s="330"/>
      <c r="J683" s="330"/>
    </row>
    <row r="684" spans="2:10" ht="12.75" x14ac:dyDescent="0.2">
      <c r="B684" s="331"/>
      <c r="C684" s="327"/>
      <c r="D684" s="331"/>
      <c r="F684" s="329"/>
      <c r="I684" s="330"/>
      <c r="J684" s="330"/>
    </row>
    <row r="685" spans="2:10" ht="12.75" x14ac:dyDescent="0.2">
      <c r="B685" s="331"/>
      <c r="C685" s="327"/>
      <c r="D685" s="331"/>
      <c r="F685" s="329"/>
      <c r="I685" s="330"/>
      <c r="J685" s="330"/>
    </row>
    <row r="686" spans="2:10" ht="12.75" x14ac:dyDescent="0.2">
      <c r="B686" s="331"/>
      <c r="C686" s="327"/>
      <c r="D686" s="331"/>
      <c r="F686" s="329"/>
      <c r="I686" s="330"/>
      <c r="J686" s="330"/>
    </row>
    <row r="687" spans="2:10" ht="12.75" x14ac:dyDescent="0.2">
      <c r="B687" s="331"/>
      <c r="C687" s="327"/>
      <c r="D687" s="331"/>
      <c r="F687" s="329"/>
      <c r="I687" s="330"/>
      <c r="J687" s="330"/>
    </row>
    <row r="688" spans="2:10" ht="12.75" x14ac:dyDescent="0.2">
      <c r="B688" s="331"/>
      <c r="C688" s="327"/>
      <c r="D688" s="331"/>
      <c r="F688" s="329"/>
      <c r="I688" s="330"/>
      <c r="J688" s="330"/>
    </row>
    <row r="689" spans="2:10" ht="12.75" x14ac:dyDescent="0.2">
      <c r="B689" s="331"/>
      <c r="C689" s="327"/>
      <c r="D689" s="331"/>
      <c r="F689" s="329"/>
      <c r="I689" s="330"/>
      <c r="J689" s="330"/>
    </row>
    <row r="690" spans="2:10" ht="12.75" x14ac:dyDescent="0.2">
      <c r="B690" s="331"/>
      <c r="C690" s="327"/>
      <c r="D690" s="331"/>
      <c r="F690" s="329"/>
      <c r="I690" s="330"/>
      <c r="J690" s="330"/>
    </row>
    <row r="691" spans="2:10" ht="12.75" x14ac:dyDescent="0.2">
      <c r="B691" s="331"/>
      <c r="C691" s="327"/>
      <c r="D691" s="331"/>
      <c r="F691" s="329"/>
      <c r="I691" s="330"/>
      <c r="J691" s="330"/>
    </row>
    <row r="692" spans="2:10" ht="12.75" x14ac:dyDescent="0.2">
      <c r="B692" s="331"/>
      <c r="C692" s="327"/>
      <c r="D692" s="331"/>
      <c r="F692" s="329"/>
      <c r="I692" s="330"/>
      <c r="J692" s="330"/>
    </row>
    <row r="693" spans="2:10" ht="12.75" x14ac:dyDescent="0.2">
      <c r="B693" s="331"/>
      <c r="C693" s="327"/>
      <c r="D693" s="331"/>
      <c r="F693" s="329"/>
      <c r="I693" s="330"/>
      <c r="J693" s="330"/>
    </row>
    <row r="694" spans="2:10" ht="12.75" x14ac:dyDescent="0.2">
      <c r="B694" s="331"/>
      <c r="C694" s="327"/>
      <c r="D694" s="331"/>
      <c r="F694" s="329"/>
      <c r="I694" s="330"/>
      <c r="J694" s="330"/>
    </row>
    <row r="695" spans="2:10" ht="12.75" x14ac:dyDescent="0.2">
      <c r="B695" s="331"/>
      <c r="C695" s="327"/>
      <c r="D695" s="331"/>
      <c r="F695" s="329"/>
      <c r="I695" s="330"/>
      <c r="J695" s="330"/>
    </row>
    <row r="696" spans="2:10" ht="12.75" x14ac:dyDescent="0.2">
      <c r="B696" s="331"/>
      <c r="C696" s="327"/>
      <c r="D696" s="331"/>
      <c r="F696" s="329"/>
      <c r="I696" s="330"/>
      <c r="J696" s="330"/>
    </row>
    <row r="697" spans="2:10" ht="12.75" x14ac:dyDescent="0.2">
      <c r="B697" s="331"/>
      <c r="C697" s="327"/>
      <c r="D697" s="331"/>
      <c r="F697" s="329"/>
      <c r="I697" s="330"/>
      <c r="J697" s="330"/>
    </row>
    <row r="698" spans="2:10" ht="12.75" x14ac:dyDescent="0.2">
      <c r="B698" s="331"/>
      <c r="C698" s="327"/>
      <c r="D698" s="331"/>
      <c r="F698" s="329"/>
      <c r="I698" s="330"/>
      <c r="J698" s="330"/>
    </row>
    <row r="699" spans="2:10" ht="12.75" x14ac:dyDescent="0.2">
      <c r="B699" s="331"/>
      <c r="C699" s="327"/>
      <c r="D699" s="331"/>
      <c r="F699" s="329"/>
      <c r="I699" s="330"/>
      <c r="J699" s="330"/>
    </row>
    <row r="700" spans="2:10" ht="12.75" x14ac:dyDescent="0.2">
      <c r="B700" s="331"/>
      <c r="C700" s="327"/>
      <c r="D700" s="331"/>
      <c r="F700" s="329"/>
      <c r="I700" s="330"/>
      <c r="J700" s="330"/>
    </row>
    <row r="701" spans="2:10" ht="12.75" x14ac:dyDescent="0.2">
      <c r="B701" s="331"/>
      <c r="C701" s="327"/>
      <c r="D701" s="331"/>
      <c r="F701" s="329"/>
      <c r="I701" s="330"/>
      <c r="J701" s="330"/>
    </row>
    <row r="702" spans="2:10" ht="12.75" x14ac:dyDescent="0.2">
      <c r="B702" s="331"/>
      <c r="C702" s="327"/>
      <c r="D702" s="331"/>
      <c r="F702" s="329"/>
      <c r="I702" s="330"/>
      <c r="J702" s="330"/>
    </row>
    <row r="703" spans="2:10" ht="12.75" x14ac:dyDescent="0.2">
      <c r="B703" s="331"/>
      <c r="C703" s="327"/>
      <c r="D703" s="331"/>
      <c r="F703" s="329"/>
      <c r="I703" s="330"/>
      <c r="J703" s="330"/>
    </row>
    <row r="704" spans="2:10" ht="12.75" x14ac:dyDescent="0.2">
      <c r="B704" s="331"/>
      <c r="C704" s="327"/>
      <c r="D704" s="331"/>
      <c r="F704" s="329"/>
      <c r="I704" s="330"/>
      <c r="J704" s="330"/>
    </row>
    <row r="705" spans="2:10" ht="12.75" x14ac:dyDescent="0.2">
      <c r="B705" s="331"/>
      <c r="C705" s="327"/>
      <c r="D705" s="331"/>
      <c r="F705" s="329"/>
      <c r="I705" s="330"/>
      <c r="J705" s="330"/>
    </row>
    <row r="706" spans="2:10" ht="12.75" x14ac:dyDescent="0.2">
      <c r="B706" s="331"/>
      <c r="C706" s="327"/>
      <c r="D706" s="331"/>
      <c r="F706" s="329"/>
      <c r="I706" s="330"/>
      <c r="J706" s="330"/>
    </row>
    <row r="707" spans="2:10" ht="12.75" x14ac:dyDescent="0.2">
      <c r="B707" s="331"/>
      <c r="C707" s="327"/>
      <c r="D707" s="331"/>
      <c r="F707" s="329"/>
      <c r="I707" s="330"/>
      <c r="J707" s="330"/>
    </row>
    <row r="708" spans="2:10" ht="12.75" x14ac:dyDescent="0.2">
      <c r="B708" s="331"/>
      <c r="C708" s="327"/>
      <c r="D708" s="331"/>
      <c r="F708" s="329"/>
      <c r="I708" s="330"/>
      <c r="J708" s="330"/>
    </row>
    <row r="709" spans="2:10" ht="12.75" x14ac:dyDescent="0.2">
      <c r="B709" s="331"/>
      <c r="C709" s="327"/>
      <c r="D709" s="331"/>
      <c r="F709" s="329"/>
      <c r="I709" s="330"/>
      <c r="J709" s="330"/>
    </row>
    <row r="710" spans="2:10" ht="12.75" x14ac:dyDescent="0.2">
      <c r="B710" s="331"/>
      <c r="C710" s="327"/>
      <c r="D710" s="331"/>
      <c r="F710" s="329"/>
      <c r="I710" s="330"/>
      <c r="J710" s="330"/>
    </row>
    <row r="711" spans="2:10" ht="12.75" x14ac:dyDescent="0.2">
      <c r="B711" s="331"/>
      <c r="C711" s="327"/>
      <c r="D711" s="331"/>
      <c r="F711" s="329"/>
      <c r="I711" s="330"/>
      <c r="J711" s="330"/>
    </row>
    <row r="712" spans="2:10" ht="12.75" x14ac:dyDescent="0.2">
      <c r="B712" s="331"/>
      <c r="C712" s="327"/>
      <c r="D712" s="331"/>
      <c r="F712" s="329"/>
      <c r="I712" s="330"/>
      <c r="J712" s="330"/>
    </row>
    <row r="713" spans="2:10" ht="12.75" x14ac:dyDescent="0.2">
      <c r="B713" s="331"/>
      <c r="C713" s="327"/>
      <c r="D713" s="331"/>
      <c r="F713" s="329"/>
      <c r="I713" s="330"/>
      <c r="J713" s="330"/>
    </row>
    <row r="714" spans="2:10" ht="12.75" x14ac:dyDescent="0.2">
      <c r="B714" s="331"/>
      <c r="C714" s="327"/>
      <c r="D714" s="331"/>
      <c r="F714" s="329"/>
      <c r="I714" s="330"/>
      <c r="J714" s="330"/>
    </row>
    <row r="715" spans="2:10" ht="12.75" x14ac:dyDescent="0.2">
      <c r="B715" s="331"/>
      <c r="C715" s="327"/>
      <c r="D715" s="331"/>
      <c r="F715" s="329"/>
      <c r="I715" s="330"/>
      <c r="J715" s="330"/>
    </row>
    <row r="716" spans="2:10" ht="12.75" x14ac:dyDescent="0.2">
      <c r="B716" s="331"/>
      <c r="C716" s="327"/>
      <c r="D716" s="331"/>
      <c r="F716" s="329"/>
      <c r="I716" s="330"/>
      <c r="J716" s="330"/>
    </row>
    <row r="717" spans="2:10" ht="12.75" x14ac:dyDescent="0.2">
      <c r="B717" s="331"/>
      <c r="C717" s="327"/>
      <c r="D717" s="331"/>
      <c r="F717" s="329"/>
      <c r="I717" s="330"/>
      <c r="J717" s="330"/>
    </row>
    <row r="718" spans="2:10" ht="12.75" x14ac:dyDescent="0.2">
      <c r="B718" s="331"/>
      <c r="C718" s="327"/>
      <c r="D718" s="331"/>
      <c r="F718" s="329"/>
      <c r="I718" s="330"/>
      <c r="J718" s="330"/>
    </row>
    <row r="719" spans="2:10" ht="12.75" x14ac:dyDescent="0.2">
      <c r="B719" s="331"/>
      <c r="C719" s="327"/>
      <c r="D719" s="331"/>
      <c r="F719" s="329"/>
      <c r="I719" s="330"/>
      <c r="J719" s="330"/>
    </row>
    <row r="720" spans="2:10" ht="12.75" x14ac:dyDescent="0.2">
      <c r="B720" s="331"/>
      <c r="C720" s="327"/>
      <c r="D720" s="331"/>
      <c r="F720" s="329"/>
      <c r="I720" s="330"/>
      <c r="J720" s="330"/>
    </row>
    <row r="721" spans="2:10" ht="12.75" x14ac:dyDescent="0.2">
      <c r="B721" s="331"/>
      <c r="C721" s="327"/>
      <c r="D721" s="331"/>
      <c r="F721" s="329"/>
      <c r="I721" s="330"/>
      <c r="J721" s="330"/>
    </row>
    <row r="722" spans="2:10" ht="12.75" x14ac:dyDescent="0.2">
      <c r="B722" s="331"/>
      <c r="C722" s="327"/>
      <c r="D722" s="331"/>
      <c r="F722" s="329"/>
      <c r="I722" s="330"/>
      <c r="J722" s="330"/>
    </row>
    <row r="723" spans="2:10" ht="12.75" x14ac:dyDescent="0.2">
      <c r="B723" s="331"/>
      <c r="C723" s="327"/>
      <c r="D723" s="331"/>
      <c r="F723" s="329"/>
      <c r="I723" s="330"/>
      <c r="J723" s="330"/>
    </row>
    <row r="724" spans="2:10" ht="12.75" x14ac:dyDescent="0.2">
      <c r="B724" s="331"/>
      <c r="C724" s="327"/>
      <c r="D724" s="331"/>
      <c r="F724" s="329"/>
      <c r="I724" s="330"/>
      <c r="J724" s="330"/>
    </row>
    <row r="725" spans="2:10" ht="12.75" x14ac:dyDescent="0.2">
      <c r="B725" s="331"/>
      <c r="C725" s="327"/>
      <c r="D725" s="331"/>
      <c r="F725" s="329"/>
      <c r="I725" s="330"/>
      <c r="J725" s="330"/>
    </row>
    <row r="726" spans="2:10" ht="12.75" x14ac:dyDescent="0.2">
      <c r="B726" s="331"/>
      <c r="C726" s="327"/>
      <c r="D726" s="331"/>
      <c r="F726" s="329"/>
      <c r="I726" s="330"/>
      <c r="J726" s="330"/>
    </row>
    <row r="727" spans="2:10" ht="12.75" x14ac:dyDescent="0.2">
      <c r="B727" s="331"/>
      <c r="C727" s="327"/>
      <c r="D727" s="331"/>
      <c r="F727" s="329"/>
      <c r="I727" s="330"/>
      <c r="J727" s="330"/>
    </row>
    <row r="728" spans="2:10" ht="12.75" x14ac:dyDescent="0.2">
      <c r="B728" s="331"/>
      <c r="C728" s="327"/>
      <c r="D728" s="331"/>
      <c r="F728" s="329"/>
      <c r="I728" s="330"/>
      <c r="J728" s="330"/>
    </row>
    <row r="729" spans="2:10" ht="12.75" x14ac:dyDescent="0.2">
      <c r="B729" s="331"/>
      <c r="C729" s="327"/>
      <c r="D729" s="331"/>
      <c r="F729" s="329"/>
      <c r="I729" s="330"/>
      <c r="J729" s="330"/>
    </row>
    <row r="730" spans="2:10" ht="12.75" x14ac:dyDescent="0.2">
      <c r="B730" s="331"/>
      <c r="C730" s="327"/>
      <c r="D730" s="331"/>
      <c r="F730" s="329"/>
      <c r="I730" s="330"/>
      <c r="J730" s="330"/>
    </row>
    <row r="731" spans="2:10" ht="12.75" x14ac:dyDescent="0.2">
      <c r="B731" s="331"/>
      <c r="C731" s="327"/>
      <c r="D731" s="331"/>
      <c r="F731" s="329"/>
      <c r="I731" s="330"/>
      <c r="J731" s="330"/>
    </row>
    <row r="732" spans="2:10" ht="12.75" x14ac:dyDescent="0.2">
      <c r="B732" s="331"/>
      <c r="C732" s="327"/>
      <c r="D732" s="331"/>
      <c r="F732" s="329"/>
      <c r="I732" s="330"/>
      <c r="J732" s="330"/>
    </row>
    <row r="733" spans="2:10" ht="12.75" x14ac:dyDescent="0.2">
      <c r="B733" s="331"/>
      <c r="C733" s="327"/>
      <c r="D733" s="331"/>
      <c r="F733" s="329"/>
      <c r="I733" s="330"/>
      <c r="J733" s="330"/>
    </row>
    <row r="734" spans="2:10" ht="12.75" x14ac:dyDescent="0.2">
      <c r="B734" s="331"/>
      <c r="C734" s="327"/>
      <c r="D734" s="331"/>
      <c r="F734" s="329"/>
      <c r="I734" s="330"/>
      <c r="J734" s="330"/>
    </row>
    <row r="735" spans="2:10" ht="12.75" x14ac:dyDescent="0.2">
      <c r="B735" s="331"/>
      <c r="C735" s="327"/>
      <c r="D735" s="331"/>
      <c r="F735" s="329"/>
      <c r="I735" s="330"/>
      <c r="J735" s="330"/>
    </row>
    <row r="736" spans="2:10" ht="12.75" x14ac:dyDescent="0.2">
      <c r="B736" s="331"/>
      <c r="C736" s="327"/>
      <c r="D736" s="331"/>
      <c r="F736" s="329"/>
      <c r="I736" s="330"/>
      <c r="J736" s="330"/>
    </row>
    <row r="737" spans="2:10" ht="12.75" x14ac:dyDescent="0.2">
      <c r="B737" s="331"/>
      <c r="C737" s="327"/>
      <c r="D737" s="331"/>
      <c r="F737" s="329"/>
      <c r="I737" s="330"/>
      <c r="J737" s="330"/>
    </row>
    <row r="738" spans="2:10" ht="12.75" x14ac:dyDescent="0.2">
      <c r="B738" s="331"/>
      <c r="C738" s="327"/>
      <c r="D738" s="331"/>
      <c r="F738" s="329"/>
      <c r="I738" s="330"/>
      <c r="J738" s="330"/>
    </row>
    <row r="739" spans="2:10" ht="12.75" x14ac:dyDescent="0.2">
      <c r="B739" s="331"/>
      <c r="C739" s="327"/>
      <c r="D739" s="331"/>
      <c r="F739" s="329"/>
      <c r="I739" s="330"/>
      <c r="J739" s="330"/>
    </row>
    <row r="740" spans="2:10" ht="12.75" x14ac:dyDescent="0.2">
      <c r="B740" s="331"/>
      <c r="C740" s="327"/>
      <c r="D740" s="331"/>
      <c r="F740" s="329"/>
      <c r="I740" s="330"/>
      <c r="J740" s="330"/>
    </row>
    <row r="741" spans="2:10" ht="12.75" x14ac:dyDescent="0.2">
      <c r="B741" s="331"/>
      <c r="C741" s="327"/>
      <c r="D741" s="331"/>
      <c r="F741" s="329"/>
      <c r="I741" s="330"/>
      <c r="J741" s="330"/>
    </row>
    <row r="742" spans="2:10" ht="12.75" x14ac:dyDescent="0.2">
      <c r="B742" s="331"/>
      <c r="C742" s="327"/>
      <c r="D742" s="331"/>
      <c r="F742" s="329"/>
      <c r="I742" s="330"/>
      <c r="J742" s="330"/>
    </row>
    <row r="743" spans="2:10" ht="12.75" x14ac:dyDescent="0.2">
      <c r="B743" s="331"/>
      <c r="C743" s="327"/>
      <c r="D743" s="331"/>
      <c r="F743" s="329"/>
      <c r="I743" s="330"/>
      <c r="J743" s="330"/>
    </row>
    <row r="744" spans="2:10" ht="12.75" x14ac:dyDescent="0.2">
      <c r="B744" s="331"/>
      <c r="C744" s="327"/>
      <c r="D744" s="331"/>
      <c r="F744" s="329"/>
      <c r="I744" s="330"/>
      <c r="J744" s="330"/>
    </row>
    <row r="745" spans="2:10" ht="12.75" x14ac:dyDescent="0.2">
      <c r="B745" s="331"/>
      <c r="C745" s="327"/>
      <c r="D745" s="331"/>
      <c r="F745" s="329"/>
      <c r="I745" s="330"/>
      <c r="J745" s="330"/>
    </row>
    <row r="746" spans="2:10" ht="12.75" x14ac:dyDescent="0.2">
      <c r="B746" s="331"/>
      <c r="C746" s="327"/>
      <c r="D746" s="331"/>
      <c r="F746" s="329"/>
      <c r="I746" s="330"/>
      <c r="J746" s="330"/>
    </row>
    <row r="747" spans="2:10" ht="12.75" x14ac:dyDescent="0.2">
      <c r="B747" s="331"/>
      <c r="C747" s="327"/>
      <c r="D747" s="331"/>
      <c r="F747" s="329"/>
      <c r="I747" s="330"/>
      <c r="J747" s="330"/>
    </row>
    <row r="748" spans="2:10" ht="12.75" x14ac:dyDescent="0.2">
      <c r="B748" s="331"/>
      <c r="C748" s="327"/>
      <c r="D748" s="331"/>
      <c r="F748" s="329"/>
      <c r="I748" s="330"/>
      <c r="J748" s="330"/>
    </row>
    <row r="749" spans="2:10" ht="12.75" x14ac:dyDescent="0.2">
      <c r="B749" s="331"/>
      <c r="C749" s="327"/>
      <c r="D749" s="331"/>
      <c r="F749" s="329"/>
      <c r="I749" s="330"/>
      <c r="J749" s="330"/>
    </row>
    <row r="750" spans="2:10" ht="12.75" x14ac:dyDescent="0.2">
      <c r="B750" s="331"/>
      <c r="C750" s="327"/>
      <c r="D750" s="331"/>
      <c r="F750" s="329"/>
      <c r="I750" s="330"/>
      <c r="J750" s="330"/>
    </row>
    <row r="751" spans="2:10" ht="12.75" x14ac:dyDescent="0.2">
      <c r="B751" s="331"/>
      <c r="C751" s="327"/>
      <c r="D751" s="331"/>
      <c r="F751" s="329"/>
      <c r="I751" s="330"/>
      <c r="J751" s="330"/>
    </row>
    <row r="752" spans="2:10" ht="12.75" x14ac:dyDescent="0.2">
      <c r="B752" s="331"/>
      <c r="C752" s="327"/>
      <c r="D752" s="331"/>
      <c r="F752" s="329"/>
      <c r="I752" s="330"/>
      <c r="J752" s="330"/>
    </row>
    <row r="753" spans="2:10" ht="12.75" x14ac:dyDescent="0.2">
      <c r="B753" s="331"/>
      <c r="C753" s="327"/>
      <c r="D753" s="331"/>
      <c r="F753" s="329"/>
      <c r="I753" s="330"/>
      <c r="J753" s="330"/>
    </row>
    <row r="754" spans="2:10" ht="12.75" x14ac:dyDescent="0.2">
      <c r="B754" s="331"/>
      <c r="C754" s="327"/>
      <c r="D754" s="331"/>
      <c r="F754" s="329"/>
      <c r="I754" s="330"/>
      <c r="J754" s="330"/>
    </row>
    <row r="755" spans="2:10" ht="12.75" x14ac:dyDescent="0.2">
      <c r="B755" s="331"/>
      <c r="C755" s="327"/>
      <c r="D755" s="331"/>
      <c r="F755" s="329"/>
      <c r="I755" s="330"/>
      <c r="J755" s="330"/>
    </row>
    <row r="756" spans="2:10" ht="12.75" x14ac:dyDescent="0.2">
      <c r="B756" s="331"/>
      <c r="C756" s="327"/>
      <c r="D756" s="331"/>
      <c r="F756" s="329"/>
      <c r="I756" s="330"/>
      <c r="J756" s="330"/>
    </row>
    <row r="757" spans="2:10" ht="12.75" x14ac:dyDescent="0.2">
      <c r="B757" s="331"/>
      <c r="C757" s="327"/>
      <c r="D757" s="331"/>
      <c r="F757" s="329"/>
      <c r="I757" s="330"/>
      <c r="J757" s="330"/>
    </row>
    <row r="758" spans="2:10" ht="12.75" x14ac:dyDescent="0.2">
      <c r="B758" s="331"/>
      <c r="C758" s="327"/>
      <c r="D758" s="331"/>
      <c r="F758" s="329"/>
      <c r="I758" s="330"/>
      <c r="J758" s="330"/>
    </row>
    <row r="759" spans="2:10" ht="12.75" x14ac:dyDescent="0.2">
      <c r="B759" s="331"/>
      <c r="C759" s="327"/>
      <c r="D759" s="331"/>
      <c r="F759" s="329"/>
      <c r="I759" s="330"/>
      <c r="J759" s="330"/>
    </row>
    <row r="760" spans="2:10" ht="12.75" x14ac:dyDescent="0.2">
      <c r="B760" s="331"/>
      <c r="C760" s="327"/>
      <c r="D760" s="331"/>
      <c r="F760" s="329"/>
      <c r="I760" s="330"/>
      <c r="J760" s="330"/>
    </row>
    <row r="761" spans="2:10" ht="12.75" x14ac:dyDescent="0.2">
      <c r="B761" s="331"/>
      <c r="C761" s="327"/>
      <c r="D761" s="331"/>
      <c r="F761" s="329"/>
      <c r="I761" s="330"/>
      <c r="J761" s="330"/>
    </row>
    <row r="762" spans="2:10" ht="12.75" x14ac:dyDescent="0.2">
      <c r="B762" s="331"/>
      <c r="C762" s="327"/>
      <c r="D762" s="331"/>
      <c r="F762" s="329"/>
      <c r="I762" s="330"/>
      <c r="J762" s="330"/>
    </row>
    <row r="763" spans="2:10" ht="12.75" x14ac:dyDescent="0.2">
      <c r="B763" s="331"/>
      <c r="C763" s="327"/>
      <c r="D763" s="331"/>
      <c r="F763" s="329"/>
      <c r="I763" s="330"/>
      <c r="J763" s="330"/>
    </row>
    <row r="764" spans="2:10" ht="12.75" x14ac:dyDescent="0.2">
      <c r="B764" s="331"/>
      <c r="C764" s="327"/>
      <c r="D764" s="331"/>
      <c r="F764" s="329"/>
      <c r="I764" s="330"/>
      <c r="J764" s="330"/>
    </row>
    <row r="765" spans="2:10" ht="12.75" x14ac:dyDescent="0.2">
      <c r="B765" s="331"/>
      <c r="C765" s="327"/>
      <c r="D765" s="331"/>
      <c r="F765" s="329"/>
      <c r="I765" s="330"/>
      <c r="J765" s="330"/>
    </row>
    <row r="766" spans="2:10" ht="12.75" x14ac:dyDescent="0.2">
      <c r="B766" s="331"/>
      <c r="C766" s="327"/>
      <c r="D766" s="331"/>
      <c r="F766" s="329"/>
      <c r="I766" s="330"/>
      <c r="J766" s="330"/>
    </row>
    <row r="767" spans="2:10" ht="12.75" x14ac:dyDescent="0.2">
      <c r="B767" s="331"/>
      <c r="C767" s="327"/>
      <c r="D767" s="331"/>
      <c r="F767" s="329"/>
      <c r="I767" s="330"/>
      <c r="J767" s="330"/>
    </row>
    <row r="768" spans="2:10" ht="12.75" x14ac:dyDescent="0.2">
      <c r="B768" s="331"/>
      <c r="C768" s="327"/>
      <c r="D768" s="331"/>
      <c r="F768" s="329"/>
      <c r="I768" s="330"/>
      <c r="J768" s="330"/>
    </row>
    <row r="769" spans="2:10" ht="12.75" x14ac:dyDescent="0.2">
      <c r="B769" s="331"/>
      <c r="C769" s="327"/>
      <c r="D769" s="331"/>
      <c r="F769" s="329"/>
      <c r="I769" s="330"/>
      <c r="J769" s="330"/>
    </row>
    <row r="770" spans="2:10" ht="12.75" x14ac:dyDescent="0.2">
      <c r="B770" s="331"/>
      <c r="C770" s="327"/>
      <c r="D770" s="331"/>
      <c r="F770" s="329"/>
      <c r="I770" s="330"/>
      <c r="J770" s="330"/>
    </row>
    <row r="771" spans="2:10" ht="12.75" x14ac:dyDescent="0.2">
      <c r="B771" s="331"/>
      <c r="C771" s="327"/>
      <c r="D771" s="331"/>
      <c r="F771" s="329"/>
      <c r="I771" s="330"/>
      <c r="J771" s="330"/>
    </row>
    <row r="772" spans="2:10" ht="12.75" x14ac:dyDescent="0.2">
      <c r="B772" s="331"/>
      <c r="C772" s="327"/>
      <c r="D772" s="331"/>
      <c r="F772" s="329"/>
      <c r="I772" s="330"/>
      <c r="J772" s="330"/>
    </row>
    <row r="773" spans="2:10" ht="12.75" x14ac:dyDescent="0.2">
      <c r="B773" s="331"/>
      <c r="C773" s="327"/>
      <c r="D773" s="331"/>
      <c r="F773" s="329"/>
      <c r="I773" s="330"/>
      <c r="J773" s="330"/>
    </row>
    <row r="774" spans="2:10" ht="12.75" x14ac:dyDescent="0.2">
      <c r="B774" s="331"/>
      <c r="C774" s="327"/>
      <c r="D774" s="331"/>
      <c r="F774" s="329"/>
      <c r="I774" s="330"/>
      <c r="J774" s="330"/>
    </row>
    <row r="775" spans="2:10" ht="12.75" x14ac:dyDescent="0.2">
      <c r="B775" s="331"/>
      <c r="C775" s="327"/>
      <c r="D775" s="331"/>
      <c r="F775" s="329"/>
      <c r="I775" s="330"/>
      <c r="J775" s="330"/>
    </row>
    <row r="776" spans="2:10" ht="12.75" x14ac:dyDescent="0.2">
      <c r="B776" s="331"/>
      <c r="C776" s="327"/>
      <c r="D776" s="331"/>
      <c r="F776" s="329"/>
      <c r="I776" s="330"/>
      <c r="J776" s="330"/>
    </row>
    <row r="777" spans="2:10" ht="12.75" x14ac:dyDescent="0.2">
      <c r="B777" s="331"/>
      <c r="C777" s="327"/>
      <c r="D777" s="331"/>
      <c r="F777" s="329"/>
      <c r="I777" s="330"/>
      <c r="J777" s="330"/>
    </row>
    <row r="778" spans="2:10" ht="12.75" x14ac:dyDescent="0.2">
      <c r="B778" s="331"/>
      <c r="C778" s="327"/>
      <c r="D778" s="331"/>
      <c r="F778" s="329"/>
      <c r="I778" s="330"/>
      <c r="J778" s="330"/>
    </row>
    <row r="779" spans="2:10" ht="12.75" x14ac:dyDescent="0.2">
      <c r="B779" s="331"/>
      <c r="C779" s="327"/>
      <c r="D779" s="331"/>
      <c r="F779" s="329"/>
      <c r="I779" s="330"/>
      <c r="J779" s="330"/>
    </row>
    <row r="780" spans="2:10" ht="12.75" x14ac:dyDescent="0.2">
      <c r="B780" s="331"/>
      <c r="C780" s="327"/>
      <c r="D780" s="331"/>
      <c r="F780" s="329"/>
      <c r="I780" s="330"/>
      <c r="J780" s="330"/>
    </row>
    <row r="781" spans="2:10" ht="12.75" x14ac:dyDescent="0.2">
      <c r="B781" s="331"/>
      <c r="C781" s="327"/>
      <c r="D781" s="331"/>
      <c r="F781" s="329"/>
      <c r="I781" s="330"/>
      <c r="J781" s="330"/>
    </row>
    <row r="782" spans="2:10" ht="12.75" x14ac:dyDescent="0.2">
      <c r="B782" s="331"/>
      <c r="C782" s="327"/>
      <c r="D782" s="331"/>
      <c r="F782" s="329"/>
      <c r="I782" s="330"/>
      <c r="J782" s="330"/>
    </row>
    <row r="783" spans="2:10" ht="12.75" x14ac:dyDescent="0.2">
      <c r="B783" s="331"/>
      <c r="C783" s="327"/>
      <c r="D783" s="331"/>
      <c r="F783" s="329"/>
      <c r="I783" s="330"/>
      <c r="J783" s="330"/>
    </row>
    <row r="784" spans="2:10" ht="12.75" x14ac:dyDescent="0.2">
      <c r="B784" s="331"/>
      <c r="C784" s="327"/>
      <c r="D784" s="331"/>
      <c r="F784" s="329"/>
      <c r="I784" s="330"/>
      <c r="J784" s="330"/>
    </row>
    <row r="785" spans="2:10" ht="12.75" x14ac:dyDescent="0.2">
      <c r="B785" s="331"/>
      <c r="C785" s="327"/>
      <c r="D785" s="331"/>
      <c r="F785" s="329"/>
      <c r="I785" s="330"/>
      <c r="J785" s="330"/>
    </row>
    <row r="786" spans="2:10" ht="12.75" x14ac:dyDescent="0.2">
      <c r="B786" s="331"/>
      <c r="C786" s="327"/>
      <c r="D786" s="331"/>
      <c r="F786" s="329"/>
      <c r="I786" s="330"/>
      <c r="J786" s="330"/>
    </row>
    <row r="787" spans="2:10" ht="12.75" x14ac:dyDescent="0.2">
      <c r="B787" s="331"/>
      <c r="C787" s="327"/>
      <c r="D787" s="331"/>
      <c r="F787" s="329"/>
      <c r="I787" s="330"/>
      <c r="J787" s="330"/>
    </row>
    <row r="788" spans="2:10" ht="12.75" x14ac:dyDescent="0.2">
      <c r="B788" s="331"/>
      <c r="C788" s="327"/>
      <c r="D788" s="331"/>
      <c r="F788" s="329"/>
      <c r="I788" s="330"/>
      <c r="J788" s="330"/>
    </row>
    <row r="789" spans="2:10" ht="12.75" x14ac:dyDescent="0.2">
      <c r="B789" s="331"/>
      <c r="C789" s="327"/>
      <c r="D789" s="331"/>
      <c r="F789" s="329"/>
      <c r="I789" s="330"/>
      <c r="J789" s="330"/>
    </row>
    <row r="790" spans="2:10" ht="12.75" x14ac:dyDescent="0.2">
      <c r="B790" s="331"/>
      <c r="C790" s="327"/>
      <c r="D790" s="331"/>
      <c r="F790" s="329"/>
      <c r="I790" s="330"/>
      <c r="J790" s="330"/>
    </row>
    <row r="791" spans="2:10" ht="12.75" x14ac:dyDescent="0.2">
      <c r="B791" s="331"/>
      <c r="C791" s="327"/>
      <c r="D791" s="331"/>
      <c r="F791" s="329"/>
      <c r="I791" s="330"/>
      <c r="J791" s="330"/>
    </row>
    <row r="792" spans="2:10" ht="12.75" x14ac:dyDescent="0.2">
      <c r="B792" s="331"/>
      <c r="C792" s="327"/>
      <c r="D792" s="331"/>
      <c r="F792" s="329"/>
      <c r="I792" s="330"/>
      <c r="J792" s="330"/>
    </row>
    <row r="793" spans="2:10" ht="12.75" x14ac:dyDescent="0.2">
      <c r="B793" s="331"/>
      <c r="C793" s="327"/>
      <c r="D793" s="331"/>
      <c r="F793" s="329"/>
      <c r="I793" s="330"/>
      <c r="J793" s="330"/>
    </row>
    <row r="794" spans="2:10" ht="12.75" x14ac:dyDescent="0.2">
      <c r="B794" s="331"/>
      <c r="C794" s="327"/>
      <c r="D794" s="331"/>
      <c r="F794" s="329"/>
      <c r="I794" s="330"/>
      <c r="J794" s="330"/>
    </row>
    <row r="795" spans="2:10" ht="12.75" x14ac:dyDescent="0.2">
      <c r="B795" s="331"/>
      <c r="C795" s="327"/>
      <c r="D795" s="331"/>
      <c r="F795" s="329"/>
      <c r="I795" s="330"/>
      <c r="J795" s="330"/>
    </row>
    <row r="796" spans="2:10" ht="12.75" x14ac:dyDescent="0.2">
      <c r="B796" s="331"/>
      <c r="C796" s="327"/>
      <c r="D796" s="331"/>
      <c r="F796" s="329"/>
      <c r="I796" s="330"/>
      <c r="J796" s="330"/>
    </row>
    <row r="797" spans="2:10" ht="12.75" x14ac:dyDescent="0.2">
      <c r="B797" s="331"/>
      <c r="C797" s="327"/>
      <c r="D797" s="331"/>
      <c r="F797" s="329"/>
      <c r="I797" s="330"/>
      <c r="J797" s="330"/>
    </row>
    <row r="798" spans="2:10" ht="12.75" x14ac:dyDescent="0.2">
      <c r="B798" s="331"/>
      <c r="C798" s="327"/>
      <c r="D798" s="331"/>
      <c r="F798" s="329"/>
      <c r="I798" s="330"/>
      <c r="J798" s="330"/>
    </row>
    <row r="799" spans="2:10" ht="12.75" x14ac:dyDescent="0.2">
      <c r="B799" s="331"/>
      <c r="C799" s="327"/>
      <c r="D799" s="331"/>
      <c r="F799" s="329"/>
      <c r="I799" s="330"/>
      <c r="J799" s="330"/>
    </row>
    <row r="800" spans="2:10" ht="12.75" x14ac:dyDescent="0.2">
      <c r="B800" s="331"/>
      <c r="C800" s="327"/>
      <c r="D800" s="331"/>
      <c r="F800" s="329"/>
      <c r="I800" s="330"/>
      <c r="J800" s="330"/>
    </row>
    <row r="801" spans="2:10" ht="12.75" x14ac:dyDescent="0.2">
      <c r="B801" s="331"/>
      <c r="C801" s="327"/>
      <c r="D801" s="331"/>
      <c r="F801" s="329"/>
      <c r="I801" s="330"/>
      <c r="J801" s="330"/>
    </row>
    <row r="802" spans="2:10" ht="12.75" x14ac:dyDescent="0.2">
      <c r="B802" s="331"/>
      <c r="C802" s="327"/>
      <c r="D802" s="331"/>
      <c r="F802" s="329"/>
      <c r="I802" s="330"/>
      <c r="J802" s="330"/>
    </row>
    <row r="803" spans="2:10" ht="12.75" x14ac:dyDescent="0.2">
      <c r="B803" s="331"/>
      <c r="C803" s="327"/>
      <c r="D803" s="331"/>
      <c r="F803" s="329"/>
      <c r="I803" s="330"/>
      <c r="J803" s="330"/>
    </row>
    <row r="804" spans="2:10" ht="12.75" x14ac:dyDescent="0.2">
      <c r="B804" s="331"/>
      <c r="C804" s="327"/>
      <c r="D804" s="331"/>
      <c r="F804" s="329"/>
      <c r="I804" s="330"/>
      <c r="J804" s="330"/>
    </row>
    <row r="805" spans="2:10" ht="12.75" x14ac:dyDescent="0.2">
      <c r="B805" s="331"/>
      <c r="C805" s="327"/>
      <c r="D805" s="331"/>
      <c r="F805" s="329"/>
      <c r="I805" s="330"/>
      <c r="J805" s="330"/>
    </row>
    <row r="806" spans="2:10" ht="12.75" x14ac:dyDescent="0.2">
      <c r="B806" s="331"/>
      <c r="C806" s="327"/>
      <c r="D806" s="331"/>
      <c r="F806" s="329"/>
      <c r="I806" s="330"/>
      <c r="J806" s="330"/>
    </row>
    <row r="807" spans="2:10" ht="12.75" x14ac:dyDescent="0.2">
      <c r="B807" s="331"/>
      <c r="C807" s="327"/>
      <c r="D807" s="331"/>
      <c r="F807" s="329"/>
      <c r="I807" s="330"/>
      <c r="J807" s="330"/>
    </row>
    <row r="808" spans="2:10" ht="12.75" x14ac:dyDescent="0.2">
      <c r="B808" s="331"/>
      <c r="C808" s="327"/>
      <c r="D808" s="331"/>
      <c r="F808" s="329"/>
      <c r="I808" s="330"/>
      <c r="J808" s="330"/>
    </row>
    <row r="809" spans="2:10" ht="12.75" x14ac:dyDescent="0.2">
      <c r="B809" s="331"/>
      <c r="C809" s="327"/>
      <c r="D809" s="331"/>
      <c r="F809" s="329"/>
      <c r="I809" s="330"/>
      <c r="J809" s="330"/>
    </row>
    <row r="810" spans="2:10" ht="12.75" x14ac:dyDescent="0.2">
      <c r="B810" s="331"/>
      <c r="C810" s="327"/>
      <c r="D810" s="331"/>
      <c r="F810" s="329"/>
      <c r="I810" s="330"/>
      <c r="J810" s="330"/>
    </row>
    <row r="811" spans="2:10" ht="12.75" x14ac:dyDescent="0.2">
      <c r="B811" s="331"/>
      <c r="C811" s="327"/>
      <c r="D811" s="331"/>
      <c r="F811" s="329"/>
      <c r="I811" s="330"/>
      <c r="J811" s="330"/>
    </row>
    <row r="812" spans="2:10" ht="12.75" x14ac:dyDescent="0.2">
      <c r="B812" s="331"/>
      <c r="C812" s="327"/>
      <c r="D812" s="331"/>
      <c r="F812" s="329"/>
      <c r="I812" s="330"/>
      <c r="J812" s="330"/>
    </row>
    <row r="813" spans="2:10" ht="12.75" x14ac:dyDescent="0.2">
      <c r="B813" s="331"/>
      <c r="C813" s="327"/>
      <c r="D813" s="331"/>
      <c r="F813" s="329"/>
      <c r="I813" s="330"/>
      <c r="J813" s="330"/>
    </row>
    <row r="814" spans="2:10" ht="12.75" x14ac:dyDescent="0.2">
      <c r="B814" s="331"/>
      <c r="C814" s="327"/>
      <c r="D814" s="331"/>
      <c r="F814" s="329"/>
      <c r="I814" s="330"/>
      <c r="J814" s="330"/>
    </row>
    <row r="815" spans="2:10" ht="12.75" x14ac:dyDescent="0.2">
      <c r="B815" s="331"/>
      <c r="C815" s="327"/>
      <c r="D815" s="331"/>
      <c r="F815" s="329"/>
      <c r="I815" s="330"/>
      <c r="J815" s="330"/>
    </row>
    <row r="816" spans="2:10" ht="12.75" x14ac:dyDescent="0.2">
      <c r="B816" s="331"/>
      <c r="C816" s="327"/>
      <c r="D816" s="331"/>
      <c r="F816" s="329"/>
      <c r="I816" s="330"/>
      <c r="J816" s="330"/>
    </row>
    <row r="817" spans="2:10" ht="12.75" x14ac:dyDescent="0.2">
      <c r="B817" s="331"/>
      <c r="C817" s="327"/>
      <c r="D817" s="331"/>
      <c r="F817" s="329"/>
      <c r="I817" s="330"/>
      <c r="J817" s="330"/>
    </row>
    <row r="818" spans="2:10" ht="12.75" x14ac:dyDescent="0.2">
      <c r="B818" s="331"/>
      <c r="C818" s="327"/>
      <c r="D818" s="331"/>
      <c r="F818" s="329"/>
      <c r="I818" s="330"/>
      <c r="J818" s="330"/>
    </row>
    <row r="819" spans="2:10" ht="12.75" x14ac:dyDescent="0.2">
      <c r="B819" s="331"/>
      <c r="C819" s="327"/>
      <c r="D819" s="331"/>
      <c r="F819" s="329"/>
      <c r="I819" s="330"/>
      <c r="J819" s="330"/>
    </row>
    <row r="820" spans="2:10" ht="12.75" x14ac:dyDescent="0.2">
      <c r="B820" s="331"/>
      <c r="C820" s="327"/>
      <c r="D820" s="331"/>
      <c r="F820" s="329"/>
      <c r="I820" s="330"/>
      <c r="J820" s="330"/>
    </row>
    <row r="821" spans="2:10" ht="12.75" x14ac:dyDescent="0.2">
      <c r="B821" s="331"/>
      <c r="C821" s="327"/>
      <c r="D821" s="331"/>
      <c r="F821" s="329"/>
      <c r="I821" s="330"/>
      <c r="J821" s="330"/>
    </row>
    <row r="822" spans="2:10" ht="12.75" x14ac:dyDescent="0.2">
      <c r="B822" s="331"/>
      <c r="C822" s="327"/>
      <c r="D822" s="331"/>
      <c r="F822" s="329"/>
      <c r="I822" s="330"/>
      <c r="J822" s="330"/>
    </row>
    <row r="823" spans="2:10" ht="12.75" x14ac:dyDescent="0.2">
      <c r="B823" s="331"/>
      <c r="C823" s="327"/>
      <c r="D823" s="331"/>
      <c r="F823" s="329"/>
      <c r="I823" s="330"/>
      <c r="J823" s="330"/>
    </row>
    <row r="824" spans="2:10" ht="12.75" x14ac:dyDescent="0.2">
      <c r="B824" s="331"/>
      <c r="C824" s="327"/>
      <c r="D824" s="331"/>
      <c r="F824" s="329"/>
      <c r="I824" s="330"/>
      <c r="J824" s="330"/>
    </row>
    <row r="825" spans="2:10" ht="12.75" x14ac:dyDescent="0.2">
      <c r="B825" s="331"/>
      <c r="C825" s="327"/>
      <c r="D825" s="331"/>
      <c r="F825" s="329"/>
      <c r="I825" s="330"/>
      <c r="J825" s="330"/>
    </row>
    <row r="826" spans="2:10" ht="12.75" x14ac:dyDescent="0.2">
      <c r="B826" s="331"/>
      <c r="C826" s="327"/>
      <c r="D826" s="331"/>
      <c r="F826" s="329"/>
      <c r="I826" s="330"/>
      <c r="J826" s="330"/>
    </row>
    <row r="827" spans="2:10" ht="12.75" x14ac:dyDescent="0.2">
      <c r="B827" s="331"/>
      <c r="C827" s="327"/>
      <c r="D827" s="331"/>
      <c r="F827" s="329"/>
      <c r="I827" s="330"/>
      <c r="J827" s="330"/>
    </row>
    <row r="828" spans="2:10" ht="12.75" x14ac:dyDescent="0.2">
      <c r="B828" s="331"/>
      <c r="C828" s="327"/>
      <c r="D828" s="331"/>
      <c r="F828" s="329"/>
      <c r="I828" s="330"/>
      <c r="J828" s="330"/>
    </row>
    <row r="829" spans="2:10" ht="12.75" x14ac:dyDescent="0.2">
      <c r="B829" s="331"/>
      <c r="C829" s="327"/>
      <c r="D829" s="331"/>
      <c r="F829" s="329"/>
      <c r="I829" s="330"/>
      <c r="J829" s="330"/>
    </row>
    <row r="830" spans="2:10" ht="12.75" x14ac:dyDescent="0.2">
      <c r="B830" s="331"/>
      <c r="C830" s="327"/>
      <c r="D830" s="331"/>
      <c r="F830" s="329"/>
      <c r="I830" s="330"/>
      <c r="J830" s="330"/>
    </row>
    <row r="831" spans="2:10" ht="12.75" x14ac:dyDescent="0.2">
      <c r="B831" s="331"/>
      <c r="C831" s="327"/>
      <c r="D831" s="331"/>
      <c r="F831" s="329"/>
      <c r="I831" s="330"/>
      <c r="J831" s="330"/>
    </row>
    <row r="832" spans="2:10" ht="12.75" x14ac:dyDescent="0.2">
      <c r="B832" s="331"/>
      <c r="C832" s="327"/>
      <c r="D832" s="331"/>
      <c r="F832" s="329"/>
      <c r="I832" s="330"/>
      <c r="J832" s="330"/>
    </row>
    <row r="833" spans="2:10" ht="12.75" x14ac:dyDescent="0.2">
      <c r="B833" s="331"/>
      <c r="C833" s="327"/>
      <c r="D833" s="331"/>
      <c r="F833" s="329"/>
      <c r="I833" s="330"/>
      <c r="J833" s="330"/>
    </row>
    <row r="834" spans="2:10" ht="12.75" x14ac:dyDescent="0.2">
      <c r="B834" s="331"/>
      <c r="C834" s="327"/>
      <c r="D834" s="331"/>
      <c r="F834" s="329"/>
      <c r="I834" s="330"/>
      <c r="J834" s="330"/>
    </row>
    <row r="835" spans="2:10" ht="12.75" x14ac:dyDescent="0.2">
      <c r="B835" s="331"/>
      <c r="C835" s="327"/>
      <c r="D835" s="331"/>
      <c r="F835" s="329"/>
      <c r="I835" s="330"/>
      <c r="J835" s="330"/>
    </row>
    <row r="836" spans="2:10" ht="12.75" x14ac:dyDescent="0.2">
      <c r="B836" s="331"/>
      <c r="C836" s="327"/>
      <c r="D836" s="331"/>
      <c r="F836" s="329"/>
      <c r="I836" s="330"/>
      <c r="J836" s="330"/>
    </row>
    <row r="837" spans="2:10" ht="12.75" x14ac:dyDescent="0.2">
      <c r="B837" s="331"/>
      <c r="C837" s="327"/>
      <c r="D837" s="331"/>
      <c r="F837" s="329"/>
      <c r="I837" s="330"/>
      <c r="J837" s="330"/>
    </row>
    <row r="838" spans="2:10" ht="12.75" x14ac:dyDescent="0.2">
      <c r="B838" s="331"/>
      <c r="C838" s="327"/>
      <c r="D838" s="331"/>
      <c r="F838" s="329"/>
      <c r="I838" s="330"/>
      <c r="J838" s="330"/>
    </row>
    <row r="839" spans="2:10" ht="12.75" x14ac:dyDescent="0.2">
      <c r="B839" s="331"/>
      <c r="C839" s="327"/>
      <c r="D839" s="331"/>
      <c r="F839" s="329"/>
      <c r="I839" s="330"/>
      <c r="J839" s="330"/>
    </row>
    <row r="840" spans="2:10" ht="12.75" x14ac:dyDescent="0.2">
      <c r="B840" s="331"/>
      <c r="C840" s="327"/>
      <c r="D840" s="331"/>
      <c r="F840" s="329"/>
      <c r="I840" s="330"/>
      <c r="J840" s="330"/>
    </row>
    <row r="841" spans="2:10" ht="12.75" x14ac:dyDescent="0.2">
      <c r="B841" s="331"/>
      <c r="C841" s="327"/>
      <c r="D841" s="331"/>
      <c r="F841" s="329"/>
      <c r="I841" s="330"/>
      <c r="J841" s="330"/>
    </row>
    <row r="842" spans="2:10" ht="12.75" x14ac:dyDescent="0.2">
      <c r="B842" s="331"/>
      <c r="C842" s="327"/>
      <c r="D842" s="331"/>
      <c r="F842" s="329"/>
      <c r="I842" s="330"/>
      <c r="J842" s="330"/>
    </row>
    <row r="843" spans="2:10" ht="12.75" x14ac:dyDescent="0.2">
      <c r="B843" s="331"/>
      <c r="C843" s="327"/>
      <c r="D843" s="331"/>
      <c r="F843" s="329"/>
      <c r="I843" s="330"/>
      <c r="J843" s="330"/>
    </row>
    <row r="844" spans="2:10" ht="12.75" x14ac:dyDescent="0.2">
      <c r="B844" s="331"/>
      <c r="C844" s="327"/>
      <c r="D844" s="331"/>
      <c r="F844" s="329"/>
      <c r="I844" s="330"/>
      <c r="J844" s="330"/>
    </row>
    <row r="845" spans="2:10" ht="12.75" x14ac:dyDescent="0.2">
      <c r="B845" s="331"/>
      <c r="C845" s="327"/>
      <c r="D845" s="331"/>
      <c r="F845" s="329"/>
      <c r="I845" s="330"/>
      <c r="J845" s="330"/>
    </row>
    <row r="846" spans="2:10" ht="12.75" x14ac:dyDescent="0.2">
      <c r="B846" s="331"/>
      <c r="C846" s="327"/>
      <c r="D846" s="331"/>
      <c r="F846" s="329"/>
      <c r="I846" s="330"/>
      <c r="J846" s="330"/>
    </row>
    <row r="847" spans="2:10" ht="12.75" x14ac:dyDescent="0.2">
      <c r="B847" s="331"/>
      <c r="C847" s="327"/>
      <c r="D847" s="331"/>
      <c r="F847" s="329"/>
      <c r="I847" s="330"/>
      <c r="J847" s="330"/>
    </row>
    <row r="848" spans="2:10" ht="12.75" x14ac:dyDescent="0.2">
      <c r="B848" s="331"/>
      <c r="C848" s="327"/>
      <c r="D848" s="331"/>
      <c r="F848" s="329"/>
      <c r="I848" s="330"/>
      <c r="J848" s="330"/>
    </row>
    <row r="849" spans="2:10" ht="12.75" x14ac:dyDescent="0.2">
      <c r="B849" s="331"/>
      <c r="C849" s="327"/>
      <c r="D849" s="331"/>
      <c r="F849" s="329"/>
      <c r="I849" s="330"/>
      <c r="J849" s="330"/>
    </row>
    <row r="850" spans="2:10" ht="12.75" x14ac:dyDescent="0.2">
      <c r="B850" s="331"/>
      <c r="C850" s="327"/>
      <c r="D850" s="331"/>
      <c r="F850" s="329"/>
      <c r="I850" s="330"/>
      <c r="J850" s="330"/>
    </row>
    <row r="851" spans="2:10" ht="12.75" x14ac:dyDescent="0.2">
      <c r="B851" s="331"/>
      <c r="C851" s="327"/>
      <c r="D851" s="331"/>
      <c r="F851" s="329"/>
      <c r="I851" s="330"/>
      <c r="J851" s="330"/>
    </row>
    <row r="852" spans="2:10" ht="12.75" x14ac:dyDescent="0.2">
      <c r="B852" s="331"/>
      <c r="C852" s="327"/>
      <c r="D852" s="331"/>
      <c r="F852" s="329"/>
      <c r="I852" s="330"/>
      <c r="J852" s="330"/>
    </row>
    <row r="853" spans="2:10" ht="12.75" x14ac:dyDescent="0.2">
      <c r="B853" s="331"/>
      <c r="C853" s="327"/>
      <c r="D853" s="331"/>
      <c r="F853" s="329"/>
      <c r="I853" s="330"/>
      <c r="J853" s="330"/>
    </row>
    <row r="854" spans="2:10" ht="12.75" x14ac:dyDescent="0.2">
      <c r="B854" s="331"/>
      <c r="C854" s="327"/>
      <c r="D854" s="331"/>
      <c r="F854" s="329"/>
      <c r="I854" s="330"/>
      <c r="J854" s="330"/>
    </row>
    <row r="855" spans="2:10" ht="12.75" x14ac:dyDescent="0.2">
      <c r="B855" s="331"/>
      <c r="C855" s="327"/>
      <c r="D855" s="331"/>
      <c r="F855" s="329"/>
      <c r="I855" s="330"/>
      <c r="J855" s="330"/>
    </row>
    <row r="856" spans="2:10" ht="12.75" x14ac:dyDescent="0.2">
      <c r="B856" s="331"/>
      <c r="C856" s="327"/>
      <c r="D856" s="331"/>
      <c r="F856" s="329"/>
      <c r="I856" s="330"/>
      <c r="J856" s="330"/>
    </row>
    <row r="857" spans="2:10" ht="12.75" x14ac:dyDescent="0.2">
      <c r="B857" s="331"/>
      <c r="C857" s="327"/>
      <c r="D857" s="331"/>
      <c r="F857" s="329"/>
      <c r="I857" s="330"/>
      <c r="J857" s="330"/>
    </row>
    <row r="858" spans="2:10" ht="12.75" x14ac:dyDescent="0.2">
      <c r="B858" s="331"/>
      <c r="C858" s="327"/>
      <c r="D858" s="331"/>
      <c r="F858" s="329"/>
      <c r="I858" s="330"/>
      <c r="J858" s="330"/>
    </row>
    <row r="859" spans="2:10" ht="12.75" x14ac:dyDescent="0.2">
      <c r="B859" s="331"/>
      <c r="C859" s="327"/>
      <c r="D859" s="331"/>
      <c r="F859" s="329"/>
      <c r="I859" s="330"/>
      <c r="J859" s="330"/>
    </row>
    <row r="860" spans="2:10" ht="12.75" x14ac:dyDescent="0.2">
      <c r="B860" s="331"/>
      <c r="C860" s="327"/>
      <c r="D860" s="331"/>
      <c r="F860" s="329"/>
      <c r="I860" s="330"/>
      <c r="J860" s="330"/>
    </row>
    <row r="861" spans="2:10" ht="12.75" x14ac:dyDescent="0.2">
      <c r="B861" s="331"/>
      <c r="C861" s="327"/>
      <c r="D861" s="331"/>
      <c r="F861" s="329"/>
      <c r="I861" s="330"/>
      <c r="J861" s="330"/>
    </row>
    <row r="862" spans="2:10" ht="12.75" x14ac:dyDescent="0.2">
      <c r="B862" s="331"/>
      <c r="C862" s="327"/>
      <c r="D862" s="331"/>
      <c r="F862" s="329"/>
      <c r="I862" s="330"/>
      <c r="J862" s="330"/>
    </row>
    <row r="863" spans="2:10" ht="12.75" x14ac:dyDescent="0.2">
      <c r="B863" s="331"/>
      <c r="C863" s="327"/>
      <c r="D863" s="331"/>
      <c r="F863" s="329"/>
      <c r="I863" s="330"/>
      <c r="J863" s="330"/>
    </row>
    <row r="864" spans="2:10" ht="12.75" x14ac:dyDescent="0.2">
      <c r="B864" s="331"/>
      <c r="C864" s="327"/>
      <c r="D864" s="331"/>
      <c r="F864" s="329"/>
      <c r="I864" s="330"/>
      <c r="J864" s="330"/>
    </row>
    <row r="865" spans="2:10" ht="12.75" x14ac:dyDescent="0.2">
      <c r="B865" s="331"/>
      <c r="C865" s="327"/>
      <c r="D865" s="331"/>
      <c r="F865" s="329"/>
      <c r="I865" s="330"/>
      <c r="J865" s="330"/>
    </row>
    <row r="866" spans="2:10" ht="12.75" x14ac:dyDescent="0.2">
      <c r="B866" s="331"/>
      <c r="C866" s="327"/>
      <c r="D866" s="331"/>
      <c r="F866" s="329"/>
      <c r="I866" s="330"/>
      <c r="J866" s="330"/>
    </row>
    <row r="867" spans="2:10" ht="12.75" x14ac:dyDescent="0.2">
      <c r="B867" s="331"/>
      <c r="C867" s="327"/>
      <c r="D867" s="331"/>
      <c r="F867" s="329"/>
      <c r="I867" s="330"/>
      <c r="J867" s="330"/>
    </row>
    <row r="868" spans="2:10" ht="12.75" x14ac:dyDescent="0.2">
      <c r="B868" s="331"/>
      <c r="C868" s="327"/>
      <c r="D868" s="331"/>
      <c r="F868" s="329"/>
      <c r="I868" s="330"/>
      <c r="J868" s="330"/>
    </row>
    <row r="869" spans="2:10" ht="12.75" x14ac:dyDescent="0.2">
      <c r="B869" s="331"/>
      <c r="C869" s="327"/>
      <c r="D869" s="331"/>
      <c r="F869" s="329"/>
      <c r="I869" s="330"/>
      <c r="J869" s="330"/>
    </row>
    <row r="870" spans="2:10" ht="12.75" x14ac:dyDescent="0.2">
      <c r="B870" s="331"/>
      <c r="C870" s="327"/>
      <c r="D870" s="331"/>
      <c r="F870" s="329"/>
      <c r="I870" s="330"/>
      <c r="J870" s="330"/>
    </row>
    <row r="871" spans="2:10" ht="12.75" x14ac:dyDescent="0.2">
      <c r="B871" s="331"/>
      <c r="C871" s="327"/>
      <c r="D871" s="331"/>
      <c r="F871" s="329"/>
      <c r="I871" s="330"/>
      <c r="J871" s="330"/>
    </row>
    <row r="872" spans="2:10" ht="12.75" x14ac:dyDescent="0.2">
      <c r="B872" s="331"/>
      <c r="C872" s="327"/>
      <c r="D872" s="331"/>
      <c r="F872" s="329"/>
      <c r="I872" s="330"/>
      <c r="J872" s="330"/>
    </row>
    <row r="873" spans="2:10" ht="12.75" x14ac:dyDescent="0.2">
      <c r="B873" s="331"/>
      <c r="C873" s="327"/>
      <c r="D873" s="331"/>
      <c r="F873" s="329"/>
      <c r="I873" s="330"/>
      <c r="J873" s="330"/>
    </row>
    <row r="874" spans="2:10" ht="12.75" x14ac:dyDescent="0.2">
      <c r="B874" s="331"/>
      <c r="C874" s="327"/>
      <c r="D874" s="331"/>
      <c r="F874" s="329"/>
      <c r="I874" s="330"/>
      <c r="J874" s="330"/>
    </row>
    <row r="875" spans="2:10" ht="12.75" x14ac:dyDescent="0.2">
      <c r="B875" s="331"/>
      <c r="C875" s="327"/>
      <c r="D875" s="331"/>
      <c r="F875" s="329"/>
      <c r="I875" s="330"/>
      <c r="J875" s="330"/>
    </row>
    <row r="876" spans="2:10" ht="12.75" x14ac:dyDescent="0.2">
      <c r="B876" s="331"/>
      <c r="C876" s="327"/>
      <c r="D876" s="331"/>
      <c r="F876" s="329"/>
      <c r="I876" s="330"/>
      <c r="J876" s="330"/>
    </row>
    <row r="877" spans="2:10" ht="12.75" x14ac:dyDescent="0.2">
      <c r="B877" s="331"/>
      <c r="C877" s="327"/>
      <c r="D877" s="331"/>
      <c r="F877" s="329"/>
      <c r="I877" s="330"/>
      <c r="J877" s="330"/>
    </row>
    <row r="878" spans="2:10" ht="12.75" x14ac:dyDescent="0.2">
      <c r="B878" s="331"/>
      <c r="C878" s="327"/>
      <c r="D878" s="331"/>
      <c r="F878" s="329"/>
      <c r="I878" s="330"/>
      <c r="J878" s="330"/>
    </row>
    <row r="879" spans="2:10" ht="12.75" x14ac:dyDescent="0.2">
      <c r="B879" s="331"/>
      <c r="C879" s="327"/>
      <c r="D879" s="331"/>
      <c r="F879" s="329"/>
      <c r="I879" s="330"/>
      <c r="J879" s="330"/>
    </row>
    <row r="880" spans="2:10" ht="12.75" x14ac:dyDescent="0.2">
      <c r="B880" s="331"/>
      <c r="C880" s="327"/>
      <c r="D880" s="331"/>
      <c r="F880" s="329"/>
      <c r="I880" s="330"/>
      <c r="J880" s="330"/>
    </row>
    <row r="881" spans="2:10" ht="12.75" x14ac:dyDescent="0.2">
      <c r="B881" s="331"/>
      <c r="C881" s="327"/>
      <c r="D881" s="331"/>
      <c r="F881" s="329"/>
      <c r="I881" s="330"/>
      <c r="J881" s="330"/>
    </row>
    <row r="882" spans="2:10" ht="12.75" x14ac:dyDescent="0.2">
      <c r="B882" s="331"/>
      <c r="C882" s="327"/>
      <c r="D882" s="331"/>
      <c r="F882" s="329"/>
      <c r="I882" s="330"/>
      <c r="J882" s="330"/>
    </row>
    <row r="883" spans="2:10" ht="12.75" x14ac:dyDescent="0.2">
      <c r="B883" s="331"/>
      <c r="C883" s="327"/>
      <c r="D883" s="331"/>
      <c r="F883" s="329"/>
      <c r="I883" s="330"/>
      <c r="J883" s="330"/>
    </row>
    <row r="884" spans="2:10" ht="12.75" x14ac:dyDescent="0.2">
      <c r="B884" s="331"/>
      <c r="C884" s="327"/>
      <c r="D884" s="331"/>
      <c r="F884" s="329"/>
      <c r="I884" s="330"/>
      <c r="J884" s="330"/>
    </row>
    <row r="885" spans="2:10" ht="12.75" x14ac:dyDescent="0.2">
      <c r="B885" s="331"/>
      <c r="C885" s="327"/>
      <c r="D885" s="331"/>
      <c r="F885" s="329"/>
      <c r="I885" s="330"/>
      <c r="J885" s="330"/>
    </row>
    <row r="886" spans="2:10" ht="12.75" x14ac:dyDescent="0.2">
      <c r="B886" s="331"/>
      <c r="C886" s="327"/>
      <c r="D886" s="331"/>
      <c r="F886" s="329"/>
      <c r="I886" s="330"/>
      <c r="J886" s="330"/>
    </row>
    <row r="887" spans="2:10" ht="12.75" x14ac:dyDescent="0.2">
      <c r="B887" s="331"/>
      <c r="C887" s="327"/>
      <c r="D887" s="331"/>
      <c r="F887" s="329"/>
      <c r="I887" s="330"/>
      <c r="J887" s="330"/>
    </row>
    <row r="888" spans="2:10" ht="12.75" x14ac:dyDescent="0.2">
      <c r="B888" s="331"/>
      <c r="C888" s="327"/>
      <c r="D888" s="331"/>
      <c r="F888" s="329"/>
      <c r="I888" s="330"/>
      <c r="J888" s="330"/>
    </row>
    <row r="889" spans="2:10" ht="12.75" x14ac:dyDescent="0.2">
      <c r="B889" s="331"/>
      <c r="C889" s="327"/>
      <c r="D889" s="331"/>
      <c r="F889" s="329"/>
      <c r="I889" s="330"/>
      <c r="J889" s="330"/>
    </row>
    <row r="890" spans="2:10" ht="12.75" x14ac:dyDescent="0.2">
      <c r="B890" s="331"/>
      <c r="C890" s="327"/>
      <c r="D890" s="331"/>
      <c r="F890" s="329"/>
      <c r="I890" s="330"/>
      <c r="J890" s="330"/>
    </row>
    <row r="891" spans="2:10" ht="12.75" x14ac:dyDescent="0.2">
      <c r="B891" s="331"/>
      <c r="C891" s="327"/>
      <c r="D891" s="331"/>
      <c r="F891" s="329"/>
      <c r="I891" s="330"/>
      <c r="J891" s="330"/>
    </row>
    <row r="892" spans="2:10" ht="12.75" x14ac:dyDescent="0.2">
      <c r="B892" s="331"/>
      <c r="C892" s="327"/>
      <c r="D892" s="331"/>
      <c r="F892" s="329"/>
      <c r="I892" s="330"/>
      <c r="J892" s="330"/>
    </row>
    <row r="893" spans="2:10" ht="12.75" x14ac:dyDescent="0.2">
      <c r="B893" s="331"/>
      <c r="C893" s="327"/>
      <c r="D893" s="331"/>
      <c r="F893" s="329"/>
      <c r="I893" s="330"/>
      <c r="J893" s="330"/>
    </row>
    <row r="894" spans="2:10" ht="12.75" x14ac:dyDescent="0.2">
      <c r="B894" s="331"/>
      <c r="C894" s="327"/>
      <c r="D894" s="331"/>
      <c r="F894" s="329"/>
      <c r="I894" s="330"/>
      <c r="J894" s="330"/>
    </row>
    <row r="895" spans="2:10" ht="12.75" x14ac:dyDescent="0.2">
      <c r="B895" s="331"/>
      <c r="C895" s="327"/>
      <c r="D895" s="331"/>
      <c r="F895" s="329"/>
      <c r="I895" s="330"/>
      <c r="J895" s="330"/>
    </row>
    <row r="896" spans="2:10" ht="12.75" x14ac:dyDescent="0.2">
      <c r="B896" s="331"/>
      <c r="C896" s="327"/>
      <c r="D896" s="331"/>
      <c r="F896" s="329"/>
      <c r="I896" s="330"/>
      <c r="J896" s="330"/>
    </row>
    <row r="897" spans="2:10" ht="12.75" x14ac:dyDescent="0.2">
      <c r="B897" s="331"/>
      <c r="C897" s="327"/>
      <c r="D897" s="331"/>
      <c r="F897" s="329"/>
      <c r="I897" s="330"/>
      <c r="J897" s="330"/>
    </row>
    <row r="898" spans="2:10" ht="12.75" x14ac:dyDescent="0.2">
      <c r="B898" s="331"/>
      <c r="C898" s="327"/>
      <c r="D898" s="331"/>
      <c r="F898" s="329"/>
      <c r="I898" s="330"/>
      <c r="J898" s="330"/>
    </row>
    <row r="899" spans="2:10" ht="12.75" x14ac:dyDescent="0.2">
      <c r="B899" s="331"/>
      <c r="C899" s="327"/>
      <c r="D899" s="331"/>
      <c r="F899" s="329"/>
      <c r="I899" s="330"/>
      <c r="J899" s="330"/>
    </row>
    <row r="900" spans="2:10" ht="12.75" x14ac:dyDescent="0.2">
      <c r="B900" s="331"/>
      <c r="C900" s="327"/>
      <c r="D900" s="331"/>
      <c r="F900" s="329"/>
      <c r="I900" s="330"/>
      <c r="J900" s="330"/>
    </row>
    <row r="901" spans="2:10" ht="12.75" x14ac:dyDescent="0.2">
      <c r="B901" s="331"/>
      <c r="C901" s="327"/>
      <c r="D901" s="331"/>
      <c r="F901" s="329"/>
      <c r="I901" s="330"/>
      <c r="J901" s="330"/>
    </row>
    <row r="902" spans="2:10" ht="12.75" x14ac:dyDescent="0.2">
      <c r="B902" s="331"/>
      <c r="C902" s="327"/>
      <c r="D902" s="331"/>
      <c r="F902" s="329"/>
      <c r="I902" s="330"/>
      <c r="J902" s="330"/>
    </row>
    <row r="903" spans="2:10" ht="12.75" x14ac:dyDescent="0.2">
      <c r="B903" s="331"/>
      <c r="C903" s="327"/>
      <c r="D903" s="331"/>
      <c r="F903" s="329"/>
      <c r="I903" s="330"/>
      <c r="J903" s="330"/>
    </row>
    <row r="904" spans="2:10" ht="12.75" x14ac:dyDescent="0.2">
      <c r="B904" s="331"/>
      <c r="C904" s="327"/>
      <c r="D904" s="331"/>
      <c r="F904" s="329"/>
      <c r="I904" s="330"/>
      <c r="J904" s="330"/>
    </row>
    <row r="905" spans="2:10" ht="12.75" x14ac:dyDescent="0.2">
      <c r="B905" s="331"/>
      <c r="C905" s="327"/>
      <c r="D905" s="331"/>
      <c r="F905" s="329"/>
      <c r="I905" s="330"/>
      <c r="J905" s="330"/>
    </row>
    <row r="906" spans="2:10" ht="12.75" x14ac:dyDescent="0.2">
      <c r="B906" s="331"/>
      <c r="C906" s="327"/>
      <c r="D906" s="331"/>
      <c r="F906" s="329"/>
      <c r="I906" s="330"/>
      <c r="J906" s="330"/>
    </row>
    <row r="907" spans="2:10" ht="12.75" x14ac:dyDescent="0.2">
      <c r="B907" s="331"/>
      <c r="C907" s="327"/>
      <c r="D907" s="331"/>
      <c r="F907" s="329"/>
      <c r="I907" s="330"/>
      <c r="J907" s="330"/>
    </row>
    <row r="908" spans="2:10" ht="12.75" x14ac:dyDescent="0.2">
      <c r="B908" s="331"/>
      <c r="C908" s="327"/>
      <c r="D908" s="331"/>
      <c r="F908" s="329"/>
      <c r="I908" s="330"/>
      <c r="J908" s="330"/>
    </row>
    <row r="909" spans="2:10" ht="12.75" x14ac:dyDescent="0.2">
      <c r="B909" s="331"/>
      <c r="C909" s="327"/>
      <c r="D909" s="331"/>
      <c r="F909" s="329"/>
      <c r="I909" s="330"/>
      <c r="J909" s="330"/>
    </row>
    <row r="910" spans="2:10" ht="12.75" x14ac:dyDescent="0.2">
      <c r="B910" s="331"/>
      <c r="C910" s="327"/>
      <c r="D910" s="331"/>
      <c r="F910" s="329"/>
      <c r="I910" s="330"/>
      <c r="J910" s="330"/>
    </row>
    <row r="911" spans="2:10" ht="12.75" x14ac:dyDescent="0.2">
      <c r="B911" s="331"/>
      <c r="C911" s="327"/>
      <c r="D911" s="331"/>
      <c r="F911" s="329"/>
      <c r="I911" s="330"/>
      <c r="J911" s="330"/>
    </row>
    <row r="912" spans="2:10" ht="12.75" x14ac:dyDescent="0.2">
      <c r="B912" s="331"/>
      <c r="C912" s="327"/>
      <c r="D912" s="331"/>
      <c r="F912" s="329"/>
      <c r="I912" s="330"/>
      <c r="J912" s="330"/>
    </row>
    <row r="913" spans="2:10" ht="12.75" x14ac:dyDescent="0.2">
      <c r="B913" s="331"/>
      <c r="C913" s="327"/>
      <c r="D913" s="331"/>
      <c r="F913" s="329"/>
      <c r="I913" s="330"/>
      <c r="J913" s="330"/>
    </row>
    <row r="914" spans="2:10" ht="12.75" x14ac:dyDescent="0.2">
      <c r="B914" s="331"/>
      <c r="C914" s="327"/>
      <c r="D914" s="331"/>
      <c r="F914" s="329"/>
      <c r="I914" s="330"/>
      <c r="J914" s="330"/>
    </row>
    <row r="915" spans="2:10" ht="12.75" x14ac:dyDescent="0.2">
      <c r="B915" s="331"/>
      <c r="C915" s="327"/>
      <c r="D915" s="331"/>
      <c r="F915" s="329"/>
      <c r="I915" s="330"/>
      <c r="J915" s="330"/>
    </row>
    <row r="916" spans="2:10" ht="12.75" x14ac:dyDescent="0.2">
      <c r="B916" s="331"/>
      <c r="C916" s="327"/>
      <c r="D916" s="331"/>
      <c r="F916" s="329"/>
      <c r="I916" s="330"/>
      <c r="J916" s="330"/>
    </row>
    <row r="917" spans="2:10" ht="12.75" x14ac:dyDescent="0.2">
      <c r="B917" s="331"/>
      <c r="C917" s="327"/>
      <c r="D917" s="331"/>
      <c r="F917" s="329"/>
      <c r="I917" s="330"/>
      <c r="J917" s="330"/>
    </row>
    <row r="918" spans="2:10" ht="12.75" x14ac:dyDescent="0.2">
      <c r="B918" s="331"/>
      <c r="C918" s="327"/>
      <c r="D918" s="331"/>
      <c r="F918" s="329"/>
      <c r="I918" s="330"/>
      <c r="J918" s="330"/>
    </row>
    <row r="919" spans="2:10" ht="12.75" x14ac:dyDescent="0.2">
      <c r="B919" s="331"/>
      <c r="C919" s="327"/>
      <c r="D919" s="331"/>
      <c r="F919" s="329"/>
      <c r="I919" s="330"/>
      <c r="J919" s="330"/>
    </row>
    <row r="920" spans="2:10" ht="12.75" x14ac:dyDescent="0.2">
      <c r="B920" s="331"/>
      <c r="C920" s="327"/>
      <c r="D920" s="331"/>
      <c r="F920" s="329"/>
      <c r="I920" s="330"/>
      <c r="J920" s="330"/>
    </row>
    <row r="921" spans="2:10" ht="12.75" x14ac:dyDescent="0.2">
      <c r="B921" s="331"/>
      <c r="C921" s="327"/>
      <c r="D921" s="331"/>
      <c r="F921" s="329"/>
      <c r="I921" s="330"/>
      <c r="J921" s="330"/>
    </row>
    <row r="922" spans="2:10" ht="12.75" x14ac:dyDescent="0.2">
      <c r="B922" s="331"/>
      <c r="C922" s="327"/>
      <c r="D922" s="331"/>
      <c r="F922" s="329"/>
      <c r="I922" s="330"/>
      <c r="J922" s="330"/>
    </row>
    <row r="923" spans="2:10" ht="12.75" x14ac:dyDescent="0.2">
      <c r="B923" s="331"/>
      <c r="C923" s="327"/>
      <c r="D923" s="331"/>
      <c r="F923" s="329"/>
      <c r="I923" s="330"/>
      <c r="J923" s="330"/>
    </row>
    <row r="924" spans="2:10" ht="12.75" x14ac:dyDescent="0.2">
      <c r="B924" s="331"/>
      <c r="C924" s="327"/>
      <c r="D924" s="331"/>
      <c r="F924" s="329"/>
      <c r="I924" s="330"/>
      <c r="J924" s="330"/>
    </row>
    <row r="925" spans="2:10" ht="12.75" x14ac:dyDescent="0.2">
      <c r="B925" s="331"/>
      <c r="C925" s="327"/>
      <c r="D925" s="331"/>
      <c r="F925" s="329"/>
      <c r="I925" s="330"/>
      <c r="J925" s="330"/>
    </row>
    <row r="926" spans="2:10" ht="12.75" x14ac:dyDescent="0.2">
      <c r="B926" s="331"/>
      <c r="C926" s="327"/>
      <c r="D926" s="331"/>
      <c r="F926" s="329"/>
      <c r="I926" s="330"/>
      <c r="J926" s="330"/>
    </row>
    <row r="927" spans="2:10" ht="12.75" x14ac:dyDescent="0.2">
      <c r="B927" s="331"/>
      <c r="C927" s="327"/>
      <c r="D927" s="331"/>
      <c r="F927" s="329"/>
      <c r="I927" s="330"/>
      <c r="J927" s="330"/>
    </row>
    <row r="928" spans="2:10" ht="12.75" x14ac:dyDescent="0.2">
      <c r="B928" s="331"/>
      <c r="C928" s="327"/>
      <c r="D928" s="331"/>
      <c r="F928" s="329"/>
      <c r="I928" s="330"/>
      <c r="J928" s="330"/>
    </row>
    <row r="929" spans="2:10" ht="12.75" x14ac:dyDescent="0.2">
      <c r="B929" s="331"/>
      <c r="C929" s="327"/>
      <c r="D929" s="331"/>
      <c r="F929" s="329"/>
      <c r="I929" s="330"/>
      <c r="J929" s="330"/>
    </row>
    <row r="930" spans="2:10" ht="12.75" x14ac:dyDescent="0.2">
      <c r="B930" s="331"/>
      <c r="C930" s="327"/>
      <c r="D930" s="331"/>
      <c r="F930" s="329"/>
      <c r="I930" s="330"/>
      <c r="J930" s="330"/>
    </row>
    <row r="931" spans="2:10" ht="12.75" x14ac:dyDescent="0.2">
      <c r="B931" s="331"/>
      <c r="C931" s="327"/>
      <c r="D931" s="331"/>
      <c r="F931" s="329"/>
      <c r="I931" s="330"/>
      <c r="J931" s="330"/>
    </row>
    <row r="932" spans="2:10" ht="12.75" x14ac:dyDescent="0.2">
      <c r="B932" s="331"/>
      <c r="C932" s="327"/>
      <c r="D932" s="331"/>
      <c r="F932" s="329"/>
      <c r="I932" s="330"/>
      <c r="J932" s="330"/>
    </row>
    <row r="933" spans="2:10" ht="12.75" x14ac:dyDescent="0.2">
      <c r="B933" s="331"/>
      <c r="C933" s="327"/>
      <c r="D933" s="331"/>
      <c r="F933" s="329"/>
      <c r="I933" s="330"/>
      <c r="J933" s="330"/>
    </row>
    <row r="934" spans="2:10" ht="12.75" x14ac:dyDescent="0.2">
      <c r="B934" s="331"/>
      <c r="C934" s="327"/>
      <c r="D934" s="331"/>
      <c r="F934" s="329"/>
      <c r="I934" s="330"/>
      <c r="J934" s="330"/>
    </row>
    <row r="935" spans="2:10" ht="12.75" x14ac:dyDescent="0.2">
      <c r="B935" s="331"/>
      <c r="C935" s="327"/>
      <c r="D935" s="331"/>
      <c r="F935" s="329"/>
      <c r="I935" s="330"/>
      <c r="J935" s="330"/>
    </row>
    <row r="936" spans="2:10" ht="12.75" x14ac:dyDescent="0.2">
      <c r="B936" s="331"/>
      <c r="C936" s="327"/>
      <c r="D936" s="331"/>
      <c r="F936" s="329"/>
      <c r="I936" s="330"/>
      <c r="J936" s="330"/>
    </row>
    <row r="937" spans="2:10" ht="12.75" x14ac:dyDescent="0.2">
      <c r="B937" s="331"/>
      <c r="C937" s="327"/>
      <c r="D937" s="331"/>
      <c r="F937" s="329"/>
      <c r="I937" s="330"/>
      <c r="J937" s="330"/>
    </row>
    <row r="938" spans="2:10" ht="12.75" x14ac:dyDescent="0.2">
      <c r="B938" s="331"/>
      <c r="C938" s="327"/>
      <c r="D938" s="331"/>
      <c r="F938" s="329"/>
      <c r="I938" s="330"/>
      <c r="J938" s="330"/>
    </row>
    <row r="939" spans="2:10" ht="12.75" x14ac:dyDescent="0.2">
      <c r="B939" s="331"/>
      <c r="C939" s="327"/>
      <c r="D939" s="331"/>
      <c r="F939" s="329"/>
      <c r="I939" s="330"/>
      <c r="J939" s="330"/>
    </row>
    <row r="940" spans="2:10" ht="12.75" x14ac:dyDescent="0.2">
      <c r="B940" s="331"/>
      <c r="C940" s="327"/>
      <c r="D940" s="331"/>
      <c r="F940" s="329"/>
      <c r="I940" s="330"/>
      <c r="J940" s="330"/>
    </row>
    <row r="941" spans="2:10" ht="12.75" x14ac:dyDescent="0.2">
      <c r="B941" s="331"/>
      <c r="C941" s="327"/>
      <c r="D941" s="331"/>
      <c r="F941" s="329"/>
      <c r="I941" s="330"/>
      <c r="J941" s="330"/>
    </row>
    <row r="942" spans="2:10" ht="12.75" x14ac:dyDescent="0.2">
      <c r="B942" s="331"/>
      <c r="C942" s="327"/>
      <c r="D942" s="331"/>
      <c r="F942" s="329"/>
      <c r="I942" s="330"/>
      <c r="J942" s="330"/>
    </row>
    <row r="943" spans="2:10" ht="12.75" x14ac:dyDescent="0.2">
      <c r="B943" s="331"/>
      <c r="C943" s="327"/>
      <c r="D943" s="331"/>
      <c r="F943" s="329"/>
      <c r="I943" s="330"/>
      <c r="J943" s="330"/>
    </row>
    <row r="944" spans="2:10" ht="12.75" x14ac:dyDescent="0.2">
      <c r="B944" s="331"/>
      <c r="C944" s="327"/>
      <c r="D944" s="331"/>
      <c r="F944" s="329"/>
      <c r="I944" s="330"/>
      <c r="J944" s="330"/>
    </row>
    <row r="945" spans="2:10" ht="12.75" x14ac:dyDescent="0.2">
      <c r="B945" s="331"/>
      <c r="C945" s="327"/>
      <c r="D945" s="331"/>
      <c r="F945" s="329"/>
      <c r="I945" s="330"/>
      <c r="J945" s="330"/>
    </row>
    <row r="946" spans="2:10" ht="12.75" x14ac:dyDescent="0.2">
      <c r="B946" s="331"/>
      <c r="C946" s="327"/>
      <c r="D946" s="331"/>
      <c r="F946" s="329"/>
      <c r="I946" s="330"/>
      <c r="J946" s="330"/>
    </row>
    <row r="947" spans="2:10" ht="12.75" x14ac:dyDescent="0.2">
      <c r="B947" s="331"/>
      <c r="C947" s="327"/>
      <c r="D947" s="331"/>
      <c r="F947" s="329"/>
      <c r="I947" s="330"/>
      <c r="J947" s="330"/>
    </row>
    <row r="948" spans="2:10" ht="12.75" x14ac:dyDescent="0.2">
      <c r="B948" s="331"/>
      <c r="C948" s="327"/>
      <c r="D948" s="331"/>
      <c r="F948" s="329"/>
      <c r="I948" s="330"/>
      <c r="J948" s="330"/>
    </row>
    <row r="949" spans="2:10" ht="12.75" x14ac:dyDescent="0.2">
      <c r="B949" s="331"/>
      <c r="C949" s="327"/>
      <c r="D949" s="331"/>
      <c r="F949" s="329"/>
      <c r="I949" s="330"/>
      <c r="J949" s="330"/>
    </row>
    <row r="950" spans="2:10" ht="12.75" x14ac:dyDescent="0.2">
      <c r="B950" s="331"/>
      <c r="C950" s="327"/>
      <c r="D950" s="331"/>
      <c r="F950" s="329"/>
      <c r="I950" s="330"/>
      <c r="J950" s="330"/>
    </row>
    <row r="951" spans="2:10" ht="12.75" x14ac:dyDescent="0.2">
      <c r="B951" s="331"/>
      <c r="C951" s="327"/>
      <c r="D951" s="331"/>
      <c r="F951" s="329"/>
      <c r="I951" s="330"/>
      <c r="J951" s="330"/>
    </row>
    <row r="952" spans="2:10" ht="12.75" x14ac:dyDescent="0.2">
      <c r="B952" s="331"/>
      <c r="C952" s="327"/>
      <c r="D952" s="331"/>
      <c r="F952" s="329"/>
      <c r="I952" s="330"/>
      <c r="J952" s="330"/>
    </row>
    <row r="953" spans="2:10" ht="12.75" x14ac:dyDescent="0.2">
      <c r="B953" s="331"/>
      <c r="C953" s="327"/>
      <c r="D953" s="331"/>
      <c r="F953" s="329"/>
      <c r="I953" s="330"/>
      <c r="J953" s="330"/>
    </row>
    <row r="954" spans="2:10" ht="12.75" x14ac:dyDescent="0.2">
      <c r="B954" s="331"/>
      <c r="C954" s="327"/>
      <c r="D954" s="331"/>
      <c r="F954" s="329"/>
      <c r="I954" s="330"/>
      <c r="J954" s="330"/>
    </row>
    <row r="955" spans="2:10" ht="12.75" x14ac:dyDescent="0.2">
      <c r="B955" s="331"/>
      <c r="C955" s="327"/>
      <c r="D955" s="331"/>
      <c r="F955" s="329"/>
      <c r="I955" s="330"/>
      <c r="J955" s="330"/>
    </row>
    <row r="956" spans="2:10" ht="12.75" x14ac:dyDescent="0.2">
      <c r="B956" s="331"/>
      <c r="C956" s="327"/>
      <c r="D956" s="331"/>
      <c r="F956" s="329"/>
      <c r="I956" s="330"/>
      <c r="J956" s="330"/>
    </row>
    <row r="957" spans="2:10" ht="12.75" x14ac:dyDescent="0.2">
      <c r="B957" s="331"/>
      <c r="C957" s="327"/>
      <c r="D957" s="331"/>
      <c r="F957" s="329"/>
      <c r="I957" s="330"/>
      <c r="J957" s="330"/>
    </row>
    <row r="958" spans="2:10" ht="12.75" x14ac:dyDescent="0.2">
      <c r="B958" s="331"/>
      <c r="C958" s="327"/>
      <c r="D958" s="331"/>
      <c r="F958" s="329"/>
      <c r="I958" s="330"/>
      <c r="J958" s="330"/>
    </row>
    <row r="959" spans="2:10" ht="12.75" x14ac:dyDescent="0.2">
      <c r="B959" s="331"/>
      <c r="C959" s="327"/>
      <c r="D959" s="331"/>
      <c r="F959" s="329"/>
      <c r="I959" s="330"/>
      <c r="J959" s="330"/>
    </row>
    <row r="960" spans="2:10" ht="12.75" x14ac:dyDescent="0.2">
      <c r="B960" s="331"/>
      <c r="C960" s="327"/>
      <c r="D960" s="331"/>
      <c r="F960" s="329"/>
      <c r="I960" s="330"/>
      <c r="J960" s="330"/>
    </row>
    <row r="961" spans="2:10" ht="12.75" x14ac:dyDescent="0.2">
      <c r="B961" s="331"/>
      <c r="C961" s="327"/>
      <c r="D961" s="331"/>
      <c r="F961" s="329"/>
      <c r="I961" s="330"/>
      <c r="J961" s="330"/>
    </row>
    <row r="962" spans="2:10" ht="12.75" x14ac:dyDescent="0.2">
      <c r="B962" s="331"/>
      <c r="C962" s="327"/>
      <c r="D962" s="331"/>
      <c r="F962" s="329"/>
      <c r="I962" s="330"/>
      <c r="J962" s="330"/>
    </row>
    <row r="963" spans="2:10" ht="12.75" x14ac:dyDescent="0.2">
      <c r="B963" s="331"/>
      <c r="C963" s="327"/>
      <c r="D963" s="331"/>
      <c r="F963" s="329"/>
      <c r="I963" s="330"/>
      <c r="J963" s="330"/>
    </row>
    <row r="964" spans="2:10" ht="12.75" x14ac:dyDescent="0.2">
      <c r="B964" s="331"/>
      <c r="C964" s="327"/>
      <c r="D964" s="331"/>
      <c r="F964" s="329"/>
      <c r="I964" s="330"/>
      <c r="J964" s="330"/>
    </row>
    <row r="965" spans="2:10" ht="12.75" x14ac:dyDescent="0.2">
      <c r="B965" s="331"/>
      <c r="C965" s="327"/>
      <c r="D965" s="331"/>
      <c r="F965" s="329"/>
      <c r="I965" s="330"/>
      <c r="J965" s="330"/>
    </row>
    <row r="966" spans="2:10" ht="12.75" x14ac:dyDescent="0.2">
      <c r="B966" s="331"/>
      <c r="C966" s="327"/>
      <c r="D966" s="331"/>
      <c r="F966" s="329"/>
      <c r="I966" s="330"/>
      <c r="J966" s="330"/>
    </row>
    <row r="967" spans="2:10" ht="12.75" x14ac:dyDescent="0.2">
      <c r="B967" s="331"/>
      <c r="C967" s="327"/>
      <c r="D967" s="331"/>
      <c r="F967" s="329"/>
      <c r="I967" s="330"/>
      <c r="J967" s="330"/>
    </row>
    <row r="968" spans="2:10" ht="12.75" x14ac:dyDescent="0.2">
      <c r="B968" s="331"/>
      <c r="C968" s="327"/>
      <c r="D968" s="331"/>
      <c r="F968" s="329"/>
      <c r="I968" s="330"/>
      <c r="J968" s="330"/>
    </row>
    <row r="969" spans="2:10" ht="12.75" x14ac:dyDescent="0.2">
      <c r="B969" s="331"/>
      <c r="C969" s="327"/>
      <c r="D969" s="331"/>
      <c r="F969" s="329"/>
      <c r="I969" s="330"/>
      <c r="J969" s="330"/>
    </row>
    <row r="970" spans="2:10" ht="12.75" x14ac:dyDescent="0.2">
      <c r="B970" s="331"/>
      <c r="C970" s="327"/>
      <c r="D970" s="331"/>
      <c r="F970" s="329"/>
      <c r="I970" s="330"/>
      <c r="J970" s="330"/>
    </row>
    <row r="971" spans="2:10" ht="12.75" x14ac:dyDescent="0.2">
      <c r="B971" s="331"/>
      <c r="C971" s="327"/>
      <c r="D971" s="331"/>
      <c r="F971" s="329"/>
      <c r="I971" s="330"/>
      <c r="J971" s="330"/>
    </row>
    <row r="972" spans="2:10" ht="12.75" x14ac:dyDescent="0.2">
      <c r="B972" s="331"/>
      <c r="C972" s="327"/>
      <c r="D972" s="331"/>
      <c r="F972" s="329"/>
      <c r="I972" s="330"/>
      <c r="J972" s="330"/>
    </row>
    <row r="973" spans="2:10" ht="12.75" x14ac:dyDescent="0.2">
      <c r="B973" s="331"/>
      <c r="C973" s="327"/>
      <c r="D973" s="331"/>
      <c r="F973" s="329"/>
      <c r="I973" s="330"/>
      <c r="J973" s="330"/>
    </row>
    <row r="974" spans="2:10" ht="12.75" x14ac:dyDescent="0.2">
      <c r="B974" s="331"/>
      <c r="C974" s="327"/>
      <c r="D974" s="331"/>
      <c r="F974" s="329"/>
      <c r="I974" s="330"/>
      <c r="J974" s="330"/>
    </row>
    <row r="975" spans="2:10" ht="12.75" x14ac:dyDescent="0.2">
      <c r="B975" s="331"/>
      <c r="C975" s="327"/>
      <c r="D975" s="331"/>
      <c r="F975" s="329"/>
      <c r="I975" s="330"/>
      <c r="J975" s="330"/>
    </row>
    <row r="976" spans="2:10" ht="12.75" x14ac:dyDescent="0.2">
      <c r="B976" s="331"/>
      <c r="C976" s="327"/>
      <c r="D976" s="331"/>
      <c r="F976" s="329"/>
      <c r="I976" s="330"/>
      <c r="J976" s="330"/>
    </row>
    <row r="977" spans="2:10" ht="12.75" x14ac:dyDescent="0.2">
      <c r="B977" s="331"/>
      <c r="C977" s="327"/>
      <c r="D977" s="331"/>
      <c r="F977" s="329"/>
      <c r="I977" s="330"/>
      <c r="J977" s="330"/>
    </row>
    <row r="978" spans="2:10" ht="12.75" x14ac:dyDescent="0.2">
      <c r="B978" s="331"/>
      <c r="C978" s="327"/>
      <c r="D978" s="331"/>
      <c r="F978" s="329"/>
      <c r="I978" s="330"/>
      <c r="J978" s="330"/>
    </row>
    <row r="979" spans="2:10" ht="12.75" x14ac:dyDescent="0.2">
      <c r="B979" s="331"/>
      <c r="C979" s="327"/>
      <c r="D979" s="331"/>
      <c r="F979" s="329"/>
      <c r="I979" s="330"/>
      <c r="J979" s="330"/>
    </row>
    <row r="980" spans="2:10" ht="12.75" x14ac:dyDescent="0.2">
      <c r="B980" s="331"/>
      <c r="C980" s="327"/>
      <c r="D980" s="331"/>
      <c r="F980" s="329"/>
      <c r="I980" s="330"/>
      <c r="J980" s="330"/>
    </row>
    <row r="981" spans="2:10" ht="12.75" x14ac:dyDescent="0.2">
      <c r="B981" s="331"/>
      <c r="C981" s="327"/>
      <c r="D981" s="331"/>
      <c r="F981" s="329"/>
      <c r="I981" s="330"/>
      <c r="J981" s="330"/>
    </row>
    <row r="982" spans="2:10" ht="12.75" x14ac:dyDescent="0.2">
      <c r="B982" s="331"/>
      <c r="C982" s="327"/>
      <c r="D982" s="331"/>
      <c r="F982" s="329"/>
      <c r="I982" s="330"/>
      <c r="J982" s="330"/>
    </row>
    <row r="983" spans="2:10" ht="12.75" x14ac:dyDescent="0.2">
      <c r="B983" s="331"/>
      <c r="C983" s="327"/>
      <c r="D983" s="331"/>
      <c r="F983" s="329"/>
      <c r="I983" s="330"/>
      <c r="J983" s="330"/>
    </row>
    <row r="984" spans="2:10" ht="12.75" x14ac:dyDescent="0.2">
      <c r="B984" s="331"/>
      <c r="C984" s="327"/>
      <c r="D984" s="331"/>
      <c r="F984" s="329"/>
      <c r="I984" s="330"/>
      <c r="J984" s="330"/>
    </row>
    <row r="985" spans="2:10" ht="12.75" x14ac:dyDescent="0.2">
      <c r="B985" s="331"/>
      <c r="C985" s="327"/>
      <c r="D985" s="331"/>
      <c r="F985" s="329"/>
      <c r="I985" s="330"/>
      <c r="J985" s="330"/>
    </row>
    <row r="986" spans="2:10" ht="12.75" x14ac:dyDescent="0.2">
      <c r="B986" s="331"/>
      <c r="C986" s="327"/>
      <c r="D986" s="331"/>
      <c r="F986" s="329"/>
      <c r="I986" s="330"/>
      <c r="J986" s="330"/>
    </row>
    <row r="987" spans="2:10" ht="12.75" x14ac:dyDescent="0.2">
      <c r="B987" s="331"/>
      <c r="C987" s="327"/>
      <c r="D987" s="331"/>
      <c r="F987" s="329"/>
      <c r="I987" s="330"/>
      <c r="J987" s="330"/>
    </row>
    <row r="988" spans="2:10" ht="12.75" x14ac:dyDescent="0.2">
      <c r="B988" s="331"/>
      <c r="C988" s="327"/>
      <c r="D988" s="331"/>
      <c r="F988" s="329"/>
      <c r="I988" s="330"/>
      <c r="J988" s="330"/>
    </row>
    <row r="989" spans="2:10" ht="12.75" x14ac:dyDescent="0.2">
      <c r="B989" s="331"/>
      <c r="C989" s="327"/>
      <c r="D989" s="331"/>
      <c r="F989" s="329"/>
      <c r="I989" s="330"/>
      <c r="J989" s="330"/>
    </row>
    <row r="990" spans="2:10" ht="12.75" x14ac:dyDescent="0.2">
      <c r="B990" s="331"/>
      <c r="C990" s="327"/>
      <c r="D990" s="331"/>
      <c r="F990" s="329"/>
      <c r="I990" s="330"/>
      <c r="J990" s="330"/>
    </row>
    <row r="991" spans="2:10" ht="12.75" x14ac:dyDescent="0.2">
      <c r="B991" s="331"/>
      <c r="C991" s="327"/>
      <c r="D991" s="331"/>
      <c r="F991" s="329"/>
      <c r="I991" s="330"/>
      <c r="J991" s="330"/>
    </row>
    <row r="992" spans="2:10" ht="12.75" x14ac:dyDescent="0.2">
      <c r="B992" s="331"/>
      <c r="C992" s="327"/>
      <c r="D992" s="331"/>
      <c r="F992" s="329"/>
      <c r="I992" s="330"/>
      <c r="J992" s="330"/>
    </row>
    <row r="993" spans="2:10" ht="12.75" x14ac:dyDescent="0.2">
      <c r="B993" s="331"/>
      <c r="C993" s="327"/>
      <c r="D993" s="331"/>
      <c r="F993" s="329"/>
      <c r="I993" s="330"/>
      <c r="J993" s="330"/>
    </row>
    <row r="994" spans="2:10" ht="12.75" x14ac:dyDescent="0.2">
      <c r="B994" s="331"/>
      <c r="C994" s="327"/>
      <c r="D994" s="331"/>
      <c r="F994" s="329"/>
      <c r="I994" s="330"/>
      <c r="J994" s="330"/>
    </row>
    <row r="995" spans="2:10" ht="12.75" x14ac:dyDescent="0.2">
      <c r="B995" s="331"/>
      <c r="C995" s="327"/>
      <c r="D995" s="331"/>
      <c r="F995" s="329"/>
      <c r="I995" s="330"/>
      <c r="J995" s="330"/>
    </row>
    <row r="996" spans="2:10" ht="12.75" x14ac:dyDescent="0.2">
      <c r="B996" s="331"/>
      <c r="C996" s="327"/>
      <c r="D996" s="331"/>
      <c r="F996" s="329"/>
      <c r="I996" s="330"/>
      <c r="J996" s="330"/>
    </row>
    <row r="997" spans="2:10" ht="12.75" x14ac:dyDescent="0.2">
      <c r="B997" s="331"/>
      <c r="C997" s="327"/>
      <c r="D997" s="331"/>
      <c r="F997" s="329"/>
      <c r="I997" s="330"/>
      <c r="J997" s="330"/>
    </row>
    <row r="998" spans="2:10" ht="12.75" x14ac:dyDescent="0.2">
      <c r="B998" s="331"/>
      <c r="C998" s="327"/>
      <c r="D998" s="331"/>
      <c r="F998" s="329"/>
      <c r="I998" s="330"/>
      <c r="J998" s="330"/>
    </row>
    <row r="999" spans="2:10" ht="12.75" x14ac:dyDescent="0.2">
      <c r="B999" s="331"/>
      <c r="C999" s="327"/>
      <c r="D999" s="331"/>
      <c r="F999" s="329"/>
      <c r="I999" s="330"/>
      <c r="J999" s="330"/>
    </row>
    <row r="1000" spans="2:10" ht="12.75" x14ac:dyDescent="0.2">
      <c r="B1000" s="331"/>
      <c r="C1000" s="327"/>
      <c r="D1000" s="331"/>
      <c r="F1000" s="329"/>
      <c r="I1000" s="330"/>
      <c r="J1000" s="330"/>
    </row>
    <row r="1001" spans="2:10" ht="12.75" x14ac:dyDescent="0.2">
      <c r="B1001" s="331"/>
      <c r="C1001" s="327"/>
      <c r="D1001" s="331"/>
      <c r="F1001" s="329"/>
      <c r="I1001" s="330"/>
      <c r="J1001" s="330"/>
    </row>
    <row r="1002" spans="2:10" ht="12.75" x14ac:dyDescent="0.2">
      <c r="B1002" s="331"/>
      <c r="C1002" s="327"/>
      <c r="D1002" s="331"/>
      <c r="F1002" s="329"/>
      <c r="I1002" s="330"/>
      <c r="J1002" s="330"/>
    </row>
    <row r="1003" spans="2:10" ht="12.75" x14ac:dyDescent="0.2">
      <c r="B1003" s="331"/>
      <c r="C1003" s="327"/>
      <c r="D1003" s="331"/>
      <c r="F1003" s="329"/>
      <c r="I1003" s="330"/>
      <c r="J1003" s="330"/>
    </row>
    <row r="1004" spans="2:10" ht="12.75" x14ac:dyDescent="0.2">
      <c r="B1004" s="331"/>
      <c r="C1004" s="327"/>
      <c r="D1004" s="331"/>
      <c r="F1004" s="329"/>
      <c r="I1004" s="330"/>
      <c r="J1004" s="330"/>
    </row>
    <row r="1005" spans="2:10" ht="12.75" x14ac:dyDescent="0.2">
      <c r="B1005" s="331"/>
      <c r="C1005" s="327"/>
      <c r="D1005" s="331"/>
      <c r="F1005" s="329"/>
      <c r="I1005" s="330"/>
      <c r="J1005" s="330"/>
    </row>
    <row r="1006" spans="2:10" ht="12.75" x14ac:dyDescent="0.2">
      <c r="B1006" s="331"/>
      <c r="C1006" s="327"/>
      <c r="D1006" s="331"/>
      <c r="F1006" s="329"/>
      <c r="I1006" s="330"/>
      <c r="J1006" s="330"/>
    </row>
    <row r="1007" spans="2:10" ht="12.75" x14ac:dyDescent="0.2">
      <c r="B1007" s="331"/>
      <c r="C1007" s="327"/>
      <c r="D1007" s="331"/>
      <c r="F1007" s="329"/>
      <c r="I1007" s="330"/>
      <c r="J1007" s="330"/>
    </row>
    <row r="1008" spans="2:10" ht="12.75" x14ac:dyDescent="0.2">
      <c r="B1008" s="331"/>
      <c r="C1008" s="327"/>
      <c r="D1008" s="331"/>
      <c r="F1008" s="329"/>
      <c r="I1008" s="330"/>
      <c r="J1008" s="330"/>
    </row>
    <row r="1009" spans="2:10" ht="12.75" x14ac:dyDescent="0.2">
      <c r="B1009" s="331"/>
      <c r="C1009" s="327"/>
      <c r="D1009" s="331"/>
      <c r="F1009" s="329"/>
      <c r="I1009" s="330"/>
      <c r="J1009" s="330"/>
    </row>
    <row r="1010" spans="2:10" ht="12.75" x14ac:dyDescent="0.2">
      <c r="B1010" s="331"/>
      <c r="C1010" s="327"/>
      <c r="D1010" s="331"/>
      <c r="F1010" s="329"/>
      <c r="I1010" s="330"/>
      <c r="J1010" s="330"/>
    </row>
    <row r="1011" spans="2:10" ht="12.75" x14ac:dyDescent="0.2">
      <c r="B1011" s="331"/>
      <c r="C1011" s="327"/>
      <c r="D1011" s="331"/>
      <c r="F1011" s="329"/>
      <c r="I1011" s="330"/>
      <c r="J1011" s="330"/>
    </row>
    <row r="1012" spans="2:10" ht="12.75" x14ac:dyDescent="0.2">
      <c r="B1012" s="331"/>
      <c r="C1012" s="327"/>
      <c r="D1012" s="331"/>
      <c r="F1012" s="329"/>
      <c r="I1012" s="330"/>
      <c r="J1012" s="330"/>
    </row>
    <row r="1013" spans="2:10" ht="12.75" x14ac:dyDescent="0.2">
      <c r="B1013" s="331"/>
      <c r="C1013" s="327"/>
      <c r="D1013" s="331"/>
      <c r="F1013" s="329"/>
      <c r="I1013" s="330"/>
      <c r="J1013" s="330"/>
    </row>
    <row r="1014" spans="2:10" ht="12.75" x14ac:dyDescent="0.2">
      <c r="B1014" s="331"/>
      <c r="C1014" s="327"/>
      <c r="D1014" s="331"/>
      <c r="F1014" s="329"/>
      <c r="I1014" s="330"/>
      <c r="J1014" s="330"/>
    </row>
    <row r="1015" spans="2:10" ht="12.75" x14ac:dyDescent="0.2">
      <c r="B1015" s="331"/>
      <c r="C1015" s="327"/>
      <c r="D1015" s="331"/>
      <c r="F1015" s="329"/>
      <c r="I1015" s="330"/>
      <c r="J1015" s="330"/>
    </row>
    <row r="1016" spans="2:10" ht="12.75" x14ac:dyDescent="0.2">
      <c r="B1016" s="331"/>
      <c r="C1016" s="327"/>
      <c r="D1016" s="331"/>
      <c r="F1016" s="329"/>
      <c r="I1016" s="330"/>
      <c r="J1016" s="330"/>
    </row>
    <row r="1017" spans="2:10" ht="12.75" x14ac:dyDescent="0.2">
      <c r="B1017" s="331"/>
      <c r="C1017" s="327"/>
      <c r="D1017" s="331"/>
      <c r="F1017" s="329"/>
      <c r="I1017" s="330"/>
      <c r="J1017" s="330"/>
    </row>
    <row r="1018" spans="2:10" ht="12.75" x14ac:dyDescent="0.2">
      <c r="B1018" s="331"/>
      <c r="C1018" s="327"/>
      <c r="D1018" s="331"/>
      <c r="F1018" s="329"/>
      <c r="I1018" s="330"/>
      <c r="J1018" s="330"/>
    </row>
    <row r="1019" spans="2:10" ht="12.75" x14ac:dyDescent="0.2">
      <c r="B1019" s="331"/>
      <c r="C1019" s="327"/>
      <c r="D1019" s="331"/>
      <c r="F1019" s="329"/>
      <c r="I1019" s="330"/>
      <c r="J1019" s="330"/>
    </row>
    <row r="1020" spans="2:10" ht="12.75" x14ac:dyDescent="0.2">
      <c r="B1020" s="331"/>
      <c r="C1020" s="327"/>
      <c r="D1020" s="331"/>
      <c r="F1020" s="329"/>
      <c r="I1020" s="330"/>
      <c r="J1020" s="330"/>
    </row>
    <row r="1021" spans="2:10" ht="12.75" x14ac:dyDescent="0.2">
      <c r="B1021" s="331"/>
      <c r="C1021" s="327"/>
      <c r="D1021" s="331"/>
      <c r="F1021" s="329"/>
      <c r="I1021" s="330"/>
      <c r="J1021" s="330"/>
    </row>
    <row r="1022" spans="2:10" ht="12.75" x14ac:dyDescent="0.2">
      <c r="B1022" s="331"/>
      <c r="C1022" s="327"/>
      <c r="D1022" s="331"/>
      <c r="F1022" s="329"/>
      <c r="I1022" s="330"/>
      <c r="J1022" s="330"/>
    </row>
    <row r="1023" spans="2:10" ht="12.75" x14ac:dyDescent="0.2">
      <c r="B1023" s="331"/>
      <c r="C1023" s="327"/>
      <c r="D1023" s="331"/>
      <c r="F1023" s="329"/>
      <c r="I1023" s="330"/>
      <c r="J1023" s="330"/>
    </row>
    <row r="1024" spans="2:10" ht="12.75" x14ac:dyDescent="0.2">
      <c r="B1024" s="331"/>
      <c r="C1024" s="327"/>
      <c r="D1024" s="331"/>
      <c r="F1024" s="329"/>
      <c r="I1024" s="330"/>
      <c r="J1024" s="330"/>
    </row>
    <row r="1025" spans="2:10" ht="12.75" x14ac:dyDescent="0.2">
      <c r="B1025" s="331"/>
      <c r="C1025" s="327"/>
      <c r="D1025" s="331"/>
      <c r="F1025" s="329"/>
      <c r="I1025" s="330"/>
      <c r="J1025" s="330"/>
    </row>
    <row r="1026" spans="2:10" ht="12.75" x14ac:dyDescent="0.2">
      <c r="B1026" s="331"/>
      <c r="C1026" s="327"/>
      <c r="D1026" s="331"/>
      <c r="F1026" s="329"/>
      <c r="I1026" s="330"/>
      <c r="J1026" s="330"/>
    </row>
    <row r="1027" spans="2:10" ht="12.75" x14ac:dyDescent="0.2">
      <c r="B1027" s="331"/>
      <c r="C1027" s="327"/>
      <c r="D1027" s="331"/>
      <c r="F1027" s="329"/>
      <c r="I1027" s="330"/>
      <c r="J1027" s="330"/>
    </row>
    <row r="1028" spans="2:10" ht="12.75" x14ac:dyDescent="0.2">
      <c r="B1028" s="331"/>
      <c r="C1028" s="327"/>
      <c r="D1028" s="331"/>
      <c r="F1028" s="329"/>
      <c r="I1028" s="330"/>
      <c r="J1028" s="330"/>
    </row>
    <row r="1029" spans="2:10" ht="12.75" x14ac:dyDescent="0.2">
      <c r="B1029" s="331"/>
      <c r="C1029" s="327"/>
      <c r="D1029" s="331"/>
      <c r="F1029" s="329"/>
      <c r="I1029" s="330"/>
      <c r="J1029" s="330"/>
    </row>
    <row r="1030" spans="2:10" ht="12.75" x14ac:dyDescent="0.2">
      <c r="B1030" s="331"/>
      <c r="C1030" s="327"/>
      <c r="D1030" s="331"/>
      <c r="F1030" s="329"/>
      <c r="I1030" s="330"/>
      <c r="J1030" s="330"/>
    </row>
    <row r="1031" spans="2:10" ht="12.75" x14ac:dyDescent="0.2">
      <c r="B1031" s="331"/>
      <c r="C1031" s="327"/>
      <c r="D1031" s="331"/>
      <c r="F1031" s="329"/>
      <c r="I1031" s="330"/>
      <c r="J1031" s="330"/>
    </row>
    <row r="1032" spans="2:10" ht="12.75" x14ac:dyDescent="0.2">
      <c r="B1032" s="331"/>
      <c r="C1032" s="327"/>
      <c r="D1032" s="331"/>
      <c r="F1032" s="329"/>
      <c r="I1032" s="330"/>
      <c r="J1032" s="330"/>
    </row>
    <row r="1033" spans="2:10" ht="12.75" x14ac:dyDescent="0.2">
      <c r="B1033" s="331"/>
      <c r="C1033" s="327"/>
      <c r="D1033" s="331"/>
      <c r="F1033" s="329"/>
      <c r="I1033" s="330"/>
      <c r="J1033" s="330"/>
    </row>
    <row r="1034" spans="2:10" ht="12.75" x14ac:dyDescent="0.2">
      <c r="B1034" s="331"/>
      <c r="C1034" s="327"/>
      <c r="D1034" s="331"/>
      <c r="F1034" s="329"/>
      <c r="I1034" s="330"/>
      <c r="J1034" s="330"/>
    </row>
    <row r="1035" spans="2:10" ht="12.75" x14ac:dyDescent="0.2">
      <c r="B1035" s="331"/>
      <c r="C1035" s="327"/>
      <c r="D1035" s="331"/>
      <c r="F1035" s="329"/>
      <c r="I1035" s="330"/>
      <c r="J1035" s="330"/>
    </row>
    <row r="1036" spans="2:10" ht="12.75" x14ac:dyDescent="0.2">
      <c r="B1036" s="331"/>
      <c r="C1036" s="327"/>
      <c r="D1036" s="331"/>
      <c r="F1036" s="329"/>
      <c r="I1036" s="330"/>
      <c r="J1036" s="330"/>
    </row>
    <row r="1037" spans="2:10" ht="12.75" x14ac:dyDescent="0.2">
      <c r="B1037" s="331"/>
      <c r="C1037" s="327"/>
      <c r="D1037" s="331"/>
      <c r="F1037" s="329"/>
      <c r="I1037" s="330"/>
      <c r="J1037" s="330"/>
    </row>
    <row r="1038" spans="2:10" ht="12.75" x14ac:dyDescent="0.2">
      <c r="B1038" s="331"/>
      <c r="C1038" s="327"/>
      <c r="D1038" s="331"/>
      <c r="F1038" s="329"/>
      <c r="I1038" s="330"/>
      <c r="J1038" s="330"/>
    </row>
    <row r="1039" spans="2:10" ht="12.75" x14ac:dyDescent="0.2">
      <c r="B1039" s="331"/>
      <c r="C1039" s="327"/>
      <c r="D1039" s="331"/>
      <c r="F1039" s="329"/>
      <c r="I1039" s="330"/>
      <c r="J1039" s="330"/>
    </row>
    <row r="1040" spans="2:10" ht="12.75" x14ac:dyDescent="0.2">
      <c r="B1040" s="331"/>
      <c r="C1040" s="327"/>
      <c r="D1040" s="331"/>
      <c r="F1040" s="329"/>
      <c r="I1040" s="330"/>
      <c r="J1040" s="330"/>
    </row>
    <row r="1041" spans="2:10" ht="12.75" x14ac:dyDescent="0.2">
      <c r="B1041" s="331"/>
      <c r="C1041" s="327"/>
      <c r="D1041" s="331"/>
      <c r="F1041" s="329"/>
      <c r="I1041" s="330"/>
      <c r="J1041" s="330"/>
    </row>
    <row r="1042" spans="2:10" ht="12.75" x14ac:dyDescent="0.2">
      <c r="B1042" s="331"/>
      <c r="C1042" s="327"/>
      <c r="D1042" s="331"/>
      <c r="F1042" s="329"/>
      <c r="I1042" s="330"/>
      <c r="J1042" s="330"/>
    </row>
    <row r="1043" spans="2:10" ht="12.75" x14ac:dyDescent="0.2">
      <c r="B1043" s="331"/>
      <c r="C1043" s="327"/>
      <c r="D1043" s="331"/>
      <c r="F1043" s="329"/>
      <c r="I1043" s="330"/>
      <c r="J1043" s="330"/>
    </row>
    <row r="1044" spans="2:10" ht="12.75" x14ac:dyDescent="0.2">
      <c r="B1044" s="331"/>
      <c r="C1044" s="327"/>
      <c r="D1044" s="331"/>
      <c r="F1044" s="329"/>
      <c r="I1044" s="330"/>
      <c r="J1044" s="330"/>
    </row>
    <row r="1045" spans="2:10" ht="12.75" x14ac:dyDescent="0.2">
      <c r="B1045" s="331"/>
      <c r="C1045" s="327"/>
      <c r="D1045" s="331"/>
      <c r="F1045" s="329"/>
      <c r="I1045" s="330"/>
      <c r="J1045" s="330"/>
    </row>
    <row r="1046" spans="2:10" ht="12.75" x14ac:dyDescent="0.2">
      <c r="B1046" s="331"/>
      <c r="C1046" s="327"/>
      <c r="D1046" s="331"/>
      <c r="F1046" s="329"/>
      <c r="I1046" s="330"/>
      <c r="J1046" s="330"/>
    </row>
    <row r="1047" spans="2:10" ht="12.75" x14ac:dyDescent="0.2">
      <c r="B1047" s="331"/>
      <c r="C1047" s="327"/>
      <c r="D1047" s="331"/>
      <c r="F1047" s="329"/>
      <c r="I1047" s="330"/>
      <c r="J1047" s="330"/>
    </row>
    <row r="1048" spans="2:10" ht="12.75" x14ac:dyDescent="0.2">
      <c r="B1048" s="331"/>
      <c r="C1048" s="327"/>
      <c r="D1048" s="331"/>
      <c r="F1048" s="329"/>
      <c r="I1048" s="330"/>
      <c r="J1048" s="330"/>
    </row>
    <row r="1049" spans="2:10" ht="12.75" x14ac:dyDescent="0.2">
      <c r="B1049" s="331"/>
      <c r="C1049" s="327"/>
      <c r="D1049" s="331"/>
      <c r="F1049" s="329"/>
      <c r="I1049" s="330"/>
      <c r="J1049" s="330"/>
    </row>
    <row r="1050" spans="2:10" ht="12.75" x14ac:dyDescent="0.2">
      <c r="B1050" s="331"/>
      <c r="C1050" s="327"/>
      <c r="D1050" s="331"/>
      <c r="F1050" s="329"/>
      <c r="I1050" s="330"/>
      <c r="J1050" s="330"/>
    </row>
    <row r="1051" spans="2:10" ht="12.75" x14ac:dyDescent="0.2">
      <c r="B1051" s="331"/>
      <c r="C1051" s="327"/>
      <c r="D1051" s="331"/>
      <c r="F1051" s="329"/>
      <c r="I1051" s="330"/>
      <c r="J1051" s="330"/>
    </row>
    <row r="1052" spans="2:10" ht="12.75" x14ac:dyDescent="0.2">
      <c r="B1052" s="331"/>
      <c r="C1052" s="327"/>
      <c r="D1052" s="331"/>
      <c r="F1052" s="329"/>
      <c r="I1052" s="330"/>
      <c r="J1052" s="330"/>
    </row>
    <row r="1053" spans="2:10" ht="12.75" x14ac:dyDescent="0.2">
      <c r="B1053" s="331"/>
      <c r="C1053" s="327"/>
      <c r="D1053" s="331"/>
      <c r="F1053" s="329"/>
      <c r="I1053" s="330"/>
      <c r="J1053" s="330"/>
    </row>
    <row r="1054" spans="2:10" ht="12.75" x14ac:dyDescent="0.2">
      <c r="B1054" s="331"/>
      <c r="C1054" s="327"/>
      <c r="D1054" s="331"/>
      <c r="F1054" s="329"/>
      <c r="I1054" s="330"/>
      <c r="J1054" s="330"/>
    </row>
    <row r="1055" spans="2:10" ht="12.75" x14ac:dyDescent="0.2">
      <c r="B1055" s="331"/>
      <c r="C1055" s="327"/>
      <c r="D1055" s="331"/>
      <c r="F1055" s="329"/>
      <c r="I1055" s="330"/>
      <c r="J1055" s="330"/>
    </row>
    <row r="1056" spans="2:10" ht="12.75" x14ac:dyDescent="0.2">
      <c r="B1056" s="331"/>
      <c r="C1056" s="327"/>
      <c r="D1056" s="331"/>
      <c r="F1056" s="329"/>
      <c r="I1056" s="330"/>
      <c r="J1056" s="330"/>
    </row>
    <row r="1057" spans="2:10" ht="12.75" x14ac:dyDescent="0.2">
      <c r="B1057" s="331"/>
      <c r="C1057" s="327"/>
      <c r="D1057" s="331"/>
      <c r="F1057" s="329"/>
      <c r="I1057" s="330"/>
      <c r="J1057" s="330"/>
    </row>
    <row r="1058" spans="2:10" ht="12.75" x14ac:dyDescent="0.2">
      <c r="B1058" s="331"/>
      <c r="C1058" s="327"/>
      <c r="D1058" s="331"/>
      <c r="F1058" s="329"/>
      <c r="I1058" s="330"/>
      <c r="J1058" s="330"/>
    </row>
    <row r="1059" spans="2:10" ht="12.75" x14ac:dyDescent="0.2">
      <c r="B1059" s="331"/>
      <c r="C1059" s="327"/>
      <c r="D1059" s="331"/>
      <c r="F1059" s="329"/>
      <c r="I1059" s="330"/>
      <c r="J1059" s="330"/>
    </row>
    <row r="1060" spans="2:10" ht="12.75" x14ac:dyDescent="0.2">
      <c r="B1060" s="331"/>
      <c r="C1060" s="327"/>
      <c r="D1060" s="331"/>
      <c r="F1060" s="329"/>
      <c r="I1060" s="330"/>
      <c r="J1060" s="330"/>
    </row>
    <row r="1061" spans="2:10" ht="12.75" x14ac:dyDescent="0.2">
      <c r="B1061" s="331"/>
      <c r="C1061" s="327"/>
      <c r="D1061" s="331"/>
      <c r="F1061" s="329"/>
      <c r="I1061" s="330"/>
      <c r="J1061" s="330"/>
    </row>
    <row r="1062" spans="2:10" ht="12.75" x14ac:dyDescent="0.2">
      <c r="B1062" s="331"/>
      <c r="C1062" s="327"/>
      <c r="D1062" s="331"/>
      <c r="F1062" s="329"/>
      <c r="I1062" s="330"/>
      <c r="J1062" s="330"/>
    </row>
    <row r="1063" spans="2:10" ht="12.75" x14ac:dyDescent="0.2">
      <c r="B1063" s="331"/>
      <c r="C1063" s="327"/>
      <c r="D1063" s="331"/>
      <c r="F1063" s="329"/>
      <c r="I1063" s="330"/>
      <c r="J1063" s="330"/>
    </row>
    <row r="1064" spans="2:10" ht="12.75" x14ac:dyDescent="0.2">
      <c r="B1064" s="331"/>
      <c r="C1064" s="327"/>
      <c r="D1064" s="331"/>
      <c r="F1064" s="329"/>
      <c r="I1064" s="330"/>
      <c r="J1064" s="330"/>
    </row>
    <row r="1065" spans="2:10" ht="12.75" x14ac:dyDescent="0.2">
      <c r="B1065" s="331"/>
      <c r="C1065" s="327"/>
      <c r="D1065" s="331"/>
      <c r="F1065" s="329"/>
      <c r="I1065" s="330"/>
      <c r="J1065" s="330"/>
    </row>
    <row r="1066" spans="2:10" ht="12.75" x14ac:dyDescent="0.2">
      <c r="B1066" s="331"/>
      <c r="C1066" s="327"/>
      <c r="D1066" s="331"/>
      <c r="F1066" s="329"/>
      <c r="I1066" s="330"/>
      <c r="J1066" s="330"/>
    </row>
    <row r="1067" spans="2:10" ht="12.75" x14ac:dyDescent="0.2">
      <c r="B1067" s="331"/>
      <c r="C1067" s="327"/>
      <c r="D1067" s="331"/>
      <c r="F1067" s="329"/>
      <c r="I1067" s="330"/>
      <c r="J1067" s="330"/>
    </row>
    <row r="1068" spans="2:10" ht="12.75" x14ac:dyDescent="0.2">
      <c r="B1068" s="331"/>
      <c r="C1068" s="327"/>
      <c r="D1068" s="331"/>
      <c r="F1068" s="329"/>
      <c r="I1068" s="330"/>
      <c r="J1068" s="330"/>
    </row>
    <row r="1069" spans="2:10" ht="12.75" x14ac:dyDescent="0.2">
      <c r="B1069" s="331"/>
      <c r="C1069" s="327"/>
      <c r="D1069" s="331"/>
      <c r="F1069" s="329"/>
      <c r="I1069" s="330"/>
      <c r="J1069" s="330"/>
    </row>
    <row r="1070" spans="2:10" ht="12.75" x14ac:dyDescent="0.2">
      <c r="B1070" s="331"/>
      <c r="C1070" s="327"/>
      <c r="D1070" s="331"/>
      <c r="F1070" s="329"/>
      <c r="I1070" s="330"/>
      <c r="J1070" s="330"/>
    </row>
    <row r="1071" spans="2:10" ht="12.75" x14ac:dyDescent="0.2">
      <c r="B1071" s="331"/>
      <c r="C1071" s="327"/>
      <c r="D1071" s="331"/>
      <c r="F1071" s="329"/>
      <c r="I1071" s="330"/>
      <c r="J1071" s="330"/>
    </row>
    <row r="1072" spans="2:10" ht="12.75" x14ac:dyDescent="0.2">
      <c r="B1072" s="331"/>
      <c r="C1072" s="327"/>
      <c r="D1072" s="331"/>
      <c r="F1072" s="329"/>
      <c r="I1072" s="330"/>
      <c r="J1072" s="330"/>
    </row>
    <row r="1073" spans="2:10" ht="12.75" x14ac:dyDescent="0.2">
      <c r="B1073" s="331"/>
      <c r="C1073" s="327"/>
      <c r="D1073" s="331"/>
      <c r="F1073" s="329"/>
      <c r="I1073" s="330"/>
      <c r="J1073" s="330"/>
    </row>
    <row r="1074" spans="2:10" ht="12.75" x14ac:dyDescent="0.2">
      <c r="B1074" s="331"/>
      <c r="C1074" s="327"/>
      <c r="D1074" s="331"/>
      <c r="F1074" s="329"/>
      <c r="I1074" s="330"/>
      <c r="J1074" s="330"/>
    </row>
    <row r="1075" spans="2:10" ht="12.75" x14ac:dyDescent="0.2">
      <c r="B1075" s="331"/>
      <c r="C1075" s="327"/>
      <c r="D1075" s="331"/>
      <c r="F1075" s="329"/>
      <c r="I1075" s="330"/>
      <c r="J1075" s="330"/>
    </row>
    <row r="1076" spans="2:10" ht="12.75" x14ac:dyDescent="0.2">
      <c r="B1076" s="331"/>
      <c r="C1076" s="327"/>
      <c r="D1076" s="331"/>
      <c r="F1076" s="329"/>
      <c r="I1076" s="330"/>
      <c r="J1076" s="330"/>
    </row>
    <row r="1077" spans="2:10" ht="12.75" x14ac:dyDescent="0.2">
      <c r="B1077" s="331"/>
      <c r="C1077" s="327"/>
      <c r="D1077" s="331"/>
      <c r="F1077" s="329"/>
      <c r="I1077" s="330"/>
      <c r="J1077" s="330"/>
    </row>
    <row r="1078" spans="2:10" ht="12.75" x14ac:dyDescent="0.2">
      <c r="B1078" s="331"/>
      <c r="C1078" s="327"/>
      <c r="D1078" s="331"/>
      <c r="F1078" s="329"/>
      <c r="I1078" s="330"/>
      <c r="J1078" s="330"/>
    </row>
    <row r="1079" spans="2:10" ht="12.75" x14ac:dyDescent="0.2">
      <c r="B1079" s="331"/>
      <c r="C1079" s="327"/>
      <c r="D1079" s="331"/>
      <c r="F1079" s="329"/>
      <c r="I1079" s="330"/>
      <c r="J1079" s="330"/>
    </row>
    <row r="1080" spans="2:10" ht="12.75" x14ac:dyDescent="0.2">
      <c r="B1080" s="331"/>
      <c r="C1080" s="327"/>
      <c r="D1080" s="331"/>
      <c r="F1080" s="329"/>
      <c r="I1080" s="330"/>
      <c r="J1080" s="330"/>
    </row>
    <row r="1081" spans="2:10" ht="12.75" x14ac:dyDescent="0.2">
      <c r="B1081" s="331"/>
      <c r="C1081" s="327"/>
      <c r="D1081" s="331"/>
      <c r="F1081" s="329"/>
      <c r="I1081" s="330"/>
      <c r="J1081" s="330"/>
    </row>
    <row r="1082" spans="2:10" ht="12.75" x14ac:dyDescent="0.2">
      <c r="B1082" s="331"/>
      <c r="C1082" s="327"/>
      <c r="D1082" s="331"/>
      <c r="F1082" s="329"/>
      <c r="I1082" s="330"/>
      <c r="J1082" s="330"/>
    </row>
    <row r="1083" spans="2:10" ht="12.75" x14ac:dyDescent="0.2">
      <c r="B1083" s="331"/>
      <c r="C1083" s="327"/>
      <c r="D1083" s="331"/>
      <c r="F1083" s="329"/>
      <c r="I1083" s="330"/>
      <c r="J1083" s="330"/>
    </row>
    <row r="1084" spans="2:10" ht="12.75" x14ac:dyDescent="0.2">
      <c r="B1084" s="331"/>
      <c r="C1084" s="327"/>
      <c r="D1084" s="331"/>
      <c r="F1084" s="329"/>
      <c r="I1084" s="330"/>
      <c r="J1084" s="330"/>
    </row>
    <row r="1085" spans="2:10" ht="12.75" x14ac:dyDescent="0.2">
      <c r="B1085" s="331"/>
      <c r="C1085" s="327"/>
      <c r="D1085" s="331"/>
      <c r="F1085" s="329"/>
      <c r="I1085" s="330"/>
      <c r="J1085" s="330"/>
    </row>
    <row r="1086" spans="2:10" ht="12.75" x14ac:dyDescent="0.2">
      <c r="B1086" s="331"/>
      <c r="C1086" s="327"/>
      <c r="D1086" s="331"/>
      <c r="F1086" s="329"/>
      <c r="I1086" s="330"/>
      <c r="J1086" s="330"/>
    </row>
    <row r="1087" spans="2:10" ht="12.75" x14ac:dyDescent="0.2">
      <c r="B1087" s="331"/>
      <c r="C1087" s="327"/>
      <c r="D1087" s="331"/>
      <c r="F1087" s="329"/>
      <c r="I1087" s="330"/>
      <c r="J1087" s="330"/>
    </row>
    <row r="1088" spans="2:10" ht="12.75" x14ac:dyDescent="0.2">
      <c r="B1088" s="331"/>
      <c r="C1088" s="327"/>
      <c r="D1088" s="331"/>
      <c r="F1088" s="329"/>
      <c r="I1088" s="330"/>
      <c r="J1088" s="330"/>
    </row>
    <row r="1089" spans="2:10" ht="12.75" x14ac:dyDescent="0.2">
      <c r="B1089" s="331"/>
      <c r="C1089" s="327"/>
      <c r="D1089" s="331"/>
      <c r="F1089" s="329"/>
      <c r="I1089" s="330"/>
      <c r="J1089" s="330"/>
    </row>
    <row r="1090" spans="2:10" ht="12.75" x14ac:dyDescent="0.2">
      <c r="B1090" s="331"/>
      <c r="C1090" s="327"/>
      <c r="D1090" s="331"/>
      <c r="F1090" s="329"/>
      <c r="I1090" s="330"/>
      <c r="J1090" s="330"/>
    </row>
    <row r="1091" spans="2:10" ht="12.75" x14ac:dyDescent="0.2">
      <c r="B1091" s="331"/>
      <c r="C1091" s="327"/>
      <c r="D1091" s="331"/>
      <c r="F1091" s="329"/>
      <c r="I1091" s="330"/>
      <c r="J1091" s="330"/>
    </row>
    <row r="1092" spans="2:10" ht="12.75" x14ac:dyDescent="0.2">
      <c r="B1092" s="331"/>
      <c r="C1092" s="327"/>
      <c r="D1092" s="331"/>
      <c r="F1092" s="329"/>
      <c r="I1092" s="330"/>
      <c r="J1092" s="330"/>
    </row>
    <row r="1093" spans="2:10" ht="12.75" x14ac:dyDescent="0.2">
      <c r="B1093" s="331"/>
      <c r="C1093" s="327"/>
      <c r="D1093" s="331"/>
      <c r="F1093" s="329"/>
      <c r="I1093" s="330"/>
      <c r="J1093" s="330"/>
    </row>
    <row r="1094" spans="2:10" ht="12.75" x14ac:dyDescent="0.2">
      <c r="B1094" s="331"/>
      <c r="C1094" s="327"/>
      <c r="D1094" s="331"/>
      <c r="F1094" s="329"/>
      <c r="I1094" s="330"/>
      <c r="J1094" s="330"/>
    </row>
    <row r="1095" spans="2:10" ht="12.75" x14ac:dyDescent="0.2">
      <c r="B1095" s="331"/>
      <c r="C1095" s="327"/>
      <c r="D1095" s="331"/>
      <c r="F1095" s="329"/>
      <c r="I1095" s="330"/>
      <c r="J1095" s="330"/>
    </row>
    <row r="1096" spans="2:10" ht="12.75" x14ac:dyDescent="0.2">
      <c r="B1096" s="331"/>
      <c r="C1096" s="327"/>
      <c r="D1096" s="331"/>
      <c r="F1096" s="329"/>
      <c r="I1096" s="330"/>
      <c r="J1096" s="330"/>
    </row>
    <row r="1097" spans="2:10" ht="12.75" x14ac:dyDescent="0.2">
      <c r="B1097" s="331"/>
      <c r="C1097" s="327"/>
      <c r="D1097" s="331"/>
      <c r="F1097" s="329"/>
      <c r="I1097" s="330"/>
      <c r="J1097" s="330"/>
    </row>
    <row r="1098" spans="2:10" ht="12.75" x14ac:dyDescent="0.2">
      <c r="B1098" s="331"/>
      <c r="C1098" s="327"/>
      <c r="D1098" s="331"/>
      <c r="F1098" s="329"/>
      <c r="I1098" s="330"/>
      <c r="J1098" s="330"/>
    </row>
    <row r="1099" spans="2:10" ht="12.75" x14ac:dyDescent="0.2">
      <c r="B1099" s="331"/>
      <c r="C1099" s="327"/>
      <c r="D1099" s="331"/>
      <c r="F1099" s="329"/>
      <c r="I1099" s="330"/>
      <c r="J1099" s="330"/>
    </row>
    <row r="1100" spans="2:10" ht="12.75" x14ac:dyDescent="0.2">
      <c r="B1100" s="331"/>
      <c r="C1100" s="327"/>
      <c r="D1100" s="331"/>
      <c r="F1100" s="329"/>
      <c r="I1100" s="330"/>
      <c r="J1100" s="330"/>
    </row>
    <row r="1101" spans="2:10" ht="12.75" x14ac:dyDescent="0.2">
      <c r="B1101" s="331"/>
      <c r="C1101" s="327"/>
      <c r="D1101" s="331"/>
      <c r="F1101" s="329"/>
      <c r="I1101" s="330"/>
      <c r="J1101" s="330"/>
    </row>
    <row r="1102" spans="2:10" ht="12.75" x14ac:dyDescent="0.2">
      <c r="B1102" s="331"/>
      <c r="C1102" s="327"/>
      <c r="D1102" s="331"/>
      <c r="F1102" s="329"/>
      <c r="I1102" s="330"/>
      <c r="J1102" s="330"/>
    </row>
    <row r="1103" spans="2:10" ht="12.75" x14ac:dyDescent="0.2">
      <c r="B1103" s="331"/>
      <c r="C1103" s="327"/>
      <c r="D1103" s="331"/>
      <c r="F1103" s="329"/>
      <c r="I1103" s="330"/>
      <c r="J1103" s="330"/>
    </row>
    <row r="1104" spans="2:10" ht="12.75" x14ac:dyDescent="0.2">
      <c r="B1104" s="331"/>
      <c r="C1104" s="327"/>
      <c r="D1104" s="331"/>
      <c r="F1104" s="329"/>
      <c r="I1104" s="330"/>
      <c r="J1104" s="330"/>
    </row>
    <row r="1105" spans="2:10" ht="12.75" x14ac:dyDescent="0.2">
      <c r="B1105" s="331"/>
      <c r="C1105" s="327"/>
      <c r="D1105" s="331"/>
      <c r="F1105" s="329"/>
      <c r="I1105" s="330"/>
      <c r="J1105" s="330"/>
    </row>
    <row r="1106" spans="2:10" ht="12.75" x14ac:dyDescent="0.2">
      <c r="B1106" s="331"/>
      <c r="C1106" s="327"/>
      <c r="D1106" s="331"/>
      <c r="F1106" s="329"/>
      <c r="I1106" s="330"/>
      <c r="J1106" s="330"/>
    </row>
    <row r="1107" spans="2:10" ht="12.75" x14ac:dyDescent="0.2">
      <c r="B1107" s="331"/>
      <c r="C1107" s="327"/>
      <c r="D1107" s="331"/>
      <c r="F1107" s="329"/>
      <c r="I1107" s="330"/>
      <c r="J1107" s="330"/>
    </row>
    <row r="1108" spans="2:10" ht="12.75" x14ac:dyDescent="0.2">
      <c r="B1108" s="331"/>
      <c r="C1108" s="327"/>
      <c r="D1108" s="331"/>
      <c r="F1108" s="329"/>
      <c r="I1108" s="330"/>
      <c r="J1108" s="330"/>
    </row>
    <row r="1109" spans="2:10" ht="12.75" x14ac:dyDescent="0.2">
      <c r="B1109" s="331"/>
      <c r="C1109" s="327"/>
      <c r="D1109" s="331"/>
      <c r="F1109" s="329"/>
      <c r="I1109" s="330"/>
      <c r="J1109" s="330"/>
    </row>
    <row r="1110" spans="2:10" ht="12.75" x14ac:dyDescent="0.2">
      <c r="B1110" s="331"/>
      <c r="C1110" s="327"/>
      <c r="D1110" s="331"/>
      <c r="F1110" s="329"/>
      <c r="I1110" s="330"/>
      <c r="J1110" s="330"/>
    </row>
    <row r="1111" spans="2:10" ht="12.75" x14ac:dyDescent="0.2">
      <c r="B1111" s="331"/>
      <c r="C1111" s="327"/>
      <c r="D1111" s="331"/>
      <c r="F1111" s="329"/>
      <c r="I1111" s="330"/>
      <c r="J1111" s="330"/>
    </row>
    <row r="1112" spans="2:10" ht="12.75" x14ac:dyDescent="0.2">
      <c r="B1112" s="331"/>
      <c r="C1112" s="327"/>
      <c r="D1112" s="331"/>
      <c r="F1112" s="329"/>
      <c r="I1112" s="330"/>
      <c r="J1112" s="330"/>
    </row>
    <row r="1113" spans="2:10" ht="12.75" x14ac:dyDescent="0.2">
      <c r="B1113" s="331"/>
      <c r="C1113" s="327"/>
      <c r="D1113" s="331"/>
      <c r="F1113" s="329"/>
      <c r="I1113" s="330"/>
      <c r="J1113" s="330"/>
    </row>
    <row r="1114" spans="2:10" ht="12.75" x14ac:dyDescent="0.2">
      <c r="B1114" s="331"/>
      <c r="C1114" s="327"/>
      <c r="D1114" s="331"/>
      <c r="F1114" s="329"/>
      <c r="I1114" s="330"/>
      <c r="J1114" s="330"/>
    </row>
    <row r="1115" spans="2:10" ht="12.75" x14ac:dyDescent="0.2">
      <c r="B1115" s="331"/>
      <c r="C1115" s="327"/>
      <c r="D1115" s="331"/>
      <c r="F1115" s="329"/>
      <c r="I1115" s="330"/>
      <c r="J1115" s="330"/>
    </row>
    <row r="1116" spans="2:10" ht="12.75" x14ac:dyDescent="0.2">
      <c r="B1116" s="331"/>
      <c r="C1116" s="327"/>
      <c r="D1116" s="331"/>
      <c r="F1116" s="329"/>
      <c r="I1116" s="330"/>
      <c r="J1116" s="330"/>
    </row>
    <row r="1117" spans="2:10" ht="12.75" x14ac:dyDescent="0.2">
      <c r="B1117" s="331"/>
      <c r="C1117" s="327"/>
      <c r="D1117" s="331"/>
      <c r="F1117" s="329"/>
      <c r="I1117" s="330"/>
      <c r="J1117" s="330"/>
    </row>
    <row r="1118" spans="2:10" ht="12.75" x14ac:dyDescent="0.2">
      <c r="B1118" s="331"/>
      <c r="C1118" s="327"/>
      <c r="D1118" s="331"/>
      <c r="F1118" s="329"/>
      <c r="I1118" s="330"/>
      <c r="J1118" s="330"/>
    </row>
    <row r="1119" spans="2:10" ht="12.75" x14ac:dyDescent="0.2">
      <c r="B1119" s="331"/>
      <c r="C1119" s="327"/>
      <c r="D1119" s="331"/>
      <c r="F1119" s="329"/>
      <c r="I1119" s="330"/>
      <c r="J1119" s="330"/>
    </row>
    <row r="1120" spans="2:10" ht="12.75" x14ac:dyDescent="0.2">
      <c r="B1120" s="331"/>
      <c r="C1120" s="327"/>
      <c r="D1120" s="331"/>
      <c r="F1120" s="329"/>
      <c r="I1120" s="330"/>
      <c r="J1120" s="330"/>
    </row>
    <row r="1121" spans="2:10" ht="12.75" x14ac:dyDescent="0.2">
      <c r="B1121" s="331"/>
      <c r="C1121" s="327"/>
      <c r="D1121" s="331"/>
      <c r="F1121" s="329"/>
      <c r="I1121" s="330"/>
      <c r="J1121" s="330"/>
    </row>
    <row r="1122" spans="2:10" ht="12.75" x14ac:dyDescent="0.2">
      <c r="B1122" s="331"/>
      <c r="C1122" s="327"/>
      <c r="D1122" s="331"/>
      <c r="F1122" s="329"/>
      <c r="I1122" s="330"/>
      <c r="J1122" s="330"/>
    </row>
    <row r="1123" spans="2:10" ht="12.75" x14ac:dyDescent="0.2">
      <c r="B1123" s="331"/>
      <c r="C1123" s="327"/>
      <c r="D1123" s="331"/>
      <c r="F1123" s="329"/>
      <c r="I1123" s="330"/>
      <c r="J1123" s="330"/>
    </row>
    <row r="1124" spans="2:10" ht="12.75" x14ac:dyDescent="0.2">
      <c r="B1124" s="331"/>
      <c r="C1124" s="327"/>
      <c r="D1124" s="331"/>
      <c r="F1124" s="329"/>
      <c r="I1124" s="330"/>
      <c r="J1124" s="330"/>
    </row>
    <row r="1125" spans="2:10" ht="12.75" x14ac:dyDescent="0.2">
      <c r="B1125" s="331"/>
      <c r="C1125" s="327"/>
      <c r="D1125" s="331"/>
      <c r="F1125" s="329"/>
      <c r="I1125" s="330"/>
      <c r="J1125" s="330"/>
    </row>
    <row r="1126" spans="2:10" ht="12.75" x14ac:dyDescent="0.2">
      <c r="B1126" s="331"/>
      <c r="C1126" s="327"/>
      <c r="D1126" s="331"/>
      <c r="F1126" s="329"/>
      <c r="I1126" s="330"/>
      <c r="J1126" s="330"/>
    </row>
    <row r="1127" spans="2:10" ht="12.75" x14ac:dyDescent="0.2">
      <c r="B1127" s="331"/>
      <c r="C1127" s="327"/>
      <c r="D1127" s="331"/>
      <c r="F1127" s="329"/>
      <c r="I1127" s="330"/>
      <c r="J1127" s="330"/>
    </row>
    <row r="1128" spans="2:10" ht="12.75" x14ac:dyDescent="0.2">
      <c r="B1128" s="331"/>
      <c r="C1128" s="327"/>
      <c r="D1128" s="331"/>
      <c r="F1128" s="329"/>
      <c r="I1128" s="330"/>
      <c r="J1128" s="330"/>
    </row>
    <row r="1129" spans="2:10" ht="12.75" x14ac:dyDescent="0.2">
      <c r="B1129" s="331"/>
      <c r="C1129" s="327"/>
      <c r="D1129" s="331"/>
      <c r="F1129" s="329"/>
      <c r="I1129" s="330"/>
      <c r="J1129" s="330"/>
    </row>
    <row r="1130" spans="2:10" ht="12.75" x14ac:dyDescent="0.2">
      <c r="B1130" s="331"/>
      <c r="C1130" s="327"/>
      <c r="D1130" s="331"/>
      <c r="F1130" s="329"/>
      <c r="I1130" s="330"/>
      <c r="J1130" s="330"/>
    </row>
    <row r="1131" spans="2:10" ht="12.75" x14ac:dyDescent="0.2">
      <c r="B1131" s="331"/>
      <c r="C1131" s="327"/>
      <c r="D1131" s="331"/>
      <c r="F1131" s="329"/>
      <c r="I1131" s="330"/>
      <c r="J1131" s="330"/>
    </row>
    <row r="1132" spans="2:10" ht="12.75" x14ac:dyDescent="0.2">
      <c r="B1132" s="331"/>
      <c r="C1132" s="327"/>
      <c r="D1132" s="331"/>
      <c r="F1132" s="329"/>
      <c r="I1132" s="330"/>
      <c r="J1132" s="330"/>
    </row>
    <row r="1133" spans="2:10" ht="12.75" x14ac:dyDescent="0.2">
      <c r="B1133" s="331"/>
      <c r="C1133" s="327"/>
      <c r="D1133" s="331"/>
      <c r="F1133" s="329"/>
      <c r="I1133" s="330"/>
      <c r="J1133" s="330"/>
    </row>
    <row r="1134" spans="2:10" ht="12.75" x14ac:dyDescent="0.2">
      <c r="B1134" s="331"/>
      <c r="C1134" s="327"/>
      <c r="D1134" s="331"/>
      <c r="F1134" s="329"/>
      <c r="I1134" s="330"/>
      <c r="J1134" s="330"/>
    </row>
    <row r="1135" spans="2:10" ht="12.75" x14ac:dyDescent="0.2">
      <c r="B1135" s="331"/>
      <c r="C1135" s="327"/>
      <c r="D1135" s="331"/>
      <c r="F1135" s="329"/>
      <c r="I1135" s="330"/>
      <c r="J1135" s="330"/>
    </row>
    <row r="1136" spans="2:10" ht="12.75" x14ac:dyDescent="0.2">
      <c r="B1136" s="331"/>
      <c r="C1136" s="327"/>
      <c r="D1136" s="331"/>
      <c r="F1136" s="329"/>
      <c r="I1136" s="330"/>
      <c r="J1136" s="330"/>
    </row>
    <row r="1137" spans="2:10" ht="12.75" x14ac:dyDescent="0.2">
      <c r="B1137" s="331"/>
      <c r="C1137" s="327"/>
      <c r="D1137" s="331"/>
      <c r="F1137" s="329"/>
      <c r="I1137" s="330"/>
      <c r="J1137" s="330"/>
    </row>
    <row r="1138" spans="2:10" ht="12.75" x14ac:dyDescent="0.2">
      <c r="B1138" s="331"/>
      <c r="C1138" s="327"/>
      <c r="D1138" s="331"/>
      <c r="F1138" s="329"/>
      <c r="I1138" s="330"/>
      <c r="J1138" s="330"/>
    </row>
    <row r="1139" spans="2:10" ht="12.75" x14ac:dyDescent="0.2">
      <c r="B1139" s="331"/>
      <c r="C1139" s="327"/>
      <c r="D1139" s="331"/>
      <c r="F1139" s="329"/>
      <c r="I1139" s="330"/>
      <c r="J1139" s="330"/>
    </row>
    <row r="1140" spans="2:10" ht="12.75" x14ac:dyDescent="0.2">
      <c r="B1140" s="331"/>
      <c r="C1140" s="327"/>
      <c r="D1140" s="331"/>
      <c r="F1140" s="329"/>
      <c r="I1140" s="330"/>
      <c r="J1140" s="330"/>
    </row>
    <row r="1141" spans="2:10" ht="12.75" x14ac:dyDescent="0.2">
      <c r="B1141" s="331"/>
      <c r="C1141" s="327"/>
      <c r="D1141" s="331"/>
      <c r="F1141" s="329"/>
      <c r="I1141" s="330"/>
      <c r="J1141" s="330"/>
    </row>
    <row r="1142" spans="2:10" ht="12.75" x14ac:dyDescent="0.2">
      <c r="B1142" s="331"/>
      <c r="C1142" s="327"/>
      <c r="D1142" s="331"/>
      <c r="F1142" s="329"/>
      <c r="I1142" s="330"/>
      <c r="J1142" s="330"/>
    </row>
    <row r="1143" spans="2:10" ht="12.75" x14ac:dyDescent="0.2">
      <c r="B1143" s="331"/>
      <c r="C1143" s="327"/>
      <c r="D1143" s="331"/>
      <c r="F1143" s="329"/>
      <c r="I1143" s="330"/>
      <c r="J1143" s="330"/>
    </row>
    <row r="1144" spans="2:10" ht="12.75" x14ac:dyDescent="0.2">
      <c r="B1144" s="331"/>
      <c r="C1144" s="327"/>
      <c r="D1144" s="331"/>
      <c r="F1144" s="329"/>
      <c r="I1144" s="330"/>
      <c r="J1144" s="330"/>
    </row>
    <row r="1145" spans="2:10" ht="12.75" x14ac:dyDescent="0.2">
      <c r="B1145" s="331"/>
      <c r="C1145" s="327"/>
      <c r="D1145" s="331"/>
      <c r="F1145" s="329"/>
      <c r="I1145" s="330"/>
      <c r="J1145" s="330"/>
    </row>
    <row r="1146" spans="2:10" ht="12.75" x14ac:dyDescent="0.2">
      <c r="B1146" s="331"/>
      <c r="C1146" s="327"/>
      <c r="D1146" s="331"/>
      <c r="F1146" s="329"/>
      <c r="I1146" s="330"/>
      <c r="J1146" s="330"/>
    </row>
    <row r="1147" spans="2:10" ht="12.75" x14ac:dyDescent="0.2">
      <c r="B1147" s="331"/>
      <c r="C1147" s="327"/>
      <c r="D1147" s="331"/>
      <c r="F1147" s="329"/>
      <c r="I1147" s="330"/>
      <c r="J1147" s="330"/>
    </row>
    <row r="1148" spans="2:10" ht="12.75" x14ac:dyDescent="0.2">
      <c r="B1148" s="331"/>
      <c r="C1148" s="327"/>
      <c r="D1148" s="331"/>
      <c r="F1148" s="329"/>
      <c r="I1148" s="330"/>
      <c r="J1148" s="330"/>
    </row>
    <row r="1149" spans="2:10" ht="12.75" x14ac:dyDescent="0.2">
      <c r="B1149" s="331"/>
      <c r="C1149" s="327"/>
      <c r="D1149" s="331"/>
      <c r="F1149" s="329"/>
      <c r="I1149" s="330"/>
      <c r="J1149" s="330"/>
    </row>
    <row r="1150" spans="2:10" ht="12.75" x14ac:dyDescent="0.2">
      <c r="B1150" s="331"/>
      <c r="C1150" s="327"/>
      <c r="D1150" s="331"/>
      <c r="F1150" s="329"/>
      <c r="I1150" s="330"/>
      <c r="J1150" s="330"/>
    </row>
    <row r="1151" spans="2:10" ht="12.75" x14ac:dyDescent="0.2">
      <c r="B1151" s="331"/>
      <c r="C1151" s="327"/>
      <c r="D1151" s="331"/>
      <c r="F1151" s="329"/>
      <c r="I1151" s="330"/>
      <c r="J1151" s="330"/>
    </row>
    <row r="1152" spans="2:10" ht="12.75" x14ac:dyDescent="0.2">
      <c r="B1152" s="331"/>
      <c r="C1152" s="327"/>
      <c r="D1152" s="331"/>
      <c r="F1152" s="329"/>
      <c r="I1152" s="330"/>
      <c r="J1152" s="330"/>
    </row>
    <row r="1153" spans="2:10" ht="12.75" x14ac:dyDescent="0.2">
      <c r="B1153" s="331"/>
      <c r="C1153" s="327"/>
      <c r="D1153" s="331"/>
      <c r="F1153" s="329"/>
      <c r="I1153" s="330"/>
      <c r="J1153" s="330"/>
    </row>
    <row r="1154" spans="2:10" ht="12.75" x14ac:dyDescent="0.2">
      <c r="B1154" s="331"/>
      <c r="C1154" s="327"/>
      <c r="D1154" s="331"/>
      <c r="F1154" s="329"/>
      <c r="I1154" s="330"/>
      <c r="J1154" s="330"/>
    </row>
    <row r="1155" spans="2:10" ht="12.75" x14ac:dyDescent="0.2">
      <c r="B1155" s="331"/>
      <c r="C1155" s="327"/>
      <c r="D1155" s="331"/>
      <c r="F1155" s="329"/>
      <c r="I1155" s="330"/>
      <c r="J1155" s="330"/>
    </row>
    <row r="1156" spans="2:10" ht="12.75" x14ac:dyDescent="0.2">
      <c r="B1156" s="331"/>
      <c r="C1156" s="327"/>
      <c r="D1156" s="331"/>
      <c r="F1156" s="329"/>
      <c r="I1156" s="330"/>
      <c r="J1156" s="330"/>
    </row>
    <row r="1157" spans="2:10" ht="12.75" x14ac:dyDescent="0.2">
      <c r="B1157" s="331"/>
      <c r="C1157" s="327"/>
      <c r="D1157" s="331"/>
      <c r="F1157" s="329"/>
      <c r="I1157" s="330"/>
      <c r="J1157" s="330"/>
    </row>
    <row r="1158" spans="2:10" ht="12.75" x14ac:dyDescent="0.2">
      <c r="B1158" s="331"/>
      <c r="C1158" s="327"/>
      <c r="D1158" s="331"/>
      <c r="F1158" s="329"/>
      <c r="I1158" s="330"/>
      <c r="J1158" s="330"/>
    </row>
    <row r="1159" spans="2:10" ht="12.75" x14ac:dyDescent="0.2">
      <c r="B1159" s="331"/>
      <c r="C1159" s="327"/>
      <c r="D1159" s="331"/>
      <c r="F1159" s="329"/>
      <c r="I1159" s="330"/>
      <c r="J1159" s="330"/>
    </row>
    <row r="1160" spans="2:10" ht="12.75" x14ac:dyDescent="0.2">
      <c r="B1160" s="331"/>
      <c r="C1160" s="327"/>
      <c r="D1160" s="331"/>
      <c r="F1160" s="329"/>
      <c r="I1160" s="330"/>
      <c r="J1160" s="330"/>
    </row>
    <row r="1161" spans="2:10" ht="12.75" x14ac:dyDescent="0.2">
      <c r="B1161" s="331"/>
      <c r="C1161" s="327"/>
      <c r="D1161" s="331"/>
      <c r="F1161" s="329"/>
      <c r="I1161" s="330"/>
      <c r="J1161" s="330"/>
    </row>
    <row r="1162" spans="2:10" ht="12.75" x14ac:dyDescent="0.2">
      <c r="B1162" s="331"/>
      <c r="C1162" s="327"/>
      <c r="D1162" s="331"/>
      <c r="F1162" s="329"/>
      <c r="I1162" s="330"/>
      <c r="J1162" s="330"/>
    </row>
    <row r="1163" spans="2:10" ht="12.75" x14ac:dyDescent="0.2">
      <c r="B1163" s="331"/>
      <c r="C1163" s="327"/>
      <c r="D1163" s="331"/>
      <c r="F1163" s="329"/>
      <c r="I1163" s="330"/>
      <c r="J1163" s="330"/>
    </row>
    <row r="1164" spans="2:10" ht="12.75" x14ac:dyDescent="0.2">
      <c r="B1164" s="331"/>
      <c r="C1164" s="327"/>
      <c r="D1164" s="331"/>
      <c r="F1164" s="329"/>
      <c r="I1164" s="330"/>
      <c r="J1164" s="330"/>
    </row>
    <row r="1165" spans="2:10" ht="12.75" x14ac:dyDescent="0.2">
      <c r="B1165" s="331"/>
      <c r="C1165" s="327"/>
      <c r="D1165" s="331"/>
      <c r="F1165" s="329"/>
      <c r="I1165" s="330"/>
      <c r="J1165" s="330"/>
    </row>
    <row r="1166" spans="2:10" ht="12.75" x14ac:dyDescent="0.2">
      <c r="B1166" s="331"/>
      <c r="C1166" s="327"/>
      <c r="D1166" s="331"/>
      <c r="F1166" s="329"/>
      <c r="I1166" s="330"/>
      <c r="J1166" s="330"/>
    </row>
    <row r="1167" spans="2:10" ht="12.75" x14ac:dyDescent="0.2">
      <c r="B1167" s="331"/>
      <c r="C1167" s="327"/>
      <c r="D1167" s="331"/>
      <c r="F1167" s="329"/>
      <c r="I1167" s="330"/>
      <c r="J1167" s="330"/>
    </row>
    <row r="1168" spans="2:10" ht="12.75" x14ac:dyDescent="0.2">
      <c r="B1168" s="331"/>
      <c r="C1168" s="327"/>
      <c r="D1168" s="331"/>
      <c r="F1168" s="329"/>
      <c r="I1168" s="330"/>
      <c r="J1168" s="330"/>
    </row>
    <row r="1169" spans="2:10" ht="12.75" x14ac:dyDescent="0.2">
      <c r="B1169" s="331"/>
      <c r="C1169" s="327"/>
      <c r="D1169" s="331"/>
      <c r="F1169" s="329"/>
      <c r="I1169" s="330"/>
      <c r="J1169" s="330"/>
    </row>
    <row r="1170" spans="2:10" ht="12.75" x14ac:dyDescent="0.2">
      <c r="B1170" s="331"/>
      <c r="C1170" s="327"/>
      <c r="D1170" s="331"/>
      <c r="F1170" s="329"/>
      <c r="I1170" s="330"/>
      <c r="J1170" s="330"/>
    </row>
    <row r="1171" spans="2:10" ht="12.75" x14ac:dyDescent="0.2">
      <c r="B1171" s="331"/>
      <c r="C1171" s="327"/>
      <c r="D1171" s="331"/>
      <c r="F1171" s="329"/>
      <c r="I1171" s="330"/>
      <c r="J1171" s="330"/>
    </row>
    <row r="1172" spans="2:10" ht="12.75" x14ac:dyDescent="0.2">
      <c r="B1172" s="331"/>
      <c r="C1172" s="327"/>
      <c r="D1172" s="331"/>
      <c r="F1172" s="329"/>
      <c r="I1172" s="330"/>
      <c r="J1172" s="330"/>
    </row>
    <row r="1173" spans="2:10" ht="12.75" x14ac:dyDescent="0.2">
      <c r="B1173" s="331"/>
      <c r="C1173" s="327"/>
      <c r="D1173" s="331"/>
      <c r="F1173" s="329"/>
      <c r="I1173" s="330"/>
      <c r="J1173" s="330"/>
    </row>
    <row r="1174" spans="2:10" ht="12.75" x14ac:dyDescent="0.2">
      <c r="B1174" s="331"/>
      <c r="C1174" s="327"/>
      <c r="D1174" s="331"/>
      <c r="F1174" s="329"/>
      <c r="I1174" s="330"/>
      <c r="J1174" s="330"/>
    </row>
    <row r="1175" spans="2:10" ht="12.75" x14ac:dyDescent="0.2">
      <c r="B1175" s="331"/>
      <c r="C1175" s="327"/>
      <c r="D1175" s="331"/>
      <c r="F1175" s="329"/>
      <c r="I1175" s="330"/>
      <c r="J1175" s="330"/>
    </row>
    <row r="1176" spans="2:10" ht="12.75" x14ac:dyDescent="0.2">
      <c r="B1176" s="331"/>
      <c r="C1176" s="327"/>
      <c r="D1176" s="331"/>
      <c r="F1176" s="329"/>
      <c r="I1176" s="330"/>
      <c r="J1176" s="330"/>
    </row>
    <row r="1177" spans="2:10" ht="12.75" x14ac:dyDescent="0.2">
      <c r="B1177" s="331"/>
      <c r="C1177" s="327"/>
      <c r="D1177" s="331"/>
      <c r="F1177" s="329"/>
      <c r="I1177" s="330"/>
      <c r="J1177" s="330"/>
    </row>
    <row r="1178" spans="2:10" ht="12.75" x14ac:dyDescent="0.2">
      <c r="B1178" s="331"/>
      <c r="C1178" s="327"/>
      <c r="D1178" s="331"/>
      <c r="F1178" s="329"/>
      <c r="I1178" s="330"/>
      <c r="J1178" s="330"/>
    </row>
    <row r="1179" spans="2:10" ht="12.75" x14ac:dyDescent="0.2">
      <c r="B1179" s="331"/>
      <c r="C1179" s="327"/>
      <c r="D1179" s="331"/>
      <c r="F1179" s="329"/>
      <c r="I1179" s="330"/>
      <c r="J1179" s="330"/>
    </row>
    <row r="1180" spans="2:10" ht="12.75" x14ac:dyDescent="0.2">
      <c r="B1180" s="331"/>
      <c r="C1180" s="327"/>
      <c r="D1180" s="331"/>
      <c r="F1180" s="329"/>
      <c r="I1180" s="330"/>
      <c r="J1180" s="330"/>
    </row>
    <row r="1181" spans="2:10" ht="12.75" x14ac:dyDescent="0.2">
      <c r="B1181" s="331"/>
      <c r="C1181" s="327"/>
      <c r="D1181" s="331"/>
      <c r="F1181" s="329"/>
      <c r="I1181" s="330"/>
      <c r="J1181" s="330"/>
    </row>
    <row r="1182" spans="2:10" ht="12.75" x14ac:dyDescent="0.2">
      <c r="B1182" s="331"/>
      <c r="C1182" s="327"/>
      <c r="D1182" s="331"/>
      <c r="F1182" s="329"/>
      <c r="I1182" s="330"/>
      <c r="J1182" s="330"/>
    </row>
    <row r="1183" spans="2:10" ht="12.75" x14ac:dyDescent="0.2">
      <c r="B1183" s="331"/>
      <c r="C1183" s="327"/>
      <c r="D1183" s="331"/>
      <c r="F1183" s="329"/>
      <c r="I1183" s="330"/>
      <c r="J1183" s="330"/>
    </row>
    <row r="1184" spans="2:10" ht="12.75" x14ac:dyDescent="0.2">
      <c r="B1184" s="331"/>
      <c r="C1184" s="327"/>
      <c r="D1184" s="331"/>
      <c r="F1184" s="329"/>
      <c r="I1184" s="330"/>
      <c r="J1184" s="330"/>
    </row>
    <row r="1185" spans="2:10" ht="12.75" x14ac:dyDescent="0.2">
      <c r="B1185" s="331"/>
      <c r="C1185" s="327"/>
      <c r="D1185" s="331"/>
      <c r="F1185" s="329"/>
      <c r="I1185" s="330"/>
      <c r="J1185" s="330"/>
    </row>
    <row r="1186" spans="2:10" ht="12.75" x14ac:dyDescent="0.2">
      <c r="B1186" s="331"/>
      <c r="C1186" s="327"/>
      <c r="D1186" s="331"/>
      <c r="F1186" s="329"/>
      <c r="I1186" s="330"/>
      <c r="J1186" s="330"/>
    </row>
    <row r="1187" spans="2:10" ht="12.75" x14ac:dyDescent="0.2">
      <c r="B1187" s="331"/>
      <c r="C1187" s="327"/>
      <c r="D1187" s="331"/>
      <c r="F1187" s="329"/>
      <c r="I1187" s="330"/>
      <c r="J1187" s="330"/>
    </row>
    <row r="1188" spans="2:10" ht="12.75" x14ac:dyDescent="0.2">
      <c r="B1188" s="331"/>
      <c r="C1188" s="327"/>
      <c r="D1188" s="331"/>
      <c r="F1188" s="329"/>
      <c r="I1188" s="330"/>
      <c r="J1188" s="330"/>
    </row>
    <row r="1189" spans="2:10" ht="12.75" x14ac:dyDescent="0.2">
      <c r="B1189" s="331"/>
      <c r="C1189" s="327"/>
      <c r="D1189" s="331"/>
      <c r="F1189" s="329"/>
      <c r="I1189" s="330"/>
      <c r="J1189" s="330"/>
    </row>
    <row r="1190" spans="2:10" ht="12.75" x14ac:dyDescent="0.2">
      <c r="B1190" s="331"/>
      <c r="C1190" s="327"/>
      <c r="D1190" s="331"/>
      <c r="F1190" s="329"/>
      <c r="I1190" s="330"/>
      <c r="J1190" s="330"/>
    </row>
    <row r="1191" spans="2:10" ht="12.75" x14ac:dyDescent="0.2">
      <c r="B1191" s="331"/>
      <c r="C1191" s="327"/>
      <c r="D1191" s="331"/>
      <c r="F1191" s="329"/>
      <c r="I1191" s="330"/>
      <c r="J1191" s="330"/>
    </row>
    <row r="1192" spans="2:10" ht="12.75" x14ac:dyDescent="0.2">
      <c r="B1192" s="331"/>
      <c r="C1192" s="327"/>
      <c r="D1192" s="331"/>
      <c r="F1192" s="329"/>
      <c r="I1192" s="330"/>
      <c r="J1192" s="330"/>
    </row>
    <row r="1193" spans="2:10" ht="12.75" x14ac:dyDescent="0.2">
      <c r="B1193" s="331"/>
      <c r="C1193" s="327"/>
      <c r="D1193" s="331"/>
      <c r="F1193" s="329"/>
      <c r="I1193" s="330"/>
      <c r="J1193" s="330"/>
    </row>
    <row r="1194" spans="2:10" ht="12.75" x14ac:dyDescent="0.2">
      <c r="B1194" s="331"/>
      <c r="C1194" s="327"/>
      <c r="D1194" s="331"/>
      <c r="F1194" s="329"/>
      <c r="I1194" s="330"/>
      <c r="J1194" s="330"/>
    </row>
    <row r="1195" spans="2:10" ht="12.75" x14ac:dyDescent="0.2">
      <c r="B1195" s="331"/>
      <c r="C1195" s="327"/>
      <c r="D1195" s="331"/>
      <c r="F1195" s="329"/>
      <c r="I1195" s="330"/>
      <c r="J1195" s="330"/>
    </row>
    <row r="1196" spans="2:10" ht="12.75" x14ac:dyDescent="0.2">
      <c r="B1196" s="331"/>
      <c r="C1196" s="327"/>
      <c r="D1196" s="331"/>
      <c r="F1196" s="329"/>
      <c r="I1196" s="330"/>
      <c r="J1196" s="330"/>
    </row>
    <row r="1197" spans="2:10" ht="12.75" x14ac:dyDescent="0.2">
      <c r="B1197" s="331"/>
      <c r="C1197" s="327"/>
      <c r="D1197" s="331"/>
      <c r="F1197" s="329"/>
      <c r="I1197" s="330"/>
      <c r="J1197" s="330"/>
    </row>
    <row r="1198" spans="2:10" ht="12.75" x14ac:dyDescent="0.2">
      <c r="B1198" s="331"/>
      <c r="C1198" s="327"/>
      <c r="D1198" s="331"/>
      <c r="F1198" s="329"/>
      <c r="I1198" s="330"/>
      <c r="J1198" s="330"/>
    </row>
    <row r="1199" spans="2:10" ht="12.75" x14ac:dyDescent="0.2">
      <c r="B1199" s="331"/>
      <c r="C1199" s="327"/>
      <c r="D1199" s="331"/>
      <c r="F1199" s="329"/>
      <c r="I1199" s="330"/>
      <c r="J1199" s="330"/>
    </row>
    <row r="1200" spans="2:10" ht="12.75" x14ac:dyDescent="0.2">
      <c r="B1200" s="331"/>
      <c r="C1200" s="327"/>
      <c r="D1200" s="331"/>
      <c r="F1200" s="329"/>
      <c r="I1200" s="330"/>
      <c r="J1200" s="330"/>
    </row>
    <row r="1201" spans="2:10" ht="12.75" x14ac:dyDescent="0.2">
      <c r="B1201" s="331"/>
      <c r="C1201" s="327"/>
      <c r="D1201" s="331"/>
      <c r="F1201" s="329"/>
      <c r="I1201" s="330"/>
      <c r="J1201" s="330"/>
    </row>
    <row r="1202" spans="2:10" ht="12.75" x14ac:dyDescent="0.2">
      <c r="B1202" s="331"/>
      <c r="C1202" s="327"/>
      <c r="D1202" s="331"/>
      <c r="F1202" s="329"/>
      <c r="I1202" s="330"/>
      <c r="J1202" s="330"/>
    </row>
    <row r="1203" spans="2:10" ht="12.75" x14ac:dyDescent="0.2">
      <c r="B1203" s="331"/>
      <c r="C1203" s="327"/>
      <c r="D1203" s="331"/>
      <c r="F1203" s="329"/>
      <c r="I1203" s="330"/>
      <c r="J1203" s="330"/>
    </row>
    <row r="1204" spans="2:10" ht="12.75" x14ac:dyDescent="0.2">
      <c r="B1204" s="331"/>
      <c r="C1204" s="327"/>
      <c r="D1204" s="331"/>
      <c r="F1204" s="329"/>
      <c r="I1204" s="330"/>
      <c r="J1204" s="330"/>
    </row>
    <row r="1205" spans="2:10" ht="12.75" x14ac:dyDescent="0.2">
      <c r="B1205" s="331"/>
      <c r="C1205" s="327"/>
      <c r="D1205" s="331"/>
      <c r="F1205" s="329"/>
      <c r="I1205" s="330"/>
      <c r="J1205" s="330"/>
    </row>
    <row r="1206" spans="2:10" ht="12.75" x14ac:dyDescent="0.2">
      <c r="B1206" s="331"/>
      <c r="C1206" s="327"/>
      <c r="D1206" s="331"/>
      <c r="F1206" s="329"/>
      <c r="I1206" s="330"/>
      <c r="J1206" s="330"/>
    </row>
    <row r="1207" spans="2:10" ht="12.75" x14ac:dyDescent="0.2">
      <c r="B1207" s="331"/>
      <c r="C1207" s="327"/>
      <c r="D1207" s="331"/>
      <c r="F1207" s="329"/>
      <c r="I1207" s="330"/>
      <c r="J1207" s="330"/>
    </row>
    <row r="1208" spans="2:10" ht="12.75" x14ac:dyDescent="0.2">
      <c r="B1208" s="331"/>
      <c r="C1208" s="327"/>
      <c r="D1208" s="331"/>
      <c r="F1208" s="329"/>
      <c r="I1208" s="330"/>
      <c r="J1208" s="330"/>
    </row>
    <row r="1209" spans="2:10" ht="12.75" x14ac:dyDescent="0.2">
      <c r="B1209" s="331"/>
      <c r="C1209" s="327"/>
      <c r="D1209" s="331"/>
      <c r="F1209" s="329"/>
      <c r="I1209" s="330"/>
      <c r="J1209" s="330"/>
    </row>
    <row r="1210" spans="2:10" ht="12.75" x14ac:dyDescent="0.2">
      <c r="B1210" s="331"/>
      <c r="C1210" s="327"/>
      <c r="D1210" s="331"/>
      <c r="F1210" s="329"/>
      <c r="I1210" s="330"/>
      <c r="J1210" s="330"/>
    </row>
    <row r="1211" spans="2:10" ht="12.75" x14ac:dyDescent="0.2">
      <c r="B1211" s="331"/>
      <c r="C1211" s="327"/>
      <c r="D1211" s="331"/>
      <c r="F1211" s="329"/>
      <c r="I1211" s="330"/>
      <c r="J1211" s="330"/>
    </row>
    <row r="1212" spans="2:10" ht="12.75" x14ac:dyDescent="0.2">
      <c r="B1212" s="331"/>
      <c r="C1212" s="327"/>
      <c r="D1212" s="331"/>
      <c r="F1212" s="329"/>
      <c r="I1212" s="330"/>
      <c r="J1212" s="330"/>
    </row>
    <row r="1213" spans="2:10" ht="12.75" x14ac:dyDescent="0.2">
      <c r="B1213" s="331"/>
      <c r="C1213" s="327"/>
      <c r="D1213" s="331"/>
      <c r="F1213" s="329"/>
      <c r="I1213" s="330"/>
      <c r="J1213" s="330"/>
    </row>
    <row r="1214" spans="2:10" ht="12.75" x14ac:dyDescent="0.2">
      <c r="B1214" s="331"/>
      <c r="C1214" s="327"/>
      <c r="D1214" s="331"/>
      <c r="F1214" s="329"/>
      <c r="I1214" s="330"/>
      <c r="J1214" s="330"/>
    </row>
    <row r="1215" spans="2:10" ht="12.75" x14ac:dyDescent="0.2">
      <c r="B1215" s="331"/>
      <c r="C1215" s="327"/>
      <c r="D1215" s="331"/>
      <c r="F1215" s="329"/>
      <c r="I1215" s="330"/>
      <c r="J1215" s="330"/>
    </row>
    <row r="1216" spans="2:10" ht="12.75" x14ac:dyDescent="0.2">
      <c r="B1216" s="331"/>
      <c r="C1216" s="327"/>
      <c r="D1216" s="331"/>
      <c r="F1216" s="329"/>
      <c r="I1216" s="330"/>
      <c r="J1216" s="330"/>
    </row>
    <row r="1217" spans="2:10" ht="12.75" x14ac:dyDescent="0.2">
      <c r="B1217" s="331"/>
      <c r="C1217" s="327"/>
      <c r="D1217" s="331"/>
      <c r="F1217" s="329"/>
      <c r="I1217" s="330"/>
      <c r="J1217" s="330"/>
    </row>
    <row r="1218" spans="2:10" ht="12.75" x14ac:dyDescent="0.2">
      <c r="B1218" s="331"/>
      <c r="C1218" s="327"/>
      <c r="D1218" s="331"/>
      <c r="F1218" s="329"/>
      <c r="I1218" s="330"/>
      <c r="J1218" s="330"/>
    </row>
    <row r="1219" spans="2:10" ht="12.75" x14ac:dyDescent="0.2">
      <c r="B1219" s="331"/>
      <c r="C1219" s="327"/>
      <c r="D1219" s="331"/>
      <c r="F1219" s="329"/>
      <c r="I1219" s="330"/>
      <c r="J1219" s="330"/>
    </row>
    <row r="1220" spans="2:10" ht="12.75" x14ac:dyDescent="0.2">
      <c r="B1220" s="331"/>
      <c r="C1220" s="327"/>
      <c r="D1220" s="331"/>
      <c r="F1220" s="329"/>
      <c r="I1220" s="330"/>
      <c r="J1220" s="330"/>
    </row>
    <row r="1221" spans="2:10" ht="12.75" x14ac:dyDescent="0.2">
      <c r="B1221" s="331"/>
      <c r="C1221" s="327"/>
      <c r="D1221" s="331"/>
      <c r="F1221" s="329"/>
      <c r="I1221" s="330"/>
      <c r="J1221" s="330"/>
    </row>
    <row r="1222" spans="2:10" ht="12.75" x14ac:dyDescent="0.2">
      <c r="B1222" s="331"/>
      <c r="C1222" s="327"/>
      <c r="D1222" s="331"/>
      <c r="F1222" s="329"/>
      <c r="I1222" s="330"/>
      <c r="J1222" s="330"/>
    </row>
    <row r="1223" spans="2:10" ht="12.75" x14ac:dyDescent="0.2">
      <c r="B1223" s="331"/>
      <c r="C1223" s="327"/>
      <c r="D1223" s="331"/>
      <c r="F1223" s="329"/>
      <c r="I1223" s="330"/>
      <c r="J1223" s="330"/>
    </row>
    <row r="1224" spans="2:10" ht="12.75" x14ac:dyDescent="0.2">
      <c r="B1224" s="331"/>
      <c r="C1224" s="327"/>
      <c r="D1224" s="331"/>
      <c r="F1224" s="329"/>
      <c r="I1224" s="330"/>
      <c r="J1224" s="330"/>
    </row>
    <row r="1225" spans="2:10" ht="12.75" x14ac:dyDescent="0.2">
      <c r="B1225" s="331"/>
      <c r="C1225" s="327"/>
      <c r="D1225" s="331"/>
      <c r="F1225" s="329"/>
      <c r="I1225" s="330"/>
      <c r="J1225" s="330"/>
    </row>
    <row r="1226" spans="2:10" ht="12.75" x14ac:dyDescent="0.2">
      <c r="B1226" s="331"/>
      <c r="C1226" s="327"/>
      <c r="D1226" s="331"/>
      <c r="F1226" s="329"/>
      <c r="I1226" s="330"/>
      <c r="J1226" s="330"/>
    </row>
    <row r="1227" spans="2:10" ht="12.75" x14ac:dyDescent="0.2">
      <c r="B1227" s="331"/>
      <c r="C1227" s="327"/>
      <c r="D1227" s="331"/>
      <c r="F1227" s="329"/>
      <c r="I1227" s="330"/>
      <c r="J1227" s="330"/>
    </row>
    <row r="1228" spans="2:10" ht="12.75" x14ac:dyDescent="0.2">
      <c r="B1228" s="331"/>
      <c r="C1228" s="327"/>
      <c r="D1228" s="331"/>
      <c r="F1228" s="329"/>
      <c r="I1228" s="330"/>
      <c r="J1228" s="330"/>
    </row>
    <row r="1229" spans="2:10" ht="12.75" x14ac:dyDescent="0.2">
      <c r="B1229" s="331"/>
      <c r="C1229" s="327"/>
      <c r="D1229" s="331"/>
      <c r="F1229" s="329"/>
      <c r="I1229" s="330"/>
      <c r="J1229" s="330"/>
    </row>
    <row r="1230" spans="2:10" ht="12.75" x14ac:dyDescent="0.2">
      <c r="B1230" s="331"/>
      <c r="C1230" s="327"/>
      <c r="D1230" s="331"/>
      <c r="F1230" s="329"/>
      <c r="I1230" s="330"/>
      <c r="J1230" s="330"/>
    </row>
    <row r="1231" spans="2:10" ht="12.75" x14ac:dyDescent="0.2">
      <c r="B1231" s="331"/>
      <c r="C1231" s="327"/>
      <c r="D1231" s="331"/>
      <c r="F1231" s="329"/>
      <c r="I1231" s="330"/>
      <c r="J1231" s="330"/>
    </row>
    <row r="1232" spans="2:10" ht="12.75" x14ac:dyDescent="0.2">
      <c r="B1232" s="331"/>
      <c r="C1232" s="327"/>
      <c r="D1232" s="331"/>
      <c r="F1232" s="329"/>
      <c r="I1232" s="330"/>
      <c r="J1232" s="330"/>
    </row>
    <row r="1233" spans="2:10" ht="12.75" x14ac:dyDescent="0.2">
      <c r="B1233" s="331"/>
      <c r="C1233" s="327"/>
      <c r="D1233" s="331"/>
      <c r="F1233" s="329"/>
      <c r="I1233" s="330"/>
      <c r="J1233" s="330"/>
    </row>
    <row r="1234" spans="2:10" ht="12.75" x14ac:dyDescent="0.2">
      <c r="B1234" s="331"/>
      <c r="C1234" s="327"/>
      <c r="D1234" s="331"/>
      <c r="F1234" s="329"/>
      <c r="I1234" s="330"/>
      <c r="J1234" s="330"/>
    </row>
    <row r="1235" spans="2:10" ht="12.75" x14ac:dyDescent="0.2">
      <c r="B1235" s="331"/>
      <c r="C1235" s="327"/>
      <c r="D1235" s="331"/>
      <c r="F1235" s="329"/>
      <c r="I1235" s="330"/>
      <c r="J1235" s="330"/>
    </row>
    <row r="1236" spans="2:10" ht="12.75" x14ac:dyDescent="0.2">
      <c r="B1236" s="331"/>
      <c r="C1236" s="327"/>
      <c r="D1236" s="331"/>
      <c r="F1236" s="329"/>
      <c r="I1236" s="330"/>
      <c r="J1236" s="330"/>
    </row>
    <row r="1237" spans="2:10" ht="12.75" x14ac:dyDescent="0.2">
      <c r="B1237" s="331"/>
      <c r="C1237" s="327"/>
      <c r="D1237" s="331"/>
      <c r="F1237" s="329"/>
      <c r="I1237" s="330"/>
      <c r="J1237" s="330"/>
    </row>
    <row r="1238" spans="2:10" ht="12.75" x14ac:dyDescent="0.2">
      <c r="B1238" s="331"/>
      <c r="C1238" s="327"/>
      <c r="D1238" s="331"/>
      <c r="F1238" s="329"/>
      <c r="I1238" s="330"/>
      <c r="J1238" s="330"/>
    </row>
    <row r="1239" spans="2:10" ht="12.75" x14ac:dyDescent="0.2">
      <c r="B1239" s="331"/>
      <c r="C1239" s="327"/>
      <c r="D1239" s="331"/>
      <c r="F1239" s="329"/>
      <c r="I1239" s="330"/>
      <c r="J1239" s="330"/>
    </row>
    <row r="1240" spans="2:10" ht="12.75" x14ac:dyDescent="0.2">
      <c r="B1240" s="331"/>
      <c r="C1240" s="327"/>
      <c r="D1240" s="331"/>
      <c r="F1240" s="329"/>
      <c r="I1240" s="330"/>
      <c r="J1240" s="330"/>
    </row>
    <row r="1241" spans="2:10" ht="12.75" x14ac:dyDescent="0.2">
      <c r="B1241" s="331"/>
      <c r="C1241" s="327"/>
      <c r="D1241" s="331"/>
      <c r="F1241" s="329"/>
      <c r="I1241" s="330"/>
      <c r="J1241" s="330"/>
    </row>
    <row r="1242" spans="2:10" ht="12.75" x14ac:dyDescent="0.2">
      <c r="B1242" s="331"/>
      <c r="C1242" s="327"/>
      <c r="D1242" s="331"/>
      <c r="F1242" s="329"/>
      <c r="I1242" s="330"/>
      <c r="J1242" s="330"/>
    </row>
    <row r="1243" spans="2:10" ht="12.75" x14ac:dyDescent="0.2">
      <c r="B1243" s="331"/>
      <c r="C1243" s="327"/>
      <c r="D1243" s="331"/>
      <c r="F1243" s="329"/>
      <c r="I1243" s="330"/>
      <c r="J1243" s="330"/>
    </row>
    <row r="1244" spans="2:10" ht="12.75" x14ac:dyDescent="0.2">
      <c r="B1244" s="331"/>
      <c r="C1244" s="327"/>
      <c r="D1244" s="331"/>
      <c r="F1244" s="329"/>
      <c r="I1244" s="330"/>
      <c r="J1244" s="330"/>
    </row>
    <row r="1245" spans="2:10" ht="12.75" x14ac:dyDescent="0.2">
      <c r="B1245" s="331"/>
      <c r="C1245" s="327"/>
      <c r="D1245" s="331"/>
      <c r="F1245" s="329"/>
      <c r="I1245" s="330"/>
      <c r="J1245" s="330"/>
    </row>
    <row r="1246" spans="2:10" ht="12.75" x14ac:dyDescent="0.2">
      <c r="B1246" s="331"/>
      <c r="C1246" s="327"/>
      <c r="D1246" s="331"/>
      <c r="F1246" s="329"/>
      <c r="I1246" s="330"/>
      <c r="J1246" s="330"/>
    </row>
    <row r="1247" spans="2:10" ht="12.75" x14ac:dyDescent="0.2">
      <c r="B1247" s="331"/>
      <c r="C1247" s="327"/>
      <c r="D1247" s="331"/>
      <c r="F1247" s="329"/>
      <c r="I1247" s="330"/>
      <c r="J1247" s="330"/>
    </row>
    <row r="1248" spans="2:10" ht="12.75" x14ac:dyDescent="0.2">
      <c r="B1248" s="331"/>
      <c r="C1248" s="327"/>
      <c r="D1248" s="331"/>
      <c r="F1248" s="329"/>
      <c r="I1248" s="330"/>
      <c r="J1248" s="330"/>
    </row>
    <row r="1249" spans="2:10" ht="12.75" x14ac:dyDescent="0.2">
      <c r="B1249" s="331"/>
      <c r="C1249" s="327"/>
      <c r="D1249" s="331"/>
      <c r="F1249" s="329"/>
      <c r="I1249" s="330"/>
      <c r="J1249" s="330"/>
    </row>
    <row r="1250" spans="2:10" ht="12.75" x14ac:dyDescent="0.2">
      <c r="B1250" s="331"/>
      <c r="C1250" s="327"/>
      <c r="D1250" s="331"/>
      <c r="F1250" s="329"/>
      <c r="I1250" s="330"/>
      <c r="J1250" s="330"/>
    </row>
    <row r="1251" spans="2:10" ht="12.75" x14ac:dyDescent="0.2">
      <c r="B1251" s="331"/>
      <c r="C1251" s="327"/>
      <c r="D1251" s="331"/>
      <c r="F1251" s="329"/>
      <c r="I1251" s="330"/>
      <c r="J1251" s="330"/>
    </row>
    <row r="1252" spans="2:10" ht="12.75" x14ac:dyDescent="0.2">
      <c r="B1252" s="331"/>
      <c r="C1252" s="327"/>
      <c r="D1252" s="331"/>
      <c r="F1252" s="329"/>
      <c r="I1252" s="330"/>
      <c r="J1252" s="330"/>
    </row>
    <row r="1253" spans="2:10" ht="12.75" x14ac:dyDescent="0.2">
      <c r="B1253" s="331"/>
      <c r="C1253" s="327"/>
      <c r="D1253" s="331"/>
      <c r="F1253" s="329"/>
      <c r="I1253" s="330"/>
      <c r="J1253" s="330"/>
    </row>
    <row r="1254" spans="2:10" ht="12.75" x14ac:dyDescent="0.2">
      <c r="B1254" s="331"/>
      <c r="C1254" s="327"/>
      <c r="D1254" s="331"/>
      <c r="F1254" s="329"/>
      <c r="I1254" s="330"/>
      <c r="J1254" s="330"/>
    </row>
    <row r="1255" spans="2:10" ht="12.75" x14ac:dyDescent="0.2">
      <c r="B1255" s="331"/>
      <c r="C1255" s="327"/>
      <c r="D1255" s="331"/>
      <c r="F1255" s="329"/>
      <c r="I1255" s="330"/>
      <c r="J1255" s="330"/>
    </row>
    <row r="1256" spans="2:10" ht="12.75" x14ac:dyDescent="0.2">
      <c r="B1256" s="331"/>
      <c r="C1256" s="327"/>
      <c r="D1256" s="331"/>
      <c r="F1256" s="329"/>
      <c r="I1256" s="330"/>
      <c r="J1256" s="330"/>
    </row>
    <row r="1257" spans="2:10" ht="12.75" x14ac:dyDescent="0.2">
      <c r="B1257" s="331"/>
      <c r="C1257" s="327"/>
      <c r="D1257" s="331"/>
      <c r="F1257" s="329"/>
      <c r="I1257" s="330"/>
      <c r="J1257" s="330"/>
    </row>
    <row r="1258" spans="2:10" ht="12.75" x14ac:dyDescent="0.2">
      <c r="B1258" s="331"/>
      <c r="C1258" s="327"/>
      <c r="D1258" s="331"/>
      <c r="F1258" s="329"/>
      <c r="I1258" s="330"/>
      <c r="J1258" s="330"/>
    </row>
    <row r="1259" spans="2:10" ht="12.75" x14ac:dyDescent="0.2">
      <c r="B1259" s="331"/>
      <c r="C1259" s="327"/>
      <c r="D1259" s="331"/>
      <c r="F1259" s="329"/>
      <c r="I1259" s="330"/>
      <c r="J1259" s="330"/>
    </row>
    <row r="1260" spans="2:10" ht="12.75" x14ac:dyDescent="0.2">
      <c r="B1260" s="331"/>
      <c r="C1260" s="327"/>
      <c r="D1260" s="331"/>
      <c r="F1260" s="329"/>
      <c r="I1260" s="330"/>
      <c r="J1260" s="330"/>
    </row>
    <row r="1261" spans="2:10" ht="12.75" x14ac:dyDescent="0.2">
      <c r="B1261" s="331"/>
      <c r="C1261" s="327"/>
      <c r="D1261" s="331"/>
      <c r="F1261" s="329"/>
      <c r="I1261" s="330"/>
      <c r="J1261" s="330"/>
    </row>
    <row r="1262" spans="2:10" ht="12.75" x14ac:dyDescent="0.2">
      <c r="B1262" s="331"/>
      <c r="C1262" s="327"/>
      <c r="D1262" s="331"/>
      <c r="F1262" s="329"/>
      <c r="I1262" s="330"/>
      <c r="J1262" s="330"/>
    </row>
    <row r="1263" spans="2:10" ht="12.75" x14ac:dyDescent="0.2">
      <c r="B1263" s="331"/>
      <c r="C1263" s="327"/>
      <c r="D1263" s="331"/>
      <c r="F1263" s="329"/>
      <c r="I1263" s="330"/>
      <c r="J1263" s="330"/>
    </row>
    <row r="1264" spans="2:10" ht="12.75" x14ac:dyDescent="0.2">
      <c r="B1264" s="331"/>
      <c r="C1264" s="327"/>
      <c r="D1264" s="331"/>
      <c r="F1264" s="329"/>
      <c r="I1264" s="330"/>
      <c r="J1264" s="330"/>
    </row>
    <row r="1265" spans="2:10" ht="12.75" x14ac:dyDescent="0.2">
      <c r="B1265" s="331"/>
      <c r="C1265" s="327"/>
      <c r="D1265" s="331"/>
      <c r="F1265" s="329"/>
      <c r="I1265" s="330"/>
      <c r="J1265" s="330"/>
    </row>
    <row r="1266" spans="2:10" ht="12.75" x14ac:dyDescent="0.2">
      <c r="B1266" s="331"/>
      <c r="C1266" s="327"/>
      <c r="D1266" s="331"/>
      <c r="F1266" s="329"/>
      <c r="I1266" s="330"/>
      <c r="J1266" s="330"/>
    </row>
    <row r="1267" spans="2:10" ht="12.75" x14ac:dyDescent="0.2">
      <c r="B1267" s="331"/>
      <c r="C1267" s="327"/>
      <c r="D1267" s="331"/>
      <c r="F1267" s="329"/>
      <c r="I1267" s="330"/>
      <c r="J1267" s="330"/>
    </row>
    <row r="1268" spans="2:10" ht="12.75" x14ac:dyDescent="0.2">
      <c r="B1268" s="331"/>
      <c r="C1268" s="327"/>
      <c r="D1268" s="331"/>
      <c r="F1268" s="329"/>
      <c r="I1268" s="330"/>
      <c r="J1268" s="330"/>
    </row>
    <row r="1269" spans="2:10" ht="12.75" x14ac:dyDescent="0.2">
      <c r="B1269" s="331"/>
      <c r="C1269" s="327"/>
      <c r="D1269" s="331"/>
      <c r="F1269" s="329"/>
      <c r="I1269" s="330"/>
      <c r="J1269" s="330"/>
    </row>
    <row r="1270" spans="2:10" ht="12.75" x14ac:dyDescent="0.2">
      <c r="B1270" s="331"/>
      <c r="C1270" s="327"/>
      <c r="D1270" s="331"/>
      <c r="F1270" s="329"/>
      <c r="I1270" s="330"/>
      <c r="J1270" s="330"/>
    </row>
    <row r="1271" spans="2:10" ht="12.75" x14ac:dyDescent="0.2">
      <c r="B1271" s="331"/>
      <c r="C1271" s="327"/>
      <c r="D1271" s="331"/>
      <c r="F1271" s="329"/>
      <c r="I1271" s="330"/>
      <c r="J1271" s="330"/>
    </row>
    <row r="1272" spans="2:10" ht="12.75" x14ac:dyDescent="0.2">
      <c r="B1272" s="331"/>
      <c r="C1272" s="327"/>
      <c r="D1272" s="331"/>
      <c r="F1272" s="329"/>
      <c r="I1272" s="330"/>
      <c r="J1272" s="330"/>
    </row>
    <row r="1273" spans="2:10" ht="12.75" x14ac:dyDescent="0.2">
      <c r="B1273" s="331"/>
      <c r="C1273" s="327"/>
      <c r="D1273" s="331"/>
      <c r="F1273" s="329"/>
      <c r="I1273" s="330"/>
      <c r="J1273" s="330"/>
    </row>
    <row r="1274" spans="2:10" ht="12.75" x14ac:dyDescent="0.2">
      <c r="B1274" s="331"/>
      <c r="C1274" s="327"/>
      <c r="D1274" s="331"/>
      <c r="F1274" s="329"/>
      <c r="I1274" s="330"/>
      <c r="J1274" s="330"/>
    </row>
    <row r="1275" spans="2:10" ht="12.75" x14ac:dyDescent="0.2">
      <c r="B1275" s="331"/>
      <c r="C1275" s="327"/>
      <c r="D1275" s="331"/>
      <c r="F1275" s="329"/>
      <c r="I1275" s="330"/>
      <c r="J1275" s="330"/>
    </row>
    <row r="1276" spans="2:10" ht="12.75" x14ac:dyDescent="0.2">
      <c r="B1276" s="331"/>
      <c r="C1276" s="327"/>
      <c r="D1276" s="331"/>
      <c r="F1276" s="329"/>
      <c r="I1276" s="330"/>
      <c r="J1276" s="330"/>
    </row>
    <row r="1277" spans="2:10" ht="12.75" x14ac:dyDescent="0.2">
      <c r="B1277" s="331"/>
      <c r="C1277" s="327"/>
      <c r="D1277" s="331"/>
      <c r="F1277" s="329"/>
      <c r="I1277" s="330"/>
      <c r="J1277" s="330"/>
    </row>
    <row r="1278" spans="2:10" ht="12.75" x14ac:dyDescent="0.2">
      <c r="B1278" s="331"/>
      <c r="C1278" s="327"/>
      <c r="D1278" s="331"/>
      <c r="F1278" s="329"/>
      <c r="I1278" s="330"/>
      <c r="J1278" s="330"/>
    </row>
    <row r="1279" spans="2:10" ht="12.75" x14ac:dyDescent="0.2">
      <c r="B1279" s="331"/>
      <c r="C1279" s="327"/>
      <c r="D1279" s="331"/>
      <c r="F1279" s="329"/>
      <c r="I1279" s="330"/>
      <c r="J1279" s="330"/>
    </row>
    <row r="1280" spans="2:10" ht="12.75" x14ac:dyDescent="0.2">
      <c r="B1280" s="331"/>
      <c r="C1280" s="327"/>
      <c r="D1280" s="331"/>
      <c r="F1280" s="329"/>
      <c r="I1280" s="330"/>
      <c r="J1280" s="330"/>
    </row>
    <row r="1281" spans="2:10" ht="12.75" x14ac:dyDescent="0.2">
      <c r="B1281" s="331"/>
      <c r="C1281" s="327"/>
      <c r="D1281" s="331"/>
      <c r="F1281" s="329"/>
      <c r="I1281" s="330"/>
      <c r="J1281" s="330"/>
    </row>
    <row r="1282" spans="2:10" ht="12.75" x14ac:dyDescent="0.2">
      <c r="B1282" s="331"/>
      <c r="C1282" s="327"/>
      <c r="D1282" s="331"/>
      <c r="F1282" s="329"/>
      <c r="I1282" s="330"/>
      <c r="J1282" s="330"/>
    </row>
    <row r="1283" spans="2:10" ht="12.75" x14ac:dyDescent="0.2">
      <c r="B1283" s="331"/>
      <c r="C1283" s="327"/>
      <c r="D1283" s="331"/>
      <c r="F1283" s="329"/>
      <c r="I1283" s="330"/>
      <c r="J1283" s="330"/>
    </row>
    <row r="1284" spans="2:10" ht="12.75" x14ac:dyDescent="0.2">
      <c r="B1284" s="331"/>
      <c r="C1284" s="327"/>
      <c r="D1284" s="331"/>
      <c r="F1284" s="329"/>
      <c r="I1284" s="330"/>
      <c r="J1284" s="330"/>
    </row>
    <row r="1285" spans="2:10" ht="12.75" x14ac:dyDescent="0.2">
      <c r="B1285" s="331"/>
      <c r="C1285" s="327"/>
      <c r="D1285" s="331"/>
      <c r="F1285" s="329"/>
      <c r="I1285" s="330"/>
      <c r="J1285" s="330"/>
    </row>
    <row r="1286" spans="2:10" ht="12.75" x14ac:dyDescent="0.2">
      <c r="B1286" s="331"/>
      <c r="C1286" s="327"/>
      <c r="D1286" s="331"/>
      <c r="F1286" s="329"/>
      <c r="I1286" s="330"/>
      <c r="J1286" s="330"/>
    </row>
    <row r="1287" spans="2:10" ht="12.75" x14ac:dyDescent="0.2">
      <c r="B1287" s="331"/>
      <c r="C1287" s="327"/>
      <c r="D1287" s="331"/>
      <c r="F1287" s="329"/>
      <c r="I1287" s="330"/>
      <c r="J1287" s="330"/>
    </row>
    <row r="1288" spans="2:10" ht="12.75" x14ac:dyDescent="0.2">
      <c r="B1288" s="331"/>
      <c r="C1288" s="327"/>
      <c r="D1288" s="331"/>
      <c r="F1288" s="329"/>
      <c r="I1288" s="330"/>
      <c r="J1288" s="330"/>
    </row>
    <row r="1289" spans="2:10" ht="12.75" x14ac:dyDescent="0.2">
      <c r="B1289" s="331"/>
      <c r="C1289" s="327"/>
      <c r="D1289" s="331"/>
      <c r="F1289" s="329"/>
      <c r="I1289" s="330"/>
      <c r="J1289" s="330"/>
    </row>
    <row r="1290" spans="2:10" ht="12.75" x14ac:dyDescent="0.2">
      <c r="B1290" s="331"/>
      <c r="C1290" s="327"/>
      <c r="D1290" s="331"/>
      <c r="F1290" s="329"/>
      <c r="I1290" s="330"/>
      <c r="J1290" s="330"/>
    </row>
    <row r="1291" spans="2:10" ht="12.75" x14ac:dyDescent="0.2">
      <c r="B1291" s="331"/>
      <c r="C1291" s="327"/>
      <c r="D1291" s="331"/>
      <c r="F1291" s="329"/>
      <c r="I1291" s="330"/>
      <c r="J1291" s="330"/>
    </row>
    <row r="1292" spans="2:10" ht="12.75" x14ac:dyDescent="0.2">
      <c r="B1292" s="331"/>
      <c r="C1292" s="327"/>
      <c r="D1292" s="331"/>
      <c r="F1292" s="329"/>
      <c r="I1292" s="330"/>
      <c r="J1292" s="330"/>
    </row>
    <row r="1293" spans="2:10" ht="12.75" x14ac:dyDescent="0.2">
      <c r="B1293" s="331"/>
      <c r="C1293" s="327"/>
      <c r="D1293" s="331"/>
      <c r="F1293" s="329"/>
      <c r="I1293" s="330"/>
      <c r="J1293" s="330"/>
    </row>
    <row r="1294" spans="2:10" ht="12.75" x14ac:dyDescent="0.2">
      <c r="B1294" s="331"/>
      <c r="C1294" s="327"/>
      <c r="D1294" s="331"/>
      <c r="F1294" s="329"/>
      <c r="I1294" s="330"/>
      <c r="J1294" s="330"/>
    </row>
    <row r="1295" spans="2:10" ht="12.75" x14ac:dyDescent="0.2">
      <c r="B1295" s="331"/>
      <c r="C1295" s="327"/>
      <c r="D1295" s="331"/>
      <c r="F1295" s="329"/>
      <c r="I1295" s="330"/>
      <c r="J1295" s="330"/>
    </row>
    <row r="1296" spans="2:10" ht="12.75" x14ac:dyDescent="0.2">
      <c r="B1296" s="331"/>
      <c r="C1296" s="327"/>
      <c r="D1296" s="331"/>
      <c r="F1296" s="329"/>
      <c r="I1296" s="330"/>
      <c r="J1296" s="330"/>
    </row>
    <row r="1297" spans="2:10" ht="12.75" x14ac:dyDescent="0.2">
      <c r="B1297" s="331"/>
      <c r="C1297" s="327"/>
      <c r="D1297" s="331"/>
      <c r="F1297" s="329"/>
      <c r="I1297" s="330"/>
      <c r="J1297" s="330"/>
    </row>
    <row r="1298" spans="2:10" ht="12.75" x14ac:dyDescent="0.2">
      <c r="B1298" s="331"/>
      <c r="C1298" s="327"/>
      <c r="D1298" s="331"/>
      <c r="F1298" s="329"/>
      <c r="I1298" s="330"/>
      <c r="J1298" s="330"/>
    </row>
    <row r="1299" spans="2:10" ht="12.75" x14ac:dyDescent="0.2">
      <c r="B1299" s="331"/>
      <c r="C1299" s="327"/>
      <c r="D1299" s="331"/>
      <c r="F1299" s="329"/>
      <c r="I1299" s="330"/>
      <c r="J1299" s="330"/>
    </row>
    <row r="1300" spans="2:10" ht="12.75" x14ac:dyDescent="0.2">
      <c r="B1300" s="331"/>
      <c r="C1300" s="327"/>
      <c r="D1300" s="331"/>
      <c r="F1300" s="329"/>
      <c r="I1300" s="330"/>
      <c r="J1300" s="330"/>
    </row>
    <row r="1301" spans="2:10" ht="12.75" x14ac:dyDescent="0.2">
      <c r="B1301" s="331"/>
      <c r="C1301" s="327"/>
      <c r="D1301" s="331"/>
      <c r="F1301" s="329"/>
      <c r="I1301" s="330"/>
      <c r="J1301" s="330"/>
    </row>
    <row r="1302" spans="2:10" ht="12.75" x14ac:dyDescent="0.2">
      <c r="B1302" s="331"/>
      <c r="C1302" s="327"/>
      <c r="D1302" s="331"/>
      <c r="F1302" s="329"/>
      <c r="I1302" s="330"/>
      <c r="J1302" s="330"/>
    </row>
    <row r="1303" spans="2:10" ht="12.75" x14ac:dyDescent="0.2">
      <c r="B1303" s="331"/>
      <c r="C1303" s="327"/>
      <c r="D1303" s="331"/>
      <c r="F1303" s="329"/>
      <c r="I1303" s="330"/>
      <c r="J1303" s="330"/>
    </row>
    <row r="1304" spans="2:10" ht="12.75" x14ac:dyDescent="0.2">
      <c r="B1304" s="331"/>
      <c r="C1304" s="327"/>
      <c r="D1304" s="331"/>
      <c r="F1304" s="329"/>
      <c r="I1304" s="330"/>
      <c r="J1304" s="330"/>
    </row>
    <row r="1305" spans="2:10" ht="12.75" x14ac:dyDescent="0.2">
      <c r="B1305" s="331"/>
      <c r="C1305" s="327"/>
      <c r="D1305" s="331"/>
      <c r="F1305" s="329"/>
      <c r="I1305" s="330"/>
      <c r="J1305" s="330"/>
    </row>
    <row r="1306" spans="2:10" ht="12.75" x14ac:dyDescent="0.2">
      <c r="B1306" s="331"/>
      <c r="C1306" s="327"/>
      <c r="D1306" s="331"/>
      <c r="F1306" s="329"/>
      <c r="I1306" s="330"/>
      <c r="J1306" s="330"/>
    </row>
    <row r="1307" spans="2:10" ht="12.75" x14ac:dyDescent="0.2">
      <c r="B1307" s="331"/>
      <c r="C1307" s="327"/>
      <c r="D1307" s="331"/>
      <c r="F1307" s="329"/>
      <c r="I1307" s="330"/>
      <c r="J1307" s="330"/>
    </row>
    <row r="1308" spans="2:10" ht="12.75" x14ac:dyDescent="0.2">
      <c r="B1308" s="331"/>
      <c r="C1308" s="327"/>
      <c r="D1308" s="331"/>
      <c r="F1308" s="329"/>
      <c r="I1308" s="330"/>
      <c r="J1308" s="330"/>
    </row>
    <row r="1309" spans="2:10" ht="12.75" x14ac:dyDescent="0.2">
      <c r="B1309" s="331"/>
      <c r="C1309" s="327"/>
      <c r="D1309" s="331"/>
      <c r="F1309" s="329"/>
      <c r="I1309" s="330"/>
      <c r="J1309" s="330"/>
    </row>
    <row r="1310" spans="2:10" ht="12.75" x14ac:dyDescent="0.2">
      <c r="B1310" s="331"/>
      <c r="C1310" s="327"/>
      <c r="D1310" s="331"/>
      <c r="F1310" s="329"/>
      <c r="I1310" s="330"/>
      <c r="J1310" s="330"/>
    </row>
    <row r="1311" spans="2:10" ht="12.75" x14ac:dyDescent="0.2">
      <c r="B1311" s="331"/>
      <c r="C1311" s="327"/>
      <c r="D1311" s="331"/>
      <c r="F1311" s="329"/>
      <c r="I1311" s="330"/>
      <c r="J1311" s="330"/>
    </row>
    <row r="1312" spans="2:10" ht="12.75" x14ac:dyDescent="0.2">
      <c r="B1312" s="331"/>
      <c r="C1312" s="327"/>
      <c r="D1312" s="331"/>
      <c r="F1312" s="329"/>
      <c r="I1312" s="330"/>
      <c r="J1312" s="330"/>
    </row>
    <row r="1313" spans="2:10" ht="12.75" x14ac:dyDescent="0.2">
      <c r="B1313" s="331"/>
      <c r="C1313" s="327"/>
      <c r="D1313" s="331"/>
      <c r="F1313" s="329"/>
      <c r="I1313" s="330"/>
      <c r="J1313" s="330"/>
    </row>
    <row r="1314" spans="2:10" ht="12.75" x14ac:dyDescent="0.2">
      <c r="B1314" s="331"/>
      <c r="C1314" s="327"/>
      <c r="D1314" s="331"/>
      <c r="F1314" s="329"/>
      <c r="I1314" s="330"/>
      <c r="J1314" s="330"/>
    </row>
    <row r="1315" spans="2:10" ht="12.75" x14ac:dyDescent="0.2">
      <c r="B1315" s="331"/>
      <c r="C1315" s="327"/>
      <c r="D1315" s="331"/>
      <c r="F1315" s="329"/>
      <c r="I1315" s="330"/>
      <c r="J1315" s="330"/>
    </row>
    <row r="1316" spans="2:10" ht="12.75" x14ac:dyDescent="0.2">
      <c r="B1316" s="331"/>
      <c r="C1316" s="327"/>
      <c r="D1316" s="331"/>
      <c r="F1316" s="329"/>
      <c r="I1316" s="330"/>
      <c r="J1316" s="330"/>
    </row>
    <row r="1317" spans="2:10" ht="12.75" x14ac:dyDescent="0.2">
      <c r="B1317" s="331"/>
      <c r="C1317" s="327"/>
      <c r="D1317" s="331"/>
      <c r="F1317" s="329"/>
      <c r="I1317" s="330"/>
      <c r="J1317" s="330"/>
    </row>
    <row r="1318" spans="2:10" ht="12.75" x14ac:dyDescent="0.2">
      <c r="B1318" s="331"/>
      <c r="C1318" s="327"/>
      <c r="D1318" s="331"/>
      <c r="F1318" s="329"/>
      <c r="I1318" s="330"/>
      <c r="J1318" s="330"/>
    </row>
    <row r="1319" spans="2:10" ht="12.75" x14ac:dyDescent="0.2">
      <c r="B1319" s="331"/>
      <c r="C1319" s="327"/>
      <c r="D1319" s="331"/>
      <c r="F1319" s="329"/>
      <c r="I1319" s="330"/>
      <c r="J1319" s="330"/>
    </row>
    <row r="1320" spans="2:10" ht="12.75" x14ac:dyDescent="0.2">
      <c r="B1320" s="331"/>
      <c r="C1320" s="327"/>
      <c r="D1320" s="331"/>
      <c r="F1320" s="329"/>
      <c r="I1320" s="330"/>
      <c r="J1320" s="330"/>
    </row>
    <row r="1321" spans="2:10" ht="12.75" x14ac:dyDescent="0.2">
      <c r="B1321" s="331"/>
      <c r="C1321" s="327"/>
      <c r="D1321" s="331"/>
      <c r="F1321" s="329"/>
      <c r="I1321" s="330"/>
      <c r="J1321" s="330"/>
    </row>
    <row r="1322" spans="2:10" ht="12.75" x14ac:dyDescent="0.2">
      <c r="B1322" s="331"/>
      <c r="C1322" s="327"/>
      <c r="D1322" s="331"/>
      <c r="F1322" s="329"/>
      <c r="I1322" s="330"/>
      <c r="J1322" s="330"/>
    </row>
    <row r="1323" spans="2:10" ht="12.75" x14ac:dyDescent="0.2">
      <c r="B1323" s="331"/>
      <c r="C1323" s="327"/>
      <c r="D1323" s="331"/>
      <c r="F1323" s="329"/>
      <c r="I1323" s="330"/>
      <c r="J1323" s="330"/>
    </row>
    <row r="1324" spans="2:10" ht="12.75" x14ac:dyDescent="0.2">
      <c r="B1324" s="331"/>
      <c r="C1324" s="327"/>
      <c r="D1324" s="331"/>
      <c r="F1324" s="329"/>
      <c r="I1324" s="330"/>
      <c r="J1324" s="330"/>
    </row>
    <row r="1325" spans="2:10" ht="12.75" x14ac:dyDescent="0.2">
      <c r="B1325" s="331"/>
      <c r="C1325" s="327"/>
      <c r="D1325" s="331"/>
      <c r="F1325" s="329"/>
      <c r="I1325" s="330"/>
      <c r="J1325" s="330"/>
    </row>
    <row r="1326" spans="2:10" ht="12.75" x14ac:dyDescent="0.2">
      <c r="B1326" s="331"/>
      <c r="C1326" s="327"/>
      <c r="D1326" s="331"/>
      <c r="F1326" s="329"/>
      <c r="I1326" s="330"/>
      <c r="J1326" s="330"/>
    </row>
    <row r="1327" spans="2:10" ht="12.75" x14ac:dyDescent="0.2">
      <c r="B1327" s="331"/>
      <c r="C1327" s="327"/>
      <c r="D1327" s="331"/>
      <c r="F1327" s="329"/>
      <c r="I1327" s="330"/>
      <c r="J1327" s="330"/>
    </row>
    <row r="1328" spans="2:10" ht="12.75" x14ac:dyDescent="0.2">
      <c r="B1328" s="331"/>
      <c r="C1328" s="327"/>
      <c r="D1328" s="331"/>
      <c r="F1328" s="329"/>
      <c r="I1328" s="330"/>
      <c r="J1328" s="330"/>
    </row>
    <row r="1329" spans="2:10" ht="12.75" x14ac:dyDescent="0.2">
      <c r="B1329" s="331"/>
      <c r="C1329" s="327"/>
      <c r="D1329" s="331"/>
      <c r="F1329" s="329"/>
      <c r="I1329" s="330"/>
      <c r="J1329" s="330"/>
    </row>
    <row r="1330" spans="2:10" ht="12.75" x14ac:dyDescent="0.2">
      <c r="B1330" s="331"/>
      <c r="C1330" s="327"/>
      <c r="D1330" s="331"/>
      <c r="F1330" s="329"/>
      <c r="I1330" s="330"/>
      <c r="J1330" s="330"/>
    </row>
    <row r="1331" spans="2:10" ht="12.75" x14ac:dyDescent="0.2">
      <c r="B1331" s="331"/>
      <c r="C1331" s="327"/>
      <c r="D1331" s="331"/>
      <c r="F1331" s="329"/>
      <c r="I1331" s="330"/>
      <c r="J1331" s="330"/>
    </row>
    <row r="1332" spans="2:10" ht="12.75" x14ac:dyDescent="0.2">
      <c r="B1332" s="331"/>
      <c r="C1332" s="327"/>
      <c r="D1332" s="331"/>
      <c r="F1332" s="329"/>
      <c r="I1332" s="330"/>
      <c r="J1332" s="330"/>
    </row>
    <row r="1333" spans="2:10" ht="12.75" x14ac:dyDescent="0.2">
      <c r="B1333" s="331"/>
      <c r="C1333" s="327"/>
      <c r="D1333" s="331"/>
      <c r="F1333" s="329"/>
      <c r="I1333" s="330"/>
      <c r="J1333" s="330"/>
    </row>
    <row r="1334" spans="2:10" ht="12.75" x14ac:dyDescent="0.2">
      <c r="B1334" s="331"/>
      <c r="C1334" s="327"/>
      <c r="D1334" s="331"/>
      <c r="F1334" s="329"/>
      <c r="I1334" s="330"/>
      <c r="J1334" s="330"/>
    </row>
    <row r="1335" spans="2:10" ht="12.75" x14ac:dyDescent="0.2">
      <c r="B1335" s="331"/>
      <c r="C1335" s="327"/>
      <c r="D1335" s="331"/>
      <c r="F1335" s="329"/>
      <c r="I1335" s="330"/>
      <c r="J1335" s="330"/>
    </row>
    <row r="1336" spans="2:10" ht="12.75" x14ac:dyDescent="0.2">
      <c r="B1336" s="331"/>
      <c r="C1336" s="327"/>
      <c r="D1336" s="331"/>
      <c r="F1336" s="329"/>
      <c r="I1336" s="330"/>
      <c r="J1336" s="330"/>
    </row>
    <row r="1337" spans="2:10" ht="12.75" x14ac:dyDescent="0.2">
      <c r="B1337" s="331"/>
      <c r="C1337" s="327"/>
      <c r="D1337" s="331"/>
      <c r="F1337" s="329"/>
      <c r="I1337" s="330"/>
      <c r="J1337" s="330"/>
    </row>
    <row r="1338" spans="2:10" ht="12.75" x14ac:dyDescent="0.2">
      <c r="B1338" s="331"/>
      <c r="C1338" s="327"/>
      <c r="D1338" s="331"/>
      <c r="F1338" s="329"/>
      <c r="I1338" s="330"/>
      <c r="J1338" s="330"/>
    </row>
    <row r="1339" spans="2:10" ht="12.75" x14ac:dyDescent="0.2">
      <c r="B1339" s="331"/>
      <c r="C1339" s="327"/>
      <c r="D1339" s="331"/>
      <c r="F1339" s="329"/>
      <c r="I1339" s="330"/>
      <c r="J1339" s="330"/>
    </row>
    <row r="1340" spans="2:10" ht="12.75" x14ac:dyDescent="0.2">
      <c r="B1340" s="331"/>
      <c r="C1340" s="327"/>
      <c r="D1340" s="331"/>
      <c r="F1340" s="329"/>
      <c r="I1340" s="330"/>
      <c r="J1340" s="330"/>
    </row>
    <row r="1341" spans="2:10" ht="12.75" x14ac:dyDescent="0.2">
      <c r="B1341" s="331"/>
      <c r="C1341" s="327"/>
      <c r="D1341" s="331"/>
      <c r="F1341" s="329"/>
      <c r="I1341" s="330"/>
      <c r="J1341" s="330"/>
    </row>
    <row r="1342" spans="2:10" ht="12.75" x14ac:dyDescent="0.2">
      <c r="B1342" s="331"/>
      <c r="C1342" s="327"/>
      <c r="D1342" s="331"/>
      <c r="F1342" s="329"/>
      <c r="I1342" s="330"/>
      <c r="J1342" s="330"/>
    </row>
    <row r="1343" spans="2:10" ht="12.75" x14ac:dyDescent="0.2">
      <c r="B1343" s="331"/>
      <c r="C1343" s="327"/>
      <c r="D1343" s="331"/>
      <c r="F1343" s="329"/>
      <c r="I1343" s="330"/>
      <c r="J1343" s="330"/>
    </row>
    <row r="1344" spans="2:10" ht="12.75" x14ac:dyDescent="0.2">
      <c r="B1344" s="331"/>
      <c r="C1344" s="327"/>
      <c r="D1344" s="331"/>
      <c r="F1344" s="329"/>
      <c r="I1344" s="330"/>
      <c r="J1344" s="330"/>
    </row>
    <row r="1345" spans="2:10" ht="12.75" x14ac:dyDescent="0.2">
      <c r="B1345" s="331"/>
      <c r="C1345" s="327"/>
      <c r="D1345" s="331"/>
      <c r="F1345" s="329"/>
      <c r="I1345" s="330"/>
      <c r="J1345" s="330"/>
    </row>
    <row r="1346" spans="2:10" ht="12.75" x14ac:dyDescent="0.2">
      <c r="B1346" s="331"/>
      <c r="C1346" s="327"/>
      <c r="D1346" s="331"/>
      <c r="F1346" s="329"/>
      <c r="I1346" s="330"/>
      <c r="J1346" s="330"/>
    </row>
    <row r="1347" spans="2:10" ht="12.75" x14ac:dyDescent="0.2">
      <c r="B1347" s="331"/>
      <c r="C1347" s="327"/>
      <c r="D1347" s="331"/>
      <c r="F1347" s="329"/>
      <c r="I1347" s="330"/>
      <c r="J1347" s="330"/>
    </row>
    <row r="1348" spans="2:10" ht="12.75" x14ac:dyDescent="0.2">
      <c r="B1348" s="331"/>
      <c r="C1348" s="327"/>
      <c r="D1348" s="331"/>
      <c r="F1348" s="329"/>
      <c r="I1348" s="330"/>
      <c r="J1348" s="330"/>
    </row>
    <row r="1349" spans="2:10" ht="12.75" x14ac:dyDescent="0.2">
      <c r="B1349" s="331"/>
      <c r="C1349" s="327"/>
      <c r="D1349" s="331"/>
      <c r="F1349" s="329"/>
      <c r="I1349" s="330"/>
      <c r="J1349" s="330"/>
    </row>
    <row r="1350" spans="2:10" ht="12.75" x14ac:dyDescent="0.2">
      <c r="B1350" s="331"/>
      <c r="C1350" s="327"/>
      <c r="D1350" s="331"/>
      <c r="F1350" s="329"/>
      <c r="I1350" s="330"/>
      <c r="J1350" s="330"/>
    </row>
    <row r="1351" spans="2:10" ht="12.75" x14ac:dyDescent="0.2">
      <c r="B1351" s="331"/>
      <c r="C1351" s="327"/>
      <c r="D1351" s="331"/>
      <c r="F1351" s="329"/>
      <c r="I1351" s="330"/>
      <c r="J1351" s="330"/>
    </row>
    <row r="1352" spans="2:10" ht="12.75" x14ac:dyDescent="0.2">
      <c r="B1352" s="331"/>
      <c r="C1352" s="327"/>
      <c r="D1352" s="331"/>
      <c r="F1352" s="329"/>
      <c r="I1352" s="330"/>
      <c r="J1352" s="330"/>
    </row>
    <row r="1353" spans="2:10" ht="12.75" x14ac:dyDescent="0.2">
      <c r="B1353" s="331"/>
      <c r="C1353" s="327"/>
      <c r="D1353" s="331"/>
      <c r="F1353" s="329"/>
      <c r="I1353" s="330"/>
      <c r="J1353" s="330"/>
    </row>
    <row r="1354" spans="2:10" ht="12.75" x14ac:dyDescent="0.2">
      <c r="B1354" s="331"/>
      <c r="C1354" s="327"/>
      <c r="D1354" s="331"/>
      <c r="F1354" s="329"/>
      <c r="I1354" s="330"/>
      <c r="J1354" s="330"/>
    </row>
    <row r="1355" spans="2:10" ht="12.75" x14ac:dyDescent="0.2">
      <c r="B1355" s="331"/>
      <c r="C1355" s="327"/>
      <c r="D1355" s="331"/>
      <c r="F1355" s="329"/>
      <c r="I1355" s="330"/>
      <c r="J1355" s="330"/>
    </row>
    <row r="1356" spans="2:10" ht="12.75" x14ac:dyDescent="0.2">
      <c r="B1356" s="331"/>
      <c r="C1356" s="327"/>
      <c r="D1356" s="331"/>
      <c r="F1356" s="329"/>
      <c r="I1356" s="330"/>
      <c r="J1356" s="330"/>
    </row>
    <row r="1357" spans="2:10" ht="12.75" x14ac:dyDescent="0.2">
      <c r="B1357" s="331"/>
      <c r="C1357" s="327"/>
      <c r="D1357" s="331"/>
      <c r="F1357" s="329"/>
      <c r="I1357" s="330"/>
      <c r="J1357" s="330"/>
    </row>
    <row r="1358" spans="2:10" ht="12.75" x14ac:dyDescent="0.2">
      <c r="B1358" s="331"/>
      <c r="C1358" s="327"/>
      <c r="D1358" s="331"/>
      <c r="F1358" s="329"/>
      <c r="I1358" s="330"/>
      <c r="J1358" s="330"/>
    </row>
    <row r="1359" spans="2:10" ht="12.75" x14ac:dyDescent="0.2">
      <c r="B1359" s="331"/>
      <c r="C1359" s="327"/>
      <c r="D1359" s="331"/>
      <c r="F1359" s="329"/>
      <c r="I1359" s="330"/>
      <c r="J1359" s="330"/>
    </row>
    <row r="1360" spans="2:10" ht="12.75" x14ac:dyDescent="0.2">
      <c r="B1360" s="331"/>
      <c r="C1360" s="327"/>
      <c r="D1360" s="331"/>
      <c r="F1360" s="329"/>
      <c r="I1360" s="330"/>
      <c r="J1360" s="330"/>
    </row>
    <row r="1361" spans="2:10" ht="12.75" x14ac:dyDescent="0.2">
      <c r="B1361" s="331"/>
      <c r="C1361" s="327"/>
      <c r="D1361" s="331"/>
      <c r="F1361" s="329"/>
      <c r="I1361" s="330"/>
      <c r="J1361" s="330"/>
    </row>
    <row r="1362" spans="2:10" ht="12.75" x14ac:dyDescent="0.2">
      <c r="B1362" s="331"/>
      <c r="C1362" s="327"/>
      <c r="D1362" s="331"/>
      <c r="F1362" s="329"/>
      <c r="I1362" s="330"/>
      <c r="J1362" s="330"/>
    </row>
    <row r="1363" spans="2:10" ht="12.75" x14ac:dyDescent="0.2">
      <c r="B1363" s="331"/>
      <c r="C1363" s="327"/>
      <c r="D1363" s="331"/>
      <c r="F1363" s="329"/>
      <c r="I1363" s="330"/>
      <c r="J1363" s="330"/>
    </row>
    <row r="1364" spans="2:10" ht="12.75" x14ac:dyDescent="0.2">
      <c r="B1364" s="331"/>
      <c r="C1364" s="327"/>
      <c r="D1364" s="331"/>
      <c r="F1364" s="329"/>
      <c r="I1364" s="330"/>
      <c r="J1364" s="330"/>
    </row>
    <row r="1365" spans="2:10" ht="12.75" x14ac:dyDescent="0.2">
      <c r="B1365" s="331"/>
      <c r="C1365" s="327"/>
      <c r="D1365" s="331"/>
      <c r="F1365" s="329"/>
      <c r="I1365" s="330"/>
      <c r="J1365" s="330"/>
    </row>
    <row r="1366" spans="2:10" ht="12.75" x14ac:dyDescent="0.2">
      <c r="B1366" s="331"/>
      <c r="C1366" s="327"/>
      <c r="D1366" s="331"/>
      <c r="F1366" s="329"/>
      <c r="I1366" s="330"/>
      <c r="J1366" s="330"/>
    </row>
    <row r="1367" spans="2:10" ht="12.75" x14ac:dyDescent="0.2">
      <c r="B1367" s="331"/>
      <c r="C1367" s="327"/>
      <c r="D1367" s="331"/>
      <c r="F1367" s="329"/>
      <c r="I1367" s="330"/>
      <c r="J1367" s="330"/>
    </row>
    <row r="1368" spans="2:10" ht="12.75" x14ac:dyDescent="0.2">
      <c r="B1368" s="331"/>
      <c r="C1368" s="327"/>
      <c r="D1368" s="331"/>
      <c r="F1368" s="329"/>
      <c r="I1368" s="330"/>
      <c r="J1368" s="330"/>
    </row>
    <row r="1369" spans="2:10" ht="12.75" x14ac:dyDescent="0.2">
      <c r="B1369" s="331"/>
      <c r="C1369" s="327"/>
      <c r="D1369" s="331"/>
      <c r="F1369" s="329"/>
      <c r="I1369" s="330"/>
      <c r="J1369" s="330"/>
    </row>
    <row r="1370" spans="2:10" ht="12.75" x14ac:dyDescent="0.2">
      <c r="B1370" s="331"/>
      <c r="C1370" s="327"/>
      <c r="D1370" s="331"/>
      <c r="F1370" s="329"/>
      <c r="I1370" s="330"/>
      <c r="J1370" s="330"/>
    </row>
    <row r="1371" spans="2:10" ht="12.75" x14ac:dyDescent="0.2">
      <c r="B1371" s="331"/>
      <c r="C1371" s="327"/>
      <c r="D1371" s="331"/>
      <c r="F1371" s="329"/>
      <c r="I1371" s="330"/>
      <c r="J1371" s="330"/>
    </row>
    <row r="1372" spans="2:10" ht="12.75" x14ac:dyDescent="0.2">
      <c r="B1372" s="331"/>
      <c r="C1372" s="327"/>
      <c r="D1372" s="331"/>
      <c r="F1372" s="329"/>
      <c r="I1372" s="330"/>
      <c r="J1372" s="330"/>
    </row>
    <row r="1373" spans="2:10" ht="12.75" x14ac:dyDescent="0.2">
      <c r="B1373" s="331"/>
      <c r="C1373" s="327"/>
      <c r="D1373" s="331"/>
      <c r="F1373" s="329"/>
      <c r="I1373" s="330"/>
      <c r="J1373" s="330"/>
    </row>
    <row r="1374" spans="2:10" ht="12.75" x14ac:dyDescent="0.2">
      <c r="B1374" s="331"/>
      <c r="C1374" s="327"/>
      <c r="D1374" s="331"/>
      <c r="F1374" s="329"/>
      <c r="I1374" s="330"/>
      <c r="J1374" s="330"/>
    </row>
    <row r="1375" spans="2:10" ht="12.75" x14ac:dyDescent="0.2">
      <c r="B1375" s="331"/>
      <c r="C1375" s="327"/>
      <c r="D1375" s="331"/>
      <c r="F1375" s="329"/>
      <c r="I1375" s="330"/>
      <c r="J1375" s="330"/>
    </row>
    <row r="1376" spans="2:10" ht="12.75" x14ac:dyDescent="0.2">
      <c r="B1376" s="331"/>
      <c r="C1376" s="327"/>
      <c r="D1376" s="331"/>
      <c r="F1376" s="329"/>
      <c r="I1376" s="330"/>
      <c r="J1376" s="330"/>
    </row>
    <row r="1377" spans="2:10" ht="12.75" x14ac:dyDescent="0.2">
      <c r="B1377" s="331"/>
      <c r="C1377" s="327"/>
      <c r="D1377" s="331"/>
      <c r="F1377" s="329"/>
      <c r="I1377" s="330"/>
      <c r="J1377" s="330"/>
    </row>
    <row r="1378" spans="2:10" ht="12.75" x14ac:dyDescent="0.2">
      <c r="B1378" s="331"/>
      <c r="C1378" s="327"/>
      <c r="D1378" s="331"/>
      <c r="F1378" s="329"/>
      <c r="I1378" s="330"/>
      <c r="J1378" s="330"/>
    </row>
    <row r="1379" spans="2:10" ht="12.75" x14ac:dyDescent="0.2">
      <c r="B1379" s="331"/>
      <c r="C1379" s="327"/>
      <c r="D1379" s="331"/>
      <c r="F1379" s="329"/>
      <c r="I1379" s="330"/>
      <c r="J1379" s="330"/>
    </row>
    <row r="1380" spans="2:10" ht="12.75" x14ac:dyDescent="0.2">
      <c r="B1380" s="331"/>
      <c r="C1380" s="327"/>
      <c r="D1380" s="331"/>
      <c r="F1380" s="329"/>
      <c r="I1380" s="330"/>
      <c r="J1380" s="330"/>
    </row>
    <row r="1381" spans="2:10" ht="12.75" x14ac:dyDescent="0.2">
      <c r="B1381" s="331"/>
      <c r="C1381" s="327"/>
      <c r="D1381" s="331"/>
      <c r="F1381" s="329"/>
      <c r="I1381" s="330"/>
      <c r="J1381" s="330"/>
    </row>
    <row r="1382" spans="2:10" ht="12.75" x14ac:dyDescent="0.2">
      <c r="B1382" s="331"/>
      <c r="C1382" s="327"/>
      <c r="D1382" s="331"/>
      <c r="F1382" s="329"/>
      <c r="I1382" s="330"/>
      <c r="J1382" s="330"/>
    </row>
    <row r="1383" spans="2:10" ht="12.75" x14ac:dyDescent="0.2">
      <c r="B1383" s="331"/>
      <c r="C1383" s="327"/>
      <c r="D1383" s="331"/>
      <c r="F1383" s="329"/>
      <c r="I1383" s="330"/>
      <c r="J1383" s="330"/>
    </row>
    <row r="1384" spans="2:10" ht="12.75" x14ac:dyDescent="0.2">
      <c r="B1384" s="331"/>
      <c r="C1384" s="327"/>
      <c r="D1384" s="331"/>
      <c r="F1384" s="329"/>
      <c r="I1384" s="330"/>
      <c r="J1384" s="330"/>
    </row>
    <row r="1385" spans="2:10" ht="12.75" x14ac:dyDescent="0.2">
      <c r="B1385" s="331"/>
      <c r="C1385" s="327"/>
      <c r="D1385" s="331"/>
      <c r="F1385" s="329"/>
      <c r="I1385" s="330"/>
      <c r="J1385" s="330"/>
    </row>
    <row r="1386" spans="2:10" ht="12.75" x14ac:dyDescent="0.2">
      <c r="B1386" s="331"/>
      <c r="C1386" s="327"/>
      <c r="D1386" s="331"/>
      <c r="F1386" s="329"/>
      <c r="I1386" s="330"/>
      <c r="J1386" s="330"/>
    </row>
    <row r="1387" spans="2:10" ht="12.75" x14ac:dyDescent="0.2">
      <c r="B1387" s="331"/>
      <c r="C1387" s="327"/>
      <c r="D1387" s="331"/>
      <c r="F1387" s="329"/>
      <c r="I1387" s="330"/>
      <c r="J1387" s="330"/>
    </row>
    <row r="1388" spans="2:10" ht="12.75" x14ac:dyDescent="0.2">
      <c r="B1388" s="331"/>
      <c r="C1388" s="327"/>
      <c r="D1388" s="331"/>
      <c r="F1388" s="329"/>
      <c r="I1388" s="330"/>
      <c r="J1388" s="330"/>
    </row>
    <row r="1389" spans="2:10" ht="12.75" x14ac:dyDescent="0.2">
      <c r="B1389" s="331"/>
      <c r="C1389" s="327"/>
      <c r="D1389" s="331"/>
      <c r="F1389" s="329"/>
      <c r="I1389" s="330"/>
      <c r="J1389" s="330"/>
    </row>
    <row r="1390" spans="2:10" ht="12.75" x14ac:dyDescent="0.2">
      <c r="B1390" s="331"/>
      <c r="C1390" s="327"/>
      <c r="D1390" s="331"/>
      <c r="F1390" s="329"/>
      <c r="I1390" s="330"/>
      <c r="J1390" s="330"/>
    </row>
    <row r="1391" spans="2:10" ht="12.75" x14ac:dyDescent="0.2">
      <c r="B1391" s="331"/>
      <c r="C1391" s="327"/>
      <c r="D1391" s="331"/>
      <c r="F1391" s="329"/>
      <c r="I1391" s="330"/>
      <c r="J1391" s="330"/>
    </row>
    <row r="1392" spans="2:10" ht="12.75" x14ac:dyDescent="0.2">
      <c r="B1392" s="331"/>
      <c r="C1392" s="327"/>
      <c r="D1392" s="331"/>
      <c r="F1392" s="329"/>
      <c r="I1392" s="330"/>
      <c r="J1392" s="330"/>
    </row>
    <row r="1393" spans="2:10" ht="12.75" x14ac:dyDescent="0.2">
      <c r="B1393" s="331"/>
      <c r="C1393" s="327"/>
      <c r="D1393" s="331"/>
      <c r="F1393" s="329"/>
      <c r="I1393" s="330"/>
      <c r="J1393" s="330"/>
    </row>
    <row r="1394" spans="2:10" ht="12.75" x14ac:dyDescent="0.2">
      <c r="B1394" s="331"/>
      <c r="C1394" s="327"/>
      <c r="D1394" s="331"/>
      <c r="F1394" s="329"/>
      <c r="I1394" s="330"/>
      <c r="J1394" s="330"/>
    </row>
    <row r="1395" spans="2:10" ht="12.75" x14ac:dyDescent="0.2">
      <c r="B1395" s="331"/>
      <c r="C1395" s="327"/>
      <c r="D1395" s="331"/>
      <c r="F1395" s="329"/>
      <c r="I1395" s="330"/>
      <c r="J1395" s="330"/>
    </row>
    <row r="1396" spans="2:10" ht="12.75" x14ac:dyDescent="0.2">
      <c r="B1396" s="331"/>
      <c r="C1396" s="327"/>
      <c r="D1396" s="331"/>
      <c r="F1396" s="329"/>
      <c r="I1396" s="330"/>
      <c r="J1396" s="330"/>
    </row>
    <row r="1397" spans="2:10" ht="12.75" x14ac:dyDescent="0.2">
      <c r="B1397" s="331"/>
      <c r="C1397" s="327"/>
      <c r="D1397" s="331"/>
      <c r="F1397" s="329"/>
      <c r="I1397" s="330"/>
      <c r="J1397" s="330"/>
    </row>
    <row r="1398" spans="2:10" ht="12.75" x14ac:dyDescent="0.2">
      <c r="B1398" s="331"/>
      <c r="C1398" s="327"/>
      <c r="D1398" s="331"/>
      <c r="F1398" s="329"/>
      <c r="I1398" s="330"/>
      <c r="J1398" s="330"/>
    </row>
    <row r="1399" spans="2:10" ht="12.75" x14ac:dyDescent="0.2">
      <c r="B1399" s="331"/>
      <c r="C1399" s="327"/>
      <c r="D1399" s="331"/>
      <c r="F1399" s="329"/>
      <c r="I1399" s="330"/>
      <c r="J1399" s="330"/>
    </row>
    <row r="1400" spans="2:10" ht="12.75" x14ac:dyDescent="0.2">
      <c r="B1400" s="331"/>
      <c r="C1400" s="327"/>
      <c r="D1400" s="331"/>
      <c r="F1400" s="329"/>
      <c r="I1400" s="330"/>
      <c r="J1400" s="330"/>
    </row>
    <row r="1401" spans="2:10" ht="12.75" x14ac:dyDescent="0.2">
      <c r="B1401" s="331"/>
      <c r="C1401" s="327"/>
      <c r="D1401" s="331"/>
      <c r="F1401" s="329"/>
      <c r="I1401" s="330"/>
      <c r="J1401" s="330"/>
    </row>
    <row r="1402" spans="2:10" ht="12.75" x14ac:dyDescent="0.2">
      <c r="B1402" s="331"/>
      <c r="C1402" s="327"/>
      <c r="D1402" s="331"/>
      <c r="F1402" s="329"/>
      <c r="I1402" s="330"/>
      <c r="J1402" s="330"/>
    </row>
    <row r="1403" spans="2:10" ht="12.75" x14ac:dyDescent="0.2">
      <c r="B1403" s="331"/>
      <c r="C1403" s="327"/>
      <c r="D1403" s="331"/>
      <c r="F1403" s="329"/>
      <c r="I1403" s="330"/>
      <c r="J1403" s="330"/>
    </row>
    <row r="1404" spans="2:10" ht="12.75" x14ac:dyDescent="0.2">
      <c r="B1404" s="331"/>
      <c r="C1404" s="327"/>
      <c r="D1404" s="331"/>
      <c r="F1404" s="329"/>
      <c r="I1404" s="330"/>
      <c r="J1404" s="330"/>
    </row>
    <row r="1405" spans="2:10" ht="12.75" x14ac:dyDescent="0.2">
      <c r="B1405" s="331"/>
      <c r="C1405" s="327"/>
      <c r="D1405" s="331"/>
      <c r="F1405" s="329"/>
      <c r="I1405" s="330"/>
      <c r="J1405" s="330"/>
    </row>
    <row r="1406" spans="2:10" ht="12.75" x14ac:dyDescent="0.2">
      <c r="B1406" s="331"/>
      <c r="C1406" s="327"/>
      <c r="D1406" s="331"/>
      <c r="F1406" s="329"/>
      <c r="I1406" s="330"/>
      <c r="J1406" s="330"/>
    </row>
    <row r="1407" spans="2:10" ht="12.75" x14ac:dyDescent="0.2">
      <c r="B1407" s="331"/>
      <c r="C1407" s="327"/>
      <c r="D1407" s="331"/>
      <c r="F1407" s="329"/>
      <c r="I1407" s="330"/>
      <c r="J1407" s="330"/>
    </row>
    <row r="1408" spans="2:10" ht="12.75" x14ac:dyDescent="0.2">
      <c r="B1408" s="331"/>
      <c r="C1408" s="327"/>
      <c r="D1408" s="331"/>
      <c r="F1408" s="329"/>
      <c r="I1408" s="330"/>
      <c r="J1408" s="330"/>
    </row>
    <row r="1409" spans="2:10" ht="12.75" x14ac:dyDescent="0.2">
      <c r="B1409" s="331"/>
      <c r="C1409" s="327"/>
      <c r="D1409" s="331"/>
      <c r="F1409" s="329"/>
      <c r="I1409" s="330"/>
      <c r="J1409" s="330"/>
    </row>
    <row r="1410" spans="2:10" ht="12.75" x14ac:dyDescent="0.2">
      <c r="B1410" s="331"/>
      <c r="C1410" s="327"/>
      <c r="D1410" s="331"/>
      <c r="F1410" s="329"/>
      <c r="I1410" s="330"/>
      <c r="J1410" s="330"/>
    </row>
    <row r="1411" spans="2:10" ht="12.75" x14ac:dyDescent="0.2">
      <c r="B1411" s="331"/>
      <c r="C1411" s="327"/>
      <c r="D1411" s="331"/>
      <c r="F1411" s="329"/>
      <c r="I1411" s="330"/>
      <c r="J1411" s="330"/>
    </row>
    <row r="1412" spans="2:10" ht="12.75" x14ac:dyDescent="0.2">
      <c r="B1412" s="331"/>
      <c r="C1412" s="327"/>
      <c r="D1412" s="331"/>
      <c r="F1412" s="329"/>
      <c r="I1412" s="330"/>
      <c r="J1412" s="330"/>
    </row>
    <row r="1413" spans="2:10" ht="12.75" x14ac:dyDescent="0.2">
      <c r="B1413" s="331"/>
      <c r="C1413" s="327"/>
      <c r="D1413" s="331"/>
      <c r="F1413" s="329"/>
      <c r="I1413" s="330"/>
      <c r="J1413" s="330"/>
    </row>
    <row r="1414" spans="2:10" ht="12.75" x14ac:dyDescent="0.2">
      <c r="B1414" s="331"/>
      <c r="C1414" s="327"/>
      <c r="D1414" s="331"/>
      <c r="F1414" s="329"/>
      <c r="I1414" s="330"/>
      <c r="J1414" s="330"/>
    </row>
    <row r="1415" spans="2:10" ht="12.75" x14ac:dyDescent="0.2">
      <c r="B1415" s="331"/>
      <c r="C1415" s="327"/>
      <c r="D1415" s="331"/>
      <c r="F1415" s="329"/>
      <c r="I1415" s="330"/>
      <c r="J1415" s="330"/>
    </row>
    <row r="1416" spans="2:10" ht="12.75" x14ac:dyDescent="0.2">
      <c r="B1416" s="331"/>
      <c r="C1416" s="327"/>
      <c r="D1416" s="331"/>
      <c r="F1416" s="329"/>
      <c r="I1416" s="330"/>
      <c r="J1416" s="330"/>
    </row>
    <row r="1417" spans="2:10" ht="12.75" x14ac:dyDescent="0.2">
      <c r="B1417" s="331"/>
      <c r="C1417" s="327"/>
      <c r="D1417" s="331"/>
      <c r="F1417" s="329"/>
      <c r="I1417" s="330"/>
      <c r="J1417" s="330"/>
    </row>
    <row r="1418" spans="2:10" ht="12.75" x14ac:dyDescent="0.2">
      <c r="B1418" s="331"/>
      <c r="C1418" s="327"/>
      <c r="D1418" s="331"/>
      <c r="F1418" s="329"/>
      <c r="I1418" s="330"/>
      <c r="J1418" s="330"/>
    </row>
    <row r="1419" spans="2:10" ht="12.75" x14ac:dyDescent="0.2">
      <c r="B1419" s="331"/>
      <c r="C1419" s="327"/>
      <c r="D1419" s="331"/>
      <c r="F1419" s="329"/>
      <c r="I1419" s="330"/>
      <c r="J1419" s="330"/>
    </row>
    <row r="1420" spans="2:10" ht="12.75" x14ac:dyDescent="0.2">
      <c r="B1420" s="331"/>
      <c r="C1420" s="327"/>
      <c r="D1420" s="331"/>
      <c r="F1420" s="329"/>
      <c r="I1420" s="330"/>
      <c r="J1420" s="330"/>
    </row>
    <row r="1421" spans="2:10" ht="12.75" x14ac:dyDescent="0.2">
      <c r="B1421" s="331"/>
      <c r="C1421" s="327"/>
      <c r="D1421" s="331"/>
      <c r="F1421" s="329"/>
      <c r="I1421" s="330"/>
      <c r="J1421" s="330"/>
    </row>
    <row r="1422" spans="2:10" ht="12.75" x14ac:dyDescent="0.2">
      <c r="B1422" s="331"/>
      <c r="C1422" s="327"/>
      <c r="D1422" s="331"/>
      <c r="F1422" s="329"/>
      <c r="I1422" s="330"/>
      <c r="J1422" s="330"/>
    </row>
    <row r="1423" spans="2:10" ht="12.75" x14ac:dyDescent="0.2">
      <c r="B1423" s="331"/>
      <c r="C1423" s="327"/>
      <c r="D1423" s="331"/>
      <c r="F1423" s="329"/>
      <c r="I1423" s="330"/>
      <c r="J1423" s="330"/>
    </row>
    <row r="1424" spans="2:10" ht="12.75" x14ac:dyDescent="0.2">
      <c r="B1424" s="331"/>
      <c r="C1424" s="327"/>
      <c r="D1424" s="331"/>
      <c r="F1424" s="329"/>
      <c r="I1424" s="330"/>
      <c r="J1424" s="330"/>
    </row>
    <row r="1425" spans="2:10" ht="12.75" x14ac:dyDescent="0.2">
      <c r="B1425" s="331"/>
      <c r="C1425" s="327"/>
      <c r="D1425" s="331"/>
      <c r="F1425" s="329"/>
      <c r="I1425" s="330"/>
      <c r="J1425" s="330"/>
    </row>
    <row r="1426" spans="2:10" ht="12.75" x14ac:dyDescent="0.2">
      <c r="B1426" s="331"/>
      <c r="C1426" s="327"/>
      <c r="D1426" s="331"/>
      <c r="F1426" s="329"/>
      <c r="I1426" s="330"/>
      <c r="J1426" s="330"/>
    </row>
    <row r="1427" spans="2:10" ht="12.75" x14ac:dyDescent="0.2">
      <c r="B1427" s="331"/>
      <c r="C1427" s="327"/>
      <c r="D1427" s="331"/>
      <c r="F1427" s="329"/>
      <c r="I1427" s="330"/>
      <c r="J1427" s="330"/>
    </row>
    <row r="1428" spans="2:10" ht="12.75" x14ac:dyDescent="0.2">
      <c r="B1428" s="331"/>
      <c r="C1428" s="327"/>
      <c r="D1428" s="331"/>
      <c r="F1428" s="329"/>
      <c r="I1428" s="330"/>
      <c r="J1428" s="330"/>
    </row>
    <row r="1429" spans="2:10" ht="12.75" x14ac:dyDescent="0.2">
      <c r="B1429" s="331"/>
      <c r="C1429" s="327"/>
      <c r="D1429" s="331"/>
      <c r="F1429" s="329"/>
      <c r="I1429" s="330"/>
      <c r="J1429" s="330"/>
    </row>
    <row r="1430" spans="2:10" ht="12.75" x14ac:dyDescent="0.2">
      <c r="B1430" s="331"/>
      <c r="C1430" s="327"/>
      <c r="D1430" s="331"/>
      <c r="F1430" s="329"/>
      <c r="I1430" s="330"/>
      <c r="J1430" s="330"/>
    </row>
    <row r="1431" spans="2:10" ht="12.75" x14ac:dyDescent="0.2">
      <c r="B1431" s="331"/>
      <c r="C1431" s="327"/>
      <c r="D1431" s="331"/>
      <c r="F1431" s="329"/>
      <c r="I1431" s="330"/>
      <c r="J1431" s="330"/>
    </row>
    <row r="1432" spans="2:10" ht="12.75" x14ac:dyDescent="0.2">
      <c r="B1432" s="331"/>
      <c r="C1432" s="327"/>
      <c r="D1432" s="331"/>
      <c r="F1432" s="329"/>
      <c r="I1432" s="330"/>
      <c r="J1432" s="330"/>
    </row>
    <row r="1433" spans="2:10" ht="12.75" x14ac:dyDescent="0.2">
      <c r="B1433" s="331"/>
      <c r="C1433" s="327"/>
      <c r="D1433" s="331"/>
      <c r="F1433" s="329"/>
      <c r="I1433" s="330"/>
      <c r="J1433" s="330"/>
    </row>
    <row r="1434" spans="2:10" ht="12.75" x14ac:dyDescent="0.2">
      <c r="B1434" s="331"/>
      <c r="C1434" s="327"/>
      <c r="D1434" s="331"/>
      <c r="F1434" s="329"/>
      <c r="I1434" s="330"/>
      <c r="J1434" s="330"/>
    </row>
    <row r="1435" spans="2:10" ht="12.75" x14ac:dyDescent="0.2">
      <c r="B1435" s="331"/>
      <c r="C1435" s="327"/>
      <c r="D1435" s="331"/>
      <c r="F1435" s="329"/>
      <c r="I1435" s="330"/>
      <c r="J1435" s="330"/>
    </row>
    <row r="1436" spans="2:10" ht="12.75" x14ac:dyDescent="0.2">
      <c r="B1436" s="331"/>
      <c r="C1436" s="327"/>
      <c r="D1436" s="331"/>
      <c r="F1436" s="329"/>
      <c r="I1436" s="330"/>
      <c r="J1436" s="330"/>
    </row>
    <row r="1437" spans="2:10" ht="12.75" x14ac:dyDescent="0.2">
      <c r="B1437" s="331"/>
      <c r="C1437" s="327"/>
      <c r="D1437" s="331"/>
      <c r="F1437" s="329"/>
      <c r="I1437" s="330"/>
      <c r="J1437" s="330"/>
    </row>
    <row r="1438" spans="2:10" ht="12.75" x14ac:dyDescent="0.2">
      <c r="B1438" s="331"/>
      <c r="C1438" s="327"/>
      <c r="D1438" s="331"/>
      <c r="F1438" s="329"/>
      <c r="I1438" s="330"/>
      <c r="J1438" s="330"/>
    </row>
    <row r="1439" spans="2:10" ht="12.75" x14ac:dyDescent="0.2">
      <c r="B1439" s="331"/>
      <c r="C1439" s="327"/>
      <c r="D1439" s="331"/>
      <c r="F1439" s="329"/>
      <c r="I1439" s="330"/>
      <c r="J1439" s="330"/>
    </row>
    <row r="1440" spans="2:10" ht="12.75" x14ac:dyDescent="0.2">
      <c r="B1440" s="331"/>
      <c r="C1440" s="327"/>
      <c r="D1440" s="331"/>
      <c r="F1440" s="329"/>
      <c r="I1440" s="330"/>
      <c r="J1440" s="330"/>
    </row>
    <row r="1441" spans="2:10" ht="12.75" x14ac:dyDescent="0.2">
      <c r="B1441" s="331"/>
      <c r="C1441" s="327"/>
      <c r="D1441" s="331"/>
      <c r="F1441" s="329"/>
      <c r="I1441" s="330"/>
      <c r="J1441" s="330"/>
    </row>
    <row r="1442" spans="2:10" ht="12.75" x14ac:dyDescent="0.2">
      <c r="B1442" s="331"/>
      <c r="C1442" s="327"/>
      <c r="D1442" s="331"/>
      <c r="F1442" s="329"/>
      <c r="I1442" s="330"/>
      <c r="J1442" s="330"/>
    </row>
    <row r="1443" spans="2:10" ht="12.75" x14ac:dyDescent="0.2">
      <c r="B1443" s="331"/>
      <c r="C1443" s="327"/>
      <c r="D1443" s="331"/>
      <c r="F1443" s="329"/>
      <c r="I1443" s="330"/>
      <c r="J1443" s="330"/>
    </row>
    <row r="1444" spans="2:10" ht="12.75" x14ac:dyDescent="0.2">
      <c r="B1444" s="331"/>
      <c r="C1444" s="327"/>
      <c r="D1444" s="331"/>
      <c r="F1444" s="329"/>
      <c r="I1444" s="330"/>
      <c r="J1444" s="330"/>
    </row>
    <row r="1445" spans="2:10" ht="12.75" x14ac:dyDescent="0.2">
      <c r="B1445" s="331"/>
      <c r="C1445" s="327"/>
      <c r="D1445" s="331"/>
      <c r="F1445" s="329"/>
      <c r="I1445" s="330"/>
      <c r="J1445" s="330"/>
    </row>
    <row r="1446" spans="2:10" ht="12.75" x14ac:dyDescent="0.2">
      <c r="B1446" s="331"/>
      <c r="C1446" s="327"/>
      <c r="D1446" s="331"/>
      <c r="F1446" s="329"/>
      <c r="I1446" s="330"/>
      <c r="J1446" s="330"/>
    </row>
    <row r="1447" spans="2:10" ht="12.75" x14ac:dyDescent="0.2">
      <c r="B1447" s="331"/>
      <c r="C1447" s="327"/>
      <c r="D1447" s="331"/>
      <c r="F1447" s="329"/>
      <c r="I1447" s="330"/>
      <c r="J1447" s="330"/>
    </row>
    <row r="1448" spans="2:10" ht="12.75" x14ac:dyDescent="0.2">
      <c r="B1448" s="331"/>
      <c r="C1448" s="327"/>
      <c r="D1448" s="331"/>
      <c r="F1448" s="329"/>
      <c r="I1448" s="330"/>
      <c r="J1448" s="330"/>
    </row>
    <row r="1449" spans="2:10" ht="12.75" x14ac:dyDescent="0.2">
      <c r="B1449" s="331"/>
      <c r="C1449" s="327"/>
      <c r="D1449" s="331"/>
      <c r="F1449" s="329"/>
      <c r="I1449" s="330"/>
      <c r="J1449" s="330"/>
    </row>
    <row r="1450" spans="2:10" ht="12.75" x14ac:dyDescent="0.2">
      <c r="B1450" s="331"/>
      <c r="C1450" s="327"/>
      <c r="D1450" s="331"/>
      <c r="F1450" s="329"/>
      <c r="I1450" s="330"/>
      <c r="J1450" s="330"/>
    </row>
    <row r="1451" spans="2:10" ht="12.75" x14ac:dyDescent="0.2">
      <c r="B1451" s="331"/>
      <c r="C1451" s="327"/>
      <c r="D1451" s="331"/>
      <c r="F1451" s="329"/>
      <c r="I1451" s="330"/>
      <c r="J1451" s="330"/>
    </row>
    <row r="1452" spans="2:10" ht="12.75" x14ac:dyDescent="0.2">
      <c r="B1452" s="331"/>
      <c r="C1452" s="327"/>
      <c r="D1452" s="331"/>
      <c r="F1452" s="329"/>
      <c r="I1452" s="330"/>
      <c r="J1452" s="330"/>
    </row>
    <row r="1453" spans="2:10" ht="12.75" x14ac:dyDescent="0.2">
      <c r="B1453" s="331"/>
      <c r="C1453" s="327"/>
      <c r="D1453" s="331"/>
      <c r="F1453" s="329"/>
      <c r="I1453" s="330"/>
      <c r="J1453" s="330"/>
    </row>
    <row r="1454" spans="2:10" ht="12.75" x14ac:dyDescent="0.2">
      <c r="B1454" s="331"/>
      <c r="C1454" s="327"/>
      <c r="D1454" s="331"/>
      <c r="F1454" s="329"/>
      <c r="I1454" s="330"/>
      <c r="J1454" s="330"/>
    </row>
    <row r="1455" spans="2:10" ht="12.75" x14ac:dyDescent="0.2">
      <c r="B1455" s="331"/>
      <c r="C1455" s="327"/>
      <c r="D1455" s="331"/>
      <c r="F1455" s="329"/>
      <c r="I1455" s="330"/>
      <c r="J1455" s="330"/>
    </row>
    <row r="1456" spans="2:10" ht="12.75" x14ac:dyDescent="0.2">
      <c r="B1456" s="331"/>
      <c r="C1456" s="327"/>
      <c r="D1456" s="331"/>
      <c r="F1456" s="329"/>
      <c r="I1456" s="330"/>
      <c r="J1456" s="330"/>
    </row>
    <row r="1457" spans="2:10" ht="12.75" x14ac:dyDescent="0.2">
      <c r="B1457" s="331"/>
      <c r="C1457" s="327"/>
      <c r="D1457" s="331"/>
      <c r="F1457" s="329"/>
      <c r="I1457" s="330"/>
      <c r="J1457" s="330"/>
    </row>
    <row r="1458" spans="2:10" ht="12.75" x14ac:dyDescent="0.2">
      <c r="B1458" s="331"/>
      <c r="C1458" s="327"/>
      <c r="D1458" s="331"/>
      <c r="F1458" s="329"/>
      <c r="I1458" s="330"/>
      <c r="J1458" s="330"/>
    </row>
    <row r="1459" spans="2:10" ht="12.75" x14ac:dyDescent="0.2">
      <c r="B1459" s="331"/>
      <c r="C1459" s="327"/>
      <c r="D1459" s="331"/>
      <c r="F1459" s="329"/>
      <c r="I1459" s="330"/>
      <c r="J1459" s="330"/>
    </row>
    <row r="1460" spans="2:10" ht="12.75" x14ac:dyDescent="0.2">
      <c r="B1460" s="331"/>
      <c r="C1460" s="327"/>
      <c r="D1460" s="331"/>
      <c r="F1460" s="329"/>
      <c r="I1460" s="330"/>
      <c r="J1460" s="330"/>
    </row>
    <row r="1461" spans="2:10" ht="12.75" x14ac:dyDescent="0.2">
      <c r="B1461" s="331"/>
      <c r="C1461" s="327"/>
      <c r="D1461" s="331"/>
      <c r="F1461" s="329"/>
      <c r="I1461" s="330"/>
      <c r="J1461" s="330"/>
    </row>
    <row r="1462" spans="2:10" ht="12.75" x14ac:dyDescent="0.2">
      <c r="B1462" s="331"/>
      <c r="C1462" s="327"/>
      <c r="D1462" s="331"/>
      <c r="F1462" s="329"/>
      <c r="I1462" s="330"/>
      <c r="J1462" s="330"/>
    </row>
    <row r="1463" spans="2:10" ht="12.75" x14ac:dyDescent="0.2">
      <c r="B1463" s="331"/>
      <c r="C1463" s="327"/>
      <c r="D1463" s="331"/>
      <c r="F1463" s="329"/>
      <c r="I1463" s="330"/>
      <c r="J1463" s="330"/>
    </row>
    <row r="1464" spans="2:10" ht="12.75" x14ac:dyDescent="0.2">
      <c r="B1464" s="331"/>
      <c r="C1464" s="327"/>
      <c r="D1464" s="331"/>
      <c r="F1464" s="329"/>
      <c r="I1464" s="330"/>
      <c r="J1464" s="330"/>
    </row>
    <row r="1465" spans="2:10" ht="12.75" x14ac:dyDescent="0.2">
      <c r="B1465" s="331"/>
      <c r="C1465" s="327"/>
      <c r="D1465" s="331"/>
      <c r="F1465" s="329"/>
      <c r="I1465" s="330"/>
      <c r="J1465" s="330"/>
    </row>
    <row r="1466" spans="2:10" ht="12.75" x14ac:dyDescent="0.2">
      <c r="B1466" s="331"/>
      <c r="C1466" s="327"/>
      <c r="D1466" s="331"/>
      <c r="F1466" s="329"/>
      <c r="I1466" s="330"/>
      <c r="J1466" s="330"/>
    </row>
    <row r="1467" spans="2:10" ht="12.75" x14ac:dyDescent="0.2">
      <c r="B1467" s="331"/>
      <c r="C1467" s="327"/>
      <c r="D1467" s="331"/>
      <c r="F1467" s="329"/>
      <c r="I1467" s="330"/>
      <c r="J1467" s="330"/>
    </row>
    <row r="1468" spans="2:10" ht="12.75" x14ac:dyDescent="0.2">
      <c r="B1468" s="331"/>
      <c r="C1468" s="327"/>
      <c r="D1468" s="331"/>
      <c r="F1468" s="329"/>
      <c r="I1468" s="330"/>
      <c r="J1468" s="330"/>
    </row>
    <row r="1469" spans="2:10" ht="12.75" x14ac:dyDescent="0.2">
      <c r="B1469" s="331"/>
      <c r="C1469" s="327"/>
      <c r="D1469" s="331"/>
      <c r="F1469" s="329"/>
      <c r="I1469" s="330"/>
      <c r="J1469" s="330"/>
    </row>
    <row r="1470" spans="2:10" ht="12.75" x14ac:dyDescent="0.2">
      <c r="B1470" s="331"/>
      <c r="C1470" s="327"/>
      <c r="D1470" s="331"/>
      <c r="F1470" s="329"/>
      <c r="I1470" s="330"/>
      <c r="J1470" s="330"/>
    </row>
    <row r="1471" spans="2:10" ht="12.75" x14ac:dyDescent="0.2">
      <c r="B1471" s="331"/>
      <c r="C1471" s="327"/>
      <c r="D1471" s="331"/>
      <c r="F1471" s="329"/>
      <c r="I1471" s="330"/>
      <c r="J1471" s="330"/>
    </row>
    <row r="1472" spans="2:10" ht="12.75" x14ac:dyDescent="0.2">
      <c r="B1472" s="331"/>
      <c r="C1472" s="327"/>
      <c r="D1472" s="331"/>
      <c r="F1472" s="329"/>
      <c r="I1472" s="330"/>
      <c r="J1472" s="330"/>
    </row>
    <row r="1473" spans="2:10" ht="12.75" x14ac:dyDescent="0.2">
      <c r="B1473" s="331"/>
      <c r="C1473" s="327"/>
      <c r="D1473" s="331"/>
      <c r="F1473" s="329"/>
      <c r="I1473" s="330"/>
      <c r="J1473" s="330"/>
    </row>
    <row r="1474" spans="2:10" ht="12.75" x14ac:dyDescent="0.2">
      <c r="B1474" s="331"/>
      <c r="C1474" s="327"/>
      <c r="D1474" s="331"/>
      <c r="F1474" s="329"/>
      <c r="I1474" s="330"/>
      <c r="J1474" s="330"/>
    </row>
    <row r="1475" spans="2:10" ht="12.75" x14ac:dyDescent="0.2">
      <c r="B1475" s="331"/>
      <c r="C1475" s="327"/>
      <c r="D1475" s="331"/>
      <c r="F1475" s="329"/>
      <c r="I1475" s="330"/>
      <c r="J1475" s="330"/>
    </row>
    <row r="1476" spans="2:10" ht="12.75" x14ac:dyDescent="0.2">
      <c r="B1476" s="331"/>
      <c r="C1476" s="327"/>
      <c r="D1476" s="331"/>
      <c r="F1476" s="329"/>
      <c r="I1476" s="330"/>
      <c r="J1476" s="330"/>
    </row>
    <row r="1477" spans="2:10" ht="12.75" x14ac:dyDescent="0.2">
      <c r="B1477" s="331"/>
      <c r="C1477" s="327"/>
      <c r="D1477" s="331"/>
      <c r="F1477" s="329"/>
      <c r="I1477" s="330"/>
      <c r="J1477" s="330"/>
    </row>
    <row r="1478" spans="2:10" ht="12.75" x14ac:dyDescent="0.2">
      <c r="B1478" s="331"/>
      <c r="C1478" s="327"/>
      <c r="D1478" s="331"/>
      <c r="F1478" s="329"/>
      <c r="I1478" s="330"/>
      <c r="J1478" s="330"/>
    </row>
    <row r="1479" spans="2:10" ht="12.75" x14ac:dyDescent="0.2">
      <c r="B1479" s="331"/>
      <c r="C1479" s="327"/>
      <c r="D1479" s="331"/>
      <c r="F1479" s="329"/>
      <c r="I1479" s="330"/>
      <c r="J1479" s="330"/>
    </row>
    <row r="1480" spans="2:10" ht="12.75" x14ac:dyDescent="0.2">
      <c r="B1480" s="331"/>
      <c r="C1480" s="327"/>
      <c r="D1480" s="331"/>
      <c r="F1480" s="329"/>
      <c r="I1480" s="330"/>
      <c r="J1480" s="330"/>
    </row>
    <row r="1481" spans="2:10" ht="12.75" x14ac:dyDescent="0.2">
      <c r="B1481" s="331"/>
      <c r="C1481" s="327"/>
      <c r="D1481" s="331"/>
      <c r="F1481" s="329"/>
      <c r="I1481" s="330"/>
      <c r="J1481" s="330"/>
    </row>
    <row r="1482" spans="2:10" ht="12.75" x14ac:dyDescent="0.2">
      <c r="B1482" s="331"/>
      <c r="C1482" s="327"/>
      <c r="D1482" s="331"/>
      <c r="F1482" s="329"/>
      <c r="I1482" s="330"/>
      <c r="J1482" s="330"/>
    </row>
    <row r="1483" spans="2:10" ht="12.75" x14ac:dyDescent="0.2">
      <c r="B1483" s="331"/>
      <c r="C1483" s="327"/>
      <c r="D1483" s="331"/>
      <c r="F1483" s="329"/>
      <c r="I1483" s="330"/>
      <c r="J1483" s="330"/>
    </row>
    <row r="1484" spans="2:10" ht="12.75" x14ac:dyDescent="0.2">
      <c r="B1484" s="331"/>
      <c r="C1484" s="327"/>
      <c r="D1484" s="331"/>
      <c r="F1484" s="329"/>
      <c r="I1484" s="330"/>
      <c r="J1484" s="330"/>
    </row>
    <row r="1485" spans="2:10" ht="12.75" x14ac:dyDescent="0.2">
      <c r="B1485" s="331"/>
      <c r="C1485" s="327"/>
      <c r="D1485" s="331"/>
      <c r="F1485" s="329"/>
      <c r="I1485" s="330"/>
      <c r="J1485" s="330"/>
    </row>
    <row r="1486" spans="2:10" ht="12.75" x14ac:dyDescent="0.2">
      <c r="B1486" s="331"/>
      <c r="C1486" s="327"/>
      <c r="D1486" s="331"/>
      <c r="F1486" s="329"/>
      <c r="I1486" s="330"/>
      <c r="J1486" s="330"/>
    </row>
    <row r="1487" spans="2:10" ht="12.75" x14ac:dyDescent="0.2">
      <c r="B1487" s="331"/>
      <c r="C1487" s="327"/>
      <c r="D1487" s="331"/>
      <c r="F1487" s="329"/>
      <c r="I1487" s="330"/>
      <c r="J1487" s="330"/>
    </row>
    <row r="1488" spans="2:10" ht="12.75" x14ac:dyDescent="0.2">
      <c r="B1488" s="331"/>
      <c r="C1488" s="327"/>
      <c r="D1488" s="331"/>
      <c r="F1488" s="329"/>
      <c r="I1488" s="330"/>
      <c r="J1488" s="330"/>
    </row>
    <row r="1489" spans="2:10" ht="12.75" x14ac:dyDescent="0.2">
      <c r="B1489" s="331"/>
      <c r="C1489" s="327"/>
      <c r="D1489" s="331"/>
      <c r="F1489" s="329"/>
      <c r="I1489" s="330"/>
      <c r="J1489" s="330"/>
    </row>
    <row r="1490" spans="2:10" ht="12.75" x14ac:dyDescent="0.2">
      <c r="B1490" s="331"/>
      <c r="C1490" s="327"/>
      <c r="D1490" s="331"/>
      <c r="F1490" s="329"/>
      <c r="I1490" s="330"/>
      <c r="J1490" s="330"/>
    </row>
    <row r="1491" spans="2:10" ht="12.75" x14ac:dyDescent="0.2">
      <c r="B1491" s="331"/>
      <c r="C1491" s="327"/>
      <c r="D1491" s="331"/>
      <c r="F1491" s="329"/>
      <c r="I1491" s="330"/>
      <c r="J1491" s="330"/>
    </row>
    <row r="1492" spans="2:10" ht="12.75" x14ac:dyDescent="0.2">
      <c r="B1492" s="331"/>
      <c r="C1492" s="327"/>
      <c r="D1492" s="331"/>
      <c r="F1492" s="329"/>
      <c r="I1492" s="330"/>
      <c r="J1492" s="330"/>
    </row>
    <row r="1493" spans="2:10" ht="12.75" x14ac:dyDescent="0.2">
      <c r="B1493" s="331"/>
      <c r="C1493" s="327"/>
      <c r="D1493" s="331"/>
      <c r="F1493" s="329"/>
      <c r="I1493" s="330"/>
      <c r="J1493" s="330"/>
    </row>
    <row r="1494" spans="2:10" ht="12.75" x14ac:dyDescent="0.2">
      <c r="B1494" s="331"/>
      <c r="C1494" s="327"/>
      <c r="D1494" s="331"/>
      <c r="F1494" s="329"/>
      <c r="I1494" s="330"/>
      <c r="J1494" s="330"/>
    </row>
    <row r="1495" spans="2:10" ht="12.75" x14ac:dyDescent="0.2">
      <c r="B1495" s="331"/>
      <c r="C1495" s="327"/>
      <c r="D1495" s="331"/>
      <c r="F1495" s="329"/>
      <c r="I1495" s="330"/>
      <c r="J1495" s="330"/>
    </row>
    <row r="1496" spans="2:10" ht="12.75" x14ac:dyDescent="0.2">
      <c r="B1496" s="331"/>
      <c r="C1496" s="327"/>
      <c r="D1496" s="331"/>
      <c r="F1496" s="329"/>
      <c r="I1496" s="330"/>
      <c r="J1496" s="330"/>
    </row>
    <row r="1497" spans="2:10" ht="12.75" x14ac:dyDescent="0.2">
      <c r="B1497" s="331"/>
      <c r="C1497" s="327"/>
      <c r="D1497" s="331"/>
      <c r="F1497" s="329"/>
      <c r="I1497" s="330"/>
      <c r="J1497" s="330"/>
    </row>
    <row r="1498" spans="2:10" ht="12.75" x14ac:dyDescent="0.2">
      <c r="B1498" s="331"/>
      <c r="C1498" s="327"/>
      <c r="D1498" s="331"/>
      <c r="F1498" s="329"/>
      <c r="I1498" s="330"/>
      <c r="J1498" s="330"/>
    </row>
    <row r="1499" spans="2:10" ht="12.75" x14ac:dyDescent="0.2">
      <c r="B1499" s="331"/>
      <c r="C1499" s="327"/>
      <c r="D1499" s="331"/>
      <c r="F1499" s="329"/>
      <c r="I1499" s="330"/>
      <c r="J1499" s="330"/>
    </row>
    <row r="1500" spans="2:10" ht="12.75" x14ac:dyDescent="0.2">
      <c r="B1500" s="331"/>
      <c r="C1500" s="327"/>
      <c r="D1500" s="331"/>
      <c r="F1500" s="329"/>
      <c r="I1500" s="330"/>
      <c r="J1500" s="330"/>
    </row>
    <row r="1501" spans="2:10" ht="12.75" x14ac:dyDescent="0.2">
      <c r="B1501" s="331"/>
      <c r="C1501" s="327"/>
      <c r="D1501" s="331"/>
      <c r="F1501" s="329"/>
      <c r="I1501" s="330"/>
      <c r="J1501" s="330"/>
    </row>
    <row r="1502" spans="2:10" ht="12.75" x14ac:dyDescent="0.2">
      <c r="B1502" s="331"/>
      <c r="C1502" s="327"/>
      <c r="D1502" s="331"/>
      <c r="F1502" s="329"/>
      <c r="I1502" s="330"/>
      <c r="J1502" s="330"/>
    </row>
    <row r="1503" spans="2:10" ht="12.75" x14ac:dyDescent="0.2">
      <c r="B1503" s="331"/>
      <c r="C1503" s="327"/>
      <c r="D1503" s="331"/>
      <c r="F1503" s="329"/>
      <c r="I1503" s="330"/>
      <c r="J1503" s="330"/>
    </row>
    <row r="1504" spans="2:10" ht="12.75" x14ac:dyDescent="0.2">
      <c r="B1504" s="331"/>
      <c r="C1504" s="327"/>
      <c r="D1504" s="331"/>
      <c r="F1504" s="329"/>
      <c r="I1504" s="330"/>
      <c r="J1504" s="330"/>
    </row>
    <row r="1505" spans="2:10" ht="12.75" x14ac:dyDescent="0.2">
      <c r="B1505" s="331"/>
      <c r="C1505" s="327"/>
      <c r="D1505" s="331"/>
      <c r="F1505" s="329"/>
      <c r="I1505" s="330"/>
      <c r="J1505" s="330"/>
    </row>
    <row r="1506" spans="2:10" ht="12.75" x14ac:dyDescent="0.2">
      <c r="B1506" s="331"/>
      <c r="C1506" s="327"/>
      <c r="D1506" s="331"/>
      <c r="F1506" s="329"/>
      <c r="I1506" s="330"/>
      <c r="J1506" s="330"/>
    </row>
    <row r="1507" spans="2:10" ht="12.75" x14ac:dyDescent="0.2">
      <c r="B1507" s="331"/>
      <c r="C1507" s="327"/>
      <c r="D1507" s="331"/>
      <c r="F1507" s="329"/>
      <c r="I1507" s="330"/>
      <c r="J1507" s="330"/>
    </row>
    <row r="1508" spans="2:10" ht="12.75" x14ac:dyDescent="0.2">
      <c r="B1508" s="331"/>
      <c r="C1508" s="327"/>
      <c r="D1508" s="331"/>
      <c r="F1508" s="329"/>
      <c r="I1508" s="330"/>
      <c r="J1508" s="330"/>
    </row>
    <row r="1509" spans="2:10" ht="12.75" x14ac:dyDescent="0.2">
      <c r="B1509" s="331"/>
      <c r="C1509" s="327"/>
      <c r="D1509" s="331"/>
      <c r="F1509" s="329"/>
      <c r="I1509" s="330"/>
      <c r="J1509" s="330"/>
    </row>
    <row r="1510" spans="2:10" ht="12.75" x14ac:dyDescent="0.2">
      <c r="B1510" s="331"/>
      <c r="C1510" s="327"/>
      <c r="D1510" s="331"/>
      <c r="F1510" s="329"/>
      <c r="I1510" s="330"/>
      <c r="J1510" s="330"/>
    </row>
    <row r="1511" spans="2:10" ht="12.75" x14ac:dyDescent="0.2">
      <c r="B1511" s="331"/>
      <c r="C1511" s="327"/>
      <c r="D1511" s="331"/>
      <c r="F1511" s="329"/>
      <c r="I1511" s="330"/>
      <c r="J1511" s="330"/>
    </row>
    <row r="1512" spans="2:10" ht="12.75" x14ac:dyDescent="0.2">
      <c r="B1512" s="331"/>
      <c r="C1512" s="327"/>
      <c r="D1512" s="331"/>
      <c r="F1512" s="329"/>
      <c r="I1512" s="330"/>
      <c r="J1512" s="330"/>
    </row>
    <row r="1513" spans="2:10" ht="12.75" x14ac:dyDescent="0.2">
      <c r="B1513" s="331"/>
      <c r="C1513" s="327"/>
      <c r="D1513" s="331"/>
      <c r="F1513" s="329"/>
      <c r="I1513" s="330"/>
      <c r="J1513" s="330"/>
    </row>
    <row r="1514" spans="2:10" ht="12.75" x14ac:dyDescent="0.2">
      <c r="B1514" s="331"/>
      <c r="C1514" s="327"/>
      <c r="D1514" s="331"/>
      <c r="F1514" s="329"/>
      <c r="I1514" s="330"/>
      <c r="J1514" s="330"/>
    </row>
    <row r="1515" spans="2:10" ht="12.75" x14ac:dyDescent="0.2">
      <c r="B1515" s="331"/>
      <c r="C1515" s="327"/>
      <c r="D1515" s="331"/>
      <c r="F1515" s="329"/>
      <c r="I1515" s="330"/>
      <c r="J1515" s="330"/>
    </row>
    <row r="1516" spans="2:10" ht="12.75" x14ac:dyDescent="0.2">
      <c r="B1516" s="331"/>
      <c r="C1516" s="327"/>
      <c r="D1516" s="331"/>
      <c r="F1516" s="329"/>
      <c r="I1516" s="330"/>
      <c r="J1516" s="330"/>
    </row>
    <row r="1517" spans="2:10" ht="12.75" x14ac:dyDescent="0.2">
      <c r="B1517" s="331"/>
      <c r="C1517" s="327"/>
      <c r="D1517" s="331"/>
      <c r="F1517" s="329"/>
      <c r="I1517" s="330"/>
      <c r="J1517" s="330"/>
    </row>
    <row r="1518" spans="2:10" ht="12.75" x14ac:dyDescent="0.2">
      <c r="B1518" s="331"/>
      <c r="C1518" s="327"/>
      <c r="D1518" s="331"/>
      <c r="F1518" s="329"/>
      <c r="I1518" s="330"/>
      <c r="J1518" s="330"/>
    </row>
    <row r="1519" spans="2:10" ht="12.75" x14ac:dyDescent="0.2">
      <c r="B1519" s="331"/>
      <c r="C1519" s="327"/>
      <c r="D1519" s="331"/>
      <c r="F1519" s="329"/>
      <c r="I1519" s="330"/>
      <c r="J1519" s="330"/>
    </row>
    <row r="1520" spans="2:10" ht="12.75" x14ac:dyDescent="0.2">
      <c r="B1520" s="331"/>
      <c r="C1520" s="327"/>
      <c r="D1520" s="331"/>
      <c r="F1520" s="329"/>
      <c r="I1520" s="330"/>
      <c r="J1520" s="330"/>
    </row>
    <row r="1521" spans="2:10" ht="12.75" x14ac:dyDescent="0.2">
      <c r="B1521" s="331"/>
      <c r="C1521" s="327"/>
      <c r="D1521" s="331"/>
      <c r="F1521" s="329"/>
      <c r="I1521" s="330"/>
      <c r="J1521" s="330"/>
    </row>
    <row r="1522" spans="2:10" ht="12.75" x14ac:dyDescent="0.2">
      <c r="B1522" s="331"/>
      <c r="C1522" s="327"/>
      <c r="D1522" s="331"/>
      <c r="F1522" s="329"/>
      <c r="I1522" s="330"/>
      <c r="J1522" s="330"/>
    </row>
    <row r="1523" spans="2:10" ht="12.75" x14ac:dyDescent="0.2">
      <c r="B1523" s="331"/>
      <c r="C1523" s="327"/>
      <c r="D1523" s="331"/>
      <c r="F1523" s="329"/>
      <c r="I1523" s="330"/>
      <c r="J1523" s="330"/>
    </row>
    <row r="1524" spans="2:10" ht="12.75" x14ac:dyDescent="0.2">
      <c r="B1524" s="331"/>
      <c r="C1524" s="327"/>
      <c r="D1524" s="331"/>
      <c r="F1524" s="329"/>
      <c r="I1524" s="330"/>
      <c r="J1524" s="330"/>
    </row>
    <row r="1525" spans="2:10" ht="12.75" x14ac:dyDescent="0.2">
      <c r="B1525" s="331"/>
      <c r="C1525" s="327"/>
      <c r="D1525" s="331"/>
      <c r="F1525" s="329"/>
      <c r="I1525" s="330"/>
      <c r="J1525" s="330"/>
    </row>
    <row r="1526" spans="2:10" ht="12.75" x14ac:dyDescent="0.2">
      <c r="B1526" s="331"/>
      <c r="C1526" s="327"/>
      <c r="D1526" s="331"/>
      <c r="F1526" s="329"/>
      <c r="I1526" s="330"/>
      <c r="J1526" s="330"/>
    </row>
    <row r="1527" spans="2:10" ht="12.75" x14ac:dyDescent="0.2">
      <c r="B1527" s="331"/>
      <c r="C1527" s="327"/>
      <c r="D1527" s="331"/>
      <c r="F1527" s="329"/>
      <c r="I1527" s="330"/>
      <c r="J1527" s="330"/>
    </row>
    <row r="1528" spans="2:10" ht="12.75" x14ac:dyDescent="0.2">
      <c r="B1528" s="331"/>
      <c r="C1528" s="327"/>
      <c r="D1528" s="331"/>
      <c r="F1528" s="329"/>
      <c r="I1528" s="330"/>
      <c r="J1528" s="330"/>
    </row>
    <row r="1529" spans="2:10" ht="12.75" x14ac:dyDescent="0.2">
      <c r="B1529" s="331"/>
      <c r="C1529" s="327"/>
      <c r="D1529" s="331"/>
      <c r="F1529" s="329"/>
      <c r="I1529" s="330"/>
      <c r="J1529" s="330"/>
    </row>
    <row r="1530" spans="2:10" ht="12.75" x14ac:dyDescent="0.2">
      <c r="B1530" s="331"/>
      <c r="C1530" s="327"/>
      <c r="D1530" s="331"/>
      <c r="F1530" s="329"/>
      <c r="I1530" s="330"/>
      <c r="J1530" s="330"/>
    </row>
    <row r="1531" spans="2:10" ht="12.75" x14ac:dyDescent="0.2">
      <c r="B1531" s="331"/>
      <c r="C1531" s="327"/>
      <c r="D1531" s="331"/>
      <c r="F1531" s="329"/>
      <c r="I1531" s="330"/>
      <c r="J1531" s="330"/>
    </row>
    <row r="1532" spans="2:10" ht="12.75" x14ac:dyDescent="0.2">
      <c r="B1532" s="331"/>
      <c r="C1532" s="327"/>
      <c r="D1532" s="331"/>
      <c r="F1532" s="329"/>
      <c r="I1532" s="330"/>
      <c r="J1532" s="330"/>
    </row>
    <row r="1533" spans="2:10" ht="12.75" x14ac:dyDescent="0.2">
      <c r="B1533" s="331"/>
      <c r="C1533" s="327"/>
      <c r="D1533" s="331"/>
      <c r="F1533" s="329"/>
      <c r="I1533" s="330"/>
      <c r="J1533" s="330"/>
    </row>
    <row r="1534" spans="2:10" ht="12.75" x14ac:dyDescent="0.2">
      <c r="B1534" s="331"/>
      <c r="C1534" s="327"/>
      <c r="D1534" s="331"/>
      <c r="F1534" s="329"/>
      <c r="I1534" s="330"/>
      <c r="J1534" s="330"/>
    </row>
    <row r="1535" spans="2:10" ht="12.75" x14ac:dyDescent="0.2">
      <c r="B1535" s="331"/>
      <c r="C1535" s="327"/>
      <c r="D1535" s="331"/>
      <c r="F1535" s="329"/>
      <c r="I1535" s="330"/>
      <c r="J1535" s="330"/>
    </row>
    <row r="1536" spans="2:10" ht="12.75" x14ac:dyDescent="0.2">
      <c r="B1536" s="331"/>
      <c r="C1536" s="327"/>
      <c r="D1536" s="331"/>
      <c r="F1536" s="329"/>
      <c r="I1536" s="330"/>
      <c r="J1536" s="330"/>
    </row>
    <row r="1537" spans="2:10" ht="12.75" x14ac:dyDescent="0.2">
      <c r="B1537" s="331"/>
      <c r="C1537" s="327"/>
      <c r="D1537" s="331"/>
      <c r="F1537" s="329"/>
      <c r="I1537" s="330"/>
      <c r="J1537" s="330"/>
    </row>
    <row r="1538" spans="2:10" ht="12.75" x14ac:dyDescent="0.2">
      <c r="B1538" s="331"/>
      <c r="C1538" s="327"/>
      <c r="D1538" s="331"/>
      <c r="F1538" s="329"/>
      <c r="I1538" s="330"/>
      <c r="J1538" s="330"/>
    </row>
    <row r="1539" spans="2:10" ht="12.75" x14ac:dyDescent="0.2">
      <c r="B1539" s="331"/>
      <c r="C1539" s="327"/>
      <c r="D1539" s="331"/>
      <c r="F1539" s="329"/>
      <c r="I1539" s="330"/>
      <c r="J1539" s="330"/>
    </row>
    <row r="1540" spans="2:10" ht="12.75" x14ac:dyDescent="0.2">
      <c r="B1540" s="331"/>
      <c r="C1540" s="327"/>
      <c r="D1540" s="331"/>
      <c r="F1540" s="329"/>
      <c r="I1540" s="330"/>
      <c r="J1540" s="330"/>
    </row>
    <row r="1541" spans="2:10" ht="12.75" x14ac:dyDescent="0.2">
      <c r="B1541" s="331"/>
      <c r="C1541" s="327"/>
      <c r="D1541" s="331"/>
      <c r="F1541" s="329"/>
      <c r="I1541" s="330"/>
      <c r="J1541" s="330"/>
    </row>
    <row r="1542" spans="2:10" ht="12.75" x14ac:dyDescent="0.2">
      <c r="B1542" s="331"/>
      <c r="C1542" s="327"/>
      <c r="D1542" s="331"/>
      <c r="F1542" s="329"/>
      <c r="I1542" s="330"/>
      <c r="J1542" s="330"/>
    </row>
    <row r="1543" spans="2:10" ht="12.75" x14ac:dyDescent="0.2">
      <c r="B1543" s="331"/>
      <c r="C1543" s="327"/>
      <c r="D1543" s="331"/>
      <c r="F1543" s="329"/>
      <c r="I1543" s="330"/>
      <c r="J1543" s="330"/>
    </row>
    <row r="1544" spans="2:10" ht="12.75" x14ac:dyDescent="0.2">
      <c r="B1544" s="331"/>
      <c r="C1544" s="327"/>
      <c r="D1544" s="331"/>
      <c r="F1544" s="329"/>
      <c r="I1544" s="330"/>
      <c r="J1544" s="330"/>
    </row>
    <row r="1545" spans="2:10" ht="12.75" x14ac:dyDescent="0.2">
      <c r="B1545" s="331"/>
      <c r="C1545" s="327"/>
      <c r="D1545" s="331"/>
      <c r="F1545" s="329"/>
      <c r="I1545" s="330"/>
      <c r="J1545" s="330"/>
    </row>
    <row r="1546" spans="2:10" ht="12.75" x14ac:dyDescent="0.2">
      <c r="B1546" s="331"/>
      <c r="C1546" s="327"/>
      <c r="D1546" s="331"/>
      <c r="F1546" s="329"/>
      <c r="I1546" s="330"/>
      <c r="J1546" s="330"/>
    </row>
    <row r="1547" spans="2:10" ht="12.75" x14ac:dyDescent="0.2">
      <c r="B1547" s="331"/>
      <c r="C1547" s="327"/>
      <c r="D1547" s="331"/>
      <c r="F1547" s="329"/>
      <c r="I1547" s="330"/>
      <c r="J1547" s="330"/>
    </row>
    <row r="1548" spans="2:10" ht="12.75" x14ac:dyDescent="0.2">
      <c r="B1548" s="331"/>
      <c r="C1548" s="327"/>
      <c r="D1548" s="331"/>
      <c r="F1548" s="329"/>
      <c r="I1548" s="330"/>
      <c r="J1548" s="330"/>
    </row>
    <row r="1549" spans="2:10" ht="12.75" x14ac:dyDescent="0.2">
      <c r="B1549" s="331"/>
      <c r="C1549" s="327"/>
      <c r="D1549" s="331"/>
      <c r="F1549" s="329"/>
      <c r="I1549" s="330"/>
      <c r="J1549" s="330"/>
    </row>
    <row r="1550" spans="2:10" ht="12.75" x14ac:dyDescent="0.2">
      <c r="B1550" s="331"/>
      <c r="C1550" s="327"/>
      <c r="D1550" s="331"/>
      <c r="F1550" s="329"/>
      <c r="I1550" s="330"/>
      <c r="J1550" s="330"/>
    </row>
    <row r="1551" spans="2:10" ht="12.75" x14ac:dyDescent="0.2">
      <c r="B1551" s="331"/>
      <c r="C1551" s="327"/>
      <c r="D1551" s="331"/>
      <c r="F1551" s="329"/>
      <c r="I1551" s="330"/>
      <c r="J1551" s="330"/>
    </row>
    <row r="1552" spans="2:10" ht="12.75" x14ac:dyDescent="0.2">
      <c r="B1552" s="331"/>
      <c r="C1552" s="327"/>
      <c r="D1552" s="331"/>
      <c r="F1552" s="329"/>
      <c r="I1552" s="330"/>
      <c r="J1552" s="330"/>
    </row>
    <row r="1553" spans="2:10" ht="12.75" x14ac:dyDescent="0.2">
      <c r="B1553" s="331"/>
      <c r="C1553" s="327"/>
      <c r="D1553" s="331"/>
      <c r="F1553" s="329"/>
      <c r="I1553" s="330"/>
      <c r="J1553" s="330"/>
    </row>
    <row r="1554" spans="2:10" ht="12.75" x14ac:dyDescent="0.2">
      <c r="B1554" s="331"/>
      <c r="C1554" s="327"/>
      <c r="D1554" s="331"/>
      <c r="F1554" s="329"/>
      <c r="I1554" s="330"/>
      <c r="J1554" s="330"/>
    </row>
    <row r="1555" spans="2:10" ht="12.75" x14ac:dyDescent="0.2">
      <c r="B1555" s="331"/>
      <c r="C1555" s="327"/>
      <c r="D1555" s="331"/>
      <c r="F1555" s="329"/>
      <c r="I1555" s="330"/>
      <c r="J1555" s="330"/>
    </row>
    <row r="1556" spans="2:10" ht="12.75" x14ac:dyDescent="0.2">
      <c r="B1556" s="331"/>
      <c r="C1556" s="327"/>
      <c r="D1556" s="331"/>
      <c r="F1556" s="329"/>
      <c r="I1556" s="330"/>
      <c r="J1556" s="330"/>
    </row>
    <row r="1557" spans="2:10" ht="12.75" x14ac:dyDescent="0.2">
      <c r="B1557" s="331"/>
      <c r="C1557" s="327"/>
      <c r="D1557" s="331"/>
      <c r="F1557" s="329"/>
      <c r="I1557" s="330"/>
      <c r="J1557" s="330"/>
    </row>
    <row r="1558" spans="2:10" ht="12.75" x14ac:dyDescent="0.2">
      <c r="B1558" s="331"/>
      <c r="C1558" s="327"/>
      <c r="D1558" s="331"/>
      <c r="F1558" s="329"/>
      <c r="I1558" s="330"/>
      <c r="J1558" s="330"/>
    </row>
    <row r="1559" spans="2:10" ht="12.75" x14ac:dyDescent="0.2">
      <c r="B1559" s="331"/>
      <c r="C1559" s="327"/>
      <c r="D1559" s="331"/>
      <c r="F1559" s="329"/>
      <c r="I1559" s="330"/>
      <c r="J1559" s="330"/>
    </row>
    <row r="1560" spans="2:10" ht="12.75" x14ac:dyDescent="0.2">
      <c r="B1560" s="331"/>
      <c r="C1560" s="327"/>
      <c r="D1560" s="331"/>
      <c r="F1560" s="329"/>
      <c r="I1560" s="330"/>
      <c r="J1560" s="330"/>
    </row>
    <row r="1561" spans="2:10" ht="12.75" x14ac:dyDescent="0.2">
      <c r="B1561" s="331"/>
      <c r="C1561" s="327"/>
      <c r="D1561" s="331"/>
      <c r="F1561" s="329"/>
      <c r="I1561" s="330"/>
      <c r="J1561" s="330"/>
    </row>
    <row r="1562" spans="2:10" ht="12.75" x14ac:dyDescent="0.2">
      <c r="B1562" s="331"/>
      <c r="C1562" s="327"/>
      <c r="D1562" s="331"/>
      <c r="F1562" s="329"/>
      <c r="I1562" s="330"/>
      <c r="J1562" s="330"/>
    </row>
    <row r="1563" spans="2:10" ht="12.75" x14ac:dyDescent="0.2">
      <c r="B1563" s="331"/>
      <c r="C1563" s="327"/>
      <c r="D1563" s="331"/>
      <c r="F1563" s="329"/>
      <c r="I1563" s="330"/>
      <c r="J1563" s="330"/>
    </row>
    <row r="1564" spans="2:10" ht="12.75" x14ac:dyDescent="0.2">
      <c r="B1564" s="331"/>
      <c r="C1564" s="327"/>
      <c r="D1564" s="331"/>
      <c r="F1564" s="329"/>
      <c r="I1564" s="330"/>
      <c r="J1564" s="330"/>
    </row>
    <row r="1565" spans="2:10" ht="12.75" x14ac:dyDescent="0.2">
      <c r="B1565" s="331"/>
      <c r="C1565" s="327"/>
      <c r="D1565" s="331"/>
      <c r="F1565" s="329"/>
      <c r="I1565" s="330"/>
      <c r="J1565" s="330"/>
    </row>
    <row r="1566" spans="2:10" ht="12.75" x14ac:dyDescent="0.2">
      <c r="B1566" s="331"/>
      <c r="C1566" s="327"/>
      <c r="D1566" s="331"/>
      <c r="F1566" s="329"/>
      <c r="I1566" s="330"/>
      <c r="J1566" s="330"/>
    </row>
    <row r="1567" spans="2:10" ht="12.75" x14ac:dyDescent="0.2">
      <c r="B1567" s="331"/>
      <c r="C1567" s="327"/>
      <c r="D1567" s="331"/>
      <c r="F1567" s="329"/>
      <c r="I1567" s="330"/>
      <c r="J1567" s="330"/>
    </row>
    <row r="1568" spans="2:10" ht="12.75" x14ac:dyDescent="0.2">
      <c r="B1568" s="331"/>
      <c r="C1568" s="327"/>
      <c r="D1568" s="331"/>
      <c r="F1568" s="329"/>
      <c r="I1568" s="330"/>
      <c r="J1568" s="330"/>
    </row>
    <row r="1569" spans="2:10" ht="12.75" x14ac:dyDescent="0.2">
      <c r="B1569" s="331"/>
      <c r="C1569" s="327"/>
      <c r="D1569" s="331"/>
      <c r="F1569" s="329"/>
      <c r="I1569" s="330"/>
      <c r="J1569" s="330"/>
    </row>
    <row r="1570" spans="2:10" ht="12.75" x14ac:dyDescent="0.2">
      <c r="B1570" s="331"/>
      <c r="C1570" s="327"/>
      <c r="D1570" s="331"/>
      <c r="F1570" s="329"/>
      <c r="I1570" s="330"/>
      <c r="J1570" s="330"/>
    </row>
    <row r="1571" spans="2:10" ht="12.75" x14ac:dyDescent="0.2">
      <c r="B1571" s="331"/>
      <c r="C1571" s="327"/>
      <c r="D1571" s="331"/>
      <c r="F1571" s="329"/>
      <c r="I1571" s="330"/>
      <c r="J1571" s="330"/>
    </row>
    <row r="1572" spans="2:10" ht="12.75" x14ac:dyDescent="0.2">
      <c r="B1572" s="331"/>
      <c r="C1572" s="327"/>
      <c r="D1572" s="331"/>
      <c r="F1572" s="329"/>
      <c r="I1572" s="330"/>
      <c r="J1572" s="330"/>
    </row>
    <row r="1573" spans="2:10" ht="12.75" x14ac:dyDescent="0.2">
      <c r="B1573" s="331"/>
      <c r="C1573" s="327"/>
      <c r="D1573" s="331"/>
      <c r="F1573" s="329"/>
      <c r="I1573" s="330"/>
      <c r="J1573" s="330"/>
    </row>
    <row r="1574" spans="2:10" ht="12.75" x14ac:dyDescent="0.2">
      <c r="B1574" s="331"/>
      <c r="C1574" s="327"/>
      <c r="D1574" s="331"/>
      <c r="F1574" s="329"/>
      <c r="I1574" s="330"/>
      <c r="J1574" s="330"/>
    </row>
    <row r="1575" spans="2:10" ht="12.75" x14ac:dyDescent="0.2">
      <c r="B1575" s="331"/>
      <c r="C1575" s="327"/>
      <c r="D1575" s="331"/>
      <c r="F1575" s="329"/>
      <c r="I1575" s="330"/>
      <c r="J1575" s="330"/>
    </row>
    <row r="1576" spans="2:10" ht="12.75" x14ac:dyDescent="0.2">
      <c r="B1576" s="331"/>
      <c r="C1576" s="327"/>
      <c r="D1576" s="331"/>
      <c r="F1576" s="329"/>
      <c r="I1576" s="330"/>
      <c r="J1576" s="330"/>
    </row>
    <row r="1577" spans="2:10" ht="12.75" x14ac:dyDescent="0.2">
      <c r="B1577" s="331"/>
      <c r="C1577" s="327"/>
      <c r="D1577" s="331"/>
      <c r="F1577" s="329"/>
      <c r="I1577" s="330"/>
      <c r="J1577" s="330"/>
    </row>
    <row r="1578" spans="2:10" ht="12.75" x14ac:dyDescent="0.2">
      <c r="B1578" s="331"/>
      <c r="C1578" s="327"/>
      <c r="D1578" s="331"/>
      <c r="F1578" s="329"/>
      <c r="I1578" s="330"/>
      <c r="J1578" s="330"/>
    </row>
    <row r="1579" spans="2:10" ht="12.75" x14ac:dyDescent="0.2">
      <c r="B1579" s="331"/>
      <c r="C1579" s="327"/>
      <c r="D1579" s="331"/>
      <c r="F1579" s="329"/>
      <c r="I1579" s="330"/>
      <c r="J1579" s="330"/>
    </row>
    <row r="1580" spans="2:10" ht="12.75" x14ac:dyDescent="0.2">
      <c r="B1580" s="331"/>
      <c r="C1580" s="327"/>
      <c r="D1580" s="331"/>
      <c r="F1580" s="329"/>
      <c r="I1580" s="330"/>
      <c r="J1580" s="330"/>
    </row>
    <row r="1581" spans="2:10" ht="12.75" x14ac:dyDescent="0.2">
      <c r="B1581" s="331"/>
      <c r="C1581" s="327"/>
      <c r="D1581" s="331"/>
      <c r="F1581" s="329"/>
      <c r="I1581" s="330"/>
      <c r="J1581" s="330"/>
    </row>
    <row r="1582" spans="2:10" ht="12.75" x14ac:dyDescent="0.2">
      <c r="B1582" s="331"/>
      <c r="C1582" s="327"/>
      <c r="D1582" s="331"/>
      <c r="F1582" s="329"/>
      <c r="I1582" s="330"/>
      <c r="J1582" s="330"/>
    </row>
    <row r="1583" spans="2:10" ht="12.75" x14ac:dyDescent="0.2">
      <c r="B1583" s="331"/>
      <c r="C1583" s="327"/>
      <c r="D1583" s="331"/>
      <c r="F1583" s="329"/>
      <c r="I1583" s="330"/>
      <c r="J1583" s="330"/>
    </row>
    <row r="1584" spans="2:10" ht="12.75" x14ac:dyDescent="0.2">
      <c r="B1584" s="331"/>
      <c r="C1584" s="327"/>
      <c r="D1584" s="331"/>
      <c r="F1584" s="329"/>
      <c r="I1584" s="330"/>
      <c r="J1584" s="330"/>
    </row>
    <row r="1585" spans="2:10" ht="12.75" x14ac:dyDescent="0.2">
      <c r="B1585" s="331"/>
      <c r="C1585" s="327"/>
      <c r="D1585" s="331"/>
      <c r="F1585" s="329"/>
      <c r="I1585" s="330"/>
      <c r="J1585" s="330"/>
    </row>
    <row r="1586" spans="2:10" ht="12.75" x14ac:dyDescent="0.2">
      <c r="B1586" s="331"/>
      <c r="C1586" s="327"/>
      <c r="D1586" s="331"/>
      <c r="F1586" s="329"/>
      <c r="I1586" s="330"/>
      <c r="J1586" s="330"/>
    </row>
    <row r="1587" spans="2:10" ht="12.75" x14ac:dyDescent="0.2">
      <c r="B1587" s="331"/>
      <c r="C1587" s="327"/>
      <c r="D1587" s="331"/>
      <c r="F1587" s="329"/>
      <c r="I1587" s="330"/>
      <c r="J1587" s="330"/>
    </row>
    <row r="1588" spans="2:10" ht="12.75" x14ac:dyDescent="0.2">
      <c r="B1588" s="331"/>
      <c r="C1588" s="327"/>
      <c r="D1588" s="331"/>
      <c r="F1588" s="329"/>
      <c r="I1588" s="330"/>
      <c r="J1588" s="330"/>
    </row>
    <row r="1589" spans="2:10" ht="12.75" x14ac:dyDescent="0.2">
      <c r="B1589" s="331"/>
      <c r="C1589" s="327"/>
      <c r="D1589" s="331"/>
      <c r="F1589" s="329"/>
      <c r="I1589" s="330"/>
      <c r="J1589" s="330"/>
    </row>
    <row r="1590" spans="2:10" ht="12.75" x14ac:dyDescent="0.2">
      <c r="B1590" s="331"/>
      <c r="C1590" s="327"/>
      <c r="D1590" s="331"/>
      <c r="F1590" s="329"/>
      <c r="I1590" s="330"/>
      <c r="J1590" s="330"/>
    </row>
    <row r="1591" spans="2:10" ht="12.75" x14ac:dyDescent="0.2">
      <c r="B1591" s="331"/>
      <c r="C1591" s="327"/>
      <c r="D1591" s="331"/>
      <c r="F1591" s="329"/>
      <c r="I1591" s="330"/>
      <c r="J1591" s="330"/>
    </row>
    <row r="1592" spans="2:10" ht="12.75" x14ac:dyDescent="0.2">
      <c r="B1592" s="331"/>
      <c r="C1592" s="327"/>
      <c r="D1592" s="331"/>
      <c r="F1592" s="329"/>
      <c r="I1592" s="330"/>
      <c r="J1592" s="330"/>
    </row>
    <row r="1593" spans="2:10" ht="12.75" x14ac:dyDescent="0.2">
      <c r="B1593" s="331"/>
      <c r="C1593" s="327"/>
      <c r="D1593" s="331"/>
      <c r="F1593" s="329"/>
      <c r="I1593" s="330"/>
      <c r="J1593" s="330"/>
    </row>
    <row r="1594" spans="2:10" ht="12.75" x14ac:dyDescent="0.2">
      <c r="B1594" s="331"/>
      <c r="C1594" s="327"/>
      <c r="D1594" s="331"/>
      <c r="F1594" s="329"/>
      <c r="I1594" s="330"/>
      <c r="J1594" s="330"/>
    </row>
    <row r="1595" spans="2:10" ht="12.75" x14ac:dyDescent="0.2">
      <c r="B1595" s="331"/>
      <c r="C1595" s="327"/>
      <c r="D1595" s="331"/>
      <c r="F1595" s="329"/>
      <c r="I1595" s="330"/>
      <c r="J1595" s="330"/>
    </row>
    <row r="1596" spans="2:10" ht="12.75" x14ac:dyDescent="0.2">
      <c r="B1596" s="331"/>
      <c r="C1596" s="327"/>
      <c r="D1596" s="331"/>
      <c r="F1596" s="329"/>
      <c r="I1596" s="330"/>
      <c r="J1596" s="330"/>
    </row>
    <row r="1597" spans="2:10" ht="12.75" x14ac:dyDescent="0.2">
      <c r="B1597" s="331"/>
      <c r="C1597" s="327"/>
      <c r="D1597" s="331"/>
      <c r="F1597" s="329"/>
      <c r="I1597" s="330"/>
      <c r="J1597" s="330"/>
    </row>
    <row r="1598" spans="2:10" ht="12.75" x14ac:dyDescent="0.2">
      <c r="B1598" s="331"/>
      <c r="C1598" s="327"/>
      <c r="D1598" s="331"/>
      <c r="F1598" s="329"/>
      <c r="I1598" s="330"/>
      <c r="J1598" s="330"/>
    </row>
    <row r="1599" spans="2:10" ht="12.75" x14ac:dyDescent="0.2">
      <c r="B1599" s="331"/>
      <c r="C1599" s="327"/>
      <c r="D1599" s="331"/>
      <c r="F1599" s="329"/>
      <c r="I1599" s="330"/>
      <c r="J1599" s="330"/>
    </row>
    <row r="1600" spans="2:10" ht="12.75" x14ac:dyDescent="0.2">
      <c r="B1600" s="331"/>
      <c r="C1600" s="327"/>
      <c r="D1600" s="331"/>
      <c r="F1600" s="329"/>
      <c r="I1600" s="330"/>
      <c r="J1600" s="330"/>
    </row>
    <row r="1601" spans="2:10" ht="12.75" x14ac:dyDescent="0.2">
      <c r="B1601" s="331"/>
      <c r="C1601" s="327"/>
      <c r="D1601" s="331"/>
      <c r="F1601" s="329"/>
      <c r="I1601" s="330"/>
      <c r="J1601" s="330"/>
    </row>
    <row r="1602" spans="2:10" ht="12.75" x14ac:dyDescent="0.2">
      <c r="B1602" s="331"/>
      <c r="C1602" s="327"/>
      <c r="D1602" s="331"/>
      <c r="F1602" s="329"/>
      <c r="I1602" s="330"/>
      <c r="J1602" s="330"/>
    </row>
    <row r="1603" spans="2:10" ht="12.75" x14ac:dyDescent="0.2">
      <c r="B1603" s="331"/>
      <c r="C1603" s="327"/>
      <c r="D1603" s="331"/>
      <c r="F1603" s="329"/>
      <c r="I1603" s="330"/>
      <c r="J1603" s="330"/>
    </row>
    <row r="1604" spans="2:10" ht="12.75" x14ac:dyDescent="0.2">
      <c r="B1604" s="331"/>
      <c r="C1604" s="327"/>
      <c r="D1604" s="331"/>
      <c r="F1604" s="329"/>
      <c r="I1604" s="330"/>
      <c r="J1604" s="330"/>
    </row>
    <row r="1605" spans="2:10" ht="12.75" x14ac:dyDescent="0.2">
      <c r="B1605" s="331"/>
      <c r="C1605" s="327"/>
      <c r="D1605" s="331"/>
      <c r="F1605" s="329"/>
      <c r="I1605" s="330"/>
      <c r="J1605" s="330"/>
    </row>
    <row r="1606" spans="2:10" ht="12.75" x14ac:dyDescent="0.2">
      <c r="B1606" s="331"/>
      <c r="C1606" s="327"/>
      <c r="D1606" s="331"/>
      <c r="F1606" s="329"/>
      <c r="I1606" s="330"/>
      <c r="J1606" s="330"/>
    </row>
    <row r="1607" spans="2:10" ht="12.75" x14ac:dyDescent="0.2">
      <c r="B1607" s="331"/>
      <c r="C1607" s="327"/>
      <c r="D1607" s="331"/>
      <c r="F1607" s="329"/>
      <c r="I1607" s="330"/>
      <c r="J1607" s="330"/>
    </row>
    <row r="1608" spans="2:10" ht="12.75" x14ac:dyDescent="0.2">
      <c r="B1608" s="331"/>
      <c r="C1608" s="327"/>
      <c r="D1608" s="331"/>
      <c r="F1608" s="329"/>
      <c r="I1608" s="330"/>
      <c r="J1608" s="330"/>
    </row>
    <row r="1609" spans="2:10" ht="12.75" x14ac:dyDescent="0.2">
      <c r="B1609" s="331"/>
      <c r="C1609" s="327"/>
      <c r="D1609" s="331"/>
      <c r="F1609" s="329"/>
      <c r="I1609" s="330"/>
      <c r="J1609" s="330"/>
    </row>
    <row r="1610" spans="2:10" ht="12.75" x14ac:dyDescent="0.2">
      <c r="B1610" s="331"/>
      <c r="C1610" s="327"/>
      <c r="D1610" s="331"/>
      <c r="F1610" s="329"/>
      <c r="I1610" s="330"/>
      <c r="J1610" s="330"/>
    </row>
    <row r="1611" spans="2:10" ht="12.75" x14ac:dyDescent="0.2">
      <c r="B1611" s="331"/>
      <c r="C1611" s="327"/>
      <c r="D1611" s="331"/>
      <c r="F1611" s="329"/>
      <c r="I1611" s="330"/>
      <c r="J1611" s="330"/>
    </row>
    <row r="1612" spans="2:10" ht="12.75" x14ac:dyDescent="0.2">
      <c r="B1612" s="331"/>
      <c r="C1612" s="327"/>
      <c r="D1612" s="331"/>
      <c r="F1612" s="329"/>
      <c r="I1612" s="330"/>
      <c r="J1612" s="330"/>
    </row>
    <row r="1613" spans="2:10" ht="12.75" x14ac:dyDescent="0.2">
      <c r="B1613" s="331"/>
      <c r="C1613" s="327"/>
      <c r="D1613" s="331"/>
      <c r="F1613" s="329"/>
      <c r="I1613" s="330"/>
      <c r="J1613" s="330"/>
    </row>
    <row r="1614" spans="2:10" ht="12.75" x14ac:dyDescent="0.2">
      <c r="B1614" s="331"/>
      <c r="C1614" s="327"/>
      <c r="D1614" s="331"/>
      <c r="F1614" s="329"/>
      <c r="I1614" s="330"/>
      <c r="J1614" s="330"/>
    </row>
    <row r="1615" spans="2:10" ht="12.75" x14ac:dyDescent="0.2">
      <c r="B1615" s="331"/>
      <c r="C1615" s="327"/>
      <c r="D1615" s="331"/>
      <c r="F1615" s="329"/>
      <c r="I1615" s="330"/>
      <c r="J1615" s="330"/>
    </row>
    <row r="1616" spans="2:10" ht="12.75" x14ac:dyDescent="0.2">
      <c r="B1616" s="331"/>
      <c r="C1616" s="327"/>
      <c r="D1616" s="331"/>
      <c r="F1616" s="329"/>
      <c r="I1616" s="330"/>
      <c r="J1616" s="330"/>
    </row>
    <row r="1617" spans="2:10" ht="12.75" x14ac:dyDescent="0.2">
      <c r="B1617" s="331"/>
      <c r="C1617" s="327"/>
      <c r="D1617" s="331"/>
      <c r="F1617" s="329"/>
      <c r="I1617" s="330"/>
      <c r="J1617" s="330"/>
    </row>
    <row r="1618" spans="2:10" ht="12.75" x14ac:dyDescent="0.2">
      <c r="B1618" s="331"/>
      <c r="C1618" s="327"/>
      <c r="D1618" s="331"/>
      <c r="F1618" s="329"/>
      <c r="I1618" s="330"/>
      <c r="J1618" s="330"/>
    </row>
    <row r="1619" spans="2:10" ht="12.75" x14ac:dyDescent="0.2">
      <c r="B1619" s="331"/>
      <c r="C1619" s="327"/>
      <c r="D1619" s="331"/>
      <c r="F1619" s="329"/>
      <c r="I1619" s="330"/>
      <c r="J1619" s="330"/>
    </row>
    <row r="1620" spans="2:10" ht="12.75" x14ac:dyDescent="0.2">
      <c r="B1620" s="331"/>
      <c r="C1620" s="327"/>
      <c r="D1620" s="331"/>
      <c r="F1620" s="329"/>
      <c r="I1620" s="330"/>
      <c r="J1620" s="330"/>
    </row>
    <row r="1621" spans="2:10" ht="12.75" x14ac:dyDescent="0.2">
      <c r="B1621" s="331"/>
      <c r="C1621" s="327"/>
      <c r="D1621" s="331"/>
      <c r="F1621" s="329"/>
      <c r="I1621" s="330"/>
      <c r="J1621" s="330"/>
    </row>
    <row r="1622" spans="2:10" ht="12.75" x14ac:dyDescent="0.2">
      <c r="B1622" s="331"/>
      <c r="C1622" s="327"/>
      <c r="D1622" s="331"/>
      <c r="F1622" s="329"/>
      <c r="I1622" s="330"/>
      <c r="J1622" s="330"/>
    </row>
    <row r="1623" spans="2:10" ht="12.75" x14ac:dyDescent="0.2">
      <c r="B1623" s="331"/>
      <c r="C1623" s="327"/>
      <c r="D1623" s="331"/>
      <c r="F1623" s="329"/>
      <c r="I1623" s="330"/>
      <c r="J1623" s="330"/>
    </row>
    <row r="1624" spans="2:10" ht="12.75" x14ac:dyDescent="0.2">
      <c r="B1624" s="331"/>
      <c r="C1624" s="327"/>
      <c r="D1624" s="331"/>
      <c r="F1624" s="329"/>
      <c r="I1624" s="330"/>
      <c r="J1624" s="330"/>
    </row>
    <row r="1625" spans="2:10" ht="12.75" x14ac:dyDescent="0.2">
      <c r="B1625" s="331"/>
      <c r="C1625" s="327"/>
      <c r="D1625" s="331"/>
      <c r="F1625" s="329"/>
      <c r="I1625" s="330"/>
      <c r="J1625" s="330"/>
    </row>
    <row r="1626" spans="2:10" ht="12.75" x14ac:dyDescent="0.2">
      <c r="B1626" s="331"/>
      <c r="C1626" s="327"/>
      <c r="D1626" s="331"/>
      <c r="F1626" s="329"/>
      <c r="I1626" s="330"/>
      <c r="J1626" s="330"/>
    </row>
    <row r="1627" spans="2:10" ht="12.75" x14ac:dyDescent="0.2">
      <c r="B1627" s="331"/>
      <c r="C1627" s="327"/>
      <c r="D1627" s="331"/>
      <c r="F1627" s="329"/>
      <c r="I1627" s="330"/>
      <c r="J1627" s="330"/>
    </row>
    <row r="1628" spans="2:10" ht="12.75" x14ac:dyDescent="0.2">
      <c r="B1628" s="331"/>
      <c r="C1628" s="327"/>
      <c r="D1628" s="331"/>
      <c r="F1628" s="329"/>
      <c r="I1628" s="330"/>
      <c r="J1628" s="330"/>
    </row>
    <row r="1629" spans="2:10" ht="12.75" x14ac:dyDescent="0.2">
      <c r="B1629" s="331"/>
      <c r="C1629" s="327"/>
      <c r="D1629" s="331"/>
      <c r="F1629" s="329"/>
      <c r="I1629" s="330"/>
      <c r="J1629" s="330"/>
    </row>
    <row r="1630" spans="2:10" ht="12.75" x14ac:dyDescent="0.2">
      <c r="B1630" s="331"/>
      <c r="C1630" s="327"/>
      <c r="D1630" s="331"/>
      <c r="F1630" s="329"/>
      <c r="I1630" s="330"/>
      <c r="J1630" s="330"/>
    </row>
    <row r="1631" spans="2:10" ht="12.75" x14ac:dyDescent="0.2">
      <c r="B1631" s="331"/>
      <c r="C1631" s="327"/>
      <c r="D1631" s="331"/>
      <c r="F1631" s="329"/>
      <c r="I1631" s="330"/>
      <c r="J1631" s="330"/>
    </row>
    <row r="1632" spans="2:10" ht="12.75" x14ac:dyDescent="0.2">
      <c r="B1632" s="331"/>
      <c r="C1632" s="327"/>
      <c r="D1632" s="331"/>
      <c r="F1632" s="329"/>
      <c r="I1632" s="330"/>
      <c r="J1632" s="330"/>
    </row>
    <row r="1633" spans="2:10" ht="12.75" x14ac:dyDescent="0.2">
      <c r="B1633" s="331"/>
      <c r="C1633" s="327"/>
      <c r="D1633" s="331"/>
      <c r="F1633" s="329"/>
      <c r="I1633" s="330"/>
      <c r="J1633" s="330"/>
    </row>
    <row r="1634" spans="2:10" ht="12.75" x14ac:dyDescent="0.2">
      <c r="B1634" s="331"/>
      <c r="C1634" s="327"/>
      <c r="D1634" s="331"/>
      <c r="F1634" s="329"/>
      <c r="I1634" s="330"/>
      <c r="J1634" s="330"/>
    </row>
    <row r="1635" spans="2:10" ht="12.75" x14ac:dyDescent="0.2">
      <c r="B1635" s="331"/>
      <c r="C1635" s="327"/>
      <c r="D1635" s="331"/>
      <c r="F1635" s="329"/>
      <c r="I1635" s="330"/>
      <c r="J1635" s="330"/>
    </row>
    <row r="1636" spans="2:10" ht="12.75" x14ac:dyDescent="0.2">
      <c r="B1636" s="331"/>
      <c r="C1636" s="327"/>
      <c r="D1636" s="331"/>
      <c r="F1636" s="329"/>
      <c r="I1636" s="330"/>
      <c r="J1636" s="330"/>
    </row>
    <row r="1637" spans="2:10" ht="12.75" x14ac:dyDescent="0.2">
      <c r="B1637" s="331"/>
      <c r="C1637" s="327"/>
      <c r="D1637" s="331"/>
      <c r="F1637" s="329"/>
      <c r="I1637" s="330"/>
      <c r="J1637" s="330"/>
    </row>
    <row r="1638" spans="2:10" ht="12.75" x14ac:dyDescent="0.2">
      <c r="B1638" s="331"/>
      <c r="C1638" s="327"/>
      <c r="D1638" s="331"/>
      <c r="F1638" s="329"/>
      <c r="I1638" s="330"/>
      <c r="J1638" s="330"/>
    </row>
    <row r="1639" spans="2:10" ht="12.75" x14ac:dyDescent="0.2">
      <c r="B1639" s="331"/>
      <c r="C1639" s="327"/>
      <c r="D1639" s="331"/>
      <c r="F1639" s="329"/>
      <c r="I1639" s="330"/>
      <c r="J1639" s="330"/>
    </row>
    <row r="1640" spans="2:10" ht="12.75" x14ac:dyDescent="0.2">
      <c r="B1640" s="331"/>
      <c r="C1640" s="327"/>
      <c r="D1640" s="331"/>
      <c r="F1640" s="329"/>
      <c r="I1640" s="330"/>
      <c r="J1640" s="330"/>
    </row>
    <row r="1641" spans="2:10" ht="12.75" x14ac:dyDescent="0.2">
      <c r="B1641" s="331"/>
      <c r="C1641" s="327"/>
      <c r="D1641" s="331"/>
      <c r="F1641" s="329"/>
      <c r="I1641" s="330"/>
      <c r="J1641" s="330"/>
    </row>
    <row r="1642" spans="2:10" ht="12.75" x14ac:dyDescent="0.2">
      <c r="B1642" s="331"/>
      <c r="C1642" s="327"/>
      <c r="D1642" s="331"/>
      <c r="F1642" s="329"/>
      <c r="I1642" s="330"/>
      <c r="J1642" s="330"/>
    </row>
    <row r="1643" spans="2:10" ht="12.75" x14ac:dyDescent="0.2">
      <c r="B1643" s="331"/>
      <c r="C1643" s="327"/>
      <c r="D1643" s="331"/>
      <c r="F1643" s="329"/>
      <c r="I1643" s="330"/>
      <c r="J1643" s="330"/>
    </row>
    <row r="1644" spans="2:10" ht="12.75" x14ac:dyDescent="0.2">
      <c r="B1644" s="331"/>
      <c r="C1644" s="327"/>
      <c r="D1644" s="331"/>
      <c r="F1644" s="329"/>
      <c r="I1644" s="330"/>
      <c r="J1644" s="330"/>
    </row>
    <row r="1645" spans="2:10" ht="12.75" x14ac:dyDescent="0.2">
      <c r="B1645" s="331"/>
      <c r="C1645" s="327"/>
      <c r="D1645" s="331"/>
      <c r="F1645" s="329"/>
      <c r="I1645" s="330"/>
      <c r="J1645" s="330"/>
    </row>
    <row r="1646" spans="2:10" ht="12.75" x14ac:dyDescent="0.2">
      <c r="B1646" s="331"/>
      <c r="C1646" s="327"/>
      <c r="D1646" s="331"/>
      <c r="F1646" s="329"/>
      <c r="I1646" s="330"/>
      <c r="J1646" s="330"/>
    </row>
    <row r="1647" spans="2:10" ht="12.75" x14ac:dyDescent="0.2">
      <c r="B1647" s="331"/>
      <c r="C1647" s="327"/>
      <c r="D1647" s="331"/>
      <c r="F1647" s="329"/>
      <c r="I1647" s="330"/>
      <c r="J1647" s="330"/>
    </row>
    <row r="1648" spans="2:10" ht="12.75" x14ac:dyDescent="0.2">
      <c r="B1648" s="331"/>
      <c r="C1648" s="327"/>
      <c r="D1648" s="331"/>
      <c r="F1648" s="329"/>
      <c r="I1648" s="330"/>
      <c r="J1648" s="330"/>
    </row>
    <row r="1649" spans="2:10" ht="12.75" x14ac:dyDescent="0.2">
      <c r="B1649" s="331"/>
      <c r="C1649" s="327"/>
      <c r="D1649" s="331"/>
      <c r="F1649" s="329"/>
      <c r="I1649" s="330"/>
      <c r="J1649" s="330"/>
    </row>
    <row r="1650" spans="2:10" ht="12.75" x14ac:dyDescent="0.2">
      <c r="B1650" s="331"/>
      <c r="C1650" s="327"/>
      <c r="D1650" s="331"/>
      <c r="F1650" s="329"/>
      <c r="I1650" s="330"/>
      <c r="J1650" s="330"/>
    </row>
    <row r="1651" spans="2:10" ht="12.75" x14ac:dyDescent="0.2">
      <c r="B1651" s="331"/>
      <c r="C1651" s="327"/>
      <c r="D1651" s="331"/>
      <c r="F1651" s="329"/>
      <c r="I1651" s="330"/>
      <c r="J1651" s="330"/>
    </row>
    <row r="1652" spans="2:10" ht="12.75" x14ac:dyDescent="0.2">
      <c r="B1652" s="331"/>
      <c r="C1652" s="327"/>
      <c r="D1652" s="331"/>
      <c r="F1652" s="329"/>
      <c r="I1652" s="330"/>
      <c r="J1652" s="330"/>
    </row>
    <row r="1653" spans="2:10" ht="12.75" x14ac:dyDescent="0.2">
      <c r="B1653" s="331"/>
      <c r="C1653" s="327"/>
      <c r="D1653" s="331"/>
      <c r="F1653" s="329"/>
      <c r="I1653" s="330"/>
      <c r="J1653" s="330"/>
    </row>
    <row r="1654" spans="2:10" ht="12.75" x14ac:dyDescent="0.2">
      <c r="B1654" s="331"/>
      <c r="C1654" s="327"/>
      <c r="D1654" s="331"/>
      <c r="F1654" s="329"/>
      <c r="I1654" s="330"/>
      <c r="J1654" s="330"/>
    </row>
    <row r="1655" spans="2:10" ht="12.75" x14ac:dyDescent="0.2">
      <c r="B1655" s="331"/>
      <c r="C1655" s="327"/>
      <c r="D1655" s="331"/>
      <c r="F1655" s="329"/>
      <c r="I1655" s="330"/>
      <c r="J1655" s="330"/>
    </row>
    <row r="1656" spans="2:10" ht="12.75" x14ac:dyDescent="0.2">
      <c r="B1656" s="331"/>
      <c r="C1656" s="327"/>
      <c r="D1656" s="331"/>
      <c r="F1656" s="329"/>
      <c r="I1656" s="330"/>
      <c r="J1656" s="330"/>
    </row>
    <row r="1657" spans="2:10" ht="12.75" x14ac:dyDescent="0.2">
      <c r="B1657" s="331"/>
      <c r="C1657" s="327"/>
      <c r="D1657" s="331"/>
      <c r="F1657" s="329"/>
      <c r="I1657" s="330"/>
      <c r="J1657" s="330"/>
    </row>
    <row r="1658" spans="2:10" ht="12.75" x14ac:dyDescent="0.2">
      <c r="B1658" s="331"/>
      <c r="C1658" s="327"/>
      <c r="D1658" s="331"/>
      <c r="F1658" s="329"/>
      <c r="I1658" s="330"/>
      <c r="J1658" s="330"/>
    </row>
    <row r="1659" spans="2:10" ht="12.75" x14ac:dyDescent="0.2">
      <c r="B1659" s="331"/>
      <c r="C1659" s="327"/>
      <c r="D1659" s="331"/>
      <c r="F1659" s="329"/>
      <c r="I1659" s="330"/>
      <c r="J1659" s="330"/>
    </row>
    <row r="1660" spans="2:10" ht="12.75" x14ac:dyDescent="0.2">
      <c r="B1660" s="331"/>
      <c r="C1660" s="327"/>
      <c r="D1660" s="331"/>
      <c r="F1660" s="329"/>
      <c r="I1660" s="330"/>
      <c r="J1660" s="330"/>
    </row>
    <row r="1661" spans="2:10" ht="12.75" x14ac:dyDescent="0.2">
      <c r="B1661" s="331"/>
      <c r="C1661" s="327"/>
      <c r="D1661" s="331"/>
      <c r="F1661" s="329"/>
      <c r="I1661" s="330"/>
      <c r="J1661" s="330"/>
    </row>
    <row r="1662" spans="2:10" ht="12.75" x14ac:dyDescent="0.2">
      <c r="B1662" s="331"/>
      <c r="C1662" s="327"/>
      <c r="D1662" s="331"/>
      <c r="F1662" s="329"/>
      <c r="I1662" s="330"/>
      <c r="J1662" s="330"/>
    </row>
    <row r="1663" spans="2:10" ht="12.75" x14ac:dyDescent="0.2">
      <c r="B1663" s="331"/>
      <c r="C1663" s="327"/>
      <c r="D1663" s="331"/>
      <c r="F1663" s="329"/>
      <c r="I1663" s="330"/>
      <c r="J1663" s="330"/>
    </row>
    <row r="1664" spans="2:10" ht="12.75" x14ac:dyDescent="0.2">
      <c r="B1664" s="331"/>
      <c r="C1664" s="327"/>
      <c r="D1664" s="331"/>
      <c r="F1664" s="329"/>
      <c r="I1664" s="330"/>
      <c r="J1664" s="330"/>
    </row>
    <row r="1665" spans="2:10" ht="12.75" x14ac:dyDescent="0.2">
      <c r="B1665" s="331"/>
      <c r="C1665" s="327"/>
      <c r="D1665" s="331"/>
      <c r="F1665" s="329"/>
      <c r="I1665" s="330"/>
      <c r="J1665" s="330"/>
    </row>
    <row r="1666" spans="2:10" ht="12.75" x14ac:dyDescent="0.2">
      <c r="B1666" s="331"/>
      <c r="C1666" s="327"/>
      <c r="D1666" s="331"/>
      <c r="F1666" s="329"/>
      <c r="I1666" s="330"/>
      <c r="J1666" s="330"/>
    </row>
    <row r="1667" spans="2:10" ht="12.75" x14ac:dyDescent="0.2">
      <c r="B1667" s="331"/>
      <c r="C1667" s="327"/>
      <c r="D1667" s="331"/>
      <c r="F1667" s="329"/>
      <c r="I1667" s="330"/>
      <c r="J1667" s="330"/>
    </row>
    <row r="1668" spans="2:10" ht="12.75" x14ac:dyDescent="0.2">
      <c r="B1668" s="331"/>
      <c r="C1668" s="327"/>
      <c r="D1668" s="331"/>
      <c r="F1668" s="329"/>
      <c r="I1668" s="330"/>
      <c r="J1668" s="330"/>
    </row>
    <row r="1669" spans="2:10" ht="12.75" x14ac:dyDescent="0.2">
      <c r="B1669" s="331"/>
      <c r="C1669" s="327"/>
      <c r="D1669" s="331"/>
      <c r="F1669" s="329"/>
      <c r="I1669" s="330"/>
      <c r="J1669" s="330"/>
    </row>
    <row r="1670" spans="2:10" ht="12.75" x14ac:dyDescent="0.2">
      <c r="B1670" s="331"/>
      <c r="C1670" s="327"/>
      <c r="D1670" s="331"/>
      <c r="F1670" s="329"/>
      <c r="I1670" s="330"/>
      <c r="J1670" s="330"/>
    </row>
    <row r="1671" spans="2:10" ht="12.75" x14ac:dyDescent="0.2">
      <c r="B1671" s="331"/>
      <c r="C1671" s="327"/>
      <c r="D1671" s="331"/>
      <c r="F1671" s="329"/>
      <c r="I1671" s="330"/>
      <c r="J1671" s="330"/>
    </row>
    <row r="1672" spans="2:10" ht="12.75" x14ac:dyDescent="0.2">
      <c r="B1672" s="331"/>
      <c r="C1672" s="327"/>
      <c r="D1672" s="331"/>
      <c r="F1672" s="329"/>
      <c r="I1672" s="330"/>
      <c r="J1672" s="330"/>
    </row>
    <row r="1673" spans="2:10" ht="12.75" x14ac:dyDescent="0.2">
      <c r="B1673" s="331"/>
      <c r="C1673" s="327"/>
      <c r="D1673" s="331"/>
      <c r="F1673" s="329"/>
      <c r="I1673" s="330"/>
      <c r="J1673" s="330"/>
    </row>
    <row r="1674" spans="2:10" ht="12.75" x14ac:dyDescent="0.2">
      <c r="B1674" s="331"/>
      <c r="C1674" s="327"/>
      <c r="D1674" s="331"/>
      <c r="F1674" s="329"/>
      <c r="I1674" s="330"/>
      <c r="J1674" s="330"/>
    </row>
    <row r="1675" spans="2:10" ht="12.75" x14ac:dyDescent="0.2">
      <c r="B1675" s="331"/>
      <c r="C1675" s="327"/>
      <c r="D1675" s="331"/>
      <c r="F1675" s="329"/>
      <c r="I1675" s="330"/>
      <c r="J1675" s="330"/>
    </row>
    <row r="1676" spans="2:10" ht="12.75" x14ac:dyDescent="0.2">
      <c r="B1676" s="331"/>
      <c r="C1676" s="327"/>
      <c r="D1676" s="331"/>
      <c r="F1676" s="329"/>
      <c r="I1676" s="330"/>
      <c r="J1676" s="330"/>
    </row>
    <row r="1677" spans="2:10" ht="12.75" x14ac:dyDescent="0.2">
      <c r="B1677" s="331"/>
      <c r="C1677" s="327"/>
      <c r="D1677" s="331"/>
      <c r="F1677" s="329"/>
      <c r="I1677" s="330"/>
      <c r="J1677" s="330"/>
    </row>
    <row r="1678" spans="2:10" ht="12.75" x14ac:dyDescent="0.2">
      <c r="B1678" s="331"/>
      <c r="C1678" s="327"/>
      <c r="D1678" s="331"/>
      <c r="F1678" s="329"/>
      <c r="I1678" s="330"/>
      <c r="J1678" s="330"/>
    </row>
    <row r="1679" spans="2:10" ht="12.75" x14ac:dyDescent="0.2">
      <c r="B1679" s="331"/>
      <c r="C1679" s="327"/>
      <c r="D1679" s="331"/>
      <c r="F1679" s="329"/>
      <c r="I1679" s="330"/>
      <c r="J1679" s="330"/>
    </row>
    <row r="1680" spans="2:10" ht="12.75" x14ac:dyDescent="0.2">
      <c r="B1680" s="331"/>
      <c r="C1680" s="327"/>
      <c r="D1680" s="331"/>
      <c r="F1680" s="329"/>
      <c r="I1680" s="330"/>
      <c r="J1680" s="330"/>
    </row>
    <row r="1681" spans="2:10" ht="12.75" x14ac:dyDescent="0.2">
      <c r="B1681" s="331"/>
      <c r="C1681" s="327"/>
      <c r="D1681" s="331"/>
      <c r="F1681" s="329"/>
      <c r="I1681" s="330"/>
      <c r="J1681" s="330"/>
    </row>
    <row r="1682" spans="2:10" ht="12.75" x14ac:dyDescent="0.2">
      <c r="B1682" s="331"/>
      <c r="C1682" s="327"/>
      <c r="D1682" s="331"/>
      <c r="F1682" s="329"/>
      <c r="I1682" s="330"/>
      <c r="J1682" s="330"/>
    </row>
    <row r="1683" spans="2:10" ht="12.75" x14ac:dyDescent="0.2">
      <c r="B1683" s="331"/>
      <c r="C1683" s="327"/>
      <c r="D1683" s="331"/>
      <c r="F1683" s="329"/>
      <c r="I1683" s="330"/>
      <c r="J1683" s="330"/>
    </row>
    <row r="1684" spans="2:10" ht="12.75" x14ac:dyDescent="0.2">
      <c r="B1684" s="331"/>
      <c r="C1684" s="327"/>
      <c r="D1684" s="331"/>
      <c r="F1684" s="329"/>
      <c r="I1684" s="330"/>
      <c r="J1684" s="330"/>
    </row>
    <row r="1685" spans="2:10" ht="12.75" x14ac:dyDescent="0.2">
      <c r="B1685" s="331"/>
      <c r="C1685" s="327"/>
      <c r="D1685" s="331"/>
      <c r="F1685" s="329"/>
      <c r="I1685" s="330"/>
      <c r="J1685" s="330"/>
    </row>
    <row r="1686" spans="2:10" ht="12.75" x14ac:dyDescent="0.2">
      <c r="B1686" s="331"/>
      <c r="C1686" s="327"/>
      <c r="D1686" s="331"/>
      <c r="F1686" s="329"/>
      <c r="I1686" s="330"/>
      <c r="J1686" s="330"/>
    </row>
    <row r="1687" spans="2:10" ht="12.75" x14ac:dyDescent="0.2">
      <c r="B1687" s="331"/>
      <c r="C1687" s="327"/>
      <c r="D1687" s="331"/>
      <c r="F1687" s="329"/>
      <c r="I1687" s="330"/>
      <c r="J1687" s="330"/>
    </row>
    <row r="1688" spans="2:10" ht="12.75" x14ac:dyDescent="0.2">
      <c r="B1688" s="331"/>
      <c r="C1688" s="327"/>
      <c r="D1688" s="331"/>
      <c r="F1688" s="329"/>
      <c r="I1688" s="330"/>
      <c r="J1688" s="330"/>
    </row>
    <row r="1689" spans="2:10" ht="12.75" x14ac:dyDescent="0.2">
      <c r="B1689" s="331"/>
      <c r="C1689" s="327"/>
      <c r="D1689" s="331"/>
      <c r="F1689" s="329"/>
      <c r="I1689" s="330"/>
      <c r="J1689" s="330"/>
    </row>
    <row r="1690" spans="2:10" ht="12.75" x14ac:dyDescent="0.2">
      <c r="B1690" s="331"/>
      <c r="C1690" s="327"/>
      <c r="D1690" s="331"/>
      <c r="F1690" s="329"/>
      <c r="I1690" s="330"/>
      <c r="J1690" s="330"/>
    </row>
    <row r="1691" spans="2:10" ht="12.75" x14ac:dyDescent="0.2">
      <c r="B1691" s="331"/>
      <c r="C1691" s="327"/>
      <c r="D1691" s="331"/>
      <c r="F1691" s="329"/>
      <c r="I1691" s="330"/>
      <c r="J1691" s="330"/>
    </row>
    <row r="1692" spans="2:10" ht="12.75" x14ac:dyDescent="0.2">
      <c r="B1692" s="331"/>
      <c r="C1692" s="327"/>
      <c r="D1692" s="331"/>
      <c r="F1692" s="329"/>
      <c r="I1692" s="330"/>
      <c r="J1692" s="330"/>
    </row>
    <row r="1693" spans="2:10" ht="12.75" x14ac:dyDescent="0.2">
      <c r="B1693" s="331"/>
      <c r="C1693" s="327"/>
      <c r="D1693" s="331"/>
      <c r="F1693" s="329"/>
      <c r="I1693" s="330"/>
      <c r="J1693" s="330"/>
    </row>
    <row r="1694" spans="2:10" ht="12.75" x14ac:dyDescent="0.2">
      <c r="B1694" s="331"/>
      <c r="C1694" s="327"/>
      <c r="D1694" s="331"/>
      <c r="F1694" s="329"/>
      <c r="I1694" s="330"/>
      <c r="J1694" s="330"/>
    </row>
    <row r="1695" spans="2:10" ht="12.75" x14ac:dyDescent="0.2">
      <c r="B1695" s="331"/>
      <c r="C1695" s="327"/>
      <c r="D1695" s="331"/>
      <c r="F1695" s="329"/>
      <c r="I1695" s="330"/>
      <c r="J1695" s="330"/>
    </row>
    <row r="1696" spans="2:10" ht="12.75" x14ac:dyDescent="0.2">
      <c r="B1696" s="331"/>
      <c r="C1696" s="327"/>
      <c r="D1696" s="331"/>
      <c r="F1696" s="329"/>
      <c r="I1696" s="330"/>
      <c r="J1696" s="330"/>
    </row>
    <row r="1697" spans="2:10" ht="12.75" x14ac:dyDescent="0.2">
      <c r="B1697" s="331"/>
      <c r="C1697" s="327"/>
      <c r="D1697" s="331"/>
      <c r="F1697" s="329"/>
      <c r="I1697" s="330"/>
      <c r="J1697" s="330"/>
    </row>
    <row r="1698" spans="2:10" ht="12.75" x14ac:dyDescent="0.2">
      <c r="B1698" s="331"/>
      <c r="C1698" s="327"/>
      <c r="D1698" s="331"/>
      <c r="F1698" s="329"/>
      <c r="I1698" s="330"/>
      <c r="J1698" s="330"/>
    </row>
    <row r="1699" spans="2:10" ht="12.75" x14ac:dyDescent="0.2">
      <c r="B1699" s="331"/>
      <c r="C1699" s="327"/>
      <c r="D1699" s="331"/>
      <c r="F1699" s="329"/>
      <c r="I1699" s="330"/>
      <c r="J1699" s="330"/>
    </row>
    <row r="1700" spans="2:10" ht="12.75" x14ac:dyDescent="0.2">
      <c r="B1700" s="331"/>
      <c r="C1700" s="327"/>
      <c r="D1700" s="331"/>
      <c r="F1700" s="329"/>
      <c r="I1700" s="330"/>
      <c r="J1700" s="330"/>
    </row>
    <row r="1701" spans="2:10" ht="12.75" x14ac:dyDescent="0.2">
      <c r="B1701" s="331"/>
      <c r="C1701" s="327"/>
      <c r="D1701" s="331"/>
      <c r="F1701" s="329"/>
      <c r="I1701" s="330"/>
      <c r="J1701" s="330"/>
    </row>
    <row r="1702" spans="2:10" ht="12.75" x14ac:dyDescent="0.2">
      <c r="B1702" s="331"/>
      <c r="C1702" s="327"/>
      <c r="D1702" s="331"/>
      <c r="F1702" s="329"/>
      <c r="I1702" s="330"/>
      <c r="J1702" s="330"/>
    </row>
    <row r="1703" spans="2:10" ht="12.75" x14ac:dyDescent="0.2">
      <c r="B1703" s="331"/>
      <c r="C1703" s="327"/>
      <c r="D1703" s="331"/>
      <c r="F1703" s="329"/>
      <c r="I1703" s="330"/>
      <c r="J1703" s="330"/>
    </row>
    <row r="1704" spans="2:10" ht="12.75" x14ac:dyDescent="0.2">
      <c r="B1704" s="331"/>
      <c r="C1704" s="327"/>
      <c r="D1704" s="331"/>
      <c r="F1704" s="329"/>
      <c r="I1704" s="330"/>
      <c r="J1704" s="330"/>
    </row>
    <row r="1705" spans="2:10" ht="12.75" x14ac:dyDescent="0.2">
      <c r="B1705" s="331"/>
      <c r="C1705" s="327"/>
      <c r="D1705" s="331"/>
      <c r="F1705" s="329"/>
      <c r="I1705" s="330"/>
      <c r="J1705" s="330"/>
    </row>
    <row r="1706" spans="2:10" ht="12.75" x14ac:dyDescent="0.2">
      <c r="B1706" s="331"/>
      <c r="C1706" s="327"/>
      <c r="D1706" s="331"/>
      <c r="F1706" s="329"/>
      <c r="I1706" s="330"/>
      <c r="J1706" s="330"/>
    </row>
    <row r="1707" spans="2:10" ht="12.75" x14ac:dyDescent="0.2">
      <c r="B1707" s="331"/>
      <c r="C1707" s="327"/>
      <c r="D1707" s="331"/>
      <c r="F1707" s="329"/>
      <c r="I1707" s="330"/>
      <c r="J1707" s="330"/>
    </row>
    <row r="1708" spans="2:10" ht="12.75" x14ac:dyDescent="0.2">
      <c r="B1708" s="331"/>
      <c r="C1708" s="327"/>
      <c r="D1708" s="331"/>
      <c r="F1708" s="329"/>
      <c r="I1708" s="330"/>
      <c r="J1708" s="330"/>
    </row>
    <row r="1709" spans="2:10" ht="12.75" x14ac:dyDescent="0.2">
      <c r="B1709" s="331"/>
      <c r="C1709" s="327"/>
      <c r="D1709" s="331"/>
      <c r="F1709" s="329"/>
      <c r="I1709" s="330"/>
      <c r="J1709" s="330"/>
    </row>
    <row r="1710" spans="2:10" ht="12.75" x14ac:dyDescent="0.2">
      <c r="B1710" s="331"/>
      <c r="C1710" s="327"/>
      <c r="D1710" s="331"/>
      <c r="F1710" s="329"/>
      <c r="I1710" s="330"/>
      <c r="J1710" s="330"/>
    </row>
    <row r="1711" spans="2:10" ht="12.75" x14ac:dyDescent="0.2">
      <c r="B1711" s="331"/>
      <c r="C1711" s="327"/>
      <c r="D1711" s="331"/>
      <c r="F1711" s="329"/>
      <c r="I1711" s="330"/>
      <c r="J1711" s="330"/>
    </row>
    <row r="1712" spans="2:10" ht="12.75" x14ac:dyDescent="0.2">
      <c r="B1712" s="331"/>
      <c r="C1712" s="327"/>
      <c r="D1712" s="331"/>
      <c r="F1712" s="329"/>
      <c r="I1712" s="330"/>
      <c r="J1712" s="330"/>
    </row>
    <row r="1713" spans="2:10" ht="12.75" x14ac:dyDescent="0.2">
      <c r="B1713" s="331"/>
      <c r="C1713" s="327"/>
      <c r="D1713" s="331"/>
      <c r="F1713" s="329"/>
      <c r="I1713" s="330"/>
      <c r="J1713" s="330"/>
    </row>
    <row r="1714" spans="2:10" ht="12.75" x14ac:dyDescent="0.2">
      <c r="B1714" s="331"/>
      <c r="C1714" s="327"/>
      <c r="D1714" s="331"/>
      <c r="F1714" s="329"/>
      <c r="I1714" s="330"/>
      <c r="J1714" s="330"/>
    </row>
    <row r="1715" spans="2:10" ht="12.75" x14ac:dyDescent="0.2">
      <c r="B1715" s="331"/>
      <c r="C1715" s="327"/>
      <c r="D1715" s="331"/>
      <c r="F1715" s="329"/>
      <c r="I1715" s="330"/>
      <c r="J1715" s="330"/>
    </row>
    <row r="1716" spans="2:10" ht="12.75" x14ac:dyDescent="0.2">
      <c r="B1716" s="331"/>
      <c r="C1716" s="327"/>
      <c r="D1716" s="331"/>
      <c r="F1716" s="329"/>
      <c r="I1716" s="330"/>
      <c r="J1716" s="330"/>
    </row>
    <row r="1717" spans="2:10" ht="12.75" x14ac:dyDescent="0.2">
      <c r="B1717" s="331"/>
      <c r="C1717" s="327"/>
      <c r="D1717" s="331"/>
      <c r="F1717" s="329"/>
      <c r="I1717" s="330"/>
      <c r="J1717" s="330"/>
    </row>
    <row r="1718" spans="2:10" ht="12.75" x14ac:dyDescent="0.2">
      <c r="B1718" s="331"/>
      <c r="C1718" s="327"/>
      <c r="D1718" s="331"/>
      <c r="F1718" s="329"/>
      <c r="I1718" s="330"/>
      <c r="J1718" s="330"/>
    </row>
    <row r="1719" spans="2:10" ht="12.75" x14ac:dyDescent="0.2">
      <c r="B1719" s="331"/>
      <c r="C1719" s="327"/>
      <c r="D1719" s="331"/>
      <c r="F1719" s="329"/>
      <c r="I1719" s="330"/>
      <c r="J1719" s="330"/>
    </row>
    <row r="1720" spans="2:10" ht="12.75" x14ac:dyDescent="0.2">
      <c r="B1720" s="331"/>
      <c r="C1720" s="327"/>
      <c r="D1720" s="331"/>
      <c r="F1720" s="329"/>
      <c r="I1720" s="330"/>
      <c r="J1720" s="330"/>
    </row>
    <row r="1721" spans="2:10" ht="12.75" x14ac:dyDescent="0.2">
      <c r="B1721" s="331"/>
      <c r="C1721" s="327"/>
      <c r="D1721" s="331"/>
      <c r="F1721" s="329"/>
      <c r="I1721" s="330"/>
      <c r="J1721" s="330"/>
    </row>
    <row r="1722" spans="2:10" ht="12.75" x14ac:dyDescent="0.2">
      <c r="B1722" s="331"/>
      <c r="C1722" s="327"/>
      <c r="D1722" s="331"/>
      <c r="F1722" s="329"/>
      <c r="I1722" s="330"/>
      <c r="J1722" s="330"/>
    </row>
    <row r="1723" spans="2:10" ht="12.75" x14ac:dyDescent="0.2">
      <c r="B1723" s="331"/>
      <c r="C1723" s="327"/>
      <c r="D1723" s="331"/>
      <c r="F1723" s="329"/>
      <c r="I1723" s="330"/>
      <c r="J1723" s="330"/>
    </row>
    <row r="1724" spans="2:10" ht="12.75" x14ac:dyDescent="0.2">
      <c r="B1724" s="331"/>
      <c r="C1724" s="327"/>
      <c r="D1724" s="331"/>
      <c r="F1724" s="329"/>
      <c r="I1724" s="330"/>
      <c r="J1724" s="330"/>
    </row>
    <row r="1725" spans="2:10" ht="12.75" x14ac:dyDescent="0.2">
      <c r="B1725" s="331"/>
      <c r="C1725" s="327"/>
      <c r="D1725" s="331"/>
      <c r="F1725" s="329"/>
      <c r="I1725" s="330"/>
      <c r="J1725" s="330"/>
    </row>
    <row r="1726" spans="2:10" ht="12.75" x14ac:dyDescent="0.2">
      <c r="B1726" s="331"/>
      <c r="C1726" s="327"/>
      <c r="D1726" s="331"/>
      <c r="F1726" s="329"/>
      <c r="I1726" s="330"/>
      <c r="J1726" s="330"/>
    </row>
    <row r="1727" spans="2:10" ht="12.75" x14ac:dyDescent="0.2">
      <c r="B1727" s="331"/>
      <c r="C1727" s="327"/>
      <c r="D1727" s="331"/>
      <c r="F1727" s="329"/>
      <c r="I1727" s="330"/>
      <c r="J1727" s="330"/>
    </row>
    <row r="1728" spans="2:10" ht="12.75" x14ac:dyDescent="0.2">
      <c r="B1728" s="331"/>
      <c r="C1728" s="327"/>
      <c r="D1728" s="331"/>
      <c r="F1728" s="329"/>
      <c r="I1728" s="330"/>
      <c r="J1728" s="330"/>
    </row>
    <row r="1729" spans="2:10" ht="12.75" x14ac:dyDescent="0.2">
      <c r="B1729" s="331"/>
      <c r="C1729" s="327"/>
      <c r="D1729" s="331"/>
      <c r="F1729" s="329"/>
      <c r="I1729" s="330"/>
      <c r="J1729" s="330"/>
    </row>
    <row r="1730" spans="2:10" ht="12.75" x14ac:dyDescent="0.2">
      <c r="B1730" s="331"/>
      <c r="C1730" s="327"/>
      <c r="D1730" s="331"/>
      <c r="F1730" s="329"/>
      <c r="I1730" s="330"/>
      <c r="J1730" s="330"/>
    </row>
    <row r="1731" spans="2:10" ht="12.75" x14ac:dyDescent="0.2">
      <c r="B1731" s="331"/>
      <c r="C1731" s="327"/>
      <c r="D1731" s="331"/>
      <c r="F1731" s="329"/>
      <c r="I1731" s="330"/>
      <c r="J1731" s="330"/>
    </row>
    <row r="1732" spans="2:10" ht="12.75" x14ac:dyDescent="0.2">
      <c r="B1732" s="331"/>
      <c r="C1732" s="327"/>
      <c r="D1732" s="331"/>
      <c r="F1732" s="329"/>
      <c r="I1732" s="330"/>
      <c r="J1732" s="330"/>
    </row>
    <row r="1733" spans="2:10" ht="12.75" x14ac:dyDescent="0.2">
      <c r="B1733" s="331"/>
      <c r="C1733" s="327"/>
      <c r="D1733" s="331"/>
      <c r="F1733" s="329"/>
      <c r="I1733" s="330"/>
      <c r="J1733" s="330"/>
    </row>
    <row r="1734" spans="2:10" ht="12.75" x14ac:dyDescent="0.2">
      <c r="B1734" s="331"/>
      <c r="C1734" s="327"/>
      <c r="D1734" s="331"/>
      <c r="F1734" s="329"/>
      <c r="I1734" s="330"/>
      <c r="J1734" s="330"/>
    </row>
    <row r="1735" spans="2:10" ht="12.75" x14ac:dyDescent="0.2">
      <c r="B1735" s="331"/>
      <c r="C1735" s="327"/>
      <c r="D1735" s="331"/>
      <c r="F1735" s="329"/>
      <c r="I1735" s="330"/>
      <c r="J1735" s="330"/>
    </row>
    <row r="1736" spans="2:10" ht="12.75" x14ac:dyDescent="0.2">
      <c r="B1736" s="331"/>
      <c r="C1736" s="327"/>
      <c r="D1736" s="331"/>
      <c r="F1736" s="329"/>
      <c r="I1736" s="330"/>
      <c r="J1736" s="330"/>
    </row>
    <row r="1737" spans="2:10" ht="12.75" x14ac:dyDescent="0.2">
      <c r="B1737" s="331"/>
      <c r="C1737" s="327"/>
      <c r="D1737" s="331"/>
      <c r="F1737" s="329"/>
      <c r="I1737" s="330"/>
      <c r="J1737" s="330"/>
    </row>
    <row r="1738" spans="2:10" ht="12.75" x14ac:dyDescent="0.2">
      <c r="B1738" s="331"/>
      <c r="C1738" s="327"/>
      <c r="D1738" s="331"/>
      <c r="F1738" s="329"/>
      <c r="I1738" s="330"/>
      <c r="J1738" s="330"/>
    </row>
    <row r="1739" spans="2:10" ht="12.75" x14ac:dyDescent="0.2">
      <c r="B1739" s="331"/>
      <c r="C1739" s="327"/>
      <c r="D1739" s="331"/>
      <c r="F1739" s="329"/>
      <c r="I1739" s="330"/>
      <c r="J1739" s="330"/>
    </row>
    <row r="1740" spans="2:10" ht="12.75" x14ac:dyDescent="0.2">
      <c r="B1740" s="331"/>
      <c r="C1740" s="327"/>
      <c r="D1740" s="331"/>
      <c r="F1740" s="329"/>
      <c r="I1740" s="330"/>
      <c r="J1740" s="330"/>
    </row>
    <row r="1741" spans="2:10" ht="12.75" x14ac:dyDescent="0.2">
      <c r="B1741" s="331"/>
      <c r="C1741" s="327"/>
      <c r="D1741" s="331"/>
      <c r="F1741" s="329"/>
      <c r="I1741" s="330"/>
      <c r="J1741" s="330"/>
    </row>
    <row r="1742" spans="2:10" ht="12.75" x14ac:dyDescent="0.2">
      <c r="B1742" s="331"/>
      <c r="C1742" s="327"/>
      <c r="D1742" s="331"/>
      <c r="F1742" s="329"/>
      <c r="I1742" s="330"/>
      <c r="J1742" s="330"/>
    </row>
    <row r="1743" spans="2:10" ht="12.75" x14ac:dyDescent="0.2">
      <c r="B1743" s="331"/>
      <c r="C1743" s="327"/>
      <c r="D1743" s="331"/>
      <c r="F1743" s="329"/>
      <c r="I1743" s="330"/>
      <c r="J1743" s="330"/>
    </row>
    <row r="1744" spans="2:10" ht="12.75" x14ac:dyDescent="0.2">
      <c r="B1744" s="331"/>
      <c r="C1744" s="327"/>
      <c r="D1744" s="331"/>
      <c r="F1744" s="329"/>
      <c r="I1744" s="330"/>
      <c r="J1744" s="330"/>
    </row>
    <row r="1745" spans="2:10" ht="12.75" x14ac:dyDescent="0.2">
      <c r="B1745" s="331"/>
      <c r="C1745" s="327"/>
      <c r="D1745" s="331"/>
      <c r="F1745" s="329"/>
      <c r="I1745" s="330"/>
      <c r="J1745" s="330"/>
    </row>
    <row r="1746" spans="2:10" ht="12.75" x14ac:dyDescent="0.2">
      <c r="B1746" s="331"/>
      <c r="C1746" s="327"/>
      <c r="D1746" s="331"/>
      <c r="F1746" s="329"/>
      <c r="I1746" s="330"/>
      <c r="J1746" s="330"/>
    </row>
    <row r="1747" spans="2:10" ht="12.75" x14ac:dyDescent="0.2">
      <c r="B1747" s="331"/>
      <c r="C1747" s="327"/>
      <c r="D1747" s="331"/>
      <c r="F1747" s="329"/>
      <c r="I1747" s="330"/>
      <c r="J1747" s="330"/>
    </row>
    <row r="1748" spans="2:10" ht="12.75" x14ac:dyDescent="0.2">
      <c r="B1748" s="331"/>
      <c r="C1748" s="327"/>
      <c r="D1748" s="331"/>
      <c r="F1748" s="329"/>
      <c r="I1748" s="330"/>
      <c r="J1748" s="330"/>
    </row>
    <row r="1749" spans="2:10" ht="12.75" x14ac:dyDescent="0.2">
      <c r="B1749" s="331"/>
      <c r="C1749" s="327"/>
      <c r="D1749" s="331"/>
      <c r="F1749" s="329"/>
      <c r="I1749" s="330"/>
      <c r="J1749" s="330"/>
    </row>
    <row r="1750" spans="2:10" ht="12.75" x14ac:dyDescent="0.2">
      <c r="B1750" s="331"/>
      <c r="C1750" s="327"/>
      <c r="D1750" s="331"/>
      <c r="F1750" s="329"/>
      <c r="I1750" s="330"/>
      <c r="J1750" s="330"/>
    </row>
    <row r="1751" spans="2:10" ht="12.75" x14ac:dyDescent="0.2">
      <c r="B1751" s="331"/>
      <c r="C1751" s="327"/>
      <c r="D1751" s="331"/>
      <c r="F1751" s="329"/>
      <c r="I1751" s="330"/>
      <c r="J1751" s="330"/>
    </row>
    <row r="1752" spans="2:10" ht="12.75" x14ac:dyDescent="0.2">
      <c r="B1752" s="331"/>
      <c r="C1752" s="327"/>
      <c r="D1752" s="331"/>
      <c r="F1752" s="329"/>
      <c r="I1752" s="330"/>
      <c r="J1752" s="330"/>
    </row>
    <row r="1753" spans="2:10" ht="12.75" x14ac:dyDescent="0.2">
      <c r="B1753" s="331"/>
      <c r="C1753" s="327"/>
      <c r="D1753" s="331"/>
      <c r="F1753" s="329"/>
      <c r="I1753" s="330"/>
      <c r="J1753" s="330"/>
    </row>
    <row r="1754" spans="2:10" ht="12.75" x14ac:dyDescent="0.2">
      <c r="B1754" s="331"/>
      <c r="C1754" s="327"/>
      <c r="D1754" s="331"/>
      <c r="F1754" s="329"/>
      <c r="I1754" s="330"/>
      <c r="J1754" s="330"/>
    </row>
    <row r="1755" spans="2:10" ht="12.75" x14ac:dyDescent="0.2">
      <c r="B1755" s="331"/>
      <c r="C1755" s="327"/>
      <c r="D1755" s="331"/>
      <c r="F1755" s="329"/>
      <c r="I1755" s="330"/>
      <c r="J1755" s="330"/>
    </row>
    <row r="1756" spans="2:10" ht="12.75" x14ac:dyDescent="0.2">
      <c r="B1756" s="331"/>
      <c r="C1756" s="327"/>
      <c r="D1756" s="331"/>
      <c r="F1756" s="329"/>
      <c r="I1756" s="330"/>
      <c r="J1756" s="330"/>
    </row>
    <row r="1757" spans="2:10" ht="12.75" x14ac:dyDescent="0.2">
      <c r="B1757" s="331"/>
      <c r="C1757" s="327"/>
      <c r="D1757" s="331"/>
      <c r="F1757" s="329"/>
      <c r="I1757" s="330"/>
      <c r="J1757" s="330"/>
    </row>
    <row r="1758" spans="2:10" ht="12.75" x14ac:dyDescent="0.2">
      <c r="B1758" s="331"/>
      <c r="C1758" s="327"/>
      <c r="D1758" s="331"/>
      <c r="F1758" s="329"/>
      <c r="I1758" s="330"/>
      <c r="J1758" s="330"/>
    </row>
    <row r="1759" spans="2:10" ht="12.75" x14ac:dyDescent="0.2">
      <c r="B1759" s="331"/>
      <c r="C1759" s="327"/>
      <c r="D1759" s="331"/>
      <c r="F1759" s="329"/>
      <c r="I1759" s="330"/>
      <c r="J1759" s="330"/>
    </row>
    <row r="1760" spans="2:10" ht="12.75" x14ac:dyDescent="0.2">
      <c r="B1760" s="331"/>
      <c r="C1760" s="327"/>
      <c r="D1760" s="331"/>
      <c r="F1760" s="329"/>
      <c r="I1760" s="330"/>
      <c r="J1760" s="330"/>
    </row>
    <row r="1761" spans="2:10" ht="12.75" x14ac:dyDescent="0.2">
      <c r="B1761" s="331"/>
      <c r="C1761" s="327"/>
      <c r="D1761" s="331"/>
      <c r="F1761" s="329"/>
      <c r="I1761" s="330"/>
      <c r="J1761" s="330"/>
    </row>
    <row r="1762" spans="2:10" ht="12.75" x14ac:dyDescent="0.2">
      <c r="B1762" s="331"/>
      <c r="C1762" s="327"/>
      <c r="D1762" s="331"/>
      <c r="F1762" s="329"/>
      <c r="I1762" s="330"/>
      <c r="J1762" s="330"/>
    </row>
    <row r="1763" spans="2:10" ht="12.75" x14ac:dyDescent="0.2">
      <c r="B1763" s="331"/>
      <c r="C1763" s="327"/>
      <c r="D1763" s="331"/>
      <c r="F1763" s="329"/>
      <c r="I1763" s="330"/>
      <c r="J1763" s="330"/>
    </row>
    <row r="1764" spans="2:10" ht="12.75" x14ac:dyDescent="0.2">
      <c r="B1764" s="331"/>
      <c r="C1764" s="327"/>
      <c r="D1764" s="331"/>
      <c r="F1764" s="329"/>
      <c r="I1764" s="330"/>
      <c r="J1764" s="330"/>
    </row>
    <row r="1765" spans="2:10" ht="12.75" x14ac:dyDescent="0.2">
      <c r="B1765" s="331"/>
      <c r="C1765" s="327"/>
      <c r="D1765" s="331"/>
      <c r="F1765" s="329"/>
      <c r="I1765" s="330"/>
      <c r="J1765" s="330"/>
    </row>
    <row r="1766" spans="2:10" ht="12.75" x14ac:dyDescent="0.2">
      <c r="B1766" s="331"/>
      <c r="C1766" s="327"/>
      <c r="D1766" s="331"/>
      <c r="F1766" s="329"/>
      <c r="I1766" s="330"/>
      <c r="J1766" s="330"/>
    </row>
    <row r="1767" spans="2:10" ht="12.75" x14ac:dyDescent="0.2">
      <c r="B1767" s="331"/>
      <c r="C1767" s="327"/>
      <c r="D1767" s="331"/>
      <c r="F1767" s="329"/>
      <c r="I1767" s="330"/>
      <c r="J1767" s="330"/>
    </row>
    <row r="1768" spans="2:10" ht="12.75" x14ac:dyDescent="0.2">
      <c r="B1768" s="331"/>
      <c r="C1768" s="327"/>
      <c r="D1768" s="331"/>
      <c r="F1768" s="329"/>
      <c r="I1768" s="330"/>
      <c r="J1768" s="330"/>
    </row>
    <row r="1769" spans="2:10" ht="12.75" x14ac:dyDescent="0.2">
      <c r="B1769" s="331"/>
      <c r="C1769" s="327"/>
      <c r="D1769" s="331"/>
      <c r="F1769" s="329"/>
      <c r="I1769" s="330"/>
      <c r="J1769" s="330"/>
    </row>
    <row r="1770" spans="2:10" ht="12.75" x14ac:dyDescent="0.2">
      <c r="B1770" s="331"/>
      <c r="C1770" s="327"/>
      <c r="D1770" s="331"/>
      <c r="F1770" s="329"/>
      <c r="I1770" s="330"/>
      <c r="J1770" s="330"/>
    </row>
    <row r="1771" spans="2:10" ht="12.75" x14ac:dyDescent="0.2">
      <c r="B1771" s="331"/>
      <c r="C1771" s="327"/>
      <c r="D1771" s="331"/>
      <c r="F1771" s="329"/>
      <c r="I1771" s="330"/>
      <c r="J1771" s="330"/>
    </row>
    <row r="1772" spans="2:10" ht="12.75" x14ac:dyDescent="0.2">
      <c r="B1772" s="331"/>
      <c r="C1772" s="327"/>
      <c r="D1772" s="331"/>
      <c r="F1772" s="329"/>
      <c r="I1772" s="330"/>
      <c r="J1772" s="330"/>
    </row>
    <row r="1773" spans="2:10" ht="12.75" x14ac:dyDescent="0.2">
      <c r="B1773" s="331"/>
      <c r="C1773" s="327"/>
      <c r="D1773" s="331"/>
      <c r="F1773" s="329"/>
      <c r="I1773" s="330"/>
      <c r="J1773" s="330"/>
    </row>
    <row r="1774" spans="2:10" ht="12.75" x14ac:dyDescent="0.2">
      <c r="B1774" s="331"/>
      <c r="C1774" s="327"/>
      <c r="D1774" s="331"/>
      <c r="F1774" s="329"/>
      <c r="I1774" s="330"/>
      <c r="J1774" s="330"/>
    </row>
    <row r="1775" spans="2:10" ht="12.75" x14ac:dyDescent="0.2">
      <c r="B1775" s="331"/>
      <c r="C1775" s="327"/>
      <c r="D1775" s="331"/>
      <c r="F1775" s="329"/>
      <c r="I1775" s="330"/>
      <c r="J1775" s="330"/>
    </row>
    <row r="1776" spans="2:10" ht="12.75" x14ac:dyDescent="0.2">
      <c r="B1776" s="331"/>
      <c r="C1776" s="327"/>
      <c r="D1776" s="331"/>
      <c r="F1776" s="329"/>
      <c r="I1776" s="330"/>
      <c r="J1776" s="330"/>
    </row>
    <row r="1777" spans="2:10" ht="12.75" x14ac:dyDescent="0.2">
      <c r="B1777" s="331"/>
      <c r="C1777" s="327"/>
      <c r="D1777" s="331"/>
      <c r="F1777" s="329"/>
      <c r="I1777" s="330"/>
      <c r="J1777" s="330"/>
    </row>
    <row r="1778" spans="2:10" ht="12.75" x14ac:dyDescent="0.2">
      <c r="B1778" s="331"/>
      <c r="C1778" s="327"/>
      <c r="D1778" s="331"/>
      <c r="F1778" s="329"/>
      <c r="I1778" s="330"/>
      <c r="J1778" s="330"/>
    </row>
    <row r="1779" spans="2:10" ht="12.75" x14ac:dyDescent="0.2">
      <c r="B1779" s="331"/>
      <c r="C1779" s="327"/>
      <c r="D1779" s="331"/>
      <c r="F1779" s="329"/>
      <c r="I1779" s="330"/>
      <c r="J1779" s="330"/>
    </row>
    <row r="1780" spans="2:10" ht="12.75" x14ac:dyDescent="0.2">
      <c r="B1780" s="331"/>
      <c r="C1780" s="327"/>
      <c r="D1780" s="331"/>
      <c r="F1780" s="329"/>
      <c r="I1780" s="330"/>
      <c r="J1780" s="330"/>
    </row>
    <row r="1781" spans="2:10" ht="12.75" x14ac:dyDescent="0.2">
      <c r="B1781" s="331"/>
      <c r="C1781" s="327"/>
      <c r="D1781" s="331"/>
      <c r="F1781" s="329"/>
      <c r="I1781" s="330"/>
      <c r="J1781" s="330"/>
    </row>
    <row r="1782" spans="2:10" ht="12.75" x14ac:dyDescent="0.2">
      <c r="B1782" s="331"/>
      <c r="C1782" s="327"/>
      <c r="D1782" s="331"/>
      <c r="F1782" s="329"/>
      <c r="I1782" s="330"/>
      <c r="J1782" s="330"/>
    </row>
    <row r="1783" spans="2:10" ht="12.75" x14ac:dyDescent="0.2">
      <c r="B1783" s="331"/>
      <c r="C1783" s="327"/>
      <c r="D1783" s="331"/>
      <c r="F1783" s="329"/>
      <c r="I1783" s="330"/>
      <c r="J1783" s="330"/>
    </row>
    <row r="1784" spans="2:10" ht="12.75" x14ac:dyDescent="0.2">
      <c r="B1784" s="331"/>
      <c r="C1784" s="327"/>
      <c r="D1784" s="331"/>
      <c r="F1784" s="329"/>
      <c r="I1784" s="330"/>
      <c r="J1784" s="330"/>
    </row>
    <row r="1785" spans="2:10" ht="12.75" x14ac:dyDescent="0.2">
      <c r="B1785" s="331"/>
      <c r="C1785" s="327"/>
      <c r="D1785" s="331"/>
      <c r="F1785" s="329"/>
      <c r="I1785" s="330"/>
      <c r="J1785" s="330"/>
    </row>
    <row r="1786" spans="2:10" ht="12.75" x14ac:dyDescent="0.2">
      <c r="B1786" s="331"/>
      <c r="C1786" s="327"/>
      <c r="D1786" s="331"/>
      <c r="F1786" s="329"/>
      <c r="I1786" s="330"/>
      <c r="J1786" s="330"/>
    </row>
    <row r="1787" spans="2:10" ht="12.75" x14ac:dyDescent="0.2">
      <c r="B1787" s="331"/>
      <c r="C1787" s="327"/>
      <c r="D1787" s="331"/>
      <c r="F1787" s="329"/>
      <c r="I1787" s="330"/>
      <c r="J1787" s="330"/>
    </row>
    <row r="1788" spans="2:10" ht="12.75" x14ac:dyDescent="0.2">
      <c r="B1788" s="331"/>
      <c r="C1788" s="327"/>
      <c r="D1788" s="331"/>
      <c r="F1788" s="329"/>
      <c r="I1788" s="330"/>
      <c r="J1788" s="330"/>
    </row>
    <row r="1789" spans="2:10" ht="12.75" x14ac:dyDescent="0.2">
      <c r="B1789" s="331"/>
      <c r="C1789" s="327"/>
      <c r="D1789" s="331"/>
      <c r="F1789" s="329"/>
      <c r="I1789" s="330"/>
      <c r="J1789" s="330"/>
    </row>
    <row r="1790" spans="2:10" ht="12.75" x14ac:dyDescent="0.2">
      <c r="B1790" s="331"/>
      <c r="C1790" s="327"/>
      <c r="D1790" s="331"/>
      <c r="F1790" s="329"/>
      <c r="I1790" s="330"/>
      <c r="J1790" s="330"/>
    </row>
    <row r="1791" spans="2:10" ht="12.75" x14ac:dyDescent="0.2">
      <c r="B1791" s="331"/>
      <c r="C1791" s="327"/>
      <c r="D1791" s="331"/>
      <c r="F1791" s="329"/>
      <c r="I1791" s="330"/>
      <c r="J1791" s="330"/>
    </row>
    <row r="1792" spans="2:10" ht="12.75" x14ac:dyDescent="0.2">
      <c r="B1792" s="331"/>
      <c r="C1792" s="327"/>
      <c r="D1792" s="331"/>
      <c r="F1792" s="329"/>
      <c r="I1792" s="330"/>
      <c r="J1792" s="330"/>
    </row>
    <row r="1793" spans="2:10" ht="12.75" x14ac:dyDescent="0.2">
      <c r="B1793" s="331"/>
      <c r="C1793" s="327"/>
      <c r="D1793" s="331"/>
      <c r="F1793" s="329"/>
      <c r="I1793" s="330"/>
      <c r="J1793" s="330"/>
    </row>
    <row r="1794" spans="2:10" ht="12.75" x14ac:dyDescent="0.2">
      <c r="B1794" s="331"/>
      <c r="C1794" s="327"/>
      <c r="D1794" s="331"/>
      <c r="F1794" s="329"/>
      <c r="I1794" s="330"/>
      <c r="J1794" s="330"/>
    </row>
    <row r="1795" spans="2:10" ht="12.75" x14ac:dyDescent="0.2">
      <c r="B1795" s="331"/>
      <c r="C1795" s="327"/>
      <c r="D1795" s="331"/>
      <c r="F1795" s="329"/>
      <c r="I1795" s="330"/>
      <c r="J1795" s="330"/>
    </row>
    <row r="1796" spans="2:10" ht="12.75" x14ac:dyDescent="0.2">
      <c r="B1796" s="331"/>
      <c r="C1796" s="327"/>
      <c r="D1796" s="331"/>
      <c r="F1796" s="329"/>
      <c r="I1796" s="330"/>
      <c r="J1796" s="330"/>
    </row>
    <row r="1797" spans="2:10" ht="12.75" x14ac:dyDescent="0.2">
      <c r="B1797" s="331"/>
      <c r="C1797" s="327"/>
      <c r="D1797" s="331"/>
      <c r="F1797" s="329"/>
      <c r="I1797" s="330"/>
      <c r="J1797" s="330"/>
    </row>
    <row r="1798" spans="2:10" ht="12.75" x14ac:dyDescent="0.2">
      <c r="B1798" s="331"/>
      <c r="C1798" s="327"/>
      <c r="D1798" s="331"/>
      <c r="F1798" s="329"/>
      <c r="I1798" s="330"/>
      <c r="J1798" s="330"/>
    </row>
    <row r="1799" spans="2:10" ht="12.75" x14ac:dyDescent="0.2">
      <c r="B1799" s="331"/>
      <c r="C1799" s="327"/>
      <c r="D1799" s="331"/>
      <c r="F1799" s="329"/>
      <c r="I1799" s="330"/>
      <c r="J1799" s="330"/>
    </row>
    <row r="1800" spans="2:10" ht="12.75" x14ac:dyDescent="0.2">
      <c r="B1800" s="331"/>
      <c r="C1800" s="327"/>
      <c r="D1800" s="331"/>
      <c r="F1800" s="329"/>
      <c r="I1800" s="330"/>
      <c r="J1800" s="330"/>
    </row>
    <row r="1801" spans="2:10" ht="12.75" x14ac:dyDescent="0.2">
      <c r="B1801" s="331"/>
      <c r="C1801" s="327"/>
      <c r="D1801" s="331"/>
      <c r="F1801" s="329"/>
      <c r="I1801" s="330"/>
      <c r="J1801" s="330"/>
    </row>
    <row r="1802" spans="2:10" ht="12.75" x14ac:dyDescent="0.2">
      <c r="B1802" s="331"/>
      <c r="C1802" s="327"/>
      <c r="D1802" s="331"/>
      <c r="F1802" s="329"/>
      <c r="I1802" s="330"/>
      <c r="J1802" s="330"/>
    </row>
    <row r="1803" spans="2:10" ht="12.75" x14ac:dyDescent="0.2">
      <c r="B1803" s="331"/>
      <c r="C1803" s="327"/>
      <c r="D1803" s="331"/>
      <c r="F1803" s="329"/>
      <c r="I1803" s="330"/>
      <c r="J1803" s="330"/>
    </row>
    <row r="1804" spans="2:10" ht="12.75" x14ac:dyDescent="0.2">
      <c r="B1804" s="331"/>
      <c r="C1804" s="327"/>
      <c r="D1804" s="331"/>
      <c r="F1804" s="329"/>
      <c r="I1804" s="330"/>
      <c r="J1804" s="330"/>
    </row>
    <row r="1805" spans="2:10" ht="12.75" x14ac:dyDescent="0.2">
      <c r="B1805" s="331"/>
      <c r="C1805" s="327"/>
      <c r="D1805" s="331"/>
      <c r="F1805" s="329"/>
      <c r="I1805" s="330"/>
      <c r="J1805" s="330"/>
    </row>
    <row r="1806" spans="2:10" ht="12.75" x14ac:dyDescent="0.2">
      <c r="B1806" s="331"/>
      <c r="C1806" s="327"/>
      <c r="D1806" s="331"/>
      <c r="F1806" s="329"/>
      <c r="I1806" s="330"/>
      <c r="J1806" s="330"/>
    </row>
    <row r="1807" spans="2:10" ht="12.75" x14ac:dyDescent="0.2">
      <c r="B1807" s="331"/>
      <c r="C1807" s="327"/>
      <c r="D1807" s="331"/>
      <c r="F1807" s="329"/>
      <c r="I1807" s="330"/>
      <c r="J1807" s="330"/>
    </row>
    <row r="1808" spans="2:10" ht="12.75" x14ac:dyDescent="0.2">
      <c r="B1808" s="331"/>
      <c r="C1808" s="327"/>
      <c r="D1808" s="331"/>
      <c r="F1808" s="329"/>
      <c r="I1808" s="330"/>
      <c r="J1808" s="330"/>
    </row>
    <row r="1809" spans="2:10" ht="12.75" x14ac:dyDescent="0.2">
      <c r="B1809" s="331"/>
      <c r="C1809" s="327"/>
      <c r="D1809" s="331"/>
      <c r="F1809" s="329"/>
      <c r="I1809" s="330"/>
      <c r="J1809" s="330"/>
    </row>
    <row r="1810" spans="2:10" ht="12.75" x14ac:dyDescent="0.2">
      <c r="B1810" s="331"/>
      <c r="C1810" s="327"/>
      <c r="D1810" s="331"/>
      <c r="F1810" s="329"/>
      <c r="I1810" s="330"/>
      <c r="J1810" s="330"/>
    </row>
    <row r="1811" spans="2:10" ht="12.75" x14ac:dyDescent="0.2">
      <c r="B1811" s="331"/>
      <c r="C1811" s="327"/>
      <c r="D1811" s="331"/>
      <c r="F1811" s="329"/>
      <c r="I1811" s="330"/>
      <c r="J1811" s="330"/>
    </row>
    <row r="1812" spans="2:10" ht="12.75" x14ac:dyDescent="0.2">
      <c r="B1812" s="331"/>
      <c r="C1812" s="327"/>
      <c r="D1812" s="331"/>
      <c r="F1812" s="329"/>
      <c r="I1812" s="330"/>
      <c r="J1812" s="330"/>
    </row>
    <row r="1813" spans="2:10" ht="12.75" x14ac:dyDescent="0.2">
      <c r="B1813" s="331"/>
      <c r="C1813" s="327"/>
      <c r="D1813" s="331"/>
      <c r="F1813" s="329"/>
      <c r="I1813" s="330"/>
      <c r="J1813" s="330"/>
    </row>
    <row r="1814" spans="2:10" ht="12.75" x14ac:dyDescent="0.2">
      <c r="B1814" s="331"/>
      <c r="C1814" s="327"/>
      <c r="D1814" s="331"/>
      <c r="F1814" s="329"/>
      <c r="I1814" s="330"/>
      <c r="J1814" s="330"/>
    </row>
    <row r="1815" spans="2:10" ht="12.75" x14ac:dyDescent="0.2">
      <c r="B1815" s="331"/>
      <c r="C1815" s="327"/>
      <c r="D1815" s="331"/>
      <c r="F1815" s="329"/>
      <c r="I1815" s="330"/>
      <c r="J1815" s="330"/>
    </row>
    <row r="1816" spans="2:10" ht="12.75" x14ac:dyDescent="0.2">
      <c r="B1816" s="331"/>
      <c r="C1816" s="327"/>
      <c r="D1816" s="331"/>
      <c r="F1816" s="329"/>
      <c r="I1816" s="330"/>
      <c r="J1816" s="330"/>
    </row>
    <row r="1817" spans="2:10" ht="12.75" x14ac:dyDescent="0.2">
      <c r="B1817" s="331"/>
      <c r="C1817" s="327"/>
      <c r="D1817" s="331"/>
      <c r="F1817" s="329"/>
      <c r="I1817" s="330"/>
      <c r="J1817" s="330"/>
    </row>
    <row r="1818" spans="2:10" ht="12.75" x14ac:dyDescent="0.2">
      <c r="B1818" s="331"/>
      <c r="C1818" s="327"/>
      <c r="D1818" s="331"/>
      <c r="F1818" s="329"/>
      <c r="I1818" s="330"/>
      <c r="J1818" s="330"/>
    </row>
    <row r="1819" spans="2:10" ht="12.75" x14ac:dyDescent="0.2">
      <c r="B1819" s="331"/>
      <c r="C1819" s="327"/>
      <c r="D1819" s="331"/>
      <c r="F1819" s="329"/>
      <c r="I1819" s="330"/>
      <c r="J1819" s="330"/>
    </row>
    <row r="1820" spans="2:10" ht="12.75" x14ac:dyDescent="0.2">
      <c r="B1820" s="331"/>
      <c r="C1820" s="327"/>
      <c r="D1820" s="331"/>
      <c r="F1820" s="329"/>
      <c r="I1820" s="330"/>
      <c r="J1820" s="330"/>
    </row>
    <row r="1821" spans="2:10" ht="12.75" x14ac:dyDescent="0.2">
      <c r="B1821" s="331"/>
      <c r="C1821" s="327"/>
      <c r="D1821" s="331"/>
      <c r="F1821" s="329"/>
      <c r="I1821" s="330"/>
      <c r="J1821" s="330"/>
    </row>
    <row r="1822" spans="2:10" ht="12.75" x14ac:dyDescent="0.2">
      <c r="B1822" s="331"/>
      <c r="C1822" s="327"/>
      <c r="D1822" s="331"/>
      <c r="F1822" s="329"/>
      <c r="I1822" s="330"/>
      <c r="J1822" s="330"/>
    </row>
    <row r="1823" spans="2:10" ht="12.75" x14ac:dyDescent="0.2">
      <c r="B1823" s="331"/>
      <c r="C1823" s="327"/>
      <c r="D1823" s="331"/>
      <c r="F1823" s="329"/>
      <c r="I1823" s="330"/>
      <c r="J1823" s="330"/>
    </row>
    <row r="1824" spans="2:10" ht="12.75" x14ac:dyDescent="0.2">
      <c r="B1824" s="331"/>
      <c r="C1824" s="327"/>
      <c r="D1824" s="331"/>
      <c r="F1824" s="329"/>
      <c r="I1824" s="330"/>
      <c r="J1824" s="330"/>
    </row>
    <row r="1825" spans="2:10" ht="12.75" x14ac:dyDescent="0.2">
      <c r="B1825" s="331"/>
      <c r="C1825" s="327"/>
      <c r="D1825" s="331"/>
      <c r="F1825" s="329"/>
      <c r="I1825" s="330"/>
      <c r="J1825" s="330"/>
    </row>
    <row r="1826" spans="2:10" ht="12.75" x14ac:dyDescent="0.2">
      <c r="B1826" s="331"/>
      <c r="C1826" s="327"/>
      <c r="D1826" s="331"/>
      <c r="F1826" s="329"/>
      <c r="I1826" s="330"/>
      <c r="J1826" s="330"/>
    </row>
    <row r="1827" spans="2:10" ht="12.75" x14ac:dyDescent="0.2">
      <c r="B1827" s="331"/>
      <c r="C1827" s="327"/>
      <c r="D1827" s="331"/>
      <c r="F1827" s="329"/>
      <c r="I1827" s="330"/>
      <c r="J1827" s="330"/>
    </row>
    <row r="1828" spans="2:10" ht="12.75" x14ac:dyDescent="0.2">
      <c r="B1828" s="331"/>
      <c r="C1828" s="327"/>
      <c r="D1828" s="331"/>
      <c r="F1828" s="329"/>
      <c r="I1828" s="330"/>
      <c r="J1828" s="330"/>
    </row>
    <row r="1829" spans="2:10" ht="12.75" x14ac:dyDescent="0.2">
      <c r="B1829" s="331"/>
      <c r="C1829" s="327"/>
      <c r="D1829" s="331"/>
      <c r="F1829" s="329"/>
      <c r="I1829" s="330"/>
      <c r="J1829" s="330"/>
    </row>
    <row r="1830" spans="2:10" ht="12.75" x14ac:dyDescent="0.2">
      <c r="B1830" s="331"/>
      <c r="C1830" s="327"/>
      <c r="D1830" s="331"/>
      <c r="F1830" s="329"/>
      <c r="I1830" s="330"/>
      <c r="J1830" s="330"/>
    </row>
    <row r="1831" spans="2:10" ht="12.75" x14ac:dyDescent="0.2">
      <c r="B1831" s="331"/>
      <c r="C1831" s="327"/>
      <c r="D1831" s="331"/>
      <c r="F1831" s="329"/>
      <c r="I1831" s="330"/>
      <c r="J1831" s="330"/>
    </row>
    <row r="1832" spans="2:10" ht="12.75" x14ac:dyDescent="0.2">
      <c r="B1832" s="331"/>
      <c r="C1832" s="327"/>
      <c r="D1832" s="331"/>
      <c r="F1832" s="329"/>
      <c r="I1832" s="330"/>
      <c r="J1832" s="330"/>
    </row>
    <row r="1833" spans="2:10" ht="12.75" x14ac:dyDescent="0.2">
      <c r="B1833" s="331"/>
      <c r="C1833" s="327"/>
      <c r="D1833" s="331"/>
      <c r="F1833" s="329"/>
      <c r="I1833" s="330"/>
      <c r="J1833" s="330"/>
    </row>
    <row r="1834" spans="2:10" ht="12.75" x14ac:dyDescent="0.2">
      <c r="B1834" s="331"/>
      <c r="C1834" s="327"/>
      <c r="D1834" s="331"/>
      <c r="F1834" s="329"/>
      <c r="I1834" s="330"/>
      <c r="J1834" s="330"/>
    </row>
    <row r="1835" spans="2:10" ht="12.75" x14ac:dyDescent="0.2">
      <c r="B1835" s="331"/>
      <c r="C1835" s="327"/>
      <c r="D1835" s="331"/>
      <c r="F1835" s="329"/>
      <c r="I1835" s="330"/>
      <c r="J1835" s="330"/>
    </row>
    <row r="1836" spans="2:10" ht="12.75" x14ac:dyDescent="0.2">
      <c r="B1836" s="331"/>
      <c r="C1836" s="327"/>
      <c r="D1836" s="331"/>
      <c r="F1836" s="329"/>
      <c r="I1836" s="330"/>
      <c r="J1836" s="330"/>
    </row>
    <row r="1837" spans="2:10" ht="12.75" x14ac:dyDescent="0.2">
      <c r="B1837" s="331"/>
      <c r="C1837" s="327"/>
      <c r="D1837" s="331"/>
      <c r="F1837" s="329"/>
      <c r="I1837" s="330"/>
      <c r="J1837" s="330"/>
    </row>
    <row r="1838" spans="2:10" ht="12.75" x14ac:dyDescent="0.2">
      <c r="B1838" s="331"/>
      <c r="C1838" s="327"/>
      <c r="D1838" s="331"/>
      <c r="F1838" s="329"/>
      <c r="I1838" s="330"/>
      <c r="J1838" s="330"/>
    </row>
    <row r="1839" spans="2:10" ht="12.75" x14ac:dyDescent="0.2">
      <c r="B1839" s="331"/>
      <c r="C1839" s="327"/>
      <c r="D1839" s="331"/>
      <c r="F1839" s="329"/>
      <c r="I1839" s="330"/>
      <c r="J1839" s="330"/>
    </row>
    <row r="1840" spans="2:10" ht="12.75" x14ac:dyDescent="0.2">
      <c r="B1840" s="331"/>
      <c r="C1840" s="327"/>
      <c r="D1840" s="331"/>
      <c r="F1840" s="329"/>
      <c r="I1840" s="330"/>
      <c r="J1840" s="330"/>
    </row>
    <row r="1841" spans="2:10" ht="12.75" x14ac:dyDescent="0.2">
      <c r="B1841" s="331"/>
      <c r="C1841" s="327"/>
      <c r="D1841" s="331"/>
      <c r="F1841" s="329"/>
      <c r="I1841" s="330"/>
      <c r="J1841" s="330"/>
    </row>
    <row r="1842" spans="2:10" ht="12.75" x14ac:dyDescent="0.2">
      <c r="B1842" s="331"/>
      <c r="C1842" s="327"/>
      <c r="D1842" s="331"/>
      <c r="F1842" s="329"/>
      <c r="I1842" s="330"/>
      <c r="J1842" s="330"/>
    </row>
    <row r="1843" spans="2:10" ht="12.75" x14ac:dyDescent="0.2">
      <c r="B1843" s="331"/>
      <c r="C1843" s="327"/>
      <c r="D1843" s="331"/>
      <c r="F1843" s="329"/>
      <c r="I1843" s="330"/>
      <c r="J1843" s="330"/>
    </row>
    <row r="1844" spans="2:10" ht="12.75" x14ac:dyDescent="0.2">
      <c r="B1844" s="331"/>
      <c r="C1844" s="327"/>
      <c r="D1844" s="331"/>
      <c r="F1844" s="329"/>
      <c r="I1844" s="330"/>
      <c r="J1844" s="330"/>
    </row>
    <row r="1845" spans="2:10" ht="12.75" x14ac:dyDescent="0.2">
      <c r="B1845" s="331"/>
      <c r="C1845" s="327"/>
      <c r="D1845" s="331"/>
      <c r="F1845" s="329"/>
      <c r="I1845" s="330"/>
      <c r="J1845" s="330"/>
    </row>
    <row r="1846" spans="2:10" ht="12.75" x14ac:dyDescent="0.2">
      <c r="B1846" s="331"/>
      <c r="C1846" s="327"/>
      <c r="D1846" s="331"/>
      <c r="F1846" s="329"/>
      <c r="I1846" s="330"/>
      <c r="J1846" s="330"/>
    </row>
    <row r="1847" spans="2:10" ht="12.75" x14ac:dyDescent="0.2">
      <c r="B1847" s="331"/>
      <c r="C1847" s="327"/>
      <c r="D1847" s="331"/>
      <c r="F1847" s="329"/>
      <c r="I1847" s="330"/>
      <c r="J1847" s="330"/>
    </row>
    <row r="1848" spans="2:10" ht="12.75" x14ac:dyDescent="0.2">
      <c r="B1848" s="331"/>
      <c r="C1848" s="327"/>
      <c r="D1848" s="331"/>
      <c r="F1848" s="329"/>
      <c r="I1848" s="330"/>
      <c r="J1848" s="330"/>
    </row>
    <row r="1849" spans="2:10" ht="12.75" x14ac:dyDescent="0.2">
      <c r="B1849" s="331"/>
      <c r="C1849" s="327"/>
      <c r="D1849" s="331"/>
      <c r="F1849" s="329"/>
      <c r="I1849" s="330"/>
      <c r="J1849" s="330"/>
    </row>
    <row r="1850" spans="2:10" ht="12.75" x14ac:dyDescent="0.2">
      <c r="B1850" s="331"/>
      <c r="C1850" s="327"/>
      <c r="D1850" s="331"/>
      <c r="F1850" s="329"/>
      <c r="I1850" s="330"/>
      <c r="J1850" s="330"/>
    </row>
    <row r="1851" spans="2:10" ht="12.75" x14ac:dyDescent="0.2">
      <c r="B1851" s="331"/>
      <c r="C1851" s="327"/>
      <c r="D1851" s="331"/>
      <c r="F1851" s="329"/>
      <c r="I1851" s="330"/>
      <c r="J1851" s="330"/>
    </row>
    <row r="1852" spans="2:10" ht="12.75" x14ac:dyDescent="0.2">
      <c r="B1852" s="331"/>
      <c r="C1852" s="327"/>
      <c r="D1852" s="331"/>
      <c r="F1852" s="329"/>
      <c r="I1852" s="330"/>
      <c r="J1852" s="330"/>
    </row>
    <row r="1853" spans="2:10" ht="12.75" x14ac:dyDescent="0.2">
      <c r="B1853" s="331"/>
      <c r="C1853" s="327"/>
      <c r="D1853" s="331"/>
      <c r="F1853" s="329"/>
      <c r="I1853" s="330"/>
      <c r="J1853" s="330"/>
    </row>
    <row r="1854" spans="2:10" ht="12.75" x14ac:dyDescent="0.2">
      <c r="B1854" s="331"/>
      <c r="C1854" s="327"/>
      <c r="D1854" s="331"/>
      <c r="F1854" s="329"/>
      <c r="I1854" s="330"/>
      <c r="J1854" s="330"/>
    </row>
    <row r="1855" spans="2:10" ht="12.75" x14ac:dyDescent="0.2">
      <c r="B1855" s="331"/>
      <c r="C1855" s="327"/>
      <c r="D1855" s="331"/>
      <c r="F1855" s="329"/>
      <c r="I1855" s="330"/>
      <c r="J1855" s="330"/>
    </row>
    <row r="1856" spans="2:10" ht="12.75" x14ac:dyDescent="0.2">
      <c r="B1856" s="331"/>
      <c r="C1856" s="327"/>
      <c r="D1856" s="331"/>
      <c r="F1856" s="329"/>
      <c r="I1856" s="330"/>
      <c r="J1856" s="330"/>
    </row>
    <row r="1857" spans="2:10" ht="12.75" x14ac:dyDescent="0.2">
      <c r="B1857" s="331"/>
      <c r="C1857" s="327"/>
      <c r="D1857" s="331"/>
      <c r="F1857" s="329"/>
      <c r="I1857" s="330"/>
      <c r="J1857" s="330"/>
    </row>
    <row r="1858" spans="2:10" ht="12.75" x14ac:dyDescent="0.2">
      <c r="B1858" s="331"/>
      <c r="C1858" s="327"/>
      <c r="D1858" s="331"/>
      <c r="F1858" s="329"/>
      <c r="I1858" s="330"/>
      <c r="J1858" s="330"/>
    </row>
    <row r="1859" spans="2:10" ht="12.75" x14ac:dyDescent="0.2">
      <c r="B1859" s="331"/>
      <c r="C1859" s="327"/>
      <c r="D1859" s="331"/>
      <c r="F1859" s="329"/>
      <c r="I1859" s="330"/>
      <c r="J1859" s="330"/>
    </row>
    <row r="1860" spans="2:10" ht="12.75" x14ac:dyDescent="0.2">
      <c r="B1860" s="331"/>
      <c r="C1860" s="327"/>
      <c r="D1860" s="331"/>
      <c r="F1860" s="329"/>
      <c r="I1860" s="330"/>
      <c r="J1860" s="330"/>
    </row>
    <row r="1861" spans="2:10" ht="12.75" x14ac:dyDescent="0.2">
      <c r="B1861" s="331"/>
      <c r="C1861" s="327"/>
      <c r="D1861" s="331"/>
      <c r="F1861" s="329"/>
      <c r="I1861" s="330"/>
      <c r="J1861" s="330"/>
    </row>
    <row r="1862" spans="2:10" ht="12.75" x14ac:dyDescent="0.2">
      <c r="B1862" s="331"/>
      <c r="C1862" s="327"/>
      <c r="D1862" s="331"/>
      <c r="F1862" s="329"/>
      <c r="I1862" s="330"/>
      <c r="J1862" s="330"/>
    </row>
    <row r="1863" spans="2:10" ht="12.75" x14ac:dyDescent="0.2">
      <c r="B1863" s="331"/>
      <c r="C1863" s="327"/>
      <c r="D1863" s="331"/>
      <c r="F1863" s="329"/>
      <c r="I1863" s="330"/>
      <c r="J1863" s="330"/>
    </row>
    <row r="1864" spans="2:10" ht="12.75" x14ac:dyDescent="0.2">
      <c r="B1864" s="331"/>
      <c r="C1864" s="327"/>
      <c r="D1864" s="331"/>
      <c r="F1864" s="329"/>
      <c r="I1864" s="330"/>
      <c r="J1864" s="330"/>
    </row>
    <row r="1865" spans="2:10" ht="12.75" x14ac:dyDescent="0.2">
      <c r="B1865" s="331"/>
      <c r="C1865" s="327"/>
      <c r="D1865" s="331"/>
      <c r="F1865" s="329"/>
      <c r="I1865" s="330"/>
      <c r="J1865" s="330"/>
    </row>
    <row r="1866" spans="2:10" ht="12.75" x14ac:dyDescent="0.2">
      <c r="B1866" s="331"/>
      <c r="C1866" s="327"/>
      <c r="D1866" s="331"/>
      <c r="F1866" s="329"/>
      <c r="I1866" s="330"/>
      <c r="J1866" s="330"/>
    </row>
    <row r="1867" spans="2:10" ht="12.75" x14ac:dyDescent="0.2">
      <c r="B1867" s="331"/>
      <c r="C1867" s="327"/>
      <c r="D1867" s="331"/>
      <c r="F1867" s="329"/>
      <c r="I1867" s="330"/>
      <c r="J1867" s="330"/>
    </row>
    <row r="1868" spans="2:10" ht="12.75" x14ac:dyDescent="0.2">
      <c r="B1868" s="331"/>
      <c r="C1868" s="327"/>
      <c r="D1868" s="331"/>
      <c r="F1868" s="329"/>
      <c r="I1868" s="330"/>
      <c r="J1868" s="330"/>
    </row>
    <row r="1869" spans="2:10" ht="12.75" x14ac:dyDescent="0.2">
      <c r="B1869" s="331"/>
      <c r="C1869" s="327"/>
      <c r="D1869" s="331"/>
      <c r="F1869" s="329"/>
      <c r="I1869" s="330"/>
      <c r="J1869" s="330"/>
    </row>
    <row r="1870" spans="2:10" ht="12.75" x14ac:dyDescent="0.2">
      <c r="B1870" s="331"/>
      <c r="C1870" s="327"/>
      <c r="D1870" s="331"/>
      <c r="F1870" s="329"/>
      <c r="I1870" s="330"/>
      <c r="J1870" s="330"/>
    </row>
    <row r="1871" spans="2:10" ht="12.75" x14ac:dyDescent="0.2">
      <c r="B1871" s="331"/>
      <c r="C1871" s="327"/>
      <c r="D1871" s="331"/>
      <c r="F1871" s="329"/>
      <c r="I1871" s="330"/>
      <c r="J1871" s="330"/>
    </row>
    <row r="1872" spans="2:10" ht="12.75" x14ac:dyDescent="0.2">
      <c r="B1872" s="331"/>
      <c r="C1872" s="327"/>
      <c r="D1872" s="331"/>
      <c r="F1872" s="329"/>
      <c r="I1872" s="330"/>
      <c r="J1872" s="330"/>
    </row>
    <row r="1873" spans="2:10" ht="12.75" x14ac:dyDescent="0.2">
      <c r="B1873" s="331"/>
      <c r="C1873" s="327"/>
      <c r="D1873" s="331"/>
      <c r="F1873" s="329"/>
      <c r="I1873" s="330"/>
      <c r="J1873" s="330"/>
    </row>
    <row r="1874" spans="2:10" ht="12.75" x14ac:dyDescent="0.2">
      <c r="B1874" s="331"/>
      <c r="C1874" s="327"/>
      <c r="D1874" s="331"/>
      <c r="F1874" s="329"/>
      <c r="I1874" s="330"/>
      <c r="J1874" s="330"/>
    </row>
    <row r="1875" spans="2:10" ht="12.75" x14ac:dyDescent="0.2">
      <c r="B1875" s="331"/>
      <c r="C1875" s="327"/>
      <c r="D1875" s="331"/>
      <c r="F1875" s="329"/>
      <c r="I1875" s="330"/>
      <c r="J1875" s="330"/>
    </row>
    <row r="1876" spans="2:10" ht="12.75" x14ac:dyDescent="0.2">
      <c r="B1876" s="331"/>
      <c r="C1876" s="327"/>
      <c r="D1876" s="331"/>
      <c r="F1876" s="329"/>
      <c r="I1876" s="330"/>
      <c r="J1876" s="330"/>
    </row>
    <row r="1877" spans="2:10" ht="12.75" x14ac:dyDescent="0.2">
      <c r="B1877" s="331"/>
      <c r="C1877" s="327"/>
      <c r="D1877" s="331"/>
      <c r="F1877" s="329"/>
      <c r="I1877" s="330"/>
      <c r="J1877" s="330"/>
    </row>
    <row r="1878" spans="2:10" ht="12.75" x14ac:dyDescent="0.2">
      <c r="B1878" s="331"/>
      <c r="C1878" s="327"/>
      <c r="D1878" s="331"/>
      <c r="F1878" s="329"/>
      <c r="I1878" s="330"/>
      <c r="J1878" s="330"/>
    </row>
    <row r="1879" spans="2:10" ht="12.75" x14ac:dyDescent="0.2">
      <c r="B1879" s="331"/>
      <c r="C1879" s="327"/>
      <c r="D1879" s="331"/>
      <c r="F1879" s="329"/>
      <c r="I1879" s="330"/>
      <c r="J1879" s="330"/>
    </row>
    <row r="1880" spans="2:10" ht="12.75" x14ac:dyDescent="0.2">
      <c r="B1880" s="331"/>
      <c r="C1880" s="327"/>
      <c r="D1880" s="331"/>
      <c r="F1880" s="329"/>
      <c r="I1880" s="330"/>
      <c r="J1880" s="330"/>
    </row>
    <row r="1881" spans="2:10" ht="12.75" x14ac:dyDescent="0.2">
      <c r="B1881" s="331"/>
      <c r="C1881" s="327"/>
      <c r="D1881" s="331"/>
      <c r="F1881" s="329"/>
      <c r="I1881" s="330"/>
      <c r="J1881" s="330"/>
    </row>
    <row r="1882" spans="2:10" ht="12.75" x14ac:dyDescent="0.2">
      <c r="B1882" s="331"/>
      <c r="C1882" s="327"/>
      <c r="D1882" s="331"/>
      <c r="F1882" s="329"/>
      <c r="I1882" s="330"/>
      <c r="J1882" s="330"/>
    </row>
    <row r="1883" spans="2:10" ht="12.75" x14ac:dyDescent="0.2">
      <c r="B1883" s="331"/>
      <c r="C1883" s="327"/>
      <c r="D1883" s="331"/>
      <c r="F1883" s="329"/>
      <c r="I1883" s="330"/>
      <c r="J1883" s="330"/>
    </row>
    <row r="1884" spans="2:10" ht="12.75" x14ac:dyDescent="0.2">
      <c r="B1884" s="331"/>
      <c r="C1884" s="327"/>
      <c r="D1884" s="331"/>
      <c r="F1884" s="329"/>
      <c r="I1884" s="330"/>
      <c r="J1884" s="330"/>
    </row>
    <row r="1885" spans="2:10" ht="12.75" x14ac:dyDescent="0.2">
      <c r="B1885" s="331"/>
      <c r="C1885" s="327"/>
      <c r="D1885" s="331"/>
      <c r="F1885" s="329"/>
      <c r="I1885" s="330"/>
      <c r="J1885" s="330"/>
    </row>
    <row r="1886" spans="2:10" ht="12.75" x14ac:dyDescent="0.2">
      <c r="B1886" s="331"/>
      <c r="C1886" s="327"/>
      <c r="D1886" s="331"/>
      <c r="F1886" s="329"/>
      <c r="I1886" s="330"/>
      <c r="J1886" s="330"/>
    </row>
    <row r="1887" spans="2:10" ht="12.75" x14ac:dyDescent="0.2">
      <c r="B1887" s="331"/>
      <c r="C1887" s="327"/>
      <c r="D1887" s="331"/>
      <c r="F1887" s="329"/>
      <c r="I1887" s="330"/>
      <c r="J1887" s="330"/>
    </row>
    <row r="1888" spans="2:10" ht="12.75" x14ac:dyDescent="0.2">
      <c r="B1888" s="331"/>
      <c r="C1888" s="327"/>
      <c r="D1888" s="331"/>
      <c r="F1888" s="329"/>
      <c r="I1888" s="330"/>
      <c r="J1888" s="330"/>
    </row>
    <row r="1889" spans="2:10" ht="12.75" x14ac:dyDescent="0.2">
      <c r="B1889" s="331"/>
      <c r="C1889" s="327"/>
      <c r="D1889" s="331"/>
      <c r="F1889" s="329"/>
      <c r="I1889" s="330"/>
      <c r="J1889" s="330"/>
    </row>
    <row r="1890" spans="2:10" ht="12.75" x14ac:dyDescent="0.2">
      <c r="B1890" s="331"/>
      <c r="C1890" s="327"/>
      <c r="D1890" s="331"/>
      <c r="F1890" s="329"/>
      <c r="I1890" s="330"/>
      <c r="J1890" s="330"/>
    </row>
    <row r="1891" spans="2:10" ht="12.75" x14ac:dyDescent="0.2">
      <c r="B1891" s="331"/>
      <c r="C1891" s="327"/>
      <c r="D1891" s="331"/>
      <c r="F1891" s="329"/>
      <c r="I1891" s="330"/>
      <c r="J1891" s="330"/>
    </row>
    <row r="1892" spans="2:10" ht="12.75" x14ac:dyDescent="0.2">
      <c r="B1892" s="331"/>
      <c r="C1892" s="327"/>
      <c r="D1892" s="331"/>
      <c r="F1892" s="329"/>
      <c r="I1892" s="330"/>
      <c r="J1892" s="330"/>
    </row>
    <row r="1893" spans="2:10" ht="12.75" x14ac:dyDescent="0.2">
      <c r="B1893" s="331"/>
      <c r="C1893" s="327"/>
      <c r="D1893" s="331"/>
      <c r="F1893" s="329"/>
      <c r="I1893" s="330"/>
      <c r="J1893" s="330"/>
    </row>
    <row r="1894" spans="2:10" ht="12.75" x14ac:dyDescent="0.2">
      <c r="B1894" s="331"/>
      <c r="C1894" s="327"/>
      <c r="D1894" s="331"/>
      <c r="F1894" s="329"/>
      <c r="I1894" s="330"/>
      <c r="J1894" s="330"/>
    </row>
    <row r="1895" spans="2:10" ht="12.75" x14ac:dyDescent="0.2">
      <c r="B1895" s="331"/>
      <c r="C1895" s="327"/>
      <c r="D1895" s="331"/>
      <c r="F1895" s="329"/>
      <c r="I1895" s="330"/>
      <c r="J1895" s="330"/>
    </row>
    <row r="1896" spans="2:10" ht="12.75" x14ac:dyDescent="0.2">
      <c r="B1896" s="331"/>
      <c r="C1896" s="327"/>
      <c r="D1896" s="331"/>
      <c r="F1896" s="329"/>
      <c r="I1896" s="330"/>
      <c r="J1896" s="330"/>
    </row>
    <row r="1897" spans="2:10" ht="12.75" x14ac:dyDescent="0.2">
      <c r="B1897" s="331"/>
      <c r="C1897" s="327"/>
      <c r="D1897" s="331"/>
      <c r="F1897" s="329"/>
      <c r="I1897" s="330"/>
      <c r="J1897" s="330"/>
    </row>
    <row r="1898" spans="2:10" ht="12.75" x14ac:dyDescent="0.2">
      <c r="B1898" s="331"/>
      <c r="C1898" s="327"/>
      <c r="D1898" s="331"/>
      <c r="F1898" s="329"/>
      <c r="I1898" s="330"/>
      <c r="J1898" s="330"/>
    </row>
    <row r="1899" spans="2:10" ht="12.75" x14ac:dyDescent="0.2">
      <c r="B1899" s="331"/>
      <c r="C1899" s="327"/>
      <c r="D1899" s="331"/>
      <c r="F1899" s="329"/>
      <c r="I1899" s="330"/>
      <c r="J1899" s="330"/>
    </row>
    <row r="1900" spans="2:10" ht="12.75" x14ac:dyDescent="0.2">
      <c r="B1900" s="331"/>
      <c r="C1900" s="327"/>
      <c r="D1900" s="331"/>
      <c r="F1900" s="329"/>
      <c r="I1900" s="330"/>
      <c r="J1900" s="330"/>
    </row>
    <row r="1901" spans="2:10" ht="12.75" x14ac:dyDescent="0.2">
      <c r="B1901" s="331"/>
      <c r="C1901" s="327"/>
      <c r="D1901" s="331"/>
      <c r="F1901" s="329"/>
      <c r="I1901" s="330"/>
      <c r="J1901" s="330"/>
    </row>
    <row r="1902" spans="2:10" ht="12.75" x14ac:dyDescent="0.2">
      <c r="B1902" s="331"/>
      <c r="C1902" s="327"/>
      <c r="D1902" s="331"/>
      <c r="F1902" s="329"/>
      <c r="I1902" s="330"/>
      <c r="J1902" s="330"/>
    </row>
    <row r="1903" spans="2:10" ht="12.75" x14ac:dyDescent="0.2">
      <c r="B1903" s="331"/>
      <c r="C1903" s="327"/>
      <c r="D1903" s="331"/>
      <c r="F1903" s="329"/>
      <c r="I1903" s="330"/>
      <c r="J1903" s="330"/>
    </row>
    <row r="1904" spans="2:10" ht="12.75" x14ac:dyDescent="0.2">
      <c r="B1904" s="331"/>
      <c r="C1904" s="327"/>
      <c r="D1904" s="331"/>
      <c r="F1904" s="329"/>
      <c r="I1904" s="330"/>
      <c r="J1904" s="330"/>
    </row>
    <row r="1905" spans="2:10" ht="12.75" x14ac:dyDescent="0.2">
      <c r="B1905" s="331"/>
      <c r="C1905" s="327"/>
      <c r="D1905" s="331"/>
      <c r="F1905" s="329"/>
      <c r="I1905" s="330"/>
      <c r="J1905" s="330"/>
    </row>
    <row r="1906" spans="2:10" ht="12.75" x14ac:dyDescent="0.2">
      <c r="B1906" s="331"/>
      <c r="C1906" s="327"/>
      <c r="D1906" s="331"/>
      <c r="F1906" s="329"/>
      <c r="I1906" s="330"/>
      <c r="J1906" s="330"/>
    </row>
    <row r="1907" spans="2:10" ht="12.75" x14ac:dyDescent="0.2">
      <c r="B1907" s="331"/>
      <c r="C1907" s="327"/>
      <c r="D1907" s="331"/>
      <c r="F1907" s="329"/>
      <c r="I1907" s="330"/>
      <c r="J1907" s="330"/>
    </row>
    <row r="1908" spans="2:10" ht="12.75" x14ac:dyDescent="0.2">
      <c r="B1908" s="331"/>
      <c r="C1908" s="327"/>
      <c r="D1908" s="331"/>
      <c r="F1908" s="329"/>
      <c r="I1908" s="330"/>
      <c r="J1908" s="330"/>
    </row>
    <row r="1909" spans="2:10" ht="12.75" x14ac:dyDescent="0.2">
      <c r="B1909" s="331"/>
      <c r="C1909" s="327"/>
      <c r="D1909" s="331"/>
      <c r="F1909" s="329"/>
      <c r="I1909" s="330"/>
      <c r="J1909" s="330"/>
    </row>
    <row r="1910" spans="2:10" ht="12.75" x14ac:dyDescent="0.2">
      <c r="B1910" s="331"/>
      <c r="C1910" s="327"/>
      <c r="D1910" s="331"/>
      <c r="F1910" s="329"/>
      <c r="I1910" s="330"/>
      <c r="J1910" s="330"/>
    </row>
    <row r="1911" spans="2:10" ht="12.75" x14ac:dyDescent="0.2">
      <c r="B1911" s="331"/>
      <c r="C1911" s="327"/>
      <c r="D1911" s="331"/>
      <c r="F1911" s="329"/>
      <c r="I1911" s="330"/>
      <c r="J1911" s="330"/>
    </row>
    <row r="1912" spans="2:10" ht="12.75" x14ac:dyDescent="0.2">
      <c r="B1912" s="331"/>
      <c r="C1912" s="327"/>
      <c r="D1912" s="331"/>
      <c r="F1912" s="329"/>
      <c r="I1912" s="330"/>
      <c r="J1912" s="330"/>
    </row>
    <row r="1913" spans="2:10" ht="12.75" x14ac:dyDescent="0.2">
      <c r="B1913" s="331"/>
      <c r="C1913" s="327"/>
      <c r="D1913" s="331"/>
      <c r="F1913" s="329"/>
      <c r="I1913" s="330"/>
      <c r="J1913" s="330"/>
    </row>
    <row r="1914" spans="2:10" ht="12.75" x14ac:dyDescent="0.2">
      <c r="B1914" s="331"/>
      <c r="C1914" s="327"/>
      <c r="D1914" s="331"/>
      <c r="F1914" s="329"/>
      <c r="I1914" s="330"/>
      <c r="J1914" s="330"/>
    </row>
    <row r="1915" spans="2:10" ht="12.75" x14ac:dyDescent="0.2">
      <c r="B1915" s="331"/>
      <c r="C1915" s="327"/>
      <c r="D1915" s="331"/>
      <c r="F1915" s="329"/>
      <c r="I1915" s="330"/>
      <c r="J1915" s="330"/>
    </row>
    <row r="1916" spans="2:10" ht="12.75" x14ac:dyDescent="0.2">
      <c r="B1916" s="331"/>
      <c r="C1916" s="327"/>
      <c r="D1916" s="331"/>
      <c r="F1916" s="329"/>
      <c r="I1916" s="330"/>
      <c r="J1916" s="330"/>
    </row>
    <row r="1917" spans="2:10" ht="12.75" x14ac:dyDescent="0.2">
      <c r="B1917" s="331"/>
      <c r="C1917" s="327"/>
      <c r="D1917" s="331"/>
      <c r="F1917" s="329"/>
      <c r="I1917" s="330"/>
      <c r="J1917" s="330"/>
    </row>
    <row r="1918" spans="2:10" ht="12.75" x14ac:dyDescent="0.2">
      <c r="B1918" s="331"/>
      <c r="C1918" s="327"/>
      <c r="D1918" s="331"/>
      <c r="F1918" s="329"/>
      <c r="I1918" s="330"/>
      <c r="J1918" s="330"/>
    </row>
    <row r="1919" spans="2:10" ht="12.75" x14ac:dyDescent="0.2">
      <c r="B1919" s="331"/>
      <c r="C1919" s="327"/>
      <c r="D1919" s="331"/>
      <c r="F1919" s="329"/>
      <c r="I1919" s="330"/>
      <c r="J1919" s="330"/>
    </row>
    <row r="1920" spans="2:10" ht="12.75" x14ac:dyDescent="0.2">
      <c r="B1920" s="331"/>
      <c r="C1920" s="327"/>
      <c r="D1920" s="331"/>
      <c r="F1920" s="329"/>
      <c r="I1920" s="330"/>
      <c r="J1920" s="330"/>
    </row>
    <row r="1921" spans="2:10" ht="12.75" x14ac:dyDescent="0.2">
      <c r="B1921" s="331"/>
      <c r="C1921" s="327"/>
      <c r="D1921" s="331"/>
      <c r="F1921" s="329"/>
      <c r="I1921" s="330"/>
      <c r="J1921" s="330"/>
    </row>
    <row r="1922" spans="2:10" ht="12.75" x14ac:dyDescent="0.2">
      <c r="B1922" s="331"/>
      <c r="C1922" s="327"/>
      <c r="D1922" s="331"/>
      <c r="F1922" s="329"/>
      <c r="I1922" s="330"/>
      <c r="J1922" s="330"/>
    </row>
    <row r="1923" spans="2:10" ht="12.75" x14ac:dyDescent="0.2">
      <c r="B1923" s="331"/>
      <c r="C1923" s="327"/>
      <c r="D1923" s="331"/>
      <c r="F1923" s="329"/>
      <c r="I1923" s="330"/>
      <c r="J1923" s="330"/>
    </row>
    <row r="1924" spans="2:10" ht="12.75" x14ac:dyDescent="0.2">
      <c r="B1924" s="331"/>
      <c r="C1924" s="327"/>
      <c r="D1924" s="331"/>
      <c r="F1924" s="329"/>
      <c r="I1924" s="330"/>
      <c r="J1924" s="330"/>
    </row>
    <row r="1925" spans="2:10" ht="12.75" x14ac:dyDescent="0.2">
      <c r="B1925" s="331"/>
      <c r="C1925" s="327"/>
      <c r="D1925" s="331"/>
      <c r="F1925" s="329"/>
      <c r="I1925" s="330"/>
      <c r="J1925" s="330"/>
    </row>
    <row r="1926" spans="2:10" ht="12.75" x14ac:dyDescent="0.2">
      <c r="B1926" s="331"/>
      <c r="C1926" s="327"/>
      <c r="D1926" s="331"/>
      <c r="F1926" s="329"/>
      <c r="I1926" s="330"/>
      <c r="J1926" s="330"/>
    </row>
    <row r="1927" spans="2:10" ht="12.75" x14ac:dyDescent="0.2">
      <c r="B1927" s="331"/>
      <c r="C1927" s="327"/>
      <c r="D1927" s="331"/>
      <c r="F1927" s="329"/>
      <c r="I1927" s="330"/>
      <c r="J1927" s="330"/>
    </row>
    <row r="1928" spans="2:10" ht="12.75" x14ac:dyDescent="0.2">
      <c r="B1928" s="331"/>
      <c r="C1928" s="327"/>
      <c r="D1928" s="331"/>
      <c r="F1928" s="329"/>
      <c r="I1928" s="330"/>
      <c r="J1928" s="330"/>
    </row>
    <row r="1929" spans="2:10" ht="12.75" x14ac:dyDescent="0.2">
      <c r="B1929" s="331"/>
      <c r="C1929" s="327"/>
      <c r="D1929" s="331"/>
      <c r="F1929" s="329"/>
      <c r="I1929" s="330"/>
      <c r="J1929" s="330"/>
    </row>
    <row r="1930" spans="2:10" ht="12.75" x14ac:dyDescent="0.2">
      <c r="B1930" s="331"/>
      <c r="C1930" s="327"/>
      <c r="D1930" s="331"/>
      <c r="F1930" s="329"/>
      <c r="I1930" s="330"/>
      <c r="J1930" s="330"/>
    </row>
    <row r="1931" spans="2:10" ht="12.75" x14ac:dyDescent="0.2">
      <c r="B1931" s="331"/>
      <c r="C1931" s="327"/>
      <c r="D1931" s="331"/>
      <c r="F1931" s="329"/>
      <c r="I1931" s="330"/>
      <c r="J1931" s="330"/>
    </row>
    <row r="1932" spans="2:10" ht="12.75" x14ac:dyDescent="0.2">
      <c r="B1932" s="331"/>
      <c r="C1932" s="327"/>
      <c r="D1932" s="331"/>
      <c r="F1932" s="329"/>
      <c r="I1932" s="330"/>
      <c r="J1932" s="330"/>
    </row>
    <row r="1933" spans="2:10" ht="12.75" x14ac:dyDescent="0.2">
      <c r="B1933" s="331"/>
      <c r="C1933" s="327"/>
      <c r="D1933" s="331"/>
      <c r="F1933" s="329"/>
      <c r="I1933" s="330"/>
      <c r="J1933" s="330"/>
    </row>
    <row r="1934" spans="2:10" ht="12.75" x14ac:dyDescent="0.2">
      <c r="B1934" s="331"/>
      <c r="C1934" s="327"/>
      <c r="D1934" s="331"/>
      <c r="F1934" s="329"/>
      <c r="I1934" s="330"/>
      <c r="J1934" s="330"/>
    </row>
    <row r="1935" spans="2:10" ht="12.75" x14ac:dyDescent="0.2">
      <c r="B1935" s="331"/>
      <c r="C1935" s="327"/>
      <c r="D1935" s="331"/>
      <c r="F1935" s="329"/>
      <c r="I1935" s="330"/>
      <c r="J1935" s="330"/>
    </row>
    <row r="1936" spans="2:10" ht="12.75" x14ac:dyDescent="0.2">
      <c r="B1936" s="331"/>
      <c r="C1936" s="327"/>
      <c r="D1936" s="331"/>
      <c r="F1936" s="329"/>
      <c r="I1936" s="330"/>
      <c r="J1936" s="330"/>
    </row>
    <row r="1937" spans="2:10" ht="12.75" x14ac:dyDescent="0.2">
      <c r="B1937" s="331"/>
      <c r="C1937" s="327"/>
      <c r="D1937" s="331"/>
      <c r="F1937" s="329"/>
      <c r="I1937" s="330"/>
      <c r="J1937" s="330"/>
    </row>
    <row r="1938" spans="2:10" ht="12.75" x14ac:dyDescent="0.2">
      <c r="B1938" s="331"/>
      <c r="C1938" s="327"/>
      <c r="D1938" s="331"/>
      <c r="F1938" s="329"/>
      <c r="I1938" s="330"/>
      <c r="J1938" s="330"/>
    </row>
    <row r="1939" spans="2:10" ht="12.75" x14ac:dyDescent="0.2">
      <c r="B1939" s="331"/>
      <c r="C1939" s="327"/>
      <c r="D1939" s="331"/>
      <c r="F1939" s="329"/>
      <c r="I1939" s="330"/>
      <c r="J1939" s="330"/>
    </row>
    <row r="1940" spans="2:10" ht="12.75" x14ac:dyDescent="0.2">
      <c r="B1940" s="331"/>
      <c r="C1940" s="327"/>
      <c r="D1940" s="331"/>
      <c r="F1940" s="329"/>
      <c r="I1940" s="330"/>
      <c r="J1940" s="330"/>
    </row>
    <row r="1941" spans="2:10" ht="12.75" x14ac:dyDescent="0.2">
      <c r="B1941" s="331"/>
      <c r="C1941" s="327"/>
      <c r="D1941" s="331"/>
      <c r="F1941" s="329"/>
      <c r="I1941" s="330"/>
      <c r="J1941" s="330"/>
    </row>
    <row r="1942" spans="2:10" ht="12.75" x14ac:dyDescent="0.2">
      <c r="B1942" s="331"/>
      <c r="C1942" s="327"/>
      <c r="D1942" s="331"/>
      <c r="F1942" s="329"/>
      <c r="I1942" s="330"/>
      <c r="J1942" s="330"/>
    </row>
    <row r="1943" spans="2:10" ht="12.75" x14ac:dyDescent="0.2">
      <c r="B1943" s="331"/>
      <c r="C1943" s="327"/>
      <c r="D1943" s="331"/>
      <c r="F1943" s="329"/>
      <c r="I1943" s="330"/>
      <c r="J1943" s="330"/>
    </row>
    <row r="1944" spans="2:10" ht="12.75" x14ac:dyDescent="0.2">
      <c r="B1944" s="331"/>
      <c r="C1944" s="327"/>
      <c r="D1944" s="331"/>
      <c r="F1944" s="329"/>
      <c r="I1944" s="330"/>
      <c r="J1944" s="330"/>
    </row>
    <row r="1945" spans="2:10" ht="12.75" x14ac:dyDescent="0.2">
      <c r="B1945" s="331"/>
      <c r="C1945" s="327"/>
      <c r="D1945" s="331"/>
      <c r="F1945" s="329"/>
      <c r="I1945" s="330"/>
      <c r="J1945" s="330"/>
    </row>
    <row r="1946" spans="2:10" ht="12.75" x14ac:dyDescent="0.2">
      <c r="B1946" s="331"/>
      <c r="C1946" s="327"/>
      <c r="D1946" s="331"/>
      <c r="F1946" s="329"/>
      <c r="I1946" s="330"/>
      <c r="J1946" s="330"/>
    </row>
    <row r="1947" spans="2:10" ht="12.75" x14ac:dyDescent="0.2">
      <c r="B1947" s="331"/>
      <c r="C1947" s="327"/>
      <c r="D1947" s="331"/>
      <c r="F1947" s="329"/>
      <c r="I1947" s="330"/>
      <c r="J1947" s="330"/>
    </row>
    <row r="1948" spans="2:10" ht="12.75" x14ac:dyDescent="0.2">
      <c r="B1948" s="331"/>
      <c r="C1948" s="327"/>
      <c r="D1948" s="331"/>
      <c r="F1948" s="329"/>
      <c r="I1948" s="330"/>
      <c r="J1948" s="330"/>
    </row>
    <row r="1949" spans="2:10" ht="12.75" x14ac:dyDescent="0.2">
      <c r="B1949" s="331"/>
      <c r="C1949" s="327"/>
      <c r="D1949" s="331"/>
      <c r="F1949" s="329"/>
      <c r="I1949" s="330"/>
      <c r="J1949" s="330"/>
    </row>
    <row r="1950" spans="2:10" ht="12.75" x14ac:dyDescent="0.2">
      <c r="B1950" s="331"/>
      <c r="C1950" s="327"/>
      <c r="D1950" s="331"/>
      <c r="F1950" s="329"/>
      <c r="I1950" s="330"/>
      <c r="J1950" s="330"/>
    </row>
    <row r="1951" spans="2:10" ht="12.75" x14ac:dyDescent="0.2">
      <c r="B1951" s="331"/>
      <c r="C1951" s="327"/>
      <c r="D1951" s="331"/>
      <c r="F1951" s="329"/>
      <c r="I1951" s="330"/>
      <c r="J1951" s="330"/>
    </row>
    <row r="1952" spans="2:10" ht="12.75" x14ac:dyDescent="0.2">
      <c r="B1952" s="331"/>
      <c r="C1952" s="327"/>
      <c r="D1952" s="331"/>
      <c r="F1952" s="329"/>
      <c r="I1952" s="330"/>
      <c r="J1952" s="330"/>
    </row>
    <row r="1953" spans="2:10" ht="12.75" x14ac:dyDescent="0.2">
      <c r="B1953" s="331"/>
      <c r="C1953" s="327"/>
      <c r="D1953" s="331"/>
      <c r="F1953" s="329"/>
      <c r="I1953" s="330"/>
      <c r="J1953" s="330"/>
    </row>
    <row r="1954" spans="2:10" ht="12.75" x14ac:dyDescent="0.2">
      <c r="B1954" s="331"/>
      <c r="C1954" s="327"/>
      <c r="D1954" s="331"/>
      <c r="F1954" s="329"/>
      <c r="I1954" s="330"/>
      <c r="J1954" s="330"/>
    </row>
    <row r="1955" spans="2:10" ht="12.75" x14ac:dyDescent="0.2">
      <c r="B1955" s="331"/>
      <c r="C1955" s="327"/>
      <c r="D1955" s="331"/>
      <c r="F1955" s="329"/>
      <c r="I1955" s="330"/>
      <c r="J1955" s="330"/>
    </row>
    <row r="1956" spans="2:10" ht="12.75" x14ac:dyDescent="0.2">
      <c r="B1956" s="331"/>
      <c r="C1956" s="327"/>
      <c r="D1956" s="331"/>
      <c r="F1956" s="329"/>
      <c r="I1956" s="330"/>
      <c r="J1956" s="330"/>
    </row>
    <row r="1957" spans="2:10" ht="12.75" x14ac:dyDescent="0.2">
      <c r="B1957" s="331"/>
      <c r="C1957" s="327"/>
      <c r="D1957" s="331"/>
      <c r="F1957" s="329"/>
      <c r="I1957" s="330"/>
      <c r="J1957" s="330"/>
    </row>
    <row r="1958" spans="2:10" ht="12.75" x14ac:dyDescent="0.2">
      <c r="B1958" s="331"/>
      <c r="C1958" s="327"/>
      <c r="D1958" s="331"/>
      <c r="F1958" s="329"/>
      <c r="I1958" s="330"/>
      <c r="J1958" s="330"/>
    </row>
    <row r="1959" spans="2:10" ht="12.75" x14ac:dyDescent="0.2">
      <c r="B1959" s="331"/>
      <c r="C1959" s="327"/>
      <c r="D1959" s="331"/>
      <c r="F1959" s="329"/>
      <c r="I1959" s="330"/>
      <c r="J1959" s="330"/>
    </row>
    <row r="1960" spans="2:10" ht="12.75" x14ac:dyDescent="0.2">
      <c r="B1960" s="331"/>
      <c r="C1960" s="327"/>
      <c r="D1960" s="331"/>
      <c r="F1960" s="329"/>
      <c r="I1960" s="330"/>
      <c r="J1960" s="330"/>
    </row>
    <row r="1961" spans="2:10" ht="12.75" x14ac:dyDescent="0.2">
      <c r="B1961" s="331"/>
      <c r="C1961" s="327"/>
      <c r="D1961" s="331"/>
      <c r="F1961" s="329"/>
      <c r="I1961" s="330"/>
      <c r="J1961" s="330"/>
    </row>
    <row r="1962" spans="2:10" ht="12.75" x14ac:dyDescent="0.2">
      <c r="B1962" s="331"/>
      <c r="C1962" s="327"/>
      <c r="D1962" s="331"/>
      <c r="F1962" s="329"/>
      <c r="I1962" s="330"/>
      <c r="J1962" s="330"/>
    </row>
    <row r="1963" spans="2:10" ht="12.75" x14ac:dyDescent="0.2">
      <c r="B1963" s="331"/>
      <c r="C1963" s="327"/>
      <c r="D1963" s="331"/>
      <c r="F1963" s="329"/>
      <c r="I1963" s="330"/>
      <c r="J1963" s="330"/>
    </row>
    <row r="1964" spans="2:10" ht="12.75" x14ac:dyDescent="0.2">
      <c r="B1964" s="331"/>
      <c r="C1964" s="327"/>
      <c r="D1964" s="331"/>
      <c r="F1964" s="329"/>
      <c r="I1964" s="330"/>
      <c r="J1964" s="330"/>
    </row>
    <row r="1965" spans="2:10" ht="12.75" x14ac:dyDescent="0.2">
      <c r="B1965" s="331"/>
      <c r="C1965" s="327"/>
      <c r="D1965" s="331"/>
      <c r="F1965" s="329"/>
      <c r="I1965" s="330"/>
      <c r="J1965" s="330"/>
    </row>
    <row r="1966" spans="2:10" ht="12.75" x14ac:dyDescent="0.2">
      <c r="B1966" s="331"/>
      <c r="C1966" s="327"/>
      <c r="D1966" s="331"/>
      <c r="F1966" s="329"/>
      <c r="I1966" s="330"/>
      <c r="J1966" s="330"/>
    </row>
    <row r="1967" spans="2:10" ht="12.75" x14ac:dyDescent="0.2">
      <c r="B1967" s="331"/>
      <c r="C1967" s="327"/>
      <c r="D1967" s="331"/>
      <c r="F1967" s="329"/>
      <c r="I1967" s="330"/>
      <c r="J1967" s="330"/>
    </row>
    <row r="1968" spans="2:10" ht="12.75" x14ac:dyDescent="0.2">
      <c r="B1968" s="331"/>
      <c r="C1968" s="327"/>
      <c r="D1968" s="331"/>
      <c r="F1968" s="329"/>
      <c r="I1968" s="330"/>
      <c r="J1968" s="330"/>
    </row>
    <row r="1969" spans="2:10" ht="12.75" x14ac:dyDescent="0.2">
      <c r="B1969" s="331"/>
      <c r="C1969" s="327"/>
      <c r="D1969" s="331"/>
      <c r="F1969" s="329"/>
      <c r="I1969" s="330"/>
      <c r="J1969" s="330"/>
    </row>
    <row r="1970" spans="2:10" ht="12.75" x14ac:dyDescent="0.2">
      <c r="B1970" s="331"/>
      <c r="C1970" s="327"/>
      <c r="D1970" s="331"/>
      <c r="F1970" s="329"/>
      <c r="I1970" s="330"/>
      <c r="J1970" s="330"/>
    </row>
    <row r="1971" spans="2:10" ht="12.75" x14ac:dyDescent="0.2">
      <c r="B1971" s="331"/>
      <c r="C1971" s="327"/>
      <c r="D1971" s="331"/>
      <c r="F1971" s="329"/>
      <c r="I1971" s="330"/>
      <c r="J1971" s="330"/>
    </row>
    <row r="1972" spans="2:10" ht="12.75" x14ac:dyDescent="0.2">
      <c r="B1972" s="331"/>
      <c r="C1972" s="327"/>
      <c r="D1972" s="331"/>
      <c r="F1972" s="329"/>
      <c r="I1972" s="330"/>
      <c r="J1972" s="330"/>
    </row>
    <row r="1973" spans="2:10" ht="12.75" x14ac:dyDescent="0.2">
      <c r="B1973" s="331"/>
      <c r="C1973" s="327"/>
      <c r="D1973" s="331"/>
      <c r="F1973" s="329"/>
      <c r="I1973" s="330"/>
      <c r="J1973" s="330"/>
    </row>
    <row r="1974" spans="2:10" ht="12.75" x14ac:dyDescent="0.2">
      <c r="B1974" s="331"/>
      <c r="C1974" s="327"/>
      <c r="D1974" s="331"/>
      <c r="F1974" s="329"/>
      <c r="I1974" s="330"/>
      <c r="J1974" s="330"/>
    </row>
    <row r="1975" spans="2:10" ht="12.75" x14ac:dyDescent="0.2">
      <c r="B1975" s="331"/>
      <c r="C1975" s="327"/>
      <c r="D1975" s="331"/>
      <c r="F1975" s="329"/>
      <c r="I1975" s="330"/>
      <c r="J1975" s="330"/>
    </row>
    <row r="1976" spans="2:10" ht="12.75" x14ac:dyDescent="0.2">
      <c r="B1976" s="331"/>
      <c r="C1976" s="327"/>
      <c r="D1976" s="331"/>
      <c r="F1976" s="329"/>
      <c r="I1976" s="330"/>
      <c r="J1976" s="330"/>
    </row>
    <row r="1977" spans="2:10" ht="12.75" x14ac:dyDescent="0.2">
      <c r="B1977" s="331"/>
      <c r="C1977" s="327"/>
      <c r="D1977" s="331"/>
      <c r="F1977" s="329"/>
      <c r="I1977" s="330"/>
      <c r="J1977" s="330"/>
    </row>
    <row r="1978" spans="2:10" ht="12.75" x14ac:dyDescent="0.2">
      <c r="B1978" s="331"/>
      <c r="C1978" s="327"/>
      <c r="D1978" s="331"/>
      <c r="F1978" s="329"/>
      <c r="I1978" s="330"/>
      <c r="J1978" s="330"/>
    </row>
    <row r="1979" spans="2:10" ht="12.75" x14ac:dyDescent="0.2">
      <c r="B1979" s="331"/>
      <c r="C1979" s="327"/>
      <c r="D1979" s="331"/>
      <c r="F1979" s="329"/>
      <c r="I1979" s="330"/>
      <c r="J1979" s="330"/>
    </row>
    <row r="1980" spans="2:10" ht="12.75" x14ac:dyDescent="0.2">
      <c r="B1980" s="331"/>
      <c r="C1980" s="327"/>
      <c r="D1980" s="331"/>
      <c r="F1980" s="329"/>
      <c r="I1980" s="330"/>
      <c r="J1980" s="330"/>
    </row>
    <row r="1981" spans="2:10" ht="12.75" x14ac:dyDescent="0.2">
      <c r="B1981" s="331"/>
      <c r="C1981" s="327"/>
      <c r="D1981" s="331"/>
      <c r="F1981" s="329"/>
      <c r="I1981" s="330"/>
      <c r="J1981" s="330"/>
    </row>
    <row r="1982" spans="2:10" ht="12.75" x14ac:dyDescent="0.2">
      <c r="B1982" s="331"/>
      <c r="C1982" s="327"/>
      <c r="D1982" s="331"/>
      <c r="F1982" s="329"/>
      <c r="I1982" s="330"/>
      <c r="J1982" s="330"/>
    </row>
    <row r="1983" spans="2:10" ht="12.75" x14ac:dyDescent="0.2">
      <c r="B1983" s="331"/>
      <c r="C1983" s="327"/>
      <c r="D1983" s="331"/>
      <c r="F1983" s="329"/>
      <c r="I1983" s="330"/>
      <c r="J1983" s="330"/>
    </row>
    <row r="1984" spans="2:10" ht="12.75" x14ac:dyDescent="0.2">
      <c r="B1984" s="331"/>
      <c r="C1984" s="327"/>
      <c r="D1984" s="331"/>
      <c r="F1984" s="329"/>
      <c r="I1984" s="330"/>
      <c r="J1984" s="330"/>
    </row>
    <row r="1985" spans="2:10" ht="12.75" x14ac:dyDescent="0.2">
      <c r="B1985" s="331"/>
      <c r="C1985" s="327"/>
      <c r="D1985" s="331"/>
      <c r="F1985" s="329"/>
      <c r="I1985" s="330"/>
      <c r="J1985" s="330"/>
    </row>
    <row r="1986" spans="2:10" ht="12.75" x14ac:dyDescent="0.2">
      <c r="B1986" s="331"/>
      <c r="C1986" s="327"/>
      <c r="D1986" s="331"/>
      <c r="F1986" s="329"/>
      <c r="I1986" s="330"/>
      <c r="J1986" s="330"/>
    </row>
    <row r="1987" spans="2:10" ht="12.75" x14ac:dyDescent="0.2">
      <c r="B1987" s="331"/>
      <c r="C1987" s="327"/>
      <c r="D1987" s="331"/>
      <c r="F1987" s="329"/>
      <c r="I1987" s="330"/>
      <c r="J1987" s="330"/>
    </row>
    <row r="1988" spans="2:10" ht="12.75" x14ac:dyDescent="0.2">
      <c r="B1988" s="331"/>
      <c r="C1988" s="327"/>
      <c r="D1988" s="331"/>
      <c r="F1988" s="329"/>
      <c r="I1988" s="330"/>
      <c r="J1988" s="330"/>
    </row>
    <row r="1989" spans="2:10" ht="12.75" x14ac:dyDescent="0.2">
      <c r="B1989" s="331"/>
      <c r="C1989" s="327"/>
      <c r="D1989" s="331"/>
      <c r="F1989" s="329"/>
      <c r="I1989" s="330"/>
      <c r="J1989" s="330"/>
    </row>
    <row r="1990" spans="2:10" ht="12.75" x14ac:dyDescent="0.2">
      <c r="B1990" s="331"/>
      <c r="C1990" s="327"/>
      <c r="D1990" s="331"/>
      <c r="F1990" s="329"/>
      <c r="I1990" s="330"/>
      <c r="J1990" s="330"/>
    </row>
    <row r="1991" spans="2:10" ht="12.75" x14ac:dyDescent="0.2">
      <c r="B1991" s="331"/>
      <c r="C1991" s="327"/>
      <c r="D1991" s="331"/>
      <c r="F1991" s="329"/>
      <c r="I1991" s="330"/>
      <c r="J1991" s="330"/>
    </row>
    <row r="1992" spans="2:10" ht="12.75" x14ac:dyDescent="0.2">
      <c r="B1992" s="331"/>
      <c r="C1992" s="327"/>
      <c r="D1992" s="331"/>
      <c r="F1992" s="329"/>
      <c r="I1992" s="330"/>
      <c r="J1992" s="330"/>
    </row>
    <row r="1993" spans="2:10" ht="12.75" x14ac:dyDescent="0.2">
      <c r="B1993" s="331"/>
      <c r="C1993" s="327"/>
      <c r="D1993" s="331"/>
      <c r="F1993" s="329"/>
      <c r="I1993" s="330"/>
      <c r="J1993" s="330"/>
    </row>
    <row r="1994" spans="2:10" ht="12.75" x14ac:dyDescent="0.2">
      <c r="B1994" s="331"/>
      <c r="C1994" s="327"/>
      <c r="D1994" s="331"/>
      <c r="F1994" s="329"/>
      <c r="I1994" s="330"/>
      <c r="J1994" s="330"/>
    </row>
    <row r="1995" spans="2:10" ht="12.75" x14ac:dyDescent="0.2">
      <c r="B1995" s="331"/>
      <c r="C1995" s="327"/>
      <c r="D1995" s="331"/>
      <c r="F1995" s="329"/>
      <c r="I1995" s="330"/>
      <c r="J1995" s="330"/>
    </row>
    <row r="1996" spans="2:10" ht="12.75" x14ac:dyDescent="0.2">
      <c r="B1996" s="331"/>
      <c r="C1996" s="327"/>
      <c r="D1996" s="331"/>
      <c r="F1996" s="329"/>
      <c r="I1996" s="330"/>
      <c r="J1996" s="330"/>
    </row>
    <row r="1997" spans="2:10" ht="12.75" x14ac:dyDescent="0.2">
      <c r="B1997" s="331"/>
      <c r="C1997" s="327"/>
      <c r="D1997" s="331"/>
      <c r="F1997" s="329"/>
      <c r="I1997" s="330"/>
      <c r="J1997" s="330"/>
    </row>
    <row r="1998" spans="2:10" ht="12.75" x14ac:dyDescent="0.2">
      <c r="B1998" s="331"/>
      <c r="C1998" s="327"/>
      <c r="D1998" s="331"/>
      <c r="F1998" s="329"/>
      <c r="I1998" s="330"/>
      <c r="J1998" s="330"/>
    </row>
    <row r="1999" spans="2:10" ht="12.75" x14ac:dyDescent="0.2">
      <c r="B1999" s="331"/>
      <c r="C1999" s="327"/>
      <c r="D1999" s="331"/>
      <c r="F1999" s="329"/>
      <c r="I1999" s="330"/>
      <c r="J1999" s="330"/>
    </row>
    <row r="2000" spans="2:10" ht="12.75" x14ac:dyDescent="0.2">
      <c r="B2000" s="331"/>
      <c r="C2000" s="327"/>
      <c r="D2000" s="331"/>
      <c r="F2000" s="329"/>
      <c r="I2000" s="330"/>
      <c r="J2000" s="330"/>
    </row>
    <row r="2001" spans="2:10" ht="12.75" x14ac:dyDescent="0.2">
      <c r="B2001" s="331"/>
      <c r="C2001" s="327"/>
      <c r="D2001" s="331"/>
      <c r="F2001" s="329"/>
      <c r="I2001" s="330"/>
      <c r="J2001" s="330"/>
    </row>
    <row r="2002" spans="2:10" ht="12.75" x14ac:dyDescent="0.2">
      <c r="B2002" s="331"/>
      <c r="C2002" s="327"/>
      <c r="D2002" s="331"/>
      <c r="F2002" s="329"/>
      <c r="I2002" s="330"/>
      <c r="J2002" s="330"/>
    </row>
    <row r="2003" spans="2:10" ht="12.75" x14ac:dyDescent="0.2">
      <c r="B2003" s="331"/>
      <c r="C2003" s="327"/>
      <c r="D2003" s="331"/>
      <c r="F2003" s="329"/>
      <c r="I2003" s="330"/>
      <c r="J2003" s="330"/>
    </row>
    <row r="2004" spans="2:10" ht="12.75" x14ac:dyDescent="0.2">
      <c r="B2004" s="331"/>
      <c r="C2004" s="327"/>
      <c r="D2004" s="331"/>
      <c r="F2004" s="329"/>
      <c r="I2004" s="330"/>
      <c r="J2004" s="330"/>
    </row>
    <row r="2005" spans="2:10" ht="12.75" x14ac:dyDescent="0.2">
      <c r="B2005" s="331"/>
      <c r="C2005" s="327"/>
      <c r="D2005" s="331"/>
      <c r="F2005" s="329"/>
      <c r="I2005" s="330"/>
      <c r="J2005" s="330"/>
    </row>
    <row r="2006" spans="2:10" ht="12.75" x14ac:dyDescent="0.2">
      <c r="B2006" s="331"/>
      <c r="C2006" s="327"/>
      <c r="D2006" s="331"/>
      <c r="F2006" s="329"/>
      <c r="I2006" s="330"/>
      <c r="J2006" s="330"/>
    </row>
    <row r="2007" spans="2:10" ht="12.75" x14ac:dyDescent="0.2">
      <c r="B2007" s="331"/>
      <c r="C2007" s="327"/>
      <c r="D2007" s="331"/>
      <c r="F2007" s="329"/>
      <c r="I2007" s="330"/>
      <c r="J2007" s="330"/>
    </row>
    <row r="2008" spans="2:10" ht="12.75" x14ac:dyDescent="0.2">
      <c r="B2008" s="331"/>
      <c r="C2008" s="327"/>
      <c r="D2008" s="331"/>
      <c r="F2008" s="329"/>
      <c r="I2008" s="330"/>
      <c r="J2008" s="330"/>
    </row>
    <row r="2009" spans="2:10" ht="12.75" x14ac:dyDescent="0.2">
      <c r="B2009" s="331"/>
      <c r="C2009" s="327"/>
      <c r="D2009" s="331"/>
      <c r="F2009" s="329"/>
      <c r="I2009" s="330"/>
      <c r="J2009" s="330"/>
    </row>
    <row r="2010" spans="2:10" ht="12.75" x14ac:dyDescent="0.2">
      <c r="B2010" s="331"/>
      <c r="C2010" s="327"/>
      <c r="D2010" s="331"/>
      <c r="F2010" s="329"/>
      <c r="I2010" s="330"/>
      <c r="J2010" s="330"/>
    </row>
    <row r="2011" spans="2:10" ht="12.75" x14ac:dyDescent="0.2">
      <c r="B2011" s="331"/>
      <c r="C2011" s="327"/>
      <c r="D2011" s="331"/>
      <c r="F2011" s="329"/>
      <c r="I2011" s="330"/>
      <c r="J2011" s="330"/>
    </row>
    <row r="2012" spans="2:10" ht="12.75" x14ac:dyDescent="0.2">
      <c r="B2012" s="331"/>
      <c r="C2012" s="327"/>
      <c r="D2012" s="331"/>
      <c r="F2012" s="329"/>
      <c r="I2012" s="330"/>
      <c r="J2012" s="330"/>
    </row>
    <row r="2013" spans="2:10" ht="12.75" x14ac:dyDescent="0.2">
      <c r="B2013" s="331"/>
      <c r="C2013" s="327"/>
      <c r="D2013" s="331"/>
      <c r="F2013" s="329"/>
      <c r="I2013" s="330"/>
      <c r="J2013" s="330"/>
    </row>
    <row r="2014" spans="2:10" ht="12.75" x14ac:dyDescent="0.2">
      <c r="B2014" s="331"/>
      <c r="C2014" s="327"/>
      <c r="D2014" s="331"/>
      <c r="F2014" s="329"/>
      <c r="I2014" s="330"/>
      <c r="J2014" s="330"/>
    </row>
    <row r="2015" spans="2:10" ht="12.75" x14ac:dyDescent="0.2">
      <c r="B2015" s="331"/>
      <c r="C2015" s="327"/>
      <c r="D2015" s="331"/>
      <c r="F2015" s="329"/>
      <c r="I2015" s="330"/>
      <c r="J2015" s="330"/>
    </row>
    <row r="2016" spans="2:10" ht="12.75" x14ac:dyDescent="0.2">
      <c r="B2016" s="331"/>
      <c r="C2016" s="327"/>
      <c r="D2016" s="331"/>
      <c r="F2016" s="329"/>
      <c r="I2016" s="330"/>
      <c r="J2016" s="330"/>
    </row>
    <row r="2017" spans="2:10" ht="12.75" x14ac:dyDescent="0.2">
      <c r="B2017" s="331"/>
      <c r="C2017" s="327"/>
      <c r="D2017" s="331"/>
      <c r="F2017" s="329"/>
      <c r="I2017" s="330"/>
      <c r="J2017" s="330"/>
    </row>
    <row r="2018" spans="2:10" ht="12.75" x14ac:dyDescent="0.2">
      <c r="B2018" s="331"/>
      <c r="C2018" s="327"/>
      <c r="D2018" s="331"/>
      <c r="F2018" s="329"/>
      <c r="I2018" s="330"/>
      <c r="J2018" s="330"/>
    </row>
    <row r="2019" spans="2:10" ht="12.75" x14ac:dyDescent="0.2">
      <c r="B2019" s="331"/>
      <c r="C2019" s="327"/>
      <c r="D2019" s="331"/>
      <c r="F2019" s="329"/>
      <c r="I2019" s="330"/>
      <c r="J2019" s="330"/>
    </row>
    <row r="2020" spans="2:10" ht="12.75" x14ac:dyDescent="0.2">
      <c r="B2020" s="331"/>
      <c r="C2020" s="327"/>
      <c r="D2020" s="331"/>
      <c r="F2020" s="329"/>
      <c r="I2020" s="330"/>
      <c r="J2020" s="330"/>
    </row>
    <row r="2021" spans="2:10" ht="12.75" x14ac:dyDescent="0.2">
      <c r="B2021" s="331"/>
      <c r="C2021" s="327"/>
      <c r="D2021" s="331"/>
      <c r="F2021" s="329"/>
      <c r="I2021" s="330"/>
      <c r="J2021" s="330"/>
    </row>
    <row r="2022" spans="2:10" ht="12.75" x14ac:dyDescent="0.2">
      <c r="B2022" s="331"/>
      <c r="C2022" s="327"/>
      <c r="D2022" s="331"/>
      <c r="F2022" s="329"/>
      <c r="I2022" s="330"/>
      <c r="J2022" s="330"/>
    </row>
    <row r="2023" spans="2:10" ht="12.75" x14ac:dyDescent="0.2">
      <c r="B2023" s="331"/>
      <c r="C2023" s="327"/>
      <c r="D2023" s="331"/>
      <c r="F2023" s="329"/>
      <c r="I2023" s="330"/>
      <c r="J2023" s="330"/>
    </row>
    <row r="2024" spans="2:10" ht="12.75" x14ac:dyDescent="0.2">
      <c r="B2024" s="331"/>
      <c r="C2024" s="327"/>
      <c r="D2024" s="331"/>
      <c r="F2024" s="329"/>
      <c r="I2024" s="330"/>
      <c r="J2024" s="330"/>
    </row>
    <row r="2025" spans="2:10" ht="12.75" x14ac:dyDescent="0.2">
      <c r="B2025" s="331"/>
      <c r="C2025" s="327"/>
      <c r="D2025" s="331"/>
      <c r="F2025" s="329"/>
      <c r="I2025" s="330"/>
      <c r="J2025" s="330"/>
    </row>
    <row r="2026" spans="2:10" ht="12.75" x14ac:dyDescent="0.2">
      <c r="B2026" s="331"/>
      <c r="C2026" s="327"/>
      <c r="D2026" s="331"/>
      <c r="F2026" s="329"/>
      <c r="I2026" s="330"/>
      <c r="J2026" s="330"/>
    </row>
    <row r="2027" spans="2:10" ht="12.75" x14ac:dyDescent="0.2">
      <c r="B2027" s="331"/>
      <c r="C2027" s="327"/>
      <c r="D2027" s="331"/>
      <c r="F2027" s="329"/>
      <c r="I2027" s="330"/>
      <c r="J2027" s="330"/>
    </row>
    <row r="2028" spans="2:10" ht="12.75" x14ac:dyDescent="0.2">
      <c r="B2028" s="331"/>
      <c r="C2028" s="327"/>
      <c r="D2028" s="331"/>
      <c r="F2028" s="329"/>
      <c r="I2028" s="330"/>
      <c r="J2028" s="330"/>
    </row>
    <row r="2029" spans="2:10" ht="12.75" x14ac:dyDescent="0.2">
      <c r="B2029" s="331"/>
      <c r="C2029" s="327"/>
      <c r="D2029" s="331"/>
      <c r="F2029" s="329"/>
      <c r="I2029" s="330"/>
      <c r="J2029" s="330"/>
    </row>
    <row r="2030" spans="2:10" ht="12.75" x14ac:dyDescent="0.2">
      <c r="B2030" s="331"/>
      <c r="C2030" s="327"/>
      <c r="D2030" s="331"/>
      <c r="F2030" s="329"/>
      <c r="I2030" s="330"/>
      <c r="J2030" s="330"/>
    </row>
    <row r="2031" spans="2:10" ht="12.75" x14ac:dyDescent="0.2">
      <c r="B2031" s="331"/>
      <c r="C2031" s="327"/>
      <c r="D2031" s="331"/>
      <c r="F2031" s="329"/>
      <c r="I2031" s="330"/>
      <c r="J2031" s="330"/>
    </row>
    <row r="2032" spans="2:10" ht="12.75" x14ac:dyDescent="0.2">
      <c r="B2032" s="331"/>
      <c r="C2032" s="327"/>
      <c r="D2032" s="331"/>
      <c r="F2032" s="329"/>
      <c r="I2032" s="330"/>
      <c r="J2032" s="330"/>
    </row>
    <row r="2033" spans="2:10" ht="12.75" x14ac:dyDescent="0.2">
      <c r="B2033" s="331"/>
      <c r="C2033" s="327"/>
      <c r="D2033" s="331"/>
      <c r="F2033" s="329"/>
      <c r="I2033" s="330"/>
      <c r="J2033" s="330"/>
    </row>
    <row r="2034" spans="2:10" ht="12.75" x14ac:dyDescent="0.2">
      <c r="B2034" s="331"/>
      <c r="C2034" s="327"/>
      <c r="D2034" s="331"/>
      <c r="F2034" s="329"/>
      <c r="I2034" s="330"/>
      <c r="J2034" s="330"/>
    </row>
    <row r="2035" spans="2:10" ht="12.75" x14ac:dyDescent="0.2">
      <c r="B2035" s="331"/>
      <c r="C2035" s="327"/>
      <c r="D2035" s="331"/>
      <c r="F2035" s="329"/>
      <c r="I2035" s="330"/>
      <c r="J2035" s="330"/>
    </row>
    <row r="2036" spans="2:10" ht="12.75" x14ac:dyDescent="0.2">
      <c r="B2036" s="331"/>
      <c r="C2036" s="327"/>
      <c r="D2036" s="331"/>
      <c r="F2036" s="329"/>
      <c r="I2036" s="330"/>
      <c r="J2036" s="330"/>
    </row>
    <row r="2037" spans="2:10" ht="12.75" x14ac:dyDescent="0.2">
      <c r="B2037" s="331"/>
      <c r="C2037" s="327"/>
      <c r="D2037" s="331"/>
      <c r="F2037" s="329"/>
      <c r="I2037" s="330"/>
      <c r="J2037" s="330"/>
    </row>
    <row r="2038" spans="2:10" ht="12.75" x14ac:dyDescent="0.2">
      <c r="B2038" s="331"/>
      <c r="C2038" s="327"/>
      <c r="D2038" s="331"/>
      <c r="F2038" s="329"/>
      <c r="I2038" s="330"/>
      <c r="J2038" s="330"/>
    </row>
    <row r="2039" spans="2:10" ht="12.75" x14ac:dyDescent="0.2">
      <c r="B2039" s="331"/>
      <c r="C2039" s="327"/>
      <c r="D2039" s="331"/>
      <c r="F2039" s="329"/>
      <c r="I2039" s="330"/>
      <c r="J2039" s="330"/>
    </row>
    <row r="2040" spans="2:10" ht="12.75" x14ac:dyDescent="0.2">
      <c r="B2040" s="331"/>
      <c r="C2040" s="327"/>
      <c r="D2040" s="331"/>
      <c r="F2040" s="329"/>
      <c r="I2040" s="330"/>
      <c r="J2040" s="330"/>
    </row>
    <row r="2041" spans="2:10" ht="12.75" x14ac:dyDescent="0.2">
      <c r="B2041" s="331"/>
      <c r="C2041" s="327"/>
      <c r="D2041" s="331"/>
      <c r="F2041" s="329"/>
      <c r="I2041" s="330"/>
      <c r="J2041" s="330"/>
    </row>
    <row r="2042" spans="2:10" ht="12.75" x14ac:dyDescent="0.2">
      <c r="B2042" s="331"/>
      <c r="C2042" s="327"/>
      <c r="D2042" s="331"/>
      <c r="F2042" s="329"/>
      <c r="I2042" s="330"/>
      <c r="J2042" s="330"/>
    </row>
    <row r="2043" spans="2:10" ht="12.75" x14ac:dyDescent="0.2">
      <c r="B2043" s="331"/>
      <c r="C2043" s="327"/>
      <c r="D2043" s="331"/>
      <c r="F2043" s="329"/>
      <c r="I2043" s="330"/>
      <c r="J2043" s="330"/>
    </row>
    <row r="2044" spans="2:10" ht="12.75" x14ac:dyDescent="0.2">
      <c r="B2044" s="331"/>
      <c r="C2044" s="327"/>
      <c r="D2044" s="331"/>
      <c r="F2044" s="329"/>
      <c r="I2044" s="330"/>
      <c r="J2044" s="330"/>
    </row>
    <row r="2045" spans="2:10" ht="12.75" x14ac:dyDescent="0.2">
      <c r="B2045" s="331"/>
      <c r="C2045" s="327"/>
      <c r="D2045" s="331"/>
      <c r="F2045" s="329"/>
      <c r="I2045" s="330"/>
      <c r="J2045" s="330"/>
    </row>
    <row r="2046" spans="2:10" ht="12.75" x14ac:dyDescent="0.2">
      <c r="B2046" s="331"/>
      <c r="C2046" s="327"/>
      <c r="D2046" s="331"/>
      <c r="F2046" s="329"/>
      <c r="I2046" s="330"/>
      <c r="J2046" s="330"/>
    </row>
    <row r="2047" spans="2:10" ht="12.75" x14ac:dyDescent="0.2">
      <c r="B2047" s="331"/>
      <c r="C2047" s="327"/>
      <c r="D2047" s="331"/>
      <c r="F2047" s="329"/>
      <c r="I2047" s="330"/>
      <c r="J2047" s="330"/>
    </row>
    <row r="2048" spans="2:10" ht="12.75" x14ac:dyDescent="0.2">
      <c r="B2048" s="331"/>
      <c r="C2048" s="327"/>
      <c r="D2048" s="331"/>
      <c r="F2048" s="329"/>
      <c r="I2048" s="330"/>
      <c r="J2048" s="330"/>
    </row>
    <row r="2049" spans="2:10" ht="12.75" x14ac:dyDescent="0.2">
      <c r="B2049" s="331"/>
      <c r="C2049" s="327"/>
      <c r="D2049" s="331"/>
      <c r="F2049" s="329"/>
      <c r="I2049" s="330"/>
      <c r="J2049" s="330"/>
    </row>
    <row r="2050" spans="2:10" ht="12.75" x14ac:dyDescent="0.2">
      <c r="B2050" s="331"/>
      <c r="C2050" s="327"/>
      <c r="D2050" s="331"/>
      <c r="F2050" s="329"/>
      <c r="I2050" s="330"/>
      <c r="J2050" s="330"/>
    </row>
    <row r="2051" spans="2:10" ht="12.75" x14ac:dyDescent="0.2">
      <c r="B2051" s="331"/>
      <c r="C2051" s="327"/>
      <c r="D2051" s="331"/>
      <c r="F2051" s="329"/>
      <c r="I2051" s="330"/>
      <c r="J2051" s="330"/>
    </row>
    <row r="2052" spans="2:10" ht="12.75" x14ac:dyDescent="0.2">
      <c r="B2052" s="331"/>
      <c r="C2052" s="327"/>
      <c r="D2052" s="331"/>
      <c r="F2052" s="329"/>
      <c r="I2052" s="330"/>
      <c r="J2052" s="330"/>
    </row>
    <row r="2053" spans="2:10" ht="12.75" x14ac:dyDescent="0.2">
      <c r="B2053" s="331"/>
      <c r="C2053" s="327"/>
      <c r="D2053" s="331"/>
      <c r="F2053" s="329"/>
      <c r="I2053" s="330"/>
      <c r="J2053" s="330"/>
    </row>
    <row r="2054" spans="2:10" ht="12.75" x14ac:dyDescent="0.2">
      <c r="B2054" s="331"/>
      <c r="C2054" s="327"/>
      <c r="D2054" s="331"/>
      <c r="F2054" s="329"/>
      <c r="I2054" s="330"/>
      <c r="J2054" s="330"/>
    </row>
    <row r="2055" spans="2:10" ht="12.75" x14ac:dyDescent="0.2">
      <c r="B2055" s="331"/>
      <c r="C2055" s="327"/>
      <c r="D2055" s="331"/>
      <c r="F2055" s="329"/>
      <c r="I2055" s="330"/>
      <c r="J2055" s="330"/>
    </row>
    <row r="2056" spans="2:10" ht="12.75" x14ac:dyDescent="0.2">
      <c r="B2056" s="331"/>
      <c r="C2056" s="327"/>
      <c r="D2056" s="331"/>
      <c r="F2056" s="329"/>
      <c r="I2056" s="330"/>
      <c r="J2056" s="330"/>
    </row>
    <row r="2057" spans="2:10" ht="12.75" x14ac:dyDescent="0.2">
      <c r="B2057" s="331"/>
      <c r="C2057" s="327"/>
      <c r="D2057" s="331"/>
      <c r="F2057" s="329"/>
      <c r="I2057" s="330"/>
      <c r="J2057" s="330"/>
    </row>
    <row r="2058" spans="2:10" ht="12.75" x14ac:dyDescent="0.2">
      <c r="B2058" s="331"/>
      <c r="C2058" s="327"/>
      <c r="D2058" s="331"/>
      <c r="F2058" s="329"/>
      <c r="I2058" s="330"/>
      <c r="J2058" s="330"/>
    </row>
    <row r="2059" spans="2:10" ht="12.75" x14ac:dyDescent="0.2">
      <c r="B2059" s="331"/>
      <c r="C2059" s="327"/>
      <c r="D2059" s="331"/>
      <c r="F2059" s="329"/>
      <c r="I2059" s="330"/>
      <c r="J2059" s="330"/>
    </row>
    <row r="2060" spans="2:10" ht="12.75" x14ac:dyDescent="0.2">
      <c r="B2060" s="331"/>
      <c r="C2060" s="327"/>
      <c r="D2060" s="331"/>
      <c r="F2060" s="329"/>
      <c r="I2060" s="330"/>
      <c r="J2060" s="330"/>
    </row>
    <row r="2061" spans="2:10" ht="12.75" x14ac:dyDescent="0.2">
      <c r="B2061" s="331"/>
      <c r="C2061" s="327"/>
      <c r="D2061" s="331"/>
      <c r="F2061" s="329"/>
      <c r="I2061" s="330"/>
      <c r="J2061" s="330"/>
    </row>
    <row r="2062" spans="2:10" ht="12.75" x14ac:dyDescent="0.2">
      <c r="B2062" s="331"/>
      <c r="C2062" s="327"/>
      <c r="D2062" s="331"/>
      <c r="F2062" s="329"/>
      <c r="I2062" s="330"/>
      <c r="J2062" s="330"/>
    </row>
    <row r="2063" spans="2:10" ht="12.75" x14ac:dyDescent="0.2">
      <c r="B2063" s="331"/>
      <c r="C2063" s="327"/>
      <c r="D2063" s="331"/>
      <c r="F2063" s="329"/>
      <c r="I2063" s="330"/>
      <c r="J2063" s="330"/>
    </row>
    <row r="2064" spans="2:10" ht="12.75" x14ac:dyDescent="0.2">
      <c r="B2064" s="331"/>
      <c r="C2064" s="327"/>
      <c r="D2064" s="331"/>
      <c r="F2064" s="329"/>
      <c r="I2064" s="330"/>
      <c r="J2064" s="330"/>
    </row>
    <row r="2065" spans="2:10" ht="12.75" x14ac:dyDescent="0.2">
      <c r="B2065" s="331"/>
      <c r="C2065" s="327"/>
      <c r="D2065" s="331"/>
      <c r="F2065" s="329"/>
      <c r="I2065" s="330"/>
      <c r="J2065" s="330"/>
    </row>
    <row r="2066" spans="2:10" ht="12.75" x14ac:dyDescent="0.2">
      <c r="B2066" s="331"/>
      <c r="C2066" s="327"/>
      <c r="D2066" s="331"/>
      <c r="F2066" s="329"/>
      <c r="I2066" s="330"/>
      <c r="J2066" s="330"/>
    </row>
    <row r="2067" spans="2:10" ht="12.75" x14ac:dyDescent="0.2">
      <c r="B2067" s="331"/>
      <c r="C2067" s="327"/>
      <c r="D2067" s="331"/>
      <c r="F2067" s="329"/>
      <c r="I2067" s="330"/>
      <c r="J2067" s="330"/>
    </row>
    <row r="2068" spans="2:10" ht="12.75" x14ac:dyDescent="0.2">
      <c r="B2068" s="331"/>
      <c r="C2068" s="327"/>
      <c r="D2068" s="331"/>
      <c r="F2068" s="329"/>
      <c r="I2068" s="330"/>
      <c r="J2068" s="330"/>
    </row>
    <row r="2069" spans="2:10" ht="12.75" x14ac:dyDescent="0.2">
      <c r="B2069" s="331"/>
      <c r="C2069" s="327"/>
      <c r="D2069" s="331"/>
      <c r="F2069" s="329"/>
      <c r="I2069" s="330"/>
      <c r="J2069" s="330"/>
    </row>
    <row r="2070" spans="2:10" ht="12.75" x14ac:dyDescent="0.2">
      <c r="B2070" s="331"/>
      <c r="C2070" s="327"/>
      <c r="D2070" s="331"/>
      <c r="F2070" s="329"/>
      <c r="I2070" s="330"/>
      <c r="J2070" s="330"/>
    </row>
    <row r="2071" spans="2:10" ht="12.75" x14ac:dyDescent="0.2">
      <c r="B2071" s="331"/>
      <c r="C2071" s="327"/>
      <c r="D2071" s="331"/>
      <c r="F2071" s="329"/>
      <c r="I2071" s="330"/>
      <c r="J2071" s="330"/>
    </row>
    <row r="2072" spans="2:10" ht="12.75" x14ac:dyDescent="0.2">
      <c r="B2072" s="331"/>
      <c r="C2072" s="327"/>
      <c r="D2072" s="331"/>
      <c r="F2072" s="329"/>
      <c r="I2072" s="330"/>
      <c r="J2072" s="330"/>
    </row>
    <row r="2073" spans="2:10" ht="12.75" x14ac:dyDescent="0.2">
      <c r="B2073" s="331"/>
      <c r="C2073" s="327"/>
      <c r="D2073" s="331"/>
      <c r="F2073" s="329"/>
      <c r="I2073" s="330"/>
      <c r="J2073" s="330"/>
    </row>
    <row r="2074" spans="2:10" ht="12.75" x14ac:dyDescent="0.2">
      <c r="B2074" s="331"/>
      <c r="C2074" s="327"/>
      <c r="D2074" s="331"/>
      <c r="F2074" s="329"/>
      <c r="I2074" s="330"/>
      <c r="J2074" s="330"/>
    </row>
    <row r="2075" spans="2:10" ht="12.75" x14ac:dyDescent="0.2">
      <c r="B2075" s="331"/>
      <c r="C2075" s="327"/>
      <c r="D2075" s="331"/>
      <c r="F2075" s="329"/>
      <c r="I2075" s="330"/>
      <c r="J2075" s="330"/>
    </row>
    <row r="2076" spans="2:10" ht="12.75" x14ac:dyDescent="0.2">
      <c r="B2076" s="331"/>
      <c r="C2076" s="327"/>
      <c r="D2076" s="331"/>
      <c r="F2076" s="329"/>
      <c r="I2076" s="330"/>
      <c r="J2076" s="330"/>
    </row>
    <row r="2077" spans="2:10" ht="12.75" x14ac:dyDescent="0.2">
      <c r="B2077" s="331"/>
      <c r="C2077" s="327"/>
      <c r="D2077" s="331"/>
      <c r="F2077" s="329"/>
      <c r="I2077" s="330"/>
      <c r="J2077" s="330"/>
    </row>
    <row r="2078" spans="2:10" ht="12.75" x14ac:dyDescent="0.2">
      <c r="B2078" s="331"/>
      <c r="C2078" s="327"/>
      <c r="D2078" s="331"/>
      <c r="F2078" s="329"/>
      <c r="I2078" s="330"/>
      <c r="J2078" s="330"/>
    </row>
    <row r="2079" spans="2:10" ht="12.75" x14ac:dyDescent="0.2">
      <c r="B2079" s="331"/>
      <c r="C2079" s="327"/>
      <c r="D2079" s="331"/>
      <c r="F2079" s="329"/>
      <c r="I2079" s="330"/>
      <c r="J2079" s="330"/>
    </row>
    <row r="2080" spans="2:10" ht="12.75" x14ac:dyDescent="0.2">
      <c r="B2080" s="331"/>
      <c r="C2080" s="327"/>
      <c r="D2080" s="331"/>
      <c r="F2080" s="329"/>
      <c r="I2080" s="330"/>
      <c r="J2080" s="330"/>
    </row>
    <row r="2081" spans="2:10" ht="12.75" x14ac:dyDescent="0.2">
      <c r="B2081" s="331"/>
      <c r="C2081" s="327"/>
      <c r="D2081" s="331"/>
      <c r="F2081" s="329"/>
      <c r="I2081" s="330"/>
      <c r="J2081" s="330"/>
    </row>
    <row r="2082" spans="2:10" ht="12.75" x14ac:dyDescent="0.2">
      <c r="B2082" s="331"/>
      <c r="C2082" s="327"/>
      <c r="D2082" s="331"/>
      <c r="F2082" s="329"/>
      <c r="I2082" s="330"/>
      <c r="J2082" s="330"/>
    </row>
    <row r="2083" spans="2:10" ht="12.75" x14ac:dyDescent="0.2">
      <c r="B2083" s="331"/>
      <c r="C2083" s="327"/>
      <c r="D2083" s="331"/>
      <c r="F2083" s="329"/>
      <c r="I2083" s="330"/>
      <c r="J2083" s="330"/>
    </row>
    <row r="2084" spans="2:10" ht="12.75" x14ac:dyDescent="0.2">
      <c r="B2084" s="331"/>
      <c r="C2084" s="327"/>
      <c r="D2084" s="331"/>
      <c r="F2084" s="329"/>
      <c r="I2084" s="330"/>
      <c r="J2084" s="330"/>
    </row>
    <row r="2085" spans="2:10" ht="12.75" x14ac:dyDescent="0.2">
      <c r="B2085" s="331"/>
      <c r="C2085" s="327"/>
      <c r="D2085" s="331"/>
      <c r="F2085" s="329"/>
      <c r="I2085" s="330"/>
      <c r="J2085" s="330"/>
    </row>
    <row r="2086" spans="2:10" ht="12.75" x14ac:dyDescent="0.2">
      <c r="B2086" s="331"/>
      <c r="C2086" s="327"/>
      <c r="D2086" s="331"/>
      <c r="F2086" s="329"/>
      <c r="I2086" s="330"/>
      <c r="J2086" s="330"/>
    </row>
    <row r="2087" spans="2:10" ht="12.75" x14ac:dyDescent="0.2">
      <c r="B2087" s="331"/>
      <c r="C2087" s="327"/>
      <c r="D2087" s="331"/>
      <c r="F2087" s="329"/>
      <c r="I2087" s="330"/>
      <c r="J2087" s="330"/>
    </row>
    <row r="2088" spans="2:10" ht="12.75" x14ac:dyDescent="0.2">
      <c r="B2088" s="331"/>
      <c r="C2088" s="327"/>
      <c r="D2088" s="331"/>
      <c r="F2088" s="329"/>
      <c r="I2088" s="330"/>
      <c r="J2088" s="330"/>
    </row>
    <row r="2089" spans="2:10" ht="12.75" x14ac:dyDescent="0.2">
      <c r="B2089" s="331"/>
      <c r="C2089" s="327"/>
      <c r="D2089" s="331"/>
      <c r="F2089" s="329"/>
      <c r="I2089" s="330"/>
      <c r="J2089" s="330"/>
    </row>
    <row r="2090" spans="2:10" ht="12.75" x14ac:dyDescent="0.2">
      <c r="B2090" s="331"/>
      <c r="C2090" s="327"/>
      <c r="D2090" s="331"/>
      <c r="F2090" s="329"/>
      <c r="I2090" s="330"/>
      <c r="J2090" s="330"/>
    </row>
    <row r="2091" spans="2:10" ht="12.75" x14ac:dyDescent="0.2">
      <c r="B2091" s="331"/>
      <c r="C2091" s="327"/>
      <c r="D2091" s="331"/>
      <c r="F2091" s="329"/>
      <c r="I2091" s="330"/>
      <c r="J2091" s="330"/>
    </row>
    <row r="2092" spans="2:10" ht="12.75" x14ac:dyDescent="0.2">
      <c r="B2092" s="331"/>
      <c r="C2092" s="327"/>
      <c r="D2092" s="331"/>
      <c r="F2092" s="329"/>
      <c r="I2092" s="330"/>
      <c r="J2092" s="330"/>
    </row>
    <row r="2093" spans="2:10" ht="12.75" x14ac:dyDescent="0.2">
      <c r="B2093" s="331"/>
      <c r="C2093" s="327"/>
      <c r="D2093" s="331"/>
      <c r="F2093" s="329"/>
      <c r="I2093" s="330"/>
      <c r="J2093" s="330"/>
    </row>
    <row r="2094" spans="2:10" ht="12.75" x14ac:dyDescent="0.2">
      <c r="B2094" s="331"/>
      <c r="C2094" s="327"/>
      <c r="D2094" s="331"/>
      <c r="F2094" s="329"/>
      <c r="I2094" s="330"/>
      <c r="J2094" s="330"/>
    </row>
    <row r="2095" spans="2:10" ht="12.75" x14ac:dyDescent="0.2">
      <c r="B2095" s="331"/>
      <c r="C2095" s="327"/>
      <c r="D2095" s="331"/>
      <c r="F2095" s="329"/>
      <c r="I2095" s="330"/>
      <c r="J2095" s="330"/>
    </row>
    <row r="2096" spans="2:10" ht="12.75" x14ac:dyDescent="0.2">
      <c r="B2096" s="331"/>
      <c r="C2096" s="327"/>
      <c r="D2096" s="331"/>
      <c r="F2096" s="329"/>
      <c r="I2096" s="330"/>
      <c r="J2096" s="330"/>
    </row>
    <row r="2097" spans="2:10" ht="12.75" x14ac:dyDescent="0.2">
      <c r="B2097" s="331"/>
      <c r="C2097" s="327"/>
      <c r="D2097" s="331"/>
      <c r="F2097" s="329"/>
      <c r="I2097" s="330"/>
      <c r="J2097" s="330"/>
    </row>
    <row r="2098" spans="2:10" ht="12.75" x14ac:dyDescent="0.2">
      <c r="B2098" s="331"/>
      <c r="C2098" s="327"/>
      <c r="D2098" s="331"/>
      <c r="F2098" s="329"/>
      <c r="I2098" s="330"/>
      <c r="J2098" s="330"/>
    </row>
    <row r="2099" spans="2:10" ht="12.75" x14ac:dyDescent="0.2">
      <c r="B2099" s="331"/>
      <c r="C2099" s="327"/>
      <c r="D2099" s="331"/>
      <c r="F2099" s="329"/>
      <c r="I2099" s="330"/>
      <c r="J2099" s="330"/>
    </row>
    <row r="2100" spans="2:10" ht="12.75" x14ac:dyDescent="0.2">
      <c r="B2100" s="331"/>
      <c r="C2100" s="327"/>
      <c r="D2100" s="331"/>
      <c r="F2100" s="329"/>
      <c r="I2100" s="330"/>
      <c r="J2100" s="330"/>
    </row>
    <row r="2101" spans="2:10" ht="12.75" x14ac:dyDescent="0.2">
      <c r="B2101" s="331"/>
      <c r="C2101" s="327"/>
      <c r="D2101" s="331"/>
      <c r="F2101" s="329"/>
      <c r="I2101" s="330"/>
      <c r="J2101" s="330"/>
    </row>
    <row r="2102" spans="2:10" ht="12.75" x14ac:dyDescent="0.2">
      <c r="B2102" s="331"/>
      <c r="C2102" s="327"/>
      <c r="D2102" s="331"/>
      <c r="F2102" s="329"/>
      <c r="I2102" s="330"/>
      <c r="J2102" s="330"/>
    </row>
    <row r="2103" spans="2:10" ht="12.75" x14ac:dyDescent="0.2">
      <c r="B2103" s="331"/>
      <c r="C2103" s="327"/>
      <c r="D2103" s="331"/>
      <c r="F2103" s="329"/>
      <c r="I2103" s="330"/>
      <c r="J2103" s="330"/>
    </row>
    <row r="2104" spans="2:10" ht="12.75" x14ac:dyDescent="0.2">
      <c r="B2104" s="331"/>
      <c r="C2104" s="327"/>
      <c r="D2104" s="331"/>
      <c r="F2104" s="329"/>
      <c r="I2104" s="330"/>
      <c r="J2104" s="330"/>
    </row>
    <row r="2105" spans="2:10" ht="12.75" x14ac:dyDescent="0.2">
      <c r="B2105" s="331"/>
      <c r="C2105" s="327"/>
      <c r="D2105" s="331"/>
      <c r="F2105" s="329"/>
      <c r="I2105" s="330"/>
      <c r="J2105" s="330"/>
    </row>
    <row r="2106" spans="2:10" ht="12.75" x14ac:dyDescent="0.2">
      <c r="B2106" s="331"/>
      <c r="C2106" s="327"/>
      <c r="D2106" s="331"/>
      <c r="F2106" s="329"/>
      <c r="I2106" s="330"/>
      <c r="J2106" s="330"/>
    </row>
    <row r="2107" spans="2:10" ht="12.75" x14ac:dyDescent="0.2">
      <c r="B2107" s="331"/>
      <c r="C2107" s="327"/>
      <c r="D2107" s="331"/>
      <c r="F2107" s="329"/>
      <c r="I2107" s="330"/>
      <c r="J2107" s="330"/>
    </row>
    <row r="2108" spans="2:10" ht="12.75" x14ac:dyDescent="0.2">
      <c r="B2108" s="331"/>
      <c r="C2108" s="327"/>
      <c r="D2108" s="331"/>
      <c r="F2108" s="329"/>
      <c r="I2108" s="330"/>
      <c r="J2108" s="330"/>
    </row>
    <row r="2109" spans="2:10" ht="12.75" x14ac:dyDescent="0.2">
      <c r="B2109" s="331"/>
      <c r="C2109" s="327"/>
      <c r="D2109" s="331"/>
      <c r="F2109" s="329"/>
      <c r="I2109" s="330"/>
      <c r="J2109" s="330"/>
    </row>
    <row r="2110" spans="2:10" ht="12.75" x14ac:dyDescent="0.2">
      <c r="B2110" s="331"/>
      <c r="C2110" s="327"/>
      <c r="D2110" s="331"/>
      <c r="F2110" s="329"/>
      <c r="I2110" s="330"/>
      <c r="J2110" s="330"/>
    </row>
    <row r="2111" spans="2:10" ht="12.75" x14ac:dyDescent="0.2">
      <c r="B2111" s="331"/>
      <c r="C2111" s="327"/>
      <c r="D2111" s="331"/>
      <c r="F2111" s="329"/>
      <c r="I2111" s="330"/>
      <c r="J2111" s="330"/>
    </row>
    <row r="2112" spans="2:10" ht="12.75" x14ac:dyDescent="0.2">
      <c r="B2112" s="331"/>
      <c r="C2112" s="327"/>
      <c r="D2112" s="331"/>
      <c r="F2112" s="329"/>
      <c r="I2112" s="330"/>
      <c r="J2112" s="330"/>
    </row>
    <row r="2113" spans="2:10" ht="12.75" x14ac:dyDescent="0.2">
      <c r="B2113" s="331"/>
      <c r="C2113" s="327"/>
      <c r="D2113" s="331"/>
      <c r="F2113" s="329"/>
      <c r="I2113" s="330"/>
      <c r="J2113" s="330"/>
    </row>
    <row r="2114" spans="2:10" ht="12.75" x14ac:dyDescent="0.2">
      <c r="B2114" s="331"/>
      <c r="C2114" s="327"/>
      <c r="D2114" s="331"/>
      <c r="F2114" s="329"/>
      <c r="I2114" s="330"/>
      <c r="J2114" s="330"/>
    </row>
    <row r="2115" spans="2:10" ht="12.75" x14ac:dyDescent="0.2">
      <c r="B2115" s="331"/>
      <c r="C2115" s="327"/>
      <c r="D2115" s="331"/>
      <c r="F2115" s="329"/>
      <c r="I2115" s="330"/>
      <c r="J2115" s="330"/>
    </row>
    <row r="2116" spans="2:10" ht="12.75" x14ac:dyDescent="0.2">
      <c r="B2116" s="331"/>
      <c r="C2116" s="327"/>
      <c r="D2116" s="331"/>
      <c r="F2116" s="329"/>
      <c r="I2116" s="330"/>
      <c r="J2116" s="330"/>
    </row>
    <row r="2117" spans="2:10" ht="12.75" x14ac:dyDescent="0.2">
      <c r="B2117" s="331"/>
      <c r="C2117" s="327"/>
      <c r="D2117" s="331"/>
      <c r="F2117" s="329"/>
      <c r="I2117" s="330"/>
      <c r="J2117" s="330"/>
    </row>
    <row r="2118" spans="2:10" ht="12.75" x14ac:dyDescent="0.2">
      <c r="B2118" s="331"/>
      <c r="C2118" s="327"/>
      <c r="D2118" s="331"/>
      <c r="F2118" s="329"/>
      <c r="I2118" s="330"/>
      <c r="J2118" s="330"/>
    </row>
    <row r="2119" spans="2:10" ht="12.75" x14ac:dyDescent="0.2">
      <c r="B2119" s="331"/>
      <c r="C2119" s="327"/>
      <c r="D2119" s="331"/>
      <c r="F2119" s="329"/>
      <c r="I2119" s="330"/>
      <c r="J2119" s="330"/>
    </row>
    <row r="2120" spans="2:10" ht="12.75" x14ac:dyDescent="0.2">
      <c r="B2120" s="331"/>
      <c r="C2120" s="327"/>
      <c r="D2120" s="331"/>
      <c r="F2120" s="329"/>
      <c r="I2120" s="330"/>
      <c r="J2120" s="330"/>
    </row>
    <row r="2121" spans="2:10" ht="12.75" x14ac:dyDescent="0.2">
      <c r="B2121" s="331"/>
      <c r="C2121" s="327"/>
      <c r="D2121" s="331"/>
      <c r="F2121" s="329"/>
      <c r="I2121" s="330"/>
      <c r="J2121" s="330"/>
    </row>
    <row r="2122" spans="2:10" ht="12.75" x14ac:dyDescent="0.2">
      <c r="B2122" s="331"/>
      <c r="C2122" s="327"/>
      <c r="D2122" s="331"/>
      <c r="F2122" s="329"/>
      <c r="I2122" s="330"/>
      <c r="J2122" s="330"/>
    </row>
    <row r="2123" spans="2:10" ht="12.75" x14ac:dyDescent="0.2">
      <c r="B2123" s="331"/>
      <c r="C2123" s="327"/>
      <c r="D2123" s="331"/>
      <c r="F2123" s="329"/>
      <c r="I2123" s="330"/>
      <c r="J2123" s="330"/>
    </row>
    <row r="2124" spans="2:10" ht="12.75" x14ac:dyDescent="0.2">
      <c r="B2124" s="331"/>
      <c r="C2124" s="327"/>
      <c r="D2124" s="331"/>
      <c r="F2124" s="329"/>
      <c r="I2124" s="330"/>
      <c r="J2124" s="330"/>
    </row>
    <row r="2125" spans="2:10" ht="12.75" x14ac:dyDescent="0.2">
      <c r="B2125" s="331"/>
      <c r="C2125" s="327"/>
      <c r="D2125" s="331"/>
      <c r="F2125" s="329"/>
      <c r="I2125" s="330"/>
      <c r="J2125" s="330"/>
    </row>
    <row r="2126" spans="2:10" ht="12.75" x14ac:dyDescent="0.2">
      <c r="B2126" s="331"/>
      <c r="C2126" s="327"/>
      <c r="D2126" s="331"/>
      <c r="F2126" s="329"/>
      <c r="I2126" s="330"/>
      <c r="J2126" s="330"/>
    </row>
    <row r="2127" spans="2:10" ht="12.75" x14ac:dyDescent="0.2">
      <c r="B2127" s="331"/>
      <c r="C2127" s="327"/>
      <c r="D2127" s="331"/>
      <c r="F2127" s="329"/>
      <c r="I2127" s="330"/>
      <c r="J2127" s="330"/>
    </row>
    <row r="2128" spans="2:10" ht="12.75" x14ac:dyDescent="0.2">
      <c r="B2128" s="331"/>
      <c r="C2128" s="327"/>
      <c r="D2128" s="331"/>
      <c r="F2128" s="329"/>
      <c r="I2128" s="330"/>
      <c r="J2128" s="330"/>
    </row>
    <row r="2129" spans="2:10" ht="12.75" x14ac:dyDescent="0.2">
      <c r="B2129" s="331"/>
      <c r="C2129" s="327"/>
      <c r="D2129" s="331"/>
      <c r="F2129" s="329"/>
      <c r="I2129" s="330"/>
      <c r="J2129" s="330"/>
    </row>
    <row r="2130" spans="2:10" ht="12.75" x14ac:dyDescent="0.2">
      <c r="B2130" s="331"/>
      <c r="C2130" s="327"/>
      <c r="D2130" s="331"/>
      <c r="F2130" s="329"/>
      <c r="I2130" s="330"/>
      <c r="J2130" s="330"/>
    </row>
    <row r="2131" spans="2:10" ht="12.75" x14ac:dyDescent="0.2">
      <c r="B2131" s="331"/>
      <c r="C2131" s="327"/>
      <c r="D2131" s="331"/>
      <c r="F2131" s="329"/>
      <c r="I2131" s="330"/>
      <c r="J2131" s="330"/>
    </row>
    <row r="2132" spans="2:10" ht="12.75" x14ac:dyDescent="0.2">
      <c r="B2132" s="331"/>
      <c r="C2132" s="327"/>
      <c r="D2132" s="331"/>
      <c r="F2132" s="329"/>
      <c r="I2132" s="330"/>
      <c r="J2132" s="330"/>
    </row>
    <row r="2133" spans="2:10" ht="12.75" x14ac:dyDescent="0.2">
      <c r="B2133" s="331"/>
      <c r="C2133" s="327"/>
      <c r="D2133" s="331"/>
      <c r="F2133" s="329"/>
      <c r="I2133" s="330"/>
      <c r="J2133" s="330"/>
    </row>
    <row r="2134" spans="2:10" ht="12.75" x14ac:dyDescent="0.2">
      <c r="B2134" s="331"/>
      <c r="C2134" s="327"/>
      <c r="D2134" s="331"/>
      <c r="F2134" s="329"/>
      <c r="I2134" s="330"/>
      <c r="J2134" s="330"/>
    </row>
    <row r="2135" spans="2:10" ht="12.75" x14ac:dyDescent="0.2">
      <c r="B2135" s="331"/>
      <c r="C2135" s="327"/>
      <c r="D2135" s="331"/>
      <c r="F2135" s="329"/>
      <c r="I2135" s="330"/>
      <c r="J2135" s="330"/>
    </row>
    <row r="2136" spans="2:10" ht="12.75" x14ac:dyDescent="0.2">
      <c r="B2136" s="331"/>
      <c r="C2136" s="327"/>
      <c r="D2136" s="331"/>
      <c r="F2136" s="329"/>
      <c r="I2136" s="330"/>
      <c r="J2136" s="330"/>
    </row>
    <row r="2137" spans="2:10" ht="12.75" x14ac:dyDescent="0.2">
      <c r="B2137" s="331"/>
      <c r="C2137" s="327"/>
      <c r="D2137" s="331"/>
      <c r="F2137" s="329"/>
      <c r="I2137" s="330"/>
      <c r="J2137" s="330"/>
    </row>
    <row r="2138" spans="2:10" ht="12.75" x14ac:dyDescent="0.2">
      <c r="B2138" s="331"/>
      <c r="C2138" s="327"/>
      <c r="D2138" s="331"/>
      <c r="F2138" s="329"/>
      <c r="I2138" s="330"/>
      <c r="J2138" s="330"/>
    </row>
    <row r="2139" spans="2:10" ht="12.75" x14ac:dyDescent="0.2">
      <c r="B2139" s="331"/>
      <c r="C2139" s="327"/>
      <c r="D2139" s="331"/>
      <c r="F2139" s="329"/>
      <c r="I2139" s="330"/>
      <c r="J2139" s="330"/>
    </row>
    <row r="2140" spans="2:10" ht="12.75" x14ac:dyDescent="0.2">
      <c r="B2140" s="331"/>
      <c r="C2140" s="327"/>
      <c r="D2140" s="331"/>
      <c r="F2140" s="329"/>
      <c r="I2140" s="330"/>
      <c r="J2140" s="330"/>
    </row>
    <row r="2141" spans="2:10" ht="12.75" x14ac:dyDescent="0.2">
      <c r="B2141" s="331"/>
      <c r="C2141" s="327"/>
      <c r="D2141" s="331"/>
      <c r="F2141" s="329"/>
      <c r="I2141" s="330"/>
      <c r="J2141" s="330"/>
    </row>
    <row r="2142" spans="2:10" ht="12.75" x14ac:dyDescent="0.2">
      <c r="B2142" s="331"/>
      <c r="C2142" s="327"/>
      <c r="D2142" s="331"/>
      <c r="F2142" s="329"/>
      <c r="I2142" s="330"/>
      <c r="J2142" s="330"/>
    </row>
    <row r="2143" spans="2:10" ht="12.75" x14ac:dyDescent="0.2">
      <c r="B2143" s="331"/>
      <c r="C2143" s="327"/>
      <c r="D2143" s="331"/>
      <c r="F2143" s="329"/>
      <c r="I2143" s="330"/>
      <c r="J2143" s="330"/>
    </row>
    <row r="2144" spans="2:10" ht="12.75" x14ac:dyDescent="0.2">
      <c r="B2144" s="331"/>
      <c r="C2144" s="327"/>
      <c r="D2144" s="331"/>
      <c r="F2144" s="329"/>
      <c r="I2144" s="330"/>
      <c r="J2144" s="330"/>
    </row>
    <row r="2145" spans="2:10" ht="12.75" x14ac:dyDescent="0.2">
      <c r="B2145" s="331"/>
      <c r="C2145" s="327"/>
      <c r="D2145" s="331"/>
      <c r="F2145" s="329"/>
      <c r="I2145" s="330"/>
      <c r="J2145" s="330"/>
    </row>
    <row r="2146" spans="2:10" ht="12.75" x14ac:dyDescent="0.2">
      <c r="B2146" s="331"/>
      <c r="C2146" s="327"/>
      <c r="D2146" s="331"/>
      <c r="F2146" s="329"/>
      <c r="I2146" s="330"/>
      <c r="J2146" s="330"/>
    </row>
    <row r="2147" spans="2:10" ht="12.75" x14ac:dyDescent="0.2">
      <c r="B2147" s="331"/>
      <c r="C2147" s="327"/>
      <c r="D2147" s="331"/>
      <c r="F2147" s="329"/>
      <c r="I2147" s="330"/>
      <c r="J2147" s="330"/>
    </row>
    <row r="2148" spans="2:10" ht="12.75" x14ac:dyDescent="0.2">
      <c r="B2148" s="331"/>
      <c r="C2148" s="327"/>
      <c r="D2148" s="331"/>
      <c r="F2148" s="329"/>
      <c r="I2148" s="330"/>
      <c r="J2148" s="330"/>
    </row>
    <row r="2149" spans="2:10" ht="12.75" x14ac:dyDescent="0.2">
      <c r="B2149" s="331"/>
      <c r="C2149" s="327"/>
      <c r="D2149" s="331"/>
      <c r="F2149" s="329"/>
      <c r="I2149" s="330"/>
      <c r="J2149" s="330"/>
    </row>
    <row r="2150" spans="2:10" ht="12.75" x14ac:dyDescent="0.2">
      <c r="B2150" s="331"/>
      <c r="C2150" s="327"/>
      <c r="D2150" s="331"/>
      <c r="F2150" s="329"/>
      <c r="I2150" s="330"/>
      <c r="J2150" s="330"/>
    </row>
    <row r="2151" spans="2:10" ht="12.75" x14ac:dyDescent="0.2">
      <c r="B2151" s="331"/>
      <c r="C2151" s="327"/>
      <c r="D2151" s="331"/>
      <c r="F2151" s="329"/>
      <c r="I2151" s="330"/>
      <c r="J2151" s="330"/>
    </row>
    <row r="2152" spans="2:10" ht="12.75" x14ac:dyDescent="0.2">
      <c r="B2152" s="331"/>
      <c r="C2152" s="327"/>
      <c r="D2152" s="331"/>
      <c r="F2152" s="329"/>
      <c r="I2152" s="330"/>
      <c r="J2152" s="330"/>
    </row>
    <row r="2153" spans="2:10" ht="12.75" x14ac:dyDescent="0.2">
      <c r="B2153" s="331"/>
      <c r="C2153" s="327"/>
      <c r="D2153" s="331"/>
      <c r="F2153" s="329"/>
      <c r="I2153" s="330"/>
      <c r="J2153" s="330"/>
    </row>
    <row r="2154" spans="2:10" ht="12.75" x14ac:dyDescent="0.2">
      <c r="B2154" s="331"/>
      <c r="C2154" s="327"/>
      <c r="D2154" s="331"/>
      <c r="F2154" s="329"/>
      <c r="I2154" s="330"/>
      <c r="J2154" s="330"/>
    </row>
    <row r="2155" spans="2:10" ht="12.75" x14ac:dyDescent="0.2">
      <c r="B2155" s="331"/>
      <c r="C2155" s="327"/>
      <c r="D2155" s="331"/>
      <c r="F2155" s="329"/>
      <c r="I2155" s="330"/>
      <c r="J2155" s="330"/>
    </row>
    <row r="2156" spans="2:10" ht="12.75" x14ac:dyDescent="0.2">
      <c r="B2156" s="331"/>
      <c r="C2156" s="327"/>
      <c r="D2156" s="331"/>
      <c r="F2156" s="329"/>
      <c r="I2156" s="330"/>
      <c r="J2156" s="330"/>
    </row>
    <row r="2157" spans="2:10" ht="12.75" x14ac:dyDescent="0.2">
      <c r="B2157" s="331"/>
      <c r="C2157" s="327"/>
      <c r="D2157" s="331"/>
      <c r="F2157" s="329"/>
      <c r="I2157" s="330"/>
      <c r="J2157" s="330"/>
    </row>
    <row r="2158" spans="2:10" ht="12.75" x14ac:dyDescent="0.2">
      <c r="B2158" s="331"/>
      <c r="C2158" s="327"/>
      <c r="D2158" s="331"/>
      <c r="F2158" s="329"/>
      <c r="I2158" s="330"/>
      <c r="J2158" s="330"/>
    </row>
    <row r="2159" spans="2:10" ht="12.75" x14ac:dyDescent="0.2">
      <c r="B2159" s="331"/>
      <c r="C2159" s="327"/>
      <c r="D2159" s="331"/>
      <c r="F2159" s="329"/>
      <c r="I2159" s="330"/>
      <c r="J2159" s="330"/>
    </row>
    <row r="2160" spans="2:10" ht="12.75" x14ac:dyDescent="0.2">
      <c r="B2160" s="331"/>
      <c r="C2160" s="327"/>
      <c r="D2160" s="331"/>
      <c r="F2160" s="329"/>
      <c r="I2160" s="330"/>
      <c r="J2160" s="330"/>
    </row>
    <row r="2161" spans="2:10" ht="12.75" x14ac:dyDescent="0.2">
      <c r="B2161" s="331"/>
      <c r="C2161" s="327"/>
      <c r="D2161" s="331"/>
      <c r="F2161" s="329"/>
      <c r="I2161" s="330"/>
      <c r="J2161" s="330"/>
    </row>
    <row r="2162" spans="2:10" ht="12.75" x14ac:dyDescent="0.2">
      <c r="B2162" s="331"/>
      <c r="C2162" s="327"/>
      <c r="D2162" s="331"/>
      <c r="F2162" s="329"/>
      <c r="I2162" s="330"/>
      <c r="J2162" s="330"/>
    </row>
    <row r="2163" spans="2:10" ht="12.75" x14ac:dyDescent="0.2">
      <c r="B2163" s="331"/>
      <c r="C2163" s="327"/>
      <c r="D2163" s="331"/>
      <c r="F2163" s="329"/>
      <c r="I2163" s="330"/>
      <c r="J2163" s="330"/>
    </row>
    <row r="2164" spans="2:10" ht="12.75" x14ac:dyDescent="0.2">
      <c r="B2164" s="331"/>
      <c r="C2164" s="327"/>
      <c r="D2164" s="331"/>
      <c r="F2164" s="329"/>
      <c r="I2164" s="330"/>
      <c r="J2164" s="330"/>
    </row>
    <row r="2165" spans="2:10" ht="12.75" x14ac:dyDescent="0.2">
      <c r="B2165" s="331"/>
      <c r="C2165" s="327"/>
      <c r="D2165" s="331"/>
      <c r="F2165" s="329"/>
      <c r="I2165" s="330"/>
      <c r="J2165" s="330"/>
    </row>
    <row r="2166" spans="2:10" ht="12.75" x14ac:dyDescent="0.2">
      <c r="B2166" s="331"/>
      <c r="C2166" s="327"/>
      <c r="D2166" s="331"/>
      <c r="F2166" s="329"/>
      <c r="I2166" s="330"/>
      <c r="J2166" s="330"/>
    </row>
    <row r="2167" spans="2:10" ht="12.75" x14ac:dyDescent="0.2">
      <c r="B2167" s="331"/>
      <c r="C2167" s="327"/>
      <c r="D2167" s="331"/>
      <c r="F2167" s="329"/>
      <c r="I2167" s="330"/>
      <c r="J2167" s="330"/>
    </row>
    <row r="2168" spans="2:10" ht="12.75" x14ac:dyDescent="0.2">
      <c r="B2168" s="331"/>
      <c r="C2168" s="327"/>
      <c r="D2168" s="331"/>
      <c r="F2168" s="329"/>
      <c r="I2168" s="330"/>
      <c r="J2168" s="330"/>
    </row>
    <row r="2169" spans="2:10" ht="12.75" x14ac:dyDescent="0.2">
      <c r="B2169" s="331"/>
      <c r="C2169" s="327"/>
      <c r="D2169" s="331"/>
      <c r="F2169" s="329"/>
      <c r="I2169" s="330"/>
      <c r="J2169" s="330"/>
    </row>
    <row r="2170" spans="2:10" ht="12.75" x14ac:dyDescent="0.2">
      <c r="B2170" s="331"/>
      <c r="C2170" s="327"/>
      <c r="D2170" s="331"/>
      <c r="F2170" s="329"/>
      <c r="I2170" s="330"/>
      <c r="J2170" s="330"/>
    </row>
    <row r="2171" spans="2:10" ht="12.75" x14ac:dyDescent="0.2">
      <c r="B2171" s="331"/>
      <c r="C2171" s="327"/>
      <c r="D2171" s="331"/>
      <c r="F2171" s="329"/>
      <c r="I2171" s="330"/>
      <c r="J2171" s="330"/>
    </row>
    <row r="2172" spans="2:10" ht="12.75" x14ac:dyDescent="0.2">
      <c r="B2172" s="331"/>
      <c r="C2172" s="327"/>
      <c r="D2172" s="331"/>
      <c r="F2172" s="329"/>
      <c r="I2172" s="330"/>
      <c r="J2172" s="330"/>
    </row>
    <row r="2173" spans="2:10" ht="12.75" x14ac:dyDescent="0.2">
      <c r="B2173" s="331"/>
      <c r="C2173" s="327"/>
      <c r="D2173" s="331"/>
      <c r="F2173" s="329"/>
      <c r="I2173" s="330"/>
      <c r="J2173" s="330"/>
    </row>
    <row r="2174" spans="2:10" ht="12.75" x14ac:dyDescent="0.2">
      <c r="B2174" s="331"/>
      <c r="C2174" s="327"/>
      <c r="D2174" s="331"/>
      <c r="F2174" s="329"/>
      <c r="I2174" s="330"/>
      <c r="J2174" s="330"/>
    </row>
    <row r="2175" spans="2:10" ht="12.75" x14ac:dyDescent="0.2">
      <c r="B2175" s="331"/>
      <c r="C2175" s="327"/>
      <c r="D2175" s="331"/>
      <c r="F2175" s="329"/>
      <c r="I2175" s="330"/>
      <c r="J2175" s="330"/>
    </row>
    <row r="2176" spans="2:10" ht="12.75" x14ac:dyDescent="0.2">
      <c r="B2176" s="331"/>
      <c r="C2176" s="327"/>
      <c r="D2176" s="331"/>
      <c r="F2176" s="329"/>
      <c r="I2176" s="330"/>
      <c r="J2176" s="330"/>
    </row>
    <row r="2177" spans="2:10" ht="12.75" x14ac:dyDescent="0.2">
      <c r="B2177" s="331"/>
      <c r="C2177" s="327"/>
      <c r="D2177" s="331"/>
      <c r="F2177" s="329"/>
      <c r="I2177" s="330"/>
      <c r="J2177" s="330"/>
    </row>
    <row r="2178" spans="2:10" ht="12.75" x14ac:dyDescent="0.2">
      <c r="B2178" s="331"/>
      <c r="C2178" s="327"/>
      <c r="D2178" s="331"/>
      <c r="F2178" s="329"/>
      <c r="I2178" s="330"/>
      <c r="J2178" s="330"/>
    </row>
    <row r="2179" spans="2:10" ht="12.75" x14ac:dyDescent="0.2">
      <c r="B2179" s="331"/>
      <c r="C2179" s="327"/>
      <c r="D2179" s="331"/>
      <c r="F2179" s="329"/>
      <c r="I2179" s="330"/>
      <c r="J2179" s="330"/>
    </row>
    <row r="2180" spans="2:10" ht="12.75" x14ac:dyDescent="0.2">
      <c r="B2180" s="331"/>
      <c r="C2180" s="327"/>
      <c r="D2180" s="331"/>
      <c r="F2180" s="329"/>
      <c r="I2180" s="330"/>
      <c r="J2180" s="330"/>
    </row>
    <row r="2181" spans="2:10" ht="12.75" x14ac:dyDescent="0.2">
      <c r="B2181" s="331"/>
      <c r="C2181" s="327"/>
      <c r="D2181" s="331"/>
      <c r="F2181" s="329"/>
      <c r="I2181" s="330"/>
      <c r="J2181" s="330"/>
    </row>
    <row r="2182" spans="2:10" ht="12.75" x14ac:dyDescent="0.2">
      <c r="B2182" s="331"/>
      <c r="C2182" s="327"/>
      <c r="D2182" s="331"/>
      <c r="F2182" s="329"/>
      <c r="I2182" s="330"/>
      <c r="J2182" s="330"/>
    </row>
    <row r="2183" spans="2:10" ht="12.75" x14ac:dyDescent="0.2">
      <c r="B2183" s="331"/>
      <c r="C2183" s="327"/>
      <c r="D2183" s="331"/>
      <c r="F2183" s="329"/>
      <c r="I2183" s="330"/>
      <c r="J2183" s="330"/>
    </row>
    <row r="2184" spans="2:10" ht="12.75" x14ac:dyDescent="0.2">
      <c r="B2184" s="331"/>
      <c r="C2184" s="327"/>
      <c r="D2184" s="331"/>
      <c r="F2184" s="329"/>
      <c r="I2184" s="330"/>
      <c r="J2184" s="330"/>
    </row>
    <row r="2185" spans="2:10" ht="12.75" x14ac:dyDescent="0.2">
      <c r="B2185" s="331"/>
      <c r="C2185" s="327"/>
      <c r="D2185" s="331"/>
      <c r="F2185" s="329"/>
      <c r="I2185" s="330"/>
      <c r="J2185" s="330"/>
    </row>
    <row r="2186" spans="2:10" ht="12.75" x14ac:dyDescent="0.2">
      <c r="B2186" s="331"/>
      <c r="C2186" s="327"/>
      <c r="D2186" s="331"/>
      <c r="F2186" s="329"/>
      <c r="I2186" s="330"/>
      <c r="J2186" s="330"/>
    </row>
    <row r="2187" spans="2:10" ht="12.75" x14ac:dyDescent="0.2">
      <c r="B2187" s="331"/>
      <c r="C2187" s="327"/>
      <c r="D2187" s="331"/>
      <c r="F2187" s="329"/>
      <c r="I2187" s="330"/>
      <c r="J2187" s="330"/>
    </row>
    <row r="2188" spans="2:10" ht="12.75" x14ac:dyDescent="0.2">
      <c r="B2188" s="331"/>
      <c r="C2188" s="327"/>
      <c r="D2188" s="331"/>
      <c r="F2188" s="329"/>
      <c r="I2188" s="330"/>
      <c r="J2188" s="330"/>
    </row>
    <row r="2189" spans="2:10" ht="12.75" x14ac:dyDescent="0.2">
      <c r="B2189" s="331"/>
      <c r="C2189" s="327"/>
      <c r="D2189" s="331"/>
      <c r="F2189" s="329"/>
      <c r="I2189" s="330"/>
      <c r="J2189" s="330"/>
    </row>
    <row r="2190" spans="2:10" ht="12.75" x14ac:dyDescent="0.2">
      <c r="B2190" s="331"/>
      <c r="C2190" s="327"/>
      <c r="D2190" s="331"/>
      <c r="F2190" s="329"/>
      <c r="I2190" s="330"/>
      <c r="J2190" s="330"/>
    </row>
    <row r="2191" spans="2:10" ht="12.75" x14ac:dyDescent="0.2">
      <c r="B2191" s="331"/>
      <c r="C2191" s="327"/>
      <c r="D2191" s="331"/>
      <c r="F2191" s="329"/>
      <c r="I2191" s="330"/>
      <c r="J2191" s="330"/>
    </row>
    <row r="2192" spans="2:10" ht="12.75" x14ac:dyDescent="0.2">
      <c r="B2192" s="331"/>
      <c r="C2192" s="327"/>
      <c r="D2192" s="331"/>
      <c r="F2192" s="329"/>
      <c r="I2192" s="330"/>
      <c r="J2192" s="330"/>
    </row>
    <row r="2193" spans="2:10" ht="12.75" x14ac:dyDescent="0.2">
      <c r="B2193" s="331"/>
      <c r="C2193" s="327"/>
      <c r="D2193" s="331"/>
      <c r="F2193" s="329"/>
      <c r="I2193" s="330"/>
      <c r="J2193" s="330"/>
    </row>
    <row r="2194" spans="2:10" ht="12.75" x14ac:dyDescent="0.2">
      <c r="B2194" s="331"/>
      <c r="C2194" s="327"/>
      <c r="D2194" s="331"/>
      <c r="F2194" s="329"/>
      <c r="I2194" s="330"/>
      <c r="J2194" s="330"/>
    </row>
    <row r="2195" spans="2:10" ht="12.75" x14ac:dyDescent="0.2">
      <c r="B2195" s="331"/>
      <c r="C2195" s="327"/>
      <c r="D2195" s="331"/>
      <c r="F2195" s="329"/>
      <c r="I2195" s="330"/>
      <c r="J2195" s="330"/>
    </row>
    <row r="2196" spans="2:10" ht="12.75" x14ac:dyDescent="0.2">
      <c r="B2196" s="331"/>
      <c r="C2196" s="327"/>
      <c r="D2196" s="331"/>
      <c r="F2196" s="329"/>
      <c r="I2196" s="330"/>
      <c r="J2196" s="330"/>
    </row>
    <row r="2197" spans="2:10" ht="12.75" x14ac:dyDescent="0.2">
      <c r="B2197" s="331"/>
      <c r="C2197" s="327"/>
      <c r="D2197" s="331"/>
      <c r="F2197" s="329"/>
      <c r="I2197" s="330"/>
      <c r="J2197" s="330"/>
    </row>
    <row r="2198" spans="2:10" ht="12.75" x14ac:dyDescent="0.2">
      <c r="B2198" s="331"/>
      <c r="C2198" s="327"/>
      <c r="D2198" s="331"/>
      <c r="F2198" s="329"/>
      <c r="I2198" s="330"/>
      <c r="J2198" s="330"/>
    </row>
    <row r="2199" spans="2:10" ht="12.75" x14ac:dyDescent="0.2">
      <c r="B2199" s="331"/>
      <c r="C2199" s="327"/>
      <c r="D2199" s="331"/>
      <c r="F2199" s="329"/>
      <c r="I2199" s="330"/>
      <c r="J2199" s="330"/>
    </row>
    <row r="2200" spans="2:10" ht="12.75" x14ac:dyDescent="0.2">
      <c r="B2200" s="331"/>
      <c r="C2200" s="327"/>
      <c r="D2200" s="331"/>
      <c r="F2200" s="329"/>
      <c r="I2200" s="330"/>
      <c r="J2200" s="330"/>
    </row>
    <row r="2201" spans="2:10" ht="12.75" x14ac:dyDescent="0.2">
      <c r="B2201" s="331"/>
      <c r="C2201" s="327"/>
      <c r="D2201" s="331"/>
      <c r="F2201" s="329"/>
      <c r="I2201" s="330"/>
      <c r="J2201" s="330"/>
    </row>
    <row r="2202" spans="2:10" ht="12.75" x14ac:dyDescent="0.2">
      <c r="B2202" s="331"/>
      <c r="C2202" s="327"/>
      <c r="D2202" s="331"/>
      <c r="F2202" s="329"/>
      <c r="I2202" s="330"/>
      <c r="J2202" s="330"/>
    </row>
    <row r="2203" spans="2:10" ht="12.75" x14ac:dyDescent="0.2">
      <c r="B2203" s="331"/>
      <c r="C2203" s="327"/>
      <c r="D2203" s="331"/>
      <c r="F2203" s="329"/>
      <c r="I2203" s="330"/>
      <c r="J2203" s="330"/>
    </row>
    <row r="2204" spans="2:10" ht="12.75" x14ac:dyDescent="0.2">
      <c r="B2204" s="331"/>
      <c r="C2204" s="327"/>
      <c r="D2204" s="331"/>
      <c r="F2204" s="329"/>
      <c r="I2204" s="330"/>
      <c r="J2204" s="330"/>
    </row>
    <row r="2205" spans="2:10" ht="12.75" x14ac:dyDescent="0.2">
      <c r="B2205" s="331"/>
      <c r="C2205" s="327"/>
      <c r="D2205" s="331"/>
      <c r="F2205" s="329"/>
      <c r="I2205" s="330"/>
      <c r="J2205" s="330"/>
    </row>
    <row r="2206" spans="2:10" ht="12.75" x14ac:dyDescent="0.2">
      <c r="B2206" s="331"/>
      <c r="C2206" s="327"/>
      <c r="D2206" s="331"/>
      <c r="F2206" s="329"/>
      <c r="I2206" s="330"/>
      <c r="J2206" s="330"/>
    </row>
    <row r="2207" spans="2:10" ht="12.75" x14ac:dyDescent="0.2">
      <c r="B2207" s="331"/>
      <c r="C2207" s="327"/>
      <c r="D2207" s="331"/>
      <c r="F2207" s="329"/>
      <c r="I2207" s="330"/>
      <c r="J2207" s="330"/>
    </row>
    <row r="2208" spans="2:10" ht="12.75" x14ac:dyDescent="0.2">
      <c r="B2208" s="331"/>
      <c r="C2208" s="327"/>
      <c r="D2208" s="331"/>
      <c r="F2208" s="329"/>
      <c r="I2208" s="330"/>
      <c r="J2208" s="330"/>
    </row>
    <row r="2209" spans="2:10" ht="12.75" x14ac:dyDescent="0.2">
      <c r="B2209" s="331"/>
      <c r="C2209" s="327"/>
      <c r="D2209" s="331"/>
      <c r="F2209" s="329"/>
      <c r="I2209" s="330"/>
      <c r="J2209" s="330"/>
    </row>
    <row r="2210" spans="2:10" ht="12.75" x14ac:dyDescent="0.2">
      <c r="B2210" s="331"/>
      <c r="C2210" s="327"/>
      <c r="D2210" s="331"/>
      <c r="F2210" s="329"/>
      <c r="I2210" s="330"/>
      <c r="J2210" s="330"/>
    </row>
    <row r="2211" spans="2:10" ht="12.75" x14ac:dyDescent="0.2">
      <c r="B2211" s="331"/>
      <c r="C2211" s="327"/>
      <c r="D2211" s="331"/>
      <c r="F2211" s="329"/>
      <c r="I2211" s="330"/>
      <c r="J2211" s="330"/>
    </row>
    <row r="2212" spans="2:10" ht="12.75" x14ac:dyDescent="0.2">
      <c r="B2212" s="331"/>
      <c r="C2212" s="327"/>
      <c r="D2212" s="331"/>
      <c r="F2212" s="329"/>
      <c r="I2212" s="330"/>
      <c r="J2212" s="330"/>
    </row>
    <row r="2213" spans="2:10" ht="12.75" x14ac:dyDescent="0.2">
      <c r="B2213" s="331"/>
      <c r="C2213" s="327"/>
      <c r="D2213" s="331"/>
      <c r="F2213" s="329"/>
      <c r="I2213" s="330"/>
      <c r="J2213" s="330"/>
    </row>
    <row r="2214" spans="2:10" ht="12.75" x14ac:dyDescent="0.2">
      <c r="B2214" s="331"/>
      <c r="C2214" s="327"/>
      <c r="D2214" s="331"/>
      <c r="F2214" s="329"/>
      <c r="I2214" s="330"/>
      <c r="J2214" s="330"/>
    </row>
    <row r="2215" spans="2:10" ht="12.75" x14ac:dyDescent="0.2">
      <c r="B2215" s="331"/>
      <c r="C2215" s="327"/>
      <c r="D2215" s="331"/>
      <c r="F2215" s="329"/>
      <c r="I2215" s="330"/>
      <c r="J2215" s="330"/>
    </row>
    <row r="2216" spans="2:10" ht="12.75" x14ac:dyDescent="0.2">
      <c r="B2216" s="331"/>
      <c r="C2216" s="327"/>
      <c r="D2216" s="331"/>
      <c r="F2216" s="329"/>
      <c r="I2216" s="330"/>
      <c r="J2216" s="330"/>
    </row>
    <row r="2217" spans="2:10" ht="12.75" x14ac:dyDescent="0.2">
      <c r="B2217" s="331"/>
      <c r="C2217" s="327"/>
      <c r="D2217" s="331"/>
      <c r="F2217" s="329"/>
      <c r="I2217" s="330"/>
      <c r="J2217" s="330"/>
    </row>
    <row r="2218" spans="2:10" ht="12.75" x14ac:dyDescent="0.2">
      <c r="B2218" s="331"/>
      <c r="C2218" s="327"/>
      <c r="D2218" s="331"/>
      <c r="F2218" s="329"/>
      <c r="I2218" s="330"/>
      <c r="J2218" s="330"/>
    </row>
    <row r="2219" spans="2:10" ht="12.75" x14ac:dyDescent="0.2">
      <c r="B2219" s="331"/>
      <c r="C2219" s="327"/>
      <c r="D2219" s="331"/>
      <c r="F2219" s="329"/>
      <c r="I2219" s="330"/>
      <c r="J2219" s="330"/>
    </row>
    <row r="2220" spans="2:10" ht="12.75" x14ac:dyDescent="0.2">
      <c r="B2220" s="331"/>
      <c r="C2220" s="327"/>
      <c r="D2220" s="331"/>
      <c r="F2220" s="329"/>
      <c r="I2220" s="330"/>
      <c r="J2220" s="330"/>
    </row>
    <row r="2221" spans="2:10" ht="12.75" x14ac:dyDescent="0.2">
      <c r="B2221" s="331"/>
      <c r="C2221" s="327"/>
      <c r="D2221" s="331"/>
      <c r="F2221" s="329"/>
      <c r="I2221" s="330"/>
      <c r="J2221" s="330"/>
    </row>
    <row r="2222" spans="2:10" ht="12.75" x14ac:dyDescent="0.2">
      <c r="B2222" s="331"/>
      <c r="C2222" s="327"/>
      <c r="D2222" s="331"/>
      <c r="F2222" s="329"/>
      <c r="I2222" s="330"/>
      <c r="J2222" s="330"/>
    </row>
    <row r="2223" spans="2:10" ht="12.75" x14ac:dyDescent="0.2">
      <c r="B2223" s="331"/>
      <c r="C2223" s="327"/>
      <c r="D2223" s="331"/>
      <c r="F2223" s="329"/>
      <c r="I2223" s="330"/>
      <c r="J2223" s="330"/>
    </row>
    <row r="2224" spans="2:10" ht="12.75" x14ac:dyDescent="0.2">
      <c r="B2224" s="331"/>
      <c r="C2224" s="327"/>
      <c r="D2224" s="331"/>
      <c r="F2224" s="329"/>
      <c r="I2224" s="330"/>
      <c r="J2224" s="330"/>
    </row>
    <row r="2225" spans="2:10" ht="12.75" x14ac:dyDescent="0.2">
      <c r="B2225" s="331"/>
      <c r="C2225" s="327"/>
      <c r="D2225" s="331"/>
      <c r="F2225" s="329"/>
      <c r="I2225" s="330"/>
      <c r="J2225" s="330"/>
    </row>
    <row r="2226" spans="2:10" ht="12.75" x14ac:dyDescent="0.2">
      <c r="B2226" s="331"/>
      <c r="C2226" s="327"/>
      <c r="D2226" s="331"/>
      <c r="F2226" s="329"/>
      <c r="I2226" s="330"/>
      <c r="J2226" s="330"/>
    </row>
    <row r="2227" spans="2:10" ht="12.75" x14ac:dyDescent="0.2">
      <c r="B2227" s="331"/>
      <c r="C2227" s="327"/>
      <c r="D2227" s="331"/>
      <c r="F2227" s="329"/>
      <c r="I2227" s="330"/>
      <c r="J2227" s="330"/>
    </row>
    <row r="2228" spans="2:10" ht="12.75" x14ac:dyDescent="0.2">
      <c r="B2228" s="331"/>
      <c r="C2228" s="327"/>
      <c r="D2228" s="331"/>
      <c r="F2228" s="329"/>
      <c r="I2228" s="330"/>
      <c r="J2228" s="330"/>
    </row>
    <row r="2229" spans="2:10" ht="12.75" x14ac:dyDescent="0.2">
      <c r="B2229" s="331"/>
      <c r="C2229" s="327"/>
      <c r="D2229" s="331"/>
      <c r="F2229" s="329"/>
      <c r="I2229" s="330"/>
      <c r="J2229" s="330"/>
    </row>
    <row r="2230" spans="2:10" ht="12.75" x14ac:dyDescent="0.2">
      <c r="B2230" s="331"/>
      <c r="C2230" s="327"/>
      <c r="D2230" s="331"/>
      <c r="F2230" s="329"/>
      <c r="I2230" s="330"/>
      <c r="J2230" s="330"/>
    </row>
    <row r="2231" spans="2:10" ht="12.75" x14ac:dyDescent="0.2">
      <c r="B2231" s="331"/>
      <c r="C2231" s="327"/>
      <c r="D2231" s="331"/>
      <c r="F2231" s="329"/>
      <c r="I2231" s="330"/>
      <c r="J2231" s="330"/>
    </row>
    <row r="2232" spans="2:10" ht="12.75" x14ac:dyDescent="0.2">
      <c r="B2232" s="331"/>
      <c r="C2232" s="327"/>
      <c r="D2232" s="331"/>
      <c r="F2232" s="329"/>
      <c r="I2232" s="330"/>
      <c r="J2232" s="330"/>
    </row>
    <row r="2233" spans="2:10" ht="12.75" x14ac:dyDescent="0.2">
      <c r="B2233" s="331"/>
      <c r="C2233" s="327"/>
      <c r="D2233" s="331"/>
      <c r="F2233" s="329"/>
      <c r="I2233" s="330"/>
      <c r="J2233" s="330"/>
    </row>
    <row r="2234" spans="2:10" ht="12.75" x14ac:dyDescent="0.2">
      <c r="B2234" s="331"/>
      <c r="C2234" s="327"/>
      <c r="D2234" s="331"/>
      <c r="F2234" s="329"/>
      <c r="I2234" s="330"/>
      <c r="J2234" s="330"/>
    </row>
    <row r="2235" spans="2:10" ht="12.75" x14ac:dyDescent="0.2">
      <c r="B2235" s="331"/>
      <c r="C2235" s="327"/>
      <c r="D2235" s="331"/>
      <c r="F2235" s="329"/>
      <c r="I2235" s="330"/>
      <c r="J2235" s="330"/>
    </row>
    <row r="2236" spans="2:10" ht="12.75" x14ac:dyDescent="0.2">
      <c r="B2236" s="331"/>
      <c r="C2236" s="327"/>
      <c r="D2236" s="331"/>
      <c r="F2236" s="329"/>
      <c r="I2236" s="330"/>
      <c r="J2236" s="330"/>
    </row>
    <row r="2237" spans="2:10" ht="12.75" x14ac:dyDescent="0.2">
      <c r="B2237" s="331"/>
      <c r="C2237" s="327"/>
      <c r="D2237" s="331"/>
      <c r="F2237" s="329"/>
      <c r="I2237" s="330"/>
      <c r="J2237" s="330"/>
    </row>
    <row r="2238" spans="2:10" ht="12.75" x14ac:dyDescent="0.2">
      <c r="B2238" s="331"/>
      <c r="C2238" s="327"/>
      <c r="D2238" s="331"/>
      <c r="F2238" s="329"/>
      <c r="I2238" s="330"/>
      <c r="J2238" s="330"/>
    </row>
    <row r="2239" spans="2:10" ht="12.75" x14ac:dyDescent="0.2">
      <c r="B2239" s="331"/>
      <c r="C2239" s="327"/>
      <c r="D2239" s="331"/>
      <c r="F2239" s="329"/>
      <c r="I2239" s="330"/>
      <c r="J2239" s="330"/>
    </row>
    <row r="2240" spans="2:10" ht="12.75" x14ac:dyDescent="0.2">
      <c r="B2240" s="331"/>
      <c r="C2240" s="327"/>
      <c r="D2240" s="331"/>
      <c r="F2240" s="329"/>
      <c r="I2240" s="330"/>
      <c r="J2240" s="330"/>
    </row>
    <row r="2241" spans="2:10" ht="12.75" x14ac:dyDescent="0.2">
      <c r="B2241" s="331"/>
      <c r="C2241" s="327"/>
      <c r="D2241" s="331"/>
      <c r="F2241" s="329"/>
      <c r="I2241" s="330"/>
      <c r="J2241" s="330"/>
    </row>
    <row r="2242" spans="2:10" ht="12.75" x14ac:dyDescent="0.2">
      <c r="B2242" s="331"/>
      <c r="C2242" s="327"/>
      <c r="D2242" s="331"/>
      <c r="F2242" s="329"/>
      <c r="I2242" s="330"/>
      <c r="J2242" s="330"/>
    </row>
    <row r="2243" spans="2:10" ht="12.75" x14ac:dyDescent="0.2">
      <c r="B2243" s="331"/>
      <c r="C2243" s="327"/>
      <c r="D2243" s="331"/>
      <c r="F2243" s="329"/>
      <c r="I2243" s="330"/>
      <c r="J2243" s="330"/>
    </row>
    <row r="2244" spans="2:10" ht="12.75" x14ac:dyDescent="0.2">
      <c r="B2244" s="331"/>
      <c r="C2244" s="327"/>
      <c r="D2244" s="331"/>
      <c r="F2244" s="329"/>
      <c r="I2244" s="330"/>
      <c r="J2244" s="330"/>
    </row>
    <row r="2245" spans="2:10" ht="12.75" x14ac:dyDescent="0.2">
      <c r="B2245" s="331"/>
      <c r="C2245" s="327"/>
      <c r="D2245" s="331"/>
      <c r="F2245" s="329"/>
      <c r="I2245" s="330"/>
      <c r="J2245" s="330"/>
    </row>
    <row r="2246" spans="2:10" ht="12.75" x14ac:dyDescent="0.2">
      <c r="B2246" s="331"/>
      <c r="C2246" s="327"/>
      <c r="D2246" s="331"/>
      <c r="F2246" s="329"/>
      <c r="I2246" s="330"/>
      <c r="J2246" s="330"/>
    </row>
    <row r="2247" spans="2:10" ht="12.75" x14ac:dyDescent="0.2">
      <c r="B2247" s="331"/>
      <c r="C2247" s="327"/>
      <c r="D2247" s="331"/>
      <c r="F2247" s="329"/>
      <c r="I2247" s="330"/>
      <c r="J2247" s="330"/>
    </row>
    <row r="2248" spans="2:10" ht="12.75" x14ac:dyDescent="0.2">
      <c r="B2248" s="331"/>
      <c r="C2248" s="327"/>
      <c r="D2248" s="331"/>
      <c r="F2248" s="329"/>
      <c r="I2248" s="330"/>
      <c r="J2248" s="330"/>
    </row>
    <row r="2249" spans="2:10" ht="12.75" x14ac:dyDescent="0.2">
      <c r="B2249" s="331"/>
      <c r="C2249" s="327"/>
      <c r="D2249" s="331"/>
      <c r="F2249" s="329"/>
      <c r="I2249" s="330"/>
      <c r="J2249" s="330"/>
    </row>
    <row r="2250" spans="2:10" ht="12.75" x14ac:dyDescent="0.2">
      <c r="B2250" s="331"/>
      <c r="C2250" s="327"/>
      <c r="D2250" s="331"/>
      <c r="F2250" s="329"/>
      <c r="I2250" s="330"/>
      <c r="J2250" s="330"/>
    </row>
    <row r="2251" spans="2:10" ht="12.75" x14ac:dyDescent="0.2">
      <c r="B2251" s="331"/>
      <c r="C2251" s="327"/>
      <c r="D2251" s="331"/>
      <c r="F2251" s="329"/>
      <c r="I2251" s="330"/>
      <c r="J2251" s="330"/>
    </row>
    <row r="2252" spans="2:10" ht="12.75" x14ac:dyDescent="0.2">
      <c r="B2252" s="331"/>
      <c r="C2252" s="327"/>
      <c r="D2252" s="331"/>
      <c r="F2252" s="329"/>
      <c r="I2252" s="330"/>
      <c r="J2252" s="330"/>
    </row>
    <row r="2253" spans="2:10" ht="12.75" x14ac:dyDescent="0.2">
      <c r="B2253" s="331"/>
      <c r="C2253" s="327"/>
      <c r="D2253" s="331"/>
      <c r="F2253" s="329"/>
      <c r="I2253" s="330"/>
      <c r="J2253" s="330"/>
    </row>
    <row r="2254" spans="2:10" ht="12.75" x14ac:dyDescent="0.2">
      <c r="B2254" s="331"/>
      <c r="C2254" s="327"/>
      <c r="D2254" s="331"/>
      <c r="F2254" s="329"/>
      <c r="I2254" s="330"/>
      <c r="J2254" s="330"/>
    </row>
    <row r="2255" spans="2:10" ht="12.75" x14ac:dyDescent="0.2">
      <c r="B2255" s="331"/>
      <c r="C2255" s="327"/>
      <c r="D2255" s="331"/>
      <c r="F2255" s="329"/>
      <c r="I2255" s="330"/>
      <c r="J2255" s="330"/>
    </row>
    <row r="2256" spans="2:10" ht="12.75" x14ac:dyDescent="0.2">
      <c r="B2256" s="331"/>
      <c r="C2256" s="327"/>
      <c r="D2256" s="331"/>
      <c r="F2256" s="329"/>
      <c r="I2256" s="330"/>
      <c r="J2256" s="330"/>
    </row>
    <row r="2257" spans="2:10" ht="12.75" x14ac:dyDescent="0.2">
      <c r="B2257" s="331"/>
      <c r="C2257" s="327"/>
      <c r="D2257" s="331"/>
      <c r="F2257" s="329"/>
      <c r="I2257" s="330"/>
      <c r="J2257" s="330"/>
    </row>
    <row r="2258" spans="2:10" ht="12.75" x14ac:dyDescent="0.2">
      <c r="B2258" s="331"/>
      <c r="C2258" s="327"/>
      <c r="D2258" s="331"/>
      <c r="F2258" s="329"/>
      <c r="I2258" s="330"/>
      <c r="J2258" s="330"/>
    </row>
    <row r="2259" spans="2:10" ht="12.75" x14ac:dyDescent="0.2">
      <c r="B2259" s="331"/>
      <c r="C2259" s="327"/>
      <c r="D2259" s="331"/>
      <c r="F2259" s="329"/>
      <c r="I2259" s="330"/>
      <c r="J2259" s="330"/>
    </row>
    <row r="2260" spans="2:10" ht="12.75" x14ac:dyDescent="0.2">
      <c r="B2260" s="331"/>
      <c r="C2260" s="327"/>
      <c r="D2260" s="331"/>
      <c r="F2260" s="329"/>
      <c r="I2260" s="330"/>
      <c r="J2260" s="330"/>
    </row>
    <row r="2261" spans="2:10" ht="12.75" x14ac:dyDescent="0.2">
      <c r="B2261" s="331"/>
      <c r="C2261" s="327"/>
      <c r="D2261" s="331"/>
      <c r="F2261" s="329"/>
      <c r="I2261" s="330"/>
      <c r="J2261" s="330"/>
    </row>
    <row r="2262" spans="2:10" ht="12.75" x14ac:dyDescent="0.2">
      <c r="B2262" s="331"/>
      <c r="C2262" s="327"/>
      <c r="D2262" s="331"/>
      <c r="F2262" s="329"/>
      <c r="I2262" s="330"/>
      <c r="J2262" s="330"/>
    </row>
    <row r="2263" spans="2:10" ht="12.75" x14ac:dyDescent="0.2">
      <c r="B2263" s="331"/>
      <c r="C2263" s="327"/>
      <c r="D2263" s="331"/>
      <c r="F2263" s="329"/>
      <c r="I2263" s="330"/>
      <c r="J2263" s="330"/>
    </row>
    <row r="2264" spans="2:10" ht="12.75" x14ac:dyDescent="0.2">
      <c r="B2264" s="331"/>
      <c r="C2264" s="327"/>
      <c r="D2264" s="331"/>
      <c r="F2264" s="329"/>
      <c r="I2264" s="330"/>
      <c r="J2264" s="330"/>
    </row>
    <row r="2265" spans="2:10" ht="12.75" x14ac:dyDescent="0.2">
      <c r="B2265" s="331"/>
      <c r="C2265" s="327"/>
      <c r="D2265" s="331"/>
      <c r="F2265" s="329"/>
      <c r="I2265" s="330"/>
      <c r="J2265" s="330"/>
    </row>
    <row r="2266" spans="2:10" ht="12.75" x14ac:dyDescent="0.2">
      <c r="B2266" s="331"/>
      <c r="C2266" s="327"/>
      <c r="D2266" s="331"/>
      <c r="F2266" s="329"/>
      <c r="I2266" s="330"/>
      <c r="J2266" s="330"/>
    </row>
    <row r="2267" spans="2:10" ht="12.75" x14ac:dyDescent="0.2">
      <c r="B2267" s="331"/>
      <c r="C2267" s="327"/>
      <c r="D2267" s="331"/>
      <c r="F2267" s="329"/>
      <c r="I2267" s="330"/>
      <c r="J2267" s="330"/>
    </row>
    <row r="2268" spans="2:10" ht="12.75" x14ac:dyDescent="0.2">
      <c r="B2268" s="331"/>
      <c r="C2268" s="327"/>
      <c r="D2268" s="331"/>
      <c r="F2268" s="329"/>
      <c r="I2268" s="330"/>
      <c r="J2268" s="330"/>
    </row>
    <row r="2269" spans="2:10" ht="12.75" x14ac:dyDescent="0.2">
      <c r="B2269" s="331"/>
      <c r="C2269" s="327"/>
      <c r="D2269" s="331"/>
      <c r="F2269" s="329"/>
      <c r="I2269" s="330"/>
      <c r="J2269" s="330"/>
    </row>
    <row r="2270" spans="2:10" ht="12.75" x14ac:dyDescent="0.2">
      <c r="B2270" s="331"/>
      <c r="C2270" s="327"/>
      <c r="D2270" s="331"/>
      <c r="F2270" s="329"/>
      <c r="I2270" s="330"/>
      <c r="J2270" s="330"/>
    </row>
    <row r="2271" spans="2:10" ht="12.75" x14ac:dyDescent="0.2">
      <c r="B2271" s="331"/>
      <c r="C2271" s="327"/>
      <c r="D2271" s="331"/>
      <c r="F2271" s="329"/>
      <c r="I2271" s="330"/>
      <c r="J2271" s="330"/>
    </row>
    <row r="2272" spans="2:10" ht="12.75" x14ac:dyDescent="0.2">
      <c r="B2272" s="331"/>
      <c r="C2272" s="327"/>
      <c r="D2272" s="331"/>
      <c r="F2272" s="329"/>
      <c r="I2272" s="330"/>
      <c r="J2272" s="330"/>
    </row>
    <row r="2273" spans="2:10" ht="12.75" x14ac:dyDescent="0.2">
      <c r="B2273" s="331"/>
      <c r="C2273" s="327"/>
      <c r="D2273" s="331"/>
      <c r="F2273" s="329"/>
      <c r="I2273" s="330"/>
      <c r="J2273" s="330"/>
    </row>
    <row r="2274" spans="2:10" ht="12.75" x14ac:dyDescent="0.2">
      <c r="B2274" s="331"/>
      <c r="C2274" s="327"/>
      <c r="D2274" s="331"/>
      <c r="F2274" s="329"/>
      <c r="I2274" s="330"/>
      <c r="J2274" s="330"/>
    </row>
    <row r="2275" spans="2:10" ht="12.75" x14ac:dyDescent="0.2">
      <c r="B2275" s="331"/>
      <c r="C2275" s="327"/>
      <c r="D2275" s="331"/>
      <c r="F2275" s="329"/>
      <c r="I2275" s="330"/>
      <c r="J2275" s="330"/>
    </row>
    <row r="2276" spans="2:10" ht="12.75" x14ac:dyDescent="0.2">
      <c r="B2276" s="331"/>
      <c r="C2276" s="327"/>
      <c r="D2276" s="331"/>
      <c r="F2276" s="329"/>
      <c r="I2276" s="330"/>
      <c r="J2276" s="330"/>
    </row>
    <row r="2277" spans="2:10" ht="12.75" x14ac:dyDescent="0.2">
      <c r="B2277" s="331"/>
      <c r="C2277" s="327"/>
      <c r="D2277" s="331"/>
      <c r="F2277" s="329"/>
      <c r="I2277" s="330"/>
      <c r="J2277" s="330"/>
    </row>
    <row r="2278" spans="2:10" ht="12.75" x14ac:dyDescent="0.2">
      <c r="B2278" s="331"/>
      <c r="C2278" s="327"/>
      <c r="D2278" s="331"/>
      <c r="F2278" s="329"/>
      <c r="I2278" s="330"/>
      <c r="J2278" s="330"/>
    </row>
    <row r="2279" spans="2:10" ht="12.75" x14ac:dyDescent="0.2">
      <c r="B2279" s="331"/>
      <c r="C2279" s="327"/>
      <c r="D2279" s="331"/>
      <c r="F2279" s="329"/>
      <c r="I2279" s="330"/>
      <c r="J2279" s="330"/>
    </row>
    <row r="2280" spans="2:10" ht="12.75" x14ac:dyDescent="0.2">
      <c r="B2280" s="331"/>
      <c r="C2280" s="327"/>
      <c r="D2280" s="331"/>
      <c r="F2280" s="329"/>
      <c r="I2280" s="330"/>
      <c r="J2280" s="330"/>
    </row>
    <row r="2281" spans="2:10" ht="12.75" x14ac:dyDescent="0.2">
      <c r="B2281" s="331"/>
      <c r="C2281" s="327"/>
      <c r="D2281" s="331"/>
      <c r="F2281" s="329"/>
      <c r="I2281" s="330"/>
      <c r="J2281" s="330"/>
    </row>
    <row r="2282" spans="2:10" ht="12.75" x14ac:dyDescent="0.2">
      <c r="B2282" s="331"/>
      <c r="C2282" s="327"/>
      <c r="D2282" s="331"/>
      <c r="F2282" s="329"/>
      <c r="I2282" s="330"/>
      <c r="J2282" s="330"/>
    </row>
    <row r="2283" spans="2:10" ht="12.75" x14ac:dyDescent="0.2">
      <c r="B2283" s="331"/>
      <c r="C2283" s="327"/>
      <c r="D2283" s="331"/>
      <c r="F2283" s="329"/>
      <c r="I2283" s="330"/>
      <c r="J2283" s="330"/>
    </row>
    <row r="2284" spans="2:10" ht="12.75" x14ac:dyDescent="0.2">
      <c r="B2284" s="331"/>
      <c r="C2284" s="327"/>
      <c r="D2284" s="331"/>
      <c r="F2284" s="329"/>
      <c r="I2284" s="330"/>
      <c r="J2284" s="330"/>
    </row>
    <row r="2285" spans="2:10" ht="12.75" x14ac:dyDescent="0.2">
      <c r="B2285" s="331"/>
      <c r="C2285" s="327"/>
      <c r="D2285" s="331"/>
      <c r="F2285" s="329"/>
      <c r="I2285" s="330"/>
      <c r="J2285" s="330"/>
    </row>
    <row r="2286" spans="2:10" ht="12.75" x14ac:dyDescent="0.2">
      <c r="B2286" s="331"/>
      <c r="C2286" s="327"/>
      <c r="D2286" s="331"/>
      <c r="F2286" s="329"/>
      <c r="I2286" s="330"/>
      <c r="J2286" s="330"/>
    </row>
    <row r="2287" spans="2:10" ht="12.75" x14ac:dyDescent="0.2">
      <c r="B2287" s="331"/>
      <c r="C2287" s="327"/>
      <c r="D2287" s="331"/>
      <c r="F2287" s="329"/>
      <c r="I2287" s="330"/>
      <c r="J2287" s="330"/>
    </row>
    <row r="2288" spans="2:10" ht="12.75" x14ac:dyDescent="0.2">
      <c r="B2288" s="331"/>
      <c r="C2288" s="327"/>
      <c r="D2288" s="331"/>
      <c r="F2288" s="329"/>
      <c r="I2288" s="330"/>
      <c r="J2288" s="330"/>
    </row>
    <row r="2289" spans="2:10" ht="12.75" x14ac:dyDescent="0.2">
      <c r="B2289" s="331"/>
      <c r="C2289" s="327"/>
      <c r="D2289" s="331"/>
      <c r="F2289" s="329"/>
      <c r="I2289" s="330"/>
      <c r="J2289" s="330"/>
    </row>
    <row r="2290" spans="2:10" ht="12.75" x14ac:dyDescent="0.2">
      <c r="B2290" s="331"/>
      <c r="C2290" s="327"/>
      <c r="D2290" s="331"/>
      <c r="F2290" s="329"/>
      <c r="I2290" s="330"/>
      <c r="J2290" s="330"/>
    </row>
    <row r="2291" spans="2:10" ht="12.75" x14ac:dyDescent="0.2">
      <c r="B2291" s="331"/>
      <c r="C2291" s="327"/>
      <c r="D2291" s="331"/>
      <c r="F2291" s="329"/>
      <c r="I2291" s="330"/>
      <c r="J2291" s="330"/>
    </row>
    <row r="2292" spans="2:10" ht="12.75" x14ac:dyDescent="0.2">
      <c r="B2292" s="331"/>
      <c r="C2292" s="327"/>
      <c r="D2292" s="331"/>
      <c r="F2292" s="329"/>
      <c r="I2292" s="330"/>
      <c r="J2292" s="330"/>
    </row>
    <row r="2293" spans="2:10" ht="12.75" x14ac:dyDescent="0.2">
      <c r="B2293" s="331"/>
      <c r="C2293" s="327"/>
      <c r="D2293" s="331"/>
      <c r="F2293" s="329"/>
      <c r="I2293" s="330"/>
      <c r="J2293" s="330"/>
    </row>
    <row r="2294" spans="2:10" ht="12.75" x14ac:dyDescent="0.2">
      <c r="B2294" s="331"/>
      <c r="C2294" s="327"/>
      <c r="D2294" s="331"/>
      <c r="F2294" s="329"/>
      <c r="I2294" s="330"/>
      <c r="J2294" s="330"/>
    </row>
    <row r="2295" spans="2:10" ht="12.75" x14ac:dyDescent="0.2">
      <c r="B2295" s="331"/>
      <c r="C2295" s="327"/>
      <c r="D2295" s="331"/>
      <c r="F2295" s="329"/>
      <c r="I2295" s="330"/>
      <c r="J2295" s="330"/>
    </row>
    <row r="2296" spans="2:10" ht="12.75" x14ac:dyDescent="0.2">
      <c r="B2296" s="331"/>
      <c r="C2296" s="327"/>
      <c r="D2296" s="331"/>
      <c r="F2296" s="329"/>
      <c r="I2296" s="330"/>
      <c r="J2296" s="330"/>
    </row>
    <row r="2297" spans="2:10" ht="12.75" x14ac:dyDescent="0.2">
      <c r="B2297" s="331"/>
      <c r="C2297" s="327"/>
      <c r="D2297" s="331"/>
      <c r="F2297" s="329"/>
      <c r="I2297" s="330"/>
      <c r="J2297" s="330"/>
    </row>
    <row r="2298" spans="2:10" ht="12.75" x14ac:dyDescent="0.2">
      <c r="B2298" s="331"/>
      <c r="C2298" s="327"/>
      <c r="D2298" s="331"/>
      <c r="F2298" s="329"/>
      <c r="I2298" s="330"/>
      <c r="J2298" s="330"/>
    </row>
    <row r="2299" spans="2:10" ht="12.75" x14ac:dyDescent="0.2">
      <c r="B2299" s="331"/>
      <c r="C2299" s="327"/>
      <c r="D2299" s="331"/>
      <c r="F2299" s="329"/>
      <c r="I2299" s="330"/>
      <c r="J2299" s="330"/>
    </row>
    <row r="2300" spans="2:10" ht="12.75" x14ac:dyDescent="0.2">
      <c r="B2300" s="331"/>
      <c r="C2300" s="327"/>
      <c r="D2300" s="331"/>
      <c r="F2300" s="329"/>
      <c r="I2300" s="330"/>
      <c r="J2300" s="330"/>
    </row>
    <row r="2301" spans="2:10" ht="12.75" x14ac:dyDescent="0.2">
      <c r="B2301" s="331"/>
      <c r="C2301" s="327"/>
      <c r="D2301" s="331"/>
      <c r="F2301" s="329"/>
      <c r="I2301" s="330"/>
      <c r="J2301" s="330"/>
    </row>
    <row r="2302" spans="2:10" ht="12.75" x14ac:dyDescent="0.2">
      <c r="B2302" s="331"/>
      <c r="C2302" s="327"/>
      <c r="D2302" s="331"/>
      <c r="F2302" s="329"/>
      <c r="I2302" s="330"/>
      <c r="J2302" s="330"/>
    </row>
    <row r="2303" spans="2:10" ht="12.75" x14ac:dyDescent="0.2">
      <c r="B2303" s="331"/>
      <c r="C2303" s="327"/>
      <c r="D2303" s="331"/>
      <c r="F2303" s="329"/>
      <c r="I2303" s="330"/>
      <c r="J2303" s="330"/>
    </row>
    <row r="2304" spans="2:10" ht="12.75" x14ac:dyDescent="0.2">
      <c r="B2304" s="331"/>
      <c r="C2304" s="327"/>
      <c r="D2304" s="331"/>
      <c r="F2304" s="329"/>
      <c r="I2304" s="330"/>
      <c r="J2304" s="330"/>
    </row>
    <row r="2305" spans="2:10" ht="12.75" x14ac:dyDescent="0.2">
      <c r="B2305" s="331"/>
      <c r="C2305" s="327"/>
      <c r="D2305" s="331"/>
      <c r="F2305" s="329"/>
      <c r="I2305" s="330"/>
      <c r="J2305" s="330"/>
    </row>
    <row r="2306" spans="2:10" ht="12.75" x14ac:dyDescent="0.2">
      <c r="B2306" s="331"/>
      <c r="C2306" s="327"/>
      <c r="D2306" s="331"/>
      <c r="F2306" s="329"/>
      <c r="I2306" s="330"/>
      <c r="J2306" s="330"/>
    </row>
    <row r="2307" spans="2:10" ht="12.75" x14ac:dyDescent="0.2">
      <c r="B2307" s="331"/>
      <c r="C2307" s="327"/>
      <c r="D2307" s="331"/>
      <c r="F2307" s="329"/>
      <c r="I2307" s="330"/>
      <c r="J2307" s="330"/>
    </row>
    <row r="2308" spans="2:10" ht="12.75" x14ac:dyDescent="0.2">
      <c r="B2308" s="331"/>
      <c r="C2308" s="327"/>
      <c r="D2308" s="331"/>
      <c r="F2308" s="329"/>
      <c r="I2308" s="330"/>
      <c r="J2308" s="330"/>
    </row>
    <row r="2309" spans="2:10" ht="12.75" x14ac:dyDescent="0.2">
      <c r="B2309" s="331"/>
      <c r="C2309" s="327"/>
      <c r="D2309" s="331"/>
      <c r="F2309" s="329"/>
      <c r="I2309" s="330"/>
      <c r="J2309" s="330"/>
    </row>
    <row r="2310" spans="2:10" ht="12.75" x14ac:dyDescent="0.2">
      <c r="B2310" s="331"/>
      <c r="C2310" s="327"/>
      <c r="D2310" s="331"/>
      <c r="F2310" s="329"/>
      <c r="I2310" s="330"/>
      <c r="J2310" s="330"/>
    </row>
    <row r="2311" spans="2:10" ht="12.75" x14ac:dyDescent="0.2">
      <c r="B2311" s="331"/>
      <c r="C2311" s="327"/>
      <c r="D2311" s="331"/>
      <c r="F2311" s="329"/>
      <c r="I2311" s="330"/>
      <c r="J2311" s="330"/>
    </row>
    <row r="2312" spans="2:10" ht="12.75" x14ac:dyDescent="0.2">
      <c r="B2312" s="331"/>
      <c r="C2312" s="327"/>
      <c r="D2312" s="331"/>
      <c r="F2312" s="329"/>
      <c r="I2312" s="330"/>
      <c r="J2312" s="330"/>
    </row>
    <row r="2313" spans="2:10" ht="12.75" x14ac:dyDescent="0.2">
      <c r="B2313" s="331"/>
      <c r="C2313" s="327"/>
      <c r="D2313" s="331"/>
      <c r="F2313" s="329"/>
      <c r="I2313" s="330"/>
      <c r="J2313" s="330"/>
    </row>
    <row r="2314" spans="2:10" ht="12.75" x14ac:dyDescent="0.2">
      <c r="B2314" s="331"/>
      <c r="C2314" s="327"/>
      <c r="D2314" s="331"/>
      <c r="F2314" s="329"/>
      <c r="I2314" s="330"/>
      <c r="J2314" s="330"/>
    </row>
    <row r="2315" spans="2:10" ht="12.75" x14ac:dyDescent="0.2">
      <c r="B2315" s="331"/>
      <c r="C2315" s="327"/>
      <c r="D2315" s="331"/>
      <c r="F2315" s="329"/>
      <c r="I2315" s="330"/>
      <c r="J2315" s="330"/>
    </row>
    <row r="2316" spans="2:10" ht="12.75" x14ac:dyDescent="0.2">
      <c r="B2316" s="331"/>
      <c r="C2316" s="327"/>
      <c r="D2316" s="331"/>
      <c r="F2316" s="329"/>
      <c r="I2316" s="330"/>
      <c r="J2316" s="330"/>
    </row>
    <row r="2317" spans="2:10" ht="12.75" x14ac:dyDescent="0.2">
      <c r="B2317" s="331"/>
      <c r="C2317" s="327"/>
      <c r="D2317" s="331"/>
      <c r="F2317" s="329"/>
      <c r="I2317" s="330"/>
      <c r="J2317" s="330"/>
    </row>
    <row r="2318" spans="2:10" ht="12.75" x14ac:dyDescent="0.2">
      <c r="B2318" s="331"/>
      <c r="C2318" s="327"/>
      <c r="D2318" s="331"/>
      <c r="F2318" s="329"/>
      <c r="I2318" s="330"/>
      <c r="J2318" s="330"/>
    </row>
    <row r="2319" spans="2:10" ht="12.75" x14ac:dyDescent="0.2">
      <c r="B2319" s="331"/>
      <c r="C2319" s="327"/>
      <c r="D2319" s="331"/>
      <c r="F2319" s="329"/>
      <c r="I2319" s="330"/>
      <c r="J2319" s="330"/>
    </row>
    <row r="2320" spans="2:10" ht="12.75" x14ac:dyDescent="0.2">
      <c r="B2320" s="331"/>
      <c r="C2320" s="327"/>
      <c r="D2320" s="331"/>
      <c r="F2320" s="329"/>
      <c r="I2320" s="330"/>
      <c r="J2320" s="330"/>
    </row>
    <row r="2321" spans="2:10" ht="12.75" x14ac:dyDescent="0.2">
      <c r="B2321" s="331"/>
      <c r="C2321" s="327"/>
      <c r="D2321" s="331"/>
      <c r="F2321" s="329"/>
      <c r="I2321" s="330"/>
      <c r="J2321" s="330"/>
    </row>
    <row r="2322" spans="2:10" ht="12.75" x14ac:dyDescent="0.2">
      <c r="B2322" s="331"/>
      <c r="C2322" s="327"/>
      <c r="D2322" s="331"/>
      <c r="F2322" s="329"/>
      <c r="I2322" s="330"/>
      <c r="J2322" s="330"/>
    </row>
    <row r="2323" spans="2:10" ht="12.75" x14ac:dyDescent="0.2">
      <c r="B2323" s="331"/>
      <c r="C2323" s="327"/>
      <c r="D2323" s="331"/>
      <c r="F2323" s="329"/>
      <c r="I2323" s="330"/>
      <c r="J2323" s="330"/>
    </row>
    <row r="2324" spans="2:10" ht="12.75" x14ac:dyDescent="0.2">
      <c r="B2324" s="331"/>
      <c r="C2324" s="327"/>
      <c r="D2324" s="331"/>
      <c r="F2324" s="329"/>
      <c r="I2324" s="330"/>
      <c r="J2324" s="330"/>
    </row>
    <row r="2325" spans="2:10" ht="12.75" x14ac:dyDescent="0.2">
      <c r="B2325" s="331"/>
      <c r="C2325" s="327"/>
      <c r="D2325" s="331"/>
      <c r="F2325" s="329"/>
      <c r="I2325" s="330"/>
      <c r="J2325" s="330"/>
    </row>
    <row r="2326" spans="2:10" ht="12.75" x14ac:dyDescent="0.2">
      <c r="B2326" s="331"/>
      <c r="C2326" s="327"/>
      <c r="D2326" s="331"/>
      <c r="F2326" s="329"/>
      <c r="I2326" s="330"/>
      <c r="J2326" s="330"/>
    </row>
    <row r="2327" spans="2:10" ht="12.75" x14ac:dyDescent="0.2">
      <c r="B2327" s="331"/>
      <c r="C2327" s="327"/>
      <c r="D2327" s="331"/>
      <c r="F2327" s="329"/>
      <c r="I2327" s="330"/>
      <c r="J2327" s="330"/>
    </row>
    <row r="2328" spans="2:10" ht="12.75" x14ac:dyDescent="0.2">
      <c r="B2328" s="331"/>
      <c r="C2328" s="327"/>
      <c r="D2328" s="331"/>
      <c r="F2328" s="329"/>
      <c r="I2328" s="330"/>
      <c r="J2328" s="330"/>
    </row>
    <row r="2329" spans="2:10" ht="12.75" x14ac:dyDescent="0.2">
      <c r="B2329" s="331"/>
      <c r="C2329" s="327"/>
      <c r="D2329" s="331"/>
      <c r="F2329" s="329"/>
      <c r="I2329" s="330"/>
      <c r="J2329" s="330"/>
    </row>
    <row r="2330" spans="2:10" ht="12.75" x14ac:dyDescent="0.2">
      <c r="B2330" s="331"/>
      <c r="C2330" s="327"/>
      <c r="D2330" s="331"/>
      <c r="F2330" s="329"/>
      <c r="I2330" s="330"/>
      <c r="J2330" s="330"/>
    </row>
    <row r="2331" spans="2:10" ht="12.75" x14ac:dyDescent="0.2">
      <c r="B2331" s="331"/>
      <c r="C2331" s="327"/>
      <c r="D2331" s="331"/>
      <c r="F2331" s="329"/>
      <c r="I2331" s="330"/>
      <c r="J2331" s="330"/>
    </row>
    <row r="2332" spans="2:10" ht="12.75" x14ac:dyDescent="0.2">
      <c r="B2332" s="331"/>
      <c r="C2332" s="327"/>
      <c r="D2332" s="331"/>
      <c r="F2332" s="329"/>
      <c r="I2332" s="330"/>
      <c r="J2332" s="330"/>
    </row>
    <row r="2333" spans="2:10" ht="12.75" x14ac:dyDescent="0.2">
      <c r="B2333" s="331"/>
      <c r="C2333" s="327"/>
      <c r="D2333" s="331"/>
      <c r="F2333" s="329"/>
      <c r="I2333" s="330"/>
      <c r="J2333" s="330"/>
    </row>
    <row r="2334" spans="2:10" ht="12.75" x14ac:dyDescent="0.2">
      <c r="B2334" s="331"/>
      <c r="C2334" s="327"/>
      <c r="D2334" s="331"/>
      <c r="F2334" s="329"/>
      <c r="I2334" s="330"/>
      <c r="J2334" s="330"/>
    </row>
    <row r="2335" spans="2:10" ht="12.75" x14ac:dyDescent="0.2">
      <c r="B2335" s="331"/>
      <c r="C2335" s="327"/>
      <c r="D2335" s="331"/>
      <c r="F2335" s="329"/>
      <c r="I2335" s="330"/>
      <c r="J2335" s="330"/>
    </row>
    <row r="2336" spans="2:10" ht="12.75" x14ac:dyDescent="0.2">
      <c r="B2336" s="331"/>
      <c r="C2336" s="327"/>
      <c r="D2336" s="331"/>
      <c r="F2336" s="329"/>
      <c r="I2336" s="330"/>
      <c r="J2336" s="330"/>
    </row>
    <row r="2337" spans="2:10" ht="12.75" x14ac:dyDescent="0.2">
      <c r="B2337" s="331"/>
      <c r="C2337" s="327"/>
      <c r="D2337" s="331"/>
      <c r="F2337" s="329"/>
      <c r="I2337" s="330"/>
      <c r="J2337" s="330"/>
    </row>
    <row r="2338" spans="2:10" ht="12.75" x14ac:dyDescent="0.2">
      <c r="B2338" s="331"/>
      <c r="C2338" s="327"/>
      <c r="D2338" s="331"/>
      <c r="F2338" s="329"/>
      <c r="I2338" s="330"/>
      <c r="J2338" s="330"/>
    </row>
    <row r="2339" spans="2:10" ht="12.75" x14ac:dyDescent="0.2">
      <c r="B2339" s="331"/>
      <c r="C2339" s="327"/>
      <c r="D2339" s="331"/>
      <c r="F2339" s="329"/>
      <c r="I2339" s="330"/>
      <c r="J2339" s="330"/>
    </row>
    <row r="2340" spans="2:10" ht="12.75" x14ac:dyDescent="0.2">
      <c r="B2340" s="331"/>
      <c r="C2340" s="327"/>
      <c r="D2340" s="331"/>
      <c r="F2340" s="329"/>
      <c r="I2340" s="330"/>
      <c r="J2340" s="330"/>
    </row>
    <row r="2341" spans="2:10" ht="12.75" x14ac:dyDescent="0.2">
      <c r="B2341" s="331"/>
      <c r="C2341" s="327"/>
      <c r="D2341" s="331"/>
      <c r="F2341" s="329"/>
      <c r="I2341" s="330"/>
      <c r="J2341" s="330"/>
    </row>
    <row r="2342" spans="2:10" ht="12.75" x14ac:dyDescent="0.2">
      <c r="B2342" s="331"/>
      <c r="C2342" s="327"/>
      <c r="D2342" s="331"/>
      <c r="F2342" s="329"/>
      <c r="I2342" s="330"/>
      <c r="J2342" s="330"/>
    </row>
    <row r="2343" spans="2:10" ht="12.75" x14ac:dyDescent="0.2">
      <c r="B2343" s="331"/>
      <c r="C2343" s="327"/>
      <c r="D2343" s="331"/>
      <c r="F2343" s="329"/>
      <c r="I2343" s="330"/>
      <c r="J2343" s="330"/>
    </row>
    <row r="2344" spans="2:10" ht="12.75" x14ac:dyDescent="0.2">
      <c r="B2344" s="331"/>
      <c r="C2344" s="327"/>
      <c r="D2344" s="331"/>
      <c r="F2344" s="329"/>
      <c r="I2344" s="330"/>
      <c r="J2344" s="330"/>
    </row>
    <row r="2345" spans="2:10" ht="12.75" x14ac:dyDescent="0.2">
      <c r="B2345" s="331"/>
      <c r="C2345" s="327"/>
      <c r="D2345" s="331"/>
      <c r="F2345" s="329"/>
      <c r="I2345" s="330"/>
      <c r="J2345" s="330"/>
    </row>
    <row r="2346" spans="2:10" ht="12.75" x14ac:dyDescent="0.2">
      <c r="B2346" s="331"/>
      <c r="C2346" s="327"/>
      <c r="D2346" s="331"/>
      <c r="F2346" s="329"/>
      <c r="I2346" s="330"/>
      <c r="J2346" s="330"/>
    </row>
    <row r="2347" spans="2:10" ht="12.75" x14ac:dyDescent="0.2">
      <c r="B2347" s="331"/>
      <c r="C2347" s="327"/>
      <c r="D2347" s="331"/>
      <c r="F2347" s="329"/>
      <c r="I2347" s="330"/>
      <c r="J2347" s="330"/>
    </row>
    <row r="2348" spans="2:10" ht="12.75" x14ac:dyDescent="0.2">
      <c r="B2348" s="331"/>
      <c r="C2348" s="327"/>
      <c r="D2348" s="331"/>
      <c r="F2348" s="329"/>
      <c r="I2348" s="330"/>
      <c r="J2348" s="330"/>
    </row>
    <row r="2349" spans="2:10" ht="12.75" x14ac:dyDescent="0.2">
      <c r="B2349" s="331"/>
      <c r="C2349" s="327"/>
      <c r="D2349" s="331"/>
      <c r="F2349" s="329"/>
      <c r="I2349" s="330"/>
      <c r="J2349" s="330"/>
    </row>
    <row r="2350" spans="2:10" ht="12.75" x14ac:dyDescent="0.2">
      <c r="B2350" s="331"/>
      <c r="C2350" s="327"/>
      <c r="D2350" s="331"/>
      <c r="F2350" s="329"/>
      <c r="I2350" s="330"/>
      <c r="J2350" s="330"/>
    </row>
    <row r="2351" spans="2:10" ht="12.75" x14ac:dyDescent="0.2">
      <c r="B2351" s="331"/>
      <c r="C2351" s="327"/>
      <c r="D2351" s="331"/>
      <c r="F2351" s="329"/>
      <c r="I2351" s="330"/>
      <c r="J2351" s="330"/>
    </row>
    <row r="2352" spans="2:10" ht="12.75" x14ac:dyDescent="0.2">
      <c r="B2352" s="331"/>
      <c r="C2352" s="327"/>
      <c r="D2352" s="331"/>
      <c r="F2352" s="329"/>
      <c r="I2352" s="330"/>
      <c r="J2352" s="330"/>
    </row>
    <row r="2353" spans="2:10" ht="12.75" x14ac:dyDescent="0.2">
      <c r="B2353" s="331"/>
      <c r="C2353" s="327"/>
      <c r="D2353" s="331"/>
      <c r="F2353" s="329"/>
      <c r="I2353" s="330"/>
      <c r="J2353" s="330"/>
    </row>
    <row r="2354" spans="2:10" ht="12.75" x14ac:dyDescent="0.2">
      <c r="B2354" s="331"/>
      <c r="C2354" s="327"/>
      <c r="D2354" s="331"/>
      <c r="F2354" s="329"/>
      <c r="I2354" s="330"/>
      <c r="J2354" s="330"/>
    </row>
    <row r="2355" spans="2:10" ht="12.75" x14ac:dyDescent="0.2">
      <c r="B2355" s="331"/>
      <c r="C2355" s="327"/>
      <c r="D2355" s="331"/>
      <c r="F2355" s="329"/>
      <c r="I2355" s="330"/>
      <c r="J2355" s="330"/>
    </row>
    <row r="2356" spans="2:10" ht="12.75" x14ac:dyDescent="0.2">
      <c r="B2356" s="331"/>
      <c r="C2356" s="327"/>
      <c r="D2356" s="331"/>
      <c r="F2356" s="329"/>
      <c r="I2356" s="330"/>
      <c r="J2356" s="330"/>
    </row>
    <row r="2357" spans="2:10" ht="12.75" x14ac:dyDescent="0.2">
      <c r="B2357" s="331"/>
      <c r="C2357" s="327"/>
      <c r="D2357" s="331"/>
      <c r="F2357" s="329"/>
      <c r="I2357" s="330"/>
      <c r="J2357" s="330"/>
    </row>
    <row r="2358" spans="2:10" ht="12.75" x14ac:dyDescent="0.2">
      <c r="B2358" s="331"/>
      <c r="C2358" s="327"/>
      <c r="D2358" s="331"/>
      <c r="F2358" s="329"/>
      <c r="I2358" s="330"/>
      <c r="J2358" s="330"/>
    </row>
    <row r="2359" spans="2:10" ht="12.75" x14ac:dyDescent="0.2">
      <c r="B2359" s="331"/>
      <c r="C2359" s="327"/>
      <c r="D2359" s="331"/>
      <c r="F2359" s="329"/>
      <c r="I2359" s="330"/>
      <c r="J2359" s="330"/>
    </row>
    <row r="2360" spans="2:10" ht="12.75" x14ac:dyDescent="0.2">
      <c r="B2360" s="331"/>
      <c r="C2360" s="327"/>
      <c r="D2360" s="331"/>
      <c r="F2360" s="329"/>
      <c r="I2360" s="330"/>
      <c r="J2360" s="330"/>
    </row>
    <row r="2361" spans="2:10" ht="12.75" x14ac:dyDescent="0.2">
      <c r="B2361" s="331"/>
      <c r="C2361" s="327"/>
      <c r="D2361" s="331"/>
      <c r="F2361" s="329"/>
      <c r="I2361" s="330"/>
      <c r="J2361" s="330"/>
    </row>
    <row r="2362" spans="2:10" ht="12.75" x14ac:dyDescent="0.2">
      <c r="B2362" s="331"/>
      <c r="C2362" s="327"/>
      <c r="D2362" s="331"/>
      <c r="F2362" s="329"/>
      <c r="I2362" s="330"/>
      <c r="J2362" s="330"/>
    </row>
    <row r="2363" spans="2:10" ht="12.75" x14ac:dyDescent="0.2">
      <c r="B2363" s="331"/>
      <c r="C2363" s="327"/>
      <c r="D2363" s="331"/>
      <c r="F2363" s="329"/>
      <c r="I2363" s="330"/>
      <c r="J2363" s="330"/>
    </row>
    <row r="2364" spans="2:10" ht="12.75" x14ac:dyDescent="0.2">
      <c r="B2364" s="331"/>
      <c r="C2364" s="327"/>
      <c r="D2364" s="331"/>
      <c r="F2364" s="329"/>
      <c r="I2364" s="330"/>
      <c r="J2364" s="330"/>
    </row>
    <row r="2365" spans="2:10" ht="12.75" x14ac:dyDescent="0.2">
      <c r="B2365" s="331"/>
      <c r="C2365" s="327"/>
      <c r="D2365" s="331"/>
      <c r="F2365" s="329"/>
      <c r="I2365" s="330"/>
      <c r="J2365" s="330"/>
    </row>
    <row r="2366" spans="2:10" ht="12.75" x14ac:dyDescent="0.2">
      <c r="B2366" s="331"/>
      <c r="C2366" s="327"/>
      <c r="D2366" s="331"/>
      <c r="F2366" s="329"/>
      <c r="I2366" s="330"/>
      <c r="J2366" s="330"/>
    </row>
    <row r="2367" spans="2:10" ht="12.75" x14ac:dyDescent="0.2">
      <c r="B2367" s="331"/>
      <c r="C2367" s="327"/>
      <c r="D2367" s="331"/>
      <c r="F2367" s="329"/>
      <c r="I2367" s="330"/>
      <c r="J2367" s="330"/>
    </row>
    <row r="2368" spans="2:10" ht="12.75" x14ac:dyDescent="0.2">
      <c r="B2368" s="331"/>
      <c r="C2368" s="327"/>
      <c r="D2368" s="331"/>
      <c r="F2368" s="329"/>
      <c r="I2368" s="330"/>
      <c r="J2368" s="330"/>
    </row>
    <row r="2369" spans="2:10" ht="12.75" x14ac:dyDescent="0.2">
      <c r="B2369" s="331"/>
      <c r="C2369" s="327"/>
      <c r="D2369" s="331"/>
      <c r="F2369" s="329"/>
      <c r="I2369" s="330"/>
      <c r="J2369" s="330"/>
    </row>
    <row r="2370" spans="2:10" ht="12.75" x14ac:dyDescent="0.2">
      <c r="B2370" s="331"/>
      <c r="C2370" s="327"/>
      <c r="D2370" s="331"/>
      <c r="F2370" s="329"/>
      <c r="I2370" s="330"/>
      <c r="J2370" s="330"/>
    </row>
    <row r="2371" spans="2:10" ht="12.75" x14ac:dyDescent="0.2">
      <c r="B2371" s="331"/>
      <c r="C2371" s="327"/>
      <c r="D2371" s="331"/>
      <c r="F2371" s="329"/>
      <c r="I2371" s="330"/>
      <c r="J2371" s="330"/>
    </row>
    <row r="2372" spans="2:10" ht="12.75" x14ac:dyDescent="0.2">
      <c r="B2372" s="331"/>
      <c r="C2372" s="327"/>
      <c r="D2372" s="331"/>
      <c r="F2372" s="329"/>
      <c r="I2372" s="330"/>
      <c r="J2372" s="330"/>
    </row>
    <row r="2373" spans="2:10" ht="12.75" x14ac:dyDescent="0.2">
      <c r="B2373" s="331"/>
      <c r="C2373" s="327"/>
      <c r="D2373" s="331"/>
      <c r="F2373" s="329"/>
      <c r="I2373" s="330"/>
      <c r="J2373" s="330"/>
    </row>
    <row r="2374" spans="2:10" ht="12.75" x14ac:dyDescent="0.2">
      <c r="B2374" s="331"/>
      <c r="C2374" s="327"/>
      <c r="D2374" s="331"/>
      <c r="F2374" s="329"/>
      <c r="I2374" s="330"/>
      <c r="J2374" s="330"/>
    </row>
    <row r="2375" spans="2:10" ht="12.75" x14ac:dyDescent="0.2">
      <c r="B2375" s="331"/>
      <c r="C2375" s="327"/>
      <c r="D2375" s="331"/>
      <c r="F2375" s="329"/>
      <c r="I2375" s="330"/>
      <c r="J2375" s="330"/>
    </row>
    <row r="2376" spans="2:10" ht="12.75" x14ac:dyDescent="0.2">
      <c r="B2376" s="331"/>
      <c r="C2376" s="327"/>
      <c r="D2376" s="331"/>
      <c r="F2376" s="329"/>
      <c r="I2376" s="330"/>
      <c r="J2376" s="330"/>
    </row>
    <row r="2377" spans="2:10" ht="12.75" x14ac:dyDescent="0.2">
      <c r="B2377" s="331"/>
      <c r="C2377" s="327"/>
      <c r="D2377" s="331"/>
      <c r="F2377" s="329"/>
      <c r="I2377" s="330"/>
      <c r="J2377" s="330"/>
    </row>
    <row r="2378" spans="2:10" ht="12.75" x14ac:dyDescent="0.2">
      <c r="B2378" s="331"/>
      <c r="C2378" s="327"/>
      <c r="D2378" s="331"/>
      <c r="F2378" s="329"/>
      <c r="I2378" s="330"/>
      <c r="J2378" s="330"/>
    </row>
    <row r="2379" spans="2:10" ht="12.75" x14ac:dyDescent="0.2">
      <c r="B2379" s="331"/>
      <c r="C2379" s="327"/>
      <c r="D2379" s="331"/>
      <c r="F2379" s="329"/>
      <c r="I2379" s="330"/>
      <c r="J2379" s="330"/>
    </row>
    <row r="2380" spans="2:10" ht="12.75" x14ac:dyDescent="0.2">
      <c r="B2380" s="331"/>
      <c r="C2380" s="327"/>
      <c r="D2380" s="331"/>
      <c r="F2380" s="329"/>
      <c r="I2380" s="330"/>
      <c r="J2380" s="330"/>
    </row>
    <row r="2381" spans="2:10" ht="12.75" x14ac:dyDescent="0.2">
      <c r="B2381" s="331"/>
      <c r="C2381" s="327"/>
      <c r="D2381" s="331"/>
      <c r="F2381" s="329"/>
      <c r="I2381" s="330"/>
      <c r="J2381" s="330"/>
    </row>
    <row r="2382" spans="2:10" ht="12.75" x14ac:dyDescent="0.2">
      <c r="B2382" s="331"/>
      <c r="C2382" s="327"/>
      <c r="D2382" s="331"/>
      <c r="F2382" s="329"/>
      <c r="I2382" s="330"/>
      <c r="J2382" s="330"/>
    </row>
    <row r="2383" spans="2:10" ht="12.75" x14ac:dyDescent="0.2">
      <c r="B2383" s="331"/>
      <c r="C2383" s="327"/>
      <c r="D2383" s="331"/>
      <c r="F2383" s="329"/>
      <c r="I2383" s="330"/>
      <c r="J2383" s="330"/>
    </row>
    <row r="2384" spans="2:10" ht="12.75" x14ac:dyDescent="0.2">
      <c r="B2384" s="331"/>
      <c r="C2384" s="327"/>
      <c r="D2384" s="331"/>
      <c r="F2384" s="329"/>
      <c r="I2384" s="330"/>
      <c r="J2384" s="330"/>
    </row>
    <row r="2385" spans="2:10" ht="12.75" x14ac:dyDescent="0.2">
      <c r="B2385" s="331"/>
      <c r="C2385" s="327"/>
      <c r="D2385" s="331"/>
      <c r="F2385" s="329"/>
      <c r="I2385" s="330"/>
      <c r="J2385" s="330"/>
    </row>
    <row r="2386" spans="2:10" ht="12.75" x14ac:dyDescent="0.2">
      <c r="B2386" s="331"/>
      <c r="C2386" s="327"/>
      <c r="D2386" s="331"/>
      <c r="F2386" s="329"/>
      <c r="I2386" s="330"/>
      <c r="J2386" s="330"/>
    </row>
    <row r="2387" spans="2:10" ht="12.75" x14ac:dyDescent="0.2">
      <c r="B2387" s="331"/>
      <c r="C2387" s="327"/>
      <c r="D2387" s="331"/>
      <c r="F2387" s="329"/>
      <c r="I2387" s="330"/>
      <c r="J2387" s="330"/>
    </row>
    <row r="2388" spans="2:10" ht="12.75" x14ac:dyDescent="0.2">
      <c r="B2388" s="331"/>
      <c r="C2388" s="327"/>
      <c r="D2388" s="331"/>
      <c r="F2388" s="329"/>
      <c r="I2388" s="330"/>
      <c r="J2388" s="330"/>
    </row>
    <row r="2389" spans="2:10" ht="12.75" x14ac:dyDescent="0.2">
      <c r="B2389" s="331"/>
      <c r="C2389" s="327"/>
      <c r="D2389" s="331"/>
      <c r="F2389" s="329"/>
      <c r="I2389" s="330"/>
      <c r="J2389" s="330"/>
    </row>
    <row r="2390" spans="2:10" ht="12.75" x14ac:dyDescent="0.2">
      <c r="B2390" s="331"/>
      <c r="C2390" s="327"/>
      <c r="D2390" s="331"/>
      <c r="F2390" s="329"/>
      <c r="I2390" s="330"/>
      <c r="J2390" s="330"/>
    </row>
    <row r="2391" spans="2:10" ht="12.75" x14ac:dyDescent="0.2">
      <c r="B2391" s="331"/>
      <c r="C2391" s="327"/>
      <c r="D2391" s="331"/>
      <c r="F2391" s="329"/>
      <c r="I2391" s="330"/>
      <c r="J2391" s="330"/>
    </row>
    <row r="2392" spans="2:10" ht="12.75" x14ac:dyDescent="0.2">
      <c r="B2392" s="331"/>
      <c r="C2392" s="327"/>
      <c r="D2392" s="331"/>
      <c r="F2392" s="329"/>
      <c r="I2392" s="330"/>
      <c r="J2392" s="330"/>
    </row>
    <row r="2393" spans="2:10" ht="12.75" x14ac:dyDescent="0.2">
      <c r="B2393" s="331"/>
      <c r="C2393" s="327"/>
      <c r="D2393" s="331"/>
      <c r="F2393" s="329"/>
      <c r="I2393" s="330"/>
      <c r="J2393" s="330"/>
    </row>
    <row r="2394" spans="2:10" ht="12.75" x14ac:dyDescent="0.2">
      <c r="B2394" s="331"/>
      <c r="C2394" s="327"/>
      <c r="D2394" s="331"/>
      <c r="F2394" s="329"/>
      <c r="I2394" s="330"/>
      <c r="J2394" s="330"/>
    </row>
    <row r="2395" spans="2:10" ht="12.75" x14ac:dyDescent="0.2">
      <c r="B2395" s="331"/>
      <c r="C2395" s="327"/>
      <c r="D2395" s="331"/>
      <c r="F2395" s="329"/>
      <c r="I2395" s="330"/>
      <c r="J2395" s="330"/>
    </row>
    <row r="2396" spans="2:10" ht="12.75" x14ac:dyDescent="0.2">
      <c r="B2396" s="331"/>
      <c r="C2396" s="327"/>
      <c r="D2396" s="331"/>
      <c r="F2396" s="329"/>
      <c r="I2396" s="330"/>
      <c r="J2396" s="330"/>
    </row>
    <row r="2397" spans="2:10" ht="12.75" x14ac:dyDescent="0.2">
      <c r="B2397" s="331"/>
      <c r="C2397" s="327"/>
      <c r="D2397" s="331"/>
      <c r="F2397" s="329"/>
      <c r="I2397" s="330"/>
      <c r="J2397" s="330"/>
    </row>
    <row r="2398" spans="2:10" ht="12.75" x14ac:dyDescent="0.2">
      <c r="B2398" s="331"/>
      <c r="C2398" s="327"/>
      <c r="D2398" s="331"/>
      <c r="F2398" s="329"/>
      <c r="I2398" s="330"/>
      <c r="J2398" s="330"/>
    </row>
    <row r="2399" spans="2:10" ht="12.75" x14ac:dyDescent="0.2">
      <c r="B2399" s="331"/>
      <c r="C2399" s="327"/>
      <c r="D2399" s="331"/>
      <c r="F2399" s="329"/>
      <c r="I2399" s="330"/>
      <c r="J2399" s="330"/>
    </row>
    <row r="2400" spans="2:10" ht="12.75" x14ac:dyDescent="0.2">
      <c r="B2400" s="331"/>
      <c r="C2400" s="327"/>
      <c r="D2400" s="331"/>
      <c r="F2400" s="329"/>
      <c r="I2400" s="330"/>
      <c r="J2400" s="330"/>
    </row>
    <row r="2401" spans="2:10" ht="12.75" x14ac:dyDescent="0.2">
      <c r="B2401" s="331"/>
      <c r="C2401" s="327"/>
      <c r="D2401" s="331"/>
      <c r="F2401" s="329"/>
      <c r="I2401" s="330"/>
      <c r="J2401" s="330"/>
    </row>
    <row r="2402" spans="2:10" ht="12.75" x14ac:dyDescent="0.2">
      <c r="B2402" s="331"/>
      <c r="C2402" s="327"/>
      <c r="D2402" s="331"/>
      <c r="F2402" s="329"/>
      <c r="I2402" s="330"/>
      <c r="J2402" s="330"/>
    </row>
    <row r="2403" spans="2:10" ht="12.75" x14ac:dyDescent="0.2">
      <c r="B2403" s="331"/>
      <c r="C2403" s="327"/>
      <c r="D2403" s="331"/>
      <c r="F2403" s="329"/>
      <c r="I2403" s="330"/>
      <c r="J2403" s="330"/>
    </row>
    <row r="2404" spans="2:10" ht="12.75" x14ac:dyDescent="0.2">
      <c r="B2404" s="331"/>
      <c r="C2404" s="327"/>
      <c r="D2404" s="331"/>
      <c r="F2404" s="329"/>
      <c r="I2404" s="330"/>
      <c r="J2404" s="330"/>
    </row>
    <row r="2405" spans="2:10" ht="12.75" x14ac:dyDescent="0.2">
      <c r="B2405" s="331"/>
      <c r="C2405" s="327"/>
      <c r="D2405" s="331"/>
      <c r="F2405" s="329"/>
      <c r="I2405" s="330"/>
      <c r="J2405" s="330"/>
    </row>
    <row r="2406" spans="2:10" ht="12.75" x14ac:dyDescent="0.2">
      <c r="B2406" s="331"/>
      <c r="C2406" s="327"/>
      <c r="D2406" s="331"/>
      <c r="F2406" s="329"/>
      <c r="I2406" s="330"/>
      <c r="J2406" s="330"/>
    </row>
    <row r="2407" spans="2:10" ht="12.75" x14ac:dyDescent="0.2">
      <c r="B2407" s="331"/>
      <c r="C2407" s="327"/>
      <c r="D2407" s="331"/>
      <c r="F2407" s="329"/>
      <c r="I2407" s="330"/>
      <c r="J2407" s="330"/>
    </row>
    <row r="2408" spans="2:10" ht="12.75" x14ac:dyDescent="0.2">
      <c r="B2408" s="331"/>
      <c r="C2408" s="327"/>
      <c r="D2408" s="331"/>
      <c r="F2408" s="329"/>
      <c r="I2408" s="330"/>
      <c r="J2408" s="330"/>
    </row>
    <row r="2409" spans="2:10" ht="12.75" x14ac:dyDescent="0.2">
      <c r="B2409" s="331"/>
      <c r="C2409" s="327"/>
      <c r="D2409" s="331"/>
      <c r="F2409" s="329"/>
      <c r="I2409" s="330"/>
      <c r="J2409" s="330"/>
    </row>
    <row r="2410" spans="2:10" ht="12.75" x14ac:dyDescent="0.2">
      <c r="B2410" s="331"/>
      <c r="C2410" s="327"/>
      <c r="D2410" s="331"/>
      <c r="F2410" s="329"/>
      <c r="I2410" s="330"/>
      <c r="J2410" s="330"/>
    </row>
    <row r="2411" spans="2:10" ht="12.75" x14ac:dyDescent="0.2">
      <c r="B2411" s="331"/>
      <c r="C2411" s="327"/>
      <c r="D2411" s="331"/>
      <c r="F2411" s="329"/>
      <c r="I2411" s="330"/>
      <c r="J2411" s="330"/>
    </row>
    <row r="2412" spans="2:10" ht="12.75" x14ac:dyDescent="0.2">
      <c r="B2412" s="331"/>
      <c r="C2412" s="327"/>
      <c r="D2412" s="331"/>
      <c r="F2412" s="329"/>
      <c r="I2412" s="330"/>
      <c r="J2412" s="330"/>
    </row>
    <row r="2413" spans="2:10" ht="12.75" x14ac:dyDescent="0.2">
      <c r="B2413" s="331"/>
      <c r="C2413" s="327"/>
      <c r="D2413" s="331"/>
      <c r="F2413" s="329"/>
      <c r="I2413" s="330"/>
      <c r="J2413" s="330"/>
    </row>
    <row r="2414" spans="2:10" ht="12.75" x14ac:dyDescent="0.2">
      <c r="B2414" s="331"/>
      <c r="C2414" s="327"/>
      <c r="D2414" s="331"/>
      <c r="F2414" s="329"/>
      <c r="I2414" s="330"/>
      <c r="J2414" s="330"/>
    </row>
    <row r="2415" spans="2:10" ht="12.75" x14ac:dyDescent="0.2">
      <c r="B2415" s="331"/>
      <c r="C2415" s="327"/>
      <c r="D2415" s="331"/>
      <c r="F2415" s="329"/>
      <c r="I2415" s="330"/>
      <c r="J2415" s="330"/>
    </row>
    <row r="2416" spans="2:10" ht="12.75" x14ac:dyDescent="0.2">
      <c r="B2416" s="331"/>
      <c r="C2416" s="327"/>
      <c r="D2416" s="331"/>
      <c r="F2416" s="329"/>
      <c r="I2416" s="330"/>
      <c r="J2416" s="330"/>
    </row>
    <row r="2417" spans="2:10" ht="12.75" x14ac:dyDescent="0.2">
      <c r="B2417" s="331"/>
      <c r="C2417" s="327"/>
      <c r="D2417" s="331"/>
      <c r="F2417" s="329"/>
      <c r="I2417" s="330"/>
      <c r="J2417" s="330"/>
    </row>
    <row r="2418" spans="2:10" ht="12.75" x14ac:dyDescent="0.2">
      <c r="B2418" s="331"/>
      <c r="C2418" s="327"/>
      <c r="D2418" s="331"/>
      <c r="F2418" s="329"/>
      <c r="I2418" s="330"/>
      <c r="J2418" s="330"/>
    </row>
    <row r="2419" spans="2:10" ht="12.75" x14ac:dyDescent="0.2">
      <c r="B2419" s="331"/>
      <c r="C2419" s="327"/>
      <c r="D2419" s="331"/>
      <c r="F2419" s="329"/>
      <c r="I2419" s="330"/>
      <c r="J2419" s="330"/>
    </row>
    <row r="2420" spans="2:10" ht="12.75" x14ac:dyDescent="0.2">
      <c r="B2420" s="331"/>
      <c r="C2420" s="327"/>
      <c r="D2420" s="331"/>
      <c r="F2420" s="329"/>
      <c r="I2420" s="330"/>
      <c r="J2420" s="330"/>
    </row>
    <row r="2421" spans="2:10" ht="12.75" x14ac:dyDescent="0.2">
      <c r="B2421" s="331"/>
      <c r="C2421" s="327"/>
      <c r="D2421" s="331"/>
      <c r="F2421" s="329"/>
      <c r="I2421" s="330"/>
      <c r="J2421" s="330"/>
    </row>
    <row r="2422" spans="2:10" ht="12.75" x14ac:dyDescent="0.2">
      <c r="B2422" s="331"/>
      <c r="C2422" s="327"/>
      <c r="D2422" s="331"/>
      <c r="F2422" s="329"/>
      <c r="I2422" s="330"/>
      <c r="J2422" s="330"/>
    </row>
    <row r="2423" spans="2:10" ht="12.75" x14ac:dyDescent="0.2">
      <c r="B2423" s="331"/>
      <c r="C2423" s="327"/>
      <c r="D2423" s="331"/>
      <c r="F2423" s="329"/>
      <c r="I2423" s="330"/>
      <c r="J2423" s="330"/>
    </row>
    <row r="2424" spans="2:10" ht="12.75" x14ac:dyDescent="0.2">
      <c r="B2424" s="331"/>
      <c r="C2424" s="327"/>
      <c r="D2424" s="331"/>
      <c r="F2424" s="329"/>
      <c r="I2424" s="330"/>
      <c r="J2424" s="330"/>
    </row>
    <row r="2425" spans="2:10" ht="12.75" x14ac:dyDescent="0.2">
      <c r="B2425" s="331"/>
      <c r="C2425" s="327"/>
      <c r="D2425" s="331"/>
      <c r="F2425" s="329"/>
      <c r="I2425" s="330"/>
      <c r="J2425" s="330"/>
    </row>
    <row r="2426" spans="2:10" ht="12.75" x14ac:dyDescent="0.2">
      <c r="B2426" s="331"/>
      <c r="C2426" s="327"/>
      <c r="D2426" s="331"/>
      <c r="F2426" s="329"/>
      <c r="I2426" s="330"/>
      <c r="J2426" s="330"/>
    </row>
    <row r="2427" spans="2:10" ht="12.75" x14ac:dyDescent="0.2">
      <c r="B2427" s="331"/>
      <c r="C2427" s="327"/>
      <c r="D2427" s="331"/>
      <c r="F2427" s="329"/>
      <c r="I2427" s="330"/>
      <c r="J2427" s="330"/>
    </row>
    <row r="2428" spans="2:10" ht="12.75" x14ac:dyDescent="0.2">
      <c r="B2428" s="331"/>
      <c r="C2428" s="327"/>
      <c r="D2428" s="331"/>
      <c r="F2428" s="329"/>
      <c r="I2428" s="330"/>
      <c r="J2428" s="330"/>
    </row>
    <row r="2429" spans="2:10" ht="12.75" x14ac:dyDescent="0.2">
      <c r="B2429" s="331"/>
      <c r="C2429" s="327"/>
      <c r="D2429" s="331"/>
      <c r="F2429" s="329"/>
      <c r="I2429" s="330"/>
      <c r="J2429" s="330"/>
    </row>
    <row r="2430" spans="2:10" ht="12.75" x14ac:dyDescent="0.2">
      <c r="B2430" s="331"/>
      <c r="C2430" s="327"/>
      <c r="D2430" s="331"/>
      <c r="F2430" s="329"/>
      <c r="I2430" s="330"/>
      <c r="J2430" s="330"/>
    </row>
    <row r="2431" spans="2:10" ht="12.75" x14ac:dyDescent="0.2">
      <c r="B2431" s="331"/>
      <c r="C2431" s="327"/>
      <c r="D2431" s="331"/>
      <c r="F2431" s="329"/>
      <c r="I2431" s="330"/>
      <c r="J2431" s="330"/>
    </row>
    <row r="2432" spans="2:10" ht="12.75" x14ac:dyDescent="0.2">
      <c r="B2432" s="331"/>
      <c r="C2432" s="327"/>
      <c r="D2432" s="331"/>
      <c r="F2432" s="329"/>
      <c r="I2432" s="330"/>
      <c r="J2432" s="330"/>
    </row>
    <row r="2433" spans="2:10" ht="12.75" x14ac:dyDescent="0.2">
      <c r="B2433" s="331"/>
      <c r="C2433" s="327"/>
      <c r="D2433" s="331"/>
      <c r="F2433" s="329"/>
      <c r="I2433" s="330"/>
      <c r="J2433" s="330"/>
    </row>
    <row r="2434" spans="2:10" ht="12.75" x14ac:dyDescent="0.2">
      <c r="B2434" s="331"/>
      <c r="C2434" s="327"/>
      <c r="D2434" s="331"/>
      <c r="F2434" s="329"/>
      <c r="I2434" s="330"/>
      <c r="J2434" s="330"/>
    </row>
    <row r="2435" spans="2:10" ht="12.75" x14ac:dyDescent="0.2">
      <c r="B2435" s="331"/>
      <c r="C2435" s="327"/>
      <c r="D2435" s="331"/>
      <c r="F2435" s="329"/>
      <c r="I2435" s="330"/>
      <c r="J2435" s="330"/>
    </row>
    <row r="2436" spans="2:10" ht="12.75" x14ac:dyDescent="0.2">
      <c r="B2436" s="331"/>
      <c r="C2436" s="327"/>
      <c r="D2436" s="331"/>
      <c r="F2436" s="329"/>
      <c r="I2436" s="330"/>
      <c r="J2436" s="330"/>
    </row>
    <row r="2437" spans="2:10" ht="12.75" x14ac:dyDescent="0.2">
      <c r="B2437" s="331"/>
      <c r="C2437" s="327"/>
      <c r="D2437" s="331"/>
      <c r="F2437" s="329"/>
      <c r="I2437" s="330"/>
      <c r="J2437" s="330"/>
    </row>
    <row r="2438" spans="2:10" ht="12.75" x14ac:dyDescent="0.2">
      <c r="B2438" s="331"/>
      <c r="C2438" s="327"/>
      <c r="D2438" s="331"/>
      <c r="F2438" s="329"/>
      <c r="I2438" s="330"/>
      <c r="J2438" s="330"/>
    </row>
    <row r="2439" spans="2:10" ht="12.75" x14ac:dyDescent="0.2">
      <c r="B2439" s="331"/>
      <c r="C2439" s="327"/>
      <c r="D2439" s="331"/>
      <c r="F2439" s="329"/>
      <c r="I2439" s="330"/>
      <c r="J2439" s="330"/>
    </row>
    <row r="2440" spans="2:10" ht="12.75" x14ac:dyDescent="0.2">
      <c r="B2440" s="331"/>
      <c r="C2440" s="327"/>
      <c r="D2440" s="331"/>
      <c r="F2440" s="329"/>
      <c r="I2440" s="330"/>
      <c r="J2440" s="330"/>
    </row>
    <row r="2441" spans="2:10" ht="12.75" x14ac:dyDescent="0.2">
      <c r="B2441" s="331"/>
      <c r="C2441" s="327"/>
      <c r="D2441" s="331"/>
      <c r="F2441" s="329"/>
      <c r="I2441" s="330"/>
      <c r="J2441" s="330"/>
    </row>
    <row r="2442" spans="2:10" ht="12.75" x14ac:dyDescent="0.2">
      <c r="B2442" s="331"/>
      <c r="C2442" s="327"/>
      <c r="D2442" s="331"/>
      <c r="F2442" s="329"/>
      <c r="I2442" s="330"/>
      <c r="J2442" s="330"/>
    </row>
    <row r="2443" spans="2:10" ht="12.75" x14ac:dyDescent="0.2">
      <c r="B2443" s="331"/>
      <c r="C2443" s="327"/>
      <c r="D2443" s="331"/>
      <c r="F2443" s="329"/>
      <c r="I2443" s="330"/>
      <c r="J2443" s="330"/>
    </row>
    <row r="2444" spans="2:10" ht="12.75" x14ac:dyDescent="0.2">
      <c r="B2444" s="331"/>
      <c r="C2444" s="327"/>
      <c r="D2444" s="331"/>
      <c r="F2444" s="329"/>
      <c r="I2444" s="330"/>
      <c r="J2444" s="330"/>
    </row>
    <row r="2445" spans="2:10" ht="12.75" x14ac:dyDescent="0.2">
      <c r="B2445" s="331"/>
      <c r="C2445" s="327"/>
      <c r="D2445" s="331"/>
      <c r="F2445" s="329"/>
      <c r="I2445" s="330"/>
      <c r="J2445" s="330"/>
    </row>
    <row r="2446" spans="2:10" ht="12.75" x14ac:dyDescent="0.2">
      <c r="B2446" s="331"/>
      <c r="C2446" s="327"/>
      <c r="D2446" s="331"/>
      <c r="F2446" s="329"/>
      <c r="I2446" s="330"/>
      <c r="J2446" s="330"/>
    </row>
    <row r="2447" spans="2:10" ht="12.75" x14ac:dyDescent="0.2">
      <c r="B2447" s="331"/>
      <c r="C2447" s="327"/>
      <c r="D2447" s="331"/>
      <c r="F2447" s="329"/>
      <c r="I2447" s="330"/>
      <c r="J2447" s="330"/>
    </row>
    <row r="2448" spans="2:10" ht="12.75" x14ac:dyDescent="0.2">
      <c r="B2448" s="331"/>
      <c r="C2448" s="327"/>
      <c r="D2448" s="331"/>
      <c r="F2448" s="329"/>
      <c r="I2448" s="330"/>
      <c r="J2448" s="330"/>
    </row>
    <row r="2449" spans="2:10" ht="12.75" x14ac:dyDescent="0.2">
      <c r="B2449" s="331"/>
      <c r="C2449" s="327"/>
      <c r="D2449" s="331"/>
      <c r="F2449" s="329"/>
      <c r="I2449" s="330"/>
      <c r="J2449" s="330"/>
    </row>
    <row r="2450" spans="2:10" ht="12.75" x14ac:dyDescent="0.2">
      <c r="B2450" s="331"/>
      <c r="C2450" s="327"/>
      <c r="D2450" s="331"/>
      <c r="F2450" s="329"/>
      <c r="I2450" s="330"/>
      <c r="J2450" s="330"/>
    </row>
    <row r="2451" spans="2:10" ht="12.75" x14ac:dyDescent="0.2">
      <c r="B2451" s="331"/>
      <c r="C2451" s="327"/>
      <c r="D2451" s="331"/>
      <c r="F2451" s="329"/>
      <c r="I2451" s="330"/>
      <c r="J2451" s="330"/>
    </row>
    <row r="2452" spans="2:10" ht="12.75" x14ac:dyDescent="0.2">
      <c r="B2452" s="331"/>
      <c r="C2452" s="327"/>
      <c r="D2452" s="331"/>
      <c r="F2452" s="329"/>
      <c r="I2452" s="330"/>
      <c r="J2452" s="330"/>
    </row>
    <row r="2453" spans="2:10" ht="12.75" x14ac:dyDescent="0.2">
      <c r="B2453" s="331"/>
      <c r="C2453" s="327"/>
      <c r="D2453" s="331"/>
      <c r="F2453" s="329"/>
      <c r="I2453" s="330"/>
      <c r="J2453" s="330"/>
    </row>
    <row r="2454" spans="2:10" ht="12.75" x14ac:dyDescent="0.2">
      <c r="B2454" s="331"/>
      <c r="C2454" s="327"/>
      <c r="D2454" s="331"/>
      <c r="F2454" s="329"/>
      <c r="I2454" s="330"/>
      <c r="J2454" s="330"/>
    </row>
    <row r="2455" spans="2:10" ht="12.75" x14ac:dyDescent="0.2">
      <c r="B2455" s="331"/>
      <c r="C2455" s="327"/>
      <c r="D2455" s="331"/>
      <c r="F2455" s="329"/>
      <c r="I2455" s="330"/>
      <c r="J2455" s="330"/>
    </row>
    <row r="2456" spans="2:10" ht="12.75" x14ac:dyDescent="0.2">
      <c r="B2456" s="331"/>
      <c r="C2456" s="327"/>
      <c r="D2456" s="331"/>
      <c r="F2456" s="329"/>
      <c r="I2456" s="330"/>
      <c r="J2456" s="330"/>
    </row>
    <row r="2457" spans="2:10" ht="12.75" x14ac:dyDescent="0.2">
      <c r="B2457" s="331"/>
      <c r="C2457" s="327"/>
      <c r="D2457" s="331"/>
      <c r="F2457" s="329"/>
      <c r="I2457" s="330"/>
      <c r="J2457" s="330"/>
    </row>
    <row r="2458" spans="2:10" ht="12.75" x14ac:dyDescent="0.2">
      <c r="B2458" s="331"/>
      <c r="C2458" s="327"/>
      <c r="D2458" s="331"/>
      <c r="F2458" s="329"/>
      <c r="I2458" s="330"/>
      <c r="J2458" s="330"/>
    </row>
    <row r="2459" spans="2:10" ht="12.75" x14ac:dyDescent="0.2">
      <c r="B2459" s="331"/>
      <c r="C2459" s="327"/>
      <c r="D2459" s="331"/>
      <c r="F2459" s="329"/>
      <c r="I2459" s="330"/>
      <c r="J2459" s="330"/>
    </row>
    <row r="2460" spans="2:10" ht="12.75" x14ac:dyDescent="0.2">
      <c r="B2460" s="331"/>
      <c r="C2460" s="327"/>
      <c r="D2460" s="331"/>
      <c r="F2460" s="329"/>
      <c r="I2460" s="330"/>
      <c r="J2460" s="330"/>
    </row>
    <row r="2461" spans="2:10" ht="12.75" x14ac:dyDescent="0.2">
      <c r="B2461" s="331"/>
      <c r="C2461" s="327"/>
      <c r="D2461" s="331"/>
      <c r="F2461" s="329"/>
      <c r="I2461" s="330"/>
      <c r="J2461" s="330"/>
    </row>
    <row r="2462" spans="2:10" ht="12.75" x14ac:dyDescent="0.2">
      <c r="B2462" s="331"/>
      <c r="C2462" s="327"/>
      <c r="D2462" s="331"/>
      <c r="F2462" s="329"/>
      <c r="I2462" s="330"/>
      <c r="J2462" s="330"/>
    </row>
    <row r="2463" spans="2:10" ht="12.75" x14ac:dyDescent="0.2">
      <c r="B2463" s="331"/>
      <c r="C2463" s="327"/>
      <c r="D2463" s="331"/>
      <c r="F2463" s="329"/>
      <c r="I2463" s="330"/>
      <c r="J2463" s="330"/>
    </row>
    <row r="2464" spans="2:10" ht="12.75" x14ac:dyDescent="0.2">
      <c r="B2464" s="331"/>
      <c r="C2464" s="327"/>
      <c r="D2464" s="331"/>
      <c r="F2464" s="329"/>
      <c r="I2464" s="330"/>
      <c r="J2464" s="330"/>
    </row>
    <row r="2465" spans="2:10" ht="12.75" x14ac:dyDescent="0.2">
      <c r="B2465" s="331"/>
      <c r="C2465" s="327"/>
      <c r="D2465" s="331"/>
      <c r="F2465" s="329"/>
      <c r="I2465" s="330"/>
      <c r="J2465" s="330"/>
    </row>
    <row r="2466" spans="2:10" ht="12.75" x14ac:dyDescent="0.2">
      <c r="B2466" s="331"/>
      <c r="C2466" s="327"/>
      <c r="D2466" s="331"/>
      <c r="F2466" s="329"/>
      <c r="I2466" s="330"/>
      <c r="J2466" s="330"/>
    </row>
    <row r="2467" spans="2:10" ht="12.75" x14ac:dyDescent="0.2">
      <c r="B2467" s="331"/>
      <c r="C2467" s="327"/>
      <c r="D2467" s="331"/>
      <c r="F2467" s="329"/>
      <c r="I2467" s="330"/>
      <c r="J2467" s="330"/>
    </row>
    <row r="2468" spans="2:10" ht="12.75" x14ac:dyDescent="0.2">
      <c r="B2468" s="331"/>
      <c r="C2468" s="327"/>
      <c r="D2468" s="331"/>
      <c r="F2468" s="329"/>
      <c r="I2468" s="330"/>
      <c r="J2468" s="330"/>
    </row>
    <row r="2469" spans="2:10" ht="12.75" x14ac:dyDescent="0.2">
      <c r="B2469" s="331"/>
      <c r="C2469" s="327"/>
      <c r="D2469" s="331"/>
      <c r="F2469" s="329"/>
      <c r="I2469" s="330"/>
      <c r="J2469" s="330"/>
    </row>
    <row r="2470" spans="2:10" ht="12.75" x14ac:dyDescent="0.2">
      <c r="B2470" s="331"/>
      <c r="C2470" s="327"/>
      <c r="D2470" s="331"/>
      <c r="F2470" s="329"/>
      <c r="I2470" s="330"/>
      <c r="J2470" s="330"/>
    </row>
    <row r="2471" spans="2:10" ht="12.75" x14ac:dyDescent="0.2">
      <c r="B2471" s="331"/>
      <c r="C2471" s="327"/>
      <c r="D2471" s="331"/>
      <c r="F2471" s="329"/>
      <c r="I2471" s="330"/>
      <c r="J2471" s="330"/>
    </row>
    <row r="2472" spans="2:10" ht="12.75" x14ac:dyDescent="0.2">
      <c r="B2472" s="331"/>
      <c r="C2472" s="327"/>
      <c r="D2472" s="331"/>
      <c r="F2472" s="329"/>
      <c r="I2472" s="330"/>
      <c r="J2472" s="330"/>
    </row>
    <row r="2473" spans="2:10" ht="12.75" x14ac:dyDescent="0.2">
      <c r="B2473" s="331"/>
      <c r="C2473" s="327"/>
      <c r="D2473" s="331"/>
      <c r="F2473" s="329"/>
      <c r="I2473" s="330"/>
      <c r="J2473" s="330"/>
    </row>
    <row r="2474" spans="2:10" ht="12.75" x14ac:dyDescent="0.2">
      <c r="B2474" s="331"/>
      <c r="C2474" s="327"/>
      <c r="D2474" s="331"/>
      <c r="F2474" s="329"/>
      <c r="I2474" s="330"/>
      <c r="J2474" s="330"/>
    </row>
    <row r="2475" spans="2:10" ht="12.75" x14ac:dyDescent="0.2">
      <c r="B2475" s="331"/>
      <c r="C2475" s="327"/>
      <c r="D2475" s="331"/>
      <c r="F2475" s="329"/>
      <c r="I2475" s="330"/>
      <c r="J2475" s="330"/>
    </row>
    <row r="2476" spans="2:10" ht="12.75" x14ac:dyDescent="0.2">
      <c r="B2476" s="331"/>
      <c r="C2476" s="327"/>
      <c r="D2476" s="331"/>
      <c r="F2476" s="329"/>
      <c r="I2476" s="330"/>
      <c r="J2476" s="330"/>
    </row>
    <row r="2477" spans="2:10" ht="12.75" x14ac:dyDescent="0.2">
      <c r="B2477" s="331"/>
      <c r="C2477" s="327"/>
      <c r="D2477" s="331"/>
      <c r="F2477" s="329"/>
      <c r="I2477" s="330"/>
      <c r="J2477" s="330"/>
    </row>
    <row r="2478" spans="2:10" ht="12.75" x14ac:dyDescent="0.2">
      <c r="B2478" s="331"/>
      <c r="C2478" s="327"/>
      <c r="D2478" s="331"/>
      <c r="F2478" s="329"/>
      <c r="I2478" s="330"/>
      <c r="J2478" s="330"/>
    </row>
    <row r="2479" spans="2:10" ht="12.75" x14ac:dyDescent="0.2">
      <c r="B2479" s="331"/>
      <c r="C2479" s="327"/>
      <c r="D2479" s="331"/>
      <c r="F2479" s="329"/>
      <c r="I2479" s="330"/>
      <c r="J2479" s="330"/>
    </row>
    <row r="2480" spans="2:10" ht="12.75" x14ac:dyDescent="0.2">
      <c r="B2480" s="331"/>
      <c r="C2480" s="327"/>
      <c r="D2480" s="331"/>
      <c r="F2480" s="329"/>
      <c r="I2480" s="330"/>
      <c r="J2480" s="330"/>
    </row>
    <row r="2481" spans="2:10" ht="12.75" x14ac:dyDescent="0.2">
      <c r="B2481" s="331"/>
      <c r="C2481" s="327"/>
      <c r="D2481" s="331"/>
      <c r="F2481" s="329"/>
      <c r="I2481" s="330"/>
      <c r="J2481" s="330"/>
    </row>
    <row r="2482" spans="2:10" ht="12.75" x14ac:dyDescent="0.2">
      <c r="B2482" s="331"/>
      <c r="C2482" s="327"/>
      <c r="D2482" s="331"/>
      <c r="F2482" s="329"/>
      <c r="I2482" s="330"/>
      <c r="J2482" s="330"/>
    </row>
    <row r="2483" spans="2:10" ht="12.75" x14ac:dyDescent="0.2">
      <c r="B2483" s="331"/>
      <c r="C2483" s="327"/>
      <c r="D2483" s="331"/>
      <c r="F2483" s="329"/>
      <c r="I2483" s="330"/>
      <c r="J2483" s="330"/>
    </row>
    <row r="2484" spans="2:10" ht="12.75" x14ac:dyDescent="0.2">
      <c r="B2484" s="331"/>
      <c r="C2484" s="327"/>
      <c r="D2484" s="331"/>
      <c r="F2484" s="329"/>
      <c r="I2484" s="330"/>
      <c r="J2484" s="330"/>
    </row>
    <row r="2485" spans="2:10" ht="12.75" x14ac:dyDescent="0.2">
      <c r="B2485" s="331"/>
      <c r="C2485" s="327"/>
      <c r="D2485" s="331"/>
      <c r="F2485" s="329"/>
      <c r="I2485" s="330"/>
      <c r="J2485" s="330"/>
    </row>
    <row r="2486" spans="2:10" ht="12.75" x14ac:dyDescent="0.2">
      <c r="B2486" s="331"/>
      <c r="C2486" s="327"/>
      <c r="D2486" s="331"/>
      <c r="F2486" s="329"/>
      <c r="I2486" s="330"/>
      <c r="J2486" s="330"/>
    </row>
    <row r="2487" spans="2:10" ht="12.75" x14ac:dyDescent="0.2">
      <c r="B2487" s="331"/>
      <c r="C2487" s="327"/>
      <c r="D2487" s="331"/>
      <c r="F2487" s="329"/>
      <c r="I2487" s="330"/>
      <c r="J2487" s="330"/>
    </row>
    <row r="2488" spans="2:10" ht="12.75" x14ac:dyDescent="0.2">
      <c r="B2488" s="331"/>
      <c r="C2488" s="327"/>
      <c r="D2488" s="331"/>
      <c r="F2488" s="329"/>
      <c r="I2488" s="330"/>
      <c r="J2488" s="330"/>
    </row>
    <row r="2489" spans="2:10" ht="12.75" x14ac:dyDescent="0.2">
      <c r="B2489" s="331"/>
      <c r="C2489" s="327"/>
      <c r="D2489" s="331"/>
      <c r="F2489" s="329"/>
      <c r="I2489" s="330"/>
      <c r="J2489" s="330"/>
    </row>
    <row r="2490" spans="2:10" ht="12.75" x14ac:dyDescent="0.2">
      <c r="B2490" s="331"/>
      <c r="C2490" s="327"/>
      <c r="D2490" s="331"/>
      <c r="F2490" s="329"/>
      <c r="I2490" s="330"/>
      <c r="J2490" s="330"/>
    </row>
    <row r="2491" spans="2:10" ht="12.75" x14ac:dyDescent="0.2">
      <c r="B2491" s="331"/>
      <c r="C2491" s="327"/>
      <c r="D2491" s="331"/>
      <c r="F2491" s="329"/>
      <c r="I2491" s="330"/>
      <c r="J2491" s="330"/>
    </row>
    <row r="2492" spans="2:10" ht="12.75" x14ac:dyDescent="0.2">
      <c r="B2492" s="331"/>
      <c r="C2492" s="327"/>
      <c r="D2492" s="331"/>
      <c r="F2492" s="329"/>
      <c r="I2492" s="330"/>
      <c r="J2492" s="330"/>
    </row>
    <row r="2493" spans="2:10" ht="12.75" x14ac:dyDescent="0.2">
      <c r="B2493" s="331"/>
      <c r="C2493" s="327"/>
      <c r="D2493" s="331"/>
      <c r="F2493" s="329"/>
      <c r="I2493" s="330"/>
      <c r="J2493" s="330"/>
    </row>
    <row r="2494" spans="2:10" ht="12.75" x14ac:dyDescent="0.2">
      <c r="B2494" s="331"/>
      <c r="C2494" s="327"/>
      <c r="D2494" s="331"/>
      <c r="F2494" s="329"/>
      <c r="I2494" s="330"/>
      <c r="J2494" s="330"/>
    </row>
    <row r="2495" spans="2:10" ht="12.75" x14ac:dyDescent="0.2">
      <c r="B2495" s="331"/>
      <c r="C2495" s="327"/>
      <c r="D2495" s="331"/>
      <c r="F2495" s="329"/>
      <c r="I2495" s="330"/>
      <c r="J2495" s="330"/>
    </row>
    <row r="2496" spans="2:10" ht="12.75" x14ac:dyDescent="0.2">
      <c r="B2496" s="331"/>
      <c r="C2496" s="327"/>
      <c r="D2496" s="331"/>
      <c r="F2496" s="329"/>
      <c r="I2496" s="330"/>
      <c r="J2496" s="330"/>
    </row>
    <row r="2497" spans="2:10" ht="12.75" x14ac:dyDescent="0.2">
      <c r="B2497" s="331"/>
      <c r="C2497" s="327"/>
      <c r="D2497" s="331"/>
      <c r="F2497" s="329"/>
      <c r="I2497" s="330"/>
      <c r="J2497" s="330"/>
    </row>
    <row r="2498" spans="2:10" ht="12.75" x14ac:dyDescent="0.2">
      <c r="B2498" s="331"/>
      <c r="C2498" s="327"/>
      <c r="D2498" s="331"/>
      <c r="F2498" s="329"/>
      <c r="I2498" s="330"/>
      <c r="J2498" s="330"/>
    </row>
    <row r="2499" spans="2:10" ht="12.75" x14ac:dyDescent="0.2">
      <c r="B2499" s="331"/>
      <c r="C2499" s="327"/>
      <c r="D2499" s="331"/>
      <c r="F2499" s="329"/>
      <c r="I2499" s="330"/>
      <c r="J2499" s="330"/>
    </row>
    <row r="2500" spans="2:10" ht="12.75" x14ac:dyDescent="0.2">
      <c r="B2500" s="331"/>
      <c r="C2500" s="327"/>
      <c r="D2500" s="331"/>
      <c r="F2500" s="329"/>
      <c r="I2500" s="330"/>
      <c r="J2500" s="330"/>
    </row>
    <row r="2501" spans="2:10" ht="12.75" x14ac:dyDescent="0.2">
      <c r="B2501" s="331"/>
      <c r="C2501" s="327"/>
      <c r="D2501" s="331"/>
      <c r="F2501" s="329"/>
      <c r="I2501" s="330"/>
      <c r="J2501" s="330"/>
    </row>
    <row r="2502" spans="2:10" ht="12.75" x14ac:dyDescent="0.2">
      <c r="B2502" s="331"/>
      <c r="C2502" s="327"/>
      <c r="D2502" s="331"/>
      <c r="F2502" s="329"/>
      <c r="I2502" s="330"/>
      <c r="J2502" s="330"/>
    </row>
    <row r="2503" spans="2:10" ht="12.75" x14ac:dyDescent="0.2">
      <c r="B2503" s="331"/>
      <c r="C2503" s="327"/>
      <c r="D2503" s="331"/>
      <c r="F2503" s="329"/>
      <c r="I2503" s="330"/>
      <c r="J2503" s="330"/>
    </row>
    <row r="2504" spans="2:10" ht="12.75" x14ac:dyDescent="0.2">
      <c r="B2504" s="331"/>
      <c r="C2504" s="327"/>
      <c r="D2504" s="331"/>
      <c r="F2504" s="329"/>
      <c r="I2504" s="330"/>
      <c r="J2504" s="330"/>
    </row>
    <row r="2505" spans="2:10" ht="12.75" x14ac:dyDescent="0.2">
      <c r="B2505" s="331"/>
      <c r="C2505" s="327"/>
      <c r="D2505" s="331"/>
      <c r="F2505" s="329"/>
      <c r="I2505" s="330"/>
      <c r="J2505" s="330"/>
    </row>
    <row r="2506" spans="2:10" ht="12.75" x14ac:dyDescent="0.2">
      <c r="B2506" s="331"/>
      <c r="C2506" s="327"/>
      <c r="D2506" s="331"/>
      <c r="F2506" s="329"/>
      <c r="I2506" s="330"/>
      <c r="J2506" s="330"/>
    </row>
    <row r="2507" spans="2:10" ht="12.75" x14ac:dyDescent="0.2">
      <c r="B2507" s="331"/>
      <c r="C2507" s="327"/>
      <c r="D2507" s="331"/>
      <c r="F2507" s="329"/>
      <c r="I2507" s="330"/>
      <c r="J2507" s="330"/>
    </row>
    <row r="2508" spans="2:10" ht="12.75" x14ac:dyDescent="0.2">
      <c r="B2508" s="331"/>
      <c r="C2508" s="327"/>
      <c r="D2508" s="331"/>
      <c r="F2508" s="329"/>
      <c r="I2508" s="330"/>
      <c r="J2508" s="330"/>
    </row>
    <row r="2509" spans="2:10" ht="12.75" x14ac:dyDescent="0.2">
      <c r="B2509" s="331"/>
      <c r="C2509" s="327"/>
      <c r="D2509" s="331"/>
      <c r="F2509" s="329"/>
      <c r="I2509" s="330"/>
      <c r="J2509" s="330"/>
    </row>
    <row r="2510" spans="2:10" ht="12.75" x14ac:dyDescent="0.2">
      <c r="B2510" s="331"/>
      <c r="C2510" s="327"/>
      <c r="D2510" s="331"/>
      <c r="F2510" s="329"/>
      <c r="I2510" s="330"/>
      <c r="J2510" s="330"/>
    </row>
    <row r="2511" spans="2:10" ht="12.75" x14ac:dyDescent="0.2">
      <c r="B2511" s="331"/>
      <c r="C2511" s="327"/>
      <c r="D2511" s="331"/>
      <c r="F2511" s="329"/>
      <c r="I2511" s="330"/>
      <c r="J2511" s="330"/>
    </row>
    <row r="2512" spans="2:10" ht="12.75" x14ac:dyDescent="0.2">
      <c r="B2512" s="331"/>
      <c r="C2512" s="327"/>
      <c r="D2512" s="331"/>
      <c r="F2512" s="329"/>
      <c r="I2512" s="330"/>
      <c r="J2512" s="330"/>
    </row>
    <row r="2513" spans="2:10" ht="12.75" x14ac:dyDescent="0.2">
      <c r="B2513" s="331"/>
      <c r="C2513" s="327"/>
      <c r="D2513" s="331"/>
      <c r="F2513" s="329"/>
      <c r="I2513" s="330"/>
      <c r="J2513" s="330"/>
    </row>
    <row r="2514" spans="2:10" ht="12.75" x14ac:dyDescent="0.2">
      <c r="B2514" s="331"/>
      <c r="C2514" s="327"/>
      <c r="D2514" s="331"/>
      <c r="F2514" s="329"/>
      <c r="I2514" s="330"/>
      <c r="J2514" s="330"/>
    </row>
    <row r="2515" spans="2:10" ht="12.75" x14ac:dyDescent="0.2">
      <c r="B2515" s="331"/>
      <c r="C2515" s="327"/>
      <c r="D2515" s="331"/>
      <c r="F2515" s="329"/>
      <c r="I2515" s="330"/>
      <c r="J2515" s="330"/>
    </row>
    <row r="2516" spans="2:10" ht="12.75" x14ac:dyDescent="0.2">
      <c r="B2516" s="331"/>
      <c r="C2516" s="327"/>
      <c r="D2516" s="331"/>
      <c r="F2516" s="329"/>
      <c r="I2516" s="330"/>
      <c r="J2516" s="330"/>
    </row>
    <row r="2517" spans="2:10" ht="12.75" x14ac:dyDescent="0.2">
      <c r="B2517" s="331"/>
      <c r="C2517" s="327"/>
      <c r="D2517" s="331"/>
      <c r="F2517" s="329"/>
      <c r="I2517" s="330"/>
      <c r="J2517" s="330"/>
    </row>
    <row r="2518" spans="2:10" ht="12.75" x14ac:dyDescent="0.2">
      <c r="B2518" s="331"/>
      <c r="C2518" s="327"/>
      <c r="D2518" s="331"/>
      <c r="F2518" s="329"/>
      <c r="I2518" s="330"/>
      <c r="J2518" s="330"/>
    </row>
    <row r="2519" spans="2:10" ht="12.75" x14ac:dyDescent="0.2">
      <c r="B2519" s="331"/>
      <c r="C2519" s="327"/>
      <c r="D2519" s="331"/>
      <c r="F2519" s="329"/>
      <c r="I2519" s="330"/>
      <c r="J2519" s="330"/>
    </row>
    <row r="2520" spans="2:10" ht="12.75" x14ac:dyDescent="0.2">
      <c r="B2520" s="331"/>
      <c r="C2520" s="327"/>
      <c r="D2520" s="331"/>
      <c r="F2520" s="329"/>
      <c r="I2520" s="330"/>
      <c r="J2520" s="330"/>
    </row>
    <row r="2521" spans="2:10" ht="12.75" x14ac:dyDescent="0.2">
      <c r="B2521" s="331"/>
      <c r="C2521" s="327"/>
      <c r="D2521" s="331"/>
      <c r="F2521" s="329"/>
      <c r="I2521" s="330"/>
      <c r="J2521" s="330"/>
    </row>
    <row r="2522" spans="2:10" ht="12.75" x14ac:dyDescent="0.2">
      <c r="B2522" s="331"/>
      <c r="C2522" s="327"/>
      <c r="D2522" s="331"/>
      <c r="F2522" s="329"/>
      <c r="I2522" s="330"/>
      <c r="J2522" s="330"/>
    </row>
    <row r="2523" spans="2:10" ht="12.75" x14ac:dyDescent="0.2">
      <c r="B2523" s="331"/>
      <c r="C2523" s="327"/>
      <c r="D2523" s="331"/>
      <c r="F2523" s="329"/>
      <c r="I2523" s="330"/>
      <c r="J2523" s="330"/>
    </row>
    <row r="2524" spans="2:10" ht="12.75" x14ac:dyDescent="0.2">
      <c r="B2524" s="331"/>
      <c r="C2524" s="327"/>
      <c r="D2524" s="331"/>
      <c r="F2524" s="329"/>
      <c r="I2524" s="330"/>
      <c r="J2524" s="330"/>
    </row>
    <row r="2525" spans="2:10" ht="12.75" x14ac:dyDescent="0.2">
      <c r="B2525" s="331"/>
      <c r="C2525" s="327"/>
      <c r="D2525" s="331"/>
      <c r="F2525" s="329"/>
      <c r="I2525" s="330"/>
      <c r="J2525" s="330"/>
    </row>
    <row r="2526" spans="2:10" ht="12.75" x14ac:dyDescent="0.2">
      <c r="B2526" s="331"/>
      <c r="C2526" s="327"/>
      <c r="D2526" s="331"/>
      <c r="F2526" s="329"/>
      <c r="I2526" s="330"/>
      <c r="J2526" s="330"/>
    </row>
    <row r="2527" spans="2:10" ht="12.75" x14ac:dyDescent="0.2">
      <c r="B2527" s="331"/>
      <c r="C2527" s="327"/>
      <c r="D2527" s="331"/>
      <c r="F2527" s="329"/>
      <c r="I2527" s="330"/>
      <c r="J2527" s="330"/>
    </row>
    <row r="2528" spans="2:10" ht="12.75" x14ac:dyDescent="0.2">
      <c r="B2528" s="331"/>
      <c r="C2528" s="327"/>
      <c r="D2528" s="331"/>
      <c r="F2528" s="329"/>
      <c r="I2528" s="330"/>
      <c r="J2528" s="330"/>
    </row>
    <row r="2529" spans="2:10" ht="12.75" x14ac:dyDescent="0.2">
      <c r="B2529" s="331"/>
      <c r="C2529" s="327"/>
      <c r="D2529" s="331"/>
      <c r="F2529" s="329"/>
      <c r="I2529" s="330"/>
      <c r="J2529" s="330"/>
    </row>
    <row r="2530" spans="2:10" ht="12.75" x14ac:dyDescent="0.2">
      <c r="B2530" s="331"/>
      <c r="C2530" s="327"/>
      <c r="D2530" s="331"/>
      <c r="F2530" s="329"/>
      <c r="I2530" s="330"/>
      <c r="J2530" s="330"/>
    </row>
    <row r="2531" spans="2:10" ht="12.75" x14ac:dyDescent="0.2">
      <c r="B2531" s="331"/>
      <c r="C2531" s="327"/>
      <c r="D2531" s="331"/>
      <c r="F2531" s="329"/>
      <c r="I2531" s="330"/>
      <c r="J2531" s="330"/>
    </row>
    <row r="2532" spans="2:10" ht="12.75" x14ac:dyDescent="0.2">
      <c r="B2532" s="331"/>
      <c r="C2532" s="327"/>
      <c r="D2532" s="331"/>
      <c r="F2532" s="329"/>
      <c r="I2532" s="330"/>
      <c r="J2532" s="330"/>
    </row>
    <row r="2533" spans="2:10" ht="12.75" x14ac:dyDescent="0.2">
      <c r="B2533" s="331"/>
      <c r="C2533" s="327"/>
      <c r="D2533" s="331"/>
      <c r="F2533" s="329"/>
      <c r="I2533" s="330"/>
      <c r="J2533" s="330"/>
    </row>
    <row r="2534" spans="2:10" ht="12.75" x14ac:dyDescent="0.2">
      <c r="B2534" s="331"/>
      <c r="C2534" s="327"/>
      <c r="D2534" s="331"/>
      <c r="F2534" s="329"/>
      <c r="I2534" s="330"/>
      <c r="J2534" s="330"/>
    </row>
    <row r="2535" spans="2:10" ht="12.75" x14ac:dyDescent="0.2">
      <c r="B2535" s="331"/>
      <c r="C2535" s="327"/>
      <c r="D2535" s="331"/>
      <c r="F2535" s="329"/>
      <c r="I2535" s="330"/>
      <c r="J2535" s="330"/>
    </row>
    <row r="2536" spans="2:10" ht="12.75" x14ac:dyDescent="0.2">
      <c r="B2536" s="331"/>
      <c r="C2536" s="327"/>
      <c r="D2536" s="331"/>
      <c r="F2536" s="329"/>
      <c r="I2536" s="330"/>
      <c r="J2536" s="330"/>
    </row>
    <row r="2537" spans="2:10" ht="12.75" x14ac:dyDescent="0.2">
      <c r="B2537" s="331"/>
      <c r="C2537" s="327"/>
      <c r="D2537" s="331"/>
      <c r="F2537" s="329"/>
      <c r="I2537" s="330"/>
      <c r="J2537" s="330"/>
    </row>
    <row r="2538" spans="2:10" ht="12.75" x14ac:dyDescent="0.2">
      <c r="B2538" s="331"/>
      <c r="C2538" s="327"/>
      <c r="D2538" s="331"/>
      <c r="F2538" s="329"/>
      <c r="I2538" s="330"/>
      <c r="J2538" s="330"/>
    </row>
    <row r="2539" spans="2:10" ht="12.75" x14ac:dyDescent="0.2">
      <c r="B2539" s="331"/>
      <c r="C2539" s="327"/>
      <c r="D2539" s="331"/>
      <c r="F2539" s="329"/>
      <c r="I2539" s="330"/>
      <c r="J2539" s="330"/>
    </row>
    <row r="2540" spans="2:10" ht="12.75" x14ac:dyDescent="0.2">
      <c r="B2540" s="331"/>
      <c r="C2540" s="327"/>
      <c r="D2540" s="331"/>
      <c r="F2540" s="329"/>
      <c r="I2540" s="330"/>
      <c r="J2540" s="330"/>
    </row>
    <row r="2541" spans="2:10" ht="12.75" x14ac:dyDescent="0.2">
      <c r="B2541" s="331"/>
      <c r="C2541" s="327"/>
      <c r="D2541" s="331"/>
      <c r="F2541" s="329"/>
      <c r="I2541" s="330"/>
      <c r="J2541" s="330"/>
    </row>
    <row r="2542" spans="2:10" ht="12.75" x14ac:dyDescent="0.2">
      <c r="B2542" s="331"/>
      <c r="C2542" s="327"/>
      <c r="D2542" s="331"/>
      <c r="F2542" s="329"/>
      <c r="I2542" s="330"/>
      <c r="J2542" s="330"/>
    </row>
    <row r="2543" spans="2:10" ht="12.75" x14ac:dyDescent="0.2">
      <c r="B2543" s="331"/>
      <c r="C2543" s="327"/>
      <c r="D2543" s="331"/>
      <c r="F2543" s="329"/>
      <c r="I2543" s="330"/>
      <c r="J2543" s="330"/>
    </row>
    <row r="2544" spans="2:10" ht="12.75" x14ac:dyDescent="0.2">
      <c r="B2544" s="331"/>
      <c r="C2544" s="327"/>
      <c r="D2544" s="331"/>
      <c r="F2544" s="329"/>
      <c r="I2544" s="330"/>
      <c r="J2544" s="330"/>
    </row>
    <row r="2545" spans="2:10" ht="12.75" x14ac:dyDescent="0.2">
      <c r="B2545" s="331"/>
      <c r="C2545" s="327"/>
      <c r="D2545" s="331"/>
      <c r="F2545" s="329"/>
      <c r="I2545" s="330"/>
      <c r="J2545" s="330"/>
    </row>
    <row r="2546" spans="2:10" ht="12.75" x14ac:dyDescent="0.2">
      <c r="B2546" s="331"/>
      <c r="C2546" s="327"/>
      <c r="D2546" s="331"/>
      <c r="F2546" s="329"/>
      <c r="I2546" s="330"/>
      <c r="J2546" s="330"/>
    </row>
    <row r="2547" spans="2:10" ht="12.75" x14ac:dyDescent="0.2">
      <c r="B2547" s="331"/>
      <c r="C2547" s="327"/>
      <c r="D2547" s="331"/>
      <c r="F2547" s="329"/>
      <c r="I2547" s="330"/>
      <c r="J2547" s="330"/>
    </row>
    <row r="2548" spans="2:10" ht="12.75" x14ac:dyDescent="0.2">
      <c r="B2548" s="331"/>
      <c r="C2548" s="327"/>
      <c r="D2548" s="331"/>
      <c r="F2548" s="329"/>
      <c r="I2548" s="330"/>
      <c r="J2548" s="330"/>
    </row>
    <row r="2549" spans="2:10" ht="12.75" x14ac:dyDescent="0.2">
      <c r="B2549" s="331"/>
      <c r="C2549" s="327"/>
      <c r="D2549" s="331"/>
      <c r="F2549" s="329"/>
      <c r="I2549" s="330"/>
      <c r="J2549" s="330"/>
    </row>
    <row r="2550" spans="2:10" ht="12.75" x14ac:dyDescent="0.2">
      <c r="B2550" s="331"/>
      <c r="C2550" s="327"/>
      <c r="D2550" s="331"/>
      <c r="F2550" s="329"/>
      <c r="I2550" s="330"/>
      <c r="J2550" s="330"/>
    </row>
    <row r="2551" spans="2:10" ht="12.75" x14ac:dyDescent="0.2">
      <c r="B2551" s="331"/>
      <c r="C2551" s="327"/>
      <c r="D2551" s="331"/>
      <c r="F2551" s="329"/>
      <c r="I2551" s="330"/>
      <c r="J2551" s="330"/>
    </row>
    <row r="2552" spans="2:10" ht="12.75" x14ac:dyDescent="0.2">
      <c r="B2552" s="331"/>
      <c r="C2552" s="327"/>
      <c r="D2552" s="331"/>
      <c r="F2552" s="329"/>
      <c r="I2552" s="330"/>
      <c r="J2552" s="330"/>
    </row>
    <row r="2553" spans="2:10" ht="12.75" x14ac:dyDescent="0.2">
      <c r="B2553" s="331"/>
      <c r="C2553" s="327"/>
      <c r="D2553" s="331"/>
      <c r="F2553" s="329"/>
      <c r="I2553" s="330"/>
      <c r="J2553" s="330"/>
    </row>
    <row r="2554" spans="2:10" ht="12.75" x14ac:dyDescent="0.2">
      <c r="B2554" s="331"/>
      <c r="C2554" s="327"/>
      <c r="D2554" s="331"/>
      <c r="F2554" s="329"/>
      <c r="I2554" s="330"/>
      <c r="J2554" s="330"/>
    </row>
    <row r="2555" spans="2:10" ht="12.75" x14ac:dyDescent="0.2">
      <c r="B2555" s="331"/>
      <c r="C2555" s="327"/>
      <c r="D2555" s="331"/>
      <c r="F2555" s="329"/>
      <c r="I2555" s="330"/>
      <c r="J2555" s="330"/>
    </row>
    <row r="2556" spans="2:10" ht="12.75" x14ac:dyDescent="0.2">
      <c r="B2556" s="331"/>
      <c r="C2556" s="327"/>
      <c r="D2556" s="331"/>
      <c r="F2556" s="329"/>
      <c r="I2556" s="330"/>
      <c r="J2556" s="330"/>
    </row>
    <row r="2557" spans="2:10" ht="12.75" x14ac:dyDescent="0.2">
      <c r="B2557" s="331"/>
      <c r="C2557" s="327"/>
      <c r="D2557" s="331"/>
      <c r="F2557" s="329"/>
      <c r="I2557" s="330"/>
      <c r="J2557" s="330"/>
    </row>
    <row r="2558" spans="2:10" ht="12.75" x14ac:dyDescent="0.2">
      <c r="B2558" s="331"/>
      <c r="C2558" s="327"/>
      <c r="D2558" s="331"/>
      <c r="F2558" s="329"/>
      <c r="I2558" s="330"/>
      <c r="J2558" s="330"/>
    </row>
    <row r="2559" spans="2:10" ht="12.75" x14ac:dyDescent="0.2">
      <c r="B2559" s="331"/>
      <c r="C2559" s="327"/>
      <c r="D2559" s="331"/>
      <c r="F2559" s="329"/>
      <c r="I2559" s="330"/>
      <c r="J2559" s="330"/>
    </row>
    <row r="2560" spans="2:10" ht="12.75" x14ac:dyDescent="0.2">
      <c r="B2560" s="331"/>
      <c r="C2560" s="327"/>
      <c r="D2560" s="331"/>
      <c r="F2560" s="329"/>
      <c r="I2560" s="330"/>
      <c r="J2560" s="330"/>
    </row>
    <row r="2561" spans="2:10" ht="12.75" x14ac:dyDescent="0.2">
      <c r="B2561" s="331"/>
      <c r="C2561" s="327"/>
      <c r="D2561" s="331"/>
      <c r="F2561" s="329"/>
      <c r="I2561" s="330"/>
      <c r="J2561" s="330"/>
    </row>
    <row r="2562" spans="2:10" ht="12.75" x14ac:dyDescent="0.2">
      <c r="B2562" s="331"/>
      <c r="C2562" s="327"/>
      <c r="D2562" s="331"/>
      <c r="F2562" s="329"/>
      <c r="I2562" s="330"/>
      <c r="J2562" s="330"/>
    </row>
    <row r="2563" spans="2:10" ht="12.75" x14ac:dyDescent="0.2">
      <c r="B2563" s="331"/>
      <c r="C2563" s="327"/>
      <c r="D2563" s="331"/>
      <c r="F2563" s="329"/>
      <c r="I2563" s="330"/>
      <c r="J2563" s="330"/>
    </row>
    <row r="2564" spans="2:10" ht="12.75" x14ac:dyDescent="0.2">
      <c r="B2564" s="331"/>
      <c r="C2564" s="327"/>
      <c r="D2564" s="331"/>
      <c r="F2564" s="329"/>
      <c r="I2564" s="330"/>
      <c r="J2564" s="330"/>
    </row>
    <row r="2565" spans="2:10" ht="12.75" x14ac:dyDescent="0.2">
      <c r="B2565" s="331"/>
      <c r="C2565" s="327"/>
      <c r="D2565" s="331"/>
      <c r="F2565" s="329"/>
      <c r="I2565" s="330"/>
      <c r="J2565" s="330"/>
    </row>
    <row r="2566" spans="2:10" ht="12.75" x14ac:dyDescent="0.2">
      <c r="B2566" s="331"/>
      <c r="C2566" s="327"/>
      <c r="D2566" s="331"/>
      <c r="F2566" s="329"/>
      <c r="I2566" s="330"/>
      <c r="J2566" s="330"/>
    </row>
    <row r="2567" spans="2:10" ht="12.75" x14ac:dyDescent="0.2">
      <c r="B2567" s="331"/>
      <c r="C2567" s="327"/>
      <c r="D2567" s="331"/>
      <c r="F2567" s="329"/>
      <c r="I2567" s="330"/>
      <c r="J2567" s="330"/>
    </row>
    <row r="2568" spans="2:10" ht="12.75" x14ac:dyDescent="0.2">
      <c r="B2568" s="331"/>
      <c r="C2568" s="327"/>
      <c r="D2568" s="331"/>
      <c r="F2568" s="329"/>
      <c r="I2568" s="330"/>
      <c r="J2568" s="330"/>
    </row>
    <row r="2569" spans="2:10" ht="12.75" x14ac:dyDescent="0.2">
      <c r="B2569" s="331"/>
      <c r="C2569" s="327"/>
      <c r="D2569" s="331"/>
      <c r="F2569" s="329"/>
      <c r="I2569" s="330"/>
      <c r="J2569" s="330"/>
    </row>
    <row r="2570" spans="2:10" ht="12.75" x14ac:dyDescent="0.2">
      <c r="B2570" s="331"/>
      <c r="C2570" s="327"/>
      <c r="D2570" s="331"/>
      <c r="F2570" s="329"/>
      <c r="I2570" s="330"/>
      <c r="J2570" s="330"/>
    </row>
    <row r="2571" spans="2:10" ht="12.75" x14ac:dyDescent="0.2">
      <c r="B2571" s="331"/>
      <c r="C2571" s="327"/>
      <c r="D2571" s="331"/>
      <c r="F2571" s="329"/>
      <c r="I2571" s="330"/>
      <c r="J2571" s="330"/>
    </row>
    <row r="2572" spans="2:10" ht="12.75" x14ac:dyDescent="0.2">
      <c r="B2572" s="331"/>
      <c r="C2572" s="327"/>
      <c r="D2572" s="331"/>
      <c r="F2572" s="329"/>
      <c r="I2572" s="330"/>
      <c r="J2572" s="330"/>
    </row>
    <row r="2573" spans="2:10" ht="12.75" x14ac:dyDescent="0.2">
      <c r="B2573" s="331"/>
      <c r="C2573" s="327"/>
      <c r="D2573" s="331"/>
      <c r="F2573" s="329"/>
      <c r="I2573" s="330"/>
      <c r="J2573" s="330"/>
    </row>
    <row r="2574" spans="2:10" ht="12.75" x14ac:dyDescent="0.2">
      <c r="B2574" s="331"/>
      <c r="C2574" s="327"/>
      <c r="D2574" s="331"/>
      <c r="F2574" s="329"/>
      <c r="I2574" s="330"/>
      <c r="J2574" s="330"/>
    </row>
    <row r="2575" spans="2:10" ht="12.75" x14ac:dyDescent="0.2">
      <c r="B2575" s="331"/>
      <c r="C2575" s="327"/>
      <c r="D2575" s="331"/>
      <c r="F2575" s="329"/>
      <c r="I2575" s="330"/>
      <c r="J2575" s="330"/>
    </row>
    <row r="2576" spans="2:10" ht="12.75" x14ac:dyDescent="0.2">
      <c r="B2576" s="331"/>
      <c r="C2576" s="327"/>
      <c r="D2576" s="331"/>
      <c r="F2576" s="329"/>
      <c r="I2576" s="330"/>
      <c r="J2576" s="330"/>
    </row>
    <row r="2577" spans="2:10" ht="12.75" x14ac:dyDescent="0.2">
      <c r="B2577" s="331"/>
      <c r="C2577" s="327"/>
      <c r="D2577" s="331"/>
      <c r="F2577" s="329"/>
      <c r="I2577" s="330"/>
      <c r="J2577" s="330"/>
    </row>
    <row r="2578" spans="2:10" ht="12.75" x14ac:dyDescent="0.2">
      <c r="B2578" s="331"/>
      <c r="C2578" s="327"/>
      <c r="D2578" s="331"/>
      <c r="F2578" s="329"/>
      <c r="I2578" s="330"/>
      <c r="J2578" s="330"/>
    </row>
    <row r="2579" spans="2:10" ht="12.75" x14ac:dyDescent="0.2">
      <c r="B2579" s="331"/>
      <c r="C2579" s="327"/>
      <c r="D2579" s="331"/>
      <c r="F2579" s="329"/>
      <c r="I2579" s="330"/>
      <c r="J2579" s="330"/>
    </row>
    <row r="2580" spans="2:10" ht="12.75" x14ac:dyDescent="0.2">
      <c r="B2580" s="331"/>
      <c r="C2580" s="327"/>
      <c r="D2580" s="331"/>
      <c r="F2580" s="329"/>
      <c r="I2580" s="330"/>
      <c r="J2580" s="330"/>
    </row>
    <row r="2581" spans="2:10" ht="12.75" x14ac:dyDescent="0.2">
      <c r="B2581" s="331"/>
      <c r="C2581" s="327"/>
      <c r="D2581" s="331"/>
      <c r="F2581" s="329"/>
      <c r="I2581" s="330"/>
      <c r="J2581" s="330"/>
    </row>
    <row r="2582" spans="2:10" ht="12.75" x14ac:dyDescent="0.2">
      <c r="B2582" s="331"/>
      <c r="C2582" s="327"/>
      <c r="D2582" s="331"/>
      <c r="F2582" s="329"/>
      <c r="I2582" s="330"/>
      <c r="J2582" s="330"/>
    </row>
    <row r="2583" spans="2:10" ht="12.75" x14ac:dyDescent="0.2">
      <c r="B2583" s="331"/>
      <c r="C2583" s="327"/>
      <c r="D2583" s="331"/>
      <c r="F2583" s="329"/>
      <c r="I2583" s="330"/>
      <c r="J2583" s="330"/>
    </row>
    <row r="2584" spans="2:10" ht="12.75" x14ac:dyDescent="0.2">
      <c r="B2584" s="331"/>
      <c r="C2584" s="327"/>
      <c r="D2584" s="331"/>
      <c r="F2584" s="329"/>
      <c r="I2584" s="330"/>
      <c r="J2584" s="330"/>
    </row>
    <row r="2585" spans="2:10" ht="12.75" x14ac:dyDescent="0.2">
      <c r="B2585" s="331"/>
      <c r="C2585" s="327"/>
      <c r="D2585" s="331"/>
      <c r="F2585" s="329"/>
      <c r="I2585" s="330"/>
      <c r="J2585" s="330"/>
    </row>
    <row r="2586" spans="2:10" ht="12.75" x14ac:dyDescent="0.2">
      <c r="B2586" s="331"/>
      <c r="C2586" s="327"/>
      <c r="D2586" s="331"/>
      <c r="F2586" s="329"/>
      <c r="I2586" s="330"/>
      <c r="J2586" s="330"/>
    </row>
    <row r="2587" spans="2:10" ht="12.75" x14ac:dyDescent="0.2">
      <c r="B2587" s="331"/>
      <c r="C2587" s="327"/>
      <c r="D2587" s="331"/>
      <c r="F2587" s="329"/>
      <c r="I2587" s="330"/>
      <c r="J2587" s="330"/>
    </row>
    <row r="2588" spans="2:10" ht="12.75" x14ac:dyDescent="0.2">
      <c r="B2588" s="331"/>
      <c r="C2588" s="327"/>
      <c r="D2588" s="331"/>
      <c r="F2588" s="329"/>
      <c r="I2588" s="330"/>
      <c r="J2588" s="330"/>
    </row>
    <row r="2589" spans="2:10" ht="12.75" x14ac:dyDescent="0.2">
      <c r="B2589" s="331"/>
      <c r="C2589" s="327"/>
      <c r="D2589" s="331"/>
      <c r="F2589" s="329"/>
      <c r="I2589" s="330"/>
      <c r="J2589" s="330"/>
    </row>
    <row r="2590" spans="2:10" ht="12.75" x14ac:dyDescent="0.2">
      <c r="B2590" s="331"/>
      <c r="C2590" s="327"/>
      <c r="D2590" s="331"/>
      <c r="F2590" s="329"/>
      <c r="I2590" s="330"/>
      <c r="J2590" s="330"/>
    </row>
    <row r="2591" spans="2:10" ht="12.75" x14ac:dyDescent="0.2">
      <c r="B2591" s="331"/>
      <c r="C2591" s="327"/>
      <c r="D2591" s="331"/>
      <c r="F2591" s="329"/>
      <c r="I2591" s="330"/>
      <c r="J2591" s="330"/>
    </row>
    <row r="2592" spans="2:10" ht="12.75" x14ac:dyDescent="0.2">
      <c r="B2592" s="331"/>
      <c r="C2592" s="327"/>
      <c r="D2592" s="331"/>
      <c r="F2592" s="329"/>
      <c r="I2592" s="330"/>
      <c r="J2592" s="330"/>
    </row>
    <row r="2593" spans="2:10" ht="12.75" x14ac:dyDescent="0.2">
      <c r="B2593" s="331"/>
      <c r="C2593" s="327"/>
      <c r="D2593" s="331"/>
      <c r="F2593" s="329"/>
      <c r="I2593" s="330"/>
      <c r="J2593" s="330"/>
    </row>
    <row r="2594" spans="2:10" ht="12.75" x14ac:dyDescent="0.2">
      <c r="B2594" s="331"/>
      <c r="C2594" s="327"/>
      <c r="D2594" s="331"/>
      <c r="F2594" s="329"/>
      <c r="I2594" s="330"/>
      <c r="J2594" s="330"/>
    </row>
    <row r="2595" spans="2:10" ht="12.75" x14ac:dyDescent="0.2">
      <c r="B2595" s="331"/>
      <c r="C2595" s="327"/>
      <c r="D2595" s="331"/>
      <c r="F2595" s="329"/>
      <c r="I2595" s="330"/>
      <c r="J2595" s="330"/>
    </row>
    <row r="2596" spans="2:10" ht="12.75" x14ac:dyDescent="0.2">
      <c r="B2596" s="331"/>
      <c r="C2596" s="327"/>
      <c r="D2596" s="331"/>
      <c r="F2596" s="329"/>
      <c r="I2596" s="330"/>
      <c r="J2596" s="330"/>
    </row>
    <row r="2597" spans="2:10" ht="12.75" x14ac:dyDescent="0.2">
      <c r="B2597" s="331"/>
      <c r="C2597" s="327"/>
      <c r="D2597" s="331"/>
      <c r="F2597" s="329"/>
      <c r="I2597" s="330"/>
      <c r="J2597" s="330"/>
    </row>
    <row r="2598" spans="2:10" ht="12.75" x14ac:dyDescent="0.2">
      <c r="B2598" s="331"/>
      <c r="C2598" s="327"/>
      <c r="D2598" s="331"/>
      <c r="F2598" s="329"/>
      <c r="I2598" s="330"/>
      <c r="J2598" s="330"/>
    </row>
    <row r="2599" spans="2:10" ht="12.75" x14ac:dyDescent="0.2">
      <c r="B2599" s="331"/>
      <c r="C2599" s="327"/>
      <c r="D2599" s="331"/>
      <c r="F2599" s="329"/>
      <c r="I2599" s="330"/>
      <c r="J2599" s="330"/>
    </row>
    <row r="2600" spans="2:10" ht="12.75" x14ac:dyDescent="0.2">
      <c r="B2600" s="331"/>
      <c r="C2600" s="327"/>
      <c r="D2600" s="331"/>
      <c r="F2600" s="329"/>
      <c r="I2600" s="330"/>
      <c r="J2600" s="330"/>
    </row>
    <row r="2601" spans="2:10" ht="12.75" x14ac:dyDescent="0.2">
      <c r="B2601" s="331"/>
      <c r="C2601" s="327"/>
      <c r="D2601" s="331"/>
      <c r="F2601" s="329"/>
      <c r="I2601" s="330"/>
      <c r="J2601" s="330"/>
    </row>
    <row r="2602" spans="2:10" ht="12.75" x14ac:dyDescent="0.2">
      <c r="B2602" s="331"/>
      <c r="C2602" s="327"/>
      <c r="D2602" s="331"/>
      <c r="F2602" s="329"/>
      <c r="I2602" s="330"/>
      <c r="J2602" s="330"/>
    </row>
    <row r="2603" spans="2:10" ht="12.75" x14ac:dyDescent="0.2">
      <c r="B2603" s="331"/>
      <c r="C2603" s="327"/>
      <c r="D2603" s="331"/>
      <c r="F2603" s="329"/>
      <c r="I2603" s="330"/>
      <c r="J2603" s="330"/>
    </row>
    <row r="2604" spans="2:10" ht="12.75" x14ac:dyDescent="0.2">
      <c r="B2604" s="331"/>
      <c r="C2604" s="327"/>
      <c r="D2604" s="331"/>
      <c r="F2604" s="329"/>
      <c r="I2604" s="330"/>
      <c r="J2604" s="330"/>
    </row>
    <row r="2605" spans="2:10" ht="12.75" x14ac:dyDescent="0.2">
      <c r="B2605" s="331"/>
      <c r="C2605" s="327"/>
      <c r="D2605" s="331"/>
      <c r="F2605" s="329"/>
      <c r="I2605" s="330"/>
      <c r="J2605" s="330"/>
    </row>
    <row r="2606" spans="2:10" ht="12.75" x14ac:dyDescent="0.2">
      <c r="B2606" s="331"/>
      <c r="C2606" s="327"/>
      <c r="D2606" s="331"/>
      <c r="F2606" s="329"/>
      <c r="I2606" s="330"/>
      <c r="J2606" s="330"/>
    </row>
    <row r="2607" spans="2:10" ht="12.75" x14ac:dyDescent="0.2">
      <c r="B2607" s="331"/>
      <c r="C2607" s="327"/>
      <c r="D2607" s="331"/>
      <c r="F2607" s="329"/>
      <c r="I2607" s="330"/>
      <c r="J2607" s="330"/>
    </row>
    <row r="2608" spans="2:10" ht="12.75" x14ac:dyDescent="0.2">
      <c r="B2608" s="331"/>
      <c r="C2608" s="327"/>
      <c r="D2608" s="331"/>
      <c r="F2608" s="329"/>
      <c r="I2608" s="330"/>
      <c r="J2608" s="330"/>
    </row>
    <row r="2609" spans="2:10" ht="12.75" x14ac:dyDescent="0.2">
      <c r="B2609" s="331"/>
      <c r="C2609" s="327"/>
      <c r="D2609" s="331"/>
      <c r="F2609" s="329"/>
      <c r="I2609" s="330"/>
      <c r="J2609" s="330"/>
    </row>
    <row r="2610" spans="2:10" ht="12.75" x14ac:dyDescent="0.2">
      <c r="B2610" s="331"/>
      <c r="C2610" s="327"/>
      <c r="D2610" s="331"/>
      <c r="F2610" s="329"/>
      <c r="I2610" s="330"/>
      <c r="J2610" s="330"/>
    </row>
    <row r="2611" spans="2:10" ht="12.75" x14ac:dyDescent="0.2">
      <c r="B2611" s="331"/>
      <c r="C2611" s="327"/>
      <c r="D2611" s="331"/>
      <c r="F2611" s="329"/>
      <c r="I2611" s="330"/>
      <c r="J2611" s="330"/>
    </row>
    <row r="2612" spans="2:10" ht="12.75" x14ac:dyDescent="0.2">
      <c r="B2612" s="331"/>
      <c r="C2612" s="327"/>
      <c r="D2612" s="331"/>
      <c r="F2612" s="329"/>
      <c r="I2612" s="330"/>
      <c r="J2612" s="330"/>
    </row>
    <row r="2613" spans="2:10" ht="12.75" x14ac:dyDescent="0.2">
      <c r="B2613" s="331"/>
      <c r="C2613" s="327"/>
      <c r="D2613" s="331"/>
      <c r="F2613" s="329"/>
      <c r="I2613" s="330"/>
      <c r="J2613" s="330"/>
    </row>
    <row r="2614" spans="2:10" ht="12.75" x14ac:dyDescent="0.2">
      <c r="B2614" s="331"/>
      <c r="C2614" s="327"/>
      <c r="D2614" s="331"/>
      <c r="F2614" s="329"/>
      <c r="I2614" s="330"/>
      <c r="J2614" s="330"/>
    </row>
    <row r="2615" spans="2:10" ht="12.75" x14ac:dyDescent="0.2">
      <c r="B2615" s="331"/>
      <c r="C2615" s="327"/>
      <c r="D2615" s="331"/>
      <c r="F2615" s="329"/>
      <c r="I2615" s="330"/>
      <c r="J2615" s="330"/>
    </row>
    <row r="2616" spans="2:10" ht="12.75" x14ac:dyDescent="0.2">
      <c r="B2616" s="331"/>
      <c r="C2616" s="327"/>
      <c r="D2616" s="331"/>
      <c r="F2616" s="329"/>
      <c r="I2616" s="330"/>
      <c r="J2616" s="330"/>
    </row>
    <row r="2617" spans="2:10" ht="12.75" x14ac:dyDescent="0.2">
      <c r="B2617" s="331"/>
      <c r="C2617" s="327"/>
      <c r="D2617" s="331"/>
      <c r="F2617" s="329"/>
      <c r="I2617" s="330"/>
      <c r="J2617" s="330"/>
    </row>
    <row r="2618" spans="2:10" ht="12.75" x14ac:dyDescent="0.2">
      <c r="B2618" s="331"/>
      <c r="C2618" s="327"/>
      <c r="D2618" s="331"/>
      <c r="F2618" s="329"/>
      <c r="I2618" s="330"/>
      <c r="J2618" s="330"/>
    </row>
    <row r="2619" spans="2:10" ht="12.75" x14ac:dyDescent="0.2">
      <c r="B2619" s="331"/>
      <c r="C2619" s="327"/>
      <c r="D2619" s="331"/>
      <c r="F2619" s="329"/>
      <c r="I2619" s="330"/>
      <c r="J2619" s="330"/>
    </row>
    <row r="2620" spans="2:10" ht="12.75" x14ac:dyDescent="0.2">
      <c r="B2620" s="331"/>
      <c r="C2620" s="327"/>
      <c r="D2620" s="331"/>
      <c r="F2620" s="329"/>
      <c r="I2620" s="330"/>
      <c r="J2620" s="330"/>
    </row>
    <row r="2621" spans="2:10" ht="12.75" x14ac:dyDescent="0.2">
      <c r="B2621" s="331"/>
      <c r="C2621" s="327"/>
      <c r="D2621" s="331"/>
      <c r="F2621" s="329"/>
      <c r="I2621" s="330"/>
      <c r="J2621" s="330"/>
    </row>
    <row r="2622" spans="2:10" ht="12.75" x14ac:dyDescent="0.2">
      <c r="B2622" s="331"/>
      <c r="C2622" s="327"/>
      <c r="D2622" s="331"/>
      <c r="F2622" s="329"/>
      <c r="I2622" s="330"/>
      <c r="J2622" s="330"/>
    </row>
    <row r="2623" spans="2:10" ht="12.75" x14ac:dyDescent="0.2">
      <c r="B2623" s="331"/>
      <c r="C2623" s="327"/>
      <c r="D2623" s="331"/>
      <c r="F2623" s="329"/>
      <c r="I2623" s="330"/>
      <c r="J2623" s="330"/>
    </row>
    <row r="2624" spans="2:10" ht="12.75" x14ac:dyDescent="0.2">
      <c r="B2624" s="331"/>
      <c r="C2624" s="327"/>
      <c r="D2624" s="331"/>
      <c r="F2624" s="329"/>
      <c r="I2624" s="330"/>
      <c r="J2624" s="330"/>
    </row>
    <row r="2625" spans="2:10" ht="12.75" x14ac:dyDescent="0.2">
      <c r="B2625" s="331"/>
      <c r="C2625" s="327"/>
      <c r="D2625" s="331"/>
      <c r="F2625" s="329"/>
      <c r="I2625" s="330"/>
      <c r="J2625" s="330"/>
    </row>
    <row r="2626" spans="2:10" ht="12.75" x14ac:dyDescent="0.2">
      <c r="B2626" s="331"/>
      <c r="C2626" s="327"/>
      <c r="D2626" s="331"/>
      <c r="F2626" s="329"/>
      <c r="I2626" s="330"/>
      <c r="J2626" s="330"/>
    </row>
    <row r="2627" spans="2:10" ht="12.75" x14ac:dyDescent="0.2">
      <c r="B2627" s="331"/>
      <c r="C2627" s="327"/>
      <c r="D2627" s="331"/>
      <c r="F2627" s="329"/>
      <c r="I2627" s="330"/>
      <c r="J2627" s="330"/>
    </row>
    <row r="2628" spans="2:10" ht="12.75" x14ac:dyDescent="0.2">
      <c r="B2628" s="331"/>
      <c r="C2628" s="327"/>
      <c r="D2628" s="331"/>
      <c r="F2628" s="329"/>
      <c r="I2628" s="330"/>
      <c r="J2628" s="330"/>
    </row>
    <row r="2629" spans="2:10" ht="12.75" x14ac:dyDescent="0.2">
      <c r="B2629" s="331"/>
      <c r="C2629" s="327"/>
      <c r="D2629" s="331"/>
      <c r="F2629" s="329"/>
      <c r="I2629" s="330"/>
      <c r="J2629" s="330"/>
    </row>
    <row r="2630" spans="2:10" ht="12.75" x14ac:dyDescent="0.2">
      <c r="B2630" s="331"/>
      <c r="C2630" s="327"/>
      <c r="D2630" s="331"/>
      <c r="F2630" s="329"/>
      <c r="I2630" s="330"/>
      <c r="J2630" s="330"/>
    </row>
    <row r="2631" spans="2:10" ht="12.75" x14ac:dyDescent="0.2">
      <c r="B2631" s="331"/>
      <c r="C2631" s="327"/>
      <c r="D2631" s="331"/>
      <c r="F2631" s="329"/>
      <c r="I2631" s="330"/>
      <c r="J2631" s="330"/>
    </row>
    <row r="2632" spans="2:10" ht="12.75" x14ac:dyDescent="0.2">
      <c r="B2632" s="331"/>
      <c r="C2632" s="327"/>
      <c r="D2632" s="331"/>
      <c r="F2632" s="329"/>
      <c r="I2632" s="330"/>
      <c r="J2632" s="330"/>
    </row>
    <row r="2633" spans="2:10" ht="12.75" x14ac:dyDescent="0.2">
      <c r="B2633" s="331"/>
      <c r="C2633" s="327"/>
      <c r="D2633" s="331"/>
      <c r="F2633" s="329"/>
      <c r="I2633" s="330"/>
      <c r="J2633" s="330"/>
    </row>
    <row r="2634" spans="2:10" ht="12.75" x14ac:dyDescent="0.2">
      <c r="B2634" s="331"/>
      <c r="C2634" s="327"/>
      <c r="D2634" s="331"/>
      <c r="F2634" s="329"/>
      <c r="I2634" s="330"/>
      <c r="J2634" s="330"/>
    </row>
    <row r="2635" spans="2:10" ht="12.75" x14ac:dyDescent="0.2">
      <c r="B2635" s="331"/>
      <c r="C2635" s="327"/>
      <c r="D2635" s="331"/>
      <c r="F2635" s="329"/>
      <c r="I2635" s="330"/>
      <c r="J2635" s="330"/>
    </row>
    <row r="2636" spans="2:10" ht="12.75" x14ac:dyDescent="0.2">
      <c r="B2636" s="331"/>
      <c r="C2636" s="327"/>
      <c r="D2636" s="331"/>
      <c r="F2636" s="329"/>
      <c r="I2636" s="330"/>
      <c r="J2636" s="330"/>
    </row>
    <row r="2637" spans="2:10" ht="12.75" x14ac:dyDescent="0.2">
      <c r="B2637" s="331"/>
      <c r="C2637" s="327"/>
      <c r="D2637" s="331"/>
      <c r="F2637" s="329"/>
      <c r="I2637" s="330"/>
      <c r="J2637" s="330"/>
    </row>
    <row r="2638" spans="2:10" ht="12.75" x14ac:dyDescent="0.2">
      <c r="B2638" s="331"/>
      <c r="C2638" s="327"/>
      <c r="D2638" s="331"/>
      <c r="F2638" s="329"/>
      <c r="I2638" s="330"/>
      <c r="J2638" s="330"/>
    </row>
    <row r="2639" spans="2:10" ht="12.75" x14ac:dyDescent="0.2">
      <c r="B2639" s="331"/>
      <c r="C2639" s="327"/>
      <c r="D2639" s="331"/>
      <c r="F2639" s="329"/>
      <c r="I2639" s="330"/>
      <c r="J2639" s="330"/>
    </row>
    <row r="2640" spans="2:10" ht="12.75" x14ac:dyDescent="0.2">
      <c r="B2640" s="331"/>
      <c r="C2640" s="327"/>
      <c r="D2640" s="331"/>
      <c r="F2640" s="329"/>
      <c r="I2640" s="330"/>
      <c r="J2640" s="330"/>
    </row>
    <row r="2641" spans="2:10" ht="12.75" x14ac:dyDescent="0.2">
      <c r="B2641" s="331"/>
      <c r="C2641" s="327"/>
      <c r="D2641" s="331"/>
      <c r="F2641" s="329"/>
      <c r="I2641" s="330"/>
      <c r="J2641" s="330"/>
    </row>
    <row r="2642" spans="2:10" ht="12.75" x14ac:dyDescent="0.2">
      <c r="B2642" s="331"/>
      <c r="C2642" s="327"/>
      <c r="D2642" s="331"/>
      <c r="F2642" s="329"/>
      <c r="I2642" s="330"/>
      <c r="J2642" s="330"/>
    </row>
    <row r="2643" spans="2:10" ht="12.75" x14ac:dyDescent="0.2">
      <c r="B2643" s="331"/>
      <c r="C2643" s="327"/>
      <c r="D2643" s="331"/>
      <c r="F2643" s="329"/>
      <c r="I2643" s="330"/>
      <c r="J2643" s="330"/>
    </row>
    <row r="2644" spans="2:10" ht="12.75" x14ac:dyDescent="0.2">
      <c r="B2644" s="331"/>
      <c r="C2644" s="327"/>
      <c r="D2644" s="331"/>
      <c r="F2644" s="329"/>
      <c r="I2644" s="330"/>
      <c r="J2644" s="330"/>
    </row>
    <row r="2645" spans="2:10" ht="12.75" x14ac:dyDescent="0.2">
      <c r="B2645" s="331"/>
      <c r="C2645" s="327"/>
      <c r="D2645" s="331"/>
      <c r="F2645" s="329"/>
      <c r="I2645" s="330"/>
      <c r="J2645" s="330"/>
    </row>
    <row r="2646" spans="2:10" ht="12.75" x14ac:dyDescent="0.2">
      <c r="B2646" s="331"/>
      <c r="C2646" s="327"/>
      <c r="D2646" s="331"/>
      <c r="F2646" s="329"/>
      <c r="I2646" s="330"/>
      <c r="J2646" s="330"/>
    </row>
    <row r="2647" spans="2:10" ht="12.75" x14ac:dyDescent="0.2">
      <c r="B2647" s="331"/>
      <c r="C2647" s="327"/>
      <c r="D2647" s="331"/>
      <c r="F2647" s="329"/>
      <c r="I2647" s="330"/>
      <c r="J2647" s="330"/>
    </row>
    <row r="2648" spans="2:10" ht="12.75" x14ac:dyDescent="0.2">
      <c r="B2648" s="331"/>
      <c r="C2648" s="327"/>
      <c r="D2648" s="331"/>
      <c r="F2648" s="329"/>
      <c r="I2648" s="330"/>
      <c r="J2648" s="330"/>
    </row>
    <row r="2649" spans="2:10" ht="12.75" x14ac:dyDescent="0.2">
      <c r="B2649" s="331"/>
      <c r="C2649" s="327"/>
      <c r="D2649" s="331"/>
      <c r="F2649" s="329"/>
      <c r="I2649" s="330"/>
      <c r="J2649" s="330"/>
    </row>
    <row r="2650" spans="2:10" ht="12.75" x14ac:dyDescent="0.2">
      <c r="B2650" s="331"/>
      <c r="C2650" s="327"/>
      <c r="D2650" s="331"/>
      <c r="F2650" s="329"/>
      <c r="I2650" s="330"/>
      <c r="J2650" s="330"/>
    </row>
    <row r="2651" spans="2:10" ht="12.75" x14ac:dyDescent="0.2">
      <c r="B2651" s="331"/>
      <c r="C2651" s="327"/>
      <c r="D2651" s="331"/>
      <c r="F2651" s="329"/>
      <c r="I2651" s="330"/>
      <c r="J2651" s="330"/>
    </row>
    <row r="2652" spans="2:10" ht="12.75" x14ac:dyDescent="0.2">
      <c r="B2652" s="331"/>
      <c r="C2652" s="327"/>
      <c r="D2652" s="331"/>
      <c r="F2652" s="329"/>
      <c r="I2652" s="330"/>
      <c r="J2652" s="330"/>
    </row>
    <row r="2653" spans="2:10" ht="12.75" x14ac:dyDescent="0.2">
      <c r="B2653" s="331"/>
      <c r="C2653" s="327"/>
      <c r="D2653" s="331"/>
      <c r="F2653" s="329"/>
      <c r="I2653" s="330"/>
      <c r="J2653" s="330"/>
    </row>
    <row r="2654" spans="2:10" ht="12.75" x14ac:dyDescent="0.2">
      <c r="B2654" s="331"/>
      <c r="C2654" s="327"/>
      <c r="D2654" s="331"/>
      <c r="F2654" s="329"/>
      <c r="I2654" s="330"/>
      <c r="J2654" s="330"/>
    </row>
    <row r="2655" spans="2:10" ht="12.75" x14ac:dyDescent="0.2">
      <c r="B2655" s="331"/>
      <c r="C2655" s="327"/>
      <c r="D2655" s="331"/>
      <c r="F2655" s="329"/>
      <c r="I2655" s="330"/>
      <c r="J2655" s="330"/>
    </row>
    <row r="2656" spans="2:10" ht="12.75" x14ac:dyDescent="0.2">
      <c r="B2656" s="331"/>
      <c r="C2656" s="327"/>
      <c r="D2656" s="331"/>
      <c r="F2656" s="329"/>
      <c r="I2656" s="330"/>
      <c r="J2656" s="330"/>
    </row>
    <row r="2657" spans="2:10" ht="12.75" x14ac:dyDescent="0.2">
      <c r="B2657" s="331"/>
      <c r="C2657" s="327"/>
      <c r="D2657" s="331"/>
      <c r="F2657" s="329"/>
      <c r="I2657" s="330"/>
      <c r="J2657" s="330"/>
    </row>
    <row r="2658" spans="2:10" ht="12.75" x14ac:dyDescent="0.2">
      <c r="B2658" s="331"/>
      <c r="C2658" s="327"/>
      <c r="D2658" s="331"/>
      <c r="F2658" s="329"/>
      <c r="I2658" s="330"/>
      <c r="J2658" s="330"/>
    </row>
    <row r="2659" spans="2:10" ht="12.75" x14ac:dyDescent="0.2">
      <c r="B2659" s="331"/>
      <c r="C2659" s="327"/>
      <c r="D2659" s="331"/>
      <c r="F2659" s="329"/>
      <c r="I2659" s="330"/>
      <c r="J2659" s="330"/>
    </row>
    <row r="2660" spans="2:10" ht="12.75" x14ac:dyDescent="0.2">
      <c r="B2660" s="331"/>
      <c r="C2660" s="327"/>
      <c r="D2660" s="331"/>
      <c r="F2660" s="329"/>
      <c r="I2660" s="330"/>
      <c r="J2660" s="330"/>
    </row>
    <row r="2661" spans="2:10" ht="12.75" x14ac:dyDescent="0.2">
      <c r="B2661" s="331"/>
      <c r="C2661" s="327"/>
      <c r="D2661" s="331"/>
      <c r="F2661" s="329"/>
      <c r="I2661" s="330"/>
      <c r="J2661" s="330"/>
    </row>
    <row r="2662" spans="2:10" ht="12.75" x14ac:dyDescent="0.2">
      <c r="B2662" s="331"/>
      <c r="C2662" s="327"/>
      <c r="D2662" s="331"/>
      <c r="F2662" s="329"/>
      <c r="I2662" s="330"/>
      <c r="J2662" s="330"/>
    </row>
    <row r="2663" spans="2:10" ht="12.75" x14ac:dyDescent="0.2">
      <c r="B2663" s="331"/>
      <c r="C2663" s="327"/>
      <c r="D2663" s="331"/>
      <c r="F2663" s="329"/>
      <c r="I2663" s="330"/>
      <c r="J2663" s="330"/>
    </row>
    <row r="2664" spans="2:10" ht="12.75" x14ac:dyDescent="0.2">
      <c r="B2664" s="331"/>
      <c r="C2664" s="327"/>
      <c r="D2664" s="331"/>
      <c r="F2664" s="329"/>
      <c r="I2664" s="330"/>
      <c r="J2664" s="330"/>
    </row>
    <row r="2665" spans="2:10" ht="12.75" x14ac:dyDescent="0.2">
      <c r="B2665" s="331"/>
      <c r="C2665" s="327"/>
      <c r="D2665" s="331"/>
      <c r="F2665" s="329"/>
      <c r="I2665" s="330"/>
      <c r="J2665" s="330"/>
    </row>
    <row r="2666" spans="2:10" ht="12.75" x14ac:dyDescent="0.2">
      <c r="B2666" s="331"/>
      <c r="C2666" s="327"/>
      <c r="D2666" s="331"/>
      <c r="F2666" s="329"/>
      <c r="I2666" s="330"/>
      <c r="J2666" s="330"/>
    </row>
    <row r="2667" spans="2:10" ht="12.75" x14ac:dyDescent="0.2">
      <c r="B2667" s="331"/>
      <c r="C2667" s="327"/>
      <c r="D2667" s="331"/>
      <c r="F2667" s="329"/>
      <c r="I2667" s="330"/>
      <c r="J2667" s="330"/>
    </row>
    <row r="2668" spans="2:10" ht="12.75" x14ac:dyDescent="0.2">
      <c r="B2668" s="331"/>
      <c r="C2668" s="327"/>
      <c r="D2668" s="331"/>
      <c r="F2668" s="329"/>
      <c r="I2668" s="330"/>
      <c r="J2668" s="330"/>
    </row>
    <row r="2669" spans="2:10" ht="12.75" x14ac:dyDescent="0.2">
      <c r="B2669" s="331"/>
      <c r="C2669" s="327"/>
      <c r="D2669" s="331"/>
      <c r="F2669" s="329"/>
      <c r="I2669" s="330"/>
      <c r="J2669" s="330"/>
    </row>
    <row r="2670" spans="2:10" ht="12.75" x14ac:dyDescent="0.2">
      <c r="B2670" s="331"/>
      <c r="C2670" s="327"/>
      <c r="D2670" s="331"/>
      <c r="F2670" s="329"/>
      <c r="I2670" s="330"/>
      <c r="J2670" s="330"/>
    </row>
    <row r="2671" spans="2:10" ht="12.75" x14ac:dyDescent="0.2">
      <c r="B2671" s="331"/>
      <c r="C2671" s="327"/>
      <c r="D2671" s="331"/>
      <c r="F2671" s="329"/>
      <c r="I2671" s="330"/>
      <c r="J2671" s="330"/>
    </row>
    <row r="2672" spans="2:10" ht="12.75" x14ac:dyDescent="0.2">
      <c r="B2672" s="331"/>
      <c r="C2672" s="327"/>
      <c r="D2672" s="331"/>
      <c r="F2672" s="329"/>
      <c r="I2672" s="330"/>
      <c r="J2672" s="330"/>
    </row>
    <row r="2673" spans="2:10" ht="12.75" x14ac:dyDescent="0.2">
      <c r="B2673" s="331"/>
      <c r="C2673" s="327"/>
      <c r="D2673" s="331"/>
      <c r="F2673" s="329"/>
      <c r="I2673" s="330"/>
      <c r="J2673" s="330"/>
    </row>
    <row r="2674" spans="2:10" ht="12.75" x14ac:dyDescent="0.2">
      <c r="B2674" s="331"/>
      <c r="C2674" s="327"/>
      <c r="D2674" s="331"/>
      <c r="F2674" s="329"/>
      <c r="I2674" s="330"/>
      <c r="J2674" s="330"/>
    </row>
    <row r="2675" spans="2:10" ht="12.75" x14ac:dyDescent="0.2">
      <c r="B2675" s="331"/>
      <c r="C2675" s="327"/>
      <c r="D2675" s="331"/>
      <c r="F2675" s="329"/>
      <c r="I2675" s="330"/>
      <c r="J2675" s="330"/>
    </row>
    <row r="2676" spans="2:10" ht="12.75" x14ac:dyDescent="0.2">
      <c r="B2676" s="331"/>
      <c r="C2676" s="327"/>
      <c r="D2676" s="331"/>
      <c r="F2676" s="329"/>
      <c r="I2676" s="330"/>
      <c r="J2676" s="330"/>
    </row>
    <row r="2677" spans="2:10" ht="12.75" x14ac:dyDescent="0.2">
      <c r="B2677" s="331"/>
      <c r="C2677" s="327"/>
      <c r="D2677" s="331"/>
      <c r="F2677" s="329"/>
      <c r="I2677" s="330"/>
      <c r="J2677" s="330"/>
    </row>
    <row r="2678" spans="2:10" ht="12.75" x14ac:dyDescent="0.2">
      <c r="B2678" s="331"/>
      <c r="C2678" s="327"/>
      <c r="D2678" s="331"/>
      <c r="F2678" s="329"/>
      <c r="I2678" s="330"/>
      <c r="J2678" s="330"/>
    </row>
    <row r="2679" spans="2:10" ht="12.75" x14ac:dyDescent="0.2">
      <c r="B2679" s="331"/>
      <c r="C2679" s="327"/>
      <c r="D2679" s="331"/>
      <c r="F2679" s="329"/>
      <c r="I2679" s="330"/>
      <c r="J2679" s="330"/>
    </row>
    <row r="2680" spans="2:10" ht="12.75" x14ac:dyDescent="0.2">
      <c r="B2680" s="331"/>
      <c r="C2680" s="327"/>
      <c r="D2680" s="331"/>
      <c r="F2680" s="329"/>
      <c r="I2680" s="330"/>
      <c r="J2680" s="330"/>
    </row>
    <row r="2681" spans="2:10" ht="12.75" x14ac:dyDescent="0.2">
      <c r="B2681" s="331"/>
      <c r="C2681" s="327"/>
      <c r="D2681" s="331"/>
      <c r="F2681" s="329"/>
      <c r="I2681" s="330"/>
      <c r="J2681" s="330"/>
    </row>
    <row r="2682" spans="2:10" ht="12.75" x14ac:dyDescent="0.2">
      <c r="B2682" s="331"/>
      <c r="C2682" s="327"/>
      <c r="D2682" s="331"/>
      <c r="F2682" s="329"/>
      <c r="I2682" s="330"/>
      <c r="J2682" s="330"/>
    </row>
    <row r="2683" spans="2:10" ht="12.75" x14ac:dyDescent="0.2">
      <c r="B2683" s="331"/>
      <c r="C2683" s="327"/>
      <c r="D2683" s="331"/>
      <c r="F2683" s="329"/>
      <c r="I2683" s="330"/>
      <c r="J2683" s="330"/>
    </row>
    <row r="2684" spans="2:10" ht="12.75" x14ac:dyDescent="0.2">
      <c r="B2684" s="331"/>
      <c r="C2684" s="327"/>
      <c r="D2684" s="331"/>
      <c r="F2684" s="329"/>
      <c r="I2684" s="330"/>
      <c r="J2684" s="330"/>
    </row>
    <row r="2685" spans="2:10" ht="12.75" x14ac:dyDescent="0.2">
      <c r="B2685" s="331"/>
      <c r="C2685" s="327"/>
      <c r="D2685" s="331"/>
      <c r="F2685" s="329"/>
      <c r="I2685" s="330"/>
      <c r="J2685" s="330"/>
    </row>
    <row r="2686" spans="2:10" ht="12.75" x14ac:dyDescent="0.2">
      <c r="B2686" s="331"/>
      <c r="C2686" s="327"/>
      <c r="D2686" s="331"/>
      <c r="F2686" s="329"/>
      <c r="I2686" s="330"/>
      <c r="J2686" s="330"/>
    </row>
    <row r="2687" spans="2:10" ht="12.75" x14ac:dyDescent="0.2">
      <c r="B2687" s="331"/>
      <c r="C2687" s="327"/>
      <c r="D2687" s="331"/>
      <c r="F2687" s="329"/>
      <c r="I2687" s="330"/>
      <c r="J2687" s="330"/>
    </row>
    <row r="2688" spans="2:10" ht="12.75" x14ac:dyDescent="0.2">
      <c r="B2688" s="331"/>
      <c r="C2688" s="327"/>
      <c r="D2688" s="331"/>
      <c r="F2688" s="329"/>
      <c r="I2688" s="330"/>
      <c r="J2688" s="330"/>
    </row>
    <row r="2689" spans="2:10" ht="12.75" x14ac:dyDescent="0.2">
      <c r="B2689" s="331"/>
      <c r="C2689" s="327"/>
      <c r="D2689" s="331"/>
      <c r="F2689" s="329"/>
      <c r="I2689" s="330"/>
      <c r="J2689" s="330"/>
    </row>
    <row r="2690" spans="2:10" ht="12.75" x14ac:dyDescent="0.2">
      <c r="B2690" s="331"/>
      <c r="C2690" s="327"/>
      <c r="D2690" s="331"/>
      <c r="F2690" s="329"/>
      <c r="I2690" s="330"/>
      <c r="J2690" s="330"/>
    </row>
    <row r="2691" spans="2:10" ht="12.75" x14ac:dyDescent="0.2">
      <c r="B2691" s="331"/>
      <c r="C2691" s="327"/>
      <c r="D2691" s="331"/>
      <c r="F2691" s="329"/>
      <c r="I2691" s="330"/>
      <c r="J2691" s="330"/>
    </row>
    <row r="2692" spans="2:10" ht="12.75" x14ac:dyDescent="0.2">
      <c r="B2692" s="331"/>
      <c r="C2692" s="327"/>
      <c r="D2692" s="331"/>
      <c r="F2692" s="329"/>
      <c r="I2692" s="330"/>
      <c r="J2692" s="330"/>
    </row>
    <row r="2693" spans="2:10" ht="12.75" x14ac:dyDescent="0.2">
      <c r="B2693" s="331"/>
      <c r="C2693" s="327"/>
      <c r="D2693" s="331"/>
      <c r="F2693" s="329"/>
      <c r="I2693" s="330"/>
      <c r="J2693" s="330"/>
    </row>
    <row r="2694" spans="2:10" ht="12.75" x14ac:dyDescent="0.2">
      <c r="B2694" s="331"/>
      <c r="C2694" s="327"/>
      <c r="D2694" s="331"/>
      <c r="F2694" s="329"/>
      <c r="I2694" s="330"/>
      <c r="J2694" s="330"/>
    </row>
    <row r="2695" spans="2:10" ht="12.75" x14ac:dyDescent="0.2">
      <c r="B2695" s="331"/>
      <c r="C2695" s="327"/>
      <c r="D2695" s="331"/>
      <c r="F2695" s="329"/>
      <c r="I2695" s="330"/>
      <c r="J2695" s="330"/>
    </row>
    <row r="2696" spans="2:10" ht="12.75" x14ac:dyDescent="0.2">
      <c r="B2696" s="331"/>
      <c r="C2696" s="327"/>
      <c r="D2696" s="331"/>
      <c r="F2696" s="329"/>
      <c r="I2696" s="330"/>
      <c r="J2696" s="330"/>
    </row>
    <row r="2697" spans="2:10" ht="12.75" x14ac:dyDescent="0.2">
      <c r="B2697" s="331"/>
      <c r="C2697" s="327"/>
      <c r="D2697" s="331"/>
      <c r="F2697" s="329"/>
      <c r="I2697" s="330"/>
      <c r="J2697" s="330"/>
    </row>
    <row r="2698" spans="2:10" ht="12.75" x14ac:dyDescent="0.2">
      <c r="B2698" s="331"/>
      <c r="C2698" s="327"/>
      <c r="D2698" s="331"/>
      <c r="F2698" s="329"/>
      <c r="I2698" s="330"/>
      <c r="J2698" s="330"/>
    </row>
    <row r="2699" spans="2:10" ht="12.75" x14ac:dyDescent="0.2">
      <c r="B2699" s="331"/>
      <c r="C2699" s="327"/>
      <c r="D2699" s="331"/>
      <c r="F2699" s="329"/>
      <c r="I2699" s="330"/>
      <c r="J2699" s="330"/>
    </row>
    <row r="2700" spans="2:10" ht="12.75" x14ac:dyDescent="0.2">
      <c r="B2700" s="331"/>
      <c r="C2700" s="327"/>
      <c r="D2700" s="331"/>
      <c r="F2700" s="329"/>
      <c r="I2700" s="330"/>
      <c r="J2700" s="330"/>
    </row>
    <row r="2701" spans="2:10" ht="12.75" x14ac:dyDescent="0.2">
      <c r="B2701" s="331"/>
      <c r="C2701" s="327"/>
      <c r="D2701" s="331"/>
      <c r="F2701" s="329"/>
      <c r="I2701" s="330"/>
      <c r="J2701" s="330"/>
    </row>
    <row r="2702" spans="2:10" ht="12.75" x14ac:dyDescent="0.2">
      <c r="B2702" s="331"/>
      <c r="C2702" s="327"/>
      <c r="D2702" s="331"/>
      <c r="F2702" s="329"/>
      <c r="I2702" s="330"/>
      <c r="J2702" s="330"/>
    </row>
    <row r="2703" spans="2:10" ht="12.75" x14ac:dyDescent="0.2">
      <c r="B2703" s="331"/>
      <c r="C2703" s="327"/>
      <c r="D2703" s="331"/>
      <c r="F2703" s="329"/>
      <c r="I2703" s="330"/>
      <c r="J2703" s="330"/>
    </row>
    <row r="2704" spans="2:10" ht="12.75" x14ac:dyDescent="0.2">
      <c r="B2704" s="331"/>
      <c r="C2704" s="327"/>
      <c r="D2704" s="331"/>
      <c r="F2704" s="329"/>
      <c r="I2704" s="330"/>
      <c r="J2704" s="330"/>
    </row>
    <row r="2705" spans="2:10" ht="12.75" x14ac:dyDescent="0.2">
      <c r="B2705" s="331"/>
      <c r="C2705" s="327"/>
      <c r="D2705" s="331"/>
      <c r="F2705" s="329"/>
      <c r="I2705" s="330"/>
      <c r="J2705" s="330"/>
    </row>
    <row r="2706" spans="2:10" ht="12.75" x14ac:dyDescent="0.2">
      <c r="B2706" s="331"/>
      <c r="C2706" s="327"/>
      <c r="D2706" s="331"/>
      <c r="F2706" s="329"/>
      <c r="I2706" s="330"/>
      <c r="J2706" s="330"/>
    </row>
    <row r="2707" spans="2:10" ht="12.75" x14ac:dyDescent="0.2">
      <c r="B2707" s="331"/>
      <c r="C2707" s="327"/>
      <c r="D2707" s="331"/>
      <c r="F2707" s="329"/>
      <c r="I2707" s="330"/>
      <c r="J2707" s="330"/>
    </row>
    <row r="2708" spans="2:10" ht="12.75" x14ac:dyDescent="0.2">
      <c r="B2708" s="331"/>
      <c r="C2708" s="327"/>
      <c r="D2708" s="331"/>
      <c r="F2708" s="329"/>
      <c r="I2708" s="330"/>
      <c r="J2708" s="330"/>
    </row>
    <row r="2709" spans="2:10" ht="12.75" x14ac:dyDescent="0.2">
      <c r="B2709" s="331"/>
      <c r="C2709" s="327"/>
      <c r="D2709" s="331"/>
      <c r="F2709" s="329"/>
      <c r="I2709" s="330"/>
      <c r="J2709" s="330"/>
    </row>
    <row r="2710" spans="2:10" ht="12.75" x14ac:dyDescent="0.2">
      <c r="B2710" s="331"/>
      <c r="C2710" s="327"/>
      <c r="D2710" s="331"/>
      <c r="F2710" s="329"/>
      <c r="I2710" s="330"/>
      <c r="J2710" s="330"/>
    </row>
    <row r="2711" spans="2:10" ht="12.75" x14ac:dyDescent="0.2">
      <c r="B2711" s="331"/>
      <c r="C2711" s="327"/>
      <c r="D2711" s="331"/>
      <c r="F2711" s="329"/>
      <c r="I2711" s="330"/>
      <c r="J2711" s="330"/>
    </row>
    <row r="2712" spans="2:10" ht="12.75" x14ac:dyDescent="0.2">
      <c r="B2712" s="331"/>
      <c r="C2712" s="327"/>
      <c r="D2712" s="331"/>
      <c r="F2712" s="329"/>
      <c r="I2712" s="330"/>
      <c r="J2712" s="330"/>
    </row>
    <row r="2713" spans="2:10" ht="12.75" x14ac:dyDescent="0.2">
      <c r="B2713" s="331"/>
      <c r="C2713" s="327"/>
      <c r="D2713" s="331"/>
      <c r="F2713" s="329"/>
      <c r="I2713" s="330"/>
      <c r="J2713" s="330"/>
    </row>
    <row r="2714" spans="2:10" ht="12.75" x14ac:dyDescent="0.2">
      <c r="B2714" s="331"/>
      <c r="C2714" s="327"/>
      <c r="D2714" s="331"/>
      <c r="F2714" s="329"/>
      <c r="I2714" s="330"/>
      <c r="J2714" s="330"/>
    </row>
    <row r="2715" spans="2:10" ht="12.75" x14ac:dyDescent="0.2">
      <c r="B2715" s="331"/>
      <c r="C2715" s="327"/>
      <c r="D2715" s="331"/>
      <c r="F2715" s="329"/>
      <c r="I2715" s="330"/>
      <c r="J2715" s="330"/>
    </row>
    <row r="2716" spans="2:10" ht="12.75" x14ac:dyDescent="0.2">
      <c r="B2716" s="331"/>
      <c r="C2716" s="327"/>
      <c r="D2716" s="331"/>
      <c r="F2716" s="329"/>
      <c r="I2716" s="330"/>
      <c r="J2716" s="330"/>
    </row>
    <row r="2717" spans="2:10" ht="12.75" x14ac:dyDescent="0.2">
      <c r="B2717" s="331"/>
      <c r="C2717" s="327"/>
      <c r="D2717" s="331"/>
      <c r="F2717" s="329"/>
      <c r="I2717" s="330"/>
      <c r="J2717" s="330"/>
    </row>
    <row r="2718" spans="2:10" ht="12.75" x14ac:dyDescent="0.2">
      <c r="B2718" s="331"/>
      <c r="C2718" s="327"/>
      <c r="D2718" s="331"/>
      <c r="F2718" s="329"/>
      <c r="I2718" s="330"/>
      <c r="J2718" s="330"/>
    </row>
    <row r="2719" spans="2:10" ht="12.75" x14ac:dyDescent="0.2">
      <c r="B2719" s="331"/>
      <c r="C2719" s="327"/>
      <c r="D2719" s="331"/>
      <c r="F2719" s="329"/>
      <c r="I2719" s="330"/>
      <c r="J2719" s="330"/>
    </row>
    <row r="2720" spans="2:10" ht="12.75" x14ac:dyDescent="0.2">
      <c r="B2720" s="331"/>
      <c r="C2720" s="327"/>
      <c r="D2720" s="331"/>
      <c r="F2720" s="329"/>
      <c r="I2720" s="330"/>
      <c r="J2720" s="330"/>
    </row>
    <row r="2721" spans="2:10" ht="12.75" x14ac:dyDescent="0.2">
      <c r="B2721" s="331"/>
      <c r="C2721" s="327"/>
      <c r="D2721" s="331"/>
      <c r="F2721" s="329"/>
      <c r="I2721" s="330"/>
      <c r="J2721" s="330"/>
    </row>
    <row r="2722" spans="2:10" ht="12.75" x14ac:dyDescent="0.2">
      <c r="B2722" s="331"/>
      <c r="C2722" s="327"/>
      <c r="D2722" s="331"/>
      <c r="F2722" s="329"/>
      <c r="I2722" s="330"/>
      <c r="J2722" s="330"/>
    </row>
    <row r="2723" spans="2:10" ht="12.75" x14ac:dyDescent="0.2">
      <c r="B2723" s="331"/>
      <c r="C2723" s="327"/>
      <c r="D2723" s="331"/>
      <c r="F2723" s="329"/>
      <c r="I2723" s="330"/>
      <c r="J2723" s="330"/>
    </row>
    <row r="2724" spans="2:10" ht="12.75" x14ac:dyDescent="0.2">
      <c r="B2724" s="331"/>
      <c r="C2724" s="327"/>
      <c r="D2724" s="331"/>
      <c r="F2724" s="329"/>
      <c r="I2724" s="330"/>
      <c r="J2724" s="330"/>
    </row>
    <row r="2725" spans="2:10" ht="12.75" x14ac:dyDescent="0.2">
      <c r="B2725" s="331"/>
      <c r="C2725" s="327"/>
      <c r="D2725" s="331"/>
      <c r="F2725" s="329"/>
      <c r="I2725" s="330"/>
      <c r="J2725" s="330"/>
    </row>
    <row r="2726" spans="2:10" ht="12.75" x14ac:dyDescent="0.2">
      <c r="B2726" s="331"/>
      <c r="C2726" s="327"/>
      <c r="D2726" s="331"/>
      <c r="F2726" s="329"/>
      <c r="I2726" s="330"/>
      <c r="J2726" s="330"/>
    </row>
    <row r="2727" spans="2:10" ht="12.75" x14ac:dyDescent="0.2">
      <c r="B2727" s="331"/>
      <c r="C2727" s="327"/>
      <c r="D2727" s="331"/>
      <c r="F2727" s="329"/>
      <c r="I2727" s="330"/>
      <c r="J2727" s="330"/>
    </row>
    <row r="2728" spans="2:10" ht="12.75" x14ac:dyDescent="0.2">
      <c r="B2728" s="331"/>
      <c r="C2728" s="327"/>
      <c r="D2728" s="331"/>
      <c r="F2728" s="329"/>
      <c r="I2728" s="330"/>
      <c r="J2728" s="330"/>
    </row>
    <row r="2729" spans="2:10" ht="12.75" x14ac:dyDescent="0.2">
      <c r="B2729" s="331"/>
      <c r="C2729" s="327"/>
      <c r="D2729" s="331"/>
      <c r="F2729" s="329"/>
      <c r="I2729" s="330"/>
      <c r="J2729" s="330"/>
    </row>
    <row r="2730" spans="2:10" ht="12.75" x14ac:dyDescent="0.2">
      <c r="B2730" s="331"/>
      <c r="C2730" s="327"/>
      <c r="D2730" s="331"/>
      <c r="F2730" s="329"/>
      <c r="I2730" s="330"/>
      <c r="J2730" s="330"/>
    </row>
    <row r="2731" spans="2:10" ht="12.75" x14ac:dyDescent="0.2">
      <c r="B2731" s="331"/>
      <c r="C2731" s="327"/>
      <c r="D2731" s="331"/>
      <c r="F2731" s="329"/>
      <c r="I2731" s="330"/>
      <c r="J2731" s="330"/>
    </row>
    <row r="2732" spans="2:10" ht="12.75" x14ac:dyDescent="0.2">
      <c r="B2732" s="331"/>
      <c r="C2732" s="327"/>
      <c r="D2732" s="331"/>
      <c r="F2732" s="329"/>
      <c r="I2732" s="330"/>
      <c r="J2732" s="330"/>
    </row>
    <row r="2733" spans="2:10" ht="12.75" x14ac:dyDescent="0.2">
      <c r="B2733" s="331"/>
      <c r="C2733" s="327"/>
      <c r="D2733" s="331"/>
      <c r="F2733" s="329"/>
      <c r="I2733" s="330"/>
      <c r="J2733" s="330"/>
    </row>
    <row r="2734" spans="2:10" ht="12.75" x14ac:dyDescent="0.2">
      <c r="B2734" s="331"/>
      <c r="C2734" s="327"/>
      <c r="D2734" s="331"/>
      <c r="F2734" s="329"/>
      <c r="I2734" s="330"/>
      <c r="J2734" s="330"/>
    </row>
    <row r="2735" spans="2:10" ht="12.75" x14ac:dyDescent="0.2">
      <c r="B2735" s="331"/>
      <c r="C2735" s="327"/>
      <c r="D2735" s="331"/>
      <c r="F2735" s="329"/>
      <c r="I2735" s="330"/>
      <c r="J2735" s="330"/>
    </row>
    <row r="2736" spans="2:10" ht="12.75" x14ac:dyDescent="0.2">
      <c r="B2736" s="331"/>
      <c r="C2736" s="327"/>
      <c r="D2736" s="331"/>
      <c r="F2736" s="329"/>
      <c r="I2736" s="330"/>
      <c r="J2736" s="330"/>
    </row>
    <row r="2737" spans="2:10" ht="12.75" x14ac:dyDescent="0.2">
      <c r="B2737" s="331"/>
      <c r="C2737" s="327"/>
      <c r="D2737" s="331"/>
      <c r="F2737" s="329"/>
      <c r="I2737" s="330"/>
      <c r="J2737" s="330"/>
    </row>
    <row r="2738" spans="2:10" ht="12.75" x14ac:dyDescent="0.2">
      <c r="B2738" s="331"/>
      <c r="C2738" s="327"/>
      <c r="D2738" s="331"/>
      <c r="F2738" s="329"/>
      <c r="I2738" s="330"/>
      <c r="J2738" s="330"/>
    </row>
    <row r="2739" spans="2:10" ht="12.75" x14ac:dyDescent="0.2">
      <c r="B2739" s="331"/>
      <c r="C2739" s="327"/>
      <c r="D2739" s="331"/>
      <c r="F2739" s="329"/>
      <c r="I2739" s="330"/>
      <c r="J2739" s="330"/>
    </row>
    <row r="2740" spans="2:10" ht="12.75" x14ac:dyDescent="0.2">
      <c r="B2740" s="331"/>
      <c r="C2740" s="327"/>
      <c r="D2740" s="331"/>
      <c r="F2740" s="329"/>
      <c r="I2740" s="330"/>
      <c r="J2740" s="330"/>
    </row>
    <row r="2741" spans="2:10" ht="12.75" x14ac:dyDescent="0.2">
      <c r="B2741" s="331"/>
      <c r="C2741" s="327"/>
      <c r="D2741" s="331"/>
      <c r="F2741" s="329"/>
      <c r="I2741" s="330"/>
      <c r="J2741" s="330"/>
    </row>
    <row r="2742" spans="2:10" ht="12.75" x14ac:dyDescent="0.2">
      <c r="B2742" s="331"/>
      <c r="C2742" s="327"/>
      <c r="D2742" s="331"/>
      <c r="F2742" s="329"/>
      <c r="I2742" s="330"/>
      <c r="J2742" s="330"/>
    </row>
    <row r="2743" spans="2:10" ht="12.75" x14ac:dyDescent="0.2">
      <c r="B2743" s="331"/>
      <c r="C2743" s="327"/>
      <c r="D2743" s="331"/>
      <c r="F2743" s="329"/>
      <c r="I2743" s="330"/>
      <c r="J2743" s="330"/>
    </row>
    <row r="2744" spans="2:10" ht="12.75" x14ac:dyDescent="0.2">
      <c r="B2744" s="331"/>
      <c r="C2744" s="327"/>
      <c r="D2744" s="331"/>
      <c r="F2744" s="329"/>
      <c r="I2744" s="330"/>
      <c r="J2744" s="330"/>
    </row>
    <row r="2745" spans="2:10" ht="12.75" x14ac:dyDescent="0.2">
      <c r="B2745" s="331"/>
      <c r="C2745" s="327"/>
      <c r="D2745" s="331"/>
      <c r="F2745" s="329"/>
      <c r="I2745" s="330"/>
      <c r="J2745" s="330"/>
    </row>
    <row r="2746" spans="2:10" ht="12.75" x14ac:dyDescent="0.2">
      <c r="B2746" s="331"/>
      <c r="C2746" s="327"/>
      <c r="D2746" s="331"/>
      <c r="F2746" s="329"/>
      <c r="I2746" s="330"/>
      <c r="J2746" s="330"/>
    </row>
    <row r="2747" spans="2:10" ht="12.75" x14ac:dyDescent="0.2">
      <c r="B2747" s="331"/>
      <c r="C2747" s="327"/>
      <c r="D2747" s="331"/>
      <c r="F2747" s="329"/>
      <c r="I2747" s="330"/>
      <c r="J2747" s="330"/>
    </row>
    <row r="2748" spans="2:10" ht="12.75" x14ac:dyDescent="0.2">
      <c r="B2748" s="331"/>
      <c r="C2748" s="327"/>
      <c r="D2748" s="331"/>
      <c r="F2748" s="329"/>
      <c r="I2748" s="330"/>
      <c r="J2748" s="330"/>
    </row>
    <row r="2749" spans="2:10" ht="12.75" x14ac:dyDescent="0.2">
      <c r="B2749" s="331"/>
      <c r="C2749" s="327"/>
      <c r="D2749" s="331"/>
      <c r="F2749" s="329"/>
      <c r="I2749" s="330"/>
      <c r="J2749" s="330"/>
    </row>
    <row r="2750" spans="2:10" ht="12.75" x14ac:dyDescent="0.2">
      <c r="B2750" s="331"/>
      <c r="C2750" s="327"/>
      <c r="D2750" s="331"/>
      <c r="F2750" s="329"/>
      <c r="I2750" s="330"/>
      <c r="J2750" s="330"/>
    </row>
    <row r="2751" spans="2:10" ht="12.75" x14ac:dyDescent="0.2">
      <c r="B2751" s="331"/>
      <c r="C2751" s="327"/>
      <c r="D2751" s="331"/>
      <c r="F2751" s="329"/>
      <c r="I2751" s="330"/>
      <c r="J2751" s="330"/>
    </row>
    <row r="2752" spans="2:10" ht="12.75" x14ac:dyDescent="0.2">
      <c r="B2752" s="331"/>
      <c r="C2752" s="327"/>
      <c r="D2752" s="331"/>
      <c r="F2752" s="329"/>
      <c r="I2752" s="330"/>
      <c r="J2752" s="330"/>
    </row>
    <row r="2753" spans="2:10" ht="12.75" x14ac:dyDescent="0.2">
      <c r="B2753" s="331"/>
      <c r="C2753" s="327"/>
      <c r="D2753" s="331"/>
      <c r="F2753" s="329"/>
      <c r="I2753" s="330"/>
      <c r="J2753" s="330"/>
    </row>
    <row r="2754" spans="2:10" ht="12.75" x14ac:dyDescent="0.2">
      <c r="B2754" s="331"/>
      <c r="C2754" s="327"/>
      <c r="D2754" s="331"/>
      <c r="F2754" s="329"/>
      <c r="I2754" s="330"/>
      <c r="J2754" s="330"/>
    </row>
    <row r="2755" spans="2:10" ht="12.75" x14ac:dyDescent="0.2">
      <c r="B2755" s="331"/>
      <c r="C2755" s="327"/>
      <c r="D2755" s="331"/>
      <c r="F2755" s="329"/>
      <c r="I2755" s="330"/>
      <c r="J2755" s="330"/>
    </row>
    <row r="2756" spans="2:10" ht="12.75" x14ac:dyDescent="0.2">
      <c r="B2756" s="331"/>
      <c r="C2756" s="327"/>
      <c r="D2756" s="331"/>
      <c r="F2756" s="329"/>
      <c r="I2756" s="330"/>
      <c r="J2756" s="330"/>
    </row>
    <row r="2757" spans="2:10" ht="12.75" x14ac:dyDescent="0.2">
      <c r="B2757" s="331"/>
      <c r="C2757" s="327"/>
      <c r="D2757" s="331"/>
      <c r="F2757" s="329"/>
      <c r="I2757" s="330"/>
      <c r="J2757" s="330"/>
    </row>
    <row r="2758" spans="2:10" ht="12.75" x14ac:dyDescent="0.2">
      <c r="B2758" s="331"/>
      <c r="C2758" s="327"/>
      <c r="D2758" s="331"/>
      <c r="F2758" s="329"/>
      <c r="I2758" s="330"/>
      <c r="J2758" s="330"/>
    </row>
    <row r="2759" spans="2:10" ht="12.75" x14ac:dyDescent="0.2">
      <c r="B2759" s="331"/>
      <c r="C2759" s="327"/>
      <c r="D2759" s="331"/>
      <c r="F2759" s="329"/>
      <c r="I2759" s="330"/>
      <c r="J2759" s="330"/>
    </row>
    <row r="2760" spans="2:10" ht="12.75" x14ac:dyDescent="0.2">
      <c r="B2760" s="331"/>
      <c r="C2760" s="327"/>
      <c r="D2760" s="331"/>
      <c r="F2760" s="329"/>
      <c r="I2760" s="330"/>
      <c r="J2760" s="330"/>
    </row>
    <row r="2761" spans="2:10" ht="12.75" x14ac:dyDescent="0.2">
      <c r="B2761" s="331"/>
      <c r="C2761" s="327"/>
      <c r="D2761" s="331"/>
      <c r="F2761" s="329"/>
      <c r="I2761" s="330"/>
      <c r="J2761" s="330"/>
    </row>
    <row r="2762" spans="2:10" ht="12.75" x14ac:dyDescent="0.2">
      <c r="B2762" s="331"/>
      <c r="C2762" s="327"/>
      <c r="D2762" s="331"/>
      <c r="F2762" s="329"/>
      <c r="I2762" s="330"/>
      <c r="J2762" s="330"/>
    </row>
    <row r="2763" spans="2:10" ht="12.75" x14ac:dyDescent="0.2">
      <c r="B2763" s="331"/>
      <c r="C2763" s="327"/>
      <c r="D2763" s="331"/>
      <c r="F2763" s="329"/>
      <c r="I2763" s="330"/>
      <c r="J2763" s="330"/>
    </row>
    <row r="2764" spans="2:10" ht="12.75" x14ac:dyDescent="0.2">
      <c r="B2764" s="331"/>
      <c r="C2764" s="327"/>
      <c r="D2764" s="331"/>
      <c r="F2764" s="329"/>
      <c r="I2764" s="330"/>
      <c r="J2764" s="330"/>
    </row>
    <row r="2765" spans="2:10" ht="12.75" x14ac:dyDescent="0.2">
      <c r="B2765" s="331"/>
      <c r="C2765" s="327"/>
      <c r="D2765" s="331"/>
      <c r="F2765" s="329"/>
      <c r="I2765" s="330"/>
      <c r="J2765" s="330"/>
    </row>
    <row r="2766" spans="2:10" ht="12.75" x14ac:dyDescent="0.2">
      <c r="B2766" s="331"/>
      <c r="C2766" s="327"/>
      <c r="D2766" s="331"/>
      <c r="F2766" s="329"/>
      <c r="I2766" s="330"/>
      <c r="J2766" s="330"/>
    </row>
    <row r="2767" spans="2:10" ht="12.75" x14ac:dyDescent="0.2">
      <c r="B2767" s="331"/>
      <c r="C2767" s="327"/>
      <c r="D2767" s="331"/>
      <c r="F2767" s="329"/>
      <c r="I2767" s="330"/>
      <c r="J2767" s="330"/>
    </row>
    <row r="2768" spans="2:10" ht="12.75" x14ac:dyDescent="0.2">
      <c r="B2768" s="331"/>
      <c r="C2768" s="327"/>
      <c r="D2768" s="331"/>
      <c r="F2768" s="329"/>
      <c r="I2768" s="330"/>
      <c r="J2768" s="330"/>
    </row>
    <row r="2769" spans="2:10" ht="12.75" x14ac:dyDescent="0.2">
      <c r="B2769" s="331"/>
      <c r="C2769" s="327"/>
      <c r="D2769" s="331"/>
      <c r="F2769" s="329"/>
      <c r="I2769" s="330"/>
      <c r="J2769" s="330"/>
    </row>
    <row r="2770" spans="2:10" ht="12.75" x14ac:dyDescent="0.2">
      <c r="B2770" s="331"/>
      <c r="C2770" s="327"/>
      <c r="D2770" s="331"/>
      <c r="F2770" s="329"/>
      <c r="I2770" s="330"/>
      <c r="J2770" s="330"/>
    </row>
    <row r="2771" spans="2:10" ht="12.75" x14ac:dyDescent="0.2">
      <c r="B2771" s="331"/>
      <c r="C2771" s="327"/>
      <c r="D2771" s="331"/>
      <c r="F2771" s="329"/>
      <c r="I2771" s="330"/>
      <c r="J2771" s="330"/>
    </row>
    <row r="2772" spans="2:10" ht="12.75" x14ac:dyDescent="0.2">
      <c r="B2772" s="331"/>
      <c r="C2772" s="327"/>
      <c r="D2772" s="331"/>
      <c r="F2772" s="329"/>
      <c r="I2772" s="330"/>
      <c r="J2772" s="330"/>
    </row>
    <row r="2773" spans="2:10" ht="12.75" x14ac:dyDescent="0.2">
      <c r="B2773" s="331"/>
      <c r="C2773" s="327"/>
      <c r="D2773" s="331"/>
      <c r="F2773" s="329"/>
      <c r="I2773" s="330"/>
      <c r="J2773" s="330"/>
    </row>
    <row r="2774" spans="2:10" ht="12.75" x14ac:dyDescent="0.2">
      <c r="B2774" s="331"/>
      <c r="C2774" s="327"/>
      <c r="D2774" s="331"/>
      <c r="F2774" s="329"/>
      <c r="I2774" s="330"/>
      <c r="J2774" s="330"/>
    </row>
    <row r="2775" spans="2:10" ht="12.75" x14ac:dyDescent="0.2">
      <c r="B2775" s="331"/>
      <c r="C2775" s="327"/>
      <c r="D2775" s="331"/>
      <c r="F2775" s="329"/>
      <c r="I2775" s="330"/>
      <c r="J2775" s="330"/>
    </row>
    <row r="2776" spans="2:10" ht="12.75" x14ac:dyDescent="0.2">
      <c r="B2776" s="331"/>
      <c r="C2776" s="327"/>
      <c r="D2776" s="331"/>
      <c r="F2776" s="329"/>
      <c r="I2776" s="330"/>
      <c r="J2776" s="330"/>
    </row>
    <row r="2777" spans="2:10" ht="12.75" x14ac:dyDescent="0.2">
      <c r="B2777" s="331"/>
      <c r="C2777" s="327"/>
      <c r="D2777" s="331"/>
      <c r="F2777" s="329"/>
      <c r="I2777" s="330"/>
      <c r="J2777" s="330"/>
    </row>
    <row r="2778" spans="2:10" ht="12.75" x14ac:dyDescent="0.2">
      <c r="B2778" s="331"/>
      <c r="C2778" s="327"/>
      <c r="D2778" s="331"/>
      <c r="F2778" s="329"/>
      <c r="I2778" s="330"/>
      <c r="J2778" s="330"/>
    </row>
    <row r="2779" spans="2:10" ht="12.75" x14ac:dyDescent="0.2">
      <c r="B2779" s="331"/>
      <c r="C2779" s="327"/>
      <c r="D2779" s="331"/>
      <c r="F2779" s="329"/>
      <c r="I2779" s="330"/>
      <c r="J2779" s="330"/>
    </row>
    <row r="2780" spans="2:10" ht="12.75" x14ac:dyDescent="0.2">
      <c r="B2780" s="331"/>
      <c r="C2780" s="327"/>
      <c r="D2780" s="331"/>
      <c r="F2780" s="329"/>
      <c r="I2780" s="330"/>
      <c r="J2780" s="330"/>
    </row>
    <row r="2781" spans="2:10" ht="12.75" x14ac:dyDescent="0.2">
      <c r="B2781" s="331"/>
      <c r="C2781" s="327"/>
      <c r="D2781" s="331"/>
      <c r="F2781" s="329"/>
      <c r="I2781" s="330"/>
      <c r="J2781" s="330"/>
    </row>
    <row r="2782" spans="2:10" ht="12.75" x14ac:dyDescent="0.2">
      <c r="B2782" s="331"/>
      <c r="C2782" s="327"/>
      <c r="D2782" s="331"/>
      <c r="F2782" s="329"/>
      <c r="I2782" s="330"/>
      <c r="J2782" s="330"/>
    </row>
    <row r="2783" spans="2:10" ht="12.75" x14ac:dyDescent="0.2">
      <c r="B2783" s="331"/>
      <c r="C2783" s="327"/>
      <c r="D2783" s="331"/>
      <c r="F2783" s="329"/>
      <c r="I2783" s="330"/>
      <c r="J2783" s="330"/>
    </row>
    <row r="2784" spans="2:10" ht="12.75" x14ac:dyDescent="0.2">
      <c r="B2784" s="331"/>
      <c r="C2784" s="327"/>
      <c r="D2784" s="331"/>
      <c r="F2784" s="329"/>
      <c r="I2784" s="330"/>
      <c r="J2784" s="330"/>
    </row>
    <row r="2785" spans="2:10" ht="12.75" x14ac:dyDescent="0.2">
      <c r="B2785" s="331"/>
      <c r="C2785" s="327"/>
      <c r="D2785" s="331"/>
      <c r="F2785" s="329"/>
      <c r="I2785" s="330"/>
      <c r="J2785" s="330"/>
    </row>
    <row r="2786" spans="2:10" ht="12.75" x14ac:dyDescent="0.2">
      <c r="B2786" s="331"/>
      <c r="C2786" s="327"/>
      <c r="D2786" s="331"/>
      <c r="F2786" s="329"/>
      <c r="I2786" s="330"/>
      <c r="J2786" s="330"/>
    </row>
    <row r="2787" spans="2:10" ht="12.75" x14ac:dyDescent="0.2">
      <c r="B2787" s="331"/>
      <c r="C2787" s="327"/>
      <c r="D2787" s="331"/>
      <c r="F2787" s="329"/>
      <c r="I2787" s="330"/>
      <c r="J2787" s="330"/>
    </row>
    <row r="2788" spans="2:10" ht="12.75" x14ac:dyDescent="0.2">
      <c r="B2788" s="331"/>
      <c r="C2788" s="327"/>
      <c r="D2788" s="331"/>
      <c r="F2788" s="329"/>
      <c r="I2788" s="330"/>
      <c r="J2788" s="330"/>
    </row>
    <row r="2789" spans="2:10" ht="12.75" x14ac:dyDescent="0.2">
      <c r="B2789" s="331"/>
      <c r="C2789" s="327"/>
      <c r="D2789" s="331"/>
      <c r="F2789" s="329"/>
      <c r="I2789" s="330"/>
      <c r="J2789" s="330"/>
    </row>
    <row r="2790" spans="2:10" ht="12.75" x14ac:dyDescent="0.2">
      <c r="B2790" s="331"/>
      <c r="C2790" s="327"/>
      <c r="D2790" s="331"/>
      <c r="F2790" s="329"/>
      <c r="I2790" s="330"/>
      <c r="J2790" s="330"/>
    </row>
    <row r="2791" spans="2:10" ht="12.75" x14ac:dyDescent="0.2">
      <c r="B2791" s="331"/>
      <c r="C2791" s="327"/>
      <c r="D2791" s="331"/>
      <c r="F2791" s="329"/>
      <c r="I2791" s="330"/>
      <c r="J2791" s="330"/>
    </row>
    <row r="2792" spans="2:10" ht="12.75" x14ac:dyDescent="0.2">
      <c r="B2792" s="331"/>
      <c r="C2792" s="327"/>
      <c r="D2792" s="331"/>
      <c r="F2792" s="329"/>
      <c r="I2792" s="330"/>
      <c r="J2792" s="330"/>
    </row>
    <row r="2793" spans="2:10" ht="12.75" x14ac:dyDescent="0.2">
      <c r="B2793" s="331"/>
      <c r="C2793" s="327"/>
      <c r="D2793" s="331"/>
      <c r="F2793" s="329"/>
      <c r="I2793" s="330"/>
      <c r="J2793" s="330"/>
    </row>
    <row r="2794" spans="2:10" ht="12.75" x14ac:dyDescent="0.2">
      <c r="B2794" s="331"/>
      <c r="C2794" s="327"/>
      <c r="D2794" s="331"/>
      <c r="F2794" s="329"/>
      <c r="I2794" s="330"/>
      <c r="J2794" s="330"/>
    </row>
    <row r="2795" spans="2:10" ht="12.75" x14ac:dyDescent="0.2">
      <c r="B2795" s="331"/>
      <c r="C2795" s="327"/>
      <c r="D2795" s="331"/>
      <c r="F2795" s="329"/>
      <c r="I2795" s="330"/>
      <c r="J2795" s="330"/>
    </row>
    <row r="2796" spans="2:10" ht="12.75" x14ac:dyDescent="0.2">
      <c r="B2796" s="331"/>
      <c r="C2796" s="327"/>
      <c r="D2796" s="331"/>
      <c r="F2796" s="329"/>
      <c r="I2796" s="330"/>
      <c r="J2796" s="330"/>
    </row>
    <row r="2797" spans="2:10" ht="12.75" x14ac:dyDescent="0.2">
      <c r="B2797" s="331"/>
      <c r="C2797" s="327"/>
      <c r="D2797" s="331"/>
      <c r="F2797" s="329"/>
      <c r="I2797" s="330"/>
      <c r="J2797" s="330"/>
    </row>
    <row r="2798" spans="2:10" ht="12.75" x14ac:dyDescent="0.2">
      <c r="B2798" s="331"/>
      <c r="C2798" s="327"/>
      <c r="D2798" s="331"/>
      <c r="F2798" s="329"/>
      <c r="I2798" s="330"/>
      <c r="J2798" s="330"/>
    </row>
    <row r="2799" spans="2:10" ht="12.75" x14ac:dyDescent="0.2">
      <c r="B2799" s="331"/>
      <c r="C2799" s="327"/>
      <c r="D2799" s="331"/>
      <c r="F2799" s="329"/>
      <c r="I2799" s="330"/>
      <c r="J2799" s="330"/>
    </row>
    <row r="2800" spans="2:10" ht="12.75" x14ac:dyDescent="0.2">
      <c r="B2800" s="331"/>
      <c r="C2800" s="327"/>
      <c r="D2800" s="331"/>
      <c r="F2800" s="329"/>
      <c r="I2800" s="330"/>
      <c r="J2800" s="330"/>
    </row>
    <row r="2801" spans="2:10" ht="12.75" x14ac:dyDescent="0.2">
      <c r="B2801" s="331"/>
      <c r="C2801" s="327"/>
      <c r="D2801" s="331"/>
      <c r="F2801" s="329"/>
      <c r="I2801" s="330"/>
      <c r="J2801" s="330"/>
    </row>
    <row r="2802" spans="2:10" ht="12.75" x14ac:dyDescent="0.2">
      <c r="B2802" s="331"/>
      <c r="C2802" s="327"/>
      <c r="D2802" s="331"/>
      <c r="F2802" s="329"/>
      <c r="I2802" s="330"/>
      <c r="J2802" s="330"/>
    </row>
    <row r="2803" spans="2:10" ht="12.75" x14ac:dyDescent="0.2">
      <c r="B2803" s="331"/>
      <c r="C2803" s="327"/>
      <c r="D2803" s="331"/>
      <c r="F2803" s="329"/>
      <c r="I2803" s="330"/>
      <c r="J2803" s="330"/>
    </row>
    <row r="2804" spans="2:10" ht="12.75" x14ac:dyDescent="0.2">
      <c r="B2804" s="331"/>
      <c r="C2804" s="327"/>
      <c r="D2804" s="331"/>
      <c r="F2804" s="329"/>
      <c r="I2804" s="330"/>
      <c r="J2804" s="330"/>
    </row>
    <row r="2805" spans="2:10" ht="12.75" x14ac:dyDescent="0.2">
      <c r="B2805" s="331"/>
      <c r="C2805" s="327"/>
      <c r="D2805" s="331"/>
      <c r="F2805" s="329"/>
      <c r="I2805" s="330"/>
      <c r="J2805" s="330"/>
    </row>
    <row r="2806" spans="2:10" ht="12.75" x14ac:dyDescent="0.2">
      <c r="B2806" s="331"/>
      <c r="C2806" s="327"/>
      <c r="D2806" s="331"/>
      <c r="F2806" s="329"/>
      <c r="I2806" s="330"/>
      <c r="J2806" s="330"/>
    </row>
    <row r="2807" spans="2:10" ht="12.75" x14ac:dyDescent="0.2">
      <c r="B2807" s="331"/>
      <c r="C2807" s="327"/>
      <c r="D2807" s="331"/>
      <c r="F2807" s="329"/>
      <c r="I2807" s="330"/>
      <c r="J2807" s="330"/>
    </row>
    <row r="2808" spans="2:10" ht="12.75" x14ac:dyDescent="0.2">
      <c r="B2808" s="331"/>
      <c r="C2808" s="327"/>
      <c r="D2808" s="331"/>
      <c r="F2808" s="329"/>
      <c r="I2808" s="330"/>
      <c r="J2808" s="330"/>
    </row>
    <row r="2809" spans="2:10" ht="12.75" x14ac:dyDescent="0.2">
      <c r="B2809" s="331"/>
      <c r="C2809" s="327"/>
      <c r="D2809" s="331"/>
      <c r="F2809" s="329"/>
      <c r="I2809" s="330"/>
      <c r="J2809" s="330"/>
    </row>
    <row r="2810" spans="2:10" ht="12.75" x14ac:dyDescent="0.2">
      <c r="B2810" s="331"/>
      <c r="C2810" s="327"/>
      <c r="D2810" s="331"/>
      <c r="F2810" s="329"/>
      <c r="I2810" s="330"/>
      <c r="J2810" s="330"/>
    </row>
    <row r="2811" spans="2:10" ht="12.75" x14ac:dyDescent="0.2">
      <c r="B2811" s="331"/>
      <c r="C2811" s="327"/>
      <c r="D2811" s="331"/>
      <c r="F2811" s="329"/>
      <c r="I2811" s="330"/>
      <c r="J2811" s="330"/>
    </row>
    <row r="2812" spans="2:10" ht="12.75" x14ac:dyDescent="0.2">
      <c r="B2812" s="331"/>
      <c r="C2812" s="327"/>
      <c r="D2812" s="331"/>
      <c r="F2812" s="329"/>
      <c r="I2812" s="330"/>
      <c r="J2812" s="330"/>
    </row>
    <row r="2813" spans="2:10" ht="12.75" x14ac:dyDescent="0.2">
      <c r="B2813" s="331"/>
      <c r="C2813" s="327"/>
      <c r="D2813" s="331"/>
      <c r="F2813" s="329"/>
      <c r="I2813" s="330"/>
      <c r="J2813" s="330"/>
    </row>
    <row r="2814" spans="2:10" ht="12.75" x14ac:dyDescent="0.2">
      <c r="B2814" s="331"/>
      <c r="C2814" s="327"/>
      <c r="D2814" s="331"/>
      <c r="F2814" s="329"/>
      <c r="I2814" s="330"/>
      <c r="J2814" s="330"/>
    </row>
    <row r="2815" spans="2:10" ht="12.75" x14ac:dyDescent="0.2">
      <c r="B2815" s="331"/>
      <c r="C2815" s="327"/>
      <c r="D2815" s="331"/>
      <c r="F2815" s="329"/>
      <c r="I2815" s="330"/>
      <c r="J2815" s="330"/>
    </row>
    <row r="2816" spans="2:10" ht="12.75" x14ac:dyDescent="0.2">
      <c r="B2816" s="331"/>
      <c r="C2816" s="327"/>
      <c r="D2816" s="331"/>
      <c r="F2816" s="329"/>
      <c r="I2816" s="330"/>
      <c r="J2816" s="330"/>
    </row>
    <row r="2817" spans="2:10" ht="12.75" x14ac:dyDescent="0.2">
      <c r="B2817" s="331"/>
      <c r="C2817" s="327"/>
      <c r="D2817" s="331"/>
      <c r="F2817" s="329"/>
      <c r="I2817" s="330"/>
      <c r="J2817" s="330"/>
    </row>
    <row r="2818" spans="2:10" ht="12.75" x14ac:dyDescent="0.2">
      <c r="B2818" s="331"/>
      <c r="C2818" s="327"/>
      <c r="D2818" s="331"/>
      <c r="F2818" s="329"/>
      <c r="I2818" s="330"/>
      <c r="J2818" s="330"/>
    </row>
    <row r="2819" spans="2:10" ht="12.75" x14ac:dyDescent="0.2">
      <c r="B2819" s="331"/>
      <c r="C2819" s="327"/>
      <c r="D2819" s="331"/>
      <c r="F2819" s="329"/>
      <c r="I2819" s="330"/>
      <c r="J2819" s="330"/>
    </row>
    <row r="2820" spans="2:10" ht="12.75" x14ac:dyDescent="0.2">
      <c r="B2820" s="331"/>
      <c r="C2820" s="327"/>
      <c r="D2820" s="331"/>
      <c r="F2820" s="329"/>
      <c r="I2820" s="330"/>
      <c r="J2820" s="330"/>
    </row>
    <row r="2821" spans="2:10" ht="12.75" x14ac:dyDescent="0.2">
      <c r="B2821" s="331"/>
      <c r="C2821" s="327"/>
      <c r="D2821" s="331"/>
      <c r="F2821" s="329"/>
      <c r="I2821" s="330"/>
      <c r="J2821" s="330"/>
    </row>
    <row r="2822" spans="2:10" ht="12.75" x14ac:dyDescent="0.2">
      <c r="B2822" s="331"/>
      <c r="C2822" s="327"/>
      <c r="D2822" s="331"/>
      <c r="F2822" s="329"/>
      <c r="I2822" s="330"/>
      <c r="J2822" s="330"/>
    </row>
    <row r="2823" spans="2:10" ht="12.75" x14ac:dyDescent="0.2">
      <c r="B2823" s="331"/>
      <c r="C2823" s="327"/>
      <c r="D2823" s="331"/>
      <c r="F2823" s="329"/>
      <c r="I2823" s="330"/>
      <c r="J2823" s="330"/>
    </row>
    <row r="2824" spans="2:10" ht="12.75" x14ac:dyDescent="0.2">
      <c r="B2824" s="331"/>
      <c r="C2824" s="327"/>
      <c r="D2824" s="331"/>
      <c r="F2824" s="329"/>
      <c r="I2824" s="330"/>
      <c r="J2824" s="330"/>
    </row>
    <row r="2825" spans="2:10" ht="12.75" x14ac:dyDescent="0.2">
      <c r="B2825" s="331"/>
      <c r="C2825" s="327"/>
      <c r="D2825" s="331"/>
      <c r="F2825" s="329"/>
      <c r="I2825" s="330"/>
      <c r="J2825" s="330"/>
    </row>
    <row r="2826" spans="2:10" ht="12.75" x14ac:dyDescent="0.2">
      <c r="B2826" s="331"/>
      <c r="C2826" s="327"/>
      <c r="D2826" s="331"/>
      <c r="F2826" s="329"/>
      <c r="I2826" s="330"/>
      <c r="J2826" s="330"/>
    </row>
    <row r="2827" spans="2:10" ht="12.75" x14ac:dyDescent="0.2">
      <c r="B2827" s="331"/>
      <c r="C2827" s="327"/>
      <c r="D2827" s="331"/>
      <c r="F2827" s="329"/>
      <c r="I2827" s="330"/>
      <c r="J2827" s="330"/>
    </row>
    <row r="2828" spans="2:10" ht="12.75" x14ac:dyDescent="0.2">
      <c r="B2828" s="331"/>
      <c r="C2828" s="327"/>
      <c r="D2828" s="331"/>
      <c r="F2828" s="329"/>
      <c r="I2828" s="330"/>
      <c r="J2828" s="330"/>
    </row>
    <row r="2829" spans="2:10" ht="12.75" x14ac:dyDescent="0.2">
      <c r="B2829" s="331"/>
      <c r="C2829" s="327"/>
      <c r="D2829" s="331"/>
      <c r="F2829" s="329"/>
      <c r="I2829" s="330"/>
      <c r="J2829" s="330"/>
    </row>
    <row r="2830" spans="2:10" ht="12.75" x14ac:dyDescent="0.2">
      <c r="B2830" s="331"/>
      <c r="C2830" s="327"/>
      <c r="D2830" s="331"/>
      <c r="F2830" s="329"/>
      <c r="I2830" s="330"/>
      <c r="J2830" s="330"/>
    </row>
    <row r="2831" spans="2:10" ht="12.75" x14ac:dyDescent="0.2">
      <c r="B2831" s="331"/>
      <c r="C2831" s="327"/>
      <c r="D2831" s="331"/>
      <c r="F2831" s="329"/>
      <c r="I2831" s="330"/>
      <c r="J2831" s="330"/>
    </row>
    <row r="2832" spans="2:10" ht="12.75" x14ac:dyDescent="0.2">
      <c r="B2832" s="331"/>
      <c r="C2832" s="327"/>
      <c r="D2832" s="331"/>
      <c r="F2832" s="329"/>
      <c r="I2832" s="330"/>
      <c r="J2832" s="330"/>
    </row>
    <row r="2833" spans="2:10" ht="12.75" x14ac:dyDescent="0.2">
      <c r="B2833" s="331"/>
      <c r="C2833" s="327"/>
      <c r="D2833" s="331"/>
      <c r="F2833" s="329"/>
      <c r="I2833" s="330"/>
      <c r="J2833" s="330"/>
    </row>
    <row r="2834" spans="2:10" ht="12.75" x14ac:dyDescent="0.2">
      <c r="B2834" s="331"/>
      <c r="C2834" s="327"/>
      <c r="D2834" s="331"/>
      <c r="F2834" s="329"/>
      <c r="I2834" s="330"/>
      <c r="J2834" s="330"/>
    </row>
    <row r="2835" spans="2:10" ht="12.75" x14ac:dyDescent="0.2">
      <c r="B2835" s="331"/>
      <c r="C2835" s="327"/>
      <c r="D2835" s="331"/>
      <c r="F2835" s="329"/>
      <c r="I2835" s="330"/>
      <c r="J2835" s="330"/>
    </row>
    <row r="2836" spans="2:10" ht="12.75" x14ac:dyDescent="0.2">
      <c r="B2836" s="331"/>
      <c r="C2836" s="327"/>
      <c r="D2836" s="331"/>
      <c r="F2836" s="329"/>
      <c r="I2836" s="330"/>
      <c r="J2836" s="330"/>
    </row>
    <row r="2837" spans="2:10" ht="12.75" x14ac:dyDescent="0.2">
      <c r="B2837" s="331"/>
      <c r="C2837" s="327"/>
      <c r="D2837" s="331"/>
      <c r="F2837" s="329"/>
      <c r="I2837" s="330"/>
      <c r="J2837" s="330"/>
    </row>
    <row r="2838" spans="2:10" ht="12.75" x14ac:dyDescent="0.2">
      <c r="B2838" s="331"/>
      <c r="C2838" s="327"/>
      <c r="D2838" s="331"/>
      <c r="F2838" s="329"/>
      <c r="I2838" s="330"/>
      <c r="J2838" s="330"/>
    </row>
    <row r="2839" spans="2:10" ht="12.75" x14ac:dyDescent="0.2">
      <c r="B2839" s="331"/>
      <c r="C2839" s="327"/>
      <c r="D2839" s="331"/>
      <c r="F2839" s="329"/>
      <c r="I2839" s="330"/>
      <c r="J2839" s="330"/>
    </row>
    <row r="2840" spans="2:10" ht="12.75" x14ac:dyDescent="0.2">
      <c r="B2840" s="331"/>
      <c r="C2840" s="327"/>
      <c r="D2840" s="331"/>
      <c r="F2840" s="329"/>
      <c r="I2840" s="330"/>
      <c r="J2840" s="330"/>
    </row>
    <row r="2841" spans="2:10" ht="12.75" x14ac:dyDescent="0.2">
      <c r="B2841" s="331"/>
      <c r="C2841" s="327"/>
      <c r="D2841" s="331"/>
      <c r="F2841" s="329"/>
      <c r="I2841" s="330"/>
      <c r="J2841" s="330"/>
    </row>
    <row r="2842" spans="2:10" ht="12.75" x14ac:dyDescent="0.2">
      <c r="B2842" s="331"/>
      <c r="C2842" s="327"/>
      <c r="D2842" s="331"/>
      <c r="F2842" s="329"/>
      <c r="I2842" s="330"/>
      <c r="J2842" s="330"/>
    </row>
    <row r="2843" spans="2:10" ht="12.75" x14ac:dyDescent="0.2">
      <c r="B2843" s="331"/>
      <c r="C2843" s="327"/>
      <c r="D2843" s="331"/>
      <c r="F2843" s="329"/>
      <c r="I2843" s="330"/>
      <c r="J2843" s="330"/>
    </row>
    <row r="2844" spans="2:10" ht="12.75" x14ac:dyDescent="0.2">
      <c r="B2844" s="331"/>
      <c r="C2844" s="327"/>
      <c r="D2844" s="331"/>
      <c r="F2844" s="329"/>
      <c r="I2844" s="330"/>
      <c r="J2844" s="330"/>
    </row>
    <row r="2845" spans="2:10" ht="12.75" x14ac:dyDescent="0.2">
      <c r="B2845" s="331"/>
      <c r="C2845" s="327"/>
      <c r="D2845" s="331"/>
      <c r="F2845" s="329"/>
      <c r="I2845" s="330"/>
      <c r="J2845" s="330"/>
    </row>
    <row r="2846" spans="2:10" ht="12.75" x14ac:dyDescent="0.2">
      <c r="B2846" s="331"/>
      <c r="C2846" s="327"/>
      <c r="D2846" s="331"/>
      <c r="F2846" s="329"/>
      <c r="I2846" s="330"/>
      <c r="J2846" s="330"/>
    </row>
    <row r="2847" spans="2:10" ht="12.75" x14ac:dyDescent="0.2">
      <c r="B2847" s="331"/>
      <c r="C2847" s="327"/>
      <c r="D2847" s="331"/>
      <c r="F2847" s="329"/>
      <c r="I2847" s="330"/>
      <c r="J2847" s="330"/>
    </row>
    <row r="2848" spans="2:10" ht="12.75" x14ac:dyDescent="0.2">
      <c r="B2848" s="331"/>
      <c r="C2848" s="327"/>
      <c r="D2848" s="331"/>
      <c r="F2848" s="329"/>
      <c r="I2848" s="330"/>
      <c r="J2848" s="330"/>
    </row>
    <row r="2849" spans="2:10" ht="12.75" x14ac:dyDescent="0.2">
      <c r="B2849" s="331"/>
      <c r="C2849" s="327"/>
      <c r="D2849" s="331"/>
      <c r="F2849" s="329"/>
      <c r="I2849" s="330"/>
      <c r="J2849" s="330"/>
    </row>
    <row r="2850" spans="2:10" ht="12.75" x14ac:dyDescent="0.2">
      <c r="B2850" s="331"/>
      <c r="C2850" s="327"/>
      <c r="D2850" s="331"/>
      <c r="F2850" s="329"/>
      <c r="I2850" s="330"/>
      <c r="J2850" s="330"/>
    </row>
    <row r="2851" spans="2:10" ht="12.75" x14ac:dyDescent="0.2">
      <c r="B2851" s="331"/>
      <c r="C2851" s="327"/>
      <c r="D2851" s="331"/>
      <c r="F2851" s="329"/>
      <c r="I2851" s="330"/>
      <c r="J2851" s="330"/>
    </row>
    <row r="2852" spans="2:10" ht="12.75" x14ac:dyDescent="0.2">
      <c r="B2852" s="331"/>
      <c r="C2852" s="327"/>
      <c r="D2852" s="331"/>
      <c r="F2852" s="329"/>
      <c r="I2852" s="330"/>
      <c r="J2852" s="330"/>
    </row>
    <row r="2853" spans="2:10" ht="12.75" x14ac:dyDescent="0.2">
      <c r="B2853" s="331"/>
      <c r="C2853" s="327"/>
      <c r="D2853" s="331"/>
      <c r="F2853" s="329"/>
      <c r="I2853" s="330"/>
      <c r="J2853" s="330"/>
    </row>
    <row r="2854" spans="2:10" ht="12.75" x14ac:dyDescent="0.2">
      <c r="B2854" s="331"/>
      <c r="C2854" s="327"/>
      <c r="D2854" s="331"/>
      <c r="F2854" s="329"/>
      <c r="I2854" s="330"/>
      <c r="J2854" s="330"/>
    </row>
    <row r="2855" spans="2:10" ht="12.75" x14ac:dyDescent="0.2">
      <c r="B2855" s="331"/>
      <c r="C2855" s="327"/>
      <c r="D2855" s="331"/>
      <c r="F2855" s="329"/>
      <c r="I2855" s="330"/>
      <c r="J2855" s="330"/>
    </row>
    <row r="2856" spans="2:10" ht="12.75" x14ac:dyDescent="0.2">
      <c r="B2856" s="331"/>
      <c r="C2856" s="327"/>
      <c r="D2856" s="331"/>
      <c r="F2856" s="329"/>
      <c r="I2856" s="330"/>
      <c r="J2856" s="330"/>
    </row>
    <row r="2857" spans="2:10" ht="12.75" x14ac:dyDescent="0.2">
      <c r="B2857" s="331"/>
      <c r="C2857" s="327"/>
      <c r="D2857" s="331"/>
      <c r="F2857" s="329"/>
      <c r="I2857" s="330"/>
      <c r="J2857" s="330"/>
    </row>
    <row r="2858" spans="2:10" ht="12.75" x14ac:dyDescent="0.2">
      <c r="B2858" s="331"/>
      <c r="C2858" s="327"/>
      <c r="D2858" s="331"/>
      <c r="F2858" s="329"/>
      <c r="I2858" s="330"/>
      <c r="J2858" s="330"/>
    </row>
    <row r="2859" spans="2:10" ht="12.75" x14ac:dyDescent="0.2">
      <c r="B2859" s="331"/>
      <c r="C2859" s="327"/>
      <c r="D2859" s="331"/>
      <c r="F2859" s="329"/>
      <c r="I2859" s="330"/>
      <c r="J2859" s="330"/>
    </row>
    <row r="2860" spans="2:10" ht="12.75" x14ac:dyDescent="0.2">
      <c r="B2860" s="331"/>
      <c r="C2860" s="327"/>
      <c r="D2860" s="331"/>
      <c r="F2860" s="329"/>
      <c r="I2860" s="330"/>
      <c r="J2860" s="330"/>
    </row>
    <row r="2861" spans="2:10" ht="12.75" x14ac:dyDescent="0.2">
      <c r="B2861" s="331"/>
      <c r="C2861" s="327"/>
      <c r="D2861" s="331"/>
      <c r="F2861" s="329"/>
      <c r="I2861" s="330"/>
      <c r="J2861" s="330"/>
    </row>
    <row r="2862" spans="2:10" ht="12.75" x14ac:dyDescent="0.2">
      <c r="B2862" s="331"/>
      <c r="C2862" s="327"/>
      <c r="D2862" s="331"/>
      <c r="F2862" s="329"/>
      <c r="I2862" s="330"/>
      <c r="J2862" s="330"/>
    </row>
    <row r="2863" spans="2:10" ht="12.75" x14ac:dyDescent="0.2">
      <c r="B2863" s="331"/>
      <c r="C2863" s="327"/>
      <c r="D2863" s="331"/>
      <c r="F2863" s="329"/>
      <c r="I2863" s="330"/>
      <c r="J2863" s="330"/>
    </row>
    <row r="2864" spans="2:10" ht="12.75" x14ac:dyDescent="0.2">
      <c r="B2864" s="331"/>
      <c r="C2864" s="327"/>
      <c r="D2864" s="331"/>
      <c r="F2864" s="329"/>
      <c r="I2864" s="330"/>
      <c r="J2864" s="330"/>
    </row>
    <row r="2865" spans="2:10" ht="12.75" x14ac:dyDescent="0.2">
      <c r="B2865" s="331"/>
      <c r="C2865" s="327"/>
      <c r="D2865" s="331"/>
      <c r="F2865" s="329"/>
      <c r="I2865" s="330"/>
      <c r="J2865" s="330"/>
    </row>
    <row r="2866" spans="2:10" ht="12.75" x14ac:dyDescent="0.2">
      <c r="B2866" s="331"/>
      <c r="C2866" s="327"/>
      <c r="D2866" s="331"/>
      <c r="F2866" s="329"/>
      <c r="I2866" s="330"/>
      <c r="J2866" s="330"/>
    </row>
    <row r="2867" spans="2:10" ht="12.75" x14ac:dyDescent="0.2">
      <c r="B2867" s="331"/>
      <c r="C2867" s="327"/>
      <c r="D2867" s="331"/>
      <c r="F2867" s="329"/>
      <c r="I2867" s="330"/>
      <c r="J2867" s="330"/>
    </row>
    <row r="2868" spans="2:10" ht="12.75" x14ac:dyDescent="0.2">
      <c r="B2868" s="331"/>
      <c r="C2868" s="327"/>
      <c r="D2868" s="331"/>
      <c r="F2868" s="329"/>
      <c r="I2868" s="330"/>
      <c r="J2868" s="330"/>
    </row>
    <row r="2869" spans="2:10" ht="12.75" x14ac:dyDescent="0.2">
      <c r="B2869" s="331"/>
      <c r="C2869" s="327"/>
      <c r="D2869" s="331"/>
      <c r="F2869" s="329"/>
      <c r="I2869" s="330"/>
      <c r="J2869" s="330"/>
    </row>
    <row r="2870" spans="2:10" ht="12.75" x14ac:dyDescent="0.2">
      <c r="B2870" s="331"/>
      <c r="C2870" s="327"/>
      <c r="D2870" s="331"/>
      <c r="F2870" s="329"/>
      <c r="I2870" s="330"/>
      <c r="J2870" s="330"/>
    </row>
    <row r="2871" spans="2:10" ht="12.75" x14ac:dyDescent="0.2">
      <c r="B2871" s="331"/>
      <c r="C2871" s="327"/>
      <c r="D2871" s="331"/>
      <c r="F2871" s="329"/>
      <c r="I2871" s="330"/>
      <c r="J2871" s="330"/>
    </row>
    <row r="2872" spans="2:10" ht="12.75" x14ac:dyDescent="0.2">
      <c r="B2872" s="331"/>
      <c r="C2872" s="327"/>
      <c r="D2872" s="331"/>
      <c r="F2872" s="329"/>
      <c r="I2872" s="330"/>
      <c r="J2872" s="330"/>
    </row>
    <row r="2873" spans="2:10" ht="12.75" x14ac:dyDescent="0.2">
      <c r="B2873" s="331"/>
      <c r="C2873" s="327"/>
      <c r="D2873" s="331"/>
      <c r="F2873" s="329"/>
      <c r="I2873" s="330"/>
      <c r="J2873" s="330"/>
    </row>
    <row r="2874" spans="2:10" ht="12.75" x14ac:dyDescent="0.2">
      <c r="B2874" s="331"/>
      <c r="C2874" s="327"/>
      <c r="D2874" s="331"/>
      <c r="F2874" s="329"/>
      <c r="I2874" s="330"/>
      <c r="J2874" s="330"/>
    </row>
    <row r="2875" spans="2:10" ht="12.75" x14ac:dyDescent="0.2">
      <c r="B2875" s="331"/>
      <c r="C2875" s="327"/>
      <c r="D2875" s="331"/>
      <c r="F2875" s="329"/>
      <c r="I2875" s="330"/>
      <c r="J2875" s="330"/>
    </row>
    <row r="2876" spans="2:10" ht="12.75" x14ac:dyDescent="0.2">
      <c r="B2876" s="331"/>
      <c r="C2876" s="327"/>
      <c r="D2876" s="331"/>
      <c r="F2876" s="329"/>
      <c r="I2876" s="330"/>
      <c r="J2876" s="330"/>
    </row>
    <row r="2877" spans="2:10" ht="12.75" x14ac:dyDescent="0.2">
      <c r="B2877" s="331"/>
      <c r="C2877" s="327"/>
      <c r="D2877" s="331"/>
      <c r="F2877" s="329"/>
      <c r="I2877" s="330"/>
      <c r="J2877" s="330"/>
    </row>
    <row r="2878" spans="2:10" ht="12.75" x14ac:dyDescent="0.2">
      <c r="B2878" s="331"/>
      <c r="C2878" s="327"/>
      <c r="D2878" s="331"/>
      <c r="F2878" s="329"/>
      <c r="I2878" s="330"/>
      <c r="J2878" s="330"/>
    </row>
    <row r="2879" spans="2:10" ht="12.75" x14ac:dyDescent="0.2">
      <c r="B2879" s="331"/>
      <c r="C2879" s="327"/>
      <c r="D2879" s="331"/>
      <c r="F2879" s="329"/>
      <c r="I2879" s="330"/>
      <c r="J2879" s="330"/>
    </row>
    <row r="2880" spans="2:10" ht="12.75" x14ac:dyDescent="0.2">
      <c r="B2880" s="331"/>
      <c r="C2880" s="327"/>
      <c r="D2880" s="331"/>
      <c r="F2880" s="329"/>
      <c r="I2880" s="330"/>
      <c r="J2880" s="330"/>
    </row>
    <row r="2881" spans="2:10" ht="12.75" x14ac:dyDescent="0.2">
      <c r="B2881" s="331"/>
      <c r="C2881" s="327"/>
      <c r="D2881" s="331"/>
      <c r="F2881" s="329"/>
      <c r="I2881" s="330"/>
      <c r="J2881" s="330"/>
    </row>
    <row r="2882" spans="2:10" ht="12.75" x14ac:dyDescent="0.2">
      <c r="B2882" s="331"/>
      <c r="C2882" s="327"/>
      <c r="D2882" s="331"/>
      <c r="F2882" s="329"/>
      <c r="I2882" s="330"/>
      <c r="J2882" s="330"/>
    </row>
    <row r="2883" spans="2:10" ht="12.75" x14ac:dyDescent="0.2">
      <c r="B2883" s="331"/>
      <c r="C2883" s="327"/>
      <c r="D2883" s="331"/>
      <c r="F2883" s="329"/>
      <c r="I2883" s="330"/>
      <c r="J2883" s="330"/>
    </row>
    <row r="2884" spans="2:10" ht="12.75" x14ac:dyDescent="0.2">
      <c r="B2884" s="331"/>
      <c r="C2884" s="327"/>
      <c r="D2884" s="331"/>
      <c r="F2884" s="329"/>
      <c r="I2884" s="330"/>
      <c r="J2884" s="330"/>
    </row>
    <row r="2885" spans="2:10" ht="12.75" x14ac:dyDescent="0.2">
      <c r="B2885" s="331"/>
      <c r="C2885" s="327"/>
      <c r="D2885" s="331"/>
      <c r="F2885" s="329"/>
      <c r="I2885" s="330"/>
      <c r="J2885" s="330"/>
    </row>
    <row r="2886" spans="2:10" ht="12.75" x14ac:dyDescent="0.2">
      <c r="B2886" s="331"/>
      <c r="C2886" s="327"/>
      <c r="D2886" s="331"/>
      <c r="F2886" s="329"/>
      <c r="I2886" s="330"/>
      <c r="J2886" s="330"/>
    </row>
    <row r="2887" spans="2:10" ht="12.75" x14ac:dyDescent="0.2">
      <c r="B2887" s="331"/>
      <c r="C2887" s="327"/>
      <c r="D2887" s="331"/>
      <c r="F2887" s="329"/>
      <c r="I2887" s="330"/>
      <c r="J2887" s="330"/>
    </row>
    <row r="2888" spans="2:10" ht="12.75" x14ac:dyDescent="0.2">
      <c r="B2888" s="331"/>
      <c r="C2888" s="327"/>
      <c r="D2888" s="331"/>
      <c r="F2888" s="329"/>
      <c r="I2888" s="330"/>
      <c r="J2888" s="330"/>
    </row>
    <row r="2889" spans="2:10" ht="12.75" x14ac:dyDescent="0.2">
      <c r="B2889" s="331"/>
      <c r="C2889" s="327"/>
      <c r="D2889" s="331"/>
      <c r="F2889" s="329"/>
      <c r="I2889" s="330"/>
      <c r="J2889" s="330"/>
    </row>
    <row r="2890" spans="2:10" ht="12.75" x14ac:dyDescent="0.2">
      <c r="B2890" s="331"/>
      <c r="C2890" s="327"/>
      <c r="D2890" s="331"/>
      <c r="F2890" s="329"/>
      <c r="I2890" s="330"/>
      <c r="J2890" s="330"/>
    </row>
    <row r="2891" spans="2:10" ht="12.75" x14ac:dyDescent="0.2">
      <c r="B2891" s="331"/>
      <c r="C2891" s="327"/>
      <c r="D2891" s="331"/>
      <c r="F2891" s="329"/>
      <c r="I2891" s="330"/>
      <c r="J2891" s="330"/>
    </row>
    <row r="2892" spans="2:10" ht="12.75" x14ac:dyDescent="0.2">
      <c r="B2892" s="331"/>
      <c r="C2892" s="327"/>
      <c r="D2892" s="331"/>
      <c r="F2892" s="329"/>
      <c r="I2892" s="330"/>
      <c r="J2892" s="330"/>
    </row>
    <row r="2893" spans="2:10" ht="12.75" x14ac:dyDescent="0.2">
      <c r="B2893" s="331"/>
      <c r="C2893" s="327"/>
      <c r="D2893" s="331"/>
      <c r="F2893" s="329"/>
      <c r="I2893" s="330"/>
      <c r="J2893" s="330"/>
    </row>
    <row r="2894" spans="2:10" ht="12.75" x14ac:dyDescent="0.2">
      <c r="B2894" s="331"/>
      <c r="C2894" s="327"/>
      <c r="D2894" s="331"/>
      <c r="F2894" s="329"/>
      <c r="I2894" s="330"/>
      <c r="J2894" s="330"/>
    </row>
    <row r="2895" spans="2:10" ht="12.75" x14ac:dyDescent="0.2">
      <c r="B2895" s="331"/>
      <c r="C2895" s="327"/>
      <c r="D2895" s="331"/>
      <c r="F2895" s="329"/>
      <c r="I2895" s="330"/>
      <c r="J2895" s="330"/>
    </row>
    <row r="2896" spans="2:10" ht="12.75" x14ac:dyDescent="0.2">
      <c r="B2896" s="331"/>
      <c r="C2896" s="327"/>
      <c r="D2896" s="331"/>
      <c r="F2896" s="329"/>
      <c r="I2896" s="330"/>
      <c r="J2896" s="330"/>
    </row>
    <row r="2897" spans="2:10" ht="12.75" x14ac:dyDescent="0.2">
      <c r="B2897" s="331"/>
      <c r="C2897" s="327"/>
      <c r="D2897" s="331"/>
      <c r="F2897" s="329"/>
      <c r="I2897" s="330"/>
      <c r="J2897" s="330"/>
    </row>
    <row r="2898" spans="2:10" ht="12.75" x14ac:dyDescent="0.2">
      <c r="B2898" s="331"/>
      <c r="C2898" s="327"/>
      <c r="D2898" s="331"/>
      <c r="F2898" s="329"/>
      <c r="I2898" s="330"/>
      <c r="J2898" s="330"/>
    </row>
    <row r="2899" spans="2:10" ht="12.75" x14ac:dyDescent="0.2">
      <c r="B2899" s="331"/>
      <c r="C2899" s="327"/>
      <c r="D2899" s="331"/>
      <c r="F2899" s="329"/>
      <c r="I2899" s="330"/>
      <c r="J2899" s="330"/>
    </row>
    <row r="2900" spans="2:10" ht="12.75" x14ac:dyDescent="0.2">
      <c r="B2900" s="331"/>
      <c r="C2900" s="327"/>
      <c r="D2900" s="331"/>
      <c r="F2900" s="329"/>
      <c r="I2900" s="330"/>
      <c r="J2900" s="330"/>
    </row>
    <row r="2901" spans="2:10" ht="12.75" x14ac:dyDescent="0.2">
      <c r="B2901" s="331"/>
      <c r="C2901" s="327"/>
      <c r="D2901" s="331"/>
      <c r="F2901" s="329"/>
      <c r="I2901" s="330"/>
      <c r="J2901" s="330"/>
    </row>
    <row r="2902" spans="2:10" ht="12.75" x14ac:dyDescent="0.2">
      <c r="B2902" s="331"/>
      <c r="C2902" s="327"/>
      <c r="D2902" s="331"/>
      <c r="F2902" s="329"/>
      <c r="I2902" s="330"/>
      <c r="J2902" s="330"/>
    </row>
    <row r="2903" spans="2:10" ht="12.75" x14ac:dyDescent="0.2">
      <c r="B2903" s="331"/>
      <c r="C2903" s="327"/>
      <c r="D2903" s="331"/>
      <c r="F2903" s="329"/>
      <c r="I2903" s="330"/>
      <c r="J2903" s="330"/>
    </row>
    <row r="2904" spans="2:10" ht="12.75" x14ac:dyDescent="0.2">
      <c r="B2904" s="331"/>
      <c r="C2904" s="327"/>
      <c r="D2904" s="331"/>
      <c r="F2904" s="329"/>
      <c r="I2904" s="330"/>
      <c r="J2904" s="330"/>
    </row>
    <row r="2905" spans="2:10" ht="12.75" x14ac:dyDescent="0.2">
      <c r="B2905" s="331"/>
      <c r="C2905" s="327"/>
      <c r="D2905" s="331"/>
      <c r="F2905" s="329"/>
      <c r="I2905" s="330"/>
      <c r="J2905" s="330"/>
    </row>
    <row r="2906" spans="2:10" ht="12.75" x14ac:dyDescent="0.2">
      <c r="B2906" s="331"/>
      <c r="C2906" s="327"/>
      <c r="D2906" s="331"/>
      <c r="F2906" s="329"/>
      <c r="I2906" s="330"/>
      <c r="J2906" s="330"/>
    </row>
    <row r="2907" spans="2:10" ht="12.75" x14ac:dyDescent="0.2">
      <c r="B2907" s="331"/>
      <c r="C2907" s="327"/>
      <c r="D2907" s="331"/>
      <c r="F2907" s="329"/>
      <c r="I2907" s="330"/>
      <c r="J2907" s="330"/>
    </row>
    <row r="2908" spans="2:10" ht="12.75" x14ac:dyDescent="0.2">
      <c r="B2908" s="331"/>
      <c r="C2908" s="327"/>
      <c r="D2908" s="331"/>
      <c r="F2908" s="329"/>
      <c r="I2908" s="330"/>
      <c r="J2908" s="330"/>
    </row>
    <row r="2909" spans="2:10" ht="12.75" x14ac:dyDescent="0.2">
      <c r="B2909" s="331"/>
      <c r="C2909" s="327"/>
      <c r="D2909" s="331"/>
      <c r="F2909" s="329"/>
      <c r="I2909" s="330"/>
      <c r="J2909" s="330"/>
    </row>
    <row r="2910" spans="2:10" ht="12.75" x14ac:dyDescent="0.2">
      <c r="B2910" s="331"/>
      <c r="C2910" s="327"/>
      <c r="D2910" s="331"/>
      <c r="F2910" s="329"/>
      <c r="I2910" s="330"/>
      <c r="J2910" s="330"/>
    </row>
    <row r="2911" spans="2:10" ht="12.75" x14ac:dyDescent="0.2">
      <c r="B2911" s="331"/>
      <c r="C2911" s="327"/>
      <c r="D2911" s="331"/>
      <c r="F2911" s="329"/>
      <c r="I2911" s="330"/>
      <c r="J2911" s="330"/>
    </row>
    <row r="2912" spans="2:10" ht="12.75" x14ac:dyDescent="0.2">
      <c r="B2912" s="331"/>
      <c r="C2912" s="327"/>
      <c r="D2912" s="331"/>
      <c r="F2912" s="329"/>
      <c r="I2912" s="330"/>
      <c r="J2912" s="330"/>
    </row>
    <row r="2913" spans="2:10" ht="12.75" x14ac:dyDescent="0.2">
      <c r="B2913" s="331"/>
      <c r="C2913" s="327"/>
      <c r="D2913" s="331"/>
      <c r="F2913" s="329"/>
      <c r="I2913" s="330"/>
      <c r="J2913" s="330"/>
    </row>
    <row r="2914" spans="2:10" ht="12.75" x14ac:dyDescent="0.2">
      <c r="B2914" s="331"/>
      <c r="C2914" s="327"/>
      <c r="D2914" s="331"/>
      <c r="F2914" s="329"/>
      <c r="I2914" s="330"/>
      <c r="J2914" s="330"/>
    </row>
    <row r="2915" spans="2:10" ht="12.75" x14ac:dyDescent="0.2">
      <c r="B2915" s="331"/>
      <c r="C2915" s="327"/>
      <c r="D2915" s="331"/>
      <c r="F2915" s="329"/>
      <c r="I2915" s="330"/>
      <c r="J2915" s="330"/>
    </row>
    <row r="2916" spans="2:10" ht="12.75" x14ac:dyDescent="0.2">
      <c r="B2916" s="331"/>
      <c r="C2916" s="327"/>
      <c r="D2916" s="331"/>
      <c r="F2916" s="329"/>
      <c r="I2916" s="330"/>
      <c r="J2916" s="330"/>
    </row>
    <row r="2917" spans="2:10" ht="12.75" x14ac:dyDescent="0.2">
      <c r="B2917" s="331"/>
      <c r="C2917" s="327"/>
      <c r="D2917" s="331"/>
      <c r="F2917" s="329"/>
      <c r="I2917" s="330"/>
      <c r="J2917" s="330"/>
    </row>
    <row r="2918" spans="2:10" ht="12.75" x14ac:dyDescent="0.2">
      <c r="B2918" s="331"/>
      <c r="C2918" s="327"/>
      <c r="D2918" s="331"/>
      <c r="F2918" s="329"/>
      <c r="I2918" s="330"/>
      <c r="J2918" s="330"/>
    </row>
    <row r="2919" spans="2:10" ht="12.75" x14ac:dyDescent="0.2">
      <c r="B2919" s="331"/>
      <c r="C2919" s="327"/>
      <c r="D2919" s="331"/>
      <c r="F2919" s="329"/>
      <c r="I2919" s="330"/>
      <c r="J2919" s="330"/>
    </row>
    <row r="2920" spans="2:10" ht="12.75" x14ac:dyDescent="0.2">
      <c r="B2920" s="331"/>
      <c r="C2920" s="327"/>
      <c r="D2920" s="331"/>
      <c r="F2920" s="329"/>
      <c r="I2920" s="330"/>
      <c r="J2920" s="330"/>
    </row>
    <row r="2921" spans="2:10" ht="12.75" x14ac:dyDescent="0.2">
      <c r="B2921" s="331"/>
      <c r="C2921" s="327"/>
      <c r="D2921" s="331"/>
      <c r="F2921" s="329"/>
      <c r="I2921" s="330"/>
      <c r="J2921" s="330"/>
    </row>
    <row r="2922" spans="2:10" ht="12.75" x14ac:dyDescent="0.2">
      <c r="B2922" s="331"/>
      <c r="C2922" s="327"/>
      <c r="D2922" s="331"/>
      <c r="F2922" s="329"/>
      <c r="I2922" s="330"/>
      <c r="J2922" s="330"/>
    </row>
    <row r="2923" spans="2:10" ht="12.75" x14ac:dyDescent="0.2">
      <c r="B2923" s="331"/>
      <c r="C2923" s="327"/>
      <c r="D2923" s="331"/>
      <c r="F2923" s="329"/>
      <c r="I2923" s="330"/>
      <c r="J2923" s="330"/>
    </row>
    <row r="2924" spans="2:10" ht="12.75" x14ac:dyDescent="0.2">
      <c r="B2924" s="331"/>
      <c r="C2924" s="327"/>
      <c r="D2924" s="331"/>
      <c r="F2924" s="329"/>
      <c r="I2924" s="330"/>
      <c r="J2924" s="330"/>
    </row>
    <row r="2925" spans="2:10" ht="12.75" x14ac:dyDescent="0.2">
      <c r="B2925" s="331"/>
      <c r="C2925" s="327"/>
      <c r="D2925" s="331"/>
      <c r="F2925" s="329"/>
      <c r="I2925" s="330"/>
      <c r="J2925" s="330"/>
    </row>
    <row r="2926" spans="2:10" ht="12.75" x14ac:dyDescent="0.2">
      <c r="B2926" s="331"/>
      <c r="C2926" s="327"/>
      <c r="D2926" s="331"/>
      <c r="F2926" s="329"/>
      <c r="I2926" s="330"/>
      <c r="J2926" s="330"/>
    </row>
    <row r="2927" spans="2:10" ht="12.75" x14ac:dyDescent="0.2">
      <c r="B2927" s="331"/>
      <c r="C2927" s="327"/>
      <c r="D2927" s="331"/>
      <c r="F2927" s="329"/>
      <c r="I2927" s="330"/>
      <c r="J2927" s="330"/>
    </row>
    <row r="2928" spans="2:10" ht="12.75" x14ac:dyDescent="0.2">
      <c r="B2928" s="331"/>
      <c r="C2928" s="327"/>
      <c r="D2928" s="331"/>
      <c r="F2928" s="329"/>
      <c r="I2928" s="330"/>
      <c r="J2928" s="330"/>
    </row>
    <row r="2929" spans="2:10" ht="12.75" x14ac:dyDescent="0.2">
      <c r="B2929" s="331"/>
      <c r="C2929" s="327"/>
      <c r="D2929" s="331"/>
      <c r="F2929" s="329"/>
      <c r="I2929" s="330"/>
      <c r="J2929" s="330"/>
    </row>
    <row r="2930" spans="2:10" ht="12.75" x14ac:dyDescent="0.2">
      <c r="B2930" s="331"/>
      <c r="C2930" s="327"/>
      <c r="D2930" s="331"/>
      <c r="F2930" s="329"/>
      <c r="I2930" s="330"/>
      <c r="J2930" s="330"/>
    </row>
    <row r="2931" spans="2:10" ht="12.75" x14ac:dyDescent="0.2">
      <c r="B2931" s="331"/>
      <c r="C2931" s="327"/>
      <c r="D2931" s="331"/>
      <c r="F2931" s="329"/>
      <c r="I2931" s="330"/>
      <c r="J2931" s="330"/>
    </row>
    <row r="2932" spans="2:10" ht="12.75" x14ac:dyDescent="0.2">
      <c r="B2932" s="331"/>
      <c r="C2932" s="327"/>
      <c r="D2932" s="331"/>
      <c r="F2932" s="329"/>
      <c r="I2932" s="330"/>
      <c r="J2932" s="330"/>
    </row>
    <row r="2933" spans="2:10" ht="12.75" x14ac:dyDescent="0.2">
      <c r="B2933" s="331"/>
      <c r="C2933" s="327"/>
      <c r="D2933" s="331"/>
      <c r="F2933" s="329"/>
      <c r="I2933" s="330"/>
      <c r="J2933" s="330"/>
    </row>
    <row r="2934" spans="2:10" ht="12.75" x14ac:dyDescent="0.2">
      <c r="B2934" s="331"/>
      <c r="C2934" s="327"/>
      <c r="D2934" s="331"/>
      <c r="F2934" s="329"/>
      <c r="I2934" s="330"/>
      <c r="J2934" s="330"/>
    </row>
    <row r="2935" spans="2:10" ht="12.75" x14ac:dyDescent="0.2">
      <c r="B2935" s="331"/>
      <c r="C2935" s="327"/>
      <c r="D2935" s="331"/>
      <c r="F2935" s="329"/>
      <c r="I2935" s="330"/>
      <c r="J2935" s="330"/>
    </row>
    <row r="2936" spans="2:10" ht="12.75" x14ac:dyDescent="0.2">
      <c r="B2936" s="331"/>
      <c r="C2936" s="327"/>
      <c r="D2936" s="331"/>
      <c r="F2936" s="329"/>
      <c r="I2936" s="330"/>
      <c r="J2936" s="330"/>
    </row>
    <row r="2937" spans="2:10" ht="12.75" x14ac:dyDescent="0.2">
      <c r="B2937" s="331"/>
      <c r="C2937" s="327"/>
      <c r="D2937" s="331"/>
      <c r="F2937" s="329"/>
      <c r="I2937" s="330"/>
      <c r="J2937" s="330"/>
    </row>
    <row r="2938" spans="2:10" ht="12.75" x14ac:dyDescent="0.2">
      <c r="B2938" s="331"/>
      <c r="C2938" s="327"/>
      <c r="D2938" s="331"/>
      <c r="F2938" s="329"/>
      <c r="I2938" s="330"/>
      <c r="J2938" s="330"/>
    </row>
    <row r="2939" spans="2:10" ht="12.75" x14ac:dyDescent="0.2">
      <c r="B2939" s="331"/>
      <c r="C2939" s="327"/>
      <c r="D2939" s="331"/>
      <c r="F2939" s="329"/>
      <c r="I2939" s="330"/>
      <c r="J2939" s="330"/>
    </row>
    <row r="2940" spans="2:10" ht="12.75" x14ac:dyDescent="0.2">
      <c r="B2940" s="331"/>
      <c r="C2940" s="327"/>
      <c r="D2940" s="331"/>
      <c r="F2940" s="329"/>
      <c r="I2940" s="330"/>
      <c r="J2940" s="330"/>
    </row>
    <row r="2941" spans="2:10" ht="12.75" x14ac:dyDescent="0.2">
      <c r="B2941" s="331"/>
      <c r="C2941" s="327"/>
      <c r="D2941" s="331"/>
      <c r="F2941" s="329"/>
      <c r="I2941" s="330"/>
      <c r="J2941" s="330"/>
    </row>
    <row r="2942" spans="2:10" ht="12.75" x14ac:dyDescent="0.2">
      <c r="B2942" s="331"/>
      <c r="C2942" s="327"/>
      <c r="D2942" s="331"/>
      <c r="F2942" s="329"/>
      <c r="I2942" s="330"/>
      <c r="J2942" s="330"/>
    </row>
    <row r="2943" spans="2:10" ht="12.75" x14ac:dyDescent="0.2">
      <c r="B2943" s="331"/>
      <c r="C2943" s="327"/>
      <c r="D2943" s="331"/>
      <c r="F2943" s="329"/>
      <c r="I2943" s="330"/>
      <c r="J2943" s="330"/>
    </row>
    <row r="2944" spans="2:10" ht="12.75" x14ac:dyDescent="0.2">
      <c r="B2944" s="331"/>
      <c r="C2944" s="327"/>
      <c r="D2944" s="331"/>
      <c r="F2944" s="329"/>
      <c r="I2944" s="330"/>
      <c r="J2944" s="330"/>
    </row>
    <row r="2945" spans="2:10" ht="12.75" x14ac:dyDescent="0.2">
      <c r="B2945" s="331"/>
      <c r="C2945" s="327"/>
      <c r="D2945" s="331"/>
      <c r="F2945" s="329"/>
      <c r="I2945" s="330"/>
      <c r="J2945" s="330"/>
    </row>
    <row r="2946" spans="2:10" ht="12.75" x14ac:dyDescent="0.2">
      <c r="B2946" s="331"/>
      <c r="C2946" s="327"/>
      <c r="D2946" s="331"/>
      <c r="F2946" s="329"/>
      <c r="I2946" s="330"/>
      <c r="J2946" s="330"/>
    </row>
    <row r="2947" spans="2:10" ht="12.75" x14ac:dyDescent="0.2">
      <c r="B2947" s="331"/>
      <c r="C2947" s="327"/>
      <c r="D2947" s="331"/>
      <c r="F2947" s="329"/>
      <c r="I2947" s="330"/>
      <c r="J2947" s="330"/>
    </row>
    <row r="2948" spans="2:10" ht="12.75" x14ac:dyDescent="0.2">
      <c r="B2948" s="331"/>
      <c r="C2948" s="327"/>
      <c r="D2948" s="331"/>
      <c r="F2948" s="329"/>
      <c r="I2948" s="330"/>
      <c r="J2948" s="330"/>
    </row>
    <row r="2949" spans="2:10" ht="12.75" x14ac:dyDescent="0.2">
      <c r="B2949" s="331"/>
      <c r="C2949" s="327"/>
      <c r="D2949" s="331"/>
      <c r="F2949" s="329"/>
      <c r="I2949" s="330"/>
      <c r="J2949" s="330"/>
    </row>
    <row r="2950" spans="2:10" ht="12.75" x14ac:dyDescent="0.2">
      <c r="B2950" s="331"/>
      <c r="C2950" s="327"/>
      <c r="D2950" s="331"/>
      <c r="F2950" s="329"/>
      <c r="I2950" s="330"/>
      <c r="J2950" s="330"/>
    </row>
    <row r="2951" spans="2:10" ht="12.75" x14ac:dyDescent="0.2">
      <c r="B2951" s="331"/>
      <c r="C2951" s="327"/>
      <c r="D2951" s="331"/>
      <c r="F2951" s="329"/>
      <c r="I2951" s="330"/>
      <c r="J2951" s="330"/>
    </row>
    <row r="2952" spans="2:10" ht="12.75" x14ac:dyDescent="0.2">
      <c r="B2952" s="331"/>
      <c r="C2952" s="327"/>
      <c r="D2952" s="331"/>
      <c r="F2952" s="329"/>
      <c r="I2952" s="330"/>
      <c r="J2952" s="330"/>
    </row>
    <row r="2953" spans="2:10" ht="12.75" x14ac:dyDescent="0.2">
      <c r="B2953" s="331"/>
      <c r="C2953" s="327"/>
      <c r="D2953" s="331"/>
      <c r="F2953" s="329"/>
      <c r="I2953" s="330"/>
      <c r="J2953" s="330"/>
    </row>
    <row r="2954" spans="2:10" ht="12.75" x14ac:dyDescent="0.2">
      <c r="B2954" s="331"/>
      <c r="C2954" s="327"/>
      <c r="D2954" s="331"/>
      <c r="F2954" s="329"/>
      <c r="I2954" s="330"/>
      <c r="J2954" s="330"/>
    </row>
    <row r="2955" spans="2:10" ht="12.75" x14ac:dyDescent="0.2">
      <c r="B2955" s="331"/>
      <c r="C2955" s="327"/>
      <c r="D2955" s="331"/>
      <c r="F2955" s="329"/>
      <c r="I2955" s="330"/>
      <c r="J2955" s="330"/>
    </row>
    <row r="2956" spans="2:10" ht="12.75" x14ac:dyDescent="0.2">
      <c r="B2956" s="331"/>
      <c r="C2956" s="327"/>
      <c r="D2956" s="331"/>
      <c r="F2956" s="329"/>
      <c r="I2956" s="330"/>
      <c r="J2956" s="330"/>
    </row>
    <row r="2957" spans="2:10" ht="12.75" x14ac:dyDescent="0.2">
      <c r="B2957" s="331"/>
      <c r="C2957" s="327"/>
      <c r="D2957" s="331"/>
      <c r="F2957" s="329"/>
      <c r="I2957" s="330"/>
      <c r="J2957" s="330"/>
    </row>
    <row r="2958" spans="2:10" ht="12.75" x14ac:dyDescent="0.2">
      <c r="B2958" s="331"/>
      <c r="C2958" s="327"/>
      <c r="D2958" s="331"/>
      <c r="F2958" s="329"/>
      <c r="I2958" s="330"/>
      <c r="J2958" s="330"/>
    </row>
    <row r="2959" spans="2:10" ht="12.75" x14ac:dyDescent="0.2">
      <c r="B2959" s="331"/>
      <c r="C2959" s="327"/>
      <c r="D2959" s="331"/>
      <c r="F2959" s="329"/>
      <c r="I2959" s="330"/>
      <c r="J2959" s="330"/>
    </row>
    <row r="2960" spans="2:10" ht="12.75" x14ac:dyDescent="0.2">
      <c r="B2960" s="331"/>
      <c r="C2960" s="327"/>
      <c r="D2960" s="331"/>
      <c r="F2960" s="329"/>
      <c r="I2960" s="330"/>
      <c r="J2960" s="330"/>
    </row>
    <row r="2961" spans="2:10" ht="12.75" x14ac:dyDescent="0.2">
      <c r="B2961" s="331"/>
      <c r="C2961" s="327"/>
      <c r="D2961" s="331"/>
      <c r="F2961" s="329"/>
      <c r="I2961" s="330"/>
      <c r="J2961" s="330"/>
    </row>
    <row r="2962" spans="2:10" ht="12.75" x14ac:dyDescent="0.2">
      <c r="B2962" s="331"/>
      <c r="C2962" s="327"/>
      <c r="D2962" s="331"/>
      <c r="F2962" s="329"/>
      <c r="I2962" s="330"/>
      <c r="J2962" s="330"/>
    </row>
    <row r="2963" spans="2:10" ht="12.75" x14ac:dyDescent="0.2">
      <c r="B2963" s="331"/>
      <c r="C2963" s="327"/>
      <c r="D2963" s="331"/>
      <c r="F2963" s="329"/>
      <c r="I2963" s="330"/>
      <c r="J2963" s="330"/>
    </row>
    <row r="2964" spans="2:10" ht="12.75" x14ac:dyDescent="0.2">
      <c r="B2964" s="331"/>
      <c r="C2964" s="327"/>
      <c r="D2964" s="331"/>
      <c r="F2964" s="329"/>
      <c r="I2964" s="330"/>
      <c r="J2964" s="330"/>
    </row>
    <row r="2965" spans="2:10" ht="12.75" x14ac:dyDescent="0.2">
      <c r="B2965" s="331"/>
      <c r="C2965" s="327"/>
      <c r="D2965" s="331"/>
      <c r="F2965" s="329"/>
      <c r="I2965" s="330"/>
      <c r="J2965" s="330"/>
    </row>
    <row r="2966" spans="2:10" ht="12.75" x14ac:dyDescent="0.2">
      <c r="B2966" s="331"/>
      <c r="C2966" s="327"/>
      <c r="D2966" s="331"/>
      <c r="F2966" s="329"/>
      <c r="I2966" s="330"/>
      <c r="J2966" s="330"/>
    </row>
    <row r="2967" spans="2:10" ht="12.75" x14ac:dyDescent="0.2">
      <c r="B2967" s="331"/>
      <c r="C2967" s="327"/>
      <c r="D2967" s="331"/>
      <c r="F2967" s="329"/>
      <c r="I2967" s="330"/>
      <c r="J2967" s="330"/>
    </row>
    <row r="2968" spans="2:10" ht="12.75" x14ac:dyDescent="0.2">
      <c r="B2968" s="331"/>
      <c r="C2968" s="327"/>
      <c r="D2968" s="331"/>
      <c r="F2968" s="329"/>
      <c r="I2968" s="330"/>
      <c r="J2968" s="330"/>
    </row>
    <row r="2969" spans="2:10" ht="12.75" x14ac:dyDescent="0.2">
      <c r="B2969" s="331"/>
      <c r="C2969" s="327"/>
      <c r="D2969" s="331"/>
      <c r="F2969" s="329"/>
      <c r="I2969" s="330"/>
      <c r="J2969" s="330"/>
    </row>
    <row r="2970" spans="2:10" ht="12.75" x14ac:dyDescent="0.2">
      <c r="B2970" s="331"/>
      <c r="C2970" s="327"/>
      <c r="D2970" s="331"/>
      <c r="F2970" s="329"/>
      <c r="I2970" s="330"/>
      <c r="J2970" s="330"/>
    </row>
    <row r="2971" spans="2:10" ht="12.75" x14ac:dyDescent="0.2">
      <c r="B2971" s="331"/>
      <c r="C2971" s="327"/>
      <c r="D2971" s="331"/>
      <c r="F2971" s="329"/>
      <c r="I2971" s="330"/>
      <c r="J2971" s="330"/>
    </row>
    <row r="2972" spans="2:10" ht="12.75" x14ac:dyDescent="0.2">
      <c r="B2972" s="331"/>
      <c r="C2972" s="327"/>
      <c r="D2972" s="331"/>
      <c r="F2972" s="329"/>
      <c r="I2972" s="330"/>
      <c r="J2972" s="330"/>
    </row>
    <row r="2973" spans="2:10" ht="12.75" x14ac:dyDescent="0.2">
      <c r="B2973" s="331"/>
      <c r="C2973" s="327"/>
      <c r="D2973" s="331"/>
      <c r="F2973" s="329"/>
      <c r="I2973" s="330"/>
      <c r="J2973" s="330"/>
    </row>
    <row r="2974" spans="2:10" ht="12.75" x14ac:dyDescent="0.2">
      <c r="B2974" s="331"/>
      <c r="C2974" s="327"/>
      <c r="D2974" s="331"/>
      <c r="F2974" s="329"/>
      <c r="I2974" s="330"/>
      <c r="J2974" s="330"/>
    </row>
    <row r="2975" spans="2:10" ht="12.75" x14ac:dyDescent="0.2">
      <c r="B2975" s="331"/>
      <c r="C2975" s="327"/>
      <c r="D2975" s="331"/>
      <c r="F2975" s="329"/>
      <c r="I2975" s="330"/>
      <c r="J2975" s="330"/>
    </row>
    <row r="2976" spans="2:10" ht="12.75" x14ac:dyDescent="0.2">
      <c r="B2976" s="331"/>
      <c r="C2976" s="327"/>
      <c r="D2976" s="331"/>
      <c r="F2976" s="329"/>
      <c r="I2976" s="330"/>
      <c r="J2976" s="330"/>
    </row>
    <row r="2977" spans="2:10" ht="12.75" x14ac:dyDescent="0.2">
      <c r="B2977" s="331"/>
      <c r="C2977" s="327"/>
      <c r="D2977" s="331"/>
      <c r="F2977" s="329"/>
      <c r="I2977" s="330"/>
      <c r="J2977" s="330"/>
    </row>
    <row r="2978" spans="2:10" ht="12.75" x14ac:dyDescent="0.2">
      <c r="B2978" s="331"/>
      <c r="C2978" s="327"/>
      <c r="D2978" s="331"/>
      <c r="F2978" s="329"/>
      <c r="I2978" s="330"/>
      <c r="J2978" s="330"/>
    </row>
    <row r="2979" spans="2:10" ht="12.75" x14ac:dyDescent="0.2">
      <c r="B2979" s="331"/>
      <c r="C2979" s="327"/>
      <c r="D2979" s="331"/>
      <c r="F2979" s="329"/>
      <c r="I2979" s="330"/>
      <c r="J2979" s="330"/>
    </row>
    <row r="2980" spans="2:10" ht="12.75" x14ac:dyDescent="0.2">
      <c r="B2980" s="331"/>
      <c r="C2980" s="327"/>
      <c r="D2980" s="331"/>
      <c r="F2980" s="329"/>
      <c r="I2980" s="330"/>
      <c r="J2980" s="330"/>
    </row>
    <row r="2981" spans="2:10" ht="12.75" x14ac:dyDescent="0.2">
      <c r="B2981" s="331"/>
      <c r="C2981" s="327"/>
      <c r="D2981" s="331"/>
      <c r="F2981" s="329"/>
      <c r="I2981" s="330"/>
      <c r="J2981" s="330"/>
    </row>
    <row r="2982" spans="2:10" ht="12.75" x14ac:dyDescent="0.2">
      <c r="B2982" s="331"/>
      <c r="C2982" s="327"/>
      <c r="D2982" s="331"/>
      <c r="F2982" s="329"/>
      <c r="I2982" s="330"/>
      <c r="J2982" s="330"/>
    </row>
    <row r="2983" spans="2:10" ht="12.75" x14ac:dyDescent="0.2">
      <c r="B2983" s="331"/>
      <c r="C2983" s="327"/>
      <c r="D2983" s="331"/>
      <c r="F2983" s="329"/>
      <c r="I2983" s="330"/>
      <c r="J2983" s="330"/>
    </row>
    <row r="2984" spans="2:10" ht="12.75" x14ac:dyDescent="0.2">
      <c r="B2984" s="331"/>
      <c r="C2984" s="327"/>
      <c r="D2984" s="331"/>
      <c r="F2984" s="329"/>
      <c r="I2984" s="330"/>
      <c r="J2984" s="330"/>
    </row>
    <row r="2985" spans="2:10" ht="12.75" x14ac:dyDescent="0.2">
      <c r="B2985" s="331"/>
      <c r="C2985" s="327"/>
      <c r="D2985" s="331"/>
      <c r="F2985" s="329"/>
      <c r="I2985" s="330"/>
      <c r="J2985" s="330"/>
    </row>
    <row r="2986" spans="2:10" ht="12.75" x14ac:dyDescent="0.2">
      <c r="B2986" s="331"/>
      <c r="C2986" s="327"/>
      <c r="D2986" s="331"/>
      <c r="F2986" s="329"/>
      <c r="I2986" s="330"/>
      <c r="J2986" s="330"/>
    </row>
    <row r="2987" spans="2:10" ht="12.75" x14ac:dyDescent="0.2">
      <c r="B2987" s="331"/>
      <c r="C2987" s="327"/>
      <c r="D2987" s="331"/>
      <c r="F2987" s="329"/>
      <c r="I2987" s="330"/>
      <c r="J2987" s="330"/>
    </row>
    <row r="2988" spans="2:10" ht="12.75" x14ac:dyDescent="0.2">
      <c r="B2988" s="331"/>
      <c r="C2988" s="327"/>
      <c r="D2988" s="331"/>
      <c r="F2988" s="329"/>
      <c r="I2988" s="330"/>
      <c r="J2988" s="330"/>
    </row>
    <row r="2989" spans="2:10" ht="12.75" x14ac:dyDescent="0.2">
      <c r="B2989" s="331"/>
      <c r="C2989" s="327"/>
      <c r="D2989" s="331"/>
      <c r="F2989" s="329"/>
      <c r="I2989" s="330"/>
      <c r="J2989" s="330"/>
    </row>
    <row r="2990" spans="2:10" ht="12.75" x14ac:dyDescent="0.2">
      <c r="B2990" s="331"/>
      <c r="C2990" s="327"/>
      <c r="D2990" s="331"/>
      <c r="F2990" s="329"/>
      <c r="I2990" s="330"/>
      <c r="J2990" s="330"/>
    </row>
    <row r="2991" spans="2:10" ht="12.75" x14ac:dyDescent="0.2">
      <c r="B2991" s="331"/>
      <c r="C2991" s="327"/>
      <c r="D2991" s="331"/>
      <c r="F2991" s="329"/>
      <c r="I2991" s="330"/>
      <c r="J2991" s="330"/>
    </row>
    <row r="2992" spans="2:10" ht="12.75" x14ac:dyDescent="0.2">
      <c r="B2992" s="331"/>
      <c r="C2992" s="327"/>
      <c r="D2992" s="331"/>
      <c r="F2992" s="329"/>
      <c r="I2992" s="330"/>
      <c r="J2992" s="330"/>
    </row>
    <row r="2993" spans="2:10" ht="12.75" x14ac:dyDescent="0.2">
      <c r="B2993" s="331"/>
      <c r="C2993" s="327"/>
      <c r="D2993" s="331"/>
      <c r="F2993" s="329"/>
      <c r="I2993" s="330"/>
      <c r="J2993" s="330"/>
    </row>
    <row r="2994" spans="2:10" ht="12.75" x14ac:dyDescent="0.2">
      <c r="B2994" s="331"/>
      <c r="C2994" s="327"/>
      <c r="D2994" s="331"/>
      <c r="F2994" s="329"/>
      <c r="I2994" s="330"/>
      <c r="J2994" s="330"/>
    </row>
    <row r="2995" spans="2:10" ht="12.75" x14ac:dyDescent="0.2">
      <c r="B2995" s="331"/>
      <c r="C2995" s="327"/>
      <c r="D2995" s="331"/>
      <c r="F2995" s="329"/>
      <c r="I2995" s="330"/>
      <c r="J2995" s="330"/>
    </row>
    <row r="2996" spans="2:10" ht="12.75" x14ac:dyDescent="0.2">
      <c r="B2996" s="331"/>
      <c r="C2996" s="327"/>
      <c r="D2996" s="331"/>
      <c r="F2996" s="329"/>
      <c r="I2996" s="330"/>
      <c r="J2996" s="330"/>
    </row>
    <row r="2997" spans="2:10" ht="12.75" x14ac:dyDescent="0.2">
      <c r="B2997" s="331"/>
      <c r="C2997" s="327"/>
      <c r="D2997" s="331"/>
      <c r="F2997" s="329"/>
      <c r="I2997" s="330"/>
      <c r="J2997" s="330"/>
    </row>
    <row r="2998" spans="2:10" ht="12.75" x14ac:dyDescent="0.2">
      <c r="B2998" s="331"/>
      <c r="C2998" s="327"/>
      <c r="D2998" s="331"/>
      <c r="F2998" s="329"/>
      <c r="I2998" s="330"/>
      <c r="J2998" s="330"/>
    </row>
    <row r="2999" spans="2:10" ht="12.75" x14ac:dyDescent="0.2">
      <c r="B2999" s="331"/>
      <c r="C2999" s="327"/>
      <c r="D2999" s="331"/>
      <c r="F2999" s="329"/>
      <c r="I2999" s="330"/>
      <c r="J2999" s="330"/>
    </row>
    <row r="3000" spans="2:10" ht="12.75" x14ac:dyDescent="0.2">
      <c r="B3000" s="331"/>
      <c r="C3000" s="327"/>
      <c r="D3000" s="331"/>
      <c r="F3000" s="329"/>
      <c r="I3000" s="330"/>
      <c r="J3000" s="330"/>
    </row>
    <row r="3001" spans="2:10" ht="12.75" x14ac:dyDescent="0.2">
      <c r="B3001" s="331"/>
      <c r="C3001" s="327"/>
      <c r="D3001" s="331"/>
      <c r="F3001" s="329"/>
      <c r="I3001" s="330"/>
      <c r="J3001" s="330"/>
    </row>
    <row r="3002" spans="2:10" ht="12.75" x14ac:dyDescent="0.2">
      <c r="B3002" s="331"/>
      <c r="C3002" s="327"/>
      <c r="D3002" s="331"/>
      <c r="F3002" s="329"/>
      <c r="I3002" s="330"/>
      <c r="J3002" s="330"/>
    </row>
    <row r="3003" spans="2:10" ht="12.75" x14ac:dyDescent="0.2">
      <c r="B3003" s="331"/>
      <c r="C3003" s="327"/>
      <c r="D3003" s="331"/>
      <c r="F3003" s="329"/>
      <c r="I3003" s="330"/>
      <c r="J3003" s="330"/>
    </row>
    <row r="3004" spans="2:10" ht="12.75" x14ac:dyDescent="0.2">
      <c r="B3004" s="331"/>
      <c r="C3004" s="327"/>
      <c r="D3004" s="331"/>
      <c r="F3004" s="329"/>
      <c r="I3004" s="330"/>
      <c r="J3004" s="330"/>
    </row>
    <row r="3005" spans="2:10" ht="12.75" x14ac:dyDescent="0.2">
      <c r="B3005" s="331"/>
      <c r="C3005" s="327"/>
      <c r="D3005" s="331"/>
      <c r="F3005" s="329"/>
      <c r="I3005" s="330"/>
      <c r="J3005" s="330"/>
    </row>
    <row r="3006" spans="2:10" ht="12.75" x14ac:dyDescent="0.2">
      <c r="B3006" s="331"/>
      <c r="C3006" s="327"/>
      <c r="D3006" s="331"/>
      <c r="F3006" s="329"/>
      <c r="I3006" s="330"/>
      <c r="J3006" s="330"/>
    </row>
    <row r="3007" spans="2:10" ht="12.75" x14ac:dyDescent="0.2">
      <c r="B3007" s="331"/>
      <c r="C3007" s="327"/>
      <c r="D3007" s="331"/>
      <c r="F3007" s="329"/>
      <c r="I3007" s="330"/>
      <c r="J3007" s="330"/>
    </row>
    <row r="3008" spans="2:10" ht="12.75" x14ac:dyDescent="0.2">
      <c r="B3008" s="331"/>
      <c r="C3008" s="327"/>
      <c r="D3008" s="331"/>
      <c r="F3008" s="329"/>
      <c r="I3008" s="330"/>
      <c r="J3008" s="330"/>
    </row>
    <row r="3009" spans="2:10" ht="12.75" x14ac:dyDescent="0.2">
      <c r="B3009" s="331"/>
      <c r="C3009" s="327"/>
      <c r="D3009" s="331"/>
      <c r="F3009" s="329"/>
      <c r="I3009" s="330"/>
      <c r="J3009" s="330"/>
    </row>
    <row r="3010" spans="2:10" ht="12.75" x14ac:dyDescent="0.2">
      <c r="B3010" s="331"/>
      <c r="C3010" s="327"/>
      <c r="D3010" s="331"/>
      <c r="F3010" s="329"/>
      <c r="I3010" s="330"/>
      <c r="J3010" s="330"/>
    </row>
    <row r="3011" spans="2:10" ht="12.75" x14ac:dyDescent="0.2">
      <c r="B3011" s="331"/>
      <c r="C3011" s="327"/>
      <c r="D3011" s="331"/>
      <c r="F3011" s="329"/>
      <c r="I3011" s="330"/>
      <c r="J3011" s="330"/>
    </row>
    <row r="3012" spans="2:10" ht="12.75" x14ac:dyDescent="0.2">
      <c r="B3012" s="331"/>
      <c r="C3012" s="327"/>
      <c r="D3012" s="331"/>
      <c r="F3012" s="329"/>
      <c r="I3012" s="330"/>
      <c r="J3012" s="330"/>
    </row>
    <row r="3013" spans="2:10" ht="12.75" x14ac:dyDescent="0.2">
      <c r="B3013" s="331"/>
      <c r="C3013" s="327"/>
      <c r="D3013" s="331"/>
      <c r="F3013" s="329"/>
      <c r="I3013" s="330"/>
      <c r="J3013" s="330"/>
    </row>
    <row r="3014" spans="2:10" ht="12.75" x14ac:dyDescent="0.2">
      <c r="B3014" s="331"/>
      <c r="C3014" s="327"/>
      <c r="D3014" s="331"/>
      <c r="F3014" s="329"/>
      <c r="I3014" s="330"/>
      <c r="J3014" s="330"/>
    </row>
    <row r="3015" spans="2:10" ht="12.75" x14ac:dyDescent="0.2">
      <c r="B3015" s="331"/>
      <c r="C3015" s="327"/>
      <c r="D3015" s="331"/>
      <c r="F3015" s="329"/>
      <c r="I3015" s="330"/>
      <c r="J3015" s="330"/>
    </row>
    <row r="3016" spans="2:10" ht="12.75" x14ac:dyDescent="0.2">
      <c r="B3016" s="331"/>
      <c r="C3016" s="327"/>
      <c r="D3016" s="331"/>
      <c r="F3016" s="329"/>
      <c r="I3016" s="330"/>
      <c r="J3016" s="330"/>
    </row>
    <row r="3017" spans="2:10" ht="12.75" x14ac:dyDescent="0.2">
      <c r="B3017" s="331"/>
      <c r="C3017" s="327"/>
      <c r="D3017" s="331"/>
      <c r="F3017" s="329"/>
      <c r="I3017" s="330"/>
      <c r="J3017" s="330"/>
    </row>
    <row r="3018" spans="2:10" ht="12.75" x14ac:dyDescent="0.2">
      <c r="B3018" s="331"/>
      <c r="C3018" s="327"/>
      <c r="D3018" s="331"/>
      <c r="F3018" s="329"/>
      <c r="I3018" s="330"/>
      <c r="J3018" s="330"/>
    </row>
    <row r="3019" spans="2:10" ht="12.75" x14ac:dyDescent="0.2">
      <c r="B3019" s="331"/>
      <c r="C3019" s="327"/>
      <c r="D3019" s="331"/>
      <c r="F3019" s="329"/>
      <c r="I3019" s="330"/>
      <c r="J3019" s="330"/>
    </row>
    <row r="3020" spans="2:10" ht="12.75" x14ac:dyDescent="0.2">
      <c r="B3020" s="331"/>
      <c r="C3020" s="327"/>
      <c r="D3020" s="331"/>
      <c r="F3020" s="329"/>
      <c r="I3020" s="330"/>
      <c r="J3020" s="330"/>
    </row>
    <row r="3021" spans="2:10" ht="12.75" x14ac:dyDescent="0.2">
      <c r="B3021" s="331"/>
      <c r="C3021" s="327"/>
      <c r="D3021" s="331"/>
      <c r="F3021" s="329"/>
      <c r="I3021" s="330"/>
      <c r="J3021" s="330"/>
    </row>
    <row r="3022" spans="2:10" ht="12.75" x14ac:dyDescent="0.2">
      <c r="B3022" s="331"/>
      <c r="C3022" s="327"/>
      <c r="D3022" s="331"/>
      <c r="F3022" s="329"/>
      <c r="I3022" s="330"/>
      <c r="J3022" s="330"/>
    </row>
    <row r="3023" spans="2:10" ht="12.75" x14ac:dyDescent="0.2">
      <c r="B3023" s="331"/>
      <c r="C3023" s="327"/>
      <c r="D3023" s="331"/>
      <c r="F3023" s="329"/>
      <c r="I3023" s="330"/>
      <c r="J3023" s="330"/>
    </row>
    <row r="3024" spans="2:10" ht="12.75" x14ac:dyDescent="0.2">
      <c r="B3024" s="331"/>
      <c r="C3024" s="327"/>
      <c r="D3024" s="331"/>
      <c r="F3024" s="329"/>
      <c r="I3024" s="330"/>
      <c r="J3024" s="330"/>
    </row>
    <row r="3025" spans="1:11" ht="12.75" x14ac:dyDescent="0.2">
      <c r="B3025" s="331"/>
      <c r="C3025" s="327"/>
      <c r="D3025" s="331"/>
      <c r="F3025" s="329"/>
      <c r="I3025" s="330"/>
      <c r="J3025" s="330"/>
    </row>
    <row r="3026" spans="1:11" ht="12.75" x14ac:dyDescent="0.2">
      <c r="B3026" s="331"/>
      <c r="C3026" s="327"/>
      <c r="D3026" s="331"/>
      <c r="F3026" s="329"/>
      <c r="I3026" s="330"/>
      <c r="J3026" s="330"/>
    </row>
    <row r="3027" spans="1:11" ht="12.75" x14ac:dyDescent="0.2">
      <c r="B3027" s="331"/>
      <c r="C3027" s="327"/>
      <c r="D3027" s="331"/>
      <c r="F3027" s="329"/>
      <c r="I3027" s="330"/>
      <c r="J3027" s="330"/>
    </row>
    <row r="3028" spans="1:11" ht="12.75" x14ac:dyDescent="0.2">
      <c r="B3028" s="331"/>
      <c r="C3028" s="327"/>
      <c r="D3028" s="331"/>
      <c r="F3028" s="329"/>
      <c r="I3028" s="330"/>
      <c r="J3028" s="330"/>
    </row>
    <row r="3029" spans="1:11" ht="12.75" x14ac:dyDescent="0.2">
      <c r="B3029" s="331"/>
      <c r="C3029" s="327"/>
      <c r="D3029" s="331"/>
      <c r="F3029" s="329"/>
      <c r="I3029" s="330"/>
      <c r="J3029" s="330"/>
    </row>
    <row r="3030" spans="1:11" ht="12.75" x14ac:dyDescent="0.2">
      <c r="B3030" s="331"/>
      <c r="C3030" s="327"/>
      <c r="D3030" s="331"/>
      <c r="F3030" s="329"/>
      <c r="I3030" s="330"/>
      <c r="J3030" s="330"/>
    </row>
    <row r="3031" spans="1:11" ht="12.75" x14ac:dyDescent="0.2">
      <c r="B3031" s="331"/>
      <c r="C3031" s="327"/>
      <c r="D3031" s="331"/>
      <c r="F3031" s="329"/>
      <c r="I3031" s="330"/>
      <c r="J3031" s="330"/>
    </row>
    <row r="3032" spans="1:11" ht="12.75" x14ac:dyDescent="0.2">
      <c r="B3032" s="331"/>
      <c r="C3032" s="327"/>
      <c r="D3032" s="331"/>
      <c r="F3032" s="329"/>
      <c r="I3032" s="330"/>
      <c r="J3032" s="330"/>
    </row>
    <row r="3033" spans="1:11" ht="12.75" x14ac:dyDescent="0.2">
      <c r="B3033" s="331"/>
      <c r="C3033" s="327"/>
      <c r="D3033" s="331"/>
      <c r="F3033" s="329"/>
      <c r="I3033" s="330"/>
      <c r="J3033" s="330"/>
    </row>
    <row r="3034" spans="1:11" ht="12.75" x14ac:dyDescent="0.2">
      <c r="B3034" s="331"/>
      <c r="C3034" s="327"/>
      <c r="D3034" s="331"/>
      <c r="F3034" s="329"/>
      <c r="I3034" s="330"/>
      <c r="J3034" s="330"/>
    </row>
    <row r="3035" spans="1:11" ht="12.75" x14ac:dyDescent="0.2">
      <c r="B3035" s="331"/>
      <c r="C3035" s="327"/>
      <c r="D3035" s="331"/>
      <c r="F3035" s="329"/>
      <c r="I3035" s="330"/>
      <c r="J3035" s="330"/>
    </row>
    <row r="3036" spans="1:11" ht="12.75" x14ac:dyDescent="0.2">
      <c r="B3036" s="331"/>
      <c r="C3036" s="327"/>
      <c r="D3036" s="331"/>
      <c r="F3036" s="329"/>
      <c r="I3036" s="330"/>
      <c r="J3036" s="330"/>
    </row>
    <row r="3037" spans="1:11" ht="12.75" x14ac:dyDescent="0.2">
      <c r="B3037" s="331"/>
      <c r="C3037" s="327"/>
      <c r="D3037" s="331"/>
      <c r="F3037" s="329"/>
      <c r="I3037" s="330"/>
      <c r="J3037" s="330"/>
    </row>
    <row r="3038" spans="1:11" x14ac:dyDescent="0.25">
      <c r="A3038" s="332"/>
      <c r="B3038" s="333"/>
      <c r="C3038" s="327"/>
      <c r="D3038" s="333"/>
      <c r="E3038" s="332"/>
      <c r="F3038" s="332"/>
      <c r="G3038" s="332"/>
      <c r="H3038" s="332"/>
      <c r="I3038" s="334"/>
      <c r="J3038" s="334"/>
      <c r="K3038" s="332"/>
    </row>
    <row r="3039" spans="1:11" x14ac:dyDescent="0.25">
      <c r="A3039" s="332"/>
      <c r="B3039" s="333"/>
      <c r="C3039" s="327"/>
      <c r="D3039" s="333"/>
      <c r="E3039" s="335"/>
      <c r="F3039" s="336"/>
      <c r="G3039" s="332"/>
      <c r="H3039" s="332"/>
      <c r="I3039" s="337"/>
      <c r="J3039" s="337"/>
      <c r="K3039" s="332"/>
    </row>
    <row r="3040" spans="1:11" x14ac:dyDescent="0.25">
      <c r="A3040" s="332"/>
      <c r="B3040" s="333"/>
      <c r="C3040" s="327"/>
      <c r="D3040" s="333"/>
      <c r="E3040" s="335"/>
      <c r="F3040" s="336"/>
      <c r="G3040" s="332"/>
      <c r="H3040" s="332"/>
      <c r="I3040" s="337"/>
      <c r="J3040" s="337"/>
      <c r="K3040" s="332"/>
    </row>
    <row r="3041" spans="1:11" x14ac:dyDescent="0.25">
      <c r="A3041" s="332"/>
      <c r="B3041" s="333"/>
      <c r="C3041" s="327"/>
      <c r="D3041" s="333"/>
      <c r="E3041" s="335"/>
      <c r="F3041" s="336"/>
      <c r="G3041" s="332"/>
      <c r="H3041" s="332"/>
      <c r="I3041" s="337"/>
      <c r="J3041" s="337"/>
      <c r="K3041" s="332"/>
    </row>
    <row r="3042" spans="1:11" x14ac:dyDescent="0.25">
      <c r="A3042" s="332"/>
      <c r="B3042" s="333"/>
      <c r="C3042" s="327"/>
      <c r="D3042" s="333"/>
      <c r="E3042" s="335"/>
      <c r="F3042" s="336"/>
      <c r="G3042" s="332"/>
      <c r="H3042" s="332"/>
      <c r="I3042" s="337"/>
      <c r="J3042" s="337"/>
      <c r="K3042" s="332"/>
    </row>
    <row r="3043" spans="1:11" x14ac:dyDescent="0.25">
      <c r="A3043" s="332"/>
      <c r="B3043" s="333"/>
      <c r="C3043" s="327"/>
      <c r="D3043" s="333"/>
      <c r="E3043" s="335"/>
      <c r="F3043" s="336"/>
      <c r="G3043" s="332"/>
      <c r="H3043" s="332"/>
      <c r="I3043" s="337"/>
      <c r="J3043" s="337"/>
      <c r="K3043" s="332"/>
    </row>
    <row r="3044" spans="1:11" x14ac:dyDescent="0.25">
      <c r="A3044" s="332"/>
      <c r="B3044" s="333"/>
      <c r="C3044" s="327"/>
      <c r="D3044" s="333"/>
      <c r="E3044" s="335"/>
      <c r="F3044" s="336"/>
      <c r="G3044" s="332"/>
      <c r="H3044" s="332"/>
      <c r="I3044" s="337"/>
      <c r="J3044" s="337"/>
      <c r="K3044" s="332"/>
    </row>
    <row r="3045" spans="1:11" x14ac:dyDescent="0.25">
      <c r="A3045" s="332"/>
      <c r="B3045" s="333"/>
      <c r="C3045" s="327"/>
      <c r="D3045" s="333"/>
      <c r="E3045" s="335"/>
      <c r="F3045" s="336"/>
      <c r="G3045" s="332"/>
      <c r="H3045" s="332"/>
      <c r="I3045" s="337"/>
      <c r="J3045" s="337"/>
      <c r="K3045" s="332"/>
    </row>
    <row r="3046" spans="1:11" x14ac:dyDescent="0.25">
      <c r="A3046" s="332"/>
      <c r="B3046" s="333"/>
      <c r="C3046" s="327"/>
      <c r="D3046" s="333"/>
      <c r="E3046" s="335"/>
      <c r="F3046" s="336"/>
      <c r="G3046" s="332"/>
      <c r="H3046" s="332"/>
      <c r="I3046" s="337"/>
      <c r="J3046" s="337"/>
      <c r="K3046" s="332"/>
    </row>
    <row r="3047" spans="1:11" x14ac:dyDescent="0.25">
      <c r="A3047" s="332"/>
      <c r="B3047" s="333"/>
      <c r="C3047" s="327"/>
      <c r="D3047" s="333"/>
      <c r="E3047" s="335"/>
      <c r="F3047" s="336"/>
      <c r="G3047" s="332"/>
      <c r="H3047" s="332"/>
      <c r="I3047" s="337"/>
      <c r="J3047" s="337"/>
      <c r="K3047" s="332"/>
    </row>
    <row r="3048" spans="1:11" x14ac:dyDescent="0.25">
      <c r="A3048" s="332"/>
      <c r="B3048" s="333"/>
      <c r="C3048" s="327"/>
      <c r="D3048" s="333"/>
      <c r="E3048" s="335"/>
      <c r="F3048" s="336"/>
      <c r="G3048" s="332"/>
      <c r="H3048" s="332"/>
      <c r="I3048" s="337"/>
      <c r="J3048" s="337"/>
      <c r="K3048" s="332"/>
    </row>
    <row r="3049" spans="1:11" x14ac:dyDescent="0.25">
      <c r="A3049" s="332"/>
      <c r="B3049" s="333"/>
      <c r="C3049" s="327"/>
      <c r="D3049" s="333"/>
      <c r="E3049" s="335"/>
      <c r="F3049" s="336"/>
      <c r="G3049" s="332"/>
      <c r="H3049" s="332"/>
      <c r="I3049" s="337"/>
      <c r="J3049" s="337"/>
      <c r="K3049" s="332"/>
    </row>
    <row r="3050" spans="1:11" x14ac:dyDescent="0.25">
      <c r="A3050" s="332"/>
      <c r="B3050" s="333"/>
      <c r="C3050" s="327"/>
      <c r="D3050" s="333"/>
      <c r="E3050" s="335"/>
      <c r="F3050" s="336"/>
      <c r="G3050" s="332"/>
      <c r="H3050" s="332"/>
      <c r="I3050" s="337"/>
      <c r="J3050" s="337"/>
      <c r="K3050" s="332"/>
    </row>
    <row r="3051" spans="1:11" x14ac:dyDescent="0.25">
      <c r="A3051" s="332"/>
      <c r="B3051" s="333"/>
      <c r="C3051" s="327"/>
      <c r="D3051" s="333"/>
      <c r="E3051" s="335"/>
      <c r="F3051" s="336"/>
      <c r="G3051" s="332"/>
      <c r="H3051" s="332"/>
      <c r="I3051" s="337"/>
      <c r="J3051" s="337"/>
      <c r="K3051" s="332"/>
    </row>
    <row r="3052" spans="1:11" x14ac:dyDescent="0.25">
      <c r="A3052" s="332"/>
      <c r="B3052" s="333"/>
      <c r="C3052" s="327"/>
      <c r="D3052" s="333"/>
      <c r="E3052" s="335"/>
      <c r="F3052" s="336"/>
      <c r="G3052" s="332"/>
      <c r="H3052" s="332"/>
      <c r="I3052" s="337"/>
      <c r="J3052" s="337"/>
      <c r="K3052" s="332"/>
    </row>
    <row r="3053" spans="1:11" x14ac:dyDescent="0.25">
      <c r="A3053" s="332"/>
      <c r="B3053" s="333"/>
      <c r="C3053" s="327"/>
      <c r="D3053" s="333"/>
      <c r="E3053" s="335"/>
      <c r="F3053" s="336"/>
      <c r="G3053" s="332"/>
      <c r="H3053" s="332"/>
      <c r="I3053" s="337"/>
      <c r="J3053" s="337"/>
      <c r="K3053" s="332"/>
    </row>
    <row r="3054" spans="1:11" x14ac:dyDescent="0.25">
      <c r="A3054" s="332"/>
      <c r="B3054" s="333"/>
      <c r="C3054" s="327"/>
      <c r="D3054" s="333"/>
      <c r="E3054" s="335"/>
      <c r="F3054" s="336"/>
      <c r="G3054" s="332"/>
      <c r="H3054" s="332"/>
      <c r="I3054" s="337"/>
      <c r="J3054" s="337"/>
      <c r="K3054" s="332"/>
    </row>
    <row r="3055" spans="1:11" x14ac:dyDescent="0.25">
      <c r="A3055" s="332"/>
      <c r="B3055" s="333"/>
      <c r="C3055" s="327"/>
      <c r="D3055" s="333"/>
      <c r="E3055" s="335"/>
      <c r="F3055" s="336"/>
      <c r="G3055" s="332"/>
      <c r="H3055" s="332"/>
      <c r="I3055" s="337"/>
      <c r="J3055" s="337"/>
      <c r="K3055" s="332"/>
    </row>
    <row r="3056" spans="1:11" x14ac:dyDescent="0.25">
      <c r="A3056" s="332"/>
      <c r="B3056" s="333"/>
      <c r="C3056" s="327"/>
      <c r="D3056" s="333"/>
      <c r="E3056" s="335"/>
      <c r="F3056" s="336"/>
      <c r="G3056" s="332"/>
      <c r="H3056" s="332"/>
      <c r="I3056" s="337"/>
      <c r="J3056" s="337"/>
      <c r="K3056" s="332"/>
    </row>
    <row r="3057" spans="1:11" x14ac:dyDescent="0.25">
      <c r="A3057" s="332"/>
      <c r="B3057" s="333"/>
      <c r="C3057" s="327"/>
      <c r="D3057" s="333"/>
      <c r="E3057" s="335"/>
      <c r="F3057" s="336"/>
      <c r="G3057" s="332"/>
      <c r="H3057" s="332"/>
      <c r="I3057" s="337"/>
      <c r="J3057" s="337"/>
      <c r="K3057" s="332"/>
    </row>
    <row r="3058" spans="1:11" x14ac:dyDescent="0.25">
      <c r="A3058" s="332"/>
      <c r="B3058" s="333"/>
      <c r="C3058" s="327"/>
      <c r="D3058" s="333"/>
      <c r="E3058" s="335"/>
      <c r="F3058" s="336"/>
      <c r="G3058" s="332"/>
      <c r="H3058" s="332"/>
      <c r="I3058" s="337"/>
      <c r="J3058" s="337"/>
      <c r="K3058" s="332"/>
    </row>
    <row r="3059" spans="1:11" x14ac:dyDescent="0.25">
      <c r="A3059" s="332"/>
      <c r="B3059" s="333"/>
      <c r="C3059" s="327"/>
      <c r="D3059" s="333"/>
      <c r="E3059" s="335"/>
      <c r="F3059" s="336"/>
      <c r="G3059" s="332"/>
      <c r="H3059" s="332"/>
      <c r="I3059" s="337"/>
      <c r="J3059" s="337"/>
      <c r="K3059" s="332"/>
    </row>
    <row r="3060" spans="1:11" x14ac:dyDescent="0.25">
      <c r="A3060" s="332"/>
      <c r="B3060" s="333"/>
      <c r="C3060" s="327"/>
      <c r="D3060" s="333"/>
      <c r="E3060" s="335"/>
      <c r="F3060" s="336"/>
      <c r="G3060" s="332"/>
      <c r="H3060" s="332"/>
      <c r="I3060" s="337"/>
      <c r="J3060" s="337"/>
      <c r="K3060" s="332"/>
    </row>
    <row r="3061" spans="1:11" x14ac:dyDescent="0.25">
      <c r="A3061" s="332"/>
      <c r="B3061" s="333"/>
      <c r="C3061" s="327"/>
      <c r="D3061" s="333"/>
      <c r="E3061" s="335"/>
      <c r="F3061" s="336"/>
      <c r="G3061" s="332"/>
      <c r="H3061" s="332"/>
      <c r="I3061" s="337"/>
      <c r="J3061" s="337"/>
      <c r="K3061" s="332"/>
    </row>
    <row r="3062" spans="1:11" x14ac:dyDescent="0.25">
      <c r="A3062" s="332"/>
      <c r="B3062" s="333"/>
      <c r="C3062" s="327"/>
      <c r="D3062" s="333"/>
      <c r="E3062" s="335"/>
      <c r="F3062" s="336"/>
      <c r="G3062" s="332"/>
      <c r="H3062" s="332"/>
      <c r="I3062" s="337"/>
      <c r="J3062" s="337"/>
      <c r="K3062" s="332"/>
    </row>
    <row r="3063" spans="1:11" x14ac:dyDescent="0.25">
      <c r="A3063" s="332"/>
      <c r="B3063" s="333"/>
      <c r="C3063" s="327"/>
      <c r="D3063" s="333"/>
      <c r="E3063" s="335"/>
      <c r="F3063" s="336"/>
      <c r="G3063" s="332"/>
      <c r="H3063" s="332"/>
      <c r="I3063" s="337"/>
      <c r="J3063" s="337"/>
      <c r="K3063" s="332"/>
    </row>
    <row r="3064" spans="1:11" x14ac:dyDescent="0.25">
      <c r="A3064" s="332"/>
      <c r="B3064" s="333"/>
      <c r="C3064" s="327"/>
      <c r="D3064" s="333"/>
      <c r="E3064" s="335"/>
      <c r="F3064" s="336"/>
      <c r="G3064" s="332"/>
      <c r="H3064" s="332"/>
      <c r="I3064" s="337"/>
      <c r="J3064" s="337"/>
      <c r="K3064" s="332"/>
    </row>
    <row r="3065" spans="1:11" x14ac:dyDescent="0.25">
      <c r="A3065" s="332"/>
      <c r="B3065" s="333"/>
      <c r="C3065" s="327"/>
      <c r="D3065" s="333"/>
      <c r="E3065" s="335"/>
      <c r="F3065" s="336"/>
      <c r="G3065" s="332"/>
      <c r="H3065" s="332"/>
      <c r="I3065" s="337"/>
      <c r="J3065" s="337"/>
      <c r="K3065" s="332"/>
    </row>
    <row r="3066" spans="1:11" x14ac:dyDescent="0.25">
      <c r="A3066" s="332"/>
      <c r="B3066" s="333"/>
      <c r="C3066" s="327"/>
      <c r="D3066" s="333"/>
      <c r="E3066" s="335"/>
      <c r="F3066" s="336"/>
      <c r="G3066" s="332"/>
      <c r="H3066" s="332"/>
      <c r="I3066" s="337"/>
      <c r="J3066" s="337"/>
      <c r="K3066" s="332"/>
    </row>
    <row r="3067" spans="1:11" x14ac:dyDescent="0.25">
      <c r="A3067" s="332"/>
      <c r="B3067" s="333"/>
      <c r="C3067" s="327"/>
      <c r="D3067" s="333"/>
      <c r="E3067" s="335"/>
      <c r="F3067" s="336"/>
      <c r="G3067" s="332"/>
      <c r="H3067" s="332"/>
      <c r="I3067" s="337"/>
      <c r="J3067" s="337"/>
      <c r="K3067" s="332"/>
    </row>
    <row r="3068" spans="1:11" x14ac:dyDescent="0.25">
      <c r="A3068" s="332"/>
      <c r="B3068" s="333"/>
      <c r="C3068" s="327"/>
      <c r="D3068" s="333"/>
      <c r="E3068" s="335"/>
      <c r="F3068" s="336"/>
      <c r="G3068" s="332"/>
      <c r="H3068" s="332"/>
      <c r="I3068" s="337"/>
      <c r="J3068" s="337"/>
      <c r="K3068" s="332"/>
    </row>
    <row r="3069" spans="1:11" x14ac:dyDescent="0.25">
      <c r="A3069" s="332"/>
      <c r="B3069" s="333"/>
      <c r="C3069" s="327"/>
      <c r="D3069" s="333"/>
      <c r="E3069" s="335"/>
      <c r="F3069" s="336"/>
      <c r="G3069" s="332"/>
      <c r="H3069" s="332"/>
      <c r="I3069" s="337"/>
      <c r="J3069" s="337"/>
      <c r="K3069" s="332"/>
    </row>
    <row r="3070" spans="1:11" x14ac:dyDescent="0.25">
      <c r="A3070" s="332"/>
      <c r="B3070" s="333"/>
      <c r="C3070" s="327"/>
      <c r="D3070" s="333"/>
      <c r="E3070" s="335"/>
      <c r="F3070" s="336"/>
      <c r="G3070" s="332"/>
      <c r="H3070" s="332"/>
      <c r="I3070" s="337"/>
      <c r="J3070" s="337"/>
      <c r="K3070" s="332"/>
    </row>
    <row r="3071" spans="1:11" x14ac:dyDescent="0.25">
      <c r="A3071" s="332"/>
      <c r="B3071" s="333"/>
      <c r="C3071" s="327"/>
      <c r="D3071" s="333"/>
      <c r="E3071" s="335"/>
      <c r="F3071" s="336"/>
      <c r="G3071" s="332"/>
      <c r="H3071" s="332"/>
      <c r="I3071" s="337"/>
      <c r="J3071" s="337"/>
      <c r="K3071" s="332"/>
    </row>
    <row r="3072" spans="1:11" x14ac:dyDescent="0.25">
      <c r="A3072" s="332"/>
      <c r="B3072" s="333"/>
      <c r="C3072" s="327"/>
      <c r="D3072" s="333"/>
      <c r="E3072" s="335"/>
      <c r="F3072" s="336"/>
      <c r="G3072" s="332"/>
      <c r="H3072" s="332"/>
      <c r="I3072" s="337"/>
      <c r="J3072" s="337"/>
      <c r="K3072" s="332"/>
    </row>
    <row r="3073" spans="1:11" x14ac:dyDescent="0.25">
      <c r="A3073" s="332"/>
      <c r="B3073" s="333"/>
      <c r="C3073" s="327"/>
      <c r="D3073" s="333"/>
      <c r="E3073" s="335"/>
      <c r="F3073" s="336"/>
      <c r="G3073" s="332"/>
      <c r="H3073" s="332"/>
      <c r="I3073" s="337"/>
      <c r="J3073" s="337"/>
      <c r="K3073" s="332"/>
    </row>
    <row r="3074" spans="1:11" x14ac:dyDescent="0.25">
      <c r="A3074" s="332"/>
      <c r="B3074" s="333"/>
      <c r="C3074" s="327"/>
      <c r="D3074" s="333"/>
      <c r="E3074" s="335"/>
      <c r="F3074" s="336"/>
      <c r="G3074" s="332"/>
      <c r="H3074" s="332"/>
      <c r="I3074" s="337"/>
      <c r="J3074" s="337"/>
      <c r="K3074" s="332"/>
    </row>
    <row r="3075" spans="1:11" x14ac:dyDescent="0.25">
      <c r="A3075" s="332"/>
      <c r="B3075" s="333"/>
      <c r="C3075" s="327"/>
      <c r="D3075" s="333"/>
      <c r="E3075" s="335"/>
      <c r="F3075" s="336"/>
      <c r="G3075" s="332"/>
      <c r="H3075" s="332"/>
      <c r="I3075" s="337"/>
      <c r="J3075" s="337"/>
      <c r="K3075" s="332"/>
    </row>
    <row r="3076" spans="1:11" x14ac:dyDescent="0.25">
      <c r="A3076" s="332"/>
      <c r="B3076" s="333"/>
      <c r="C3076" s="327"/>
      <c r="D3076" s="333"/>
      <c r="E3076" s="335"/>
      <c r="F3076" s="336"/>
      <c r="G3076" s="332"/>
      <c r="H3076" s="332"/>
      <c r="I3076" s="337"/>
      <c r="J3076" s="337"/>
      <c r="K3076" s="332"/>
    </row>
    <row r="3077" spans="1:11" x14ac:dyDescent="0.25">
      <c r="A3077" s="332"/>
      <c r="B3077" s="333"/>
      <c r="C3077" s="327"/>
      <c r="D3077" s="333"/>
      <c r="E3077" s="335"/>
      <c r="F3077" s="336"/>
      <c r="G3077" s="332"/>
      <c r="H3077" s="332"/>
      <c r="I3077" s="337"/>
      <c r="J3077" s="337"/>
      <c r="K3077" s="332"/>
    </row>
    <row r="3078" spans="1:11" x14ac:dyDescent="0.25">
      <c r="A3078" s="332"/>
      <c r="B3078" s="333"/>
      <c r="C3078" s="327"/>
      <c r="D3078" s="333"/>
      <c r="E3078" s="335"/>
      <c r="F3078" s="336"/>
      <c r="G3078" s="332"/>
      <c r="H3078" s="332"/>
      <c r="I3078" s="337"/>
      <c r="J3078" s="337"/>
      <c r="K3078" s="332"/>
    </row>
    <row r="3079" spans="1:11" x14ac:dyDescent="0.25">
      <c r="A3079" s="332"/>
      <c r="B3079" s="333"/>
      <c r="C3079" s="327"/>
      <c r="D3079" s="333"/>
      <c r="E3079" s="335"/>
      <c r="F3079" s="336"/>
      <c r="G3079" s="332"/>
      <c r="H3079" s="332"/>
      <c r="I3079" s="337"/>
      <c r="J3079" s="337"/>
      <c r="K3079" s="332"/>
    </row>
    <row r="3080" spans="1:11" x14ac:dyDescent="0.25">
      <c r="A3080" s="332"/>
      <c r="B3080" s="333"/>
      <c r="C3080" s="327"/>
      <c r="D3080" s="333"/>
      <c r="E3080" s="335"/>
      <c r="F3080" s="336"/>
      <c r="G3080" s="332"/>
      <c r="H3080" s="332"/>
      <c r="I3080" s="337"/>
      <c r="J3080" s="337"/>
      <c r="K3080" s="332"/>
    </row>
    <row r="3081" spans="1:11" x14ac:dyDescent="0.25">
      <c r="A3081" s="332"/>
      <c r="B3081" s="333"/>
      <c r="C3081" s="327"/>
      <c r="D3081" s="333"/>
      <c r="E3081" s="335"/>
      <c r="F3081" s="336"/>
      <c r="G3081" s="332"/>
      <c r="H3081" s="332"/>
      <c r="I3081" s="337"/>
      <c r="J3081" s="337"/>
      <c r="K3081" s="332"/>
    </row>
    <row r="3082" spans="1:11" x14ac:dyDescent="0.25">
      <c r="A3082" s="332"/>
      <c r="B3082" s="333"/>
      <c r="C3082" s="327"/>
      <c r="D3082" s="333"/>
      <c r="E3082" s="335"/>
      <c r="F3082" s="336"/>
      <c r="G3082" s="332"/>
      <c r="H3082" s="332"/>
      <c r="I3082" s="337"/>
      <c r="J3082" s="337"/>
      <c r="K3082" s="332"/>
    </row>
    <row r="3083" spans="1:11" x14ac:dyDescent="0.25">
      <c r="A3083" s="332"/>
      <c r="B3083" s="333"/>
      <c r="C3083" s="327"/>
      <c r="D3083" s="333"/>
      <c r="E3083" s="335"/>
      <c r="F3083" s="336"/>
      <c r="G3083" s="332"/>
      <c r="H3083" s="332"/>
      <c r="I3083" s="337"/>
      <c r="J3083" s="337"/>
      <c r="K3083" s="332"/>
    </row>
    <row r="3084" spans="1:11" x14ac:dyDescent="0.25">
      <c r="A3084" s="332"/>
      <c r="B3084" s="333"/>
      <c r="C3084" s="327"/>
      <c r="D3084" s="333"/>
      <c r="E3084" s="335"/>
      <c r="F3084" s="336"/>
      <c r="G3084" s="332"/>
      <c r="H3084" s="332"/>
      <c r="I3084" s="337"/>
      <c r="J3084" s="337"/>
      <c r="K3084" s="332"/>
    </row>
    <row r="3085" spans="1:11" x14ac:dyDescent="0.25">
      <c r="A3085" s="332"/>
      <c r="B3085" s="333"/>
      <c r="C3085" s="327"/>
      <c r="D3085" s="333"/>
      <c r="E3085" s="335"/>
      <c r="F3085" s="336"/>
      <c r="G3085" s="332"/>
      <c r="H3085" s="332"/>
      <c r="I3085" s="337"/>
      <c r="J3085" s="337"/>
      <c r="K3085" s="332"/>
    </row>
    <row r="3086" spans="1:11" x14ac:dyDescent="0.25">
      <c r="A3086" s="332"/>
      <c r="B3086" s="333"/>
      <c r="C3086" s="327"/>
      <c r="D3086" s="333"/>
      <c r="E3086" s="335"/>
      <c r="F3086" s="336"/>
      <c r="G3086" s="332"/>
      <c r="H3086" s="332"/>
      <c r="I3086" s="337"/>
      <c r="J3086" s="337"/>
      <c r="K3086" s="332"/>
    </row>
    <row r="3087" spans="1:11" x14ac:dyDescent="0.25">
      <c r="A3087" s="332"/>
      <c r="B3087" s="333"/>
      <c r="C3087" s="327"/>
      <c r="D3087" s="333"/>
      <c r="E3087" s="335"/>
      <c r="F3087" s="336"/>
      <c r="G3087" s="332"/>
      <c r="H3087" s="332"/>
      <c r="I3087" s="337"/>
      <c r="J3087" s="337"/>
      <c r="K3087" s="332"/>
    </row>
    <row r="3088" spans="1:11" x14ac:dyDescent="0.25">
      <c r="A3088" s="332"/>
      <c r="B3088" s="333"/>
      <c r="C3088" s="327"/>
      <c r="D3088" s="333"/>
      <c r="E3088" s="335"/>
      <c r="F3088" s="336"/>
      <c r="G3088" s="332"/>
      <c r="H3088" s="332"/>
      <c r="I3088" s="337"/>
      <c r="J3088" s="337"/>
      <c r="K3088" s="332"/>
    </row>
    <row r="3089" spans="1:11" x14ac:dyDescent="0.25">
      <c r="A3089" s="332"/>
      <c r="B3089" s="333"/>
      <c r="C3089" s="327"/>
      <c r="D3089" s="333"/>
      <c r="E3089" s="335"/>
      <c r="F3089" s="336"/>
      <c r="G3089" s="332"/>
      <c r="H3089" s="332"/>
      <c r="I3089" s="337"/>
      <c r="J3089" s="337"/>
      <c r="K3089" s="332"/>
    </row>
    <row r="3090" spans="1:11" x14ac:dyDescent="0.25">
      <c r="A3090" s="332"/>
      <c r="B3090" s="333"/>
      <c r="C3090" s="327"/>
      <c r="D3090" s="333"/>
      <c r="E3090" s="335"/>
      <c r="F3090" s="336"/>
      <c r="G3090" s="332"/>
      <c r="H3090" s="332"/>
      <c r="I3090" s="337"/>
      <c r="J3090" s="337"/>
      <c r="K3090" s="332"/>
    </row>
    <row r="3091" spans="1:11" x14ac:dyDescent="0.25">
      <c r="A3091" s="332"/>
      <c r="B3091" s="333"/>
      <c r="C3091" s="327"/>
      <c r="D3091" s="333"/>
      <c r="E3091" s="335"/>
      <c r="F3091" s="336"/>
      <c r="G3091" s="332"/>
      <c r="H3091" s="332"/>
      <c r="I3091" s="337"/>
      <c r="J3091" s="337"/>
      <c r="K3091" s="332"/>
    </row>
    <row r="3092" spans="1:11" x14ac:dyDescent="0.25">
      <c r="A3092" s="332"/>
      <c r="B3092" s="333"/>
      <c r="C3092" s="327"/>
      <c r="D3092" s="333"/>
      <c r="E3092" s="335"/>
      <c r="F3092" s="336"/>
      <c r="G3092" s="332"/>
      <c r="H3092" s="332"/>
      <c r="I3092" s="337"/>
      <c r="J3092" s="337"/>
      <c r="K3092" s="332"/>
    </row>
    <row r="3093" spans="1:11" x14ac:dyDescent="0.25">
      <c r="A3093" s="332"/>
      <c r="B3093" s="333"/>
      <c r="C3093" s="327"/>
      <c r="D3093" s="333"/>
      <c r="E3093" s="335"/>
      <c r="F3093" s="336"/>
      <c r="G3093" s="332"/>
      <c r="H3093" s="332"/>
      <c r="I3093" s="337"/>
      <c r="J3093" s="337"/>
      <c r="K3093" s="332"/>
    </row>
    <row r="3094" spans="1:11" x14ac:dyDescent="0.25">
      <c r="A3094" s="332"/>
      <c r="B3094" s="333"/>
      <c r="C3094" s="327"/>
      <c r="D3094" s="333"/>
      <c r="E3094" s="335"/>
      <c r="F3094" s="336"/>
      <c r="G3094" s="332"/>
      <c r="H3094" s="332"/>
      <c r="I3094" s="337"/>
      <c r="J3094" s="337"/>
      <c r="K3094" s="332"/>
    </row>
    <row r="3095" spans="1:11" x14ac:dyDescent="0.25">
      <c r="A3095" s="332"/>
      <c r="B3095" s="333"/>
      <c r="C3095" s="327"/>
      <c r="D3095" s="333"/>
      <c r="E3095" s="335"/>
      <c r="F3095" s="336"/>
      <c r="G3095" s="332"/>
      <c r="H3095" s="332"/>
      <c r="I3095" s="337"/>
      <c r="J3095" s="337"/>
      <c r="K3095" s="332"/>
    </row>
    <row r="3096" spans="1:11" x14ac:dyDescent="0.25">
      <c r="A3096" s="332"/>
      <c r="B3096" s="333"/>
      <c r="C3096" s="327"/>
      <c r="D3096" s="333"/>
      <c r="E3096" s="335"/>
      <c r="F3096" s="336"/>
      <c r="G3096" s="332"/>
      <c r="H3096" s="332"/>
      <c r="I3096" s="337"/>
      <c r="J3096" s="337"/>
      <c r="K3096" s="332"/>
    </row>
    <row r="3097" spans="1:11" x14ac:dyDescent="0.25">
      <c r="A3097" s="332"/>
      <c r="B3097" s="333"/>
      <c r="C3097" s="327"/>
      <c r="D3097" s="333"/>
      <c r="E3097" s="335"/>
      <c r="F3097" s="336"/>
      <c r="G3097" s="332"/>
      <c r="H3097" s="332"/>
      <c r="I3097" s="337"/>
      <c r="J3097" s="337"/>
      <c r="K3097" s="332"/>
    </row>
    <row r="3098" spans="1:11" x14ac:dyDescent="0.25">
      <c r="A3098" s="332"/>
      <c r="B3098" s="333"/>
      <c r="C3098" s="327"/>
      <c r="D3098" s="333"/>
      <c r="E3098" s="335"/>
      <c r="F3098" s="336"/>
      <c r="G3098" s="332"/>
      <c r="H3098" s="332"/>
      <c r="I3098" s="337"/>
      <c r="J3098" s="337"/>
      <c r="K3098" s="332"/>
    </row>
    <row r="3099" spans="1:11" x14ac:dyDescent="0.25">
      <c r="A3099" s="332"/>
      <c r="B3099" s="333"/>
      <c r="C3099" s="327"/>
      <c r="D3099" s="333"/>
      <c r="E3099" s="335"/>
      <c r="F3099" s="336"/>
      <c r="G3099" s="332"/>
      <c r="H3099" s="332"/>
      <c r="I3099" s="337"/>
      <c r="J3099" s="337"/>
      <c r="K3099" s="332"/>
    </row>
    <row r="3100" spans="1:11" x14ac:dyDescent="0.25">
      <c r="A3100" s="332"/>
      <c r="B3100" s="333"/>
      <c r="C3100" s="327"/>
      <c r="D3100" s="333"/>
      <c r="E3100" s="335"/>
      <c r="F3100" s="336"/>
      <c r="G3100" s="332"/>
      <c r="H3100" s="332"/>
      <c r="I3100" s="337"/>
      <c r="J3100" s="337"/>
      <c r="K3100" s="332"/>
    </row>
    <row r="3101" spans="1:11" x14ac:dyDescent="0.25">
      <c r="A3101" s="332"/>
      <c r="B3101" s="333"/>
      <c r="C3101" s="327"/>
      <c r="D3101" s="333"/>
      <c r="E3101" s="335"/>
      <c r="F3101" s="336"/>
      <c r="G3101" s="332"/>
      <c r="H3101" s="332"/>
      <c r="I3101" s="337"/>
      <c r="J3101" s="337"/>
      <c r="K3101" s="332"/>
    </row>
    <row r="3102" spans="1:11" x14ac:dyDescent="0.25">
      <c r="A3102" s="332"/>
      <c r="B3102" s="333"/>
      <c r="C3102" s="327"/>
      <c r="D3102" s="333"/>
      <c r="E3102" s="335"/>
      <c r="F3102" s="336"/>
      <c r="G3102" s="332"/>
      <c r="H3102" s="332"/>
      <c r="I3102" s="337"/>
      <c r="J3102" s="337"/>
      <c r="K3102" s="332"/>
    </row>
    <row r="3103" spans="1:11" x14ac:dyDescent="0.25">
      <c r="A3103" s="332"/>
      <c r="B3103" s="333"/>
      <c r="C3103" s="327"/>
      <c r="D3103" s="333"/>
      <c r="E3103" s="335"/>
      <c r="F3103" s="336"/>
      <c r="G3103" s="332"/>
      <c r="H3103" s="332"/>
      <c r="I3103" s="337"/>
      <c r="J3103" s="337"/>
      <c r="K3103" s="332"/>
    </row>
    <row r="3104" spans="1:11" x14ac:dyDescent="0.25">
      <c r="A3104" s="332"/>
      <c r="B3104" s="333"/>
      <c r="C3104" s="327"/>
      <c r="D3104" s="333"/>
      <c r="E3104" s="335"/>
      <c r="F3104" s="336"/>
      <c r="G3104" s="332"/>
      <c r="H3104" s="332"/>
      <c r="I3104" s="337"/>
      <c r="J3104" s="337"/>
      <c r="K3104" s="332"/>
    </row>
    <row r="3105" spans="1:11" x14ac:dyDescent="0.25">
      <c r="A3105" s="332"/>
      <c r="B3105" s="333"/>
      <c r="C3105" s="327"/>
      <c r="D3105" s="333"/>
      <c r="E3105" s="335"/>
      <c r="F3105" s="336"/>
      <c r="G3105" s="332"/>
      <c r="H3105" s="332"/>
      <c r="I3105" s="337"/>
      <c r="J3105" s="337"/>
      <c r="K3105" s="332"/>
    </row>
    <row r="3106" spans="1:11" x14ac:dyDescent="0.25">
      <c r="A3106" s="332"/>
      <c r="B3106" s="333"/>
      <c r="C3106" s="327"/>
      <c r="D3106" s="333"/>
      <c r="E3106" s="335"/>
      <c r="F3106" s="336"/>
      <c r="G3106" s="332"/>
      <c r="H3106" s="332"/>
      <c r="I3106" s="337"/>
      <c r="J3106" s="337"/>
      <c r="K3106" s="332"/>
    </row>
    <row r="3107" spans="1:11" x14ac:dyDescent="0.25">
      <c r="A3107" s="332"/>
      <c r="B3107" s="333"/>
      <c r="C3107" s="327"/>
      <c r="D3107" s="333"/>
      <c r="E3107" s="335"/>
      <c r="F3107" s="336"/>
      <c r="G3107" s="332"/>
      <c r="H3107" s="332"/>
      <c r="I3107" s="337"/>
      <c r="J3107" s="337"/>
      <c r="K3107" s="332"/>
    </row>
    <row r="3108" spans="1:11" x14ac:dyDescent="0.25">
      <c r="A3108" s="332"/>
      <c r="B3108" s="333"/>
      <c r="C3108" s="327"/>
      <c r="D3108" s="333"/>
      <c r="E3108" s="335"/>
      <c r="F3108" s="336"/>
      <c r="G3108" s="332"/>
      <c r="H3108" s="332"/>
      <c r="I3108" s="337"/>
      <c r="J3108" s="337"/>
      <c r="K3108" s="332"/>
    </row>
    <row r="3109" spans="1:11" x14ac:dyDescent="0.25">
      <c r="A3109" s="332"/>
      <c r="B3109" s="333"/>
      <c r="C3109" s="327"/>
      <c r="D3109" s="333"/>
      <c r="E3109" s="335"/>
      <c r="F3109" s="336"/>
      <c r="G3109" s="332"/>
      <c r="H3109" s="332"/>
      <c r="I3109" s="337"/>
      <c r="J3109" s="337"/>
      <c r="K3109" s="332"/>
    </row>
    <row r="3110" spans="1:11" x14ac:dyDescent="0.25">
      <c r="A3110" s="332"/>
      <c r="B3110" s="333"/>
      <c r="C3110" s="327"/>
      <c r="D3110" s="333"/>
      <c r="E3110" s="335"/>
      <c r="F3110" s="336"/>
      <c r="G3110" s="332"/>
      <c r="H3110" s="332"/>
      <c r="I3110" s="337"/>
      <c r="J3110" s="337"/>
      <c r="K3110" s="332"/>
    </row>
    <row r="3111" spans="1:11" x14ac:dyDescent="0.25">
      <c r="A3111" s="332"/>
      <c r="B3111" s="333"/>
      <c r="C3111" s="327"/>
      <c r="D3111" s="333"/>
      <c r="E3111" s="335"/>
      <c r="F3111" s="336"/>
      <c r="G3111" s="332"/>
      <c r="H3111" s="332"/>
      <c r="I3111" s="337"/>
      <c r="J3111" s="337"/>
      <c r="K3111" s="332"/>
    </row>
    <row r="3112" spans="1:11" x14ac:dyDescent="0.25">
      <c r="A3112" s="332"/>
      <c r="B3112" s="333"/>
      <c r="C3112" s="327"/>
      <c r="D3112" s="333"/>
      <c r="E3112" s="335"/>
      <c r="F3112" s="336"/>
      <c r="G3112" s="332"/>
      <c r="H3112" s="332"/>
      <c r="I3112" s="337"/>
      <c r="J3112" s="337"/>
      <c r="K3112" s="332"/>
    </row>
    <row r="3113" spans="1:11" x14ac:dyDescent="0.25">
      <c r="A3113" s="332"/>
      <c r="B3113" s="333"/>
      <c r="C3113" s="327"/>
      <c r="D3113" s="333"/>
      <c r="E3113" s="335"/>
      <c r="F3113" s="336"/>
      <c r="G3113" s="332"/>
      <c r="H3113" s="332"/>
      <c r="I3113" s="337"/>
      <c r="J3113" s="337"/>
      <c r="K3113" s="332"/>
    </row>
    <row r="3114" spans="1:11" x14ac:dyDescent="0.25">
      <c r="A3114" s="332"/>
      <c r="B3114" s="333"/>
      <c r="C3114" s="327"/>
      <c r="D3114" s="333"/>
      <c r="E3114" s="335"/>
      <c r="F3114" s="336"/>
      <c r="G3114" s="332"/>
      <c r="H3114" s="332"/>
      <c r="I3114" s="337"/>
      <c r="J3114" s="337"/>
      <c r="K3114" s="332"/>
    </row>
    <row r="3115" spans="1:11" x14ac:dyDescent="0.25">
      <c r="A3115" s="332"/>
      <c r="B3115" s="333"/>
      <c r="C3115" s="327"/>
      <c r="D3115" s="333"/>
      <c r="E3115" s="335"/>
      <c r="F3115" s="336"/>
      <c r="G3115" s="332"/>
      <c r="H3115" s="332"/>
      <c r="I3115" s="337"/>
      <c r="J3115" s="337"/>
      <c r="K3115" s="332"/>
    </row>
    <row r="3116" spans="1:11" x14ac:dyDescent="0.25">
      <c r="A3116" s="332"/>
      <c r="B3116" s="333"/>
      <c r="C3116" s="327"/>
      <c r="D3116" s="333"/>
      <c r="E3116" s="335"/>
      <c r="F3116" s="336"/>
      <c r="G3116" s="332"/>
      <c r="H3116" s="332"/>
      <c r="I3116" s="337"/>
      <c r="J3116" s="337"/>
      <c r="K3116" s="332"/>
    </row>
    <row r="3117" spans="1:11" x14ac:dyDescent="0.25">
      <c r="A3117" s="332"/>
      <c r="B3117" s="333"/>
      <c r="C3117" s="327"/>
      <c r="D3117" s="333"/>
      <c r="E3117" s="335"/>
      <c r="F3117" s="336"/>
      <c r="G3117" s="332"/>
      <c r="H3117" s="332"/>
      <c r="I3117" s="337"/>
      <c r="J3117" s="337"/>
      <c r="K3117" s="332"/>
    </row>
    <row r="3118" spans="1:11" x14ac:dyDescent="0.25">
      <c r="A3118" s="332"/>
      <c r="B3118" s="333"/>
      <c r="C3118" s="327"/>
      <c r="D3118" s="333"/>
      <c r="E3118" s="335"/>
      <c r="F3118" s="336"/>
      <c r="G3118" s="332"/>
      <c r="H3118" s="332"/>
      <c r="I3118" s="337"/>
      <c r="J3118" s="337"/>
      <c r="K3118" s="332"/>
    </row>
    <row r="3119" spans="1:11" x14ac:dyDescent="0.25">
      <c r="A3119" s="332"/>
      <c r="B3119" s="333"/>
      <c r="C3119" s="327"/>
      <c r="D3119" s="333"/>
      <c r="E3119" s="335"/>
      <c r="F3119" s="336"/>
      <c r="G3119" s="332"/>
      <c r="H3119" s="332"/>
      <c r="I3119" s="337"/>
      <c r="J3119" s="337"/>
      <c r="K3119" s="332"/>
    </row>
    <row r="3120" spans="1:11" x14ac:dyDescent="0.25">
      <c r="A3120" s="332"/>
      <c r="B3120" s="333"/>
      <c r="C3120" s="327"/>
      <c r="D3120" s="333"/>
      <c r="E3120" s="335"/>
      <c r="F3120" s="336"/>
      <c r="G3120" s="332"/>
      <c r="H3120" s="332"/>
      <c r="I3120" s="337"/>
      <c r="J3120" s="337"/>
      <c r="K3120" s="332"/>
    </row>
    <row r="3121" spans="1:11" x14ac:dyDescent="0.25">
      <c r="A3121" s="332"/>
      <c r="B3121" s="333"/>
      <c r="C3121" s="327"/>
      <c r="D3121" s="333"/>
      <c r="E3121" s="335"/>
      <c r="F3121" s="336"/>
      <c r="G3121" s="332"/>
      <c r="H3121" s="332"/>
      <c r="I3121" s="337"/>
      <c r="J3121" s="337"/>
      <c r="K3121" s="332"/>
    </row>
    <row r="3122" spans="1:11" x14ac:dyDescent="0.25">
      <c r="A3122" s="332"/>
      <c r="B3122" s="333"/>
      <c r="C3122" s="327"/>
      <c r="D3122" s="333"/>
      <c r="E3122" s="335"/>
      <c r="F3122" s="336"/>
      <c r="G3122" s="332"/>
      <c r="H3122" s="332"/>
      <c r="I3122" s="337"/>
      <c r="J3122" s="337"/>
      <c r="K3122" s="332"/>
    </row>
    <row r="3123" spans="1:11" x14ac:dyDescent="0.25">
      <c r="A3123" s="332"/>
      <c r="B3123" s="333"/>
      <c r="C3123" s="327"/>
      <c r="D3123" s="333"/>
      <c r="E3123" s="335"/>
      <c r="F3123" s="336"/>
      <c r="G3123" s="332"/>
      <c r="H3123" s="332"/>
      <c r="I3123" s="337"/>
      <c r="J3123" s="337"/>
      <c r="K3123" s="332"/>
    </row>
    <row r="3124" spans="1:11" x14ac:dyDescent="0.25">
      <c r="A3124" s="332"/>
      <c r="B3124" s="333"/>
      <c r="C3124" s="327"/>
      <c r="D3124" s="333"/>
      <c r="E3124" s="335"/>
      <c r="F3124" s="336"/>
      <c r="G3124" s="332"/>
      <c r="H3124" s="332"/>
      <c r="I3124" s="337"/>
      <c r="J3124" s="337"/>
      <c r="K3124" s="332"/>
    </row>
    <row r="3125" spans="1:11" x14ac:dyDescent="0.25">
      <c r="A3125" s="332"/>
      <c r="B3125" s="333"/>
      <c r="C3125" s="327"/>
      <c r="D3125" s="333"/>
      <c r="E3125" s="335"/>
      <c r="F3125" s="336"/>
      <c r="G3125" s="332"/>
      <c r="H3125" s="332"/>
      <c r="I3125" s="337"/>
      <c r="J3125" s="337"/>
      <c r="K3125" s="332"/>
    </row>
    <row r="3126" spans="1:11" x14ac:dyDescent="0.25">
      <c r="A3126" s="332"/>
      <c r="B3126" s="333"/>
      <c r="C3126" s="327"/>
      <c r="D3126" s="333"/>
      <c r="E3126" s="335"/>
      <c r="F3126" s="336"/>
      <c r="G3126" s="332"/>
      <c r="H3126" s="332"/>
      <c r="I3126" s="337"/>
      <c r="J3126" s="337"/>
      <c r="K3126" s="332"/>
    </row>
    <row r="3127" spans="1:11" x14ac:dyDescent="0.25">
      <c r="A3127" s="332"/>
      <c r="B3127" s="333"/>
      <c r="C3127" s="327"/>
      <c r="D3127" s="333"/>
      <c r="E3127" s="335"/>
      <c r="F3127" s="336"/>
      <c r="G3127" s="332"/>
      <c r="H3127" s="332"/>
      <c r="I3127" s="337"/>
      <c r="J3127" s="337"/>
      <c r="K3127" s="332"/>
    </row>
    <row r="3128" spans="1:11" x14ac:dyDescent="0.25">
      <c r="A3128" s="332"/>
      <c r="B3128" s="333"/>
      <c r="C3128" s="327"/>
      <c r="D3128" s="333"/>
      <c r="E3128" s="335"/>
      <c r="F3128" s="336"/>
      <c r="G3128" s="332"/>
      <c r="H3128" s="332"/>
      <c r="I3128" s="337"/>
      <c r="J3128" s="337"/>
      <c r="K3128" s="332"/>
    </row>
    <row r="3129" spans="1:11" x14ac:dyDescent="0.25">
      <c r="A3129" s="332"/>
      <c r="B3129" s="333"/>
      <c r="C3129" s="327"/>
      <c r="D3129" s="333"/>
      <c r="E3129" s="335"/>
      <c r="F3129" s="336"/>
      <c r="G3129" s="332"/>
      <c r="H3129" s="332"/>
      <c r="I3129" s="337"/>
      <c r="J3129" s="337"/>
      <c r="K3129" s="332"/>
    </row>
    <row r="3130" spans="1:11" x14ac:dyDescent="0.25">
      <c r="A3130" s="332"/>
      <c r="B3130" s="333"/>
      <c r="C3130" s="327"/>
      <c r="D3130" s="333"/>
      <c r="E3130" s="335"/>
      <c r="F3130" s="336"/>
      <c r="G3130" s="332"/>
      <c r="H3130" s="332"/>
      <c r="I3130" s="337"/>
      <c r="J3130" s="337"/>
      <c r="K3130" s="332"/>
    </row>
    <row r="3131" spans="1:11" x14ac:dyDescent="0.25">
      <c r="A3131" s="332"/>
      <c r="B3131" s="333"/>
      <c r="C3131" s="327"/>
      <c r="D3131" s="333"/>
      <c r="E3131" s="335"/>
      <c r="F3131" s="336"/>
      <c r="G3131" s="332"/>
      <c r="H3131" s="332"/>
      <c r="I3131" s="337"/>
      <c r="J3131" s="337"/>
      <c r="K3131" s="332"/>
    </row>
    <row r="3132" spans="1:11" x14ac:dyDescent="0.25">
      <c r="A3132" s="332"/>
      <c r="B3132" s="333"/>
      <c r="C3132" s="327"/>
      <c r="D3132" s="333"/>
      <c r="E3132" s="335"/>
      <c r="F3132" s="336"/>
      <c r="G3132" s="332"/>
      <c r="H3132" s="332"/>
      <c r="I3132" s="337"/>
      <c r="J3132" s="337"/>
      <c r="K3132" s="332"/>
    </row>
    <row r="3133" spans="1:11" x14ac:dyDescent="0.25">
      <c r="A3133" s="332"/>
      <c r="B3133" s="333"/>
      <c r="C3133" s="327"/>
      <c r="D3133" s="333"/>
      <c r="E3133" s="335"/>
      <c r="F3133" s="336"/>
      <c r="G3133" s="332"/>
      <c r="H3133" s="332"/>
      <c r="I3133" s="337"/>
      <c r="J3133" s="337"/>
      <c r="K3133" s="332"/>
    </row>
    <row r="3134" spans="1:11" x14ac:dyDescent="0.25">
      <c r="A3134" s="332"/>
      <c r="B3134" s="333"/>
      <c r="C3134" s="327"/>
      <c r="D3134" s="333"/>
      <c r="E3134" s="335"/>
      <c r="F3134" s="336"/>
      <c r="G3134" s="332"/>
      <c r="H3134" s="332"/>
      <c r="I3134" s="337"/>
      <c r="J3134" s="337"/>
      <c r="K3134" s="332"/>
    </row>
    <row r="3135" spans="1:11" x14ac:dyDescent="0.25">
      <c r="A3135" s="332"/>
      <c r="B3135" s="333"/>
      <c r="C3135" s="327"/>
      <c r="D3135" s="333"/>
      <c r="E3135" s="335"/>
      <c r="F3135" s="336"/>
      <c r="G3135" s="332"/>
      <c r="H3135" s="332"/>
      <c r="I3135" s="337"/>
      <c r="J3135" s="337"/>
      <c r="K3135" s="332"/>
    </row>
    <row r="3136" spans="1:11" x14ac:dyDescent="0.25">
      <c r="A3136" s="332"/>
      <c r="B3136" s="333"/>
      <c r="C3136" s="327"/>
      <c r="D3136" s="333"/>
      <c r="E3136" s="335"/>
      <c r="F3136" s="336"/>
      <c r="G3136" s="332"/>
      <c r="H3136" s="332"/>
      <c r="I3136" s="337"/>
      <c r="J3136" s="337"/>
      <c r="K3136" s="332"/>
    </row>
    <row r="3137" spans="1:11" x14ac:dyDescent="0.25">
      <c r="A3137" s="332"/>
      <c r="B3137" s="333"/>
      <c r="C3137" s="327"/>
      <c r="D3137" s="333"/>
      <c r="E3137" s="335"/>
      <c r="F3137" s="336"/>
      <c r="G3137" s="332"/>
      <c r="H3137" s="332"/>
      <c r="I3137" s="337"/>
      <c r="J3137" s="337"/>
      <c r="K3137" s="332"/>
    </row>
    <row r="3138" spans="1:11" x14ac:dyDescent="0.25">
      <c r="A3138" s="332"/>
      <c r="B3138" s="333"/>
      <c r="C3138" s="327"/>
      <c r="D3138" s="333"/>
      <c r="E3138" s="335"/>
      <c r="F3138" s="336"/>
      <c r="G3138" s="332"/>
      <c r="H3138" s="332"/>
      <c r="I3138" s="337"/>
      <c r="J3138" s="337"/>
      <c r="K3138" s="332"/>
    </row>
    <row r="3139" spans="1:11" x14ac:dyDescent="0.25">
      <c r="A3139" s="332"/>
      <c r="B3139" s="333"/>
      <c r="C3139" s="327"/>
      <c r="D3139" s="333"/>
      <c r="E3139" s="335"/>
      <c r="F3139" s="336"/>
      <c r="G3139" s="332"/>
      <c r="H3139" s="332"/>
      <c r="I3139" s="337"/>
      <c r="J3139" s="337"/>
      <c r="K3139" s="332"/>
    </row>
    <row r="3140" spans="1:11" x14ac:dyDescent="0.25">
      <c r="A3140" s="332"/>
      <c r="B3140" s="333"/>
      <c r="C3140" s="327"/>
      <c r="D3140" s="333"/>
      <c r="E3140" s="335"/>
      <c r="F3140" s="336"/>
      <c r="G3140" s="332"/>
      <c r="H3140" s="332"/>
      <c r="I3140" s="337"/>
      <c r="J3140" s="337"/>
      <c r="K3140" s="332"/>
    </row>
    <row r="3141" spans="1:11" x14ac:dyDescent="0.25">
      <c r="A3141" s="332"/>
      <c r="B3141" s="333"/>
      <c r="C3141" s="327"/>
      <c r="D3141" s="333"/>
      <c r="E3141" s="335"/>
      <c r="F3141" s="336"/>
      <c r="G3141" s="332"/>
      <c r="H3141" s="332"/>
      <c r="I3141" s="337"/>
      <c r="J3141" s="337"/>
      <c r="K3141" s="332"/>
    </row>
    <row r="3142" spans="1:11" x14ac:dyDescent="0.25">
      <c r="A3142" s="332"/>
      <c r="B3142" s="333"/>
      <c r="C3142" s="327"/>
      <c r="D3142" s="333"/>
      <c r="E3142" s="335"/>
      <c r="F3142" s="336"/>
      <c r="G3142" s="332"/>
      <c r="H3142" s="332"/>
      <c r="I3142" s="337"/>
      <c r="J3142" s="337"/>
      <c r="K3142" s="332"/>
    </row>
    <row r="3143" spans="1:11" x14ac:dyDescent="0.25">
      <c r="A3143" s="332"/>
      <c r="B3143" s="333"/>
      <c r="C3143" s="327"/>
      <c r="D3143" s="333"/>
      <c r="E3143" s="335"/>
      <c r="F3143" s="336"/>
      <c r="G3143" s="332"/>
      <c r="H3143" s="332"/>
      <c r="I3143" s="337"/>
      <c r="J3143" s="337"/>
      <c r="K3143" s="332"/>
    </row>
    <row r="3144" spans="1:11" x14ac:dyDescent="0.25">
      <c r="A3144" s="332"/>
      <c r="B3144" s="333"/>
      <c r="C3144" s="327"/>
      <c r="D3144" s="333"/>
      <c r="E3144" s="335"/>
      <c r="F3144" s="336"/>
      <c r="G3144" s="332"/>
      <c r="H3144" s="332"/>
      <c r="I3144" s="337"/>
      <c r="J3144" s="337"/>
      <c r="K3144" s="332"/>
    </row>
    <row r="3145" spans="1:11" x14ac:dyDescent="0.25">
      <c r="A3145" s="332"/>
      <c r="B3145" s="333"/>
      <c r="C3145" s="327"/>
      <c r="D3145" s="333"/>
      <c r="E3145" s="335"/>
      <c r="F3145" s="336"/>
      <c r="G3145" s="332"/>
      <c r="H3145" s="332"/>
      <c r="I3145" s="337"/>
      <c r="J3145" s="337"/>
      <c r="K3145" s="332"/>
    </row>
    <row r="3146" spans="1:11" x14ac:dyDescent="0.25">
      <c r="A3146" s="332"/>
      <c r="B3146" s="333"/>
      <c r="C3146" s="327"/>
      <c r="D3146" s="333"/>
      <c r="E3146" s="335"/>
      <c r="F3146" s="336"/>
      <c r="G3146" s="332"/>
      <c r="H3146" s="332"/>
      <c r="I3146" s="337"/>
      <c r="J3146" s="337"/>
      <c r="K3146" s="332"/>
    </row>
    <row r="3147" spans="1:11" x14ac:dyDescent="0.25">
      <c r="A3147" s="332"/>
      <c r="B3147" s="333"/>
      <c r="C3147" s="327"/>
      <c r="D3147" s="333"/>
      <c r="E3147" s="335"/>
      <c r="F3147" s="336"/>
      <c r="G3147" s="332"/>
      <c r="H3147" s="332"/>
      <c r="I3147" s="337"/>
      <c r="J3147" s="337"/>
      <c r="K3147" s="332"/>
    </row>
    <row r="3148" spans="1:11" x14ac:dyDescent="0.25">
      <c r="A3148" s="332"/>
      <c r="B3148" s="333"/>
      <c r="C3148" s="327"/>
      <c r="D3148" s="333"/>
      <c r="E3148" s="335"/>
      <c r="F3148" s="336"/>
      <c r="G3148" s="332"/>
      <c r="H3148" s="332"/>
      <c r="I3148" s="337"/>
      <c r="J3148" s="337"/>
      <c r="K3148" s="332"/>
    </row>
    <row r="3149" spans="1:11" x14ac:dyDescent="0.25">
      <c r="A3149" s="332"/>
      <c r="B3149" s="333"/>
      <c r="C3149" s="327"/>
      <c r="D3149" s="333"/>
      <c r="E3149" s="335"/>
      <c r="F3149" s="336"/>
      <c r="G3149" s="332"/>
      <c r="H3149" s="332"/>
      <c r="I3149" s="337"/>
      <c r="J3149" s="337"/>
      <c r="K3149" s="332"/>
    </row>
    <row r="3150" spans="1:11" x14ac:dyDescent="0.25">
      <c r="A3150" s="332"/>
      <c r="B3150" s="333"/>
      <c r="C3150" s="327"/>
      <c r="D3150" s="333"/>
      <c r="E3150" s="335"/>
      <c r="F3150" s="336"/>
      <c r="G3150" s="332"/>
      <c r="H3150" s="332"/>
      <c r="I3150" s="337"/>
      <c r="J3150" s="337"/>
      <c r="K3150" s="332"/>
    </row>
    <row r="3151" spans="1:11" x14ac:dyDescent="0.25">
      <c r="A3151" s="332"/>
      <c r="B3151" s="333"/>
      <c r="C3151" s="327"/>
      <c r="D3151" s="333"/>
      <c r="E3151" s="335"/>
      <c r="F3151" s="336"/>
      <c r="G3151" s="332"/>
      <c r="H3151" s="332"/>
      <c r="I3151" s="337"/>
      <c r="J3151" s="337"/>
      <c r="K3151" s="332"/>
    </row>
    <row r="3152" spans="1:11" x14ac:dyDescent="0.25">
      <c r="A3152" s="332"/>
      <c r="B3152" s="333"/>
      <c r="C3152" s="327"/>
      <c r="D3152" s="333"/>
      <c r="E3152" s="335"/>
      <c r="F3152" s="336"/>
      <c r="G3152" s="332"/>
      <c r="H3152" s="332"/>
      <c r="I3152" s="337"/>
      <c r="J3152" s="337"/>
      <c r="K3152" s="332"/>
    </row>
    <row r="3153" spans="1:11" x14ac:dyDescent="0.25">
      <c r="A3153" s="332"/>
      <c r="B3153" s="333"/>
      <c r="C3153" s="327"/>
      <c r="D3153" s="333"/>
      <c r="E3153" s="335"/>
      <c r="F3153" s="336"/>
      <c r="G3153" s="332"/>
      <c r="H3153" s="332"/>
      <c r="I3153" s="337"/>
      <c r="J3153" s="337"/>
      <c r="K3153" s="332"/>
    </row>
    <row r="3154" spans="1:11" x14ac:dyDescent="0.25">
      <c r="A3154" s="332"/>
      <c r="B3154" s="333"/>
      <c r="C3154" s="327"/>
      <c r="D3154" s="333"/>
      <c r="E3154" s="335"/>
      <c r="F3154" s="336"/>
      <c r="G3154" s="332"/>
      <c r="H3154" s="332"/>
      <c r="I3154" s="337"/>
      <c r="J3154" s="337"/>
      <c r="K3154" s="332"/>
    </row>
    <row r="3155" spans="1:11" x14ac:dyDescent="0.25">
      <c r="A3155" s="332"/>
      <c r="B3155" s="333"/>
      <c r="C3155" s="327"/>
      <c r="D3155" s="333"/>
      <c r="E3155" s="335"/>
      <c r="F3155" s="336"/>
      <c r="G3155" s="332"/>
      <c r="H3155" s="332"/>
      <c r="I3155" s="337"/>
      <c r="J3155" s="337"/>
      <c r="K3155" s="332"/>
    </row>
    <row r="3156" spans="1:11" x14ac:dyDescent="0.25">
      <c r="A3156" s="332"/>
      <c r="B3156" s="333"/>
      <c r="C3156" s="327"/>
      <c r="D3156" s="333"/>
      <c r="E3156" s="335"/>
      <c r="F3156" s="336"/>
      <c r="G3156" s="332"/>
      <c r="H3156" s="332"/>
      <c r="I3156" s="337"/>
      <c r="J3156" s="337"/>
      <c r="K3156" s="332"/>
    </row>
    <row r="3157" spans="1:11" x14ac:dyDescent="0.25">
      <c r="A3157" s="332"/>
      <c r="B3157" s="333"/>
      <c r="C3157" s="327"/>
      <c r="D3157" s="333"/>
      <c r="E3157" s="335"/>
      <c r="F3157" s="336"/>
      <c r="G3157" s="332"/>
      <c r="H3157" s="332"/>
      <c r="I3157" s="337"/>
      <c r="J3157" s="337"/>
      <c r="K3157" s="332"/>
    </row>
    <row r="3158" spans="1:11" x14ac:dyDescent="0.25">
      <c r="A3158" s="332"/>
      <c r="B3158" s="333"/>
      <c r="C3158" s="327"/>
      <c r="D3158" s="333"/>
      <c r="E3158" s="335"/>
      <c r="F3158" s="336"/>
      <c r="G3158" s="332"/>
      <c r="H3158" s="332"/>
      <c r="I3158" s="337"/>
      <c r="J3158" s="337"/>
      <c r="K3158" s="332"/>
    </row>
    <row r="3159" spans="1:11" x14ac:dyDescent="0.25">
      <c r="A3159" s="332"/>
      <c r="B3159" s="333"/>
      <c r="C3159" s="327"/>
      <c r="D3159" s="333"/>
      <c r="E3159" s="335"/>
      <c r="F3159" s="336"/>
      <c r="G3159" s="332"/>
      <c r="H3159" s="332"/>
      <c r="I3159" s="337"/>
      <c r="J3159" s="337"/>
      <c r="K3159" s="332"/>
    </row>
    <row r="3160" spans="1:11" x14ac:dyDescent="0.25">
      <c r="A3160" s="332"/>
      <c r="B3160" s="333"/>
      <c r="C3160" s="327"/>
      <c r="D3160" s="333"/>
      <c r="E3160" s="335"/>
      <c r="F3160" s="336"/>
      <c r="G3160" s="332"/>
      <c r="H3160" s="332"/>
      <c r="I3160" s="337"/>
      <c r="J3160" s="337"/>
      <c r="K3160" s="332"/>
    </row>
    <row r="3161" spans="1:11" x14ac:dyDescent="0.25">
      <c r="A3161" s="332"/>
      <c r="B3161" s="333"/>
      <c r="C3161" s="327"/>
      <c r="D3161" s="333"/>
      <c r="E3161" s="335"/>
      <c r="F3161" s="336"/>
      <c r="G3161" s="332"/>
      <c r="H3161" s="332"/>
      <c r="I3161" s="337"/>
      <c r="J3161" s="337"/>
      <c r="K3161" s="332"/>
    </row>
    <row r="3162" spans="1:11" x14ac:dyDescent="0.25">
      <c r="A3162" s="332"/>
      <c r="B3162" s="333"/>
      <c r="C3162" s="327"/>
      <c r="D3162" s="333"/>
      <c r="E3162" s="335"/>
      <c r="F3162" s="336"/>
      <c r="G3162" s="332"/>
      <c r="H3162" s="332"/>
      <c r="I3162" s="337"/>
      <c r="J3162" s="337"/>
      <c r="K3162" s="332"/>
    </row>
    <row r="3163" spans="1:11" x14ac:dyDescent="0.25">
      <c r="A3163" s="332"/>
      <c r="B3163" s="333"/>
      <c r="C3163" s="327"/>
      <c r="D3163" s="333"/>
      <c r="E3163" s="335"/>
      <c r="F3163" s="336"/>
      <c r="G3163" s="332"/>
      <c r="H3163" s="332"/>
      <c r="I3163" s="337"/>
      <c r="J3163" s="337"/>
      <c r="K3163" s="332"/>
    </row>
    <row r="3164" spans="1:11" x14ac:dyDescent="0.25">
      <c r="A3164" s="332"/>
      <c r="B3164" s="333"/>
      <c r="C3164" s="327"/>
      <c r="D3164" s="333"/>
      <c r="E3164" s="335"/>
      <c r="F3164" s="336"/>
      <c r="G3164" s="332"/>
      <c r="H3164" s="332"/>
      <c r="I3164" s="337"/>
      <c r="J3164" s="337"/>
      <c r="K3164" s="332"/>
    </row>
    <row r="3165" spans="1:11" x14ac:dyDescent="0.25">
      <c r="A3165" s="332"/>
      <c r="B3165" s="333"/>
      <c r="C3165" s="327"/>
      <c r="D3165" s="333"/>
      <c r="E3165" s="335"/>
      <c r="F3165" s="336"/>
      <c r="G3165" s="332"/>
      <c r="H3165" s="332"/>
      <c r="I3165" s="337"/>
      <c r="J3165" s="337"/>
      <c r="K3165" s="332"/>
    </row>
    <row r="3166" spans="1:11" x14ac:dyDescent="0.25">
      <c r="A3166" s="332"/>
      <c r="B3166" s="333"/>
      <c r="C3166" s="327"/>
      <c r="D3166" s="333"/>
      <c r="E3166" s="335"/>
      <c r="F3166" s="336"/>
      <c r="G3166" s="332"/>
      <c r="H3166" s="332"/>
      <c r="I3166" s="337"/>
      <c r="J3166" s="337"/>
      <c r="K3166" s="332"/>
    </row>
    <row r="3167" spans="1:11" x14ac:dyDescent="0.25">
      <c r="A3167" s="332"/>
      <c r="B3167" s="333"/>
      <c r="C3167" s="327"/>
      <c r="D3167" s="333"/>
      <c r="E3167" s="335"/>
      <c r="F3167" s="336"/>
      <c r="G3167" s="332"/>
      <c r="H3167" s="332"/>
      <c r="I3167" s="337"/>
      <c r="J3167" s="337"/>
      <c r="K3167" s="332"/>
    </row>
    <row r="3168" spans="1:11" x14ac:dyDescent="0.25">
      <c r="A3168" s="332"/>
      <c r="B3168" s="333"/>
      <c r="C3168" s="327"/>
      <c r="D3168" s="333"/>
      <c r="E3168" s="335"/>
      <c r="F3168" s="336"/>
      <c r="G3168" s="332"/>
      <c r="H3168" s="332"/>
      <c r="I3168" s="337"/>
      <c r="J3168" s="337"/>
      <c r="K3168" s="332"/>
    </row>
    <row r="3169" spans="1:11" x14ac:dyDescent="0.25">
      <c r="A3169" s="332"/>
      <c r="B3169" s="333"/>
      <c r="C3169" s="327"/>
      <c r="D3169" s="333"/>
      <c r="E3169" s="335"/>
      <c r="F3169" s="336"/>
      <c r="G3169" s="332"/>
      <c r="H3169" s="332"/>
      <c r="I3169" s="337"/>
      <c r="J3169" s="337"/>
      <c r="K3169" s="332"/>
    </row>
    <row r="3170" spans="1:11" x14ac:dyDescent="0.25">
      <c r="A3170" s="332"/>
      <c r="B3170" s="333"/>
      <c r="C3170" s="327"/>
      <c r="D3170" s="333"/>
      <c r="E3170" s="335"/>
      <c r="F3170" s="336"/>
      <c r="G3170" s="332"/>
      <c r="H3170" s="332"/>
      <c r="I3170" s="337"/>
      <c r="J3170" s="337"/>
      <c r="K3170" s="332"/>
    </row>
    <row r="3171" spans="1:11" x14ac:dyDescent="0.25">
      <c r="A3171" s="332"/>
      <c r="B3171" s="333"/>
      <c r="C3171" s="327"/>
      <c r="D3171" s="333"/>
      <c r="E3171" s="335"/>
      <c r="F3171" s="336"/>
      <c r="G3171" s="332"/>
      <c r="H3171" s="332"/>
      <c r="I3171" s="337"/>
      <c r="J3171" s="337"/>
      <c r="K3171" s="332"/>
    </row>
    <row r="3172" spans="1:11" x14ac:dyDescent="0.25">
      <c r="A3172" s="332"/>
      <c r="B3172" s="333"/>
      <c r="C3172" s="327"/>
      <c r="D3172" s="333"/>
      <c r="E3172" s="335"/>
      <c r="F3172" s="336"/>
      <c r="G3172" s="332"/>
      <c r="H3172" s="332"/>
      <c r="I3172" s="337"/>
      <c r="J3172" s="337"/>
      <c r="K3172" s="332"/>
    </row>
    <row r="3173" spans="1:11" x14ac:dyDescent="0.25">
      <c r="A3173" s="332"/>
      <c r="B3173" s="333"/>
      <c r="C3173" s="327"/>
      <c r="D3173" s="333"/>
      <c r="E3173" s="335"/>
      <c r="F3173" s="336"/>
      <c r="G3173" s="332"/>
      <c r="H3173" s="332"/>
      <c r="I3173" s="337"/>
      <c r="J3173" s="337"/>
      <c r="K3173" s="332"/>
    </row>
    <row r="3174" spans="1:11" x14ac:dyDescent="0.25">
      <c r="A3174" s="332"/>
      <c r="B3174" s="333"/>
      <c r="C3174" s="327"/>
      <c r="D3174" s="333"/>
      <c r="E3174" s="335"/>
      <c r="F3174" s="336"/>
      <c r="G3174" s="332"/>
      <c r="H3174" s="332"/>
      <c r="I3174" s="337"/>
      <c r="J3174" s="337"/>
      <c r="K3174" s="332"/>
    </row>
    <row r="3175" spans="1:11" x14ac:dyDescent="0.25">
      <c r="A3175" s="332"/>
      <c r="B3175" s="333"/>
      <c r="C3175" s="327"/>
      <c r="D3175" s="333"/>
      <c r="E3175" s="335"/>
      <c r="F3175" s="336"/>
      <c r="G3175" s="332"/>
      <c r="H3175" s="332"/>
      <c r="I3175" s="337"/>
      <c r="J3175" s="337"/>
      <c r="K3175" s="332"/>
    </row>
    <row r="3176" spans="1:11" x14ac:dyDescent="0.25">
      <c r="A3176" s="332"/>
      <c r="B3176" s="333"/>
      <c r="C3176" s="327"/>
      <c r="D3176" s="333"/>
      <c r="E3176" s="335"/>
      <c r="F3176" s="336"/>
      <c r="G3176" s="332"/>
      <c r="H3176" s="332"/>
      <c r="I3176" s="337"/>
      <c r="J3176" s="337"/>
      <c r="K3176" s="332"/>
    </row>
    <row r="3177" spans="1:11" x14ac:dyDescent="0.25">
      <c r="A3177" s="332"/>
      <c r="B3177" s="333"/>
      <c r="C3177" s="327"/>
      <c r="D3177" s="333"/>
      <c r="E3177" s="335"/>
      <c r="F3177" s="336"/>
      <c r="G3177" s="332"/>
      <c r="H3177" s="332"/>
      <c r="I3177" s="337"/>
      <c r="J3177" s="337"/>
      <c r="K3177" s="332"/>
    </row>
    <row r="3178" spans="1:11" x14ac:dyDescent="0.25">
      <c r="A3178" s="332"/>
      <c r="B3178" s="333"/>
      <c r="C3178" s="327"/>
      <c r="D3178" s="333"/>
      <c r="E3178" s="335"/>
      <c r="F3178" s="336"/>
      <c r="G3178" s="332"/>
      <c r="H3178" s="332"/>
      <c r="I3178" s="337"/>
      <c r="J3178" s="337"/>
      <c r="K3178" s="332"/>
    </row>
    <row r="3179" spans="1:11" x14ac:dyDescent="0.25">
      <c r="A3179" s="332"/>
      <c r="B3179" s="333"/>
      <c r="C3179" s="327"/>
      <c r="D3179" s="333"/>
      <c r="E3179" s="335"/>
      <c r="F3179" s="336"/>
      <c r="G3179" s="332"/>
      <c r="H3179" s="332"/>
      <c r="I3179" s="337"/>
      <c r="J3179" s="337"/>
      <c r="K3179" s="332"/>
    </row>
    <row r="3180" spans="1:11" x14ac:dyDescent="0.25">
      <c r="A3180" s="332"/>
      <c r="B3180" s="333"/>
      <c r="C3180" s="327"/>
      <c r="D3180" s="333"/>
      <c r="E3180" s="335"/>
      <c r="F3180" s="336"/>
      <c r="G3180" s="332"/>
      <c r="H3180" s="332"/>
      <c r="I3180" s="337"/>
      <c r="J3180" s="337"/>
      <c r="K3180" s="332"/>
    </row>
    <row r="3181" spans="1:11" x14ac:dyDescent="0.25">
      <c r="A3181" s="332"/>
      <c r="B3181" s="333"/>
      <c r="C3181" s="327"/>
      <c r="D3181" s="333"/>
      <c r="E3181" s="335"/>
      <c r="F3181" s="336"/>
      <c r="G3181" s="332"/>
      <c r="H3181" s="332"/>
      <c r="I3181" s="337"/>
      <c r="J3181" s="337"/>
      <c r="K3181" s="332"/>
    </row>
    <row r="3182" spans="1:11" x14ac:dyDescent="0.25">
      <c r="A3182" s="332"/>
      <c r="B3182" s="333"/>
      <c r="C3182" s="327"/>
      <c r="D3182" s="333"/>
      <c r="E3182" s="335"/>
      <c r="F3182" s="336"/>
      <c r="G3182" s="332"/>
      <c r="H3182" s="332"/>
      <c r="I3182" s="337"/>
      <c r="J3182" s="337"/>
      <c r="K3182" s="332"/>
    </row>
    <row r="3183" spans="1:11" x14ac:dyDescent="0.25">
      <c r="A3183" s="332"/>
      <c r="B3183" s="333"/>
      <c r="C3183" s="327"/>
      <c r="D3183" s="333"/>
      <c r="E3183" s="335"/>
      <c r="F3183" s="336"/>
      <c r="G3183" s="332"/>
      <c r="H3183" s="332"/>
      <c r="I3183" s="337"/>
      <c r="J3183" s="337"/>
      <c r="K3183" s="332"/>
    </row>
    <row r="3184" spans="1:11" x14ac:dyDescent="0.25">
      <c r="A3184" s="332"/>
      <c r="B3184" s="333"/>
      <c r="C3184" s="327"/>
      <c r="D3184" s="333"/>
      <c r="E3184" s="335"/>
      <c r="F3184" s="336"/>
      <c r="G3184" s="332"/>
      <c r="H3184" s="332"/>
      <c r="I3184" s="337"/>
      <c r="J3184" s="337"/>
      <c r="K3184" s="332"/>
    </row>
    <row r="3185" spans="1:11" x14ac:dyDescent="0.25">
      <c r="A3185" s="332"/>
      <c r="B3185" s="333"/>
      <c r="C3185" s="327"/>
      <c r="D3185" s="333"/>
      <c r="E3185" s="335"/>
      <c r="F3185" s="336"/>
      <c r="G3185" s="332"/>
      <c r="H3185" s="332"/>
      <c r="I3185" s="337"/>
      <c r="J3185" s="337"/>
      <c r="K3185" s="332"/>
    </row>
    <row r="3186" spans="1:11" x14ac:dyDescent="0.25">
      <c r="A3186" s="332"/>
      <c r="B3186" s="333"/>
      <c r="C3186" s="327"/>
      <c r="D3186" s="333"/>
      <c r="E3186" s="335"/>
      <c r="F3186" s="336"/>
      <c r="G3186" s="332"/>
      <c r="H3186" s="332"/>
      <c r="I3186" s="337"/>
      <c r="J3186" s="337"/>
      <c r="K3186" s="332"/>
    </row>
    <row r="3187" spans="1:11" x14ac:dyDescent="0.25">
      <c r="A3187" s="332"/>
      <c r="B3187" s="333"/>
      <c r="C3187" s="327"/>
      <c r="D3187" s="333"/>
      <c r="E3187" s="335"/>
      <c r="F3187" s="336"/>
      <c r="G3187" s="332"/>
      <c r="H3187" s="332"/>
      <c r="I3187" s="337"/>
      <c r="J3187" s="337"/>
      <c r="K3187" s="332"/>
    </row>
    <row r="3188" spans="1:11" x14ac:dyDescent="0.25">
      <c r="A3188" s="332"/>
      <c r="B3188" s="333"/>
      <c r="C3188" s="327"/>
      <c r="D3188" s="333"/>
      <c r="E3188" s="335"/>
      <c r="F3188" s="336"/>
      <c r="G3188" s="332"/>
      <c r="H3188" s="332"/>
      <c r="I3188" s="337"/>
      <c r="J3188" s="337"/>
      <c r="K3188" s="332"/>
    </row>
    <row r="3189" spans="1:11" x14ac:dyDescent="0.25">
      <c r="A3189" s="332"/>
      <c r="B3189" s="333"/>
      <c r="C3189" s="327"/>
      <c r="D3189" s="333"/>
      <c r="E3189" s="335"/>
      <c r="F3189" s="336"/>
      <c r="G3189" s="332"/>
      <c r="H3189" s="332"/>
      <c r="I3189" s="337"/>
      <c r="J3189" s="337"/>
      <c r="K3189" s="332"/>
    </row>
    <row r="3190" spans="1:11" x14ac:dyDescent="0.25">
      <c r="A3190" s="332"/>
      <c r="B3190" s="333"/>
      <c r="C3190" s="327"/>
      <c r="D3190" s="333"/>
      <c r="E3190" s="335"/>
      <c r="F3190" s="336"/>
      <c r="G3190" s="332"/>
      <c r="H3190" s="332"/>
      <c r="I3190" s="337"/>
      <c r="J3190" s="337"/>
      <c r="K3190" s="332"/>
    </row>
    <row r="3191" spans="1:11" x14ac:dyDescent="0.25">
      <c r="A3191" s="332"/>
      <c r="B3191" s="333"/>
      <c r="C3191" s="327"/>
      <c r="D3191" s="333"/>
      <c r="E3191" s="335"/>
      <c r="F3191" s="336"/>
      <c r="G3191" s="332"/>
      <c r="H3191" s="332"/>
      <c r="I3191" s="337"/>
      <c r="J3191" s="337"/>
      <c r="K3191" s="332"/>
    </row>
    <row r="3192" spans="1:11" x14ac:dyDescent="0.25">
      <c r="A3192" s="332"/>
      <c r="B3192" s="333"/>
      <c r="C3192" s="327"/>
      <c r="D3192" s="333"/>
      <c r="E3192" s="335"/>
      <c r="F3192" s="336"/>
      <c r="G3192" s="332"/>
      <c r="H3192" s="332"/>
      <c r="I3192" s="337"/>
      <c r="J3192" s="337"/>
      <c r="K3192" s="332"/>
    </row>
    <row r="3193" spans="1:11" x14ac:dyDescent="0.25">
      <c r="A3193" s="332"/>
      <c r="B3193" s="333"/>
      <c r="C3193" s="327"/>
      <c r="D3193" s="333"/>
      <c r="E3193" s="335"/>
      <c r="F3193" s="336"/>
      <c r="G3193" s="332"/>
      <c r="H3193" s="332"/>
      <c r="I3193" s="337"/>
      <c r="J3193" s="337"/>
      <c r="K3193" s="332"/>
    </row>
    <row r="3194" spans="1:11" x14ac:dyDescent="0.25">
      <c r="A3194" s="332"/>
      <c r="B3194" s="333"/>
      <c r="C3194" s="327"/>
      <c r="D3194" s="333"/>
      <c r="E3194" s="335"/>
      <c r="F3194" s="336"/>
      <c r="G3194" s="332"/>
      <c r="H3194" s="332"/>
      <c r="I3194" s="337"/>
      <c r="J3194" s="337"/>
      <c r="K3194" s="332"/>
    </row>
    <row r="3195" spans="1:11" x14ac:dyDescent="0.25">
      <c r="A3195" s="332"/>
      <c r="B3195" s="333"/>
      <c r="C3195" s="327"/>
      <c r="D3195" s="333"/>
      <c r="E3195" s="335"/>
      <c r="F3195" s="336"/>
      <c r="G3195" s="332"/>
      <c r="H3195" s="332"/>
      <c r="I3195" s="337"/>
      <c r="J3195" s="337"/>
      <c r="K3195" s="332"/>
    </row>
    <row r="3196" spans="1:11" x14ac:dyDescent="0.25">
      <c r="A3196" s="332"/>
      <c r="B3196" s="333"/>
      <c r="C3196" s="327"/>
      <c r="D3196" s="333"/>
      <c r="E3196" s="335"/>
      <c r="F3196" s="336"/>
      <c r="G3196" s="332"/>
      <c r="H3196" s="332"/>
      <c r="I3196" s="337"/>
      <c r="J3196" s="337"/>
      <c r="K3196" s="332"/>
    </row>
    <row r="3197" spans="1:11" x14ac:dyDescent="0.25">
      <c r="A3197" s="332"/>
      <c r="B3197" s="333"/>
      <c r="C3197" s="327"/>
      <c r="D3197" s="333"/>
      <c r="E3197" s="335"/>
      <c r="F3197" s="336"/>
      <c r="G3197" s="332"/>
      <c r="H3197" s="332"/>
      <c r="I3197" s="337"/>
      <c r="J3197" s="337"/>
      <c r="K3197" s="332"/>
    </row>
    <row r="3198" spans="1:11" x14ac:dyDescent="0.25">
      <c r="A3198" s="332"/>
      <c r="B3198" s="333"/>
      <c r="C3198" s="327"/>
      <c r="D3198" s="333"/>
      <c r="E3198" s="335"/>
      <c r="F3198" s="336"/>
      <c r="G3198" s="332"/>
      <c r="H3198" s="332"/>
      <c r="I3198" s="337"/>
      <c r="J3198" s="337"/>
      <c r="K3198" s="332"/>
    </row>
    <row r="3199" spans="1:11" x14ac:dyDescent="0.25">
      <c r="A3199" s="332"/>
      <c r="B3199" s="333"/>
      <c r="C3199" s="327"/>
      <c r="D3199" s="333"/>
      <c r="E3199" s="335"/>
      <c r="F3199" s="336"/>
      <c r="G3199" s="332"/>
      <c r="H3199" s="332"/>
      <c r="I3199" s="337"/>
      <c r="J3199" s="337"/>
      <c r="K3199" s="332"/>
    </row>
    <row r="3200" spans="1:11" x14ac:dyDescent="0.25">
      <c r="A3200" s="332"/>
      <c r="B3200" s="333"/>
      <c r="C3200" s="327"/>
      <c r="D3200" s="333"/>
      <c r="E3200" s="335"/>
      <c r="F3200" s="336"/>
      <c r="G3200" s="332"/>
      <c r="H3200" s="332"/>
      <c r="I3200" s="337"/>
      <c r="J3200" s="337"/>
      <c r="K3200" s="332"/>
    </row>
    <row r="3201" spans="1:11" x14ac:dyDescent="0.25">
      <c r="A3201" s="332"/>
      <c r="B3201" s="333"/>
      <c r="C3201" s="327"/>
      <c r="D3201" s="333"/>
      <c r="E3201" s="335"/>
      <c r="F3201" s="336"/>
      <c r="G3201" s="332"/>
      <c r="H3201" s="332"/>
      <c r="I3201" s="337"/>
      <c r="J3201" s="337"/>
      <c r="K3201" s="332"/>
    </row>
    <row r="3202" spans="1:11" x14ac:dyDescent="0.25">
      <c r="A3202" s="332"/>
      <c r="B3202" s="333"/>
      <c r="C3202" s="327"/>
      <c r="D3202" s="333"/>
      <c r="E3202" s="335"/>
      <c r="F3202" s="336"/>
      <c r="G3202" s="332"/>
      <c r="H3202" s="332"/>
      <c r="I3202" s="337"/>
      <c r="J3202" s="337"/>
      <c r="K3202" s="332"/>
    </row>
    <row r="3203" spans="1:11" x14ac:dyDescent="0.25">
      <c r="A3203" s="332"/>
      <c r="B3203" s="333"/>
      <c r="C3203" s="327"/>
      <c r="D3203" s="333"/>
      <c r="E3203" s="335"/>
      <c r="F3203" s="336"/>
      <c r="G3203" s="332"/>
      <c r="H3203" s="332"/>
      <c r="I3203" s="337"/>
      <c r="J3203" s="337"/>
      <c r="K3203" s="332"/>
    </row>
    <row r="3204" spans="1:11" x14ac:dyDescent="0.25">
      <c r="A3204" s="332"/>
      <c r="B3204" s="333"/>
      <c r="C3204" s="327"/>
      <c r="D3204" s="333"/>
      <c r="E3204" s="335"/>
      <c r="F3204" s="336"/>
      <c r="G3204" s="332"/>
      <c r="H3204" s="332"/>
      <c r="I3204" s="337"/>
      <c r="J3204" s="337"/>
      <c r="K3204" s="332"/>
    </row>
    <row r="3205" spans="1:11" x14ac:dyDescent="0.25">
      <c r="A3205" s="332"/>
      <c r="B3205" s="333"/>
      <c r="C3205" s="327"/>
      <c r="D3205" s="333"/>
      <c r="E3205" s="335"/>
      <c r="F3205" s="336"/>
      <c r="G3205" s="332"/>
      <c r="H3205" s="332"/>
      <c r="I3205" s="337"/>
      <c r="J3205" s="337"/>
      <c r="K3205" s="332"/>
    </row>
    <row r="3206" spans="1:11" x14ac:dyDescent="0.25">
      <c r="A3206" s="332"/>
      <c r="B3206" s="333"/>
      <c r="C3206" s="327"/>
      <c r="D3206" s="333"/>
      <c r="E3206" s="335"/>
      <c r="F3206" s="336"/>
      <c r="G3206" s="332"/>
      <c r="H3206" s="332"/>
      <c r="I3206" s="337"/>
      <c r="J3206" s="337"/>
      <c r="K3206" s="332"/>
    </row>
    <row r="3207" spans="1:11" x14ac:dyDescent="0.25">
      <c r="A3207" s="332"/>
      <c r="B3207" s="333"/>
      <c r="C3207" s="327"/>
      <c r="D3207" s="333"/>
      <c r="E3207" s="335"/>
      <c r="F3207" s="336"/>
      <c r="G3207" s="332"/>
      <c r="H3207" s="332"/>
      <c r="I3207" s="337"/>
      <c r="J3207" s="337"/>
      <c r="K3207" s="332"/>
    </row>
    <row r="3208" spans="1:11" x14ac:dyDescent="0.25">
      <c r="A3208" s="332"/>
      <c r="B3208" s="333"/>
      <c r="C3208" s="327"/>
      <c r="D3208" s="333"/>
      <c r="E3208" s="335"/>
      <c r="F3208" s="336"/>
      <c r="G3208" s="332"/>
      <c r="H3208" s="332"/>
      <c r="I3208" s="337"/>
      <c r="J3208" s="337"/>
      <c r="K3208" s="332"/>
    </row>
    <row r="3209" spans="1:11" x14ac:dyDescent="0.25">
      <c r="A3209" s="332"/>
      <c r="B3209" s="333"/>
      <c r="C3209" s="327"/>
      <c r="D3209" s="333"/>
      <c r="E3209" s="335"/>
      <c r="F3209" s="336"/>
      <c r="G3209" s="332"/>
      <c r="H3209" s="332"/>
      <c r="I3209" s="337"/>
      <c r="J3209" s="337"/>
      <c r="K3209" s="332"/>
    </row>
    <row r="3210" spans="1:11" x14ac:dyDescent="0.25">
      <c r="A3210" s="332"/>
      <c r="B3210" s="333"/>
      <c r="C3210" s="327"/>
      <c r="D3210" s="333"/>
      <c r="E3210" s="335"/>
      <c r="F3210" s="336"/>
      <c r="G3210" s="332"/>
      <c r="H3210" s="332"/>
      <c r="I3210" s="337"/>
      <c r="J3210" s="337"/>
      <c r="K3210" s="332"/>
    </row>
    <row r="3211" spans="1:11" x14ac:dyDescent="0.25">
      <c r="A3211" s="332"/>
      <c r="B3211" s="333"/>
      <c r="C3211" s="327"/>
      <c r="D3211" s="333"/>
      <c r="E3211" s="335"/>
      <c r="F3211" s="336"/>
      <c r="G3211" s="332"/>
      <c r="H3211" s="332"/>
      <c r="I3211" s="337"/>
      <c r="J3211" s="337"/>
      <c r="K3211" s="332"/>
    </row>
    <row r="3212" spans="1:11" x14ac:dyDescent="0.25">
      <c r="A3212" s="332"/>
      <c r="B3212" s="333"/>
      <c r="C3212" s="327"/>
      <c r="D3212" s="333"/>
      <c r="E3212" s="335"/>
      <c r="F3212" s="336"/>
      <c r="G3212" s="332"/>
      <c r="H3212" s="332"/>
      <c r="I3212" s="337"/>
      <c r="J3212" s="337"/>
      <c r="K3212" s="332"/>
    </row>
    <row r="3213" spans="1:11" x14ac:dyDescent="0.25">
      <c r="A3213" s="332"/>
      <c r="B3213" s="333"/>
      <c r="C3213" s="327"/>
      <c r="D3213" s="333"/>
      <c r="E3213" s="335"/>
      <c r="F3213" s="336"/>
      <c r="G3213" s="332"/>
      <c r="H3213" s="332"/>
      <c r="I3213" s="337"/>
      <c r="J3213" s="337"/>
      <c r="K3213" s="332"/>
    </row>
    <row r="3214" spans="1:11" x14ac:dyDescent="0.25">
      <c r="A3214" s="332"/>
      <c r="B3214" s="333"/>
      <c r="C3214" s="327"/>
      <c r="D3214" s="333"/>
      <c r="E3214" s="335"/>
      <c r="F3214" s="336"/>
      <c r="G3214" s="332"/>
      <c r="H3214" s="332"/>
      <c r="I3214" s="337"/>
      <c r="J3214" s="337"/>
      <c r="K3214" s="332"/>
    </row>
    <row r="3215" spans="1:11" x14ac:dyDescent="0.25">
      <c r="A3215" s="332"/>
      <c r="B3215" s="333"/>
      <c r="C3215" s="327"/>
      <c r="D3215" s="333"/>
      <c r="E3215" s="335"/>
      <c r="F3215" s="336"/>
      <c r="G3215" s="332"/>
      <c r="H3215" s="332"/>
      <c r="I3215" s="337"/>
      <c r="J3215" s="337"/>
      <c r="K3215" s="332"/>
    </row>
    <row r="3216" spans="1:11" x14ac:dyDescent="0.25">
      <c r="A3216" s="332"/>
      <c r="B3216" s="333"/>
      <c r="C3216" s="327"/>
      <c r="D3216" s="333"/>
      <c r="E3216" s="335"/>
      <c r="F3216" s="336"/>
      <c r="G3216" s="332"/>
      <c r="H3216" s="332"/>
      <c r="I3216" s="337"/>
      <c r="J3216" s="337"/>
      <c r="K3216" s="332"/>
    </row>
    <row r="3217" spans="1:11" x14ac:dyDescent="0.25">
      <c r="A3217" s="332"/>
      <c r="B3217" s="333"/>
      <c r="C3217" s="327"/>
      <c r="D3217" s="333"/>
      <c r="E3217" s="335"/>
      <c r="F3217" s="336"/>
      <c r="G3217" s="332"/>
      <c r="H3217" s="332"/>
      <c r="I3217" s="337"/>
      <c r="J3217" s="337"/>
      <c r="K3217" s="332"/>
    </row>
    <row r="3218" spans="1:11" x14ac:dyDescent="0.25">
      <c r="A3218" s="332"/>
      <c r="B3218" s="333"/>
      <c r="C3218" s="327"/>
      <c r="D3218" s="333"/>
      <c r="E3218" s="335"/>
      <c r="F3218" s="336"/>
      <c r="G3218" s="332"/>
      <c r="H3218" s="332"/>
      <c r="I3218" s="337"/>
      <c r="J3218" s="337"/>
      <c r="K3218" s="332"/>
    </row>
    <row r="3219" spans="1:11" x14ac:dyDescent="0.25">
      <c r="A3219" s="332"/>
      <c r="B3219" s="333"/>
      <c r="C3219" s="327"/>
      <c r="D3219" s="333"/>
      <c r="E3219" s="335"/>
      <c r="F3219" s="336"/>
      <c r="G3219" s="332"/>
      <c r="H3219" s="332"/>
      <c r="I3219" s="337"/>
      <c r="J3219" s="337"/>
      <c r="K3219" s="332"/>
    </row>
    <row r="3220" spans="1:11" x14ac:dyDescent="0.25">
      <c r="A3220" s="332"/>
      <c r="B3220" s="333"/>
      <c r="C3220" s="327"/>
      <c r="D3220" s="333"/>
      <c r="E3220" s="335"/>
      <c r="F3220" s="336"/>
      <c r="G3220" s="332"/>
      <c r="H3220" s="332"/>
      <c r="I3220" s="337"/>
      <c r="J3220" s="337"/>
      <c r="K3220" s="332"/>
    </row>
    <row r="3221" spans="1:11" x14ac:dyDescent="0.25">
      <c r="A3221" s="332"/>
      <c r="B3221" s="333"/>
      <c r="C3221" s="327"/>
      <c r="D3221" s="333"/>
      <c r="E3221" s="335"/>
      <c r="F3221" s="336"/>
      <c r="G3221" s="332"/>
      <c r="H3221" s="332"/>
      <c r="I3221" s="337"/>
      <c r="J3221" s="337"/>
      <c r="K3221" s="332"/>
    </row>
    <row r="3222" spans="1:11" x14ac:dyDescent="0.25">
      <c r="A3222" s="332"/>
      <c r="B3222" s="333"/>
      <c r="C3222" s="327"/>
      <c r="D3222" s="333"/>
      <c r="E3222" s="335"/>
      <c r="F3222" s="336"/>
      <c r="G3222" s="332"/>
      <c r="H3222" s="332"/>
      <c r="I3222" s="337"/>
      <c r="J3222" s="337"/>
      <c r="K3222" s="332"/>
    </row>
    <row r="3223" spans="1:11" x14ac:dyDescent="0.25">
      <c r="A3223" s="332"/>
      <c r="B3223" s="333"/>
      <c r="C3223" s="327"/>
      <c r="D3223" s="333"/>
      <c r="E3223" s="335"/>
      <c r="F3223" s="336"/>
      <c r="G3223" s="332"/>
      <c r="H3223" s="332"/>
      <c r="I3223" s="337"/>
      <c r="J3223" s="337"/>
      <c r="K3223" s="332"/>
    </row>
    <row r="3224" spans="1:11" x14ac:dyDescent="0.25">
      <c r="A3224" s="332"/>
      <c r="B3224" s="333"/>
      <c r="C3224" s="327"/>
      <c r="D3224" s="333"/>
      <c r="E3224" s="335"/>
      <c r="F3224" s="336"/>
      <c r="G3224" s="332"/>
      <c r="H3224" s="332"/>
      <c r="I3224" s="337"/>
      <c r="J3224" s="337"/>
      <c r="K3224" s="332"/>
    </row>
    <row r="3225" spans="1:11" x14ac:dyDescent="0.25">
      <c r="A3225" s="332"/>
      <c r="B3225" s="333"/>
      <c r="C3225" s="327"/>
      <c r="D3225" s="333"/>
      <c r="E3225" s="335"/>
      <c r="F3225" s="336"/>
      <c r="G3225" s="332"/>
      <c r="H3225" s="332"/>
      <c r="I3225" s="337"/>
      <c r="J3225" s="337"/>
      <c r="K3225" s="332"/>
    </row>
    <row r="3226" spans="1:11" x14ac:dyDescent="0.25">
      <c r="A3226" s="332"/>
      <c r="B3226" s="333"/>
      <c r="C3226" s="327"/>
      <c r="D3226" s="333"/>
      <c r="E3226" s="335"/>
      <c r="F3226" s="336"/>
      <c r="G3226" s="332"/>
      <c r="H3226" s="332"/>
      <c r="I3226" s="337"/>
      <c r="J3226" s="337"/>
      <c r="K3226" s="332"/>
    </row>
    <row r="3227" spans="1:11" x14ac:dyDescent="0.25">
      <c r="A3227" s="332"/>
      <c r="B3227" s="333"/>
      <c r="C3227" s="327"/>
      <c r="D3227" s="333"/>
      <c r="E3227" s="335"/>
      <c r="F3227" s="336"/>
      <c r="G3227" s="332"/>
      <c r="H3227" s="332"/>
      <c r="I3227" s="337"/>
      <c r="J3227" s="337"/>
      <c r="K3227" s="332"/>
    </row>
    <row r="3228" spans="1:11" x14ac:dyDescent="0.25">
      <c r="A3228" s="332"/>
      <c r="B3228" s="333"/>
      <c r="C3228" s="327"/>
      <c r="D3228" s="333"/>
      <c r="E3228" s="335"/>
      <c r="F3228" s="336"/>
      <c r="G3228" s="332"/>
      <c r="H3228" s="332"/>
      <c r="I3228" s="337"/>
      <c r="J3228" s="337"/>
      <c r="K3228" s="332"/>
    </row>
    <row r="3229" spans="1:11" x14ac:dyDescent="0.25">
      <c r="A3229" s="332"/>
      <c r="B3229" s="333"/>
      <c r="C3229" s="327"/>
      <c r="D3229" s="333"/>
      <c r="E3229" s="335"/>
      <c r="F3229" s="336"/>
      <c r="G3229" s="332"/>
      <c r="H3229" s="332"/>
      <c r="I3229" s="337"/>
      <c r="J3229" s="337"/>
      <c r="K3229" s="332"/>
    </row>
    <row r="3230" spans="1:11" x14ac:dyDescent="0.25">
      <c r="A3230" s="332"/>
      <c r="B3230" s="333"/>
      <c r="C3230" s="327"/>
      <c r="D3230" s="333"/>
      <c r="E3230" s="335"/>
      <c r="F3230" s="336"/>
      <c r="G3230" s="332"/>
      <c r="H3230" s="332"/>
      <c r="I3230" s="337"/>
      <c r="J3230" s="337"/>
      <c r="K3230" s="332"/>
    </row>
    <row r="3231" spans="1:11" x14ac:dyDescent="0.25">
      <c r="A3231" s="332"/>
      <c r="B3231" s="333"/>
      <c r="C3231" s="327"/>
      <c r="D3231" s="333"/>
      <c r="E3231" s="335"/>
      <c r="F3231" s="336"/>
      <c r="G3231" s="332"/>
      <c r="H3231" s="332"/>
      <c r="I3231" s="337"/>
      <c r="J3231" s="337"/>
      <c r="K3231" s="332"/>
    </row>
    <row r="3232" spans="1:11" x14ac:dyDescent="0.25">
      <c r="A3232" s="332"/>
      <c r="B3232" s="333"/>
      <c r="C3232" s="327"/>
      <c r="D3232" s="333"/>
      <c r="E3232" s="335"/>
      <c r="F3232" s="336"/>
      <c r="G3232" s="332"/>
      <c r="H3232" s="332"/>
      <c r="I3232" s="337"/>
      <c r="J3232" s="337"/>
      <c r="K3232" s="332"/>
    </row>
    <row r="3233" spans="1:11" x14ac:dyDescent="0.25">
      <c r="A3233" s="332"/>
      <c r="B3233" s="333"/>
      <c r="C3233" s="327"/>
      <c r="D3233" s="333"/>
      <c r="E3233" s="335"/>
      <c r="F3233" s="336"/>
      <c r="G3233" s="332"/>
      <c r="H3233" s="332"/>
      <c r="I3233" s="337"/>
      <c r="J3233" s="337"/>
      <c r="K3233" s="332"/>
    </row>
    <row r="3234" spans="1:11" x14ac:dyDescent="0.25">
      <c r="A3234" s="332"/>
      <c r="B3234" s="333"/>
      <c r="C3234" s="327"/>
      <c r="D3234" s="333"/>
      <c r="E3234" s="335"/>
      <c r="F3234" s="336"/>
      <c r="G3234" s="332"/>
      <c r="H3234" s="332"/>
      <c r="I3234" s="337"/>
      <c r="J3234" s="337"/>
      <c r="K3234" s="332"/>
    </row>
    <row r="3235" spans="1:11" x14ac:dyDescent="0.25">
      <c r="A3235" s="332"/>
      <c r="B3235" s="333"/>
      <c r="C3235" s="327"/>
      <c r="D3235" s="333"/>
      <c r="E3235" s="335"/>
      <c r="F3235" s="336"/>
      <c r="G3235" s="332"/>
      <c r="H3235" s="332"/>
      <c r="I3235" s="337"/>
      <c r="J3235" s="337"/>
      <c r="K3235" s="332"/>
    </row>
    <row r="3236" spans="1:11" x14ac:dyDescent="0.25">
      <c r="A3236" s="332"/>
      <c r="B3236" s="333"/>
      <c r="C3236" s="327"/>
      <c r="D3236" s="333"/>
      <c r="E3236" s="335"/>
      <c r="F3236" s="336"/>
      <c r="G3236" s="332"/>
      <c r="H3236" s="332"/>
      <c r="I3236" s="337"/>
      <c r="J3236" s="337"/>
      <c r="K3236" s="332"/>
    </row>
    <row r="3237" spans="1:11" x14ac:dyDescent="0.25">
      <c r="A3237" s="332"/>
      <c r="B3237" s="333"/>
      <c r="C3237" s="327"/>
      <c r="D3237" s="333"/>
      <c r="E3237" s="335"/>
      <c r="F3237" s="336"/>
      <c r="G3237" s="332"/>
      <c r="H3237" s="332"/>
      <c r="I3237" s="337"/>
      <c r="J3237" s="337"/>
      <c r="K3237" s="332"/>
    </row>
    <row r="3238" spans="1:11" x14ac:dyDescent="0.25">
      <c r="A3238" s="332"/>
      <c r="B3238" s="333"/>
      <c r="C3238" s="327"/>
      <c r="D3238" s="333"/>
      <c r="E3238" s="335"/>
      <c r="F3238" s="336"/>
      <c r="G3238" s="332"/>
      <c r="H3238" s="332"/>
      <c r="I3238" s="337"/>
      <c r="J3238" s="337"/>
      <c r="K3238" s="332"/>
    </row>
    <row r="3239" spans="1:11" x14ac:dyDescent="0.25">
      <c r="A3239" s="332"/>
      <c r="B3239" s="333"/>
      <c r="C3239" s="327"/>
      <c r="D3239" s="333"/>
      <c r="E3239" s="335"/>
      <c r="F3239" s="336"/>
      <c r="G3239" s="332"/>
      <c r="H3239" s="332"/>
      <c r="I3239" s="337"/>
      <c r="J3239" s="337"/>
      <c r="K3239" s="332"/>
    </row>
    <row r="3240" spans="1:11" x14ac:dyDescent="0.25">
      <c r="A3240" s="332"/>
      <c r="B3240" s="333"/>
      <c r="C3240" s="327"/>
      <c r="D3240" s="333"/>
      <c r="E3240" s="335"/>
      <c r="F3240" s="336"/>
      <c r="G3240" s="332"/>
      <c r="H3240" s="332"/>
      <c r="I3240" s="337"/>
      <c r="J3240" s="337"/>
      <c r="K3240" s="332"/>
    </row>
    <row r="3241" spans="1:11" x14ac:dyDescent="0.25">
      <c r="A3241" s="332"/>
      <c r="B3241" s="333"/>
      <c r="C3241" s="327"/>
      <c r="D3241" s="333"/>
      <c r="E3241" s="335"/>
      <c r="F3241" s="336"/>
      <c r="G3241" s="332"/>
      <c r="H3241" s="332"/>
      <c r="I3241" s="337"/>
      <c r="J3241" s="337"/>
      <c r="K3241" s="332"/>
    </row>
    <row r="3242" spans="1:11" x14ac:dyDescent="0.25">
      <c r="A3242" s="332"/>
      <c r="B3242" s="333"/>
      <c r="C3242" s="327"/>
      <c r="D3242" s="333"/>
      <c r="E3242" s="335"/>
      <c r="F3242" s="336"/>
      <c r="G3242" s="332"/>
      <c r="H3242" s="332"/>
      <c r="I3242" s="337"/>
      <c r="J3242" s="337"/>
      <c r="K3242" s="332"/>
    </row>
    <row r="3243" spans="1:11" ht="12.75" x14ac:dyDescent="0.2">
      <c r="A3243" s="23"/>
      <c r="B3243" s="328"/>
      <c r="C3243" s="327"/>
      <c r="D3243" s="328"/>
      <c r="E3243" s="23"/>
      <c r="F3243" s="329"/>
      <c r="G3243" s="23"/>
      <c r="H3243" s="23"/>
      <c r="I3243" s="330"/>
      <c r="J3243" s="330"/>
      <c r="K3243" s="23"/>
    </row>
    <row r="3244" spans="1:11" ht="12.75" x14ac:dyDescent="0.2">
      <c r="A3244" s="23"/>
      <c r="B3244" s="328"/>
      <c r="C3244" s="327"/>
      <c r="D3244" s="328"/>
      <c r="E3244" s="23"/>
      <c r="F3244" s="329"/>
      <c r="G3244" s="23"/>
      <c r="H3244" s="23"/>
      <c r="I3244" s="330"/>
      <c r="J3244" s="330"/>
      <c r="K3244" s="23"/>
    </row>
    <row r="3245" spans="1:11" ht="12.75" x14ac:dyDescent="0.2">
      <c r="A3245" s="23"/>
      <c r="B3245" s="328"/>
      <c r="C3245" s="327"/>
      <c r="D3245" s="328"/>
      <c r="E3245" s="23"/>
      <c r="F3245" s="329"/>
      <c r="G3245" s="23"/>
      <c r="H3245" s="23"/>
      <c r="I3245" s="330"/>
      <c r="J3245" s="330"/>
      <c r="K3245" s="23"/>
    </row>
    <row r="3246" spans="1:11" ht="12.75" x14ac:dyDescent="0.2">
      <c r="A3246" s="23"/>
      <c r="B3246" s="328"/>
      <c r="C3246" s="327"/>
      <c r="D3246" s="328"/>
      <c r="E3246" s="23"/>
      <c r="F3246" s="329"/>
      <c r="G3246" s="23"/>
      <c r="H3246" s="23"/>
      <c r="I3246" s="330"/>
      <c r="J3246" s="330"/>
      <c r="K3246" s="23"/>
    </row>
    <row r="3247" spans="1:11" ht="12.75" x14ac:dyDescent="0.2">
      <c r="A3247" s="23"/>
      <c r="B3247" s="328"/>
      <c r="C3247" s="327"/>
      <c r="D3247" s="328"/>
      <c r="E3247" s="23"/>
      <c r="F3247" s="329"/>
      <c r="G3247" s="23"/>
      <c r="I3247" s="330"/>
      <c r="J3247" s="330"/>
      <c r="K3247" s="23"/>
    </row>
    <row r="3248" spans="1:11" ht="12.75" x14ac:dyDescent="0.2">
      <c r="A3248" s="23"/>
      <c r="B3248" s="328"/>
      <c r="C3248" s="327"/>
      <c r="D3248" s="328"/>
      <c r="E3248" s="23"/>
      <c r="F3248" s="329"/>
      <c r="G3248" s="23"/>
      <c r="H3248" s="23"/>
      <c r="I3248" s="330"/>
      <c r="J3248" s="330"/>
      <c r="K3248" s="23"/>
    </row>
    <row r="3249" spans="1:11" ht="12.75" x14ac:dyDescent="0.2">
      <c r="A3249" s="23"/>
      <c r="B3249" s="328"/>
      <c r="C3249" s="327"/>
      <c r="D3249" s="328"/>
      <c r="E3249" s="23"/>
      <c r="F3249" s="329"/>
      <c r="G3249" s="23"/>
      <c r="H3249" s="23"/>
      <c r="I3249" s="330"/>
      <c r="J3249" s="330"/>
      <c r="K3249" s="23"/>
    </row>
    <row r="3250" spans="1:11" ht="12.75" x14ac:dyDescent="0.2">
      <c r="A3250" s="23"/>
      <c r="B3250" s="328"/>
      <c r="C3250" s="327"/>
      <c r="D3250" s="328"/>
      <c r="E3250" s="23"/>
      <c r="F3250" s="329"/>
      <c r="G3250" s="23"/>
      <c r="H3250" s="23"/>
      <c r="I3250" s="330"/>
      <c r="J3250" s="330"/>
      <c r="K3250" s="23"/>
    </row>
    <row r="3251" spans="1:11" ht="12.75" x14ac:dyDescent="0.2">
      <c r="A3251" s="23"/>
      <c r="B3251" s="328"/>
      <c r="C3251" s="327"/>
      <c r="D3251" s="328"/>
      <c r="E3251" s="23"/>
      <c r="F3251" s="329"/>
      <c r="G3251" s="23"/>
      <c r="H3251" s="23"/>
      <c r="I3251" s="330"/>
      <c r="J3251" s="330"/>
      <c r="K3251" s="23"/>
    </row>
    <row r="3252" spans="1:11" ht="12.75" x14ac:dyDescent="0.2">
      <c r="A3252" s="23"/>
      <c r="B3252" s="328"/>
      <c r="C3252" s="327"/>
      <c r="D3252" s="328"/>
      <c r="E3252" s="23"/>
      <c r="F3252" s="329"/>
      <c r="G3252" s="23"/>
      <c r="H3252" s="23"/>
      <c r="I3252" s="330"/>
      <c r="J3252" s="330"/>
      <c r="K3252" s="23"/>
    </row>
    <row r="3253" spans="1:11" ht="12.75" x14ac:dyDescent="0.2">
      <c r="A3253" s="23"/>
      <c r="B3253" s="328"/>
      <c r="C3253" s="327"/>
      <c r="D3253" s="328"/>
      <c r="E3253" s="23"/>
      <c r="F3253" s="329"/>
      <c r="G3253" s="23"/>
      <c r="H3253" s="23"/>
      <c r="I3253" s="330"/>
      <c r="J3253" s="330"/>
      <c r="K3253" s="23"/>
    </row>
    <row r="3254" spans="1:11" ht="12.75" x14ac:dyDescent="0.2">
      <c r="A3254" s="23"/>
      <c r="B3254" s="328"/>
      <c r="C3254" s="327"/>
      <c r="D3254" s="328"/>
      <c r="E3254" s="23"/>
      <c r="F3254" s="329"/>
      <c r="G3254" s="23"/>
      <c r="H3254" s="23"/>
      <c r="I3254" s="330"/>
      <c r="J3254" s="330"/>
      <c r="K3254" s="23"/>
    </row>
    <row r="3255" spans="1:11" ht="12.75" x14ac:dyDescent="0.2">
      <c r="A3255" s="23"/>
      <c r="B3255" s="328"/>
      <c r="C3255" s="327"/>
      <c r="D3255" s="328"/>
      <c r="E3255" s="23"/>
      <c r="F3255" s="329"/>
      <c r="G3255" s="23"/>
      <c r="H3255" s="23"/>
      <c r="I3255" s="330"/>
      <c r="J3255" s="330"/>
      <c r="K3255" s="23"/>
    </row>
    <row r="3256" spans="1:11" ht="12.75" x14ac:dyDescent="0.2">
      <c r="A3256" s="23"/>
      <c r="B3256" s="328"/>
      <c r="C3256" s="327"/>
      <c r="D3256" s="328"/>
      <c r="E3256" s="23"/>
      <c r="F3256" s="329"/>
      <c r="G3256" s="23"/>
      <c r="H3256" s="23"/>
      <c r="I3256" s="330"/>
      <c r="J3256" s="330"/>
      <c r="K3256" s="23"/>
    </row>
    <row r="3257" spans="1:11" ht="12.75" x14ac:dyDescent="0.2">
      <c r="A3257" s="23"/>
      <c r="B3257" s="328"/>
      <c r="C3257" s="327"/>
      <c r="D3257" s="328"/>
      <c r="E3257" s="23"/>
      <c r="F3257" s="329"/>
      <c r="G3257" s="23"/>
      <c r="H3257" s="23"/>
      <c r="I3257" s="330"/>
      <c r="J3257" s="330"/>
      <c r="K3257" s="23"/>
    </row>
    <row r="3258" spans="1:11" ht="12.75" x14ac:dyDescent="0.2">
      <c r="A3258" s="23"/>
      <c r="B3258" s="328"/>
      <c r="C3258" s="327"/>
      <c r="D3258" s="328"/>
      <c r="E3258" s="23"/>
      <c r="F3258" s="329"/>
      <c r="G3258" s="23"/>
      <c r="H3258" s="23"/>
      <c r="I3258" s="330"/>
      <c r="J3258" s="330"/>
      <c r="K3258" s="23"/>
    </row>
    <row r="3259" spans="1:11" ht="12.75" x14ac:dyDescent="0.2">
      <c r="A3259" s="23"/>
      <c r="B3259" s="328"/>
      <c r="C3259" s="327"/>
      <c r="D3259" s="328"/>
      <c r="E3259" s="23"/>
      <c r="F3259" s="329"/>
      <c r="G3259" s="23"/>
      <c r="H3259" s="23"/>
      <c r="I3259" s="330"/>
      <c r="J3259" s="330"/>
      <c r="K3259" s="23"/>
    </row>
    <row r="3260" spans="1:11" ht="12.75" x14ac:dyDescent="0.2">
      <c r="A3260" s="23"/>
      <c r="B3260" s="328"/>
      <c r="C3260" s="327"/>
      <c r="D3260" s="328"/>
      <c r="E3260" s="23"/>
      <c r="F3260" s="329"/>
      <c r="G3260" s="23"/>
      <c r="H3260" s="23"/>
      <c r="I3260" s="330"/>
      <c r="J3260" s="330"/>
      <c r="K3260" s="23"/>
    </row>
    <row r="3261" spans="1:11" ht="12.75" x14ac:dyDescent="0.2">
      <c r="A3261" s="23"/>
      <c r="B3261" s="328"/>
      <c r="C3261" s="327"/>
      <c r="D3261" s="328"/>
      <c r="E3261" s="23"/>
      <c r="F3261" s="329"/>
      <c r="G3261" s="23"/>
      <c r="H3261" s="23"/>
      <c r="I3261" s="330"/>
      <c r="J3261" s="330"/>
      <c r="K3261" s="23"/>
    </row>
    <row r="3262" spans="1:11" ht="12.75" x14ac:dyDescent="0.2">
      <c r="A3262" s="23"/>
      <c r="B3262" s="328"/>
      <c r="C3262" s="327"/>
      <c r="D3262" s="328"/>
      <c r="E3262" s="23"/>
      <c r="F3262" s="329"/>
      <c r="G3262" s="23"/>
      <c r="H3262" s="23"/>
      <c r="I3262" s="330"/>
      <c r="J3262" s="330"/>
      <c r="K3262" s="23"/>
    </row>
    <row r="3263" spans="1:11" ht="12.75" x14ac:dyDescent="0.2">
      <c r="A3263" s="23"/>
      <c r="B3263" s="328"/>
      <c r="C3263" s="327"/>
      <c r="D3263" s="328"/>
      <c r="E3263" s="23"/>
      <c r="F3263" s="329"/>
      <c r="G3263" s="23"/>
      <c r="H3263" s="23"/>
      <c r="I3263" s="330"/>
      <c r="J3263" s="330"/>
      <c r="K3263" s="23"/>
    </row>
    <row r="3264" spans="1:11" ht="12.75" x14ac:dyDescent="0.2">
      <c r="A3264" s="23"/>
      <c r="B3264" s="328"/>
      <c r="C3264" s="327"/>
      <c r="D3264" s="328"/>
      <c r="E3264" s="23"/>
      <c r="F3264" s="329"/>
      <c r="G3264" s="23"/>
      <c r="H3264" s="23"/>
      <c r="I3264" s="330"/>
      <c r="J3264" s="330"/>
      <c r="K3264" s="23"/>
    </row>
    <row r="3265" spans="1:11" ht="12.75" x14ac:dyDescent="0.2">
      <c r="A3265" s="23"/>
      <c r="B3265" s="328"/>
      <c r="C3265" s="327"/>
      <c r="D3265" s="328"/>
      <c r="E3265" s="23"/>
      <c r="F3265" s="329"/>
      <c r="G3265" s="23"/>
      <c r="H3265" s="23"/>
      <c r="I3265" s="330"/>
      <c r="J3265" s="330"/>
      <c r="K3265" s="23"/>
    </row>
    <row r="3266" spans="1:11" ht="12.75" x14ac:dyDescent="0.2">
      <c r="A3266" s="23"/>
      <c r="B3266" s="328"/>
      <c r="C3266" s="327"/>
      <c r="D3266" s="328"/>
      <c r="E3266" s="23"/>
      <c r="F3266" s="329"/>
      <c r="G3266" s="23"/>
      <c r="H3266" s="23"/>
      <c r="I3266" s="330"/>
      <c r="J3266" s="330"/>
      <c r="K3266" s="23"/>
    </row>
    <row r="3267" spans="1:11" ht="12.75" x14ac:dyDescent="0.2">
      <c r="A3267" s="23"/>
      <c r="B3267" s="328"/>
      <c r="C3267" s="327"/>
      <c r="D3267" s="328"/>
      <c r="E3267" s="23"/>
      <c r="F3267" s="329"/>
      <c r="G3267" s="23"/>
      <c r="H3267" s="23"/>
      <c r="I3267" s="330"/>
      <c r="J3267" s="330"/>
      <c r="K3267" s="23"/>
    </row>
    <row r="3268" spans="1:11" ht="12.75" x14ac:dyDescent="0.2">
      <c r="A3268" s="23"/>
      <c r="B3268" s="328"/>
      <c r="C3268" s="327"/>
      <c r="D3268" s="328"/>
      <c r="E3268" s="23"/>
      <c r="F3268" s="329"/>
      <c r="G3268" s="23"/>
      <c r="H3268" s="23"/>
      <c r="I3268" s="330"/>
      <c r="J3268" s="330"/>
      <c r="K3268" s="23"/>
    </row>
    <row r="3269" spans="1:11" ht="12.75" x14ac:dyDescent="0.2">
      <c r="A3269" s="23"/>
      <c r="B3269" s="328"/>
      <c r="C3269" s="327"/>
      <c r="D3269" s="328"/>
      <c r="E3269" s="23"/>
      <c r="F3269" s="329"/>
      <c r="G3269" s="23"/>
      <c r="H3269" s="23"/>
      <c r="I3269" s="330"/>
      <c r="J3269" s="330"/>
      <c r="K3269" s="23"/>
    </row>
    <row r="3270" spans="1:11" ht="12.75" x14ac:dyDescent="0.2">
      <c r="A3270" s="23"/>
      <c r="B3270" s="328"/>
      <c r="C3270" s="327"/>
      <c r="D3270" s="328"/>
      <c r="E3270" s="23"/>
      <c r="F3270" s="329"/>
      <c r="G3270" s="23"/>
      <c r="H3270" s="23"/>
      <c r="I3270" s="330"/>
      <c r="J3270" s="330"/>
      <c r="K3270" s="23"/>
    </row>
    <row r="3271" spans="1:11" ht="12.75" x14ac:dyDescent="0.2">
      <c r="A3271" s="23"/>
      <c r="B3271" s="328"/>
      <c r="C3271" s="327"/>
      <c r="D3271" s="328"/>
      <c r="E3271" s="23"/>
      <c r="F3271" s="329"/>
      <c r="G3271" s="23"/>
      <c r="H3271" s="23"/>
      <c r="I3271" s="330"/>
      <c r="J3271" s="330"/>
      <c r="K3271" s="23"/>
    </row>
    <row r="3272" spans="1:11" ht="12.75" x14ac:dyDescent="0.2">
      <c r="A3272" s="23"/>
      <c r="B3272" s="328"/>
      <c r="C3272" s="327"/>
      <c r="D3272" s="328"/>
      <c r="E3272" s="23"/>
      <c r="F3272" s="329"/>
      <c r="G3272" s="23"/>
      <c r="H3272" s="23"/>
      <c r="I3272" s="330"/>
      <c r="J3272" s="330"/>
      <c r="K3272" s="23"/>
    </row>
    <row r="3273" spans="1:11" ht="12.75" x14ac:dyDescent="0.2">
      <c r="A3273" s="23"/>
      <c r="B3273" s="328"/>
      <c r="C3273" s="327"/>
      <c r="D3273" s="328"/>
      <c r="E3273" s="23"/>
      <c r="F3273" s="329"/>
      <c r="G3273" s="23"/>
      <c r="H3273" s="23"/>
      <c r="I3273" s="330"/>
      <c r="J3273" s="330"/>
      <c r="K3273" s="23"/>
    </row>
    <row r="3274" spans="1:11" ht="12.75" x14ac:dyDescent="0.2">
      <c r="A3274" s="23"/>
      <c r="B3274" s="328"/>
      <c r="C3274" s="327"/>
      <c r="D3274" s="328"/>
      <c r="E3274" s="23"/>
      <c r="F3274" s="329"/>
      <c r="G3274" s="23"/>
      <c r="H3274" s="23"/>
      <c r="I3274" s="330"/>
      <c r="J3274" s="330"/>
      <c r="K3274" s="23"/>
    </row>
    <row r="3275" spans="1:11" ht="12.75" x14ac:dyDescent="0.2">
      <c r="A3275" s="23"/>
      <c r="B3275" s="328"/>
      <c r="C3275" s="327"/>
      <c r="D3275" s="328"/>
      <c r="E3275" s="23"/>
      <c r="F3275" s="329"/>
      <c r="G3275" s="23"/>
      <c r="H3275" s="23"/>
      <c r="I3275" s="330"/>
      <c r="J3275" s="330"/>
      <c r="K3275" s="23"/>
    </row>
    <row r="3276" spans="1:11" ht="12.75" x14ac:dyDescent="0.2">
      <c r="A3276" s="23"/>
      <c r="B3276" s="328"/>
      <c r="C3276" s="327"/>
      <c r="D3276" s="328"/>
      <c r="E3276" s="23"/>
      <c r="F3276" s="329"/>
      <c r="G3276" s="23"/>
      <c r="H3276" s="23"/>
      <c r="I3276" s="330"/>
      <c r="J3276" s="330"/>
      <c r="K3276" s="23"/>
    </row>
    <row r="3277" spans="1:11" ht="12.75" x14ac:dyDescent="0.2">
      <c r="A3277" s="23"/>
      <c r="B3277" s="328"/>
      <c r="C3277" s="327"/>
      <c r="D3277" s="328"/>
      <c r="E3277" s="23"/>
      <c r="F3277" s="329"/>
      <c r="G3277" s="23"/>
      <c r="H3277" s="23"/>
      <c r="I3277" s="330"/>
      <c r="J3277" s="330"/>
      <c r="K3277" s="23"/>
    </row>
    <row r="3278" spans="1:11" ht="12.75" x14ac:dyDescent="0.2">
      <c r="A3278" s="23"/>
      <c r="B3278" s="328"/>
      <c r="C3278" s="327"/>
      <c r="D3278" s="328"/>
      <c r="E3278" s="23"/>
      <c r="F3278" s="329"/>
      <c r="G3278" s="23"/>
      <c r="H3278" s="23"/>
      <c r="I3278" s="330"/>
      <c r="J3278" s="330"/>
      <c r="K3278" s="23"/>
    </row>
    <row r="3279" spans="1:11" ht="12.75" x14ac:dyDescent="0.2">
      <c r="A3279" s="23"/>
      <c r="B3279" s="328"/>
      <c r="C3279" s="327"/>
      <c r="D3279" s="328"/>
      <c r="E3279" s="23"/>
      <c r="F3279" s="329"/>
      <c r="G3279" s="23"/>
      <c r="H3279" s="23"/>
      <c r="I3279" s="330"/>
      <c r="J3279" s="330"/>
      <c r="K3279" s="23"/>
    </row>
    <row r="3280" spans="1:11" ht="12.75" x14ac:dyDescent="0.2">
      <c r="A3280" s="23"/>
      <c r="B3280" s="328"/>
      <c r="C3280" s="327"/>
      <c r="D3280" s="328"/>
      <c r="E3280" s="23"/>
      <c r="F3280" s="329"/>
      <c r="G3280" s="23"/>
      <c r="H3280" s="23"/>
      <c r="I3280" s="330"/>
      <c r="J3280" s="330"/>
      <c r="K3280" s="23"/>
    </row>
    <row r="3281" spans="1:11" ht="12.75" x14ac:dyDescent="0.2">
      <c r="A3281" s="23"/>
      <c r="B3281" s="328"/>
      <c r="C3281" s="327"/>
      <c r="D3281" s="328"/>
      <c r="E3281" s="23"/>
      <c r="F3281" s="329"/>
      <c r="G3281" s="23"/>
      <c r="H3281" s="23"/>
      <c r="I3281" s="330"/>
      <c r="J3281" s="330"/>
      <c r="K3281" s="23"/>
    </row>
    <row r="3282" spans="1:11" ht="12.75" x14ac:dyDescent="0.2">
      <c r="A3282" s="23"/>
      <c r="B3282" s="328"/>
      <c r="C3282" s="327"/>
      <c r="D3282" s="328"/>
      <c r="E3282" s="23"/>
      <c r="F3282" s="329"/>
      <c r="G3282" s="23"/>
      <c r="H3282" s="23"/>
      <c r="I3282" s="330"/>
      <c r="J3282" s="330"/>
      <c r="K3282" s="23"/>
    </row>
    <row r="3283" spans="1:11" ht="12.75" x14ac:dyDescent="0.2">
      <c r="A3283" s="23"/>
      <c r="B3283" s="328"/>
      <c r="C3283" s="327"/>
      <c r="D3283" s="328"/>
      <c r="E3283" s="23"/>
      <c r="F3283" s="329"/>
      <c r="G3283" s="23"/>
      <c r="H3283" s="23"/>
      <c r="I3283" s="330"/>
      <c r="J3283" s="330"/>
      <c r="K3283" s="23"/>
    </row>
    <row r="3284" spans="1:11" ht="12.75" x14ac:dyDescent="0.2">
      <c r="A3284" s="23"/>
      <c r="B3284" s="328"/>
      <c r="C3284" s="327"/>
      <c r="D3284" s="328"/>
      <c r="E3284" s="23"/>
      <c r="F3284" s="329"/>
      <c r="G3284" s="23"/>
      <c r="H3284" s="23"/>
      <c r="I3284" s="330"/>
      <c r="J3284" s="330"/>
      <c r="K3284" s="23"/>
    </row>
    <row r="3285" spans="1:11" ht="12.75" x14ac:dyDescent="0.2">
      <c r="A3285" s="23"/>
      <c r="B3285" s="328"/>
      <c r="C3285" s="327"/>
      <c r="D3285" s="328"/>
      <c r="E3285" s="23"/>
      <c r="F3285" s="329"/>
      <c r="G3285" s="23"/>
      <c r="H3285" s="23"/>
      <c r="I3285" s="330"/>
      <c r="J3285" s="330"/>
      <c r="K3285" s="23"/>
    </row>
    <row r="3286" spans="1:11" ht="12.75" x14ac:dyDescent="0.2">
      <c r="A3286" s="23"/>
      <c r="B3286" s="328"/>
      <c r="C3286" s="327"/>
      <c r="D3286" s="328"/>
      <c r="E3286" s="23"/>
      <c r="F3286" s="329"/>
      <c r="G3286" s="23"/>
      <c r="H3286" s="23"/>
      <c r="I3286" s="330"/>
      <c r="J3286" s="330"/>
      <c r="K3286" s="23"/>
    </row>
    <row r="3287" spans="1:11" ht="12.75" x14ac:dyDescent="0.2">
      <c r="A3287" s="23"/>
      <c r="B3287" s="328"/>
      <c r="C3287" s="327"/>
      <c r="D3287" s="328"/>
      <c r="E3287" s="23"/>
      <c r="F3287" s="329"/>
      <c r="G3287" s="23"/>
      <c r="H3287" s="23"/>
      <c r="I3287" s="330"/>
      <c r="J3287" s="330"/>
      <c r="K3287" s="23"/>
    </row>
    <row r="3288" spans="1:11" ht="12.75" x14ac:dyDescent="0.2">
      <c r="A3288" s="23"/>
      <c r="B3288" s="328"/>
      <c r="C3288" s="327"/>
      <c r="D3288" s="328"/>
      <c r="E3288" s="23"/>
      <c r="F3288" s="329"/>
      <c r="G3288" s="23"/>
      <c r="H3288" s="23"/>
      <c r="I3288" s="330"/>
      <c r="J3288" s="330"/>
      <c r="K3288" s="23"/>
    </row>
    <row r="3289" spans="1:11" ht="12.75" x14ac:dyDescent="0.2">
      <c r="A3289" s="23"/>
      <c r="B3289" s="328"/>
      <c r="C3289" s="327"/>
      <c r="D3289" s="328"/>
      <c r="E3289" s="23"/>
      <c r="F3289" s="329"/>
      <c r="G3289" s="23"/>
      <c r="H3289" s="23"/>
      <c r="I3289" s="330"/>
      <c r="J3289" s="330"/>
      <c r="K3289" s="23"/>
    </row>
    <row r="3290" spans="1:11" ht="12.75" x14ac:dyDescent="0.2">
      <c r="A3290" s="23"/>
      <c r="B3290" s="328"/>
      <c r="C3290" s="327"/>
      <c r="D3290" s="328"/>
      <c r="E3290" s="23"/>
      <c r="F3290" s="329"/>
      <c r="G3290" s="23"/>
      <c r="H3290" s="23"/>
      <c r="I3290" s="330"/>
      <c r="J3290" s="330"/>
      <c r="K3290" s="23"/>
    </row>
    <row r="3291" spans="1:11" ht="12.75" x14ac:dyDescent="0.2">
      <c r="A3291" s="23"/>
      <c r="B3291" s="328"/>
      <c r="C3291" s="327"/>
      <c r="D3291" s="328"/>
      <c r="E3291" s="23"/>
      <c r="F3291" s="329"/>
      <c r="G3291" s="23"/>
      <c r="H3291" s="23"/>
      <c r="I3291" s="330"/>
      <c r="J3291" s="330"/>
      <c r="K3291" s="23"/>
    </row>
    <row r="3292" spans="1:11" ht="12.75" x14ac:dyDescent="0.2">
      <c r="A3292" s="23"/>
      <c r="B3292" s="328"/>
      <c r="C3292" s="327"/>
      <c r="D3292" s="328"/>
      <c r="E3292" s="23"/>
      <c r="F3292" s="329"/>
      <c r="G3292" s="23"/>
      <c r="H3292" s="23"/>
      <c r="I3292" s="330"/>
      <c r="J3292" s="330"/>
      <c r="K3292" s="23"/>
    </row>
    <row r="3293" spans="1:11" ht="12.75" x14ac:dyDescent="0.2">
      <c r="A3293" s="23"/>
      <c r="B3293" s="328"/>
      <c r="C3293" s="327"/>
      <c r="D3293" s="328"/>
      <c r="E3293" s="23"/>
      <c r="F3293" s="329"/>
      <c r="G3293" s="23"/>
      <c r="H3293" s="23"/>
      <c r="I3293" s="330"/>
      <c r="J3293" s="330"/>
      <c r="K3293" s="23"/>
    </row>
    <row r="3294" spans="1:11" ht="12.75" x14ac:dyDescent="0.2">
      <c r="A3294" s="23"/>
      <c r="B3294" s="328"/>
      <c r="C3294" s="327"/>
      <c r="D3294" s="328"/>
      <c r="E3294" s="23"/>
      <c r="F3294" s="329"/>
      <c r="G3294" s="23"/>
      <c r="H3294" s="23"/>
      <c r="I3294" s="330"/>
      <c r="J3294" s="330"/>
      <c r="K3294" s="23"/>
    </row>
    <row r="3295" spans="1:11" ht="12.75" x14ac:dyDescent="0.2">
      <c r="A3295" s="23"/>
      <c r="B3295" s="328"/>
      <c r="C3295" s="327"/>
      <c r="D3295" s="328"/>
      <c r="E3295" s="23"/>
      <c r="F3295" s="329"/>
      <c r="G3295" s="23"/>
      <c r="H3295" s="23"/>
      <c r="I3295" s="330"/>
      <c r="J3295" s="330"/>
      <c r="K3295" s="23"/>
    </row>
    <row r="3296" spans="1:11" ht="12.75" x14ac:dyDescent="0.2">
      <c r="A3296" s="23"/>
      <c r="B3296" s="328"/>
      <c r="C3296" s="327"/>
      <c r="D3296" s="328"/>
      <c r="E3296" s="23"/>
      <c r="F3296" s="329"/>
      <c r="G3296" s="23"/>
      <c r="H3296" s="23"/>
      <c r="I3296" s="330"/>
      <c r="J3296" s="330"/>
      <c r="K3296" s="23"/>
    </row>
    <row r="3297" spans="1:11" ht="12.75" x14ac:dyDescent="0.2">
      <c r="A3297" s="23"/>
      <c r="B3297" s="328"/>
      <c r="C3297" s="327"/>
      <c r="D3297" s="328"/>
      <c r="E3297" s="23"/>
      <c r="F3297" s="329"/>
      <c r="G3297" s="23"/>
      <c r="H3297" s="23"/>
      <c r="I3297" s="330"/>
      <c r="J3297" s="330"/>
      <c r="K3297" s="23"/>
    </row>
    <row r="3298" spans="1:11" ht="12.75" x14ac:dyDescent="0.2">
      <c r="A3298" s="23"/>
      <c r="B3298" s="328"/>
      <c r="C3298" s="327"/>
      <c r="D3298" s="328"/>
      <c r="E3298" s="23"/>
      <c r="F3298" s="329"/>
      <c r="G3298" s="23"/>
      <c r="H3298" s="23"/>
      <c r="I3298" s="330"/>
      <c r="J3298" s="330"/>
      <c r="K3298" s="23"/>
    </row>
    <row r="3299" spans="1:11" ht="12.75" x14ac:dyDescent="0.2">
      <c r="A3299" s="23"/>
      <c r="B3299" s="328"/>
      <c r="C3299" s="327"/>
      <c r="D3299" s="328"/>
      <c r="E3299" s="23"/>
      <c r="F3299" s="329"/>
      <c r="G3299" s="23"/>
      <c r="H3299" s="23"/>
      <c r="I3299" s="330"/>
      <c r="J3299" s="330"/>
      <c r="K3299" s="23"/>
    </row>
    <row r="3300" spans="1:11" ht="12.75" x14ac:dyDescent="0.2">
      <c r="A3300" s="23"/>
      <c r="B3300" s="328"/>
      <c r="C3300" s="327"/>
      <c r="D3300" s="328"/>
      <c r="E3300" s="23"/>
      <c r="F3300" s="329"/>
      <c r="G3300" s="23"/>
      <c r="H3300" s="23"/>
      <c r="I3300" s="330"/>
      <c r="J3300" s="330"/>
      <c r="K3300" s="23"/>
    </row>
    <row r="3301" spans="1:11" ht="12.75" x14ac:dyDescent="0.2">
      <c r="A3301" s="23"/>
      <c r="B3301" s="328"/>
      <c r="C3301" s="327"/>
      <c r="D3301" s="328"/>
      <c r="E3301" s="23"/>
      <c r="F3301" s="329"/>
      <c r="G3301" s="23"/>
      <c r="H3301" s="23"/>
      <c r="I3301" s="330"/>
      <c r="J3301" s="330"/>
      <c r="K3301" s="23"/>
    </row>
    <row r="3302" spans="1:11" ht="12.75" x14ac:dyDescent="0.2">
      <c r="A3302" s="23"/>
      <c r="B3302" s="328"/>
      <c r="C3302" s="327"/>
      <c r="D3302" s="328"/>
      <c r="E3302" s="23"/>
      <c r="F3302" s="329"/>
      <c r="G3302" s="23"/>
      <c r="H3302" s="23"/>
      <c r="I3302" s="330"/>
      <c r="J3302" s="330"/>
      <c r="K3302" s="23"/>
    </row>
    <row r="3303" spans="1:11" ht="12.75" x14ac:dyDescent="0.2">
      <c r="A3303" s="23"/>
      <c r="B3303" s="328"/>
      <c r="C3303" s="327"/>
      <c r="D3303" s="328"/>
      <c r="E3303" s="23"/>
      <c r="F3303" s="329"/>
      <c r="G3303" s="23"/>
      <c r="H3303" s="23"/>
      <c r="I3303" s="330"/>
      <c r="J3303" s="330"/>
      <c r="K3303" s="23"/>
    </row>
    <row r="3304" spans="1:11" ht="12.75" x14ac:dyDescent="0.2">
      <c r="A3304" s="23"/>
      <c r="B3304" s="328"/>
      <c r="C3304" s="327"/>
      <c r="D3304" s="328"/>
      <c r="E3304" s="23"/>
      <c r="F3304" s="329"/>
      <c r="G3304" s="23"/>
      <c r="H3304" s="23"/>
      <c r="I3304" s="330"/>
      <c r="J3304" s="330"/>
      <c r="K3304" s="23"/>
    </row>
    <row r="3305" spans="1:11" ht="12.75" x14ac:dyDescent="0.2">
      <c r="A3305" s="23"/>
      <c r="B3305" s="328"/>
      <c r="C3305" s="327"/>
      <c r="D3305" s="328"/>
      <c r="E3305" s="23"/>
      <c r="F3305" s="329"/>
      <c r="G3305" s="23"/>
      <c r="H3305" s="23"/>
      <c r="I3305" s="330"/>
      <c r="J3305" s="330"/>
      <c r="K3305" s="23"/>
    </row>
    <row r="3306" spans="1:11" ht="12.75" x14ac:dyDescent="0.2">
      <c r="A3306" s="23"/>
      <c r="B3306" s="328"/>
      <c r="C3306" s="327"/>
      <c r="D3306" s="328"/>
      <c r="E3306" s="23"/>
      <c r="F3306" s="329"/>
      <c r="G3306" s="23"/>
      <c r="H3306" s="23"/>
      <c r="I3306" s="330"/>
      <c r="J3306" s="330"/>
      <c r="K3306" s="23"/>
    </row>
    <row r="3307" spans="1:11" ht="12.75" x14ac:dyDescent="0.2">
      <c r="A3307" s="23"/>
      <c r="B3307" s="328"/>
      <c r="C3307" s="327"/>
      <c r="D3307" s="328"/>
      <c r="E3307" s="23"/>
      <c r="F3307" s="329"/>
      <c r="G3307" s="23"/>
      <c r="H3307" s="23"/>
      <c r="I3307" s="330"/>
      <c r="J3307" s="330"/>
      <c r="K3307" s="23"/>
    </row>
    <row r="3308" spans="1:11" ht="12.75" x14ac:dyDescent="0.2">
      <c r="A3308" s="23"/>
      <c r="B3308" s="328"/>
      <c r="C3308" s="327"/>
      <c r="D3308" s="328"/>
      <c r="E3308" s="23"/>
      <c r="F3308" s="329"/>
      <c r="G3308" s="23"/>
      <c r="H3308" s="23"/>
      <c r="I3308" s="330"/>
      <c r="J3308" s="330"/>
      <c r="K3308" s="23"/>
    </row>
    <row r="3309" spans="1:11" ht="12.75" x14ac:dyDescent="0.2">
      <c r="A3309" s="23"/>
      <c r="B3309" s="328"/>
      <c r="C3309" s="327"/>
      <c r="D3309" s="328"/>
      <c r="E3309" s="23"/>
      <c r="F3309" s="329"/>
      <c r="G3309" s="23"/>
      <c r="H3309" s="23"/>
      <c r="I3309" s="330"/>
      <c r="J3309" s="330"/>
      <c r="K3309" s="23"/>
    </row>
    <row r="3310" spans="1:11" ht="12.75" x14ac:dyDescent="0.2">
      <c r="A3310" s="23"/>
      <c r="B3310" s="328"/>
      <c r="C3310" s="327"/>
      <c r="D3310" s="328"/>
      <c r="E3310" s="23"/>
      <c r="F3310" s="329"/>
      <c r="G3310" s="23"/>
      <c r="H3310" s="23"/>
      <c r="I3310" s="330"/>
      <c r="J3310" s="330"/>
      <c r="K3310" s="23"/>
    </row>
    <row r="3311" spans="1:11" ht="12.75" x14ac:dyDescent="0.2">
      <c r="A3311" s="23"/>
      <c r="B3311" s="328"/>
      <c r="C3311" s="327"/>
      <c r="D3311" s="328"/>
      <c r="E3311" s="23"/>
      <c r="F3311" s="329"/>
      <c r="G3311" s="23"/>
      <c r="H3311" s="23"/>
      <c r="I3311" s="330"/>
      <c r="J3311" s="330"/>
      <c r="K3311" s="23"/>
    </row>
    <row r="3312" spans="1:11" ht="12.75" x14ac:dyDescent="0.2">
      <c r="A3312" s="23"/>
      <c r="B3312" s="328"/>
      <c r="C3312" s="327"/>
      <c r="D3312" s="328"/>
      <c r="E3312" s="23"/>
      <c r="F3312" s="329"/>
      <c r="G3312" s="23"/>
      <c r="H3312" s="23"/>
      <c r="I3312" s="330"/>
      <c r="J3312" s="330"/>
      <c r="K3312" s="23"/>
    </row>
    <row r="3313" spans="1:11" ht="12.75" x14ac:dyDescent="0.2">
      <c r="A3313" s="23"/>
      <c r="B3313" s="328"/>
      <c r="C3313" s="327"/>
      <c r="D3313" s="328"/>
      <c r="E3313" s="23"/>
      <c r="F3313" s="329"/>
      <c r="G3313" s="23"/>
      <c r="H3313" s="23"/>
      <c r="I3313" s="330"/>
      <c r="J3313" s="330"/>
      <c r="K3313" s="23"/>
    </row>
    <row r="3314" spans="1:11" ht="12.75" x14ac:dyDescent="0.2">
      <c r="A3314" s="23"/>
      <c r="B3314" s="328"/>
      <c r="C3314" s="327"/>
      <c r="D3314" s="328"/>
      <c r="E3314" s="23"/>
      <c r="F3314" s="329"/>
      <c r="G3314" s="23"/>
      <c r="H3314" s="23"/>
      <c r="I3314" s="330"/>
      <c r="J3314" s="330"/>
      <c r="K3314" s="23"/>
    </row>
    <row r="3315" spans="1:11" ht="12.75" x14ac:dyDescent="0.2">
      <c r="A3315" s="23"/>
      <c r="B3315" s="328"/>
      <c r="C3315" s="327"/>
      <c r="D3315" s="328"/>
      <c r="E3315" s="23"/>
      <c r="F3315" s="329"/>
      <c r="G3315" s="23"/>
      <c r="H3315" s="23"/>
      <c r="I3315" s="330"/>
      <c r="J3315" s="330"/>
      <c r="K3315" s="23"/>
    </row>
    <row r="3316" spans="1:11" ht="12.75" x14ac:dyDescent="0.2">
      <c r="A3316" s="23"/>
      <c r="B3316" s="328"/>
      <c r="C3316" s="327"/>
      <c r="D3316" s="328"/>
      <c r="E3316" s="23"/>
      <c r="F3316" s="329"/>
      <c r="G3316" s="23"/>
      <c r="H3316" s="23"/>
      <c r="I3316" s="330"/>
      <c r="J3316" s="330"/>
      <c r="K3316" s="23"/>
    </row>
    <row r="3317" spans="1:11" ht="12.75" x14ac:dyDescent="0.2">
      <c r="A3317" s="23"/>
      <c r="B3317" s="328"/>
      <c r="C3317" s="327"/>
      <c r="D3317" s="328"/>
      <c r="E3317" s="23"/>
      <c r="F3317" s="329"/>
      <c r="G3317" s="23"/>
      <c r="H3317" s="23"/>
      <c r="I3317" s="330"/>
      <c r="J3317" s="330"/>
      <c r="K3317" s="23"/>
    </row>
    <row r="3318" spans="1:11" ht="12.75" x14ac:dyDescent="0.2">
      <c r="A3318" s="23"/>
      <c r="B3318" s="328"/>
      <c r="C3318" s="327"/>
      <c r="D3318" s="328"/>
      <c r="E3318" s="23"/>
      <c r="F3318" s="329"/>
      <c r="G3318" s="23"/>
      <c r="H3318" s="23"/>
      <c r="I3318" s="330"/>
      <c r="J3318" s="330"/>
      <c r="K3318" s="23"/>
    </row>
    <row r="3319" spans="1:11" ht="12.75" x14ac:dyDescent="0.2">
      <c r="A3319" s="23"/>
      <c r="B3319" s="328"/>
      <c r="C3319" s="327"/>
      <c r="D3319" s="328"/>
      <c r="E3319" s="23"/>
      <c r="F3319" s="329"/>
      <c r="G3319" s="23"/>
      <c r="H3319" s="23"/>
      <c r="I3319" s="330"/>
      <c r="J3319" s="330"/>
      <c r="K3319" s="23"/>
    </row>
    <row r="3320" spans="1:11" ht="12.75" x14ac:dyDescent="0.2">
      <c r="A3320" s="23"/>
      <c r="B3320" s="328"/>
      <c r="C3320" s="327"/>
      <c r="D3320" s="328"/>
      <c r="E3320" s="23"/>
      <c r="F3320" s="329"/>
      <c r="G3320" s="23"/>
      <c r="H3320" s="23"/>
      <c r="I3320" s="330"/>
      <c r="J3320" s="330"/>
      <c r="K3320" s="23"/>
    </row>
    <row r="3321" spans="1:11" ht="12.75" x14ac:dyDescent="0.2">
      <c r="A3321" s="23"/>
      <c r="B3321" s="328"/>
      <c r="C3321" s="327"/>
      <c r="D3321" s="328"/>
      <c r="E3321" s="23"/>
      <c r="F3321" s="329"/>
      <c r="G3321" s="23"/>
      <c r="H3321" s="23"/>
      <c r="I3321" s="330"/>
      <c r="J3321" s="330"/>
      <c r="K3321" s="23"/>
    </row>
    <row r="3322" spans="1:11" ht="12.75" x14ac:dyDescent="0.2">
      <c r="A3322" s="23"/>
      <c r="B3322" s="328"/>
      <c r="C3322" s="327"/>
      <c r="D3322" s="328"/>
      <c r="E3322" s="23"/>
      <c r="F3322" s="329"/>
      <c r="G3322" s="23"/>
      <c r="H3322" s="23"/>
      <c r="I3322" s="330"/>
      <c r="J3322" s="330"/>
      <c r="K3322" s="23"/>
    </row>
    <row r="3323" spans="1:11" ht="12.75" x14ac:dyDescent="0.2">
      <c r="A3323" s="23"/>
      <c r="B3323" s="328"/>
      <c r="C3323" s="327"/>
      <c r="D3323" s="328"/>
      <c r="E3323" s="23"/>
      <c r="F3323" s="329"/>
      <c r="G3323" s="23"/>
      <c r="H3323" s="23"/>
      <c r="I3323" s="330"/>
      <c r="J3323" s="330"/>
      <c r="K3323" s="23"/>
    </row>
    <row r="3324" spans="1:11" ht="12.75" x14ac:dyDescent="0.2">
      <c r="A3324" s="23"/>
      <c r="B3324" s="328"/>
      <c r="C3324" s="327"/>
      <c r="D3324" s="328"/>
      <c r="E3324" s="23"/>
      <c r="F3324" s="329"/>
      <c r="G3324" s="23"/>
      <c r="H3324" s="23"/>
      <c r="I3324" s="330"/>
      <c r="J3324" s="330"/>
      <c r="K3324" s="23"/>
    </row>
    <row r="3325" spans="1:11" ht="12.75" x14ac:dyDescent="0.2">
      <c r="A3325" s="23"/>
      <c r="B3325" s="328"/>
      <c r="C3325" s="327"/>
      <c r="D3325" s="328"/>
      <c r="E3325" s="23"/>
      <c r="F3325" s="329"/>
      <c r="G3325" s="23"/>
      <c r="H3325" s="23"/>
      <c r="I3325" s="330"/>
      <c r="J3325" s="330"/>
      <c r="K3325" s="23"/>
    </row>
    <row r="3326" spans="1:11" ht="12.75" x14ac:dyDescent="0.2">
      <c r="A3326" s="23"/>
      <c r="B3326" s="328"/>
      <c r="C3326" s="327"/>
      <c r="D3326" s="328"/>
      <c r="E3326" s="23"/>
      <c r="F3326" s="329"/>
      <c r="G3326" s="23"/>
      <c r="H3326" s="23"/>
      <c r="I3326" s="330"/>
      <c r="J3326" s="330"/>
      <c r="K3326" s="23"/>
    </row>
    <row r="3327" spans="1:11" ht="12.75" x14ac:dyDescent="0.2">
      <c r="A3327" s="23"/>
      <c r="B3327" s="328"/>
      <c r="C3327" s="327"/>
      <c r="D3327" s="328"/>
      <c r="E3327" s="23"/>
      <c r="F3327" s="329"/>
      <c r="G3327" s="23"/>
      <c r="H3327" s="23"/>
      <c r="I3327" s="330"/>
      <c r="J3327" s="330"/>
      <c r="K3327" s="23"/>
    </row>
    <row r="3328" spans="1:11" ht="12.75" x14ac:dyDescent="0.2">
      <c r="A3328" s="23"/>
      <c r="B3328" s="328"/>
      <c r="C3328" s="327"/>
      <c r="D3328" s="328"/>
      <c r="E3328" s="23"/>
      <c r="F3328" s="329"/>
      <c r="G3328" s="23"/>
      <c r="H3328" s="23"/>
      <c r="I3328" s="330"/>
      <c r="J3328" s="330"/>
      <c r="K3328" s="23"/>
    </row>
    <row r="3329" spans="1:11" ht="12.75" x14ac:dyDescent="0.2">
      <c r="A3329" s="23"/>
      <c r="B3329" s="328"/>
      <c r="C3329" s="327"/>
      <c r="D3329" s="328"/>
      <c r="E3329" s="23"/>
      <c r="F3329" s="329"/>
      <c r="G3329" s="23"/>
      <c r="H3329" s="23"/>
      <c r="I3329" s="330"/>
      <c r="J3329" s="330"/>
      <c r="K3329" s="23"/>
    </row>
    <row r="3330" spans="1:11" ht="12.75" x14ac:dyDescent="0.2">
      <c r="A3330" s="23"/>
      <c r="B3330" s="328"/>
      <c r="C3330" s="327"/>
      <c r="D3330" s="328"/>
      <c r="E3330" s="23"/>
      <c r="F3330" s="329"/>
      <c r="G3330" s="23"/>
      <c r="H3330" s="23"/>
      <c r="I3330" s="330"/>
      <c r="J3330" s="330"/>
      <c r="K3330" s="23"/>
    </row>
    <row r="3331" spans="1:11" ht="12.75" x14ac:dyDescent="0.2">
      <c r="A3331" s="23"/>
      <c r="B3331" s="328"/>
      <c r="C3331" s="327"/>
      <c r="D3331" s="328"/>
      <c r="E3331" s="23"/>
      <c r="F3331" s="329"/>
      <c r="G3331" s="23"/>
      <c r="H3331" s="23"/>
      <c r="I3331" s="330"/>
      <c r="J3331" s="330"/>
      <c r="K3331" s="23"/>
    </row>
    <row r="3332" spans="1:11" ht="12.75" x14ac:dyDescent="0.2">
      <c r="A3332" s="23"/>
      <c r="B3332" s="328"/>
      <c r="C3332" s="327"/>
      <c r="D3332" s="328"/>
      <c r="E3332" s="23"/>
      <c r="F3332" s="329"/>
      <c r="G3332" s="23"/>
      <c r="H3332" s="23"/>
      <c r="I3332" s="330"/>
      <c r="J3332" s="330"/>
      <c r="K3332" s="23"/>
    </row>
    <row r="3333" spans="1:11" ht="12.75" x14ac:dyDescent="0.2">
      <c r="A3333" s="23"/>
      <c r="B3333" s="328"/>
      <c r="C3333" s="327"/>
      <c r="D3333" s="328"/>
      <c r="E3333" s="23"/>
      <c r="F3333" s="329"/>
      <c r="G3333" s="23"/>
      <c r="H3333" s="23"/>
      <c r="I3333" s="330"/>
      <c r="J3333" s="330"/>
      <c r="K3333" s="23"/>
    </row>
    <row r="3334" spans="1:11" ht="12.75" x14ac:dyDescent="0.2">
      <c r="A3334" s="23"/>
      <c r="B3334" s="328"/>
      <c r="C3334" s="327"/>
      <c r="D3334" s="328"/>
      <c r="E3334" s="23"/>
      <c r="F3334" s="329"/>
      <c r="G3334" s="23"/>
      <c r="H3334" s="23"/>
      <c r="I3334" s="330"/>
      <c r="J3334" s="330"/>
      <c r="K3334" s="23"/>
    </row>
    <row r="3335" spans="1:11" ht="12.75" x14ac:dyDescent="0.2">
      <c r="A3335" s="23"/>
      <c r="B3335" s="328"/>
      <c r="C3335" s="327"/>
      <c r="D3335" s="328"/>
      <c r="E3335" s="23"/>
      <c r="F3335" s="329"/>
      <c r="G3335" s="23"/>
      <c r="H3335" s="23"/>
      <c r="I3335" s="330"/>
      <c r="J3335" s="330"/>
      <c r="K3335" s="23"/>
    </row>
    <row r="3336" spans="1:11" ht="12.75" x14ac:dyDescent="0.2">
      <c r="A3336" s="23"/>
      <c r="B3336" s="328"/>
      <c r="C3336" s="327"/>
      <c r="D3336" s="328"/>
      <c r="E3336" s="23"/>
      <c r="F3336" s="329"/>
      <c r="G3336" s="23"/>
      <c r="H3336" s="23"/>
      <c r="I3336" s="330"/>
      <c r="J3336" s="330"/>
      <c r="K3336" s="23"/>
    </row>
    <row r="3337" spans="1:11" ht="12.75" x14ac:dyDescent="0.2">
      <c r="A3337" s="23"/>
      <c r="B3337" s="328"/>
      <c r="C3337" s="327"/>
      <c r="D3337" s="328"/>
      <c r="E3337" s="23"/>
      <c r="F3337" s="329"/>
      <c r="G3337" s="23"/>
      <c r="H3337" s="23"/>
      <c r="I3337" s="330"/>
      <c r="J3337" s="330"/>
      <c r="K3337" s="23"/>
    </row>
    <row r="3338" spans="1:11" ht="12.75" x14ac:dyDescent="0.2">
      <c r="A3338" s="23"/>
      <c r="B3338" s="328"/>
      <c r="C3338" s="327"/>
      <c r="D3338" s="328"/>
      <c r="E3338" s="23"/>
      <c r="F3338" s="329"/>
      <c r="G3338" s="23"/>
      <c r="H3338" s="23"/>
      <c r="I3338" s="330"/>
      <c r="J3338" s="330"/>
      <c r="K3338" s="23"/>
    </row>
    <row r="3339" spans="1:11" ht="12.75" x14ac:dyDescent="0.2">
      <c r="A3339" s="23"/>
      <c r="B3339" s="328"/>
      <c r="C3339" s="327"/>
      <c r="D3339" s="328"/>
      <c r="E3339" s="23"/>
      <c r="F3339" s="329"/>
      <c r="G3339" s="23"/>
      <c r="H3339" s="23"/>
      <c r="I3339" s="330"/>
      <c r="J3339" s="330"/>
      <c r="K3339" s="23"/>
    </row>
    <row r="3340" spans="1:11" ht="12.75" x14ac:dyDescent="0.2">
      <c r="A3340" s="23"/>
      <c r="B3340" s="328"/>
      <c r="C3340" s="327"/>
      <c r="D3340" s="328"/>
      <c r="E3340" s="23"/>
      <c r="F3340" s="329"/>
      <c r="G3340" s="23"/>
      <c r="H3340" s="23"/>
      <c r="I3340" s="330"/>
      <c r="J3340" s="330"/>
      <c r="K3340" s="23"/>
    </row>
    <row r="3341" spans="1:11" ht="12.75" x14ac:dyDescent="0.2">
      <c r="A3341" s="23"/>
      <c r="B3341" s="328"/>
      <c r="C3341" s="327"/>
      <c r="D3341" s="328"/>
      <c r="E3341" s="23"/>
      <c r="F3341" s="329"/>
      <c r="G3341" s="23"/>
      <c r="H3341" s="23"/>
      <c r="I3341" s="330"/>
      <c r="J3341" s="330"/>
      <c r="K3341" s="23"/>
    </row>
    <row r="3342" spans="1:11" ht="12.75" x14ac:dyDescent="0.2">
      <c r="A3342" s="23"/>
      <c r="B3342" s="328"/>
      <c r="C3342" s="327"/>
      <c r="D3342" s="328"/>
      <c r="E3342" s="23"/>
      <c r="F3342" s="329"/>
      <c r="G3342" s="23"/>
      <c r="H3342" s="23"/>
      <c r="I3342" s="330"/>
      <c r="J3342" s="330"/>
      <c r="K3342" s="23"/>
    </row>
    <row r="3343" spans="1:11" ht="12.75" x14ac:dyDescent="0.2">
      <c r="A3343" s="23"/>
      <c r="B3343" s="328"/>
      <c r="C3343" s="327"/>
      <c r="D3343" s="328"/>
      <c r="E3343" s="23"/>
      <c r="F3343" s="329"/>
      <c r="G3343" s="23"/>
      <c r="H3343" s="23"/>
      <c r="I3343" s="330"/>
      <c r="J3343" s="330"/>
      <c r="K3343" s="23"/>
    </row>
    <row r="3344" spans="1:11" ht="12.75" x14ac:dyDescent="0.2">
      <c r="A3344" s="23"/>
      <c r="B3344" s="328"/>
      <c r="C3344" s="327"/>
      <c r="D3344" s="328"/>
      <c r="E3344" s="23"/>
      <c r="F3344" s="329"/>
      <c r="G3344" s="23"/>
      <c r="H3344" s="23"/>
      <c r="I3344" s="330"/>
      <c r="J3344" s="330"/>
      <c r="K3344" s="23"/>
    </row>
    <row r="3345" spans="1:11" ht="12.75" x14ac:dyDescent="0.2">
      <c r="A3345" s="23"/>
      <c r="B3345" s="328"/>
      <c r="C3345" s="327"/>
      <c r="D3345" s="328"/>
      <c r="E3345" s="23"/>
      <c r="F3345" s="329"/>
      <c r="G3345" s="23"/>
      <c r="H3345" s="23"/>
      <c r="I3345" s="330"/>
      <c r="J3345" s="330"/>
      <c r="K3345" s="23"/>
    </row>
    <row r="3346" spans="1:11" ht="12.75" x14ac:dyDescent="0.2">
      <c r="A3346" s="23"/>
      <c r="B3346" s="328"/>
      <c r="C3346" s="327"/>
      <c r="D3346" s="328"/>
      <c r="E3346" s="23"/>
      <c r="F3346" s="329"/>
      <c r="G3346" s="23"/>
      <c r="H3346" s="23"/>
      <c r="I3346" s="330"/>
      <c r="J3346" s="330"/>
      <c r="K3346" s="23"/>
    </row>
    <row r="3347" spans="1:11" ht="12.75" x14ac:dyDescent="0.2">
      <c r="A3347" s="23"/>
      <c r="B3347" s="328"/>
      <c r="C3347" s="327"/>
      <c r="D3347" s="328"/>
      <c r="E3347" s="23"/>
      <c r="F3347" s="329"/>
      <c r="G3347" s="23"/>
      <c r="H3347" s="23"/>
      <c r="I3347" s="330"/>
      <c r="J3347" s="330"/>
      <c r="K3347" s="23"/>
    </row>
    <row r="3348" spans="1:11" ht="12.75" x14ac:dyDescent="0.2">
      <c r="A3348" s="23"/>
      <c r="B3348" s="328"/>
      <c r="C3348" s="327"/>
      <c r="D3348" s="328"/>
      <c r="E3348" s="23"/>
      <c r="F3348" s="329"/>
      <c r="G3348" s="23"/>
      <c r="H3348" s="23"/>
      <c r="I3348" s="330"/>
      <c r="J3348" s="330"/>
      <c r="K3348" s="23"/>
    </row>
    <row r="3349" spans="1:11" ht="12.75" x14ac:dyDescent="0.2">
      <c r="A3349" s="23"/>
      <c r="B3349" s="328"/>
      <c r="C3349" s="327"/>
      <c r="D3349" s="328"/>
      <c r="E3349" s="23"/>
      <c r="F3349" s="329"/>
      <c r="G3349" s="23"/>
      <c r="H3349" s="23"/>
      <c r="I3349" s="330"/>
      <c r="J3349" s="330"/>
      <c r="K3349" s="23"/>
    </row>
    <row r="3350" spans="1:11" ht="12.75" x14ac:dyDescent="0.2">
      <c r="A3350" s="23"/>
      <c r="B3350" s="328"/>
      <c r="C3350" s="327"/>
      <c r="D3350" s="328"/>
      <c r="E3350" s="23"/>
      <c r="F3350" s="329"/>
      <c r="G3350" s="23"/>
      <c r="H3350" s="23"/>
      <c r="I3350" s="330"/>
      <c r="J3350" s="330"/>
      <c r="K3350" s="23"/>
    </row>
    <row r="3351" spans="1:11" ht="12.75" x14ac:dyDescent="0.2">
      <c r="A3351" s="23"/>
      <c r="B3351" s="328"/>
      <c r="C3351" s="327"/>
      <c r="D3351" s="328"/>
      <c r="E3351" s="23"/>
      <c r="F3351" s="329"/>
      <c r="G3351" s="23"/>
      <c r="H3351" s="23"/>
      <c r="I3351" s="330"/>
      <c r="J3351" s="330"/>
      <c r="K3351" s="23"/>
    </row>
    <row r="3352" spans="1:11" ht="12.75" x14ac:dyDescent="0.2">
      <c r="A3352" s="23"/>
      <c r="B3352" s="328"/>
      <c r="C3352" s="327"/>
      <c r="D3352" s="328"/>
      <c r="E3352" s="23"/>
      <c r="F3352" s="329"/>
      <c r="G3352" s="23"/>
      <c r="H3352" s="23"/>
      <c r="I3352" s="330"/>
      <c r="J3352" s="330"/>
      <c r="K3352" s="23"/>
    </row>
    <row r="3353" spans="1:11" ht="12.75" x14ac:dyDescent="0.2">
      <c r="A3353" s="23"/>
      <c r="B3353" s="328"/>
      <c r="C3353" s="327"/>
      <c r="D3353" s="328"/>
      <c r="E3353" s="23"/>
      <c r="F3353" s="329"/>
      <c r="G3353" s="23"/>
      <c r="H3353" s="23"/>
      <c r="I3353" s="330"/>
      <c r="J3353" s="330"/>
      <c r="K3353" s="23"/>
    </row>
    <row r="3354" spans="1:11" ht="12.75" x14ac:dyDescent="0.2">
      <c r="A3354" s="23"/>
      <c r="B3354" s="328"/>
      <c r="C3354" s="327"/>
      <c r="D3354" s="328"/>
      <c r="E3354" s="23"/>
      <c r="F3354" s="329"/>
      <c r="G3354" s="23"/>
      <c r="H3354" s="23"/>
      <c r="I3354" s="330"/>
      <c r="J3354" s="330"/>
      <c r="K3354" s="23"/>
    </row>
    <row r="3355" spans="1:11" ht="12.75" x14ac:dyDescent="0.2">
      <c r="A3355" s="23"/>
      <c r="B3355" s="328"/>
      <c r="C3355" s="327"/>
      <c r="D3355" s="328"/>
      <c r="E3355" s="23"/>
      <c r="F3355" s="329"/>
      <c r="G3355" s="23"/>
      <c r="H3355" s="23"/>
      <c r="I3355" s="330"/>
      <c r="J3355" s="330"/>
      <c r="K3355" s="23"/>
    </row>
    <row r="3356" spans="1:11" ht="12.75" x14ac:dyDescent="0.2">
      <c r="A3356" s="23"/>
      <c r="B3356" s="328"/>
      <c r="C3356" s="327"/>
      <c r="D3356" s="328"/>
      <c r="E3356" s="23"/>
      <c r="F3356" s="329"/>
      <c r="G3356" s="23"/>
      <c r="H3356" s="23"/>
      <c r="I3356" s="330"/>
      <c r="J3356" s="330"/>
      <c r="K3356" s="23"/>
    </row>
    <row r="3357" spans="1:11" ht="12.75" x14ac:dyDescent="0.2">
      <c r="A3357" s="23"/>
      <c r="B3357" s="328"/>
      <c r="C3357" s="327"/>
      <c r="D3357" s="328"/>
      <c r="E3357" s="23"/>
      <c r="F3357" s="329"/>
      <c r="G3357" s="23"/>
      <c r="H3357" s="23"/>
      <c r="I3357" s="330"/>
      <c r="J3357" s="330"/>
      <c r="K3357" s="23"/>
    </row>
    <row r="3358" spans="1:11" ht="12.75" x14ac:dyDescent="0.2">
      <c r="A3358" s="23"/>
      <c r="B3358" s="328"/>
      <c r="C3358" s="327"/>
      <c r="D3358" s="328"/>
      <c r="E3358" s="23"/>
      <c r="F3358" s="329"/>
      <c r="G3358" s="23"/>
      <c r="H3358" s="23"/>
      <c r="I3358" s="330"/>
      <c r="J3358" s="330"/>
      <c r="K3358" s="23"/>
    </row>
    <row r="3359" spans="1:11" ht="12.75" x14ac:dyDescent="0.2">
      <c r="A3359" s="23"/>
      <c r="B3359" s="328"/>
      <c r="C3359" s="327"/>
      <c r="D3359" s="328"/>
      <c r="E3359" s="23"/>
      <c r="F3359" s="329"/>
      <c r="G3359" s="23"/>
      <c r="H3359" s="23"/>
      <c r="I3359" s="330"/>
      <c r="J3359" s="330"/>
      <c r="K3359" s="23"/>
    </row>
    <row r="3360" spans="1:11" ht="12.75" x14ac:dyDescent="0.2">
      <c r="A3360" s="23"/>
      <c r="B3360" s="328"/>
      <c r="C3360" s="327"/>
      <c r="D3360" s="328"/>
      <c r="E3360" s="23"/>
      <c r="F3360" s="329"/>
      <c r="G3360" s="23"/>
      <c r="H3360" s="23"/>
      <c r="I3360" s="330"/>
      <c r="J3360" s="330"/>
      <c r="K3360" s="23"/>
    </row>
    <row r="3361" spans="1:11" ht="12.75" x14ac:dyDescent="0.2">
      <c r="A3361" s="23"/>
      <c r="B3361" s="328"/>
      <c r="C3361" s="327"/>
      <c r="D3361" s="328"/>
      <c r="E3361" s="23"/>
      <c r="F3361" s="329"/>
      <c r="G3361" s="23"/>
      <c r="H3361" s="23"/>
      <c r="I3361" s="330"/>
      <c r="J3361" s="330"/>
      <c r="K3361" s="23"/>
    </row>
    <row r="3362" spans="1:11" ht="12.75" x14ac:dyDescent="0.2">
      <c r="A3362" s="23"/>
      <c r="B3362" s="328"/>
      <c r="C3362" s="327"/>
      <c r="D3362" s="328"/>
      <c r="E3362" s="23"/>
      <c r="F3362" s="329"/>
      <c r="G3362" s="23"/>
      <c r="H3362" s="23"/>
      <c r="I3362" s="330"/>
      <c r="J3362" s="330"/>
      <c r="K3362" s="23"/>
    </row>
    <row r="3363" spans="1:11" ht="12.75" x14ac:dyDescent="0.2">
      <c r="A3363" s="23"/>
      <c r="B3363" s="328"/>
      <c r="C3363" s="327"/>
      <c r="D3363" s="328"/>
      <c r="E3363" s="23"/>
      <c r="F3363" s="329"/>
      <c r="G3363" s="23"/>
      <c r="H3363" s="23"/>
      <c r="I3363" s="330"/>
      <c r="J3363" s="330"/>
      <c r="K3363" s="23"/>
    </row>
    <row r="3364" spans="1:11" ht="12.75" x14ac:dyDescent="0.2">
      <c r="A3364" s="23"/>
      <c r="B3364" s="328"/>
      <c r="C3364" s="327"/>
      <c r="D3364" s="328"/>
      <c r="E3364" s="23"/>
      <c r="F3364" s="329"/>
      <c r="G3364" s="23"/>
      <c r="H3364" s="23"/>
      <c r="I3364" s="330"/>
      <c r="J3364" s="330"/>
      <c r="K3364" s="23"/>
    </row>
    <row r="3365" spans="1:11" ht="12.75" x14ac:dyDescent="0.2">
      <c r="A3365" s="23"/>
      <c r="B3365" s="328"/>
      <c r="C3365" s="327"/>
      <c r="D3365" s="328"/>
      <c r="E3365" s="23"/>
      <c r="F3365" s="329"/>
      <c r="G3365" s="23"/>
      <c r="H3365" s="23"/>
      <c r="I3365" s="330"/>
      <c r="J3365" s="330"/>
      <c r="K3365" s="23"/>
    </row>
    <row r="3366" spans="1:11" ht="12.75" x14ac:dyDescent="0.2">
      <c r="A3366" s="23"/>
      <c r="B3366" s="328"/>
      <c r="C3366" s="327"/>
      <c r="D3366" s="328"/>
      <c r="E3366" s="23"/>
      <c r="F3366" s="329"/>
      <c r="G3366" s="23"/>
      <c r="H3366" s="23"/>
      <c r="I3366" s="330"/>
      <c r="J3366" s="330"/>
      <c r="K3366" s="23"/>
    </row>
    <row r="3367" spans="1:11" ht="12.75" x14ac:dyDescent="0.2">
      <c r="A3367" s="23"/>
      <c r="B3367" s="328"/>
      <c r="C3367" s="327"/>
      <c r="D3367" s="328"/>
      <c r="E3367" s="23"/>
      <c r="F3367" s="329"/>
      <c r="G3367" s="23"/>
      <c r="H3367" s="23"/>
      <c r="I3367" s="330"/>
      <c r="J3367" s="330"/>
      <c r="K3367" s="23"/>
    </row>
    <row r="3368" spans="1:11" ht="12.75" x14ac:dyDescent="0.2">
      <c r="A3368" s="23"/>
      <c r="B3368" s="328"/>
      <c r="C3368" s="327"/>
      <c r="D3368" s="328"/>
      <c r="E3368" s="23"/>
      <c r="F3368" s="329"/>
      <c r="G3368" s="23"/>
      <c r="H3368" s="23"/>
      <c r="I3368" s="330"/>
      <c r="J3368" s="330"/>
      <c r="K3368" s="23"/>
    </row>
    <row r="3369" spans="1:11" ht="12.75" x14ac:dyDescent="0.2">
      <c r="A3369" s="23"/>
      <c r="B3369" s="328"/>
      <c r="C3369" s="327"/>
      <c r="D3369" s="328"/>
      <c r="E3369" s="23"/>
      <c r="F3369" s="329"/>
      <c r="G3369" s="23"/>
      <c r="H3369" s="23"/>
      <c r="I3369" s="330"/>
      <c r="J3369" s="330"/>
      <c r="K3369" s="23"/>
    </row>
    <row r="3370" spans="1:11" ht="12.75" x14ac:dyDescent="0.2">
      <c r="A3370" s="23"/>
      <c r="B3370" s="328"/>
      <c r="C3370" s="327"/>
      <c r="D3370" s="328"/>
      <c r="E3370" s="23"/>
      <c r="F3370" s="329"/>
      <c r="G3370" s="23"/>
      <c r="H3370" s="23"/>
      <c r="I3370" s="330"/>
      <c r="J3370" s="330"/>
      <c r="K3370" s="23"/>
    </row>
    <row r="3371" spans="1:11" ht="12.75" x14ac:dyDescent="0.2">
      <c r="A3371" s="23"/>
      <c r="B3371" s="328"/>
      <c r="C3371" s="327"/>
      <c r="D3371" s="328"/>
      <c r="E3371" s="23"/>
      <c r="F3371" s="329"/>
      <c r="G3371" s="23"/>
      <c r="H3371" s="23"/>
      <c r="I3371" s="330"/>
      <c r="J3371" s="330"/>
      <c r="K3371" s="23"/>
    </row>
    <row r="3372" spans="1:11" ht="12.75" x14ac:dyDescent="0.2">
      <c r="A3372" s="23"/>
      <c r="B3372" s="328"/>
      <c r="C3372" s="327"/>
      <c r="D3372" s="328"/>
      <c r="E3372" s="23"/>
      <c r="F3372" s="329"/>
      <c r="G3372" s="23"/>
      <c r="H3372" s="23"/>
      <c r="I3372" s="330"/>
      <c r="J3372" s="330"/>
      <c r="K3372" s="23"/>
    </row>
    <row r="3373" spans="1:11" ht="12.75" x14ac:dyDescent="0.2">
      <c r="A3373" s="23"/>
      <c r="B3373" s="328"/>
      <c r="C3373" s="327"/>
      <c r="D3373" s="328"/>
      <c r="E3373" s="23"/>
      <c r="F3373" s="329"/>
      <c r="G3373" s="23"/>
      <c r="H3373" s="23"/>
      <c r="I3373" s="330"/>
      <c r="J3373" s="330"/>
      <c r="K3373" s="23"/>
    </row>
    <row r="3374" spans="1:11" ht="12.75" x14ac:dyDescent="0.2">
      <c r="A3374" s="23"/>
      <c r="B3374" s="328"/>
      <c r="C3374" s="327"/>
      <c r="D3374" s="328"/>
      <c r="E3374" s="23"/>
      <c r="F3374" s="329"/>
      <c r="G3374" s="23"/>
      <c r="H3374" s="23"/>
      <c r="I3374" s="330"/>
      <c r="J3374" s="330"/>
      <c r="K3374" s="23"/>
    </row>
    <row r="3375" spans="1:11" ht="12.75" x14ac:dyDescent="0.2">
      <c r="A3375" s="23"/>
      <c r="B3375" s="328"/>
      <c r="C3375" s="327"/>
      <c r="D3375" s="328"/>
      <c r="E3375" s="23"/>
      <c r="F3375" s="329"/>
      <c r="G3375" s="23"/>
      <c r="H3375" s="23"/>
      <c r="I3375" s="330"/>
      <c r="J3375" s="330"/>
      <c r="K3375" s="23"/>
    </row>
    <row r="3376" spans="1:11" ht="12.75" x14ac:dyDescent="0.2">
      <c r="A3376" s="23"/>
      <c r="B3376" s="328"/>
      <c r="C3376" s="327"/>
      <c r="D3376" s="328"/>
      <c r="E3376" s="23"/>
      <c r="F3376" s="329"/>
      <c r="G3376" s="23"/>
      <c r="H3376" s="23"/>
      <c r="I3376" s="330"/>
      <c r="J3376" s="330"/>
      <c r="K3376" s="23"/>
    </row>
    <row r="3377" spans="1:11" ht="12.75" x14ac:dyDescent="0.2">
      <c r="A3377" s="23"/>
      <c r="B3377" s="328"/>
      <c r="C3377" s="327"/>
      <c r="D3377" s="328"/>
      <c r="E3377" s="23"/>
      <c r="F3377" s="329"/>
      <c r="G3377" s="23"/>
      <c r="H3377" s="23"/>
      <c r="I3377" s="330"/>
      <c r="J3377" s="330"/>
      <c r="K3377" s="23"/>
    </row>
    <row r="3378" spans="1:11" ht="12.75" x14ac:dyDescent="0.2">
      <c r="A3378" s="23"/>
      <c r="B3378" s="328"/>
      <c r="C3378" s="327"/>
      <c r="D3378" s="328"/>
      <c r="E3378" s="23"/>
      <c r="F3378" s="329"/>
      <c r="G3378" s="23"/>
      <c r="H3378" s="23"/>
      <c r="I3378" s="330"/>
      <c r="J3378" s="330"/>
      <c r="K3378" s="23"/>
    </row>
    <row r="3379" spans="1:11" ht="12.75" x14ac:dyDescent="0.2">
      <c r="A3379" s="23"/>
      <c r="B3379" s="328"/>
      <c r="C3379" s="327"/>
      <c r="D3379" s="328"/>
      <c r="E3379" s="23"/>
      <c r="F3379" s="329"/>
      <c r="G3379" s="23"/>
      <c r="H3379" s="23"/>
      <c r="I3379" s="330"/>
      <c r="J3379" s="330"/>
      <c r="K3379" s="23"/>
    </row>
    <row r="3380" spans="1:11" ht="12.75" x14ac:dyDescent="0.2">
      <c r="A3380" s="23"/>
      <c r="B3380" s="328"/>
      <c r="C3380" s="327"/>
      <c r="D3380" s="328"/>
      <c r="E3380" s="23"/>
      <c r="F3380" s="329"/>
      <c r="G3380" s="23"/>
      <c r="H3380" s="23"/>
      <c r="I3380" s="330"/>
      <c r="J3380" s="330"/>
      <c r="K3380" s="23"/>
    </row>
    <row r="3381" spans="1:11" ht="12.75" x14ac:dyDescent="0.2">
      <c r="A3381" s="23"/>
      <c r="B3381" s="328"/>
      <c r="C3381" s="327"/>
      <c r="D3381" s="328"/>
      <c r="E3381" s="23"/>
      <c r="F3381" s="329"/>
      <c r="G3381" s="23"/>
      <c r="H3381" s="23"/>
      <c r="I3381" s="330"/>
      <c r="J3381" s="330"/>
      <c r="K3381" s="23"/>
    </row>
    <row r="3382" spans="1:11" ht="12.75" x14ac:dyDescent="0.2">
      <c r="A3382" s="23"/>
      <c r="B3382" s="328"/>
      <c r="C3382" s="327"/>
      <c r="D3382" s="328"/>
      <c r="E3382" s="23"/>
      <c r="F3382" s="329"/>
      <c r="G3382" s="23"/>
      <c r="H3382" s="23"/>
      <c r="I3382" s="330"/>
      <c r="J3382" s="330"/>
      <c r="K3382" s="23"/>
    </row>
    <row r="3383" spans="1:11" ht="12.75" x14ac:dyDescent="0.2">
      <c r="A3383" s="23"/>
      <c r="B3383" s="328"/>
      <c r="C3383" s="327"/>
      <c r="D3383" s="328"/>
      <c r="E3383" s="23"/>
      <c r="F3383" s="329"/>
      <c r="G3383" s="23"/>
      <c r="H3383" s="23"/>
      <c r="I3383" s="330"/>
      <c r="J3383" s="330"/>
      <c r="K3383" s="23"/>
    </row>
    <row r="3384" spans="1:11" ht="12.75" x14ac:dyDescent="0.2">
      <c r="A3384" s="23"/>
      <c r="B3384" s="328"/>
      <c r="C3384" s="327"/>
      <c r="D3384" s="328"/>
      <c r="E3384" s="23"/>
      <c r="F3384" s="329"/>
      <c r="G3384" s="23"/>
      <c r="H3384" s="23"/>
      <c r="I3384" s="330"/>
      <c r="J3384" s="330"/>
      <c r="K3384" s="23"/>
    </row>
    <row r="3385" spans="1:11" ht="12.75" x14ac:dyDescent="0.2">
      <c r="A3385" s="23"/>
      <c r="B3385" s="328"/>
      <c r="C3385" s="327"/>
      <c r="D3385" s="328"/>
      <c r="E3385" s="23"/>
      <c r="F3385" s="329"/>
      <c r="G3385" s="23"/>
      <c r="H3385" s="23"/>
      <c r="I3385" s="330"/>
      <c r="J3385" s="330"/>
      <c r="K3385" s="23"/>
    </row>
    <row r="3386" spans="1:11" ht="12.75" x14ac:dyDescent="0.2">
      <c r="A3386" s="23"/>
      <c r="B3386" s="328"/>
      <c r="C3386" s="327"/>
      <c r="D3386" s="328"/>
      <c r="E3386" s="23"/>
      <c r="F3386" s="329"/>
      <c r="G3386" s="23"/>
      <c r="H3386" s="23"/>
      <c r="I3386" s="330"/>
      <c r="J3386" s="330"/>
      <c r="K3386" s="23"/>
    </row>
    <row r="3387" spans="1:11" ht="12.75" x14ac:dyDescent="0.2">
      <c r="A3387" s="23"/>
      <c r="B3387" s="328"/>
      <c r="C3387" s="327"/>
      <c r="D3387" s="328"/>
      <c r="E3387" s="23"/>
      <c r="F3387" s="329"/>
      <c r="G3387" s="23"/>
      <c r="H3387" s="23"/>
      <c r="I3387" s="330"/>
      <c r="J3387" s="330"/>
      <c r="K3387" s="23"/>
    </row>
    <row r="3388" spans="1:11" ht="12.75" x14ac:dyDescent="0.2">
      <c r="A3388" s="23"/>
      <c r="B3388" s="328"/>
      <c r="C3388" s="327"/>
      <c r="D3388" s="328"/>
      <c r="E3388" s="23"/>
      <c r="F3388" s="329"/>
      <c r="G3388" s="23"/>
      <c r="H3388" s="23"/>
      <c r="I3388" s="330"/>
      <c r="J3388" s="330"/>
      <c r="K3388" s="23"/>
    </row>
    <row r="3389" spans="1:11" ht="12.75" x14ac:dyDescent="0.2">
      <c r="A3389" s="23"/>
      <c r="B3389" s="328"/>
      <c r="C3389" s="327"/>
      <c r="D3389" s="328"/>
      <c r="E3389" s="23"/>
      <c r="F3389" s="329"/>
      <c r="G3389" s="23"/>
      <c r="H3389" s="23"/>
      <c r="I3389" s="330"/>
      <c r="J3389" s="330"/>
      <c r="K3389" s="23"/>
    </row>
    <row r="3390" spans="1:11" ht="12.75" x14ac:dyDescent="0.2">
      <c r="A3390" s="23"/>
      <c r="B3390" s="328"/>
      <c r="C3390" s="327"/>
      <c r="D3390" s="328"/>
      <c r="E3390" s="23"/>
      <c r="F3390" s="329"/>
      <c r="G3390" s="23"/>
      <c r="H3390" s="23"/>
      <c r="I3390" s="330"/>
      <c r="J3390" s="330"/>
      <c r="K3390" s="23"/>
    </row>
    <row r="3391" spans="1:11" ht="12.75" x14ac:dyDescent="0.2">
      <c r="A3391" s="23"/>
      <c r="B3391" s="328"/>
      <c r="C3391" s="327"/>
      <c r="D3391" s="328"/>
      <c r="E3391" s="23"/>
      <c r="F3391" s="329"/>
      <c r="G3391" s="23"/>
      <c r="H3391" s="23"/>
      <c r="I3391" s="330"/>
      <c r="J3391" s="330"/>
      <c r="K3391" s="23"/>
    </row>
    <row r="3392" spans="1:11" ht="12.75" x14ac:dyDescent="0.2">
      <c r="A3392" s="23"/>
      <c r="B3392" s="328"/>
      <c r="C3392" s="327"/>
      <c r="D3392" s="328"/>
      <c r="E3392" s="23"/>
      <c r="F3392" s="329"/>
      <c r="G3392" s="23"/>
      <c r="H3392" s="23"/>
      <c r="I3392" s="330"/>
      <c r="J3392" s="330"/>
      <c r="K3392" s="23"/>
    </row>
    <row r="3393" spans="1:11" ht="12.75" x14ac:dyDescent="0.2">
      <c r="A3393" s="23"/>
      <c r="B3393" s="328"/>
      <c r="C3393" s="327"/>
      <c r="D3393" s="328"/>
      <c r="E3393" s="23"/>
      <c r="F3393" s="329"/>
      <c r="G3393" s="23"/>
      <c r="H3393" s="23"/>
      <c r="I3393" s="330"/>
      <c r="J3393" s="330"/>
      <c r="K3393" s="23"/>
    </row>
    <row r="3394" spans="1:11" ht="12.75" x14ac:dyDescent="0.2">
      <c r="A3394" s="23"/>
      <c r="B3394" s="328"/>
      <c r="C3394" s="327"/>
      <c r="D3394" s="328"/>
      <c r="E3394" s="23"/>
      <c r="F3394" s="329"/>
      <c r="G3394" s="23"/>
      <c r="H3394" s="23"/>
      <c r="I3394" s="330"/>
      <c r="J3394" s="330"/>
      <c r="K3394" s="23"/>
    </row>
    <row r="3395" spans="1:11" ht="12.75" x14ac:dyDescent="0.2">
      <c r="A3395" s="23"/>
      <c r="B3395" s="328"/>
      <c r="C3395" s="327"/>
      <c r="D3395" s="328"/>
      <c r="E3395" s="23"/>
      <c r="F3395" s="329"/>
      <c r="G3395" s="23"/>
      <c r="H3395" s="23"/>
      <c r="I3395" s="330"/>
      <c r="J3395" s="330"/>
      <c r="K3395" s="23"/>
    </row>
    <row r="3396" spans="1:11" ht="12.75" x14ac:dyDescent="0.2">
      <c r="A3396" s="23"/>
      <c r="B3396" s="328"/>
      <c r="C3396" s="327"/>
      <c r="D3396" s="328"/>
      <c r="E3396" s="23"/>
      <c r="F3396" s="329"/>
      <c r="G3396" s="23"/>
      <c r="H3396" s="23"/>
      <c r="I3396" s="330"/>
      <c r="J3396" s="330"/>
      <c r="K3396" s="23"/>
    </row>
    <row r="3397" spans="1:11" ht="12.75" x14ac:dyDescent="0.2">
      <c r="A3397" s="23"/>
      <c r="B3397" s="328"/>
      <c r="C3397" s="327"/>
      <c r="D3397" s="328"/>
      <c r="E3397" s="23"/>
      <c r="F3397" s="329"/>
      <c r="G3397" s="23"/>
      <c r="H3397" s="23"/>
      <c r="I3397" s="330"/>
      <c r="J3397" s="330"/>
      <c r="K3397" s="23"/>
    </row>
    <row r="3398" spans="1:11" ht="12.75" x14ac:dyDescent="0.2">
      <c r="A3398" s="23"/>
      <c r="B3398" s="328"/>
      <c r="C3398" s="327"/>
      <c r="D3398" s="328"/>
      <c r="E3398" s="23"/>
      <c r="F3398" s="329"/>
      <c r="G3398" s="23"/>
      <c r="H3398" s="23"/>
      <c r="I3398" s="330"/>
      <c r="J3398" s="330"/>
      <c r="K3398" s="23"/>
    </row>
    <row r="3399" spans="1:11" ht="12.75" x14ac:dyDescent="0.2">
      <c r="A3399" s="23"/>
      <c r="B3399" s="328"/>
      <c r="C3399" s="327"/>
      <c r="D3399" s="328"/>
      <c r="E3399" s="23"/>
      <c r="F3399" s="329"/>
      <c r="G3399" s="23"/>
      <c r="H3399" s="23"/>
      <c r="I3399" s="330"/>
      <c r="J3399" s="330"/>
      <c r="K3399" s="23"/>
    </row>
    <row r="3400" spans="1:11" ht="12.75" x14ac:dyDescent="0.2">
      <c r="A3400" s="23"/>
      <c r="B3400" s="328"/>
      <c r="C3400" s="327"/>
      <c r="D3400" s="328"/>
      <c r="E3400" s="23"/>
      <c r="F3400" s="329"/>
      <c r="G3400" s="23"/>
      <c r="H3400" s="23"/>
      <c r="I3400" s="330"/>
      <c r="J3400" s="330"/>
      <c r="K3400" s="23"/>
    </row>
    <row r="3401" spans="1:11" ht="12.75" x14ac:dyDescent="0.2">
      <c r="A3401" s="23"/>
      <c r="B3401" s="328"/>
      <c r="C3401" s="327"/>
      <c r="D3401" s="328"/>
      <c r="E3401" s="23"/>
      <c r="F3401" s="329"/>
      <c r="G3401" s="23"/>
      <c r="H3401" s="23"/>
      <c r="I3401" s="330"/>
      <c r="J3401" s="330"/>
      <c r="K3401" s="23"/>
    </row>
    <row r="3402" spans="1:11" ht="12.75" x14ac:dyDescent="0.2">
      <c r="A3402" s="23"/>
      <c r="B3402" s="328"/>
      <c r="C3402" s="327"/>
      <c r="D3402" s="328"/>
      <c r="E3402" s="23"/>
      <c r="F3402" s="329"/>
      <c r="G3402" s="23"/>
      <c r="H3402" s="23"/>
      <c r="I3402" s="330"/>
      <c r="J3402" s="330"/>
      <c r="K3402" s="23"/>
    </row>
    <row r="3403" spans="1:11" ht="12.75" x14ac:dyDescent="0.2">
      <c r="A3403" s="23"/>
      <c r="B3403" s="328"/>
      <c r="C3403" s="327"/>
      <c r="D3403" s="328"/>
      <c r="E3403" s="23"/>
      <c r="F3403" s="329"/>
      <c r="G3403" s="23"/>
      <c r="H3403" s="23"/>
      <c r="I3403" s="330"/>
      <c r="J3403" s="330"/>
      <c r="K3403" s="23"/>
    </row>
    <row r="3404" spans="1:11" ht="12.75" x14ac:dyDescent="0.2">
      <c r="A3404" s="23"/>
      <c r="B3404" s="328"/>
      <c r="C3404" s="327"/>
      <c r="D3404" s="328"/>
      <c r="E3404" s="23"/>
      <c r="F3404" s="329"/>
      <c r="G3404" s="23"/>
      <c r="H3404" s="23"/>
      <c r="I3404" s="330"/>
      <c r="J3404" s="330"/>
      <c r="K3404" s="23"/>
    </row>
    <row r="3405" spans="1:11" ht="12.75" x14ac:dyDescent="0.2">
      <c r="A3405" s="23"/>
      <c r="B3405" s="328"/>
      <c r="C3405" s="327"/>
      <c r="D3405" s="328"/>
      <c r="E3405" s="23"/>
      <c r="F3405" s="329"/>
      <c r="G3405" s="23"/>
      <c r="H3405" s="23"/>
      <c r="I3405" s="330"/>
      <c r="J3405" s="330"/>
      <c r="K3405" s="23"/>
    </row>
    <row r="3406" spans="1:11" ht="12.75" x14ac:dyDescent="0.2">
      <c r="A3406" s="23"/>
      <c r="B3406" s="328"/>
      <c r="C3406" s="327"/>
      <c r="D3406" s="328"/>
      <c r="E3406" s="23"/>
      <c r="F3406" s="329"/>
      <c r="G3406" s="23"/>
      <c r="H3406" s="23"/>
      <c r="I3406" s="330"/>
      <c r="J3406" s="330"/>
      <c r="K3406" s="23"/>
    </row>
    <row r="3407" spans="1:11" ht="12.75" x14ac:dyDescent="0.2">
      <c r="A3407" s="23"/>
      <c r="B3407" s="328"/>
      <c r="C3407" s="327"/>
      <c r="D3407" s="328"/>
      <c r="E3407" s="23"/>
      <c r="F3407" s="329"/>
      <c r="G3407" s="23"/>
      <c r="H3407" s="23"/>
      <c r="I3407" s="330"/>
      <c r="J3407" s="330"/>
      <c r="K3407" s="23"/>
    </row>
    <row r="3408" spans="1:11" ht="12.75" x14ac:dyDescent="0.2">
      <c r="A3408" s="23"/>
      <c r="B3408" s="328"/>
      <c r="C3408" s="327"/>
      <c r="D3408" s="328"/>
      <c r="E3408" s="23"/>
      <c r="F3408" s="329"/>
      <c r="G3408" s="23"/>
      <c r="H3408" s="23"/>
      <c r="I3408" s="330"/>
      <c r="J3408" s="330"/>
      <c r="K3408" s="23"/>
    </row>
    <row r="3409" spans="1:11" ht="12.75" x14ac:dyDescent="0.2">
      <c r="A3409" s="23"/>
      <c r="B3409" s="328"/>
      <c r="C3409" s="327"/>
      <c r="D3409" s="328"/>
      <c r="E3409" s="23"/>
      <c r="F3409" s="329"/>
      <c r="G3409" s="23"/>
      <c r="H3409" s="23"/>
      <c r="I3409" s="330"/>
      <c r="J3409" s="330"/>
      <c r="K3409" s="23"/>
    </row>
    <row r="3410" spans="1:11" ht="12.75" x14ac:dyDescent="0.2">
      <c r="A3410" s="23"/>
      <c r="B3410" s="328"/>
      <c r="C3410" s="327"/>
      <c r="D3410" s="328"/>
      <c r="E3410" s="23"/>
      <c r="F3410" s="329"/>
      <c r="G3410" s="23"/>
      <c r="H3410" s="23"/>
      <c r="I3410" s="330"/>
      <c r="J3410" s="330"/>
      <c r="K3410" s="23"/>
    </row>
    <row r="3411" spans="1:11" ht="12.75" x14ac:dyDescent="0.2">
      <c r="A3411" s="23"/>
      <c r="B3411" s="328"/>
      <c r="C3411" s="327"/>
      <c r="D3411" s="328"/>
      <c r="E3411" s="23"/>
      <c r="F3411" s="329"/>
      <c r="G3411" s="23"/>
      <c r="H3411" s="23"/>
      <c r="I3411" s="330"/>
      <c r="J3411" s="330"/>
      <c r="K3411" s="23"/>
    </row>
    <row r="3412" spans="1:11" ht="12.75" x14ac:dyDescent="0.2">
      <c r="A3412" s="23"/>
      <c r="B3412" s="328"/>
      <c r="C3412" s="327"/>
      <c r="D3412" s="328"/>
      <c r="E3412" s="23"/>
      <c r="F3412" s="329"/>
      <c r="G3412" s="23"/>
      <c r="H3412" s="23"/>
      <c r="I3412" s="330"/>
      <c r="J3412" s="330"/>
      <c r="K3412" s="23"/>
    </row>
    <row r="3413" spans="1:11" ht="12.75" x14ac:dyDescent="0.2">
      <c r="A3413" s="23"/>
      <c r="B3413" s="328"/>
      <c r="C3413" s="327"/>
      <c r="D3413" s="328"/>
      <c r="E3413" s="23"/>
      <c r="F3413" s="329"/>
      <c r="G3413" s="23"/>
      <c r="H3413" s="23"/>
      <c r="I3413" s="330"/>
      <c r="J3413" s="330"/>
      <c r="K3413" s="23"/>
    </row>
    <row r="3414" spans="1:11" ht="12.75" x14ac:dyDescent="0.2">
      <c r="A3414" s="23"/>
      <c r="B3414" s="328"/>
      <c r="C3414" s="327"/>
      <c r="D3414" s="328"/>
      <c r="E3414" s="23"/>
      <c r="F3414" s="329"/>
      <c r="G3414" s="23"/>
      <c r="H3414" s="23"/>
      <c r="I3414" s="330"/>
      <c r="J3414" s="330"/>
      <c r="K3414" s="23"/>
    </row>
    <row r="3415" spans="1:11" ht="12.75" x14ac:dyDescent="0.2">
      <c r="A3415" s="23"/>
      <c r="B3415" s="328"/>
      <c r="C3415" s="327"/>
      <c r="D3415" s="328"/>
      <c r="E3415" s="23"/>
      <c r="F3415" s="329"/>
      <c r="G3415" s="23"/>
      <c r="H3415" s="23"/>
      <c r="I3415" s="330"/>
      <c r="J3415" s="330"/>
      <c r="K3415" s="23"/>
    </row>
    <row r="3416" spans="1:11" ht="12.75" x14ac:dyDescent="0.2">
      <c r="A3416" s="23"/>
      <c r="B3416" s="328"/>
      <c r="C3416" s="327"/>
      <c r="D3416" s="328"/>
      <c r="E3416" s="23"/>
      <c r="F3416" s="329"/>
      <c r="G3416" s="23"/>
      <c r="H3416" s="23"/>
      <c r="I3416" s="330"/>
      <c r="J3416" s="330"/>
      <c r="K3416" s="23"/>
    </row>
    <row r="3417" spans="1:11" ht="12.75" x14ac:dyDescent="0.2">
      <c r="A3417" s="23"/>
      <c r="B3417" s="328"/>
      <c r="C3417" s="327"/>
      <c r="D3417" s="328"/>
      <c r="E3417" s="23"/>
      <c r="F3417" s="329"/>
      <c r="G3417" s="23"/>
      <c r="H3417" s="23"/>
      <c r="I3417" s="330"/>
      <c r="J3417" s="330"/>
      <c r="K3417" s="23"/>
    </row>
    <row r="3418" spans="1:11" ht="12.75" x14ac:dyDescent="0.2">
      <c r="A3418" s="23"/>
      <c r="B3418" s="328"/>
      <c r="C3418" s="327"/>
      <c r="D3418" s="328"/>
      <c r="E3418" s="23"/>
      <c r="F3418" s="329"/>
      <c r="G3418" s="23"/>
      <c r="H3418" s="23"/>
      <c r="I3418" s="330"/>
      <c r="J3418" s="330"/>
      <c r="K3418" s="23"/>
    </row>
    <row r="3419" spans="1:11" ht="12.75" x14ac:dyDescent="0.2">
      <c r="A3419" s="23"/>
      <c r="B3419" s="328"/>
      <c r="C3419" s="327"/>
      <c r="D3419" s="328"/>
      <c r="E3419" s="23"/>
      <c r="F3419" s="329"/>
      <c r="G3419" s="23"/>
      <c r="H3419" s="23"/>
      <c r="I3419" s="330"/>
      <c r="J3419" s="330"/>
      <c r="K3419" s="23"/>
    </row>
    <row r="3420" spans="1:11" ht="12.75" x14ac:dyDescent="0.2">
      <c r="A3420" s="23"/>
      <c r="B3420" s="328"/>
      <c r="C3420" s="327"/>
      <c r="D3420" s="328"/>
      <c r="E3420" s="23"/>
      <c r="F3420" s="329"/>
      <c r="G3420" s="23"/>
      <c r="H3420" s="23"/>
      <c r="I3420" s="330"/>
      <c r="J3420" s="330"/>
      <c r="K3420" s="23"/>
    </row>
    <row r="3421" spans="1:11" ht="12.75" x14ac:dyDescent="0.2">
      <c r="A3421" s="23"/>
      <c r="B3421" s="328"/>
      <c r="C3421" s="327"/>
      <c r="D3421" s="328"/>
      <c r="E3421" s="23"/>
      <c r="F3421" s="329"/>
      <c r="G3421" s="23"/>
      <c r="H3421" s="23"/>
      <c r="I3421" s="330"/>
      <c r="J3421" s="330"/>
      <c r="K3421" s="23"/>
    </row>
    <row r="3422" spans="1:11" ht="12.75" x14ac:dyDescent="0.2">
      <c r="A3422" s="23"/>
      <c r="B3422" s="328"/>
      <c r="C3422" s="327"/>
      <c r="D3422" s="328"/>
      <c r="E3422" s="23"/>
      <c r="F3422" s="329"/>
      <c r="G3422" s="23"/>
      <c r="H3422" s="23"/>
      <c r="I3422" s="330"/>
      <c r="J3422" s="330"/>
      <c r="K3422" s="23"/>
    </row>
    <row r="3423" spans="1:11" ht="12.75" x14ac:dyDescent="0.2">
      <c r="A3423" s="23"/>
      <c r="B3423" s="328"/>
      <c r="C3423" s="327"/>
      <c r="D3423" s="328"/>
      <c r="E3423" s="23"/>
      <c r="F3423" s="329"/>
      <c r="G3423" s="23"/>
      <c r="H3423" s="23"/>
      <c r="I3423" s="330"/>
      <c r="J3423" s="330"/>
      <c r="K3423" s="23"/>
    </row>
    <row r="3424" spans="1:11" ht="12.75" x14ac:dyDescent="0.2">
      <c r="A3424" s="23"/>
      <c r="B3424" s="328"/>
      <c r="C3424" s="327"/>
      <c r="D3424" s="328"/>
      <c r="E3424" s="23"/>
      <c r="F3424" s="329"/>
      <c r="G3424" s="23"/>
      <c r="H3424" s="23"/>
      <c r="I3424" s="330"/>
      <c r="J3424" s="330"/>
      <c r="K3424" s="23"/>
    </row>
    <row r="3425" spans="1:11" ht="12.75" x14ac:dyDescent="0.2">
      <c r="A3425" s="23"/>
      <c r="B3425" s="328"/>
      <c r="C3425" s="327"/>
      <c r="D3425" s="328"/>
      <c r="E3425" s="23"/>
      <c r="F3425" s="329"/>
      <c r="G3425" s="23"/>
      <c r="H3425" s="23"/>
      <c r="I3425" s="330"/>
      <c r="J3425" s="330"/>
      <c r="K3425" s="23"/>
    </row>
    <row r="3426" spans="1:11" ht="12.75" x14ac:dyDescent="0.2">
      <c r="A3426" s="23"/>
      <c r="B3426" s="328"/>
      <c r="C3426" s="327"/>
      <c r="D3426" s="328"/>
      <c r="E3426" s="23"/>
      <c r="F3426" s="329"/>
      <c r="G3426" s="23"/>
      <c r="H3426" s="23"/>
      <c r="I3426" s="330"/>
      <c r="J3426" s="330"/>
      <c r="K3426" s="23"/>
    </row>
    <row r="3427" spans="1:11" ht="12.75" x14ac:dyDescent="0.2">
      <c r="A3427" s="23"/>
      <c r="B3427" s="328"/>
      <c r="C3427" s="327"/>
      <c r="D3427" s="328"/>
      <c r="E3427" s="23"/>
      <c r="F3427" s="329"/>
      <c r="G3427" s="23"/>
      <c r="H3427" s="23"/>
      <c r="I3427" s="330"/>
      <c r="J3427" s="330"/>
      <c r="K3427" s="23"/>
    </row>
    <row r="3428" spans="1:11" ht="12.75" x14ac:dyDescent="0.2">
      <c r="A3428" s="23"/>
      <c r="B3428" s="328"/>
      <c r="C3428" s="327"/>
      <c r="D3428" s="328"/>
      <c r="E3428" s="23"/>
      <c r="F3428" s="329"/>
      <c r="G3428" s="23"/>
      <c r="H3428" s="23"/>
      <c r="I3428" s="330"/>
      <c r="J3428" s="330"/>
      <c r="K3428" s="23"/>
    </row>
    <row r="3429" spans="1:11" ht="12.75" x14ac:dyDescent="0.2">
      <c r="A3429" s="23"/>
      <c r="B3429" s="328"/>
      <c r="C3429" s="327"/>
      <c r="D3429" s="328"/>
      <c r="E3429" s="23"/>
      <c r="F3429" s="329"/>
      <c r="G3429" s="23"/>
      <c r="H3429" s="23"/>
      <c r="I3429" s="330"/>
      <c r="J3429" s="330"/>
      <c r="K3429" s="23"/>
    </row>
    <row r="3430" spans="1:11" ht="12.75" x14ac:dyDescent="0.2">
      <c r="A3430" s="23"/>
      <c r="B3430" s="328"/>
      <c r="C3430" s="327"/>
      <c r="D3430" s="328"/>
      <c r="E3430" s="23"/>
      <c r="F3430" s="329"/>
      <c r="G3430" s="23"/>
      <c r="H3430" s="23"/>
      <c r="I3430" s="330"/>
      <c r="J3430" s="330"/>
      <c r="K3430" s="23"/>
    </row>
    <row r="3431" spans="1:11" ht="12.75" x14ac:dyDescent="0.2">
      <c r="A3431" s="23"/>
      <c r="B3431" s="328"/>
      <c r="C3431" s="327"/>
      <c r="D3431" s="328"/>
      <c r="E3431" s="23"/>
      <c r="F3431" s="329"/>
      <c r="G3431" s="23"/>
      <c r="H3431" s="23"/>
      <c r="I3431" s="330"/>
      <c r="J3431" s="330"/>
      <c r="K3431" s="23"/>
    </row>
    <row r="3432" spans="1:11" ht="12.75" x14ac:dyDescent="0.2">
      <c r="A3432" s="23"/>
      <c r="B3432" s="328"/>
      <c r="C3432" s="327"/>
      <c r="D3432" s="328"/>
      <c r="E3432" s="23"/>
      <c r="F3432" s="329"/>
      <c r="G3432" s="23"/>
      <c r="H3432" s="23"/>
      <c r="I3432" s="330"/>
      <c r="J3432" s="330"/>
      <c r="K3432" s="23"/>
    </row>
    <row r="3433" spans="1:11" ht="12.75" x14ac:dyDescent="0.2">
      <c r="A3433" s="23"/>
      <c r="B3433" s="328"/>
      <c r="C3433" s="327"/>
      <c r="D3433" s="328"/>
      <c r="E3433" s="23"/>
      <c r="F3433" s="329"/>
      <c r="G3433" s="23"/>
      <c r="H3433" s="23"/>
      <c r="I3433" s="330"/>
      <c r="J3433" s="330"/>
      <c r="K3433" s="23"/>
    </row>
    <row r="3434" spans="1:11" ht="12.75" x14ac:dyDescent="0.2">
      <c r="A3434" s="23"/>
      <c r="B3434" s="328"/>
      <c r="C3434" s="327"/>
      <c r="D3434" s="328"/>
      <c r="E3434" s="23"/>
      <c r="F3434" s="329"/>
      <c r="G3434" s="23"/>
      <c r="H3434" s="23"/>
      <c r="I3434" s="330"/>
      <c r="J3434" s="330"/>
      <c r="K3434" s="23"/>
    </row>
    <row r="3435" spans="1:11" ht="12.75" x14ac:dyDescent="0.2">
      <c r="A3435" s="23"/>
      <c r="B3435" s="328"/>
      <c r="C3435" s="327"/>
      <c r="D3435" s="328"/>
      <c r="E3435" s="23"/>
      <c r="F3435" s="329"/>
      <c r="G3435" s="23"/>
      <c r="H3435" s="23"/>
      <c r="I3435" s="330"/>
      <c r="J3435" s="330"/>
      <c r="K3435" s="23"/>
    </row>
    <row r="3436" spans="1:11" ht="12.75" x14ac:dyDescent="0.2">
      <c r="A3436" s="23"/>
      <c r="B3436" s="328"/>
      <c r="C3436" s="327"/>
      <c r="D3436" s="328"/>
      <c r="E3436" s="23"/>
      <c r="F3436" s="329"/>
      <c r="G3436" s="23"/>
      <c r="H3436" s="23"/>
      <c r="I3436" s="330"/>
      <c r="J3436" s="330"/>
      <c r="K3436" s="23"/>
    </row>
    <row r="3437" spans="1:11" ht="12.75" x14ac:dyDescent="0.2">
      <c r="A3437" s="23"/>
      <c r="B3437" s="328"/>
      <c r="C3437" s="327"/>
      <c r="D3437" s="328"/>
      <c r="E3437" s="23"/>
      <c r="F3437" s="329"/>
      <c r="G3437" s="23"/>
      <c r="H3437" s="23"/>
      <c r="I3437" s="330"/>
      <c r="J3437" s="330"/>
      <c r="K3437" s="23"/>
    </row>
    <row r="3438" spans="1:11" ht="12.75" x14ac:dyDescent="0.2">
      <c r="A3438" s="23"/>
      <c r="B3438" s="328"/>
      <c r="C3438" s="327"/>
      <c r="D3438" s="328"/>
      <c r="E3438" s="23"/>
      <c r="F3438" s="329"/>
      <c r="G3438" s="23"/>
      <c r="H3438" s="23"/>
      <c r="I3438" s="330"/>
      <c r="J3438" s="330"/>
      <c r="K3438" s="23"/>
    </row>
    <row r="3439" spans="1:11" ht="12.75" x14ac:dyDescent="0.2">
      <c r="A3439" s="23"/>
      <c r="B3439" s="328"/>
      <c r="C3439" s="327"/>
      <c r="D3439" s="328"/>
      <c r="E3439" s="23"/>
      <c r="F3439" s="329"/>
      <c r="G3439" s="23"/>
      <c r="H3439" s="23"/>
      <c r="I3439" s="330"/>
      <c r="J3439" s="330"/>
      <c r="K3439" s="23"/>
    </row>
    <row r="3440" spans="1:11" ht="12.75" x14ac:dyDescent="0.2">
      <c r="A3440" s="23"/>
      <c r="B3440" s="328"/>
      <c r="C3440" s="327"/>
      <c r="D3440" s="328"/>
      <c r="E3440" s="23"/>
      <c r="F3440" s="329"/>
      <c r="G3440" s="23"/>
      <c r="H3440" s="23"/>
      <c r="I3440" s="330"/>
      <c r="J3440" s="330"/>
      <c r="K3440" s="23"/>
    </row>
    <row r="3441" spans="1:11" ht="12.75" x14ac:dyDescent="0.2">
      <c r="A3441" s="23"/>
      <c r="B3441" s="328"/>
      <c r="C3441" s="327"/>
      <c r="D3441" s="328"/>
      <c r="E3441" s="23"/>
      <c r="F3441" s="329"/>
      <c r="G3441" s="23"/>
      <c r="H3441" s="23"/>
      <c r="I3441" s="330"/>
      <c r="J3441" s="330"/>
      <c r="K3441" s="23"/>
    </row>
    <row r="3442" spans="1:11" ht="12.75" x14ac:dyDescent="0.2">
      <c r="A3442" s="23"/>
      <c r="B3442" s="328"/>
      <c r="C3442" s="327"/>
      <c r="D3442" s="328"/>
      <c r="E3442" s="23"/>
      <c r="F3442" s="329"/>
      <c r="G3442" s="23"/>
      <c r="H3442" s="23"/>
      <c r="I3442" s="330"/>
      <c r="J3442" s="330"/>
      <c r="K3442" s="23"/>
    </row>
    <row r="3443" spans="1:11" ht="12.75" x14ac:dyDescent="0.2">
      <c r="A3443" s="23"/>
      <c r="B3443" s="328"/>
      <c r="C3443" s="327"/>
      <c r="D3443" s="328"/>
      <c r="E3443" s="23"/>
      <c r="F3443" s="329"/>
      <c r="G3443" s="23"/>
      <c r="H3443" s="23"/>
      <c r="I3443" s="330"/>
      <c r="J3443" s="330"/>
      <c r="K3443" s="23"/>
    </row>
    <row r="3444" spans="1:11" ht="12.75" x14ac:dyDescent="0.2">
      <c r="A3444" s="23"/>
      <c r="B3444" s="328"/>
      <c r="C3444" s="327"/>
      <c r="D3444" s="328"/>
      <c r="E3444" s="23"/>
      <c r="F3444" s="329"/>
      <c r="G3444" s="23"/>
      <c r="H3444" s="23"/>
      <c r="I3444" s="330"/>
      <c r="J3444" s="330"/>
      <c r="K3444" s="23"/>
    </row>
    <row r="3445" spans="1:11" ht="12.75" x14ac:dyDescent="0.2">
      <c r="A3445" s="23"/>
      <c r="B3445" s="328"/>
      <c r="C3445" s="327"/>
      <c r="D3445" s="328"/>
      <c r="E3445" s="23"/>
      <c r="F3445" s="329"/>
      <c r="G3445" s="23"/>
      <c r="H3445" s="23"/>
      <c r="I3445" s="330"/>
      <c r="J3445" s="330"/>
      <c r="K3445" s="23"/>
    </row>
    <row r="3446" spans="1:11" ht="12.75" x14ac:dyDescent="0.2">
      <c r="A3446" s="23"/>
      <c r="B3446" s="328"/>
      <c r="C3446" s="327"/>
      <c r="D3446" s="328"/>
      <c r="E3446" s="23"/>
      <c r="F3446" s="329"/>
      <c r="G3446" s="23"/>
      <c r="H3446" s="23"/>
      <c r="I3446" s="330"/>
      <c r="J3446" s="330"/>
      <c r="K3446" s="23"/>
    </row>
    <row r="3447" spans="1:11" ht="12.75" x14ac:dyDescent="0.2">
      <c r="A3447" s="23"/>
      <c r="B3447" s="328"/>
      <c r="C3447" s="327"/>
      <c r="D3447" s="328"/>
      <c r="E3447" s="23"/>
      <c r="F3447" s="329"/>
      <c r="G3447" s="23"/>
      <c r="H3447" s="23"/>
      <c r="I3447" s="330"/>
      <c r="J3447" s="330"/>
      <c r="K3447" s="23"/>
    </row>
    <row r="3448" spans="1:11" ht="12.75" x14ac:dyDescent="0.2">
      <c r="A3448" s="23"/>
      <c r="B3448" s="328"/>
      <c r="C3448" s="327"/>
      <c r="D3448" s="328"/>
      <c r="E3448" s="23"/>
      <c r="F3448" s="329"/>
      <c r="G3448" s="23"/>
      <c r="H3448" s="23"/>
      <c r="I3448" s="330"/>
      <c r="J3448" s="330"/>
      <c r="K3448" s="23"/>
    </row>
    <row r="3449" spans="1:11" ht="12.75" x14ac:dyDescent="0.2">
      <c r="A3449" s="23"/>
      <c r="B3449" s="328"/>
      <c r="C3449" s="327"/>
      <c r="D3449" s="328"/>
      <c r="E3449" s="23"/>
      <c r="F3449" s="329"/>
      <c r="G3449" s="23"/>
      <c r="H3449" s="23"/>
      <c r="I3449" s="330"/>
      <c r="J3449" s="330"/>
      <c r="K3449" s="23"/>
    </row>
    <row r="3450" spans="1:11" ht="12.75" x14ac:dyDescent="0.2">
      <c r="A3450" s="23"/>
      <c r="B3450" s="328"/>
      <c r="C3450" s="327"/>
      <c r="D3450" s="328"/>
      <c r="E3450" s="23"/>
      <c r="F3450" s="329"/>
      <c r="G3450" s="23"/>
      <c r="H3450" s="23"/>
      <c r="I3450" s="330"/>
      <c r="J3450" s="330"/>
      <c r="K3450" s="23"/>
    </row>
    <row r="3451" spans="1:11" ht="12.75" x14ac:dyDescent="0.2">
      <c r="A3451" s="23"/>
      <c r="B3451" s="328"/>
      <c r="C3451" s="327"/>
      <c r="D3451" s="328"/>
      <c r="E3451" s="23"/>
      <c r="F3451" s="329"/>
      <c r="G3451" s="23"/>
      <c r="H3451" s="23"/>
      <c r="I3451" s="330"/>
      <c r="J3451" s="330"/>
      <c r="K3451" s="23"/>
    </row>
    <row r="3452" spans="1:11" ht="12.75" x14ac:dyDescent="0.2">
      <c r="A3452" s="23"/>
      <c r="B3452" s="328"/>
      <c r="C3452" s="327"/>
      <c r="D3452" s="328"/>
      <c r="E3452" s="23"/>
      <c r="F3452" s="329"/>
      <c r="G3452" s="23"/>
      <c r="H3452" s="23"/>
      <c r="I3452" s="330"/>
      <c r="J3452" s="330"/>
      <c r="K3452" s="23"/>
    </row>
    <row r="3453" spans="1:11" ht="12.75" x14ac:dyDescent="0.2">
      <c r="A3453" s="23"/>
      <c r="B3453" s="328"/>
      <c r="C3453" s="327"/>
      <c r="D3453" s="328"/>
      <c r="E3453" s="23"/>
      <c r="F3453" s="329"/>
      <c r="G3453" s="23"/>
      <c r="H3453" s="23"/>
      <c r="I3453" s="330"/>
      <c r="J3453" s="330"/>
      <c r="K3453" s="23"/>
    </row>
    <row r="3454" spans="1:11" ht="12.75" x14ac:dyDescent="0.2">
      <c r="A3454" s="23"/>
      <c r="B3454" s="328"/>
      <c r="C3454" s="327"/>
      <c r="D3454" s="328"/>
      <c r="E3454" s="23"/>
      <c r="F3454" s="329"/>
      <c r="G3454" s="23"/>
      <c r="H3454" s="23"/>
      <c r="I3454" s="330"/>
      <c r="J3454" s="330"/>
      <c r="K3454" s="23"/>
    </row>
    <row r="3455" spans="1:11" ht="12.75" x14ac:dyDescent="0.2">
      <c r="A3455" s="23"/>
      <c r="B3455" s="328"/>
      <c r="C3455" s="327"/>
      <c r="D3455" s="328"/>
      <c r="E3455" s="23"/>
      <c r="F3455" s="329"/>
      <c r="G3455" s="23"/>
      <c r="H3455" s="23"/>
      <c r="I3455" s="330"/>
      <c r="J3455" s="330"/>
      <c r="K3455" s="23"/>
    </row>
    <row r="3456" spans="1:11" ht="12.75" x14ac:dyDescent="0.2">
      <c r="A3456" s="23"/>
      <c r="B3456" s="328"/>
      <c r="C3456" s="327"/>
      <c r="D3456" s="328"/>
      <c r="E3456" s="23"/>
      <c r="F3456" s="329"/>
      <c r="G3456" s="23"/>
      <c r="H3456" s="23"/>
      <c r="I3456" s="330"/>
      <c r="J3456" s="330"/>
      <c r="K3456" s="23"/>
    </row>
    <row r="3457" spans="1:11" ht="12.75" x14ac:dyDescent="0.2">
      <c r="A3457" s="23"/>
      <c r="B3457" s="328"/>
      <c r="C3457" s="327"/>
      <c r="D3457" s="328"/>
      <c r="E3457" s="23"/>
      <c r="F3457" s="329"/>
      <c r="G3457" s="23"/>
      <c r="H3457" s="23"/>
      <c r="I3457" s="330"/>
      <c r="J3457" s="330"/>
      <c r="K3457" s="23"/>
    </row>
    <row r="3458" spans="1:11" ht="12.75" x14ac:dyDescent="0.2">
      <c r="A3458" s="23"/>
      <c r="B3458" s="328"/>
      <c r="C3458" s="327"/>
      <c r="D3458" s="328"/>
      <c r="E3458" s="23"/>
      <c r="F3458" s="329"/>
      <c r="G3458" s="23"/>
      <c r="H3458" s="23"/>
      <c r="I3458" s="330"/>
      <c r="J3458" s="330"/>
      <c r="K3458" s="23"/>
    </row>
    <row r="3459" spans="1:11" ht="12.75" x14ac:dyDescent="0.2">
      <c r="A3459" s="23"/>
      <c r="B3459" s="328"/>
      <c r="C3459" s="327"/>
      <c r="D3459" s="328"/>
      <c r="E3459" s="23"/>
      <c r="F3459" s="329"/>
      <c r="G3459" s="23"/>
      <c r="H3459" s="23"/>
      <c r="I3459" s="330"/>
      <c r="J3459" s="330"/>
      <c r="K3459" s="23"/>
    </row>
    <row r="3460" spans="1:11" ht="12.75" x14ac:dyDescent="0.2">
      <c r="A3460" s="23"/>
      <c r="B3460" s="328"/>
      <c r="C3460" s="327"/>
      <c r="D3460" s="328"/>
      <c r="E3460" s="23"/>
      <c r="F3460" s="329"/>
      <c r="G3460" s="23"/>
      <c r="H3460" s="23"/>
      <c r="I3460" s="330"/>
      <c r="J3460" s="330"/>
      <c r="K3460" s="23"/>
    </row>
    <row r="3461" spans="1:11" ht="12.75" x14ac:dyDescent="0.2">
      <c r="A3461" s="23"/>
      <c r="B3461" s="328"/>
      <c r="C3461" s="327"/>
      <c r="D3461" s="328"/>
      <c r="E3461" s="23"/>
      <c r="F3461" s="329"/>
      <c r="G3461" s="23"/>
      <c r="H3461" s="23"/>
      <c r="I3461" s="330"/>
      <c r="J3461" s="330"/>
      <c r="K3461" s="23"/>
    </row>
    <row r="3462" spans="1:11" ht="12.75" x14ac:dyDescent="0.2">
      <c r="A3462" s="23"/>
      <c r="B3462" s="328"/>
      <c r="C3462" s="327"/>
      <c r="D3462" s="328"/>
      <c r="E3462" s="23"/>
      <c r="F3462" s="329"/>
      <c r="G3462" s="23"/>
      <c r="H3462" s="23"/>
      <c r="I3462" s="330"/>
      <c r="J3462" s="330"/>
      <c r="K3462" s="23"/>
    </row>
    <row r="3463" spans="1:11" ht="12.75" x14ac:dyDescent="0.2">
      <c r="A3463" s="23"/>
      <c r="B3463" s="328"/>
      <c r="C3463" s="327"/>
      <c r="D3463" s="328"/>
      <c r="E3463" s="23"/>
      <c r="F3463" s="329"/>
      <c r="G3463" s="23"/>
      <c r="H3463" s="23"/>
      <c r="I3463" s="330"/>
      <c r="J3463" s="330"/>
      <c r="K3463" s="23"/>
    </row>
    <row r="3464" spans="1:11" ht="12.75" x14ac:dyDescent="0.2">
      <c r="A3464" s="23"/>
      <c r="B3464" s="328"/>
      <c r="C3464" s="327"/>
      <c r="D3464" s="328"/>
      <c r="E3464" s="23"/>
      <c r="F3464" s="329"/>
      <c r="G3464" s="23"/>
      <c r="H3464" s="23"/>
      <c r="I3464" s="330"/>
      <c r="J3464" s="330"/>
      <c r="K3464" s="23"/>
    </row>
    <row r="3465" spans="1:11" ht="12.75" x14ac:dyDescent="0.2">
      <c r="A3465" s="23"/>
      <c r="B3465" s="328"/>
      <c r="C3465" s="327"/>
      <c r="D3465" s="328"/>
      <c r="E3465" s="23"/>
      <c r="F3465" s="329"/>
      <c r="G3465" s="23"/>
      <c r="H3465" s="23"/>
      <c r="I3465" s="330"/>
      <c r="J3465" s="330"/>
      <c r="K3465" s="23"/>
    </row>
    <row r="3466" spans="1:11" ht="12.75" x14ac:dyDescent="0.2">
      <c r="A3466" s="23"/>
      <c r="B3466" s="328"/>
      <c r="C3466" s="327"/>
      <c r="D3466" s="328"/>
      <c r="E3466" s="23"/>
      <c r="F3466" s="329"/>
      <c r="G3466" s="23"/>
      <c r="H3466" s="23"/>
      <c r="I3466" s="330"/>
      <c r="J3466" s="330"/>
      <c r="K3466" s="23"/>
    </row>
    <row r="3467" spans="1:11" ht="12.75" x14ac:dyDescent="0.2">
      <c r="A3467" s="23"/>
      <c r="B3467" s="328"/>
      <c r="C3467" s="327"/>
      <c r="D3467" s="328"/>
      <c r="E3467" s="23"/>
      <c r="F3467" s="329"/>
      <c r="G3467" s="23"/>
      <c r="H3467" s="23"/>
      <c r="I3467" s="330"/>
      <c r="J3467" s="330"/>
      <c r="K3467" s="23"/>
    </row>
    <row r="3468" spans="1:11" ht="12.75" x14ac:dyDescent="0.2">
      <c r="A3468" s="23"/>
      <c r="B3468" s="328"/>
      <c r="C3468" s="327"/>
      <c r="D3468" s="328"/>
      <c r="E3468" s="23"/>
      <c r="F3468" s="329"/>
      <c r="G3468" s="23"/>
      <c r="H3468" s="23"/>
      <c r="I3468" s="330"/>
      <c r="J3468" s="330"/>
      <c r="K3468" s="23"/>
    </row>
    <row r="3469" spans="1:11" ht="12.75" x14ac:dyDescent="0.2">
      <c r="A3469" s="23"/>
      <c r="B3469" s="328"/>
      <c r="C3469" s="327"/>
      <c r="D3469" s="328"/>
      <c r="E3469" s="23"/>
      <c r="F3469" s="329"/>
      <c r="G3469" s="23"/>
      <c r="H3469" s="23"/>
      <c r="I3469" s="330"/>
      <c r="J3469" s="330"/>
      <c r="K3469" s="23"/>
    </row>
    <row r="3470" spans="1:11" ht="12.75" x14ac:dyDescent="0.2">
      <c r="A3470" s="23"/>
      <c r="B3470" s="328"/>
      <c r="C3470" s="327"/>
      <c r="D3470" s="328"/>
      <c r="E3470" s="23"/>
      <c r="F3470" s="329"/>
      <c r="G3470" s="23"/>
      <c r="H3470" s="23"/>
      <c r="I3470" s="330"/>
      <c r="J3470" s="330"/>
      <c r="K3470" s="23"/>
    </row>
    <row r="3471" spans="1:11" ht="12.75" x14ac:dyDescent="0.2">
      <c r="A3471" s="23"/>
      <c r="B3471" s="328"/>
      <c r="C3471" s="327"/>
      <c r="D3471" s="328"/>
      <c r="E3471" s="23"/>
      <c r="F3471" s="329"/>
      <c r="G3471" s="23"/>
      <c r="H3471" s="23"/>
      <c r="I3471" s="330"/>
      <c r="J3471" s="330"/>
      <c r="K3471" s="23"/>
    </row>
    <row r="3472" spans="1:11" ht="12.75" x14ac:dyDescent="0.2">
      <c r="A3472" s="23"/>
      <c r="B3472" s="328"/>
      <c r="C3472" s="327"/>
      <c r="D3472" s="328"/>
      <c r="E3472" s="23"/>
      <c r="F3472" s="329"/>
      <c r="G3472" s="23"/>
      <c r="H3472" s="23"/>
      <c r="I3472" s="330"/>
      <c r="J3472" s="330"/>
      <c r="K3472" s="23"/>
    </row>
    <row r="3473" spans="1:11" ht="12.75" x14ac:dyDescent="0.2">
      <c r="A3473" s="23"/>
      <c r="B3473" s="328"/>
      <c r="C3473" s="327"/>
      <c r="D3473" s="328"/>
      <c r="E3473" s="23"/>
      <c r="F3473" s="329"/>
      <c r="G3473" s="23"/>
      <c r="H3473" s="23"/>
      <c r="I3473" s="330"/>
      <c r="J3473" s="330"/>
      <c r="K3473" s="23"/>
    </row>
    <row r="3474" spans="1:11" ht="12.75" x14ac:dyDescent="0.2">
      <c r="A3474" s="23"/>
      <c r="B3474" s="328"/>
      <c r="C3474" s="327"/>
      <c r="D3474" s="328"/>
      <c r="E3474" s="23"/>
      <c r="F3474" s="329"/>
      <c r="G3474" s="23"/>
      <c r="H3474" s="23"/>
      <c r="I3474" s="330"/>
      <c r="J3474" s="330"/>
      <c r="K3474" s="23"/>
    </row>
    <row r="3475" spans="1:11" ht="12.75" x14ac:dyDescent="0.2">
      <c r="A3475" s="23"/>
      <c r="B3475" s="328"/>
      <c r="C3475" s="327"/>
      <c r="D3475" s="328"/>
      <c r="E3475" s="23"/>
      <c r="F3475" s="329"/>
      <c r="G3475" s="23"/>
      <c r="H3475" s="23"/>
      <c r="I3475" s="330"/>
      <c r="J3475" s="330"/>
      <c r="K3475" s="23"/>
    </row>
    <row r="3476" spans="1:11" ht="12.75" x14ac:dyDescent="0.2">
      <c r="A3476" s="23"/>
      <c r="B3476" s="328"/>
      <c r="C3476" s="327"/>
      <c r="D3476" s="328"/>
      <c r="E3476" s="23"/>
      <c r="F3476" s="329"/>
      <c r="G3476" s="23"/>
      <c r="H3476" s="23"/>
      <c r="I3476" s="330"/>
      <c r="J3476" s="330"/>
      <c r="K3476" s="23"/>
    </row>
    <row r="3477" spans="1:11" ht="12.75" x14ac:dyDescent="0.2">
      <c r="A3477" s="23"/>
      <c r="B3477" s="328"/>
      <c r="C3477" s="327"/>
      <c r="D3477" s="328"/>
      <c r="E3477" s="23"/>
      <c r="F3477" s="329"/>
      <c r="G3477" s="23"/>
      <c r="H3477" s="23"/>
      <c r="I3477" s="330"/>
      <c r="J3477" s="330"/>
      <c r="K3477" s="23"/>
    </row>
    <row r="3478" spans="1:11" ht="12.75" x14ac:dyDescent="0.2">
      <c r="A3478" s="23"/>
      <c r="B3478" s="328"/>
      <c r="C3478" s="327"/>
      <c r="D3478" s="328"/>
      <c r="E3478" s="23"/>
      <c r="F3478" s="329"/>
      <c r="G3478" s="23"/>
      <c r="H3478" s="23"/>
      <c r="I3478" s="330"/>
      <c r="J3478" s="330"/>
      <c r="K3478" s="23"/>
    </row>
    <row r="3479" spans="1:11" ht="12.75" x14ac:dyDescent="0.2">
      <c r="A3479" s="23"/>
      <c r="B3479" s="328"/>
      <c r="C3479" s="327"/>
      <c r="D3479" s="328"/>
      <c r="E3479" s="23"/>
      <c r="F3479" s="329"/>
      <c r="G3479" s="23"/>
      <c r="H3479" s="23"/>
      <c r="I3479" s="330"/>
      <c r="J3479" s="330"/>
      <c r="K3479" s="23"/>
    </row>
    <row r="3480" spans="1:11" ht="12.75" x14ac:dyDescent="0.2">
      <c r="A3480" s="23"/>
      <c r="B3480" s="328"/>
      <c r="C3480" s="327"/>
      <c r="D3480" s="328"/>
      <c r="E3480" s="23"/>
      <c r="F3480" s="329"/>
      <c r="G3480" s="23"/>
      <c r="H3480" s="23"/>
      <c r="I3480" s="330"/>
      <c r="J3480" s="330"/>
      <c r="K3480" s="23"/>
    </row>
    <row r="3481" spans="1:11" ht="12.75" x14ac:dyDescent="0.2">
      <c r="A3481" s="23"/>
      <c r="B3481" s="328"/>
      <c r="C3481" s="327"/>
      <c r="D3481" s="328"/>
      <c r="E3481" s="23"/>
      <c r="F3481" s="329"/>
      <c r="G3481" s="23"/>
      <c r="H3481" s="23"/>
      <c r="I3481" s="330"/>
      <c r="J3481" s="330"/>
      <c r="K3481" s="23"/>
    </row>
    <row r="3482" spans="1:11" ht="12.75" x14ac:dyDescent="0.2">
      <c r="A3482" s="23"/>
      <c r="B3482" s="328"/>
      <c r="C3482" s="327"/>
      <c r="D3482" s="328"/>
      <c r="E3482" s="23"/>
      <c r="F3482" s="329"/>
      <c r="G3482" s="23"/>
      <c r="H3482" s="23"/>
      <c r="I3482" s="330"/>
      <c r="J3482" s="330"/>
      <c r="K3482" s="23"/>
    </row>
    <row r="3483" spans="1:11" ht="12.75" x14ac:dyDescent="0.2">
      <c r="A3483" s="23"/>
      <c r="B3483" s="328"/>
      <c r="C3483" s="327"/>
      <c r="D3483" s="328"/>
      <c r="E3483" s="23"/>
      <c r="F3483" s="329"/>
      <c r="G3483" s="23"/>
      <c r="H3483" s="23"/>
      <c r="I3483" s="330"/>
      <c r="J3483" s="330"/>
      <c r="K3483" s="23"/>
    </row>
    <row r="3484" spans="1:11" ht="12.75" x14ac:dyDescent="0.2">
      <c r="A3484" s="23"/>
      <c r="B3484" s="328"/>
      <c r="C3484" s="327"/>
      <c r="D3484" s="328"/>
      <c r="E3484" s="23"/>
      <c r="F3484" s="329"/>
      <c r="G3484" s="23"/>
      <c r="H3484" s="23"/>
      <c r="I3484" s="330"/>
      <c r="J3484" s="330"/>
      <c r="K3484" s="23"/>
    </row>
    <row r="3485" spans="1:11" ht="12.75" x14ac:dyDescent="0.2">
      <c r="A3485" s="23"/>
      <c r="B3485" s="328"/>
      <c r="C3485" s="327"/>
      <c r="D3485" s="328"/>
      <c r="E3485" s="23"/>
      <c r="F3485" s="329"/>
      <c r="G3485" s="23"/>
      <c r="H3485" s="23"/>
      <c r="I3485" s="330"/>
      <c r="J3485" s="330"/>
      <c r="K3485" s="23"/>
    </row>
    <row r="3486" spans="1:11" ht="12.75" x14ac:dyDescent="0.2">
      <c r="A3486" s="23"/>
      <c r="B3486" s="328"/>
      <c r="C3486" s="327"/>
      <c r="D3486" s="328"/>
      <c r="E3486" s="23"/>
      <c r="F3486" s="329"/>
      <c r="G3486" s="23"/>
      <c r="H3486" s="23"/>
      <c r="I3486" s="330"/>
      <c r="J3486" s="330"/>
      <c r="K3486" s="23"/>
    </row>
    <row r="3487" spans="1:11" ht="12.75" x14ac:dyDescent="0.2">
      <c r="A3487" s="23"/>
      <c r="B3487" s="328"/>
      <c r="C3487" s="327"/>
      <c r="D3487" s="328"/>
      <c r="E3487" s="23"/>
      <c r="F3487" s="329"/>
      <c r="G3487" s="23"/>
      <c r="H3487" s="23"/>
      <c r="I3487" s="330"/>
      <c r="J3487" s="330"/>
      <c r="K3487" s="23"/>
    </row>
    <row r="3488" spans="1:11" ht="12.75" x14ac:dyDescent="0.2">
      <c r="A3488" s="23"/>
      <c r="B3488" s="328"/>
      <c r="C3488" s="327"/>
      <c r="D3488" s="328"/>
      <c r="E3488" s="23"/>
      <c r="F3488" s="329"/>
      <c r="G3488" s="23"/>
      <c r="H3488" s="23"/>
      <c r="I3488" s="330"/>
      <c r="J3488" s="330"/>
      <c r="K3488" s="23"/>
    </row>
    <row r="3489" spans="1:11" ht="12.75" x14ac:dyDescent="0.2">
      <c r="A3489" s="23"/>
      <c r="B3489" s="328"/>
      <c r="C3489" s="327"/>
      <c r="D3489" s="328"/>
      <c r="E3489" s="23"/>
      <c r="F3489" s="329"/>
      <c r="G3489" s="23"/>
      <c r="H3489" s="23"/>
      <c r="I3489" s="330"/>
      <c r="J3489" s="330"/>
      <c r="K3489" s="23"/>
    </row>
    <row r="3490" spans="1:11" ht="12.75" x14ac:dyDescent="0.2">
      <c r="A3490" s="23"/>
      <c r="B3490" s="328"/>
      <c r="C3490" s="327"/>
      <c r="D3490" s="328"/>
      <c r="E3490" s="23"/>
      <c r="F3490" s="329"/>
      <c r="G3490" s="23"/>
      <c r="H3490" s="23"/>
      <c r="I3490" s="330"/>
      <c r="J3490" s="330"/>
      <c r="K3490" s="23"/>
    </row>
    <row r="3491" spans="1:11" ht="12.75" x14ac:dyDescent="0.2">
      <c r="A3491" s="23"/>
      <c r="B3491" s="328"/>
      <c r="C3491" s="327"/>
      <c r="D3491" s="328"/>
      <c r="E3491" s="23"/>
      <c r="F3491" s="329"/>
      <c r="G3491" s="23"/>
      <c r="H3491" s="23"/>
      <c r="I3491" s="330"/>
      <c r="J3491" s="330"/>
      <c r="K3491" s="23"/>
    </row>
    <row r="3492" spans="1:11" ht="12.75" x14ac:dyDescent="0.2">
      <c r="A3492" s="23"/>
      <c r="B3492" s="328"/>
      <c r="C3492" s="327"/>
      <c r="D3492" s="328"/>
      <c r="E3492" s="23"/>
      <c r="F3492" s="329"/>
      <c r="G3492" s="23"/>
      <c r="H3492" s="23"/>
      <c r="I3492" s="330"/>
      <c r="J3492" s="330"/>
      <c r="K3492" s="23"/>
    </row>
    <row r="3493" spans="1:11" ht="12.75" x14ac:dyDescent="0.2">
      <c r="A3493" s="23"/>
      <c r="B3493" s="328"/>
      <c r="C3493" s="327"/>
      <c r="D3493" s="328"/>
      <c r="E3493" s="23"/>
      <c r="F3493" s="329"/>
      <c r="G3493" s="23"/>
      <c r="H3493" s="23"/>
      <c r="I3493" s="330"/>
      <c r="J3493" s="330"/>
      <c r="K3493" s="23"/>
    </row>
    <row r="3494" spans="1:11" ht="12.75" x14ac:dyDescent="0.2">
      <c r="A3494" s="23"/>
      <c r="B3494" s="328"/>
      <c r="C3494" s="327"/>
      <c r="D3494" s="328"/>
      <c r="E3494" s="23"/>
      <c r="F3494" s="329"/>
      <c r="G3494" s="23"/>
      <c r="H3494" s="23"/>
      <c r="I3494" s="330"/>
      <c r="J3494" s="330"/>
      <c r="K3494" s="23"/>
    </row>
    <row r="3495" spans="1:11" ht="12.75" x14ac:dyDescent="0.2">
      <c r="A3495" s="23"/>
      <c r="B3495" s="328"/>
      <c r="C3495" s="327"/>
      <c r="D3495" s="328"/>
      <c r="E3495" s="23"/>
      <c r="F3495" s="329"/>
      <c r="G3495" s="23"/>
      <c r="H3495" s="23"/>
      <c r="I3495" s="330"/>
      <c r="J3495" s="330"/>
      <c r="K3495" s="23"/>
    </row>
    <row r="3496" spans="1:11" ht="12.75" x14ac:dyDescent="0.2">
      <c r="A3496" s="23"/>
      <c r="B3496" s="328"/>
      <c r="C3496" s="327"/>
      <c r="D3496" s="328"/>
      <c r="E3496" s="23"/>
      <c r="F3496" s="329"/>
      <c r="G3496" s="23"/>
      <c r="H3496" s="23"/>
      <c r="I3496" s="330"/>
      <c r="J3496" s="330"/>
      <c r="K3496" s="23"/>
    </row>
    <row r="3497" spans="1:11" ht="12.75" x14ac:dyDescent="0.2">
      <c r="A3497" s="23"/>
      <c r="B3497" s="328"/>
      <c r="C3497" s="327"/>
      <c r="D3497" s="328"/>
      <c r="E3497" s="23"/>
      <c r="F3497" s="329"/>
      <c r="G3497" s="23"/>
      <c r="H3497" s="23"/>
      <c r="I3497" s="330"/>
      <c r="J3497" s="330"/>
      <c r="K3497" s="23"/>
    </row>
    <row r="3498" spans="1:11" ht="12.75" x14ac:dyDescent="0.2">
      <c r="A3498" s="23"/>
      <c r="B3498" s="328"/>
      <c r="C3498" s="327"/>
      <c r="D3498" s="328"/>
      <c r="E3498" s="23"/>
      <c r="F3498" s="329"/>
      <c r="G3498" s="23"/>
      <c r="H3498" s="23"/>
      <c r="I3498" s="330"/>
      <c r="J3498" s="330"/>
      <c r="K3498" s="23"/>
    </row>
    <row r="3499" spans="1:11" ht="12.75" x14ac:dyDescent="0.2">
      <c r="A3499" s="23"/>
      <c r="B3499" s="328"/>
      <c r="C3499" s="327"/>
      <c r="D3499" s="328"/>
      <c r="E3499" s="23"/>
      <c r="F3499" s="329"/>
      <c r="G3499" s="23"/>
      <c r="H3499" s="23"/>
      <c r="I3499" s="330"/>
      <c r="J3499" s="330"/>
      <c r="K3499" s="23"/>
    </row>
    <row r="3500" spans="1:11" ht="12.75" x14ac:dyDescent="0.2">
      <c r="A3500" s="23"/>
      <c r="B3500" s="328"/>
      <c r="C3500" s="327"/>
      <c r="D3500" s="328"/>
      <c r="E3500" s="23"/>
      <c r="F3500" s="329"/>
      <c r="G3500" s="23"/>
      <c r="H3500" s="23"/>
      <c r="I3500" s="330"/>
      <c r="J3500" s="330"/>
      <c r="K3500" s="23"/>
    </row>
    <row r="3501" spans="1:11" ht="12.75" x14ac:dyDescent="0.2">
      <c r="A3501" s="23"/>
      <c r="B3501" s="328"/>
      <c r="C3501" s="327"/>
      <c r="D3501" s="328"/>
      <c r="E3501" s="23"/>
      <c r="F3501" s="329"/>
      <c r="G3501" s="23"/>
      <c r="H3501" s="23"/>
      <c r="I3501" s="330"/>
      <c r="J3501" s="330"/>
      <c r="K3501" s="23"/>
    </row>
    <row r="3502" spans="1:11" ht="12.75" x14ac:dyDescent="0.2">
      <c r="A3502" s="23"/>
      <c r="B3502" s="328"/>
      <c r="C3502" s="327"/>
      <c r="D3502" s="328"/>
      <c r="E3502" s="23"/>
      <c r="F3502" s="329"/>
      <c r="G3502" s="23"/>
      <c r="H3502" s="23"/>
      <c r="I3502" s="330"/>
      <c r="J3502" s="330"/>
      <c r="K3502" s="23"/>
    </row>
    <row r="3503" spans="1:11" ht="12.75" x14ac:dyDescent="0.2">
      <c r="A3503" s="23"/>
      <c r="B3503" s="328"/>
      <c r="C3503" s="327"/>
      <c r="D3503" s="328"/>
      <c r="E3503" s="23"/>
      <c r="F3503" s="329"/>
      <c r="G3503" s="23"/>
      <c r="H3503" s="23"/>
      <c r="I3503" s="330"/>
      <c r="J3503" s="330"/>
      <c r="K3503" s="23"/>
    </row>
    <row r="3504" spans="1:11" ht="12.75" x14ac:dyDescent="0.2">
      <c r="A3504" s="23"/>
      <c r="B3504" s="328"/>
      <c r="C3504" s="327"/>
      <c r="D3504" s="328"/>
      <c r="E3504" s="23"/>
      <c r="F3504" s="329"/>
      <c r="G3504" s="23"/>
      <c r="H3504" s="23"/>
      <c r="I3504" s="330"/>
      <c r="J3504" s="330"/>
      <c r="K3504" s="23"/>
    </row>
    <row r="3505" spans="1:11" ht="12.75" x14ac:dyDescent="0.2">
      <c r="A3505" s="23"/>
      <c r="B3505" s="328"/>
      <c r="C3505" s="327"/>
      <c r="D3505" s="328"/>
      <c r="E3505" s="23"/>
      <c r="F3505" s="329"/>
      <c r="G3505" s="23"/>
      <c r="H3505" s="23"/>
      <c r="I3505" s="330"/>
      <c r="J3505" s="330"/>
      <c r="K3505" s="23"/>
    </row>
    <row r="3506" spans="1:11" ht="12.75" x14ac:dyDescent="0.2">
      <c r="A3506" s="23"/>
      <c r="B3506" s="328"/>
      <c r="C3506" s="327"/>
      <c r="D3506" s="328"/>
      <c r="E3506" s="23"/>
      <c r="F3506" s="329"/>
      <c r="G3506" s="23"/>
      <c r="H3506" s="23"/>
      <c r="I3506" s="330"/>
      <c r="J3506" s="330"/>
      <c r="K3506" s="23"/>
    </row>
    <row r="3507" spans="1:11" ht="12.75" x14ac:dyDescent="0.2">
      <c r="A3507" s="23"/>
      <c r="B3507" s="328"/>
      <c r="C3507" s="327"/>
      <c r="D3507" s="328"/>
      <c r="E3507" s="23"/>
      <c r="F3507" s="329"/>
      <c r="G3507" s="23"/>
      <c r="H3507" s="23"/>
      <c r="I3507" s="330"/>
      <c r="J3507" s="330"/>
      <c r="K3507" s="23"/>
    </row>
    <row r="3508" spans="1:11" ht="12.75" x14ac:dyDescent="0.2">
      <c r="A3508" s="23"/>
      <c r="B3508" s="328"/>
      <c r="C3508" s="327"/>
      <c r="D3508" s="328"/>
      <c r="E3508" s="23"/>
      <c r="F3508" s="329"/>
      <c r="G3508" s="23"/>
      <c r="H3508" s="23"/>
      <c r="I3508" s="330"/>
      <c r="J3508" s="330"/>
      <c r="K3508" s="23"/>
    </row>
    <row r="3509" spans="1:11" ht="12.75" x14ac:dyDescent="0.2">
      <c r="A3509" s="23"/>
      <c r="B3509" s="328"/>
      <c r="C3509" s="327"/>
      <c r="D3509" s="328"/>
      <c r="E3509" s="23"/>
      <c r="F3509" s="329"/>
      <c r="G3509" s="23"/>
      <c r="H3509" s="23"/>
      <c r="I3509" s="330"/>
      <c r="J3509" s="330"/>
      <c r="K3509" s="23"/>
    </row>
    <row r="3510" spans="1:11" ht="12.75" x14ac:dyDescent="0.2">
      <c r="A3510" s="23"/>
      <c r="B3510" s="328"/>
      <c r="C3510" s="327"/>
      <c r="D3510" s="328"/>
      <c r="E3510" s="23"/>
      <c r="F3510" s="329"/>
      <c r="G3510" s="23"/>
      <c r="H3510" s="23"/>
      <c r="I3510" s="330"/>
      <c r="J3510" s="330"/>
      <c r="K3510" s="23"/>
    </row>
    <row r="3511" spans="1:11" ht="12.75" x14ac:dyDescent="0.2">
      <c r="A3511" s="23"/>
      <c r="B3511" s="328"/>
      <c r="C3511" s="327"/>
      <c r="D3511" s="328"/>
      <c r="E3511" s="23"/>
      <c r="F3511" s="329"/>
      <c r="G3511" s="23"/>
      <c r="H3511" s="23"/>
      <c r="I3511" s="330"/>
      <c r="J3511" s="330"/>
      <c r="K3511" s="23"/>
    </row>
    <row r="3512" spans="1:11" ht="12.75" x14ac:dyDescent="0.2">
      <c r="A3512" s="23"/>
      <c r="B3512" s="328"/>
      <c r="C3512" s="327"/>
      <c r="D3512" s="328"/>
      <c r="E3512" s="23"/>
      <c r="F3512" s="329"/>
      <c r="G3512" s="23"/>
      <c r="H3512" s="23"/>
      <c r="I3512" s="330"/>
      <c r="J3512" s="330"/>
      <c r="K3512" s="23"/>
    </row>
    <row r="3513" spans="1:11" ht="12.75" x14ac:dyDescent="0.2">
      <c r="A3513" s="23"/>
      <c r="B3513" s="328"/>
      <c r="C3513" s="327"/>
      <c r="D3513" s="328"/>
      <c r="E3513" s="23"/>
      <c r="F3513" s="329"/>
      <c r="G3513" s="23"/>
      <c r="H3513" s="23"/>
      <c r="I3513" s="330"/>
      <c r="J3513" s="330"/>
      <c r="K3513" s="23"/>
    </row>
    <row r="3514" spans="1:11" ht="12.75" x14ac:dyDescent="0.2">
      <c r="A3514" s="23"/>
      <c r="B3514" s="328"/>
      <c r="C3514" s="327"/>
      <c r="D3514" s="328"/>
      <c r="E3514" s="23"/>
      <c r="F3514" s="329"/>
      <c r="G3514" s="23"/>
      <c r="H3514" s="23"/>
      <c r="I3514" s="330"/>
      <c r="J3514" s="330"/>
      <c r="K3514" s="23"/>
    </row>
    <row r="3515" spans="1:11" ht="12.75" x14ac:dyDescent="0.2">
      <c r="A3515" s="23"/>
      <c r="B3515" s="328"/>
      <c r="C3515" s="327"/>
      <c r="D3515" s="328"/>
      <c r="E3515" s="23"/>
      <c r="F3515" s="329"/>
      <c r="G3515" s="23"/>
      <c r="H3515" s="23"/>
      <c r="I3515" s="330"/>
      <c r="J3515" s="330"/>
      <c r="K3515" s="23"/>
    </row>
    <row r="3516" spans="1:11" ht="12.75" x14ac:dyDescent="0.2">
      <c r="A3516" s="23"/>
      <c r="B3516" s="328"/>
      <c r="C3516" s="327"/>
      <c r="D3516" s="328"/>
      <c r="E3516" s="23"/>
      <c r="F3516" s="329"/>
      <c r="G3516" s="23"/>
      <c r="H3516" s="23"/>
      <c r="I3516" s="330"/>
      <c r="J3516" s="330"/>
      <c r="K3516" s="23"/>
    </row>
    <row r="3517" spans="1:11" ht="12.75" x14ac:dyDescent="0.2">
      <c r="A3517" s="23"/>
      <c r="B3517" s="328"/>
      <c r="C3517" s="327"/>
      <c r="D3517" s="328"/>
      <c r="E3517" s="23"/>
      <c r="F3517" s="329"/>
      <c r="G3517" s="23"/>
      <c r="H3517" s="23"/>
      <c r="I3517" s="330"/>
      <c r="J3517" s="330"/>
      <c r="K3517" s="23"/>
    </row>
    <row r="3518" spans="1:11" ht="12.75" x14ac:dyDescent="0.2">
      <c r="A3518" s="23"/>
      <c r="B3518" s="328"/>
      <c r="C3518" s="327"/>
      <c r="D3518" s="328"/>
      <c r="E3518" s="23"/>
      <c r="F3518" s="329"/>
      <c r="G3518" s="23"/>
      <c r="H3518" s="23"/>
      <c r="I3518" s="330"/>
      <c r="J3518" s="330"/>
      <c r="K3518" s="23"/>
    </row>
    <row r="3519" spans="1:11" ht="12.75" x14ac:dyDescent="0.2">
      <c r="A3519" s="23"/>
      <c r="B3519" s="328"/>
      <c r="C3519" s="327"/>
      <c r="D3519" s="328"/>
      <c r="E3519" s="23"/>
      <c r="F3519" s="329"/>
      <c r="G3519" s="23"/>
      <c r="H3519" s="23"/>
      <c r="I3519" s="330"/>
      <c r="J3519" s="330"/>
      <c r="K3519" s="23"/>
    </row>
    <row r="3520" spans="1:11" ht="12.75" x14ac:dyDescent="0.2">
      <c r="A3520" s="23"/>
      <c r="B3520" s="328"/>
      <c r="C3520" s="327"/>
      <c r="D3520" s="328"/>
      <c r="E3520" s="23"/>
      <c r="F3520" s="329"/>
      <c r="G3520" s="23"/>
      <c r="H3520" s="23"/>
      <c r="I3520" s="330"/>
      <c r="J3520" s="330"/>
      <c r="K3520" s="23"/>
    </row>
    <row r="3521" spans="1:11" ht="12.75" x14ac:dyDescent="0.2">
      <c r="A3521" s="23"/>
      <c r="B3521" s="328"/>
      <c r="C3521" s="327"/>
      <c r="D3521" s="328"/>
      <c r="E3521" s="23"/>
      <c r="F3521" s="329"/>
      <c r="G3521" s="23"/>
      <c r="H3521" s="23"/>
      <c r="I3521" s="330"/>
      <c r="J3521" s="330"/>
      <c r="K3521" s="23"/>
    </row>
    <row r="3522" spans="1:11" ht="12.75" x14ac:dyDescent="0.2">
      <c r="A3522" s="23"/>
      <c r="B3522" s="328"/>
      <c r="C3522" s="327"/>
      <c r="D3522" s="328"/>
      <c r="E3522" s="23"/>
      <c r="F3522" s="329"/>
      <c r="G3522" s="23"/>
      <c r="H3522" s="23"/>
      <c r="I3522" s="330"/>
      <c r="J3522" s="330"/>
      <c r="K3522" s="23"/>
    </row>
    <row r="3523" spans="1:11" ht="12.75" x14ac:dyDescent="0.2">
      <c r="A3523" s="23"/>
      <c r="B3523" s="328"/>
      <c r="C3523" s="327"/>
      <c r="D3523" s="328"/>
      <c r="E3523" s="23"/>
      <c r="F3523" s="329"/>
      <c r="G3523" s="23"/>
      <c r="H3523" s="23"/>
      <c r="I3523" s="330"/>
      <c r="J3523" s="330"/>
      <c r="K3523" s="23"/>
    </row>
    <row r="3524" spans="1:11" ht="12.75" x14ac:dyDescent="0.2">
      <c r="A3524" s="23"/>
      <c r="B3524" s="328"/>
      <c r="C3524" s="327"/>
      <c r="D3524" s="328"/>
      <c r="E3524" s="23"/>
      <c r="F3524" s="329"/>
      <c r="G3524" s="23"/>
      <c r="H3524" s="23"/>
      <c r="I3524" s="330"/>
      <c r="J3524" s="330"/>
      <c r="K3524" s="23"/>
    </row>
    <row r="3525" spans="1:11" ht="12.75" x14ac:dyDescent="0.2">
      <c r="A3525" s="23"/>
      <c r="B3525" s="328"/>
      <c r="C3525" s="327"/>
      <c r="D3525" s="328"/>
      <c r="E3525" s="23"/>
      <c r="F3525" s="329"/>
      <c r="G3525" s="23"/>
      <c r="H3525" s="23"/>
      <c r="I3525" s="330"/>
      <c r="J3525" s="330"/>
      <c r="K3525" s="23"/>
    </row>
    <row r="3526" spans="1:11" ht="12.75" x14ac:dyDescent="0.2">
      <c r="A3526" s="23"/>
      <c r="B3526" s="328"/>
      <c r="C3526" s="327"/>
      <c r="D3526" s="328"/>
      <c r="E3526" s="23"/>
      <c r="F3526" s="329"/>
      <c r="G3526" s="23"/>
      <c r="H3526" s="23"/>
      <c r="I3526" s="330"/>
      <c r="J3526" s="330"/>
      <c r="K3526" s="23"/>
    </row>
    <row r="3527" spans="1:11" ht="12.75" x14ac:dyDescent="0.2">
      <c r="A3527" s="23"/>
      <c r="B3527" s="328"/>
      <c r="C3527" s="327"/>
      <c r="D3527" s="328"/>
      <c r="E3527" s="23"/>
      <c r="F3527" s="329"/>
      <c r="G3527" s="23"/>
      <c r="H3527" s="23"/>
      <c r="I3527" s="330"/>
      <c r="J3527" s="330"/>
      <c r="K3527" s="23"/>
    </row>
    <row r="3528" spans="1:11" ht="12.75" x14ac:dyDescent="0.2">
      <c r="A3528" s="23"/>
      <c r="B3528" s="328"/>
      <c r="C3528" s="327"/>
      <c r="D3528" s="328"/>
      <c r="E3528" s="23"/>
      <c r="F3528" s="329"/>
      <c r="G3528" s="23"/>
      <c r="H3528" s="23"/>
      <c r="I3528" s="330"/>
      <c r="J3528" s="330"/>
      <c r="K3528" s="23"/>
    </row>
    <row r="3529" spans="1:11" ht="12.75" x14ac:dyDescent="0.2">
      <c r="A3529" s="23"/>
      <c r="B3529" s="328"/>
      <c r="C3529" s="327"/>
      <c r="D3529" s="328"/>
      <c r="E3529" s="23"/>
      <c r="F3529" s="329"/>
      <c r="G3529" s="23"/>
      <c r="H3529" s="23"/>
      <c r="I3529" s="330"/>
      <c r="J3529" s="330"/>
      <c r="K3529" s="23"/>
    </row>
    <row r="3530" spans="1:11" ht="12.75" x14ac:dyDescent="0.2">
      <c r="A3530" s="23"/>
      <c r="B3530" s="328"/>
      <c r="C3530" s="327"/>
      <c r="D3530" s="328"/>
      <c r="E3530" s="23"/>
      <c r="F3530" s="329"/>
      <c r="G3530" s="23"/>
      <c r="H3530" s="23"/>
      <c r="I3530" s="330"/>
      <c r="J3530" s="330"/>
      <c r="K3530" s="23"/>
    </row>
    <row r="3531" spans="1:11" ht="12.75" x14ac:dyDescent="0.2">
      <c r="A3531" s="23"/>
      <c r="B3531" s="328"/>
      <c r="C3531" s="327"/>
      <c r="D3531" s="328"/>
      <c r="E3531" s="23"/>
      <c r="F3531" s="329"/>
      <c r="G3531" s="23"/>
      <c r="H3531" s="23"/>
      <c r="I3531" s="330"/>
      <c r="J3531" s="330"/>
      <c r="K3531" s="23"/>
    </row>
    <row r="3532" spans="1:11" ht="12.75" x14ac:dyDescent="0.2">
      <c r="A3532" s="23"/>
      <c r="B3532" s="328"/>
      <c r="C3532" s="327"/>
      <c r="D3532" s="328"/>
      <c r="E3532" s="23"/>
      <c r="F3532" s="329"/>
      <c r="G3532" s="23"/>
      <c r="H3532" s="23"/>
      <c r="I3532" s="330"/>
      <c r="J3532" s="330"/>
      <c r="K3532" s="23"/>
    </row>
    <row r="3533" spans="1:11" ht="12.75" x14ac:dyDescent="0.2">
      <c r="A3533" s="23"/>
      <c r="B3533" s="328"/>
      <c r="C3533" s="327"/>
      <c r="D3533" s="328"/>
      <c r="E3533" s="23"/>
      <c r="F3533" s="329"/>
      <c r="G3533" s="23"/>
      <c r="H3533" s="23"/>
      <c r="I3533" s="330"/>
      <c r="J3533" s="330"/>
      <c r="K3533" s="23"/>
    </row>
    <row r="3534" spans="1:11" ht="12.75" x14ac:dyDescent="0.2">
      <c r="A3534" s="23"/>
      <c r="B3534" s="328"/>
      <c r="C3534" s="327"/>
      <c r="D3534" s="328"/>
      <c r="E3534" s="23"/>
      <c r="F3534" s="329"/>
      <c r="G3534" s="23"/>
      <c r="H3534" s="23"/>
      <c r="I3534" s="330"/>
      <c r="J3534" s="330"/>
      <c r="K3534" s="23"/>
    </row>
    <row r="3535" spans="1:11" ht="12.75" x14ac:dyDescent="0.2">
      <c r="A3535" s="23"/>
      <c r="B3535" s="328"/>
      <c r="C3535" s="327"/>
      <c r="D3535" s="328"/>
      <c r="E3535" s="23"/>
      <c r="F3535" s="329"/>
      <c r="G3535" s="23"/>
      <c r="H3535" s="23"/>
      <c r="I3535" s="330"/>
      <c r="J3535" s="330"/>
      <c r="K3535" s="23"/>
    </row>
    <row r="3536" spans="1:11" ht="12.75" x14ac:dyDescent="0.2">
      <c r="A3536" s="23"/>
      <c r="B3536" s="328"/>
      <c r="C3536" s="327"/>
      <c r="D3536" s="328"/>
      <c r="E3536" s="23"/>
      <c r="F3536" s="329"/>
      <c r="G3536" s="23"/>
      <c r="H3536" s="23"/>
      <c r="I3536" s="330"/>
      <c r="J3536" s="330"/>
      <c r="K3536" s="23"/>
    </row>
    <row r="3537" spans="1:11" ht="12.75" x14ac:dyDescent="0.2">
      <c r="A3537" s="23"/>
      <c r="B3537" s="328"/>
      <c r="C3537" s="327"/>
      <c r="D3537" s="328"/>
      <c r="E3537" s="23"/>
      <c r="F3537" s="329"/>
      <c r="G3537" s="23"/>
      <c r="H3537" s="23"/>
      <c r="I3537" s="330"/>
      <c r="J3537" s="330"/>
      <c r="K3537" s="23"/>
    </row>
    <row r="3538" spans="1:11" ht="12.75" x14ac:dyDescent="0.2">
      <c r="A3538" s="23"/>
      <c r="B3538" s="328"/>
      <c r="C3538" s="327"/>
      <c r="D3538" s="328"/>
      <c r="E3538" s="23"/>
      <c r="F3538" s="329"/>
      <c r="G3538" s="23"/>
      <c r="H3538" s="23"/>
      <c r="I3538" s="330"/>
      <c r="J3538" s="330"/>
      <c r="K3538" s="23"/>
    </row>
    <row r="3539" spans="1:11" ht="12.75" x14ac:dyDescent="0.2">
      <c r="A3539" s="23"/>
      <c r="B3539" s="328"/>
      <c r="C3539" s="327"/>
      <c r="D3539" s="328"/>
      <c r="E3539" s="23"/>
      <c r="F3539" s="329"/>
      <c r="G3539" s="23"/>
      <c r="H3539" s="23"/>
      <c r="I3539" s="330"/>
      <c r="J3539" s="330"/>
      <c r="K3539" s="23"/>
    </row>
    <row r="3540" spans="1:11" ht="12.75" x14ac:dyDescent="0.2">
      <c r="A3540" s="23"/>
      <c r="B3540" s="328"/>
      <c r="C3540" s="327"/>
      <c r="D3540" s="328"/>
      <c r="E3540" s="23"/>
      <c r="F3540" s="329"/>
      <c r="G3540" s="23"/>
      <c r="H3540" s="23"/>
      <c r="I3540" s="330"/>
      <c r="J3540" s="330"/>
      <c r="K3540" s="23"/>
    </row>
    <row r="3541" spans="1:11" ht="12.75" x14ac:dyDescent="0.2">
      <c r="A3541" s="23"/>
      <c r="B3541" s="328"/>
      <c r="C3541" s="327"/>
      <c r="D3541" s="328"/>
      <c r="E3541" s="23"/>
      <c r="F3541" s="329"/>
      <c r="G3541" s="23"/>
      <c r="H3541" s="23"/>
      <c r="I3541" s="330"/>
      <c r="J3541" s="330"/>
      <c r="K3541" s="23"/>
    </row>
    <row r="3542" spans="1:11" ht="12.75" x14ac:dyDescent="0.2">
      <c r="A3542" s="23"/>
      <c r="B3542" s="328"/>
      <c r="C3542" s="327"/>
      <c r="D3542" s="328"/>
      <c r="E3542" s="23"/>
      <c r="F3542" s="329"/>
      <c r="G3542" s="23"/>
      <c r="H3542" s="23"/>
      <c r="I3542" s="330"/>
      <c r="J3542" s="330"/>
      <c r="K3542" s="23"/>
    </row>
    <row r="3543" spans="1:11" ht="12.75" x14ac:dyDescent="0.2">
      <c r="A3543" s="23"/>
      <c r="B3543" s="328"/>
      <c r="C3543" s="327"/>
      <c r="D3543" s="328"/>
      <c r="E3543" s="23"/>
      <c r="F3543" s="329"/>
      <c r="G3543" s="23"/>
      <c r="H3543" s="23"/>
      <c r="I3543" s="330"/>
      <c r="J3543" s="330"/>
      <c r="K3543" s="23"/>
    </row>
    <row r="3544" spans="1:11" ht="12.75" x14ac:dyDescent="0.2">
      <c r="A3544" s="23"/>
      <c r="B3544" s="328"/>
      <c r="C3544" s="327"/>
      <c r="D3544" s="328"/>
      <c r="E3544" s="23"/>
      <c r="F3544" s="329"/>
      <c r="G3544" s="23"/>
      <c r="H3544" s="23"/>
      <c r="I3544" s="330"/>
      <c r="J3544" s="330"/>
      <c r="K3544" s="23"/>
    </row>
    <row r="3545" spans="1:11" ht="12.75" x14ac:dyDescent="0.2">
      <c r="A3545" s="23"/>
      <c r="B3545" s="328"/>
      <c r="C3545" s="327"/>
      <c r="D3545" s="328"/>
      <c r="E3545" s="23"/>
      <c r="F3545" s="329"/>
      <c r="G3545" s="23"/>
      <c r="H3545" s="23"/>
      <c r="I3545" s="330"/>
      <c r="J3545" s="330"/>
      <c r="K3545" s="23"/>
    </row>
    <row r="3546" spans="1:11" ht="12.75" x14ac:dyDescent="0.2">
      <c r="A3546" s="23"/>
      <c r="B3546" s="328"/>
      <c r="C3546" s="327"/>
      <c r="D3546" s="328"/>
      <c r="E3546" s="23"/>
      <c r="F3546" s="329"/>
      <c r="G3546" s="23"/>
      <c r="H3546" s="23"/>
      <c r="I3546" s="330"/>
      <c r="J3546" s="330"/>
      <c r="K3546" s="23"/>
    </row>
    <row r="3547" spans="1:11" ht="12.75" x14ac:dyDescent="0.2">
      <c r="A3547" s="23"/>
      <c r="B3547" s="328"/>
      <c r="C3547" s="327"/>
      <c r="D3547" s="328"/>
      <c r="E3547" s="23"/>
      <c r="F3547" s="329"/>
      <c r="G3547" s="23"/>
      <c r="H3547" s="23"/>
      <c r="I3547" s="330"/>
      <c r="J3547" s="330"/>
      <c r="K3547" s="23"/>
    </row>
    <row r="3548" spans="1:11" ht="12.75" x14ac:dyDescent="0.2">
      <c r="A3548" s="23"/>
      <c r="B3548" s="328"/>
      <c r="C3548" s="327"/>
      <c r="D3548" s="328"/>
      <c r="E3548" s="23"/>
      <c r="F3548" s="329"/>
      <c r="G3548" s="23"/>
      <c r="H3548" s="23"/>
      <c r="I3548" s="330"/>
      <c r="J3548" s="330"/>
      <c r="K3548" s="23"/>
    </row>
    <row r="3549" spans="1:11" ht="12.75" x14ac:dyDescent="0.2">
      <c r="A3549" s="23"/>
      <c r="B3549" s="328"/>
      <c r="C3549" s="327"/>
      <c r="D3549" s="328"/>
      <c r="E3549" s="23"/>
      <c r="F3549" s="329"/>
      <c r="G3549" s="23"/>
      <c r="H3549" s="23"/>
      <c r="I3549" s="330"/>
      <c r="J3549" s="330"/>
      <c r="K3549" s="23"/>
    </row>
    <row r="3550" spans="1:11" ht="12.75" x14ac:dyDescent="0.2">
      <c r="A3550" s="23"/>
      <c r="B3550" s="328"/>
      <c r="C3550" s="327"/>
      <c r="D3550" s="328"/>
      <c r="E3550" s="23"/>
      <c r="F3550" s="329"/>
      <c r="G3550" s="23"/>
      <c r="H3550" s="23"/>
      <c r="I3550" s="330"/>
      <c r="J3550" s="330"/>
      <c r="K3550" s="23"/>
    </row>
    <row r="3551" spans="1:11" ht="12.75" x14ac:dyDescent="0.2">
      <c r="A3551" s="23"/>
      <c r="B3551" s="328"/>
      <c r="C3551" s="327"/>
      <c r="D3551" s="328"/>
      <c r="E3551" s="23"/>
      <c r="F3551" s="329"/>
      <c r="G3551" s="23"/>
      <c r="H3551" s="23"/>
      <c r="I3551" s="330"/>
      <c r="J3551" s="330"/>
      <c r="K3551" s="23"/>
    </row>
    <row r="3552" spans="1:11" ht="12.75" x14ac:dyDescent="0.2">
      <c r="A3552" s="23"/>
      <c r="B3552" s="328"/>
      <c r="C3552" s="327"/>
      <c r="D3552" s="328"/>
      <c r="E3552" s="23"/>
      <c r="F3552" s="329"/>
      <c r="G3552" s="23"/>
      <c r="H3552" s="23"/>
      <c r="I3552" s="330"/>
      <c r="J3552" s="330"/>
      <c r="K3552" s="23"/>
    </row>
    <row r="3553" spans="1:11" ht="12.75" x14ac:dyDescent="0.2">
      <c r="A3553" s="23"/>
      <c r="B3553" s="328"/>
      <c r="C3553" s="327"/>
      <c r="D3553" s="328"/>
      <c r="E3553" s="23"/>
      <c r="F3553" s="329"/>
      <c r="G3553" s="23"/>
      <c r="H3553" s="23"/>
      <c r="I3553" s="330"/>
      <c r="J3553" s="330"/>
      <c r="K3553" s="23"/>
    </row>
    <row r="3554" spans="1:11" ht="12.75" x14ac:dyDescent="0.2">
      <c r="A3554" s="23"/>
      <c r="B3554" s="328"/>
      <c r="C3554" s="327"/>
      <c r="D3554" s="328"/>
      <c r="E3554" s="23"/>
      <c r="F3554" s="329"/>
      <c r="G3554" s="23"/>
      <c r="H3554" s="23"/>
      <c r="I3554" s="330"/>
      <c r="J3554" s="330"/>
      <c r="K3554" s="23"/>
    </row>
    <row r="3555" spans="1:11" ht="12.75" x14ac:dyDescent="0.2">
      <c r="A3555" s="23"/>
      <c r="B3555" s="328"/>
      <c r="C3555" s="327"/>
      <c r="D3555" s="328"/>
      <c r="E3555" s="23"/>
      <c r="F3555" s="329"/>
      <c r="G3555" s="23"/>
      <c r="H3555" s="23"/>
      <c r="I3555" s="330"/>
      <c r="J3555" s="330"/>
      <c r="K3555" s="23"/>
    </row>
    <row r="3556" spans="1:11" ht="12.75" x14ac:dyDescent="0.2">
      <c r="A3556" s="23"/>
      <c r="B3556" s="328"/>
      <c r="C3556" s="327"/>
      <c r="D3556" s="328"/>
      <c r="E3556" s="23"/>
      <c r="F3556" s="329"/>
      <c r="G3556" s="23"/>
      <c r="H3556" s="23"/>
      <c r="I3556" s="330"/>
      <c r="J3556" s="330"/>
      <c r="K3556" s="23"/>
    </row>
    <row r="3557" spans="1:11" ht="12.75" x14ac:dyDescent="0.2">
      <c r="A3557" s="23"/>
      <c r="B3557" s="328"/>
      <c r="C3557" s="327"/>
      <c r="D3557" s="328"/>
      <c r="E3557" s="23"/>
      <c r="F3557" s="329"/>
      <c r="G3557" s="23"/>
      <c r="H3557" s="23"/>
      <c r="I3557" s="330"/>
      <c r="J3557" s="330"/>
      <c r="K3557" s="23"/>
    </row>
    <row r="3558" spans="1:11" ht="12.75" x14ac:dyDescent="0.2">
      <c r="A3558" s="23"/>
      <c r="B3558" s="328"/>
      <c r="C3558" s="327"/>
      <c r="D3558" s="328"/>
      <c r="E3558" s="23"/>
      <c r="F3558" s="329"/>
      <c r="G3558" s="23"/>
      <c r="H3558" s="23"/>
      <c r="I3558" s="330"/>
      <c r="J3558" s="330"/>
      <c r="K3558" s="23"/>
    </row>
    <row r="3559" spans="1:11" ht="12.75" x14ac:dyDescent="0.2">
      <c r="A3559" s="23"/>
      <c r="B3559" s="328"/>
      <c r="C3559" s="327"/>
      <c r="D3559" s="328"/>
      <c r="E3559" s="23"/>
      <c r="F3559" s="329"/>
      <c r="G3559" s="23"/>
      <c r="H3559" s="23"/>
      <c r="I3559" s="330"/>
      <c r="J3559" s="330"/>
      <c r="K3559" s="23"/>
    </row>
    <row r="3560" spans="1:11" ht="12.75" x14ac:dyDescent="0.2">
      <c r="A3560" s="23"/>
      <c r="B3560" s="328"/>
      <c r="C3560" s="327"/>
      <c r="D3560" s="328"/>
      <c r="E3560" s="23"/>
      <c r="F3560" s="329"/>
      <c r="G3560" s="23"/>
      <c r="H3560" s="23"/>
      <c r="I3560" s="330"/>
      <c r="J3560" s="330"/>
      <c r="K3560" s="23"/>
    </row>
    <row r="3561" spans="1:11" ht="12.75" x14ac:dyDescent="0.2">
      <c r="A3561" s="23"/>
      <c r="B3561" s="328"/>
      <c r="C3561" s="327"/>
      <c r="D3561" s="328"/>
      <c r="E3561" s="23"/>
      <c r="F3561" s="329"/>
      <c r="G3561" s="23"/>
      <c r="H3561" s="23"/>
      <c r="I3561" s="330"/>
      <c r="J3561" s="330"/>
      <c r="K3561" s="23"/>
    </row>
    <row r="3562" spans="1:11" ht="12.75" x14ac:dyDescent="0.2">
      <c r="A3562" s="23"/>
      <c r="B3562" s="328"/>
      <c r="C3562" s="327"/>
      <c r="D3562" s="328"/>
      <c r="E3562" s="23"/>
      <c r="F3562" s="329"/>
      <c r="G3562" s="23"/>
      <c r="H3562" s="23"/>
      <c r="I3562" s="330"/>
      <c r="J3562" s="330"/>
      <c r="K3562" s="23"/>
    </row>
    <row r="3563" spans="1:11" ht="12.75" x14ac:dyDescent="0.2">
      <c r="A3563" s="23"/>
      <c r="B3563" s="328"/>
      <c r="C3563" s="327"/>
      <c r="D3563" s="328"/>
      <c r="E3563" s="23"/>
      <c r="F3563" s="329"/>
      <c r="G3563" s="23"/>
      <c r="H3563" s="23"/>
      <c r="I3563" s="330"/>
      <c r="J3563" s="330"/>
      <c r="K3563" s="23"/>
    </row>
    <row r="3564" spans="1:11" ht="12.75" x14ac:dyDescent="0.2">
      <c r="A3564" s="23"/>
      <c r="B3564" s="328"/>
      <c r="C3564" s="327"/>
      <c r="D3564" s="328"/>
      <c r="E3564" s="23"/>
      <c r="F3564" s="329"/>
      <c r="G3564" s="23"/>
      <c r="H3564" s="23"/>
      <c r="I3564" s="330"/>
      <c r="J3564" s="330"/>
      <c r="K3564" s="23"/>
    </row>
    <row r="3565" spans="1:11" ht="12.75" x14ac:dyDescent="0.2">
      <c r="A3565" s="23"/>
      <c r="B3565" s="328"/>
      <c r="C3565" s="327"/>
      <c r="D3565" s="328"/>
      <c r="E3565" s="23"/>
      <c r="F3565" s="329"/>
      <c r="G3565" s="23"/>
      <c r="H3565" s="23"/>
      <c r="I3565" s="330"/>
      <c r="J3565" s="330"/>
      <c r="K3565" s="23"/>
    </row>
    <row r="3566" spans="1:11" ht="12.75" x14ac:dyDescent="0.2">
      <c r="A3566" s="23"/>
      <c r="B3566" s="328"/>
      <c r="C3566" s="327"/>
      <c r="D3566" s="328"/>
      <c r="E3566" s="23"/>
      <c r="F3566" s="329"/>
      <c r="G3566" s="23"/>
      <c r="H3566" s="23"/>
      <c r="I3566" s="330"/>
      <c r="J3566" s="330"/>
      <c r="K3566" s="23"/>
    </row>
    <row r="3567" spans="1:11" ht="12.75" x14ac:dyDescent="0.2">
      <c r="A3567" s="23"/>
      <c r="B3567" s="328"/>
      <c r="C3567" s="327"/>
      <c r="D3567" s="328"/>
      <c r="E3567" s="23"/>
      <c r="F3567" s="329"/>
      <c r="G3567" s="23"/>
      <c r="H3567" s="23"/>
      <c r="I3567" s="330"/>
      <c r="J3567" s="330"/>
      <c r="K3567" s="23"/>
    </row>
    <row r="3568" spans="1:11" ht="12.75" x14ac:dyDescent="0.2">
      <c r="A3568" s="23"/>
      <c r="B3568" s="328"/>
      <c r="C3568" s="327"/>
      <c r="D3568" s="328"/>
      <c r="E3568" s="23"/>
      <c r="F3568" s="329"/>
      <c r="G3568" s="23"/>
      <c r="H3568" s="23"/>
      <c r="I3568" s="330"/>
      <c r="J3568" s="330"/>
      <c r="K3568" s="23"/>
    </row>
    <row r="3569" spans="1:11" ht="12.75" x14ac:dyDescent="0.2">
      <c r="A3569" s="23"/>
      <c r="B3569" s="328"/>
      <c r="C3569" s="327"/>
      <c r="D3569" s="328"/>
      <c r="E3569" s="23"/>
      <c r="F3569" s="329"/>
      <c r="G3569" s="23"/>
      <c r="H3569" s="23"/>
      <c r="I3569" s="330"/>
      <c r="J3569" s="330"/>
      <c r="K3569" s="23"/>
    </row>
    <row r="3570" spans="1:11" ht="12.75" x14ac:dyDescent="0.2">
      <c r="A3570" s="23"/>
      <c r="B3570" s="328"/>
      <c r="C3570" s="327"/>
      <c r="D3570" s="328"/>
      <c r="E3570" s="23"/>
      <c r="F3570" s="329"/>
      <c r="G3570" s="23"/>
      <c r="H3570" s="23"/>
      <c r="I3570" s="330"/>
      <c r="J3570" s="330"/>
      <c r="K3570" s="23"/>
    </row>
    <row r="3571" spans="1:11" ht="12.75" x14ac:dyDescent="0.2">
      <c r="A3571" s="23"/>
      <c r="B3571" s="328"/>
      <c r="C3571" s="327"/>
      <c r="D3571" s="328"/>
      <c r="E3571" s="23"/>
      <c r="F3571" s="329"/>
      <c r="G3571" s="23"/>
      <c r="H3571" s="23"/>
      <c r="I3571" s="330"/>
      <c r="J3571" s="330"/>
      <c r="K3571" s="23"/>
    </row>
    <row r="3572" spans="1:11" ht="12.75" x14ac:dyDescent="0.2">
      <c r="A3572" s="23"/>
      <c r="B3572" s="328"/>
      <c r="C3572" s="327"/>
      <c r="D3572" s="328"/>
      <c r="E3572" s="23"/>
      <c r="F3572" s="329"/>
      <c r="G3572" s="23"/>
      <c r="H3572" s="23"/>
      <c r="I3572" s="330"/>
      <c r="J3572" s="330"/>
      <c r="K3572" s="23"/>
    </row>
    <row r="3573" spans="1:11" ht="12.75" x14ac:dyDescent="0.2">
      <c r="A3573" s="23"/>
      <c r="B3573" s="328"/>
      <c r="C3573" s="327"/>
      <c r="D3573" s="328"/>
      <c r="E3573" s="23"/>
      <c r="F3573" s="329"/>
      <c r="G3573" s="23"/>
      <c r="H3573" s="23"/>
      <c r="I3573" s="330"/>
      <c r="J3573" s="330"/>
      <c r="K3573" s="23"/>
    </row>
    <row r="3574" spans="1:11" ht="12.75" x14ac:dyDescent="0.2">
      <c r="A3574" s="23"/>
      <c r="B3574" s="328"/>
      <c r="C3574" s="327"/>
      <c r="D3574" s="328"/>
      <c r="E3574" s="23"/>
      <c r="F3574" s="329"/>
      <c r="G3574" s="23"/>
      <c r="H3574" s="23"/>
      <c r="I3574" s="330"/>
      <c r="J3574" s="330"/>
      <c r="K3574" s="23"/>
    </row>
    <row r="3575" spans="1:11" ht="12.75" x14ac:dyDescent="0.2">
      <c r="A3575" s="23"/>
      <c r="B3575" s="328"/>
      <c r="C3575" s="327"/>
      <c r="D3575" s="328"/>
      <c r="E3575" s="23"/>
      <c r="F3575" s="329"/>
      <c r="G3575" s="23"/>
      <c r="H3575" s="23"/>
      <c r="I3575" s="330"/>
      <c r="J3575" s="330"/>
      <c r="K3575" s="23"/>
    </row>
    <row r="3576" spans="1:11" ht="12.75" x14ac:dyDescent="0.2">
      <c r="A3576" s="23"/>
      <c r="B3576" s="328"/>
      <c r="C3576" s="327"/>
      <c r="D3576" s="328"/>
      <c r="E3576" s="23"/>
      <c r="F3576" s="329"/>
      <c r="G3576" s="23"/>
      <c r="H3576" s="23"/>
      <c r="I3576" s="330"/>
      <c r="J3576" s="330"/>
      <c r="K3576" s="23"/>
    </row>
    <row r="3577" spans="1:11" ht="12.75" x14ac:dyDescent="0.2">
      <c r="A3577" s="23"/>
      <c r="B3577" s="328"/>
      <c r="C3577" s="327"/>
      <c r="D3577" s="328"/>
      <c r="E3577" s="23"/>
      <c r="F3577" s="329"/>
      <c r="G3577" s="23"/>
      <c r="H3577" s="23"/>
      <c r="I3577" s="330"/>
      <c r="J3577" s="330"/>
      <c r="K3577" s="23"/>
    </row>
    <row r="3578" spans="1:11" ht="12.75" x14ac:dyDescent="0.2">
      <c r="A3578" s="23"/>
      <c r="B3578" s="328"/>
      <c r="C3578" s="327"/>
      <c r="D3578" s="328"/>
      <c r="E3578" s="23"/>
      <c r="F3578" s="329"/>
      <c r="G3578" s="23"/>
      <c r="H3578" s="23"/>
      <c r="I3578" s="330"/>
      <c r="J3578" s="330"/>
      <c r="K3578" s="23"/>
    </row>
    <row r="3579" spans="1:11" ht="12.75" x14ac:dyDescent="0.2">
      <c r="A3579" s="23"/>
      <c r="B3579" s="328"/>
      <c r="C3579" s="327"/>
      <c r="D3579" s="328"/>
      <c r="E3579" s="23"/>
      <c r="F3579" s="329"/>
      <c r="G3579" s="23"/>
      <c r="H3579" s="23"/>
      <c r="I3579" s="330"/>
      <c r="J3579" s="330"/>
      <c r="K3579" s="23"/>
    </row>
    <row r="3580" spans="1:11" ht="12.75" x14ac:dyDescent="0.2">
      <c r="A3580" s="23"/>
      <c r="B3580" s="328"/>
      <c r="C3580" s="327"/>
      <c r="D3580" s="328"/>
      <c r="E3580" s="23"/>
      <c r="F3580" s="329"/>
      <c r="G3580" s="23"/>
      <c r="H3580" s="23"/>
      <c r="I3580" s="330"/>
      <c r="J3580" s="330"/>
      <c r="K3580" s="23"/>
    </row>
    <row r="3581" spans="1:11" ht="12.75" x14ac:dyDescent="0.2">
      <c r="A3581" s="23"/>
      <c r="B3581" s="328"/>
      <c r="C3581" s="327"/>
      <c r="D3581" s="328"/>
      <c r="E3581" s="23"/>
      <c r="F3581" s="329"/>
      <c r="G3581" s="23"/>
      <c r="H3581" s="23"/>
      <c r="I3581" s="330"/>
      <c r="J3581" s="330"/>
      <c r="K3581" s="23"/>
    </row>
    <row r="3582" spans="1:11" ht="12.75" x14ac:dyDescent="0.2">
      <c r="A3582" s="23"/>
      <c r="B3582" s="328"/>
      <c r="C3582" s="327"/>
      <c r="D3582" s="328"/>
      <c r="E3582" s="23"/>
      <c r="F3582" s="329"/>
      <c r="G3582" s="23"/>
      <c r="H3582" s="23"/>
      <c r="I3582" s="330"/>
      <c r="J3582" s="330"/>
      <c r="K3582" s="23"/>
    </row>
    <row r="3583" spans="1:11" ht="12.75" x14ac:dyDescent="0.2">
      <c r="A3583" s="23"/>
      <c r="B3583" s="328"/>
      <c r="C3583" s="327"/>
      <c r="D3583" s="328"/>
      <c r="E3583" s="23"/>
      <c r="F3583" s="329"/>
      <c r="G3583" s="23"/>
      <c r="H3583" s="23"/>
      <c r="I3583" s="330"/>
      <c r="J3583" s="330"/>
      <c r="K3583" s="23"/>
    </row>
    <row r="3584" spans="1:11" ht="12.75" x14ac:dyDescent="0.2">
      <c r="A3584" s="23"/>
      <c r="B3584" s="328"/>
      <c r="C3584" s="327"/>
      <c r="D3584" s="328"/>
      <c r="E3584" s="23"/>
      <c r="F3584" s="329"/>
      <c r="G3584" s="23"/>
      <c r="H3584" s="23"/>
      <c r="I3584" s="330"/>
      <c r="J3584" s="330"/>
      <c r="K3584" s="23"/>
    </row>
    <row r="3585" spans="1:11" ht="12.75" x14ac:dyDescent="0.2">
      <c r="A3585" s="23"/>
      <c r="B3585" s="328"/>
      <c r="C3585" s="327"/>
      <c r="D3585" s="328"/>
      <c r="E3585" s="23"/>
      <c r="F3585" s="329"/>
      <c r="G3585" s="23"/>
      <c r="H3585" s="23"/>
      <c r="I3585" s="330"/>
      <c r="J3585" s="330"/>
      <c r="K3585" s="23"/>
    </row>
    <row r="3586" spans="1:11" ht="12.75" x14ac:dyDescent="0.2">
      <c r="A3586" s="23"/>
      <c r="B3586" s="328"/>
      <c r="C3586" s="327"/>
      <c r="D3586" s="328"/>
      <c r="E3586" s="23"/>
      <c r="F3586" s="329"/>
      <c r="G3586" s="23"/>
      <c r="H3586" s="23"/>
      <c r="I3586" s="330"/>
      <c r="J3586" s="330"/>
      <c r="K3586" s="23"/>
    </row>
    <row r="3587" spans="1:11" ht="12.75" x14ac:dyDescent="0.2">
      <c r="A3587" s="23"/>
      <c r="B3587" s="328"/>
      <c r="C3587" s="327"/>
      <c r="D3587" s="328"/>
      <c r="E3587" s="23"/>
      <c r="F3587" s="329"/>
      <c r="G3587" s="23"/>
      <c r="H3587" s="23"/>
      <c r="I3587" s="330"/>
      <c r="J3587" s="330"/>
      <c r="K3587" s="23"/>
    </row>
    <row r="3588" spans="1:11" ht="12.75" x14ac:dyDescent="0.2">
      <c r="A3588" s="23"/>
      <c r="B3588" s="328"/>
      <c r="C3588" s="327"/>
      <c r="D3588" s="328"/>
      <c r="E3588" s="23"/>
      <c r="F3588" s="329"/>
      <c r="G3588" s="23"/>
      <c r="H3588" s="23"/>
      <c r="I3588" s="330"/>
      <c r="J3588" s="330"/>
      <c r="K3588" s="23"/>
    </row>
    <row r="3589" spans="1:11" ht="12.75" x14ac:dyDescent="0.2">
      <c r="A3589" s="23"/>
      <c r="B3589" s="328"/>
      <c r="C3589" s="327"/>
      <c r="D3589" s="328"/>
      <c r="E3589" s="23"/>
      <c r="F3589" s="329"/>
      <c r="G3589" s="23"/>
      <c r="H3589" s="23"/>
      <c r="I3589" s="330"/>
      <c r="J3589" s="330"/>
      <c r="K3589" s="23"/>
    </row>
    <row r="3590" spans="1:11" ht="12.75" x14ac:dyDescent="0.2">
      <c r="A3590" s="23"/>
      <c r="B3590" s="328"/>
      <c r="C3590" s="327"/>
      <c r="D3590" s="328"/>
      <c r="E3590" s="23"/>
      <c r="F3590" s="329"/>
      <c r="G3590" s="23"/>
      <c r="H3590" s="23"/>
      <c r="I3590" s="330"/>
      <c r="J3590" s="330"/>
      <c r="K3590" s="23"/>
    </row>
    <row r="3591" spans="1:11" ht="12.75" x14ac:dyDescent="0.2">
      <c r="A3591" s="23"/>
      <c r="B3591" s="328"/>
      <c r="C3591" s="327"/>
      <c r="D3591" s="328"/>
      <c r="E3591" s="23"/>
      <c r="F3591" s="329"/>
      <c r="G3591" s="23"/>
      <c r="H3591" s="23"/>
      <c r="I3591" s="330"/>
      <c r="J3591" s="330"/>
      <c r="K3591" s="23"/>
    </row>
    <row r="3592" spans="1:11" ht="12.75" x14ac:dyDescent="0.2">
      <c r="A3592" s="23"/>
      <c r="B3592" s="328"/>
      <c r="C3592" s="327"/>
      <c r="D3592" s="328"/>
      <c r="E3592" s="23"/>
      <c r="F3592" s="329"/>
      <c r="G3592" s="23"/>
      <c r="H3592" s="23"/>
      <c r="I3592" s="330"/>
      <c r="J3592" s="330"/>
      <c r="K3592" s="23"/>
    </row>
    <row r="3593" spans="1:11" ht="12.75" x14ac:dyDescent="0.2">
      <c r="A3593" s="23"/>
      <c r="B3593" s="328"/>
      <c r="C3593" s="327"/>
      <c r="D3593" s="328"/>
      <c r="E3593" s="23"/>
      <c r="F3593" s="329"/>
      <c r="G3593" s="23"/>
      <c r="H3593" s="23"/>
      <c r="I3593" s="330"/>
      <c r="J3593" s="330"/>
      <c r="K3593" s="23"/>
    </row>
    <row r="3594" spans="1:11" ht="12.75" x14ac:dyDescent="0.2">
      <c r="A3594" s="23"/>
      <c r="B3594" s="328"/>
      <c r="C3594" s="327"/>
      <c r="D3594" s="328"/>
      <c r="E3594" s="23"/>
      <c r="F3594" s="329"/>
      <c r="G3594" s="23"/>
      <c r="H3594" s="23"/>
      <c r="I3594" s="330"/>
      <c r="J3594" s="330"/>
      <c r="K3594" s="23"/>
    </row>
    <row r="3595" spans="1:11" ht="12.75" x14ac:dyDescent="0.2">
      <c r="A3595" s="23"/>
      <c r="B3595" s="328"/>
      <c r="C3595" s="327"/>
      <c r="D3595" s="328"/>
      <c r="E3595" s="23"/>
      <c r="F3595" s="329"/>
      <c r="G3595" s="23"/>
      <c r="H3595" s="23"/>
      <c r="I3595" s="330"/>
      <c r="J3595" s="330"/>
      <c r="K3595" s="23"/>
    </row>
    <row r="3596" spans="1:11" ht="12.75" x14ac:dyDescent="0.2">
      <c r="A3596" s="23"/>
      <c r="B3596" s="328"/>
      <c r="C3596" s="327"/>
      <c r="D3596" s="328"/>
      <c r="E3596" s="23"/>
      <c r="F3596" s="329"/>
      <c r="G3596" s="23"/>
      <c r="H3596" s="23"/>
      <c r="I3596" s="330"/>
      <c r="J3596" s="330"/>
      <c r="K3596" s="23"/>
    </row>
    <row r="3597" spans="1:11" ht="12.75" x14ac:dyDescent="0.2">
      <c r="A3597" s="23"/>
      <c r="B3597" s="328"/>
      <c r="C3597" s="327"/>
      <c r="D3597" s="328"/>
      <c r="E3597" s="23"/>
      <c r="F3597" s="329"/>
      <c r="G3597" s="23"/>
      <c r="H3597" s="23"/>
      <c r="I3597" s="330"/>
      <c r="J3597" s="330"/>
      <c r="K3597" s="23"/>
    </row>
    <row r="3598" spans="1:11" ht="12.75" x14ac:dyDescent="0.2">
      <c r="A3598" s="23"/>
      <c r="B3598" s="328"/>
      <c r="C3598" s="327"/>
      <c r="D3598" s="328"/>
      <c r="E3598" s="23"/>
      <c r="F3598" s="329"/>
      <c r="G3598" s="23"/>
      <c r="H3598" s="23"/>
      <c r="I3598" s="330"/>
      <c r="J3598" s="330"/>
      <c r="K3598" s="23"/>
    </row>
    <row r="3599" spans="1:11" ht="12.75" x14ac:dyDescent="0.2">
      <c r="A3599" s="23"/>
      <c r="B3599" s="328"/>
      <c r="C3599" s="327"/>
      <c r="D3599" s="328"/>
      <c r="E3599" s="23"/>
      <c r="F3599" s="329"/>
      <c r="G3599" s="23"/>
      <c r="H3599" s="23"/>
      <c r="I3599" s="330"/>
      <c r="J3599" s="330"/>
      <c r="K3599" s="23"/>
    </row>
    <row r="3600" spans="1:11" ht="12.75" x14ac:dyDescent="0.2">
      <c r="A3600" s="23"/>
      <c r="B3600" s="328"/>
      <c r="C3600" s="327"/>
      <c r="D3600" s="328"/>
      <c r="E3600" s="23"/>
      <c r="F3600" s="329"/>
      <c r="G3600" s="23"/>
      <c r="H3600" s="23"/>
      <c r="I3600" s="330"/>
      <c r="J3600" s="330"/>
      <c r="K3600" s="23"/>
    </row>
    <row r="3601" spans="1:11" ht="12.75" x14ac:dyDescent="0.2">
      <c r="A3601" s="23"/>
      <c r="B3601" s="328"/>
      <c r="C3601" s="327"/>
      <c r="D3601" s="328"/>
      <c r="E3601" s="23"/>
      <c r="F3601" s="329"/>
      <c r="G3601" s="23"/>
      <c r="H3601" s="23"/>
      <c r="I3601" s="330"/>
      <c r="J3601" s="330"/>
      <c r="K3601" s="23"/>
    </row>
    <row r="3602" spans="1:11" ht="12.75" x14ac:dyDescent="0.2">
      <c r="A3602" s="23"/>
      <c r="B3602" s="328"/>
      <c r="C3602" s="327"/>
      <c r="D3602" s="328"/>
      <c r="E3602" s="23"/>
      <c r="F3602" s="329"/>
      <c r="G3602" s="23"/>
      <c r="H3602" s="23"/>
      <c r="I3602" s="330"/>
      <c r="J3602" s="330"/>
      <c r="K3602" s="23"/>
    </row>
    <row r="3603" spans="1:11" ht="12.75" x14ac:dyDescent="0.2">
      <c r="A3603" s="23"/>
      <c r="B3603" s="328"/>
      <c r="C3603" s="327"/>
      <c r="D3603" s="328"/>
      <c r="E3603" s="23"/>
      <c r="F3603" s="329"/>
      <c r="G3603" s="23"/>
      <c r="H3603" s="23"/>
      <c r="I3603" s="330"/>
      <c r="J3603" s="330"/>
      <c r="K3603" s="23"/>
    </row>
    <row r="3604" spans="1:11" ht="12.75" x14ac:dyDescent="0.2">
      <c r="A3604" s="23"/>
      <c r="B3604" s="328"/>
      <c r="C3604" s="327"/>
      <c r="D3604" s="328"/>
      <c r="E3604" s="23"/>
      <c r="F3604" s="329"/>
      <c r="G3604" s="23"/>
      <c r="H3604" s="23"/>
      <c r="I3604" s="330"/>
      <c r="J3604" s="330"/>
      <c r="K3604" s="23"/>
    </row>
    <row r="3605" spans="1:11" ht="12.75" x14ac:dyDescent="0.2">
      <c r="A3605" s="23"/>
      <c r="B3605" s="328"/>
      <c r="C3605" s="327"/>
      <c r="D3605" s="328"/>
      <c r="E3605" s="23"/>
      <c r="F3605" s="329"/>
      <c r="G3605" s="23"/>
      <c r="H3605" s="23"/>
      <c r="I3605" s="330"/>
      <c r="J3605" s="330"/>
      <c r="K3605" s="23"/>
    </row>
    <row r="3606" spans="1:11" ht="12.75" x14ac:dyDescent="0.2">
      <c r="A3606" s="23"/>
      <c r="B3606" s="328"/>
      <c r="C3606" s="327"/>
      <c r="D3606" s="328"/>
      <c r="E3606" s="23"/>
      <c r="F3606" s="329"/>
      <c r="G3606" s="23"/>
      <c r="H3606" s="23"/>
      <c r="I3606" s="330"/>
      <c r="J3606" s="330"/>
      <c r="K3606" s="23"/>
    </row>
    <row r="3607" spans="1:11" ht="12.75" x14ac:dyDescent="0.2">
      <c r="A3607" s="23"/>
      <c r="B3607" s="328"/>
      <c r="C3607" s="327"/>
      <c r="D3607" s="328"/>
      <c r="E3607" s="23"/>
      <c r="F3607" s="329"/>
      <c r="G3607" s="23"/>
      <c r="H3607" s="23"/>
      <c r="I3607" s="330"/>
      <c r="J3607" s="330"/>
      <c r="K3607" s="23"/>
    </row>
    <row r="3608" spans="1:11" ht="12.75" x14ac:dyDescent="0.2">
      <c r="A3608" s="23"/>
      <c r="B3608" s="328"/>
      <c r="C3608" s="327"/>
      <c r="D3608" s="328"/>
      <c r="E3608" s="23"/>
      <c r="F3608" s="329"/>
      <c r="G3608" s="23"/>
      <c r="H3608" s="23"/>
      <c r="I3608" s="330"/>
      <c r="J3608" s="330"/>
      <c r="K3608" s="23"/>
    </row>
    <row r="3609" spans="1:11" ht="12.75" x14ac:dyDescent="0.2">
      <c r="A3609" s="23"/>
      <c r="B3609" s="328"/>
      <c r="C3609" s="327"/>
      <c r="D3609" s="328"/>
      <c r="E3609" s="23"/>
      <c r="F3609" s="329"/>
      <c r="G3609" s="23"/>
      <c r="H3609" s="23"/>
      <c r="I3609" s="330"/>
      <c r="J3609" s="330"/>
      <c r="K3609" s="23"/>
    </row>
    <row r="3610" spans="1:11" ht="12.75" x14ac:dyDescent="0.2">
      <c r="A3610" s="23"/>
      <c r="B3610" s="328"/>
      <c r="C3610" s="327"/>
      <c r="D3610" s="328"/>
      <c r="E3610" s="23"/>
      <c r="F3610" s="329"/>
      <c r="G3610" s="23"/>
      <c r="H3610" s="23"/>
      <c r="I3610" s="330"/>
      <c r="J3610" s="330"/>
      <c r="K3610" s="23"/>
    </row>
    <row r="3611" spans="1:11" ht="12.75" x14ac:dyDescent="0.2">
      <c r="A3611" s="23"/>
      <c r="B3611" s="328"/>
      <c r="C3611" s="327"/>
      <c r="D3611" s="328"/>
      <c r="E3611" s="23"/>
      <c r="F3611" s="329"/>
      <c r="G3611" s="23"/>
      <c r="H3611" s="23"/>
      <c r="I3611" s="330"/>
      <c r="J3611" s="330"/>
      <c r="K3611" s="23"/>
    </row>
    <row r="3612" spans="1:11" ht="12.75" x14ac:dyDescent="0.2">
      <c r="A3612" s="23"/>
      <c r="B3612" s="328"/>
      <c r="C3612" s="327"/>
      <c r="D3612" s="328"/>
      <c r="E3612" s="23"/>
      <c r="F3612" s="329"/>
      <c r="G3612" s="23"/>
      <c r="H3612" s="23"/>
      <c r="I3612" s="330"/>
      <c r="J3612" s="330"/>
      <c r="K3612" s="23"/>
    </row>
    <row r="3613" spans="1:11" ht="12.75" x14ac:dyDescent="0.2">
      <c r="A3613" s="23"/>
      <c r="B3613" s="328"/>
      <c r="C3613" s="327"/>
      <c r="D3613" s="328"/>
      <c r="E3613" s="23"/>
      <c r="F3613" s="329"/>
      <c r="G3613" s="23"/>
      <c r="H3613" s="23"/>
      <c r="I3613" s="330"/>
      <c r="J3613" s="330"/>
      <c r="K3613" s="23"/>
    </row>
    <row r="3614" spans="1:11" ht="12.75" x14ac:dyDescent="0.2">
      <c r="A3614" s="23"/>
      <c r="B3614" s="328"/>
      <c r="C3614" s="327"/>
      <c r="D3614" s="328"/>
      <c r="E3614" s="23"/>
      <c r="F3614" s="329"/>
      <c r="G3614" s="23"/>
      <c r="H3614" s="23"/>
      <c r="I3614" s="330"/>
      <c r="J3614" s="330"/>
      <c r="K3614" s="23"/>
    </row>
    <row r="3615" spans="1:11" ht="12.75" x14ac:dyDescent="0.2">
      <c r="A3615" s="23"/>
      <c r="B3615" s="328"/>
      <c r="C3615" s="327"/>
      <c r="D3615" s="328"/>
      <c r="E3615" s="23"/>
      <c r="F3615" s="329"/>
      <c r="G3615" s="23"/>
      <c r="H3615" s="23"/>
      <c r="I3615" s="330"/>
      <c r="J3615" s="330"/>
      <c r="K3615" s="23"/>
    </row>
    <row r="3616" spans="1:11" ht="12.75" x14ac:dyDescent="0.2">
      <c r="A3616" s="23"/>
      <c r="B3616" s="328"/>
      <c r="C3616" s="327"/>
      <c r="D3616" s="328"/>
      <c r="E3616" s="23"/>
      <c r="F3616" s="329"/>
      <c r="G3616" s="23"/>
      <c r="H3616" s="23"/>
      <c r="I3616" s="330"/>
      <c r="J3616" s="330"/>
      <c r="K3616" s="23"/>
    </row>
    <row r="3617" spans="1:11" ht="12.75" x14ac:dyDescent="0.2">
      <c r="A3617" s="23"/>
      <c r="B3617" s="328"/>
      <c r="C3617" s="327"/>
      <c r="D3617" s="328"/>
      <c r="E3617" s="23"/>
      <c r="F3617" s="329"/>
      <c r="G3617" s="23"/>
      <c r="H3617" s="23"/>
      <c r="I3617" s="330"/>
      <c r="J3617" s="330"/>
      <c r="K3617" s="23"/>
    </row>
    <row r="3618" spans="1:11" ht="12.75" x14ac:dyDescent="0.2">
      <c r="A3618" s="23"/>
      <c r="B3618" s="328"/>
      <c r="C3618" s="327"/>
      <c r="D3618" s="328"/>
      <c r="E3618" s="23"/>
      <c r="F3618" s="329"/>
      <c r="G3618" s="23"/>
      <c r="H3618" s="23"/>
      <c r="I3618" s="330"/>
      <c r="J3618" s="330"/>
      <c r="K3618" s="23"/>
    </row>
    <row r="3619" spans="1:11" ht="12.75" x14ac:dyDescent="0.2">
      <c r="A3619" s="23"/>
      <c r="B3619" s="328"/>
      <c r="C3619" s="327"/>
      <c r="D3619" s="328"/>
      <c r="E3619" s="23"/>
      <c r="F3619" s="329"/>
      <c r="G3619" s="23"/>
      <c r="H3619" s="23"/>
      <c r="I3619" s="330"/>
      <c r="J3619" s="330"/>
      <c r="K3619" s="23"/>
    </row>
    <row r="3620" spans="1:11" ht="12.75" x14ac:dyDescent="0.2">
      <c r="A3620" s="23"/>
      <c r="B3620" s="328"/>
      <c r="C3620" s="327"/>
      <c r="D3620" s="328"/>
      <c r="E3620" s="23"/>
      <c r="F3620" s="329"/>
      <c r="G3620" s="23"/>
      <c r="H3620" s="23"/>
      <c r="I3620" s="330"/>
      <c r="J3620" s="330"/>
      <c r="K3620" s="23"/>
    </row>
    <row r="3621" spans="1:11" ht="12.75" x14ac:dyDescent="0.2">
      <c r="A3621" s="23"/>
      <c r="B3621" s="328"/>
      <c r="C3621" s="327"/>
      <c r="D3621" s="328"/>
      <c r="E3621" s="23"/>
      <c r="F3621" s="329"/>
      <c r="G3621" s="23"/>
      <c r="H3621" s="23"/>
      <c r="I3621" s="330"/>
      <c r="J3621" s="330"/>
      <c r="K3621" s="23"/>
    </row>
    <row r="3622" spans="1:11" ht="12.75" x14ac:dyDescent="0.2">
      <c r="A3622" s="23"/>
      <c r="B3622" s="328"/>
      <c r="C3622" s="327"/>
      <c r="D3622" s="328"/>
      <c r="E3622" s="23"/>
      <c r="F3622" s="329"/>
      <c r="G3622" s="23"/>
      <c r="H3622" s="23"/>
      <c r="I3622" s="330"/>
      <c r="J3622" s="330"/>
      <c r="K3622" s="23"/>
    </row>
    <row r="3623" spans="1:11" ht="12.75" x14ac:dyDescent="0.2">
      <c r="A3623" s="23"/>
      <c r="B3623" s="328"/>
      <c r="C3623" s="327"/>
      <c r="D3623" s="328"/>
      <c r="E3623" s="23"/>
      <c r="F3623" s="329"/>
      <c r="G3623" s="23"/>
      <c r="H3623" s="23"/>
      <c r="I3623" s="330"/>
      <c r="J3623" s="330"/>
      <c r="K3623" s="23"/>
    </row>
    <row r="3624" spans="1:11" ht="12.75" x14ac:dyDescent="0.2">
      <c r="A3624" s="23"/>
      <c r="B3624" s="328"/>
      <c r="C3624" s="327"/>
      <c r="D3624" s="328"/>
      <c r="E3624" s="23"/>
      <c r="F3624" s="329"/>
      <c r="G3624" s="23"/>
      <c r="H3624" s="23"/>
      <c r="I3624" s="330"/>
      <c r="J3624" s="330"/>
      <c r="K3624" s="23"/>
    </row>
    <row r="3625" spans="1:11" ht="12.75" x14ac:dyDescent="0.2">
      <c r="A3625" s="23"/>
      <c r="B3625" s="328"/>
      <c r="C3625" s="327"/>
      <c r="D3625" s="328"/>
      <c r="E3625" s="23"/>
      <c r="F3625" s="329"/>
      <c r="G3625" s="23"/>
      <c r="H3625" s="23"/>
      <c r="I3625" s="330"/>
      <c r="J3625" s="330"/>
      <c r="K3625" s="23"/>
    </row>
    <row r="3626" spans="1:11" ht="12.75" x14ac:dyDescent="0.2">
      <c r="A3626" s="23"/>
      <c r="B3626" s="328"/>
      <c r="C3626" s="327"/>
      <c r="D3626" s="328"/>
      <c r="E3626" s="23"/>
      <c r="F3626" s="329"/>
      <c r="G3626" s="23"/>
      <c r="H3626" s="23"/>
      <c r="I3626" s="330"/>
      <c r="J3626" s="330"/>
      <c r="K3626" s="23"/>
    </row>
    <row r="3627" spans="1:11" ht="12.75" x14ac:dyDescent="0.2">
      <c r="A3627" s="23"/>
      <c r="B3627" s="328"/>
      <c r="C3627" s="327"/>
      <c r="D3627" s="328"/>
      <c r="E3627" s="23"/>
      <c r="F3627" s="329"/>
      <c r="G3627" s="23"/>
      <c r="H3627" s="23"/>
      <c r="I3627" s="330"/>
      <c r="J3627" s="330"/>
      <c r="K3627" s="23"/>
    </row>
    <row r="3628" spans="1:11" ht="12.75" x14ac:dyDescent="0.2">
      <c r="A3628" s="23"/>
      <c r="B3628" s="328"/>
      <c r="C3628" s="327"/>
      <c r="D3628" s="328"/>
      <c r="E3628" s="23"/>
      <c r="F3628" s="329"/>
      <c r="G3628" s="23"/>
      <c r="H3628" s="23"/>
      <c r="I3628" s="330"/>
      <c r="J3628" s="330"/>
      <c r="K3628" s="23"/>
    </row>
    <row r="3629" spans="1:11" ht="12.75" x14ac:dyDescent="0.2">
      <c r="A3629" s="23"/>
      <c r="B3629" s="328"/>
      <c r="C3629" s="327"/>
      <c r="D3629" s="328"/>
      <c r="E3629" s="23"/>
      <c r="F3629" s="329"/>
      <c r="G3629" s="23"/>
      <c r="H3629" s="23"/>
      <c r="I3629" s="330"/>
      <c r="J3629" s="330"/>
      <c r="K3629" s="23"/>
    </row>
    <row r="3630" spans="1:11" ht="12.75" x14ac:dyDescent="0.2">
      <c r="A3630" s="23"/>
      <c r="B3630" s="328"/>
      <c r="C3630" s="327"/>
      <c r="D3630" s="328"/>
      <c r="E3630" s="23"/>
      <c r="F3630" s="329"/>
      <c r="G3630" s="23"/>
      <c r="H3630" s="23"/>
      <c r="I3630" s="330"/>
      <c r="J3630" s="330"/>
      <c r="K3630" s="23"/>
    </row>
    <row r="3631" spans="1:11" ht="12.75" x14ac:dyDescent="0.2">
      <c r="A3631" s="23"/>
      <c r="B3631" s="328"/>
      <c r="C3631" s="327"/>
      <c r="D3631" s="328"/>
      <c r="E3631" s="23"/>
      <c r="F3631" s="329"/>
      <c r="G3631" s="23"/>
      <c r="H3631" s="23"/>
      <c r="I3631" s="330"/>
      <c r="J3631" s="330"/>
      <c r="K3631" s="23"/>
    </row>
    <row r="3632" spans="1:11" ht="12.75" x14ac:dyDescent="0.2">
      <c r="A3632" s="23"/>
      <c r="B3632" s="328"/>
      <c r="C3632" s="327"/>
      <c r="D3632" s="328"/>
      <c r="E3632" s="23"/>
      <c r="F3632" s="329"/>
      <c r="G3632" s="23"/>
      <c r="H3632" s="23"/>
      <c r="I3632" s="330"/>
      <c r="J3632" s="330"/>
      <c r="K3632" s="23"/>
    </row>
    <row r="3633" spans="1:11" ht="12.75" x14ac:dyDescent="0.2">
      <c r="A3633" s="23"/>
      <c r="B3633" s="328"/>
      <c r="C3633" s="327"/>
      <c r="D3633" s="328"/>
      <c r="E3633" s="23"/>
      <c r="F3633" s="329"/>
      <c r="G3633" s="23"/>
      <c r="H3633" s="23"/>
      <c r="I3633" s="330"/>
      <c r="J3633" s="330"/>
      <c r="K3633" s="23"/>
    </row>
    <row r="3634" spans="1:11" ht="12.75" x14ac:dyDescent="0.2">
      <c r="A3634" s="23"/>
      <c r="B3634" s="328"/>
      <c r="C3634" s="327"/>
      <c r="D3634" s="328"/>
      <c r="E3634" s="23"/>
      <c r="F3634" s="329"/>
      <c r="G3634" s="23"/>
      <c r="H3634" s="23"/>
      <c r="I3634" s="330"/>
      <c r="J3634" s="330"/>
      <c r="K3634" s="23"/>
    </row>
    <row r="3635" spans="1:11" ht="12.75" x14ac:dyDescent="0.2">
      <c r="A3635" s="23"/>
      <c r="B3635" s="328"/>
      <c r="C3635" s="327"/>
      <c r="D3635" s="328"/>
      <c r="E3635" s="23"/>
      <c r="F3635" s="329"/>
      <c r="G3635" s="23"/>
      <c r="H3635" s="23"/>
      <c r="I3635" s="330"/>
      <c r="J3635" s="330"/>
      <c r="K3635" s="23"/>
    </row>
    <row r="3636" spans="1:11" ht="12.75" x14ac:dyDescent="0.2">
      <c r="A3636" s="23"/>
      <c r="B3636" s="328"/>
      <c r="C3636" s="327"/>
      <c r="D3636" s="328"/>
      <c r="E3636" s="23"/>
      <c r="F3636" s="329"/>
      <c r="G3636" s="23"/>
      <c r="H3636" s="23"/>
      <c r="I3636" s="330"/>
      <c r="J3636" s="330"/>
      <c r="K3636" s="23"/>
    </row>
    <row r="3637" spans="1:11" ht="12.75" x14ac:dyDescent="0.2">
      <c r="A3637" s="23"/>
      <c r="B3637" s="328"/>
      <c r="C3637" s="327"/>
      <c r="D3637" s="328"/>
      <c r="E3637" s="23"/>
      <c r="F3637" s="329"/>
      <c r="G3637" s="23"/>
      <c r="H3637" s="23"/>
      <c r="I3637" s="330"/>
      <c r="J3637" s="330"/>
      <c r="K3637" s="23"/>
    </row>
    <row r="3638" spans="1:11" ht="12.75" x14ac:dyDescent="0.2">
      <c r="A3638" s="23"/>
      <c r="B3638" s="328"/>
      <c r="C3638" s="327"/>
      <c r="D3638" s="328"/>
      <c r="E3638" s="23"/>
      <c r="F3638" s="329"/>
      <c r="G3638" s="23"/>
      <c r="H3638" s="23"/>
      <c r="I3638" s="330"/>
      <c r="J3638" s="330"/>
      <c r="K3638" s="23"/>
    </row>
    <row r="3639" spans="1:11" ht="12.75" x14ac:dyDescent="0.2">
      <c r="A3639" s="23"/>
      <c r="B3639" s="328"/>
      <c r="C3639" s="327"/>
      <c r="D3639" s="328"/>
      <c r="E3639" s="23"/>
      <c r="F3639" s="329"/>
      <c r="G3639" s="23"/>
      <c r="H3639" s="23"/>
      <c r="I3639" s="330"/>
      <c r="J3639" s="330"/>
      <c r="K3639" s="23"/>
    </row>
    <row r="3640" spans="1:11" ht="12.75" x14ac:dyDescent="0.2">
      <c r="A3640" s="23"/>
      <c r="B3640" s="328"/>
      <c r="C3640" s="327"/>
      <c r="D3640" s="328"/>
      <c r="E3640" s="23"/>
      <c r="F3640" s="329"/>
      <c r="G3640" s="23"/>
      <c r="H3640" s="23"/>
      <c r="I3640" s="330"/>
      <c r="J3640" s="330"/>
      <c r="K3640" s="23"/>
    </row>
    <row r="3641" spans="1:11" ht="12.75" x14ac:dyDescent="0.2">
      <c r="A3641" s="23"/>
      <c r="B3641" s="328"/>
      <c r="C3641" s="327"/>
      <c r="D3641" s="328"/>
      <c r="E3641" s="23"/>
      <c r="F3641" s="329"/>
      <c r="G3641" s="23"/>
      <c r="H3641" s="23"/>
      <c r="I3641" s="330"/>
      <c r="J3641" s="330"/>
      <c r="K3641" s="23"/>
    </row>
    <row r="3642" spans="1:11" ht="12.75" x14ac:dyDescent="0.2">
      <c r="A3642" s="23"/>
      <c r="B3642" s="328"/>
      <c r="C3642" s="327"/>
      <c r="D3642" s="328"/>
      <c r="E3642" s="23"/>
      <c r="F3642" s="329"/>
      <c r="G3642" s="23"/>
      <c r="H3642" s="23"/>
      <c r="I3642" s="330"/>
      <c r="J3642" s="330"/>
      <c r="K3642" s="23"/>
    </row>
    <row r="3643" spans="1:11" ht="12.75" x14ac:dyDescent="0.2">
      <c r="A3643" s="23"/>
      <c r="B3643" s="328"/>
      <c r="C3643" s="327"/>
      <c r="D3643" s="328"/>
      <c r="E3643" s="23"/>
      <c r="F3643" s="329"/>
      <c r="G3643" s="23"/>
      <c r="H3643" s="23"/>
      <c r="I3643" s="330"/>
      <c r="J3643" s="330"/>
      <c r="K3643" s="23"/>
    </row>
    <row r="3644" spans="1:11" ht="12.75" x14ac:dyDescent="0.2">
      <c r="A3644" s="23"/>
      <c r="B3644" s="328"/>
      <c r="C3644" s="327"/>
      <c r="D3644" s="328"/>
      <c r="E3644" s="23"/>
      <c r="F3644" s="329"/>
      <c r="G3644" s="23"/>
      <c r="H3644" s="23"/>
      <c r="I3644" s="330"/>
      <c r="J3644" s="330"/>
      <c r="K3644" s="23"/>
    </row>
    <row r="3645" spans="1:11" ht="12.75" x14ac:dyDescent="0.2">
      <c r="A3645" s="23"/>
      <c r="B3645" s="328"/>
      <c r="C3645" s="327"/>
      <c r="D3645" s="328"/>
      <c r="E3645" s="23"/>
      <c r="F3645" s="329"/>
      <c r="G3645" s="23"/>
      <c r="H3645" s="23"/>
      <c r="I3645" s="330"/>
      <c r="J3645" s="330"/>
      <c r="K3645" s="23"/>
    </row>
    <row r="3646" spans="1:11" ht="12.75" x14ac:dyDescent="0.2">
      <c r="A3646" s="23"/>
      <c r="B3646" s="328"/>
      <c r="C3646" s="327"/>
      <c r="D3646" s="328"/>
      <c r="E3646" s="23"/>
      <c r="F3646" s="329"/>
      <c r="G3646" s="23"/>
      <c r="H3646" s="23"/>
      <c r="I3646" s="330"/>
      <c r="J3646" s="330"/>
      <c r="K3646" s="23"/>
    </row>
    <row r="3647" spans="1:11" ht="12.75" x14ac:dyDescent="0.2">
      <c r="A3647" s="23"/>
      <c r="B3647" s="328"/>
      <c r="C3647" s="327"/>
      <c r="D3647" s="328"/>
      <c r="E3647" s="23"/>
      <c r="F3647" s="329"/>
      <c r="G3647" s="23"/>
      <c r="H3647" s="23"/>
      <c r="I3647" s="330"/>
      <c r="J3647" s="330"/>
      <c r="K3647" s="23"/>
    </row>
    <row r="3648" spans="1:11" ht="12.75" x14ac:dyDescent="0.2">
      <c r="A3648" s="23"/>
      <c r="B3648" s="328"/>
      <c r="C3648" s="327"/>
      <c r="D3648" s="328"/>
      <c r="E3648" s="23"/>
      <c r="F3648" s="329"/>
      <c r="G3648" s="23"/>
      <c r="H3648" s="23"/>
      <c r="I3648" s="330"/>
      <c r="J3648" s="330"/>
      <c r="K3648" s="23"/>
    </row>
    <row r="3649" spans="1:11" ht="12.75" x14ac:dyDescent="0.2">
      <c r="A3649" s="23"/>
      <c r="B3649" s="328"/>
      <c r="C3649" s="327"/>
      <c r="D3649" s="328"/>
      <c r="E3649" s="23"/>
      <c r="F3649" s="329"/>
      <c r="G3649" s="23"/>
      <c r="H3649" s="23"/>
      <c r="I3649" s="330"/>
      <c r="J3649" s="330"/>
      <c r="K3649" s="23"/>
    </row>
    <row r="3650" spans="1:11" ht="12.75" x14ac:dyDescent="0.2">
      <c r="A3650" s="23"/>
      <c r="B3650" s="328"/>
      <c r="C3650" s="327"/>
      <c r="D3650" s="328"/>
      <c r="E3650" s="23"/>
      <c r="F3650" s="329"/>
      <c r="G3650" s="23"/>
      <c r="H3650" s="23"/>
      <c r="I3650" s="330"/>
      <c r="J3650" s="330"/>
      <c r="K3650" s="23"/>
    </row>
    <row r="3651" spans="1:11" ht="12.75" x14ac:dyDescent="0.2">
      <c r="A3651" s="23"/>
      <c r="B3651" s="328"/>
      <c r="C3651" s="327"/>
      <c r="D3651" s="328"/>
      <c r="E3651" s="23"/>
      <c r="F3651" s="329"/>
      <c r="G3651" s="23"/>
      <c r="H3651" s="23"/>
      <c r="I3651" s="330"/>
      <c r="J3651" s="330"/>
      <c r="K3651" s="23"/>
    </row>
    <row r="3652" spans="1:11" ht="12.75" x14ac:dyDescent="0.2">
      <c r="A3652" s="23"/>
      <c r="B3652" s="328"/>
      <c r="C3652" s="327"/>
      <c r="D3652" s="328"/>
      <c r="E3652" s="23"/>
      <c r="F3652" s="329"/>
      <c r="G3652" s="23"/>
      <c r="H3652" s="23"/>
      <c r="I3652" s="330"/>
      <c r="J3652" s="330"/>
      <c r="K3652" s="23"/>
    </row>
    <row r="3653" spans="1:11" ht="12.75" x14ac:dyDescent="0.2">
      <c r="A3653" s="23"/>
      <c r="B3653" s="328"/>
      <c r="C3653" s="327"/>
      <c r="D3653" s="328"/>
      <c r="E3653" s="23"/>
      <c r="F3653" s="329"/>
      <c r="G3653" s="23"/>
      <c r="H3653" s="23"/>
      <c r="I3653" s="330"/>
      <c r="J3653" s="330"/>
      <c r="K3653" s="23"/>
    </row>
    <row r="3654" spans="1:11" ht="12.75" x14ac:dyDescent="0.2">
      <c r="A3654" s="23"/>
      <c r="B3654" s="328"/>
      <c r="C3654" s="327"/>
      <c r="D3654" s="328"/>
      <c r="E3654" s="23"/>
      <c r="F3654" s="329"/>
      <c r="G3654" s="23"/>
      <c r="H3654" s="23"/>
      <c r="I3654" s="330"/>
      <c r="J3654" s="330"/>
      <c r="K3654" s="23"/>
    </row>
    <row r="3655" spans="1:11" ht="12.75" x14ac:dyDescent="0.2">
      <c r="A3655" s="23"/>
      <c r="B3655" s="328"/>
      <c r="C3655" s="327"/>
      <c r="D3655" s="328"/>
      <c r="E3655" s="23"/>
      <c r="F3655" s="329"/>
      <c r="G3655" s="23"/>
      <c r="H3655" s="23"/>
      <c r="I3655" s="330"/>
      <c r="J3655" s="330"/>
      <c r="K3655" s="23"/>
    </row>
    <row r="3656" spans="1:11" ht="12.75" x14ac:dyDescent="0.2">
      <c r="A3656" s="23"/>
      <c r="B3656" s="328"/>
      <c r="C3656" s="327"/>
      <c r="D3656" s="328"/>
      <c r="E3656" s="23"/>
      <c r="F3656" s="329"/>
      <c r="G3656" s="23"/>
      <c r="H3656" s="23"/>
      <c r="I3656" s="330"/>
      <c r="J3656" s="330"/>
      <c r="K3656" s="23"/>
    </row>
    <row r="3657" spans="1:11" ht="12.75" x14ac:dyDescent="0.2">
      <c r="A3657" s="23"/>
      <c r="B3657" s="328"/>
      <c r="C3657" s="327"/>
      <c r="D3657" s="328"/>
      <c r="E3657" s="23"/>
      <c r="F3657" s="329"/>
      <c r="G3657" s="23"/>
      <c r="H3657" s="23"/>
      <c r="I3657" s="330"/>
      <c r="J3657" s="330"/>
      <c r="K3657" s="23"/>
    </row>
    <row r="3658" spans="1:11" ht="12.75" x14ac:dyDescent="0.2">
      <c r="A3658" s="23"/>
      <c r="B3658" s="328"/>
      <c r="C3658" s="327"/>
      <c r="D3658" s="328"/>
      <c r="E3658" s="23"/>
      <c r="F3658" s="329"/>
      <c r="G3658" s="23"/>
      <c r="H3658" s="23"/>
      <c r="I3658" s="330"/>
      <c r="J3658" s="330"/>
      <c r="K3658" s="23"/>
    </row>
    <row r="3659" spans="1:11" ht="12.75" x14ac:dyDescent="0.2">
      <c r="A3659" s="23"/>
      <c r="B3659" s="328"/>
      <c r="C3659" s="327"/>
      <c r="D3659" s="328"/>
      <c r="E3659" s="23"/>
      <c r="F3659" s="329"/>
      <c r="G3659" s="23"/>
      <c r="H3659" s="23"/>
      <c r="I3659" s="330"/>
      <c r="J3659" s="330"/>
      <c r="K3659" s="23"/>
    </row>
    <row r="3660" spans="1:11" ht="12.75" x14ac:dyDescent="0.2">
      <c r="A3660" s="23"/>
      <c r="B3660" s="328"/>
      <c r="C3660" s="327"/>
      <c r="D3660" s="328"/>
      <c r="E3660" s="23"/>
      <c r="F3660" s="329"/>
      <c r="G3660" s="23"/>
      <c r="H3660" s="23"/>
      <c r="I3660" s="330"/>
      <c r="J3660" s="330"/>
      <c r="K3660" s="23"/>
    </row>
    <row r="3661" spans="1:11" ht="12.75" x14ac:dyDescent="0.2">
      <c r="A3661" s="23"/>
      <c r="B3661" s="328"/>
      <c r="C3661" s="327"/>
      <c r="D3661" s="328"/>
      <c r="E3661" s="23"/>
      <c r="F3661" s="329"/>
      <c r="G3661" s="23"/>
      <c r="H3661" s="23"/>
      <c r="I3661" s="330"/>
      <c r="J3661" s="330"/>
      <c r="K3661" s="23"/>
    </row>
    <row r="3662" spans="1:11" ht="12.75" x14ac:dyDescent="0.2">
      <c r="A3662" s="23"/>
      <c r="B3662" s="328"/>
      <c r="C3662" s="327"/>
      <c r="D3662" s="328"/>
      <c r="E3662" s="23"/>
      <c r="F3662" s="329"/>
      <c r="G3662" s="23"/>
      <c r="H3662" s="23"/>
      <c r="I3662" s="330"/>
      <c r="J3662" s="330"/>
      <c r="K3662" s="23"/>
    </row>
    <row r="3663" spans="1:11" ht="12.75" x14ac:dyDescent="0.2">
      <c r="A3663" s="23"/>
      <c r="B3663" s="328"/>
      <c r="C3663" s="327"/>
      <c r="D3663" s="328"/>
      <c r="E3663" s="23"/>
      <c r="F3663" s="329"/>
      <c r="G3663" s="23"/>
      <c r="H3663" s="23"/>
      <c r="I3663" s="330"/>
      <c r="J3663" s="330"/>
      <c r="K3663" s="23"/>
    </row>
    <row r="3664" spans="1:11" ht="12.75" x14ac:dyDescent="0.2">
      <c r="A3664" s="23"/>
      <c r="B3664" s="328"/>
      <c r="C3664" s="327"/>
      <c r="D3664" s="328"/>
      <c r="E3664" s="23"/>
      <c r="F3664" s="329"/>
      <c r="G3664" s="23"/>
      <c r="H3664" s="23"/>
      <c r="I3664" s="330"/>
      <c r="J3664" s="330"/>
      <c r="K3664" s="23"/>
    </row>
    <row r="3665" spans="1:11" ht="12.75" x14ac:dyDescent="0.2">
      <c r="A3665" s="23"/>
      <c r="B3665" s="328"/>
      <c r="C3665" s="327"/>
      <c r="D3665" s="328"/>
      <c r="E3665" s="23"/>
      <c r="F3665" s="329"/>
      <c r="G3665" s="23"/>
      <c r="H3665" s="23"/>
      <c r="I3665" s="330"/>
      <c r="J3665" s="330"/>
      <c r="K3665" s="23"/>
    </row>
    <row r="3666" spans="1:11" ht="12.75" x14ac:dyDescent="0.2">
      <c r="A3666" s="23"/>
      <c r="B3666" s="328"/>
      <c r="C3666" s="327"/>
      <c r="D3666" s="328"/>
      <c r="E3666" s="23"/>
      <c r="F3666" s="329"/>
      <c r="G3666" s="23"/>
      <c r="H3666" s="23"/>
      <c r="I3666" s="330"/>
      <c r="J3666" s="330"/>
      <c r="K3666" s="23"/>
    </row>
    <row r="3667" spans="1:11" ht="12.75" x14ac:dyDescent="0.2">
      <c r="A3667" s="23"/>
      <c r="B3667" s="328"/>
      <c r="C3667" s="327"/>
      <c r="D3667" s="328"/>
      <c r="E3667" s="23"/>
      <c r="F3667" s="329"/>
      <c r="G3667" s="23"/>
      <c r="H3667" s="23"/>
      <c r="I3667" s="330"/>
      <c r="J3667" s="330"/>
      <c r="K3667" s="23"/>
    </row>
    <row r="3668" spans="1:11" ht="12.75" x14ac:dyDescent="0.2">
      <c r="A3668" s="23"/>
      <c r="B3668" s="328"/>
      <c r="C3668" s="327"/>
      <c r="D3668" s="328"/>
      <c r="E3668" s="23"/>
      <c r="F3668" s="329"/>
      <c r="G3668" s="23"/>
      <c r="H3668" s="23"/>
      <c r="I3668" s="330"/>
      <c r="J3668" s="330"/>
      <c r="K3668" s="23"/>
    </row>
    <row r="3669" spans="1:11" ht="12.75" x14ac:dyDescent="0.2">
      <c r="A3669" s="23"/>
      <c r="B3669" s="328"/>
      <c r="C3669" s="327"/>
      <c r="D3669" s="328"/>
      <c r="E3669" s="23"/>
      <c r="F3669" s="329"/>
      <c r="G3669" s="23"/>
      <c r="H3669" s="23"/>
      <c r="I3669" s="330"/>
      <c r="J3669" s="330"/>
      <c r="K3669" s="23"/>
    </row>
    <row r="3670" spans="1:11" ht="12.75" x14ac:dyDescent="0.2">
      <c r="A3670" s="23"/>
      <c r="B3670" s="328"/>
      <c r="C3670" s="327"/>
      <c r="D3670" s="328"/>
      <c r="E3670" s="23"/>
      <c r="F3670" s="329"/>
      <c r="G3670" s="23"/>
      <c r="H3670" s="23"/>
      <c r="I3670" s="330"/>
      <c r="J3670" s="330"/>
      <c r="K3670" s="23"/>
    </row>
    <row r="3671" spans="1:11" ht="12.75" x14ac:dyDescent="0.2">
      <c r="A3671" s="23"/>
      <c r="B3671" s="328"/>
      <c r="C3671" s="327"/>
      <c r="D3671" s="328"/>
      <c r="E3671" s="23"/>
      <c r="F3671" s="329"/>
      <c r="G3671" s="23"/>
      <c r="H3671" s="23"/>
      <c r="I3671" s="330"/>
      <c r="J3671" s="330"/>
      <c r="K3671" s="23"/>
    </row>
    <row r="3672" spans="1:11" ht="12.75" x14ac:dyDescent="0.2">
      <c r="A3672" s="23"/>
      <c r="B3672" s="328"/>
      <c r="C3672" s="327"/>
      <c r="D3672" s="328"/>
      <c r="E3672" s="23"/>
      <c r="F3672" s="329"/>
      <c r="G3672" s="23"/>
      <c r="H3672" s="23"/>
      <c r="I3672" s="330"/>
      <c r="J3672" s="330"/>
      <c r="K3672" s="23"/>
    </row>
    <row r="3673" spans="1:11" ht="12.75" x14ac:dyDescent="0.2">
      <c r="A3673" s="23"/>
      <c r="B3673" s="328"/>
      <c r="C3673" s="327"/>
      <c r="D3673" s="328"/>
      <c r="E3673" s="23"/>
      <c r="F3673" s="329"/>
      <c r="G3673" s="23"/>
      <c r="H3673" s="23"/>
      <c r="I3673" s="330"/>
      <c r="J3673" s="330"/>
      <c r="K3673" s="23"/>
    </row>
    <row r="3674" spans="1:11" ht="12.75" x14ac:dyDescent="0.2">
      <c r="A3674" s="23"/>
      <c r="B3674" s="328"/>
      <c r="C3674" s="327"/>
      <c r="D3674" s="328"/>
      <c r="E3674" s="23"/>
      <c r="F3674" s="329"/>
      <c r="G3674" s="23"/>
      <c r="H3674" s="23"/>
      <c r="I3674" s="330"/>
      <c r="J3674" s="330"/>
      <c r="K3674" s="23"/>
    </row>
    <row r="3675" spans="1:11" ht="12.75" x14ac:dyDescent="0.2">
      <c r="A3675" s="23"/>
      <c r="B3675" s="328"/>
      <c r="C3675" s="327"/>
      <c r="D3675" s="328"/>
      <c r="E3675" s="23"/>
      <c r="F3675" s="329"/>
      <c r="G3675" s="23"/>
      <c r="H3675" s="23"/>
      <c r="I3675" s="330"/>
      <c r="J3675" s="330"/>
      <c r="K3675" s="23"/>
    </row>
    <row r="3676" spans="1:11" ht="12.75" x14ac:dyDescent="0.2">
      <c r="A3676" s="23"/>
      <c r="B3676" s="328"/>
      <c r="C3676" s="327"/>
      <c r="D3676" s="328"/>
      <c r="E3676" s="23"/>
      <c r="F3676" s="329"/>
      <c r="G3676" s="23"/>
      <c r="H3676" s="23"/>
      <c r="I3676" s="330"/>
      <c r="J3676" s="330"/>
      <c r="K3676" s="23"/>
    </row>
    <row r="3677" spans="1:11" ht="12.75" x14ac:dyDescent="0.2">
      <c r="A3677" s="23"/>
      <c r="B3677" s="328"/>
      <c r="C3677" s="327"/>
      <c r="D3677" s="328"/>
      <c r="E3677" s="23"/>
      <c r="F3677" s="329"/>
      <c r="G3677" s="23"/>
      <c r="H3677" s="23"/>
      <c r="I3677" s="330"/>
      <c r="J3677" s="330"/>
      <c r="K3677" s="23"/>
    </row>
    <row r="3678" spans="1:11" ht="12.75" x14ac:dyDescent="0.2">
      <c r="A3678" s="23"/>
      <c r="B3678" s="328"/>
      <c r="C3678" s="327"/>
      <c r="D3678" s="328"/>
      <c r="E3678" s="23"/>
      <c r="F3678" s="329"/>
      <c r="G3678" s="23"/>
      <c r="H3678" s="23"/>
      <c r="I3678" s="330"/>
      <c r="J3678" s="330"/>
      <c r="K3678" s="23"/>
    </row>
    <row r="3679" spans="1:11" ht="12.75" x14ac:dyDescent="0.2">
      <c r="A3679" s="23"/>
      <c r="B3679" s="328"/>
      <c r="C3679" s="327"/>
      <c r="D3679" s="328"/>
      <c r="E3679" s="23"/>
      <c r="F3679" s="329"/>
      <c r="G3679" s="23"/>
      <c r="H3679" s="23"/>
      <c r="I3679" s="330"/>
      <c r="J3679" s="330"/>
      <c r="K3679" s="23"/>
    </row>
    <row r="3680" spans="1:11" ht="12.75" x14ac:dyDescent="0.2">
      <c r="A3680" s="23"/>
      <c r="B3680" s="328"/>
      <c r="C3680" s="327"/>
      <c r="D3680" s="328"/>
      <c r="E3680" s="23"/>
      <c r="F3680" s="329"/>
      <c r="G3680" s="23"/>
      <c r="H3680" s="23"/>
      <c r="I3680" s="330"/>
      <c r="J3680" s="330"/>
      <c r="K3680" s="23"/>
    </row>
    <row r="3681" spans="1:11" ht="12.75" x14ac:dyDescent="0.2">
      <c r="A3681" s="23"/>
      <c r="B3681" s="328"/>
      <c r="C3681" s="327"/>
      <c r="D3681" s="328"/>
      <c r="E3681" s="23"/>
      <c r="F3681" s="329"/>
      <c r="G3681" s="23"/>
      <c r="H3681" s="23"/>
      <c r="I3681" s="330"/>
      <c r="J3681" s="330"/>
      <c r="K3681" s="23"/>
    </row>
    <row r="3682" spans="1:11" ht="12.75" x14ac:dyDescent="0.2">
      <c r="A3682" s="23"/>
      <c r="B3682" s="328"/>
      <c r="C3682" s="327"/>
      <c r="D3682" s="328"/>
      <c r="E3682" s="23"/>
      <c r="F3682" s="329"/>
      <c r="G3682" s="23"/>
      <c r="H3682" s="23"/>
      <c r="I3682" s="330"/>
      <c r="J3682" s="330"/>
      <c r="K3682" s="23"/>
    </row>
    <row r="3683" spans="1:11" ht="12.75" x14ac:dyDescent="0.2">
      <c r="A3683" s="23"/>
      <c r="B3683" s="328"/>
      <c r="C3683" s="327"/>
      <c r="D3683" s="328"/>
      <c r="E3683" s="23"/>
      <c r="F3683" s="329"/>
      <c r="G3683" s="23"/>
      <c r="H3683" s="23"/>
      <c r="I3683" s="330"/>
      <c r="J3683" s="330"/>
      <c r="K3683" s="23"/>
    </row>
    <row r="3684" spans="1:11" ht="12.75" x14ac:dyDescent="0.2">
      <c r="A3684" s="23"/>
      <c r="B3684" s="328"/>
      <c r="C3684" s="327"/>
      <c r="D3684" s="328"/>
      <c r="E3684" s="23"/>
      <c r="F3684" s="329"/>
      <c r="G3684" s="23"/>
      <c r="H3684" s="23"/>
      <c r="I3684" s="330"/>
      <c r="J3684" s="330"/>
      <c r="K3684" s="23"/>
    </row>
    <row r="3685" spans="1:11" ht="12.75" x14ac:dyDescent="0.2">
      <c r="A3685" s="23"/>
      <c r="B3685" s="328"/>
      <c r="C3685" s="327"/>
      <c r="D3685" s="328"/>
      <c r="E3685" s="23"/>
      <c r="F3685" s="329"/>
      <c r="G3685" s="23"/>
      <c r="H3685" s="23"/>
      <c r="I3685" s="330"/>
      <c r="J3685" s="330"/>
      <c r="K3685" s="23"/>
    </row>
    <row r="3686" spans="1:11" ht="12.75" x14ac:dyDescent="0.2">
      <c r="A3686" s="23"/>
      <c r="B3686" s="328"/>
      <c r="C3686" s="327"/>
      <c r="D3686" s="328"/>
      <c r="E3686" s="23"/>
      <c r="F3686" s="329"/>
      <c r="G3686" s="23"/>
      <c r="H3686" s="23"/>
      <c r="I3686" s="330"/>
      <c r="J3686" s="330"/>
      <c r="K3686" s="23"/>
    </row>
    <row r="3687" spans="1:11" ht="12.75" x14ac:dyDescent="0.2">
      <c r="A3687" s="23"/>
      <c r="B3687" s="328"/>
      <c r="C3687" s="327"/>
      <c r="D3687" s="328"/>
      <c r="E3687" s="23"/>
      <c r="F3687" s="329"/>
      <c r="G3687" s="23"/>
      <c r="H3687" s="23"/>
      <c r="I3687" s="330"/>
      <c r="J3687" s="330"/>
      <c r="K3687" s="23"/>
    </row>
    <row r="3688" spans="1:11" ht="12.75" x14ac:dyDescent="0.2">
      <c r="A3688" s="23"/>
      <c r="B3688" s="328"/>
      <c r="C3688" s="327"/>
      <c r="D3688" s="328"/>
      <c r="E3688" s="23"/>
      <c r="F3688" s="329"/>
      <c r="G3688" s="23"/>
      <c r="H3688" s="23"/>
      <c r="I3688" s="330"/>
      <c r="J3688" s="330"/>
      <c r="K3688" s="23"/>
    </row>
    <row r="3689" spans="1:11" ht="12.75" x14ac:dyDescent="0.2">
      <c r="A3689" s="23"/>
      <c r="B3689" s="328"/>
      <c r="C3689" s="327"/>
      <c r="D3689" s="328"/>
      <c r="E3689" s="23"/>
      <c r="F3689" s="329"/>
      <c r="G3689" s="23"/>
      <c r="H3689" s="23"/>
      <c r="I3689" s="330"/>
      <c r="J3689" s="330"/>
      <c r="K3689" s="23"/>
    </row>
    <row r="3690" spans="1:11" ht="12.75" x14ac:dyDescent="0.2">
      <c r="A3690" s="23"/>
      <c r="B3690" s="328"/>
      <c r="C3690" s="327"/>
      <c r="D3690" s="328"/>
      <c r="E3690" s="23"/>
      <c r="F3690" s="329"/>
      <c r="G3690" s="23"/>
      <c r="H3690" s="23"/>
      <c r="I3690" s="330"/>
      <c r="J3690" s="330"/>
      <c r="K3690" s="23"/>
    </row>
    <row r="3691" spans="1:11" ht="12.75" x14ac:dyDescent="0.2">
      <c r="A3691" s="23"/>
      <c r="B3691" s="328"/>
      <c r="C3691" s="327"/>
      <c r="D3691" s="328"/>
      <c r="E3691" s="23"/>
      <c r="F3691" s="329"/>
      <c r="G3691" s="23"/>
      <c r="H3691" s="23"/>
      <c r="I3691" s="330"/>
      <c r="J3691" s="330"/>
      <c r="K3691" s="23"/>
    </row>
    <row r="3692" spans="1:11" ht="12.75" x14ac:dyDescent="0.2">
      <c r="A3692" s="23"/>
      <c r="B3692" s="328"/>
      <c r="C3692" s="327"/>
      <c r="D3692" s="328"/>
      <c r="E3692" s="23"/>
      <c r="F3692" s="329"/>
      <c r="G3692" s="23"/>
      <c r="H3692" s="23"/>
      <c r="I3692" s="330"/>
      <c r="J3692" s="330"/>
      <c r="K3692" s="23"/>
    </row>
    <row r="3693" spans="1:11" ht="12.75" x14ac:dyDescent="0.2">
      <c r="A3693" s="23"/>
      <c r="B3693" s="328"/>
      <c r="C3693" s="327"/>
      <c r="D3693" s="328"/>
      <c r="E3693" s="23"/>
      <c r="F3693" s="329"/>
      <c r="G3693" s="23"/>
      <c r="H3693" s="23"/>
      <c r="I3693" s="330"/>
      <c r="J3693" s="330"/>
      <c r="K3693" s="23"/>
    </row>
    <row r="3694" spans="1:11" ht="12.75" x14ac:dyDescent="0.2">
      <c r="A3694" s="23"/>
      <c r="B3694" s="328"/>
      <c r="C3694" s="327"/>
      <c r="D3694" s="328"/>
      <c r="E3694" s="23"/>
      <c r="F3694" s="329"/>
      <c r="G3694" s="23"/>
      <c r="H3694" s="23"/>
      <c r="I3694" s="330"/>
      <c r="J3694" s="330"/>
      <c r="K3694" s="23"/>
    </row>
    <row r="3695" spans="1:11" ht="12.75" x14ac:dyDescent="0.2">
      <c r="A3695" s="23"/>
      <c r="B3695" s="328"/>
      <c r="C3695" s="327"/>
      <c r="D3695" s="328"/>
      <c r="E3695" s="23"/>
      <c r="F3695" s="329"/>
      <c r="G3695" s="23"/>
      <c r="H3695" s="23"/>
      <c r="I3695" s="330"/>
      <c r="J3695" s="330"/>
      <c r="K3695" s="23"/>
    </row>
    <row r="3696" spans="1:11" ht="12.75" x14ac:dyDescent="0.2">
      <c r="A3696" s="23"/>
      <c r="B3696" s="328"/>
      <c r="C3696" s="327"/>
      <c r="D3696" s="328"/>
      <c r="E3696" s="23"/>
      <c r="F3696" s="329"/>
      <c r="G3696" s="23"/>
      <c r="H3696" s="23"/>
      <c r="I3696" s="330"/>
      <c r="J3696" s="330"/>
      <c r="K3696" s="23"/>
    </row>
    <row r="3697" spans="1:11" ht="12.75" x14ac:dyDescent="0.2">
      <c r="A3697" s="23"/>
      <c r="B3697" s="328"/>
      <c r="C3697" s="327"/>
      <c r="D3697" s="328"/>
      <c r="E3697" s="23"/>
      <c r="F3697" s="329"/>
      <c r="G3697" s="23"/>
      <c r="H3697" s="23"/>
      <c r="I3697" s="330"/>
      <c r="J3697" s="330"/>
      <c r="K3697" s="23"/>
    </row>
    <row r="3698" spans="1:11" ht="12.75" x14ac:dyDescent="0.2">
      <c r="A3698" s="23"/>
      <c r="B3698" s="328"/>
      <c r="C3698" s="327"/>
      <c r="D3698" s="328"/>
      <c r="E3698" s="23"/>
      <c r="F3698" s="329"/>
      <c r="G3698" s="23"/>
      <c r="H3698" s="23"/>
      <c r="I3698" s="330"/>
      <c r="J3698" s="330"/>
      <c r="K3698" s="23"/>
    </row>
    <row r="3699" spans="1:11" ht="12.75" x14ac:dyDescent="0.2">
      <c r="A3699" s="23"/>
      <c r="B3699" s="328"/>
      <c r="C3699" s="327"/>
      <c r="D3699" s="328"/>
      <c r="E3699" s="23"/>
      <c r="F3699" s="329"/>
      <c r="G3699" s="23"/>
      <c r="H3699" s="23"/>
      <c r="I3699" s="330"/>
      <c r="J3699" s="330"/>
      <c r="K3699" s="23"/>
    </row>
    <row r="3700" spans="1:11" ht="12.75" x14ac:dyDescent="0.2">
      <c r="A3700" s="23"/>
      <c r="B3700" s="328"/>
      <c r="C3700" s="327"/>
      <c r="D3700" s="328"/>
      <c r="E3700" s="23"/>
      <c r="F3700" s="329"/>
      <c r="G3700" s="23"/>
      <c r="H3700" s="23"/>
      <c r="I3700" s="330"/>
      <c r="J3700" s="330"/>
      <c r="K3700" s="23"/>
    </row>
    <row r="3701" spans="1:11" ht="12.75" x14ac:dyDescent="0.2">
      <c r="A3701" s="23"/>
      <c r="B3701" s="328"/>
      <c r="C3701" s="327"/>
      <c r="D3701" s="328"/>
      <c r="E3701" s="23"/>
      <c r="F3701" s="329"/>
      <c r="G3701" s="23"/>
      <c r="H3701" s="23"/>
      <c r="I3701" s="330"/>
      <c r="J3701" s="330"/>
      <c r="K3701" s="23"/>
    </row>
    <row r="3702" spans="1:11" ht="12.75" x14ac:dyDescent="0.2">
      <c r="A3702" s="23"/>
      <c r="B3702" s="328"/>
      <c r="C3702" s="327"/>
      <c r="D3702" s="328"/>
      <c r="E3702" s="23"/>
      <c r="F3702" s="329"/>
      <c r="G3702" s="23"/>
      <c r="H3702" s="23"/>
      <c r="I3702" s="330"/>
      <c r="J3702" s="330"/>
      <c r="K3702" s="23"/>
    </row>
    <row r="3703" spans="1:11" ht="12.75" x14ac:dyDescent="0.2">
      <c r="A3703" s="23"/>
      <c r="B3703" s="328"/>
      <c r="C3703" s="327"/>
      <c r="D3703" s="328"/>
      <c r="E3703" s="23"/>
      <c r="F3703" s="329"/>
      <c r="G3703" s="23"/>
      <c r="H3703" s="23"/>
      <c r="I3703" s="330"/>
      <c r="J3703" s="330"/>
      <c r="K3703" s="23"/>
    </row>
    <row r="3704" spans="1:11" ht="12.75" x14ac:dyDescent="0.2">
      <c r="A3704" s="23"/>
      <c r="B3704" s="328"/>
      <c r="C3704" s="327"/>
      <c r="D3704" s="328"/>
      <c r="E3704" s="23"/>
      <c r="F3704" s="329"/>
      <c r="G3704" s="23"/>
      <c r="H3704" s="23"/>
      <c r="I3704" s="330"/>
      <c r="J3704" s="330"/>
      <c r="K3704" s="23"/>
    </row>
    <row r="3705" spans="1:11" ht="12.75" x14ac:dyDescent="0.2">
      <c r="A3705" s="23"/>
      <c r="B3705" s="328"/>
      <c r="C3705" s="327"/>
      <c r="D3705" s="328"/>
      <c r="E3705" s="23"/>
      <c r="F3705" s="329"/>
      <c r="G3705" s="23"/>
      <c r="H3705" s="23"/>
      <c r="I3705" s="330"/>
      <c r="J3705" s="330"/>
      <c r="K3705" s="23"/>
    </row>
    <row r="3706" spans="1:11" ht="12.75" x14ac:dyDescent="0.2">
      <c r="A3706" s="23"/>
      <c r="B3706" s="328"/>
      <c r="C3706" s="327"/>
      <c r="D3706" s="328"/>
      <c r="E3706" s="23"/>
      <c r="F3706" s="329"/>
      <c r="G3706" s="23"/>
      <c r="H3706" s="23"/>
      <c r="I3706" s="330"/>
      <c r="J3706" s="330"/>
      <c r="K3706" s="23"/>
    </row>
    <row r="3707" spans="1:11" ht="12.75" x14ac:dyDescent="0.2">
      <c r="A3707" s="23"/>
      <c r="B3707" s="328"/>
      <c r="C3707" s="327"/>
      <c r="D3707" s="328"/>
      <c r="E3707" s="23"/>
      <c r="F3707" s="329"/>
      <c r="G3707" s="23"/>
      <c r="H3707" s="23"/>
      <c r="I3707" s="330"/>
      <c r="J3707" s="330"/>
      <c r="K3707" s="23"/>
    </row>
    <row r="3708" spans="1:11" ht="12.75" x14ac:dyDescent="0.2">
      <c r="A3708" s="23"/>
      <c r="B3708" s="328"/>
      <c r="C3708" s="327"/>
      <c r="D3708" s="328"/>
      <c r="E3708" s="23"/>
      <c r="F3708" s="329"/>
      <c r="G3708" s="23"/>
      <c r="H3708" s="23"/>
      <c r="I3708" s="330"/>
      <c r="J3708" s="330"/>
      <c r="K3708" s="23"/>
    </row>
    <row r="3709" spans="1:11" ht="12.75" x14ac:dyDescent="0.2">
      <c r="A3709" s="23"/>
      <c r="B3709" s="328"/>
      <c r="C3709" s="327"/>
      <c r="D3709" s="328"/>
      <c r="E3709" s="23"/>
      <c r="F3709" s="329"/>
      <c r="G3709" s="23"/>
      <c r="H3709" s="23"/>
      <c r="I3709" s="330"/>
      <c r="J3709" s="330"/>
      <c r="K3709" s="23"/>
    </row>
    <row r="3710" spans="1:11" ht="12.75" x14ac:dyDescent="0.2">
      <c r="A3710" s="23"/>
      <c r="B3710" s="328"/>
      <c r="C3710" s="327"/>
      <c r="D3710" s="328"/>
      <c r="E3710" s="23"/>
      <c r="F3710" s="329"/>
      <c r="G3710" s="23"/>
      <c r="H3710" s="23"/>
      <c r="I3710" s="330"/>
      <c r="J3710" s="330"/>
      <c r="K3710" s="23"/>
    </row>
    <row r="3711" spans="1:11" ht="12.75" x14ac:dyDescent="0.2">
      <c r="A3711" s="23"/>
      <c r="B3711" s="328"/>
      <c r="C3711" s="327"/>
      <c r="D3711" s="328"/>
      <c r="E3711" s="23"/>
      <c r="F3711" s="329"/>
      <c r="G3711" s="23"/>
      <c r="H3711" s="23"/>
      <c r="I3711" s="330"/>
      <c r="J3711" s="330"/>
      <c r="K3711" s="23"/>
    </row>
    <row r="3712" spans="1:11" ht="12.75" x14ac:dyDescent="0.2">
      <c r="A3712" s="23"/>
      <c r="B3712" s="328"/>
      <c r="C3712" s="327"/>
      <c r="D3712" s="328"/>
      <c r="E3712" s="23"/>
      <c r="F3712" s="329"/>
      <c r="G3712" s="23"/>
      <c r="H3712" s="23"/>
      <c r="I3712" s="330"/>
      <c r="J3712" s="330"/>
      <c r="K3712" s="23"/>
    </row>
    <row r="3713" spans="1:11" ht="12.75" x14ac:dyDescent="0.2">
      <c r="A3713" s="23"/>
      <c r="B3713" s="328"/>
      <c r="C3713" s="327"/>
      <c r="D3713" s="328"/>
      <c r="E3713" s="23"/>
      <c r="F3713" s="329"/>
      <c r="G3713" s="23"/>
      <c r="H3713" s="23"/>
      <c r="I3713" s="330"/>
      <c r="J3713" s="330"/>
      <c r="K3713" s="23"/>
    </row>
    <row r="3714" spans="1:11" ht="12.75" x14ac:dyDescent="0.2">
      <c r="A3714" s="23"/>
      <c r="B3714" s="328"/>
      <c r="C3714" s="327"/>
      <c r="D3714" s="328"/>
      <c r="E3714" s="23"/>
      <c r="F3714" s="329"/>
      <c r="G3714" s="23"/>
      <c r="H3714" s="23"/>
      <c r="I3714" s="330"/>
      <c r="J3714" s="330"/>
      <c r="K3714" s="23"/>
    </row>
    <row r="3715" spans="1:11" ht="12.75" x14ac:dyDescent="0.2">
      <c r="A3715" s="23"/>
      <c r="B3715" s="328"/>
      <c r="C3715" s="327"/>
      <c r="D3715" s="328"/>
      <c r="E3715" s="23"/>
      <c r="F3715" s="329"/>
      <c r="G3715" s="23"/>
      <c r="H3715" s="23"/>
      <c r="I3715" s="330"/>
      <c r="J3715" s="330"/>
      <c r="K3715" s="23"/>
    </row>
    <row r="3716" spans="1:11" ht="12.75" x14ac:dyDescent="0.2">
      <c r="A3716" s="23"/>
      <c r="B3716" s="328"/>
      <c r="C3716" s="327"/>
      <c r="D3716" s="328"/>
      <c r="E3716" s="23"/>
      <c r="F3716" s="329"/>
      <c r="G3716" s="23"/>
      <c r="H3716" s="23"/>
      <c r="I3716" s="330"/>
      <c r="J3716" s="330"/>
      <c r="K3716" s="23"/>
    </row>
    <row r="3717" spans="1:11" ht="12.75" x14ac:dyDescent="0.2">
      <c r="A3717" s="23"/>
      <c r="B3717" s="328"/>
      <c r="C3717" s="327"/>
      <c r="D3717" s="328"/>
      <c r="E3717" s="23"/>
      <c r="F3717" s="329"/>
      <c r="G3717" s="23"/>
      <c r="H3717" s="23"/>
      <c r="I3717" s="330"/>
      <c r="J3717" s="330"/>
      <c r="K3717" s="23"/>
    </row>
    <row r="3718" spans="1:11" ht="12.75" x14ac:dyDescent="0.2">
      <c r="A3718" s="23"/>
      <c r="B3718" s="328"/>
      <c r="C3718" s="327"/>
      <c r="D3718" s="328"/>
      <c r="E3718" s="23"/>
      <c r="F3718" s="329"/>
      <c r="G3718" s="23"/>
      <c r="H3718" s="23"/>
      <c r="I3718" s="330"/>
      <c r="J3718" s="330"/>
      <c r="K3718" s="23"/>
    </row>
    <row r="3719" spans="1:11" ht="12.75" x14ac:dyDescent="0.2">
      <c r="A3719" s="23"/>
      <c r="B3719" s="328"/>
      <c r="C3719" s="327"/>
      <c r="D3719" s="328"/>
      <c r="E3719" s="23"/>
      <c r="F3719" s="329"/>
      <c r="G3719" s="23"/>
      <c r="H3719" s="23"/>
      <c r="I3719" s="330"/>
      <c r="J3719" s="330"/>
      <c r="K3719" s="23"/>
    </row>
    <row r="3720" spans="1:11" ht="12.75" x14ac:dyDescent="0.2">
      <c r="A3720" s="23"/>
      <c r="B3720" s="328"/>
      <c r="C3720" s="327"/>
      <c r="D3720" s="328"/>
      <c r="E3720" s="23"/>
      <c r="F3720" s="329"/>
      <c r="G3720" s="23"/>
      <c r="H3720" s="23"/>
      <c r="I3720" s="330"/>
      <c r="J3720" s="330"/>
      <c r="K3720" s="23"/>
    </row>
    <row r="3721" spans="1:11" ht="12.75" x14ac:dyDescent="0.2">
      <c r="A3721" s="23"/>
      <c r="B3721" s="328"/>
      <c r="C3721" s="327"/>
      <c r="D3721" s="328"/>
      <c r="E3721" s="23"/>
      <c r="F3721" s="329"/>
      <c r="G3721" s="23"/>
      <c r="H3721" s="23"/>
      <c r="I3721" s="330"/>
      <c r="J3721" s="330"/>
      <c r="K3721" s="23"/>
    </row>
    <row r="3722" spans="1:11" ht="12.75" x14ac:dyDescent="0.2">
      <c r="A3722" s="23"/>
      <c r="B3722" s="328"/>
      <c r="C3722" s="327"/>
      <c r="D3722" s="328"/>
      <c r="E3722" s="23"/>
      <c r="F3722" s="329"/>
      <c r="G3722" s="23"/>
      <c r="H3722" s="23"/>
      <c r="I3722" s="330"/>
      <c r="J3722" s="330"/>
      <c r="K3722" s="23"/>
    </row>
    <row r="3723" spans="1:11" ht="12.75" x14ac:dyDescent="0.2">
      <c r="A3723" s="23"/>
      <c r="B3723" s="328"/>
      <c r="C3723" s="327"/>
      <c r="D3723" s="328"/>
      <c r="E3723" s="23"/>
      <c r="F3723" s="329"/>
      <c r="G3723" s="23"/>
      <c r="H3723" s="23"/>
      <c r="I3723" s="330"/>
      <c r="J3723" s="330"/>
      <c r="K3723" s="23"/>
    </row>
    <row r="3724" spans="1:11" ht="12.75" x14ac:dyDescent="0.2">
      <c r="A3724" s="23"/>
      <c r="B3724" s="328"/>
      <c r="C3724" s="327"/>
      <c r="D3724" s="328"/>
      <c r="E3724" s="23"/>
      <c r="F3724" s="329"/>
      <c r="G3724" s="23"/>
      <c r="H3724" s="23"/>
      <c r="I3724" s="330"/>
      <c r="J3724" s="330"/>
      <c r="K3724" s="23"/>
    </row>
    <row r="3725" spans="1:11" ht="12.75" x14ac:dyDescent="0.2">
      <c r="A3725" s="23"/>
      <c r="B3725" s="328"/>
      <c r="C3725" s="327"/>
      <c r="D3725" s="328"/>
      <c r="E3725" s="23"/>
      <c r="F3725" s="329"/>
      <c r="G3725" s="23"/>
      <c r="H3725" s="23"/>
      <c r="I3725" s="330"/>
      <c r="J3725" s="330"/>
      <c r="K3725" s="23"/>
    </row>
    <row r="3726" spans="1:11" ht="12.75" x14ac:dyDescent="0.2">
      <c r="A3726" s="23"/>
      <c r="B3726" s="328"/>
      <c r="C3726" s="327"/>
      <c r="D3726" s="328"/>
      <c r="E3726" s="23"/>
      <c r="F3726" s="329"/>
      <c r="G3726" s="23"/>
      <c r="H3726" s="23"/>
      <c r="I3726" s="330"/>
      <c r="J3726" s="330"/>
      <c r="K3726" s="23"/>
    </row>
    <row r="3727" spans="1:11" ht="12.75" x14ac:dyDescent="0.2">
      <c r="A3727" s="23"/>
      <c r="B3727" s="328"/>
      <c r="C3727" s="327"/>
      <c r="D3727" s="328"/>
      <c r="E3727" s="23"/>
      <c r="F3727" s="329"/>
      <c r="G3727" s="23"/>
      <c r="H3727" s="23"/>
      <c r="I3727" s="330"/>
      <c r="J3727" s="330"/>
      <c r="K3727" s="23"/>
    </row>
    <row r="3728" spans="1:11" ht="12.75" x14ac:dyDescent="0.2">
      <c r="A3728" s="23"/>
      <c r="B3728" s="328"/>
      <c r="C3728" s="327"/>
      <c r="D3728" s="328"/>
      <c r="E3728" s="23"/>
      <c r="F3728" s="329"/>
      <c r="G3728" s="23"/>
      <c r="H3728" s="23"/>
      <c r="I3728" s="330"/>
      <c r="J3728" s="330"/>
      <c r="K3728" s="23"/>
    </row>
    <row r="3729" spans="1:11" ht="12.75" x14ac:dyDescent="0.2">
      <c r="A3729" s="23"/>
      <c r="B3729" s="328"/>
      <c r="C3729" s="327"/>
      <c r="D3729" s="328"/>
      <c r="E3729" s="23"/>
      <c r="F3729" s="329"/>
      <c r="G3729" s="23"/>
      <c r="H3729" s="23"/>
      <c r="I3729" s="330"/>
      <c r="J3729" s="330"/>
      <c r="K3729" s="23"/>
    </row>
    <row r="3730" spans="1:11" ht="12.75" x14ac:dyDescent="0.2">
      <c r="A3730" s="23"/>
      <c r="B3730" s="328"/>
      <c r="C3730" s="327"/>
      <c r="D3730" s="328"/>
      <c r="E3730" s="23"/>
      <c r="F3730" s="329"/>
      <c r="G3730" s="23"/>
      <c r="H3730" s="23"/>
      <c r="I3730" s="330"/>
      <c r="J3730" s="330"/>
      <c r="K3730" s="23"/>
    </row>
    <row r="3731" spans="1:11" ht="12.75" x14ac:dyDescent="0.2">
      <c r="A3731" s="23"/>
      <c r="B3731" s="328"/>
      <c r="C3731" s="327"/>
      <c r="D3731" s="328"/>
      <c r="E3731" s="23"/>
      <c r="F3731" s="329"/>
      <c r="G3731" s="23"/>
      <c r="H3731" s="23"/>
      <c r="I3731" s="330"/>
      <c r="J3731" s="330"/>
      <c r="K3731" s="23"/>
    </row>
    <row r="3732" spans="1:11" ht="12.75" x14ac:dyDescent="0.2">
      <c r="A3732" s="23"/>
      <c r="B3732" s="328"/>
      <c r="C3732" s="327"/>
      <c r="D3732" s="328"/>
      <c r="E3732" s="23"/>
      <c r="F3732" s="329"/>
      <c r="G3732" s="23"/>
      <c r="H3732" s="23"/>
      <c r="I3732" s="330"/>
      <c r="J3732" s="330"/>
      <c r="K3732" s="23"/>
    </row>
    <row r="3733" spans="1:11" ht="12.75" x14ac:dyDescent="0.2">
      <c r="A3733" s="23"/>
      <c r="B3733" s="328"/>
      <c r="C3733" s="327"/>
      <c r="D3733" s="328"/>
      <c r="E3733" s="23"/>
      <c r="F3733" s="329"/>
      <c r="G3733" s="23"/>
      <c r="H3733" s="23"/>
      <c r="I3733" s="330"/>
      <c r="J3733" s="330"/>
      <c r="K3733" s="23"/>
    </row>
    <row r="3734" spans="1:11" ht="12.75" x14ac:dyDescent="0.2">
      <c r="A3734" s="23"/>
      <c r="B3734" s="328"/>
      <c r="C3734" s="327"/>
      <c r="D3734" s="328"/>
      <c r="E3734" s="23"/>
      <c r="F3734" s="329"/>
      <c r="G3734" s="23"/>
      <c r="H3734" s="23"/>
      <c r="I3734" s="330"/>
      <c r="J3734" s="330"/>
      <c r="K3734" s="23"/>
    </row>
    <row r="3735" spans="1:11" ht="12.75" x14ac:dyDescent="0.2">
      <c r="A3735" s="23"/>
      <c r="B3735" s="328"/>
      <c r="C3735" s="327"/>
      <c r="D3735" s="328"/>
      <c r="E3735" s="23"/>
      <c r="F3735" s="329"/>
      <c r="G3735" s="23"/>
      <c r="H3735" s="23"/>
      <c r="I3735" s="330"/>
      <c r="J3735" s="330"/>
      <c r="K3735" s="23"/>
    </row>
    <row r="3736" spans="1:11" ht="12.75" x14ac:dyDescent="0.2">
      <c r="A3736" s="23"/>
      <c r="B3736" s="328"/>
      <c r="C3736" s="327"/>
      <c r="D3736" s="328"/>
      <c r="E3736" s="23"/>
      <c r="F3736" s="329"/>
      <c r="G3736" s="23"/>
      <c r="H3736" s="23"/>
      <c r="I3736" s="330"/>
      <c r="J3736" s="330"/>
      <c r="K3736" s="23"/>
    </row>
    <row r="3737" spans="1:11" ht="12.75" x14ac:dyDescent="0.2">
      <c r="A3737" s="23"/>
      <c r="B3737" s="328"/>
      <c r="C3737" s="327"/>
      <c r="D3737" s="328"/>
      <c r="E3737" s="23"/>
      <c r="F3737" s="329"/>
      <c r="G3737" s="23"/>
      <c r="H3737" s="23"/>
      <c r="I3737" s="330"/>
      <c r="J3737" s="330"/>
      <c r="K3737" s="23"/>
    </row>
    <row r="3738" spans="1:11" ht="12.75" x14ac:dyDescent="0.2">
      <c r="A3738" s="23"/>
      <c r="B3738" s="328"/>
      <c r="C3738" s="327"/>
      <c r="D3738" s="328"/>
      <c r="E3738" s="23"/>
      <c r="F3738" s="329"/>
      <c r="G3738" s="23"/>
      <c r="H3738" s="23"/>
      <c r="I3738" s="330"/>
      <c r="J3738" s="330"/>
      <c r="K3738" s="23"/>
    </row>
    <row r="3739" spans="1:11" ht="12.75" x14ac:dyDescent="0.2">
      <c r="A3739" s="23"/>
      <c r="B3739" s="328"/>
      <c r="C3739" s="327"/>
      <c r="D3739" s="328"/>
      <c r="E3739" s="23"/>
      <c r="F3739" s="329"/>
      <c r="G3739" s="23"/>
      <c r="H3739" s="23"/>
      <c r="I3739" s="330"/>
      <c r="J3739" s="330"/>
      <c r="K3739" s="23"/>
    </row>
    <row r="3740" spans="1:11" ht="12.75" x14ac:dyDescent="0.2">
      <c r="A3740" s="23"/>
      <c r="B3740" s="328"/>
      <c r="C3740" s="327"/>
      <c r="D3740" s="328"/>
      <c r="E3740" s="23"/>
      <c r="F3740" s="329"/>
      <c r="G3740" s="23"/>
      <c r="H3740" s="23"/>
      <c r="I3740" s="330"/>
      <c r="J3740" s="330"/>
      <c r="K3740" s="23"/>
    </row>
    <row r="3741" spans="1:11" ht="12.75" x14ac:dyDescent="0.2">
      <c r="A3741" s="23"/>
      <c r="B3741" s="328"/>
      <c r="C3741" s="327"/>
      <c r="D3741" s="328"/>
      <c r="E3741" s="23"/>
      <c r="F3741" s="329"/>
      <c r="G3741" s="23"/>
      <c r="H3741" s="23"/>
      <c r="I3741" s="330"/>
      <c r="J3741" s="330"/>
      <c r="K3741" s="23"/>
    </row>
    <row r="3742" spans="1:11" ht="12.75" x14ac:dyDescent="0.2">
      <c r="A3742" s="23"/>
      <c r="B3742" s="328"/>
      <c r="C3742" s="327"/>
      <c r="D3742" s="328"/>
      <c r="E3742" s="23"/>
      <c r="F3742" s="329"/>
      <c r="G3742" s="23"/>
      <c r="H3742" s="23"/>
      <c r="I3742" s="330"/>
      <c r="J3742" s="330"/>
      <c r="K3742" s="23"/>
    </row>
    <row r="3743" spans="1:11" ht="12.75" x14ac:dyDescent="0.2">
      <c r="A3743" s="23"/>
      <c r="B3743" s="328"/>
      <c r="C3743" s="327"/>
      <c r="D3743" s="328"/>
      <c r="E3743" s="23"/>
      <c r="F3743" s="329"/>
      <c r="G3743" s="23"/>
      <c r="H3743" s="23"/>
      <c r="I3743" s="330"/>
      <c r="J3743" s="330"/>
      <c r="K3743" s="23"/>
    </row>
    <row r="3744" spans="1:11" ht="12.75" x14ac:dyDescent="0.2">
      <c r="A3744" s="23"/>
      <c r="B3744" s="328"/>
      <c r="C3744" s="327"/>
      <c r="D3744" s="328"/>
      <c r="E3744" s="23"/>
      <c r="F3744" s="329"/>
      <c r="G3744" s="23"/>
      <c r="H3744" s="23"/>
      <c r="I3744" s="330"/>
      <c r="J3744" s="330"/>
      <c r="K3744" s="23"/>
    </row>
    <row r="3745" spans="1:11" ht="12.75" x14ac:dyDescent="0.2">
      <c r="A3745" s="23"/>
      <c r="B3745" s="328"/>
      <c r="C3745" s="327"/>
      <c r="D3745" s="328"/>
      <c r="E3745" s="23"/>
      <c r="F3745" s="329"/>
      <c r="G3745" s="23"/>
      <c r="H3745" s="23"/>
      <c r="I3745" s="330"/>
      <c r="J3745" s="330"/>
      <c r="K3745" s="23"/>
    </row>
    <row r="3746" spans="1:11" ht="12.75" x14ac:dyDescent="0.2">
      <c r="A3746" s="23"/>
      <c r="B3746" s="328"/>
      <c r="C3746" s="327"/>
      <c r="D3746" s="328"/>
      <c r="E3746" s="23"/>
      <c r="F3746" s="329"/>
      <c r="G3746" s="23"/>
      <c r="H3746" s="23"/>
      <c r="I3746" s="330"/>
      <c r="J3746" s="330"/>
      <c r="K3746" s="23"/>
    </row>
    <row r="3747" spans="1:11" ht="12.75" x14ac:dyDescent="0.2">
      <c r="A3747" s="23"/>
      <c r="B3747" s="328"/>
      <c r="C3747" s="327"/>
      <c r="D3747" s="328"/>
      <c r="E3747" s="23"/>
      <c r="F3747" s="329"/>
      <c r="G3747" s="23"/>
      <c r="H3747" s="23"/>
      <c r="I3747" s="330"/>
      <c r="J3747" s="330"/>
      <c r="K3747" s="23"/>
    </row>
    <row r="3748" spans="1:11" ht="12.75" x14ac:dyDescent="0.2">
      <c r="A3748" s="23"/>
      <c r="B3748" s="328"/>
      <c r="C3748" s="327"/>
      <c r="D3748" s="328"/>
      <c r="E3748" s="23"/>
      <c r="F3748" s="329"/>
      <c r="G3748" s="23"/>
      <c r="H3748" s="23"/>
      <c r="I3748" s="330"/>
      <c r="J3748" s="330"/>
      <c r="K3748" s="23"/>
    </row>
    <row r="3749" spans="1:11" ht="12.75" x14ac:dyDescent="0.2">
      <c r="A3749" s="23"/>
      <c r="B3749" s="328"/>
      <c r="C3749" s="327"/>
      <c r="D3749" s="328"/>
      <c r="E3749" s="23"/>
      <c r="F3749" s="329"/>
      <c r="G3749" s="23"/>
      <c r="H3749" s="23"/>
      <c r="I3749" s="330"/>
      <c r="J3749" s="330"/>
      <c r="K3749" s="23"/>
    </row>
    <row r="3750" spans="1:11" ht="12.75" x14ac:dyDescent="0.2">
      <c r="A3750" s="23"/>
      <c r="B3750" s="328"/>
      <c r="C3750" s="327"/>
      <c r="D3750" s="328"/>
      <c r="E3750" s="23"/>
      <c r="F3750" s="329"/>
      <c r="G3750" s="23"/>
      <c r="H3750" s="23"/>
      <c r="I3750" s="330"/>
      <c r="J3750" s="330"/>
      <c r="K3750" s="23"/>
    </row>
    <row r="3751" spans="1:11" ht="12.75" x14ac:dyDescent="0.2">
      <c r="A3751" s="23"/>
      <c r="B3751" s="328"/>
      <c r="C3751" s="327"/>
      <c r="D3751" s="328"/>
      <c r="E3751" s="23"/>
      <c r="F3751" s="329"/>
      <c r="G3751" s="23"/>
      <c r="H3751" s="23"/>
      <c r="I3751" s="330"/>
      <c r="J3751" s="330"/>
      <c r="K3751" s="23"/>
    </row>
    <row r="3752" spans="1:11" ht="12.75" x14ac:dyDescent="0.2">
      <c r="A3752" s="23"/>
      <c r="B3752" s="328"/>
      <c r="C3752" s="327"/>
      <c r="D3752" s="328"/>
      <c r="E3752" s="23"/>
      <c r="F3752" s="329"/>
      <c r="G3752" s="23"/>
      <c r="H3752" s="23"/>
      <c r="I3752" s="330"/>
      <c r="J3752" s="330"/>
      <c r="K3752" s="23"/>
    </row>
    <row r="3753" spans="1:11" ht="12.75" x14ac:dyDescent="0.2">
      <c r="A3753" s="23"/>
      <c r="B3753" s="328"/>
      <c r="C3753" s="327"/>
      <c r="D3753" s="328"/>
      <c r="E3753" s="23"/>
      <c r="F3753" s="329"/>
      <c r="G3753" s="23"/>
      <c r="H3753" s="23"/>
      <c r="I3753" s="330"/>
      <c r="J3753" s="330"/>
      <c r="K3753" s="23"/>
    </row>
    <row r="3754" spans="1:11" ht="12.75" x14ac:dyDescent="0.2">
      <c r="A3754" s="23"/>
      <c r="B3754" s="328"/>
      <c r="C3754" s="327"/>
      <c r="D3754" s="328"/>
      <c r="E3754" s="23"/>
      <c r="F3754" s="329"/>
      <c r="G3754" s="23"/>
      <c r="H3754" s="23"/>
      <c r="I3754" s="330"/>
      <c r="J3754" s="330"/>
      <c r="K3754" s="23"/>
    </row>
    <row r="3755" spans="1:11" ht="12.75" x14ac:dyDescent="0.2">
      <c r="A3755" s="23"/>
      <c r="B3755" s="328"/>
      <c r="C3755" s="327"/>
      <c r="D3755" s="328"/>
      <c r="E3755" s="23"/>
      <c r="F3755" s="329"/>
      <c r="G3755" s="23"/>
      <c r="H3755" s="23"/>
      <c r="I3755" s="330"/>
      <c r="J3755" s="330"/>
      <c r="K3755" s="23"/>
    </row>
    <row r="3756" spans="1:11" ht="12.75" x14ac:dyDescent="0.2">
      <c r="A3756" s="23"/>
      <c r="B3756" s="328"/>
      <c r="C3756" s="327"/>
      <c r="D3756" s="328"/>
      <c r="E3756" s="23"/>
      <c r="F3756" s="329"/>
      <c r="G3756" s="23"/>
      <c r="H3756" s="23"/>
      <c r="I3756" s="330"/>
      <c r="J3756" s="330"/>
      <c r="K3756" s="23"/>
    </row>
    <row r="3757" spans="1:11" ht="12.75" x14ac:dyDescent="0.2">
      <c r="A3757" s="23"/>
      <c r="B3757" s="328"/>
      <c r="C3757" s="327"/>
      <c r="D3757" s="328"/>
      <c r="E3757" s="23"/>
      <c r="F3757" s="329"/>
      <c r="G3757" s="23"/>
      <c r="H3757" s="23"/>
      <c r="I3757" s="330"/>
      <c r="J3757" s="330"/>
      <c r="K3757" s="23"/>
    </row>
    <row r="3758" spans="1:11" ht="12.75" x14ac:dyDescent="0.2">
      <c r="A3758" s="23"/>
      <c r="B3758" s="328"/>
      <c r="C3758" s="327"/>
      <c r="D3758" s="328"/>
      <c r="E3758" s="23"/>
      <c r="F3758" s="329"/>
      <c r="G3758" s="23"/>
      <c r="H3758" s="23"/>
      <c r="I3758" s="330"/>
      <c r="J3758" s="330"/>
      <c r="K3758" s="23"/>
    </row>
    <row r="3759" spans="1:11" ht="12.75" x14ac:dyDescent="0.2">
      <c r="A3759" s="23"/>
      <c r="B3759" s="328"/>
      <c r="C3759" s="327"/>
      <c r="D3759" s="328"/>
      <c r="E3759" s="23"/>
      <c r="F3759" s="329"/>
      <c r="G3759" s="23"/>
      <c r="H3759" s="23"/>
      <c r="I3759" s="330"/>
      <c r="J3759" s="330"/>
      <c r="K3759" s="23"/>
    </row>
    <row r="3760" spans="1:11" ht="12.75" x14ac:dyDescent="0.2">
      <c r="A3760" s="23"/>
      <c r="B3760" s="328"/>
      <c r="C3760" s="327"/>
      <c r="D3760" s="328"/>
      <c r="E3760" s="23"/>
      <c r="F3760" s="329"/>
      <c r="G3760" s="23"/>
      <c r="H3760" s="23"/>
      <c r="I3760" s="330"/>
      <c r="J3760" s="330"/>
      <c r="K3760" s="23"/>
    </row>
    <row r="3761" spans="1:11" ht="12.75" x14ac:dyDescent="0.2">
      <c r="A3761" s="23"/>
      <c r="B3761" s="328"/>
      <c r="C3761" s="327"/>
      <c r="D3761" s="328"/>
      <c r="E3761" s="23"/>
      <c r="F3761" s="329"/>
      <c r="G3761" s="23"/>
      <c r="H3761" s="23"/>
      <c r="I3761" s="330"/>
      <c r="J3761" s="330"/>
      <c r="K3761" s="23"/>
    </row>
    <row r="3762" spans="1:11" ht="12.75" x14ac:dyDescent="0.2">
      <c r="A3762" s="23"/>
      <c r="B3762" s="328"/>
      <c r="C3762" s="327"/>
      <c r="D3762" s="328"/>
      <c r="E3762" s="23"/>
      <c r="F3762" s="329"/>
      <c r="G3762" s="23"/>
      <c r="H3762" s="23"/>
      <c r="I3762" s="330"/>
      <c r="J3762" s="330"/>
      <c r="K3762" s="23"/>
    </row>
    <row r="3763" spans="1:11" ht="12.75" x14ac:dyDescent="0.2">
      <c r="A3763" s="23"/>
      <c r="B3763" s="328"/>
      <c r="C3763" s="327"/>
      <c r="D3763" s="328"/>
      <c r="E3763" s="23"/>
      <c r="F3763" s="329"/>
      <c r="G3763" s="23"/>
      <c r="H3763" s="23"/>
      <c r="I3763" s="330"/>
      <c r="J3763" s="330"/>
      <c r="K3763" s="23"/>
    </row>
    <row r="3764" spans="1:11" ht="12.75" x14ac:dyDescent="0.2">
      <c r="A3764" s="23"/>
      <c r="B3764" s="328"/>
      <c r="C3764" s="327"/>
      <c r="D3764" s="328"/>
      <c r="E3764" s="23"/>
      <c r="F3764" s="329"/>
      <c r="G3764" s="23"/>
      <c r="H3764" s="23"/>
      <c r="I3764" s="330"/>
      <c r="J3764" s="330"/>
      <c r="K3764" s="23"/>
    </row>
    <row r="3765" spans="1:11" ht="12.75" x14ac:dyDescent="0.2">
      <c r="A3765" s="23"/>
      <c r="B3765" s="328"/>
      <c r="C3765" s="327"/>
      <c r="D3765" s="328"/>
      <c r="E3765" s="23"/>
      <c r="F3765" s="329"/>
      <c r="G3765" s="23"/>
      <c r="H3765" s="23"/>
      <c r="I3765" s="330"/>
      <c r="J3765" s="330"/>
      <c r="K3765" s="23"/>
    </row>
    <row r="3766" spans="1:11" ht="12.75" x14ac:dyDescent="0.2">
      <c r="A3766" s="23"/>
      <c r="B3766" s="328"/>
      <c r="C3766" s="327"/>
      <c r="D3766" s="328"/>
      <c r="E3766" s="23"/>
      <c r="F3766" s="329"/>
      <c r="G3766" s="23"/>
      <c r="H3766" s="23"/>
      <c r="I3766" s="330"/>
      <c r="J3766" s="330"/>
      <c r="K3766" s="23"/>
    </row>
    <row r="3767" spans="1:11" ht="12.75" x14ac:dyDescent="0.2">
      <c r="A3767" s="23"/>
      <c r="B3767" s="328"/>
      <c r="C3767" s="327"/>
      <c r="D3767" s="328"/>
      <c r="E3767" s="23"/>
      <c r="F3767" s="329"/>
      <c r="G3767" s="23"/>
      <c r="H3767" s="23"/>
      <c r="I3767" s="330"/>
      <c r="J3767" s="330"/>
      <c r="K3767" s="23"/>
    </row>
    <row r="3768" spans="1:11" ht="12.75" x14ac:dyDescent="0.2">
      <c r="A3768" s="23"/>
      <c r="B3768" s="328"/>
      <c r="C3768" s="327"/>
      <c r="D3768" s="328"/>
      <c r="E3768" s="23"/>
      <c r="F3768" s="329"/>
      <c r="G3768" s="23"/>
      <c r="H3768" s="23"/>
      <c r="I3768" s="330"/>
      <c r="J3768" s="330"/>
      <c r="K3768" s="23"/>
    </row>
    <row r="3769" spans="1:11" ht="12.75" x14ac:dyDescent="0.2">
      <c r="A3769" s="23"/>
      <c r="B3769" s="328"/>
      <c r="C3769" s="327"/>
      <c r="D3769" s="328"/>
      <c r="E3769" s="23"/>
      <c r="F3769" s="329"/>
      <c r="G3769" s="23"/>
      <c r="H3769" s="23"/>
      <c r="I3769" s="330"/>
      <c r="J3769" s="330"/>
      <c r="K3769" s="23"/>
    </row>
    <row r="3770" spans="1:11" ht="12.75" x14ac:dyDescent="0.2">
      <c r="A3770" s="23"/>
      <c r="B3770" s="328"/>
      <c r="C3770" s="327"/>
      <c r="D3770" s="328"/>
      <c r="E3770" s="23"/>
      <c r="F3770" s="329"/>
      <c r="G3770" s="23"/>
      <c r="H3770" s="23"/>
      <c r="I3770" s="330"/>
      <c r="J3770" s="330"/>
      <c r="K3770" s="23"/>
    </row>
    <row r="3771" spans="1:11" ht="12.75" x14ac:dyDescent="0.2">
      <c r="A3771" s="23"/>
      <c r="B3771" s="328"/>
      <c r="C3771" s="327"/>
      <c r="D3771" s="328"/>
      <c r="E3771" s="23"/>
      <c r="F3771" s="329"/>
      <c r="G3771" s="23"/>
      <c r="H3771" s="23"/>
      <c r="I3771" s="330"/>
      <c r="J3771" s="330"/>
      <c r="K3771" s="23"/>
    </row>
    <row r="3772" spans="1:11" ht="12.75" x14ac:dyDescent="0.2">
      <c r="A3772" s="23"/>
      <c r="B3772" s="328"/>
      <c r="C3772" s="327"/>
      <c r="D3772" s="328"/>
      <c r="E3772" s="23"/>
      <c r="F3772" s="329"/>
      <c r="G3772" s="23"/>
      <c r="H3772" s="23"/>
      <c r="I3772" s="330"/>
      <c r="J3772" s="330"/>
      <c r="K3772" s="23"/>
    </row>
    <row r="3773" spans="1:11" ht="12.75" x14ac:dyDescent="0.2">
      <c r="A3773" s="23"/>
      <c r="B3773" s="328"/>
      <c r="C3773" s="327"/>
      <c r="D3773" s="328"/>
      <c r="E3773" s="23"/>
      <c r="F3773" s="329"/>
      <c r="G3773" s="23"/>
      <c r="H3773" s="23"/>
      <c r="I3773" s="330"/>
      <c r="J3773" s="330"/>
      <c r="K3773" s="23"/>
    </row>
    <row r="3774" spans="1:11" ht="12.75" x14ac:dyDescent="0.2">
      <c r="A3774" s="23"/>
      <c r="B3774" s="328"/>
      <c r="C3774" s="327"/>
      <c r="D3774" s="328"/>
      <c r="E3774" s="23"/>
      <c r="F3774" s="329"/>
      <c r="G3774" s="23"/>
      <c r="H3774" s="23"/>
      <c r="I3774" s="330"/>
      <c r="J3774" s="330"/>
      <c r="K3774" s="23"/>
    </row>
    <row r="3775" spans="1:11" ht="12.75" x14ac:dyDescent="0.2">
      <c r="A3775" s="23"/>
      <c r="B3775" s="328"/>
      <c r="C3775" s="327"/>
      <c r="D3775" s="328"/>
      <c r="E3775" s="23"/>
      <c r="F3775" s="329"/>
      <c r="G3775" s="23"/>
      <c r="H3775" s="23"/>
      <c r="I3775" s="330"/>
      <c r="J3775" s="330"/>
      <c r="K3775" s="23"/>
    </row>
    <row r="3776" spans="1:11" ht="12.75" x14ac:dyDescent="0.2">
      <c r="A3776" s="23"/>
      <c r="B3776" s="328"/>
      <c r="C3776" s="327"/>
      <c r="D3776" s="328"/>
      <c r="E3776" s="23"/>
      <c r="F3776" s="329"/>
      <c r="G3776" s="23"/>
      <c r="H3776" s="23"/>
      <c r="I3776" s="330"/>
      <c r="J3776" s="330"/>
      <c r="K3776" s="23"/>
    </row>
    <row r="3777" spans="1:11" ht="12.75" x14ac:dyDescent="0.2">
      <c r="A3777" s="23"/>
      <c r="B3777" s="328"/>
      <c r="C3777" s="327"/>
      <c r="D3777" s="328"/>
      <c r="E3777" s="23"/>
      <c r="F3777" s="329"/>
      <c r="G3777" s="23"/>
      <c r="H3777" s="23"/>
      <c r="I3777" s="330"/>
      <c r="J3777" s="330"/>
      <c r="K3777" s="23"/>
    </row>
    <row r="3778" spans="1:11" ht="12.75" x14ac:dyDescent="0.2">
      <c r="A3778" s="23"/>
      <c r="B3778" s="328"/>
      <c r="C3778" s="327"/>
      <c r="D3778" s="328"/>
      <c r="E3778" s="23"/>
      <c r="F3778" s="329"/>
      <c r="G3778" s="23"/>
      <c r="H3778" s="23"/>
      <c r="I3778" s="330"/>
      <c r="J3778" s="330"/>
      <c r="K3778" s="23"/>
    </row>
    <row r="3779" spans="1:11" ht="12.75" x14ac:dyDescent="0.2">
      <c r="A3779" s="23"/>
      <c r="B3779" s="328"/>
      <c r="C3779" s="327"/>
      <c r="D3779" s="328"/>
      <c r="E3779" s="23"/>
      <c r="F3779" s="329"/>
      <c r="G3779" s="23"/>
      <c r="H3779" s="23"/>
      <c r="I3779" s="330"/>
      <c r="J3779" s="330"/>
      <c r="K3779" s="23"/>
    </row>
    <row r="3780" spans="1:11" ht="12.75" x14ac:dyDescent="0.2">
      <c r="A3780" s="23"/>
      <c r="B3780" s="328"/>
      <c r="C3780" s="327"/>
      <c r="D3780" s="328"/>
      <c r="E3780" s="23"/>
      <c r="F3780" s="329"/>
      <c r="G3780" s="23"/>
      <c r="H3780" s="23"/>
      <c r="I3780" s="330"/>
      <c r="J3780" s="330"/>
      <c r="K3780" s="23"/>
    </row>
    <row r="3781" spans="1:11" ht="12.75" x14ac:dyDescent="0.2">
      <c r="A3781" s="23"/>
      <c r="B3781" s="328"/>
      <c r="C3781" s="327"/>
      <c r="D3781" s="328"/>
      <c r="E3781" s="23"/>
      <c r="F3781" s="329"/>
      <c r="G3781" s="23"/>
      <c r="H3781" s="23"/>
      <c r="I3781" s="330"/>
      <c r="J3781" s="330"/>
      <c r="K3781" s="23"/>
    </row>
    <row r="3782" spans="1:11" ht="12.75" x14ac:dyDescent="0.2">
      <c r="A3782" s="23"/>
      <c r="B3782" s="328"/>
      <c r="C3782" s="327"/>
      <c r="D3782" s="328"/>
      <c r="E3782" s="23"/>
      <c r="F3782" s="329"/>
      <c r="G3782" s="23"/>
      <c r="H3782" s="23"/>
      <c r="I3782" s="330"/>
      <c r="J3782" s="330"/>
      <c r="K3782" s="23"/>
    </row>
    <row r="3783" spans="1:11" ht="12.75" x14ac:dyDescent="0.2">
      <c r="A3783" s="23"/>
      <c r="B3783" s="328"/>
      <c r="C3783" s="327"/>
      <c r="D3783" s="328"/>
      <c r="E3783" s="23"/>
      <c r="F3783" s="329"/>
      <c r="G3783" s="23"/>
      <c r="H3783" s="23"/>
      <c r="I3783" s="330"/>
      <c r="J3783" s="330"/>
      <c r="K3783" s="23"/>
    </row>
    <row r="3784" spans="1:11" ht="12.75" x14ac:dyDescent="0.2">
      <c r="A3784" s="23"/>
      <c r="B3784" s="328"/>
      <c r="C3784" s="327"/>
      <c r="D3784" s="328"/>
      <c r="E3784" s="23"/>
      <c r="F3784" s="329"/>
      <c r="G3784" s="23"/>
      <c r="H3784" s="23"/>
      <c r="I3784" s="330"/>
      <c r="J3784" s="330"/>
      <c r="K3784" s="23"/>
    </row>
    <row r="3785" spans="1:11" ht="12.75" x14ac:dyDescent="0.2">
      <c r="A3785" s="23"/>
      <c r="B3785" s="328"/>
      <c r="C3785" s="327"/>
      <c r="D3785" s="328"/>
      <c r="E3785" s="23"/>
      <c r="F3785" s="329"/>
      <c r="G3785" s="23"/>
      <c r="H3785" s="23"/>
      <c r="I3785" s="330"/>
      <c r="J3785" s="330"/>
      <c r="K3785" s="23"/>
    </row>
    <row r="3786" spans="1:11" ht="12.75" x14ac:dyDescent="0.2">
      <c r="A3786" s="23"/>
      <c r="B3786" s="328"/>
      <c r="C3786" s="327"/>
      <c r="D3786" s="328"/>
      <c r="E3786" s="23"/>
      <c r="F3786" s="329"/>
      <c r="G3786" s="23"/>
      <c r="H3786" s="23"/>
      <c r="I3786" s="330"/>
      <c r="J3786" s="330"/>
      <c r="K3786" s="23"/>
    </row>
    <row r="3787" spans="1:11" ht="12.75" x14ac:dyDescent="0.2">
      <c r="A3787" s="23"/>
      <c r="B3787" s="328"/>
      <c r="C3787" s="327"/>
      <c r="D3787" s="328"/>
      <c r="E3787" s="23"/>
      <c r="F3787" s="329"/>
      <c r="G3787" s="23"/>
      <c r="H3787" s="23"/>
      <c r="I3787" s="330"/>
      <c r="J3787" s="330"/>
      <c r="K3787" s="23"/>
    </row>
    <row r="3788" spans="1:11" ht="12.75" x14ac:dyDescent="0.2">
      <c r="A3788" s="23"/>
      <c r="B3788" s="328"/>
      <c r="C3788" s="327"/>
      <c r="D3788" s="328"/>
      <c r="E3788" s="23"/>
      <c r="F3788" s="329"/>
      <c r="G3788" s="23"/>
      <c r="H3788" s="23"/>
      <c r="I3788" s="330"/>
      <c r="J3788" s="330"/>
      <c r="K3788" s="23"/>
    </row>
    <row r="3789" spans="1:11" ht="12.75" x14ac:dyDescent="0.2">
      <c r="A3789" s="23"/>
      <c r="B3789" s="328"/>
      <c r="C3789" s="327"/>
      <c r="D3789" s="328"/>
      <c r="E3789" s="23"/>
      <c r="F3789" s="329"/>
      <c r="G3789" s="23"/>
      <c r="H3789" s="23"/>
      <c r="I3789" s="330"/>
      <c r="J3789" s="330"/>
      <c r="K3789" s="23"/>
    </row>
    <row r="3790" spans="1:11" ht="12.75" x14ac:dyDescent="0.2">
      <c r="A3790" s="23"/>
      <c r="B3790" s="328"/>
      <c r="C3790" s="327"/>
      <c r="D3790" s="328"/>
      <c r="E3790" s="23"/>
      <c r="F3790" s="329"/>
      <c r="G3790" s="23"/>
      <c r="H3790" s="23"/>
      <c r="I3790" s="330"/>
      <c r="J3790" s="330"/>
      <c r="K3790" s="23"/>
    </row>
    <row r="3791" spans="1:11" ht="12.75" x14ac:dyDescent="0.2">
      <c r="A3791" s="23"/>
      <c r="B3791" s="328"/>
      <c r="C3791" s="327"/>
      <c r="D3791" s="328"/>
      <c r="E3791" s="23"/>
      <c r="F3791" s="329"/>
      <c r="G3791" s="23"/>
      <c r="H3791" s="23"/>
      <c r="I3791" s="330"/>
      <c r="J3791" s="330"/>
      <c r="K3791" s="23"/>
    </row>
    <row r="3792" spans="1:11" ht="12.75" x14ac:dyDescent="0.2">
      <c r="A3792" s="23"/>
      <c r="B3792" s="328"/>
      <c r="C3792" s="327"/>
      <c r="D3792" s="328"/>
      <c r="E3792" s="23"/>
      <c r="F3792" s="329"/>
      <c r="G3792" s="23"/>
      <c r="H3792" s="23"/>
      <c r="I3792" s="330"/>
      <c r="J3792" s="330"/>
      <c r="K3792" s="23"/>
    </row>
    <row r="3793" spans="1:11" ht="12.75" x14ac:dyDescent="0.2">
      <c r="A3793" s="23"/>
      <c r="B3793" s="328"/>
      <c r="C3793" s="327"/>
      <c r="D3793" s="328"/>
      <c r="E3793" s="23"/>
      <c r="F3793" s="329"/>
      <c r="G3793" s="23"/>
      <c r="H3793" s="23"/>
      <c r="I3793" s="330"/>
      <c r="J3793" s="330"/>
      <c r="K3793" s="23"/>
    </row>
    <row r="3794" spans="1:11" ht="12.75" x14ac:dyDescent="0.2">
      <c r="A3794" s="23"/>
      <c r="B3794" s="328"/>
      <c r="C3794" s="327"/>
      <c r="D3794" s="328"/>
      <c r="E3794" s="23"/>
      <c r="F3794" s="329"/>
      <c r="G3794" s="23"/>
      <c r="H3794" s="23"/>
      <c r="I3794" s="330"/>
      <c r="J3794" s="330"/>
      <c r="K3794" s="23"/>
    </row>
    <row r="3795" spans="1:11" ht="12.75" x14ac:dyDescent="0.2">
      <c r="A3795" s="23"/>
      <c r="B3795" s="328"/>
      <c r="C3795" s="327"/>
      <c r="D3795" s="328"/>
      <c r="E3795" s="23"/>
      <c r="F3795" s="329"/>
      <c r="G3795" s="23"/>
      <c r="H3795" s="23"/>
      <c r="I3795" s="330"/>
      <c r="J3795" s="330"/>
      <c r="K3795" s="23"/>
    </row>
    <row r="3796" spans="1:11" ht="12.75" x14ac:dyDescent="0.2">
      <c r="A3796" s="23"/>
      <c r="B3796" s="328"/>
      <c r="C3796" s="327"/>
      <c r="D3796" s="328"/>
      <c r="E3796" s="23"/>
      <c r="F3796" s="329"/>
      <c r="G3796" s="23"/>
      <c r="H3796" s="23"/>
      <c r="I3796" s="330"/>
      <c r="J3796" s="330"/>
      <c r="K3796" s="23"/>
    </row>
    <row r="3797" spans="1:11" ht="12.75" x14ac:dyDescent="0.2">
      <c r="A3797" s="23"/>
      <c r="B3797" s="328"/>
      <c r="C3797" s="327"/>
      <c r="D3797" s="328"/>
      <c r="E3797" s="23"/>
      <c r="F3797" s="329"/>
      <c r="G3797" s="23"/>
      <c r="H3797" s="23"/>
      <c r="I3797" s="330"/>
      <c r="J3797" s="330"/>
      <c r="K3797" s="23"/>
    </row>
    <row r="3798" spans="1:11" ht="12.75" x14ac:dyDescent="0.2">
      <c r="A3798" s="23"/>
      <c r="B3798" s="328"/>
      <c r="C3798" s="327"/>
      <c r="D3798" s="328"/>
      <c r="E3798" s="23"/>
      <c r="F3798" s="329"/>
      <c r="G3798" s="23"/>
      <c r="H3798" s="23"/>
      <c r="I3798" s="330"/>
      <c r="J3798" s="330"/>
      <c r="K3798" s="23"/>
    </row>
    <row r="3799" spans="1:11" ht="12.75" x14ac:dyDescent="0.2">
      <c r="A3799" s="23"/>
      <c r="B3799" s="328"/>
      <c r="C3799" s="327"/>
      <c r="D3799" s="328"/>
      <c r="E3799" s="23"/>
      <c r="F3799" s="329"/>
      <c r="G3799" s="23"/>
      <c r="H3799" s="23"/>
      <c r="I3799" s="330"/>
      <c r="J3799" s="330"/>
      <c r="K3799" s="23"/>
    </row>
    <row r="3800" spans="1:11" ht="12.75" x14ac:dyDescent="0.2">
      <c r="A3800" s="23"/>
      <c r="B3800" s="328"/>
      <c r="C3800" s="327"/>
      <c r="D3800" s="328"/>
      <c r="E3800" s="23"/>
      <c r="F3800" s="329"/>
      <c r="G3800" s="23"/>
      <c r="H3800" s="23"/>
      <c r="I3800" s="330"/>
      <c r="J3800" s="330"/>
      <c r="K3800" s="23"/>
    </row>
    <row r="3801" spans="1:11" ht="12.75" x14ac:dyDescent="0.2">
      <c r="A3801" s="23"/>
      <c r="B3801" s="328"/>
      <c r="C3801" s="327"/>
      <c r="D3801" s="328"/>
      <c r="E3801" s="23"/>
      <c r="F3801" s="329"/>
      <c r="G3801" s="23"/>
      <c r="H3801" s="23"/>
      <c r="I3801" s="330"/>
      <c r="J3801" s="330"/>
      <c r="K3801" s="23"/>
    </row>
    <row r="3802" spans="1:11" ht="12.75" x14ac:dyDescent="0.2">
      <c r="A3802" s="23"/>
      <c r="B3802" s="328"/>
      <c r="C3802" s="327"/>
      <c r="D3802" s="328"/>
      <c r="E3802" s="23"/>
      <c r="F3802" s="329"/>
      <c r="G3802" s="23"/>
      <c r="H3802" s="23"/>
      <c r="I3802" s="330"/>
      <c r="J3802" s="330"/>
      <c r="K3802" s="23"/>
    </row>
    <row r="3803" spans="1:11" ht="12.75" x14ac:dyDescent="0.2">
      <c r="A3803" s="23"/>
      <c r="B3803" s="328"/>
      <c r="C3803" s="327"/>
      <c r="D3803" s="328"/>
      <c r="E3803" s="23"/>
      <c r="F3803" s="329"/>
      <c r="G3803" s="23"/>
      <c r="H3803" s="23"/>
      <c r="I3803" s="330"/>
      <c r="J3803" s="330"/>
      <c r="K3803" s="23"/>
    </row>
    <row r="3804" spans="1:11" ht="12.75" x14ac:dyDescent="0.2">
      <c r="A3804" s="23"/>
      <c r="B3804" s="328"/>
      <c r="C3804" s="327"/>
      <c r="D3804" s="328"/>
      <c r="E3804" s="23"/>
      <c r="F3804" s="329"/>
      <c r="G3804" s="23"/>
      <c r="H3804" s="23"/>
      <c r="I3804" s="330"/>
      <c r="J3804" s="330"/>
      <c r="K3804" s="23"/>
    </row>
    <row r="3805" spans="1:11" ht="12.75" x14ac:dyDescent="0.2">
      <c r="A3805" s="23"/>
      <c r="B3805" s="328"/>
      <c r="C3805" s="327"/>
      <c r="D3805" s="328"/>
      <c r="E3805" s="23"/>
      <c r="F3805" s="329"/>
      <c r="G3805" s="23"/>
      <c r="H3805" s="23"/>
      <c r="I3805" s="330"/>
      <c r="J3805" s="330"/>
      <c r="K3805" s="23"/>
    </row>
    <row r="3806" spans="1:11" ht="12.75" x14ac:dyDescent="0.2">
      <c r="A3806" s="23"/>
      <c r="B3806" s="328"/>
      <c r="C3806" s="327"/>
      <c r="D3806" s="328"/>
      <c r="E3806" s="23"/>
      <c r="F3806" s="329"/>
      <c r="G3806" s="23"/>
      <c r="H3806" s="23"/>
      <c r="I3806" s="330"/>
      <c r="J3806" s="330"/>
      <c r="K3806" s="23"/>
    </row>
    <row r="3807" spans="1:11" ht="12.75" x14ac:dyDescent="0.2">
      <c r="A3807" s="23"/>
      <c r="B3807" s="328"/>
      <c r="C3807" s="327"/>
      <c r="D3807" s="328"/>
      <c r="E3807" s="23"/>
      <c r="F3807" s="329"/>
      <c r="G3807" s="23"/>
      <c r="H3807" s="23"/>
      <c r="I3807" s="330"/>
      <c r="J3807" s="330"/>
      <c r="K3807" s="23"/>
    </row>
    <row r="3808" spans="1:11" ht="12.75" x14ac:dyDescent="0.2">
      <c r="A3808" s="23"/>
      <c r="B3808" s="328"/>
      <c r="C3808" s="327"/>
      <c r="D3808" s="328"/>
      <c r="E3808" s="23"/>
      <c r="F3808" s="329"/>
      <c r="G3808" s="23"/>
      <c r="H3808" s="23"/>
      <c r="I3808" s="330"/>
      <c r="J3808" s="330"/>
      <c r="K3808" s="23"/>
    </row>
    <row r="3809" spans="1:11" ht="12.75" x14ac:dyDescent="0.2">
      <c r="A3809" s="23"/>
      <c r="B3809" s="328"/>
      <c r="C3809" s="327"/>
      <c r="D3809" s="328"/>
      <c r="E3809" s="23"/>
      <c r="F3809" s="329"/>
      <c r="G3809" s="23"/>
      <c r="H3809" s="23"/>
      <c r="I3809" s="330"/>
      <c r="J3809" s="330"/>
      <c r="K3809" s="23"/>
    </row>
    <row r="3810" spans="1:11" ht="12.75" x14ac:dyDescent="0.2">
      <c r="A3810" s="23"/>
      <c r="B3810" s="328"/>
      <c r="C3810" s="327"/>
      <c r="D3810" s="328"/>
      <c r="E3810" s="23"/>
      <c r="F3810" s="329"/>
      <c r="G3810" s="23"/>
      <c r="H3810" s="23"/>
      <c r="I3810" s="330"/>
      <c r="J3810" s="330"/>
      <c r="K3810" s="23"/>
    </row>
    <row r="3811" spans="1:11" ht="12.75" x14ac:dyDescent="0.2">
      <c r="A3811" s="23"/>
      <c r="B3811" s="328"/>
      <c r="C3811" s="327"/>
      <c r="D3811" s="328"/>
      <c r="E3811" s="23"/>
      <c r="F3811" s="329"/>
      <c r="G3811" s="23"/>
      <c r="H3811" s="23"/>
      <c r="I3811" s="330"/>
      <c r="J3811" s="330"/>
      <c r="K3811" s="23"/>
    </row>
    <row r="3812" spans="1:11" ht="12.75" x14ac:dyDescent="0.2">
      <c r="A3812" s="23"/>
      <c r="B3812" s="328"/>
      <c r="C3812" s="327"/>
      <c r="D3812" s="328"/>
      <c r="E3812" s="23"/>
      <c r="F3812" s="329"/>
      <c r="G3812" s="23"/>
      <c r="H3812" s="23"/>
      <c r="I3812" s="330"/>
      <c r="J3812" s="330"/>
      <c r="K3812" s="23"/>
    </row>
    <row r="3813" spans="1:11" ht="12.75" x14ac:dyDescent="0.2">
      <c r="A3813" s="23"/>
      <c r="B3813" s="328"/>
      <c r="C3813" s="327"/>
      <c r="D3813" s="328"/>
      <c r="E3813" s="23"/>
      <c r="F3813" s="329"/>
      <c r="G3813" s="23"/>
      <c r="H3813" s="23"/>
      <c r="I3813" s="330"/>
      <c r="J3813" s="330"/>
      <c r="K3813" s="23"/>
    </row>
    <row r="3814" spans="1:11" ht="12.75" x14ac:dyDescent="0.2">
      <c r="A3814" s="23"/>
      <c r="B3814" s="328"/>
      <c r="C3814" s="327"/>
      <c r="D3814" s="328"/>
      <c r="E3814" s="23"/>
      <c r="F3814" s="329"/>
      <c r="G3814" s="23"/>
      <c r="H3814" s="23"/>
      <c r="I3814" s="330"/>
      <c r="J3814" s="330"/>
      <c r="K3814" s="23"/>
    </row>
    <row r="3815" spans="1:11" ht="12.75" x14ac:dyDescent="0.2">
      <c r="A3815" s="23"/>
      <c r="B3815" s="328"/>
      <c r="C3815" s="327"/>
      <c r="D3815" s="328"/>
      <c r="E3815" s="23"/>
      <c r="F3815" s="329"/>
      <c r="G3815" s="23"/>
      <c r="H3815" s="23"/>
      <c r="I3815" s="330"/>
      <c r="J3815" s="330"/>
      <c r="K3815" s="23"/>
    </row>
    <row r="3816" spans="1:11" ht="12.75" x14ac:dyDescent="0.2">
      <c r="A3816" s="23"/>
      <c r="B3816" s="328"/>
      <c r="C3816" s="327"/>
      <c r="D3816" s="328"/>
      <c r="E3816" s="23"/>
      <c r="F3816" s="329"/>
      <c r="G3816" s="23"/>
      <c r="H3816" s="23"/>
      <c r="I3816" s="330"/>
      <c r="J3816" s="330"/>
      <c r="K3816" s="23"/>
    </row>
    <row r="3817" spans="1:11" ht="12.75" x14ac:dyDescent="0.2">
      <c r="A3817" s="23"/>
      <c r="B3817" s="328"/>
      <c r="C3817" s="327"/>
      <c r="D3817" s="328"/>
      <c r="E3817" s="23"/>
      <c r="F3817" s="329"/>
      <c r="G3817" s="23"/>
      <c r="H3817" s="23"/>
      <c r="I3817" s="330"/>
      <c r="J3817" s="330"/>
      <c r="K3817" s="23"/>
    </row>
    <row r="3818" spans="1:11" ht="12.75" x14ac:dyDescent="0.2">
      <c r="A3818" s="23"/>
      <c r="B3818" s="328"/>
      <c r="C3818" s="327"/>
      <c r="D3818" s="328"/>
      <c r="E3818" s="23"/>
      <c r="F3818" s="329"/>
      <c r="G3818" s="23"/>
      <c r="H3818" s="23"/>
      <c r="I3818" s="330"/>
      <c r="J3818" s="330"/>
      <c r="K3818" s="23"/>
    </row>
    <row r="3819" spans="1:11" ht="12.75" x14ac:dyDescent="0.2">
      <c r="A3819" s="23"/>
      <c r="B3819" s="328"/>
      <c r="C3819" s="327"/>
      <c r="D3819" s="328"/>
      <c r="E3819" s="23"/>
      <c r="F3819" s="329"/>
      <c r="G3819" s="23"/>
      <c r="H3819" s="23"/>
      <c r="I3819" s="330"/>
      <c r="J3819" s="330"/>
      <c r="K3819" s="23"/>
    </row>
    <row r="3820" spans="1:11" ht="12.75" x14ac:dyDescent="0.2">
      <c r="A3820" s="23"/>
      <c r="B3820" s="328"/>
      <c r="C3820" s="327"/>
      <c r="D3820" s="328"/>
      <c r="E3820" s="23"/>
      <c r="F3820" s="329"/>
      <c r="G3820" s="23"/>
      <c r="H3820" s="23"/>
      <c r="I3820" s="330"/>
      <c r="J3820" s="330"/>
      <c r="K3820" s="23"/>
    </row>
    <row r="3821" spans="1:11" ht="12.75" x14ac:dyDescent="0.2">
      <c r="A3821" s="23"/>
      <c r="B3821" s="328"/>
      <c r="C3821" s="327"/>
      <c r="D3821" s="328"/>
      <c r="E3821" s="23"/>
      <c r="F3821" s="329"/>
      <c r="G3821" s="23"/>
      <c r="H3821" s="23"/>
      <c r="I3821" s="330"/>
      <c r="J3821" s="330"/>
      <c r="K3821" s="23"/>
    </row>
    <row r="3822" spans="1:11" ht="12.75" x14ac:dyDescent="0.2">
      <c r="A3822" s="23"/>
      <c r="B3822" s="328"/>
      <c r="C3822" s="327"/>
      <c r="D3822" s="328"/>
      <c r="E3822" s="23"/>
      <c r="F3822" s="329"/>
      <c r="G3822" s="23"/>
      <c r="H3822" s="23"/>
      <c r="I3822" s="330"/>
      <c r="J3822" s="330"/>
      <c r="K3822" s="23"/>
    </row>
    <row r="3823" spans="1:11" ht="12.75" x14ac:dyDescent="0.2">
      <c r="A3823" s="23"/>
      <c r="B3823" s="328"/>
      <c r="C3823" s="327"/>
      <c r="D3823" s="328"/>
      <c r="E3823" s="23"/>
      <c r="F3823" s="329"/>
      <c r="G3823" s="23"/>
      <c r="H3823" s="23"/>
      <c r="I3823" s="330"/>
      <c r="J3823" s="330"/>
      <c r="K3823" s="23"/>
    </row>
    <row r="3824" spans="1:11" ht="12.75" x14ac:dyDescent="0.2">
      <c r="A3824" s="23"/>
      <c r="B3824" s="328"/>
      <c r="C3824" s="327"/>
      <c r="D3824" s="328"/>
      <c r="E3824" s="23"/>
      <c r="F3824" s="329"/>
      <c r="G3824" s="23"/>
      <c r="H3824" s="23"/>
      <c r="I3824" s="330"/>
      <c r="J3824" s="330"/>
      <c r="K3824" s="23"/>
    </row>
    <row r="3825" spans="1:11" ht="12.75" x14ac:dyDescent="0.2">
      <c r="A3825" s="23"/>
      <c r="B3825" s="328"/>
      <c r="C3825" s="327"/>
      <c r="D3825" s="328"/>
      <c r="E3825" s="23"/>
      <c r="F3825" s="329"/>
      <c r="G3825" s="23"/>
      <c r="H3825" s="23"/>
      <c r="I3825" s="330"/>
      <c r="J3825" s="330"/>
      <c r="K3825" s="23"/>
    </row>
    <row r="3826" spans="1:11" ht="12.75" x14ac:dyDescent="0.2">
      <c r="A3826" s="23"/>
      <c r="B3826" s="328"/>
      <c r="C3826" s="327"/>
      <c r="D3826" s="328"/>
      <c r="E3826" s="23"/>
      <c r="F3826" s="329"/>
      <c r="G3826" s="23"/>
      <c r="H3826" s="23"/>
      <c r="I3826" s="330"/>
      <c r="J3826" s="330"/>
      <c r="K3826" s="23"/>
    </row>
    <row r="3827" spans="1:11" ht="12.75" x14ac:dyDescent="0.2">
      <c r="A3827" s="23"/>
      <c r="B3827" s="328"/>
      <c r="C3827" s="327"/>
      <c r="D3827" s="328"/>
      <c r="E3827" s="23"/>
      <c r="F3827" s="329"/>
      <c r="G3827" s="23"/>
      <c r="H3827" s="23"/>
      <c r="I3827" s="330"/>
      <c r="J3827" s="330"/>
      <c r="K3827" s="23"/>
    </row>
    <row r="3828" spans="1:11" ht="12.75" x14ac:dyDescent="0.2">
      <c r="A3828" s="23"/>
      <c r="B3828" s="328"/>
      <c r="C3828" s="327"/>
      <c r="D3828" s="328"/>
      <c r="E3828" s="23"/>
      <c r="F3828" s="329"/>
      <c r="G3828" s="23"/>
      <c r="H3828" s="23"/>
      <c r="I3828" s="330"/>
      <c r="J3828" s="330"/>
      <c r="K3828" s="23"/>
    </row>
    <row r="3829" spans="1:11" ht="12.75" x14ac:dyDescent="0.2">
      <c r="A3829" s="23"/>
      <c r="B3829" s="328"/>
      <c r="C3829" s="327"/>
      <c r="D3829" s="328"/>
      <c r="E3829" s="23"/>
      <c r="F3829" s="329"/>
      <c r="G3829" s="23"/>
      <c r="H3829" s="23"/>
      <c r="I3829" s="330"/>
      <c r="J3829" s="330"/>
      <c r="K3829" s="23"/>
    </row>
    <row r="3830" spans="1:11" ht="12.75" x14ac:dyDescent="0.2">
      <c r="A3830" s="23"/>
      <c r="B3830" s="328"/>
      <c r="C3830" s="327"/>
      <c r="D3830" s="328"/>
      <c r="E3830" s="23"/>
      <c r="F3830" s="329"/>
      <c r="G3830" s="23"/>
      <c r="H3830" s="23"/>
      <c r="I3830" s="330"/>
      <c r="J3830" s="330"/>
      <c r="K3830" s="23"/>
    </row>
    <row r="3831" spans="1:11" ht="12.75" x14ac:dyDescent="0.2">
      <c r="A3831" s="23"/>
      <c r="B3831" s="328"/>
      <c r="C3831" s="327"/>
      <c r="D3831" s="328"/>
      <c r="E3831" s="23"/>
      <c r="F3831" s="329"/>
      <c r="G3831" s="23"/>
      <c r="H3831" s="23"/>
      <c r="I3831" s="330"/>
      <c r="J3831" s="330"/>
      <c r="K3831" s="23"/>
    </row>
    <row r="3832" spans="1:11" ht="12.75" x14ac:dyDescent="0.2">
      <c r="A3832" s="23"/>
      <c r="B3832" s="328"/>
      <c r="C3832" s="327"/>
      <c r="D3832" s="328"/>
      <c r="E3832" s="23"/>
      <c r="F3832" s="329"/>
      <c r="G3832" s="23"/>
      <c r="H3832" s="23"/>
      <c r="I3832" s="330"/>
      <c r="J3832" s="330"/>
      <c r="K3832" s="23"/>
    </row>
    <row r="3833" spans="1:11" ht="12.75" x14ac:dyDescent="0.2">
      <c r="A3833" s="23"/>
      <c r="B3833" s="328"/>
      <c r="C3833" s="327"/>
      <c r="D3833" s="328"/>
      <c r="E3833" s="23"/>
      <c r="F3833" s="329"/>
      <c r="G3833" s="23"/>
      <c r="H3833" s="23"/>
      <c r="I3833" s="330"/>
      <c r="J3833" s="330"/>
      <c r="K3833" s="23"/>
    </row>
    <row r="3834" spans="1:11" ht="12.75" x14ac:dyDescent="0.2">
      <c r="A3834" s="23"/>
      <c r="B3834" s="328"/>
      <c r="C3834" s="327"/>
      <c r="D3834" s="328"/>
      <c r="E3834" s="23"/>
      <c r="F3834" s="329"/>
      <c r="G3834" s="23"/>
      <c r="H3834" s="23"/>
      <c r="I3834" s="330"/>
      <c r="J3834" s="330"/>
      <c r="K3834" s="23"/>
    </row>
    <row r="3835" spans="1:11" ht="12.75" x14ac:dyDescent="0.2">
      <c r="A3835" s="23"/>
      <c r="B3835" s="328"/>
      <c r="C3835" s="327"/>
      <c r="D3835" s="328"/>
      <c r="E3835" s="23"/>
      <c r="F3835" s="329"/>
      <c r="G3835" s="23"/>
      <c r="H3835" s="23"/>
      <c r="I3835" s="330"/>
      <c r="J3835" s="330"/>
      <c r="K3835" s="23"/>
    </row>
    <row r="3836" spans="1:11" ht="12.75" x14ac:dyDescent="0.2">
      <c r="A3836" s="23"/>
      <c r="B3836" s="328"/>
      <c r="C3836" s="327"/>
      <c r="D3836" s="328"/>
      <c r="E3836" s="23"/>
      <c r="F3836" s="329"/>
      <c r="G3836" s="23"/>
      <c r="H3836" s="23"/>
      <c r="I3836" s="330"/>
      <c r="J3836" s="330"/>
      <c r="K3836" s="23"/>
    </row>
    <row r="3837" spans="1:11" ht="12.75" x14ac:dyDescent="0.2">
      <c r="A3837" s="23"/>
      <c r="B3837" s="328"/>
      <c r="C3837" s="327"/>
      <c r="D3837" s="328"/>
      <c r="E3837" s="23"/>
      <c r="F3837" s="329"/>
      <c r="G3837" s="23"/>
      <c r="H3837" s="23"/>
      <c r="I3837" s="330"/>
      <c r="J3837" s="330"/>
      <c r="K3837" s="23"/>
    </row>
    <row r="3838" spans="1:11" ht="12.75" x14ac:dyDescent="0.2">
      <c r="A3838" s="23"/>
      <c r="B3838" s="328"/>
      <c r="C3838" s="327"/>
      <c r="D3838" s="328"/>
      <c r="E3838" s="23"/>
      <c r="F3838" s="329"/>
      <c r="G3838" s="23"/>
      <c r="H3838" s="23"/>
      <c r="I3838" s="330"/>
      <c r="J3838" s="330"/>
      <c r="K3838" s="23"/>
    </row>
    <row r="3839" spans="1:11" ht="12.75" x14ac:dyDescent="0.2">
      <c r="A3839" s="23"/>
      <c r="B3839" s="328"/>
      <c r="C3839" s="327"/>
      <c r="D3839" s="328"/>
      <c r="E3839" s="23"/>
      <c r="F3839" s="329"/>
      <c r="G3839" s="23"/>
      <c r="H3839" s="23"/>
      <c r="I3839" s="330"/>
      <c r="J3839" s="330"/>
      <c r="K3839" s="23"/>
    </row>
    <row r="3840" spans="1:11" ht="12.75" x14ac:dyDescent="0.2">
      <c r="A3840" s="23"/>
      <c r="B3840" s="328"/>
      <c r="C3840" s="327"/>
      <c r="D3840" s="328"/>
      <c r="E3840" s="23"/>
      <c r="F3840" s="329"/>
      <c r="G3840" s="23"/>
      <c r="H3840" s="23"/>
      <c r="I3840" s="330"/>
      <c r="J3840" s="330"/>
      <c r="K3840" s="23"/>
    </row>
    <row r="3841" spans="1:11" ht="12.75" x14ac:dyDescent="0.2">
      <c r="A3841" s="23"/>
      <c r="B3841" s="328"/>
      <c r="C3841" s="327"/>
      <c r="D3841" s="328"/>
      <c r="E3841" s="23"/>
      <c r="F3841" s="329"/>
      <c r="G3841" s="23"/>
      <c r="H3841" s="23"/>
      <c r="I3841" s="330"/>
      <c r="J3841" s="330"/>
      <c r="K3841" s="23"/>
    </row>
    <row r="3842" spans="1:11" ht="12.75" x14ac:dyDescent="0.2">
      <c r="A3842" s="23"/>
      <c r="B3842" s="328"/>
      <c r="C3842" s="327"/>
      <c r="D3842" s="328"/>
      <c r="E3842" s="23"/>
      <c r="F3842" s="329"/>
      <c r="G3842" s="23"/>
      <c r="H3842" s="23"/>
      <c r="I3842" s="330"/>
      <c r="J3842" s="330"/>
      <c r="K3842" s="23"/>
    </row>
    <row r="3843" spans="1:11" ht="12.75" x14ac:dyDescent="0.2">
      <c r="A3843" s="23"/>
      <c r="B3843" s="328"/>
      <c r="C3843" s="327"/>
      <c r="D3843" s="328"/>
      <c r="E3843" s="23"/>
      <c r="F3843" s="329"/>
      <c r="G3843" s="23"/>
      <c r="H3843" s="23"/>
      <c r="I3843" s="330"/>
      <c r="J3843" s="330"/>
      <c r="K3843" s="23"/>
    </row>
    <row r="3844" spans="1:11" ht="12.75" x14ac:dyDescent="0.2">
      <c r="A3844" s="23"/>
      <c r="B3844" s="328"/>
      <c r="C3844" s="327"/>
      <c r="D3844" s="328"/>
      <c r="E3844" s="23"/>
      <c r="F3844" s="329"/>
      <c r="G3844" s="23"/>
      <c r="H3844" s="23"/>
      <c r="I3844" s="330"/>
      <c r="J3844" s="330"/>
      <c r="K3844" s="23"/>
    </row>
    <row r="3845" spans="1:11" ht="12.75" x14ac:dyDescent="0.2">
      <c r="A3845" s="23"/>
      <c r="B3845" s="328"/>
      <c r="C3845" s="327"/>
      <c r="D3845" s="328"/>
      <c r="E3845" s="23"/>
      <c r="F3845" s="329"/>
      <c r="G3845" s="23"/>
      <c r="H3845" s="23"/>
      <c r="I3845" s="330"/>
      <c r="J3845" s="330"/>
      <c r="K3845" s="23"/>
    </row>
    <row r="3846" spans="1:11" ht="12.75" x14ac:dyDescent="0.2">
      <c r="A3846" s="23"/>
      <c r="B3846" s="328"/>
      <c r="C3846" s="327"/>
      <c r="D3846" s="328"/>
      <c r="E3846" s="23"/>
      <c r="F3846" s="329"/>
      <c r="G3846" s="23"/>
      <c r="H3846" s="23"/>
      <c r="I3846" s="330"/>
      <c r="J3846" s="330"/>
      <c r="K3846" s="23"/>
    </row>
    <row r="3847" spans="1:11" ht="12.75" x14ac:dyDescent="0.2">
      <c r="A3847" s="23"/>
      <c r="B3847" s="328"/>
      <c r="C3847" s="327"/>
      <c r="D3847" s="328"/>
      <c r="E3847" s="23"/>
      <c r="F3847" s="329"/>
      <c r="G3847" s="23"/>
      <c r="H3847" s="23"/>
      <c r="I3847" s="330"/>
      <c r="J3847" s="330"/>
      <c r="K3847" s="23"/>
    </row>
    <row r="3848" spans="1:11" ht="12.75" x14ac:dyDescent="0.2">
      <c r="A3848" s="23"/>
      <c r="B3848" s="328"/>
      <c r="C3848" s="327"/>
      <c r="D3848" s="328"/>
      <c r="E3848" s="23"/>
      <c r="F3848" s="329"/>
      <c r="G3848" s="23"/>
      <c r="H3848" s="23"/>
      <c r="I3848" s="330"/>
      <c r="J3848" s="330"/>
      <c r="K3848" s="23"/>
    </row>
    <row r="3849" spans="1:11" ht="12.75" x14ac:dyDescent="0.2">
      <c r="A3849" s="23"/>
      <c r="B3849" s="328"/>
      <c r="C3849" s="327"/>
      <c r="D3849" s="328"/>
      <c r="E3849" s="23"/>
      <c r="F3849" s="329"/>
      <c r="G3849" s="23"/>
      <c r="H3849" s="23"/>
      <c r="I3849" s="330"/>
      <c r="J3849" s="330"/>
      <c r="K3849" s="23"/>
    </row>
    <row r="3850" spans="1:11" ht="12.75" x14ac:dyDescent="0.2">
      <c r="A3850" s="23"/>
      <c r="B3850" s="328"/>
      <c r="C3850" s="327"/>
      <c r="D3850" s="328"/>
      <c r="E3850" s="23"/>
      <c r="F3850" s="329"/>
      <c r="G3850" s="23"/>
      <c r="H3850" s="23"/>
      <c r="I3850" s="330"/>
      <c r="J3850" s="330"/>
      <c r="K3850" s="23"/>
    </row>
    <row r="3851" spans="1:11" ht="12.75" x14ac:dyDescent="0.2">
      <c r="A3851" s="23"/>
      <c r="B3851" s="328"/>
      <c r="C3851" s="327"/>
      <c r="D3851" s="328"/>
      <c r="E3851" s="23"/>
      <c r="F3851" s="329"/>
      <c r="G3851" s="23"/>
      <c r="H3851" s="23"/>
      <c r="I3851" s="330"/>
      <c r="J3851" s="330"/>
      <c r="K3851" s="23"/>
    </row>
    <row r="3852" spans="1:11" ht="12.75" x14ac:dyDescent="0.2">
      <c r="A3852" s="23"/>
      <c r="B3852" s="328"/>
      <c r="C3852" s="327"/>
      <c r="D3852" s="328"/>
      <c r="E3852" s="23"/>
      <c r="F3852" s="329"/>
      <c r="G3852" s="23"/>
      <c r="H3852" s="23"/>
      <c r="I3852" s="330"/>
      <c r="J3852" s="330"/>
      <c r="K3852" s="23"/>
    </row>
    <row r="3853" spans="1:11" ht="12.75" x14ac:dyDescent="0.2">
      <c r="A3853" s="23"/>
      <c r="B3853" s="328"/>
      <c r="C3853" s="327"/>
      <c r="D3853" s="328"/>
      <c r="E3853" s="23"/>
      <c r="F3853" s="329"/>
      <c r="G3853" s="23"/>
      <c r="H3853" s="23"/>
      <c r="I3853" s="330"/>
      <c r="J3853" s="330"/>
      <c r="K3853" s="23"/>
    </row>
    <row r="3854" spans="1:11" ht="12.75" x14ac:dyDescent="0.2">
      <c r="A3854" s="23"/>
      <c r="B3854" s="328"/>
      <c r="C3854" s="327"/>
      <c r="D3854" s="328"/>
      <c r="E3854" s="23"/>
      <c r="F3854" s="329"/>
      <c r="G3854" s="23"/>
      <c r="H3854" s="23"/>
      <c r="I3854" s="330"/>
      <c r="J3854" s="330"/>
      <c r="K3854" s="23"/>
    </row>
    <row r="3855" spans="1:11" ht="12.75" x14ac:dyDescent="0.2">
      <c r="A3855" s="23"/>
      <c r="B3855" s="328"/>
      <c r="C3855" s="327"/>
      <c r="D3855" s="328"/>
      <c r="E3855" s="23"/>
      <c r="F3855" s="329"/>
      <c r="G3855" s="23"/>
      <c r="H3855" s="23"/>
      <c r="I3855" s="330"/>
      <c r="J3855" s="330"/>
      <c r="K3855" s="23"/>
    </row>
    <row r="3856" spans="1:11" ht="12.75" x14ac:dyDescent="0.2">
      <c r="A3856" s="23"/>
      <c r="B3856" s="328"/>
      <c r="C3856" s="327"/>
      <c r="D3856" s="328"/>
      <c r="E3856" s="23"/>
      <c r="F3856" s="329"/>
      <c r="G3856" s="23"/>
      <c r="H3856" s="23"/>
      <c r="I3856" s="330"/>
      <c r="J3856" s="330"/>
      <c r="K3856" s="23"/>
    </row>
    <row r="3857" spans="1:11" ht="12.75" x14ac:dyDescent="0.2">
      <c r="A3857" s="23"/>
      <c r="B3857" s="328"/>
      <c r="C3857" s="327"/>
      <c r="D3857" s="328"/>
      <c r="E3857" s="23"/>
      <c r="F3857" s="329"/>
      <c r="G3857" s="23"/>
      <c r="H3857" s="23"/>
      <c r="I3857" s="330"/>
      <c r="J3857" s="330"/>
      <c r="K3857" s="23"/>
    </row>
    <row r="3858" spans="1:11" ht="12.75" x14ac:dyDescent="0.2">
      <c r="A3858" s="23"/>
      <c r="B3858" s="328"/>
      <c r="C3858" s="327"/>
      <c r="D3858" s="328"/>
      <c r="E3858" s="23"/>
      <c r="F3858" s="329"/>
      <c r="G3858" s="23"/>
      <c r="H3858" s="23"/>
      <c r="I3858" s="330"/>
      <c r="J3858" s="330"/>
      <c r="K3858" s="23"/>
    </row>
    <row r="3859" spans="1:11" ht="12.75" x14ac:dyDescent="0.2">
      <c r="A3859" s="23"/>
      <c r="B3859" s="328"/>
      <c r="C3859" s="327"/>
      <c r="D3859" s="328"/>
      <c r="E3859" s="23"/>
      <c r="F3859" s="329"/>
      <c r="G3859" s="23"/>
      <c r="H3859" s="23"/>
      <c r="I3859" s="330"/>
      <c r="J3859" s="330"/>
      <c r="K3859" s="23"/>
    </row>
    <row r="3860" spans="1:11" ht="12.75" x14ac:dyDescent="0.2">
      <c r="A3860" s="23"/>
      <c r="B3860" s="328"/>
      <c r="C3860" s="327"/>
      <c r="D3860" s="328"/>
      <c r="E3860" s="23"/>
      <c r="F3860" s="329"/>
      <c r="G3860" s="23"/>
      <c r="H3860" s="23"/>
      <c r="I3860" s="330"/>
      <c r="J3860" s="330"/>
      <c r="K3860" s="23"/>
    </row>
    <row r="3861" spans="1:11" ht="12.75" x14ac:dyDescent="0.2">
      <c r="A3861" s="23"/>
      <c r="B3861" s="328"/>
      <c r="C3861" s="327"/>
      <c r="D3861" s="328"/>
      <c r="E3861" s="23"/>
      <c r="F3861" s="329"/>
      <c r="G3861" s="23"/>
      <c r="H3861" s="23"/>
      <c r="I3861" s="330"/>
      <c r="J3861" s="330"/>
      <c r="K3861" s="23"/>
    </row>
    <row r="3862" spans="1:11" ht="12.75" x14ac:dyDescent="0.2">
      <c r="A3862" s="23"/>
      <c r="B3862" s="328"/>
      <c r="C3862" s="327"/>
      <c r="D3862" s="328"/>
      <c r="E3862" s="23"/>
      <c r="F3862" s="329"/>
      <c r="G3862" s="23"/>
      <c r="H3862" s="23"/>
      <c r="I3862" s="330"/>
      <c r="J3862" s="330"/>
      <c r="K3862" s="23"/>
    </row>
    <row r="3863" spans="1:11" ht="12.75" x14ac:dyDescent="0.2">
      <c r="A3863" s="23"/>
      <c r="B3863" s="328"/>
      <c r="C3863" s="327"/>
      <c r="D3863" s="328"/>
      <c r="E3863" s="23"/>
      <c r="F3863" s="329"/>
      <c r="G3863" s="23"/>
      <c r="H3863" s="23"/>
      <c r="I3863" s="330"/>
      <c r="J3863" s="330"/>
      <c r="K3863" s="23"/>
    </row>
    <row r="3864" spans="1:11" ht="12.75" x14ac:dyDescent="0.2">
      <c r="A3864" s="23"/>
      <c r="B3864" s="328"/>
      <c r="C3864" s="327"/>
      <c r="D3864" s="328"/>
      <c r="E3864" s="23"/>
      <c r="F3864" s="329"/>
      <c r="G3864" s="23"/>
      <c r="H3864" s="23"/>
      <c r="I3864" s="330"/>
      <c r="J3864" s="330"/>
      <c r="K3864" s="23"/>
    </row>
    <row r="3865" spans="1:11" ht="12.75" x14ac:dyDescent="0.2">
      <c r="A3865" s="23"/>
      <c r="B3865" s="328"/>
      <c r="C3865" s="327"/>
      <c r="D3865" s="328"/>
      <c r="E3865" s="23"/>
      <c r="F3865" s="329"/>
      <c r="G3865" s="23"/>
      <c r="H3865" s="23"/>
      <c r="I3865" s="330"/>
      <c r="J3865" s="330"/>
      <c r="K3865" s="23"/>
    </row>
    <row r="3866" spans="1:11" ht="12.75" x14ac:dyDescent="0.2">
      <c r="A3866" s="23"/>
      <c r="B3866" s="328"/>
      <c r="C3866" s="327"/>
      <c r="D3866" s="328"/>
      <c r="E3866" s="23"/>
      <c r="F3866" s="329"/>
      <c r="G3866" s="23"/>
      <c r="H3866" s="23"/>
      <c r="I3866" s="330"/>
      <c r="J3866" s="330"/>
      <c r="K3866" s="23"/>
    </row>
    <row r="3867" spans="1:11" ht="12.75" x14ac:dyDescent="0.2">
      <c r="A3867" s="23"/>
      <c r="B3867" s="328"/>
      <c r="C3867" s="327"/>
      <c r="D3867" s="328"/>
      <c r="E3867" s="23"/>
      <c r="F3867" s="329"/>
      <c r="G3867" s="23"/>
      <c r="H3867" s="23"/>
      <c r="I3867" s="330"/>
      <c r="J3867" s="330"/>
      <c r="K3867" s="23"/>
    </row>
    <row r="3868" spans="1:11" ht="12.75" x14ac:dyDescent="0.2">
      <c r="A3868" s="23"/>
      <c r="B3868" s="328"/>
      <c r="C3868" s="327"/>
      <c r="D3868" s="328"/>
      <c r="E3868" s="23"/>
      <c r="F3868" s="329"/>
      <c r="G3868" s="23"/>
      <c r="H3868" s="23"/>
      <c r="I3868" s="330"/>
      <c r="J3868" s="330"/>
      <c r="K3868" s="23"/>
    </row>
    <row r="3869" spans="1:11" ht="12.75" x14ac:dyDescent="0.2">
      <c r="A3869" s="23"/>
      <c r="B3869" s="328"/>
      <c r="C3869" s="327"/>
      <c r="D3869" s="328"/>
      <c r="E3869" s="23"/>
      <c r="F3869" s="329"/>
      <c r="G3869" s="23"/>
      <c r="H3869" s="23"/>
      <c r="I3869" s="330"/>
      <c r="J3869" s="330"/>
      <c r="K3869" s="23"/>
    </row>
    <row r="3870" spans="1:11" ht="12.75" x14ac:dyDescent="0.2">
      <c r="A3870" s="23"/>
      <c r="B3870" s="328"/>
      <c r="C3870" s="327"/>
      <c r="D3870" s="328"/>
      <c r="E3870" s="23"/>
      <c r="F3870" s="329"/>
      <c r="G3870" s="23"/>
      <c r="H3870" s="23"/>
      <c r="I3870" s="330"/>
      <c r="J3870" s="330"/>
      <c r="K3870" s="23"/>
    </row>
    <row r="3871" spans="1:11" ht="12.75" x14ac:dyDescent="0.2">
      <c r="A3871" s="23"/>
      <c r="B3871" s="328"/>
      <c r="C3871" s="327"/>
      <c r="D3871" s="328"/>
      <c r="E3871" s="23"/>
      <c r="F3871" s="329"/>
      <c r="G3871" s="23"/>
      <c r="H3871" s="23"/>
      <c r="I3871" s="330"/>
      <c r="J3871" s="330"/>
      <c r="K3871" s="23"/>
    </row>
    <row r="3872" spans="1:11" ht="12.75" x14ac:dyDescent="0.2">
      <c r="A3872" s="23"/>
      <c r="B3872" s="328"/>
      <c r="C3872" s="327"/>
      <c r="D3872" s="328"/>
      <c r="E3872" s="23"/>
      <c r="F3872" s="329"/>
      <c r="G3872" s="23"/>
      <c r="H3872" s="23"/>
      <c r="I3872" s="330"/>
      <c r="J3872" s="330"/>
      <c r="K3872" s="23"/>
    </row>
    <row r="3873" spans="1:11" ht="12.75" x14ac:dyDescent="0.2">
      <c r="A3873" s="23"/>
      <c r="B3873" s="328"/>
      <c r="C3873" s="327"/>
      <c r="D3873" s="328"/>
      <c r="E3873" s="23"/>
      <c r="F3873" s="329"/>
      <c r="G3873" s="23"/>
      <c r="H3873" s="23"/>
      <c r="I3873" s="330"/>
      <c r="J3873" s="330"/>
      <c r="K3873" s="23"/>
    </row>
    <row r="3874" spans="1:11" ht="12.75" x14ac:dyDescent="0.2">
      <c r="A3874" s="23"/>
      <c r="B3874" s="328"/>
      <c r="C3874" s="327"/>
      <c r="D3874" s="328"/>
      <c r="E3874" s="23"/>
      <c r="F3874" s="329"/>
      <c r="G3874" s="23"/>
      <c r="H3874" s="23"/>
      <c r="I3874" s="330"/>
      <c r="J3874" s="330"/>
      <c r="K3874" s="23"/>
    </row>
    <row r="3875" spans="1:11" ht="12.75" x14ac:dyDescent="0.2">
      <c r="A3875" s="23"/>
      <c r="B3875" s="328"/>
      <c r="C3875" s="327"/>
      <c r="D3875" s="328"/>
      <c r="E3875" s="23"/>
      <c r="F3875" s="329"/>
      <c r="G3875" s="23"/>
      <c r="H3875" s="23"/>
      <c r="I3875" s="330"/>
      <c r="J3875" s="330"/>
      <c r="K3875" s="23"/>
    </row>
    <row r="3876" spans="1:11" ht="12.75" x14ac:dyDescent="0.2">
      <c r="A3876" s="23"/>
      <c r="B3876" s="328"/>
      <c r="C3876" s="327"/>
      <c r="D3876" s="328"/>
      <c r="E3876" s="23"/>
      <c r="F3876" s="329"/>
      <c r="G3876" s="23"/>
      <c r="H3876" s="23"/>
      <c r="I3876" s="330"/>
      <c r="J3876" s="330"/>
      <c r="K3876" s="23"/>
    </row>
    <row r="3877" spans="1:11" ht="12.75" x14ac:dyDescent="0.2">
      <c r="A3877" s="23"/>
      <c r="B3877" s="328"/>
      <c r="C3877" s="327"/>
      <c r="D3877" s="328"/>
      <c r="E3877" s="23"/>
      <c r="F3877" s="329"/>
      <c r="G3877" s="23"/>
      <c r="H3877" s="23"/>
      <c r="I3877" s="330"/>
      <c r="J3877" s="330"/>
      <c r="K3877" s="23"/>
    </row>
    <row r="3878" spans="1:11" ht="12.75" x14ac:dyDescent="0.2">
      <c r="A3878" s="23"/>
      <c r="B3878" s="328"/>
      <c r="C3878" s="327"/>
      <c r="D3878" s="328"/>
      <c r="E3878" s="23"/>
      <c r="F3878" s="329"/>
      <c r="G3878" s="23"/>
      <c r="H3878" s="23"/>
      <c r="I3878" s="330"/>
      <c r="J3878" s="330"/>
      <c r="K3878" s="23"/>
    </row>
    <row r="3879" spans="1:11" ht="12.75" x14ac:dyDescent="0.2">
      <c r="A3879" s="23"/>
      <c r="B3879" s="328"/>
      <c r="C3879" s="327"/>
      <c r="D3879" s="328"/>
      <c r="E3879" s="23"/>
      <c r="F3879" s="329"/>
      <c r="G3879" s="23"/>
      <c r="H3879" s="23"/>
      <c r="I3879" s="330"/>
      <c r="J3879" s="330"/>
      <c r="K3879" s="23"/>
    </row>
    <row r="3880" spans="1:11" ht="12.75" x14ac:dyDescent="0.2">
      <c r="A3880" s="23"/>
      <c r="B3880" s="328"/>
      <c r="C3880" s="327"/>
      <c r="D3880" s="328"/>
      <c r="E3880" s="23"/>
      <c r="F3880" s="329"/>
      <c r="G3880" s="23"/>
      <c r="H3880" s="23"/>
      <c r="I3880" s="330"/>
      <c r="J3880" s="330"/>
      <c r="K3880" s="23"/>
    </row>
    <row r="3881" spans="1:11" ht="12.75" x14ac:dyDescent="0.2">
      <c r="A3881" s="23"/>
      <c r="B3881" s="328"/>
      <c r="C3881" s="327"/>
      <c r="D3881" s="328"/>
      <c r="E3881" s="23"/>
      <c r="F3881" s="329"/>
      <c r="G3881" s="23"/>
      <c r="H3881" s="23"/>
      <c r="I3881" s="330"/>
      <c r="J3881" s="330"/>
      <c r="K3881" s="23"/>
    </row>
    <row r="3882" spans="1:11" ht="12.75" x14ac:dyDescent="0.2">
      <c r="A3882" s="23"/>
      <c r="B3882" s="328"/>
      <c r="C3882" s="327"/>
      <c r="D3882" s="328"/>
      <c r="E3882" s="23"/>
      <c r="F3882" s="329"/>
      <c r="G3882" s="23"/>
      <c r="H3882" s="23"/>
      <c r="I3882" s="330"/>
      <c r="J3882" s="330"/>
      <c r="K3882" s="23"/>
    </row>
    <row r="3883" spans="1:11" ht="12.75" x14ac:dyDescent="0.2">
      <c r="A3883" s="23"/>
      <c r="B3883" s="328"/>
      <c r="C3883" s="327"/>
      <c r="D3883" s="328"/>
      <c r="E3883" s="23"/>
      <c r="F3883" s="329"/>
      <c r="G3883" s="23"/>
      <c r="H3883" s="23"/>
      <c r="I3883" s="330"/>
      <c r="J3883" s="330"/>
      <c r="K3883" s="23"/>
    </row>
    <row r="3884" spans="1:11" ht="12.75" x14ac:dyDescent="0.2">
      <c r="A3884" s="23"/>
      <c r="B3884" s="328"/>
      <c r="C3884" s="327"/>
      <c r="D3884" s="328"/>
      <c r="E3884" s="23"/>
      <c r="F3884" s="329"/>
      <c r="G3884" s="23"/>
      <c r="H3884" s="23"/>
      <c r="I3884" s="330"/>
      <c r="J3884" s="330"/>
      <c r="K3884" s="23"/>
    </row>
    <row r="3885" spans="1:11" ht="12.75" x14ac:dyDescent="0.2">
      <c r="A3885" s="23"/>
      <c r="B3885" s="328"/>
      <c r="C3885" s="327"/>
      <c r="D3885" s="328"/>
      <c r="E3885" s="23"/>
      <c r="F3885" s="329"/>
      <c r="G3885" s="23"/>
      <c r="H3885" s="23"/>
      <c r="I3885" s="330"/>
      <c r="J3885" s="330"/>
      <c r="K3885" s="23"/>
    </row>
    <row r="3886" spans="1:11" ht="12.75" x14ac:dyDescent="0.2">
      <c r="A3886" s="23"/>
      <c r="B3886" s="328"/>
      <c r="C3886" s="327"/>
      <c r="D3886" s="328"/>
      <c r="E3886" s="23"/>
      <c r="F3886" s="329"/>
      <c r="G3886" s="23"/>
      <c r="H3886" s="23"/>
      <c r="I3886" s="330"/>
      <c r="J3886" s="330"/>
      <c r="K3886" s="23"/>
    </row>
    <row r="3887" spans="1:11" ht="12.75" x14ac:dyDescent="0.2">
      <c r="A3887" s="23"/>
      <c r="B3887" s="328"/>
      <c r="C3887" s="327"/>
      <c r="D3887" s="328"/>
      <c r="E3887" s="23"/>
      <c r="F3887" s="329"/>
      <c r="G3887" s="23"/>
      <c r="H3887" s="23"/>
      <c r="I3887" s="330"/>
      <c r="J3887" s="330"/>
      <c r="K3887" s="23"/>
    </row>
    <row r="3888" spans="1:11" ht="12.75" x14ac:dyDescent="0.2">
      <c r="A3888" s="23"/>
      <c r="B3888" s="328"/>
      <c r="C3888" s="327"/>
      <c r="D3888" s="328"/>
      <c r="E3888" s="23"/>
      <c r="F3888" s="329"/>
      <c r="G3888" s="23"/>
      <c r="H3888" s="23"/>
      <c r="I3888" s="330"/>
      <c r="J3888" s="330"/>
      <c r="K3888" s="23"/>
    </row>
    <row r="3889" spans="1:11" ht="12.75" x14ac:dyDescent="0.2">
      <c r="A3889" s="23"/>
      <c r="B3889" s="328"/>
      <c r="C3889" s="327"/>
      <c r="D3889" s="328"/>
      <c r="E3889" s="23"/>
      <c r="F3889" s="329"/>
      <c r="G3889" s="23"/>
      <c r="H3889" s="23"/>
      <c r="I3889" s="330"/>
      <c r="J3889" s="330"/>
      <c r="K3889" s="23"/>
    </row>
    <row r="3890" spans="1:11" ht="12.75" x14ac:dyDescent="0.2">
      <c r="A3890" s="23"/>
      <c r="B3890" s="328"/>
      <c r="C3890" s="327"/>
      <c r="D3890" s="328"/>
      <c r="E3890" s="23"/>
      <c r="F3890" s="329"/>
      <c r="G3890" s="23"/>
      <c r="H3890" s="23"/>
      <c r="I3890" s="330"/>
      <c r="J3890" s="330"/>
      <c r="K3890" s="23"/>
    </row>
    <row r="3891" spans="1:11" ht="12.75" x14ac:dyDescent="0.2">
      <c r="A3891" s="23"/>
      <c r="B3891" s="328"/>
      <c r="C3891" s="327"/>
      <c r="D3891" s="328"/>
      <c r="E3891" s="23"/>
      <c r="F3891" s="329"/>
      <c r="G3891" s="23"/>
      <c r="H3891" s="23"/>
      <c r="I3891" s="330"/>
      <c r="J3891" s="330"/>
      <c r="K3891" s="23"/>
    </row>
    <row r="3892" spans="1:11" ht="12.75" x14ac:dyDescent="0.2">
      <c r="A3892" s="23"/>
      <c r="B3892" s="328"/>
      <c r="C3892" s="327"/>
      <c r="D3892" s="328"/>
      <c r="E3892" s="23"/>
      <c r="F3892" s="329"/>
      <c r="G3892" s="23"/>
      <c r="H3892" s="23"/>
      <c r="I3892" s="330"/>
      <c r="J3892" s="330"/>
      <c r="K3892" s="23"/>
    </row>
    <row r="3893" spans="1:11" ht="12.75" x14ac:dyDescent="0.2">
      <c r="A3893" s="23"/>
      <c r="B3893" s="328"/>
      <c r="C3893" s="327"/>
      <c r="D3893" s="328"/>
      <c r="E3893" s="23"/>
      <c r="F3893" s="329"/>
      <c r="G3893" s="23"/>
      <c r="H3893" s="23"/>
      <c r="I3893" s="330"/>
      <c r="J3893" s="330"/>
      <c r="K3893" s="23"/>
    </row>
    <row r="3894" spans="1:11" ht="12.75" x14ac:dyDescent="0.2">
      <c r="A3894" s="23"/>
      <c r="B3894" s="328"/>
      <c r="C3894" s="327"/>
      <c r="D3894" s="328"/>
      <c r="E3894" s="23"/>
      <c r="F3894" s="329"/>
      <c r="G3894" s="23"/>
      <c r="H3894" s="23"/>
      <c r="I3894" s="330"/>
      <c r="J3894" s="330"/>
      <c r="K3894" s="23"/>
    </row>
    <row r="3895" spans="1:11" ht="12.75" x14ac:dyDescent="0.2">
      <c r="A3895" s="23"/>
      <c r="B3895" s="328"/>
      <c r="C3895" s="327"/>
      <c r="D3895" s="328"/>
      <c r="E3895" s="23"/>
      <c r="F3895" s="329"/>
      <c r="G3895" s="23"/>
      <c r="H3895" s="23"/>
      <c r="I3895" s="330"/>
      <c r="J3895" s="330"/>
      <c r="K3895" s="23"/>
    </row>
    <row r="3896" spans="1:11" ht="12.75" x14ac:dyDescent="0.2">
      <c r="A3896" s="23"/>
      <c r="B3896" s="328"/>
      <c r="C3896" s="327"/>
      <c r="D3896" s="328"/>
      <c r="E3896" s="23"/>
      <c r="F3896" s="329"/>
      <c r="G3896" s="23"/>
      <c r="H3896" s="23"/>
      <c r="I3896" s="330"/>
      <c r="J3896" s="330"/>
      <c r="K3896" s="23"/>
    </row>
    <row r="3897" spans="1:11" ht="12.75" x14ac:dyDescent="0.2">
      <c r="A3897" s="23"/>
      <c r="B3897" s="328"/>
      <c r="C3897" s="327"/>
      <c r="D3897" s="328"/>
      <c r="E3897" s="23"/>
      <c r="F3897" s="329"/>
      <c r="G3897" s="23"/>
      <c r="H3897" s="23"/>
      <c r="I3897" s="330"/>
      <c r="J3897" s="330"/>
      <c r="K3897" s="23"/>
    </row>
    <row r="3898" spans="1:11" ht="12.75" x14ac:dyDescent="0.2">
      <c r="A3898" s="23"/>
      <c r="B3898" s="328"/>
      <c r="C3898" s="327"/>
      <c r="D3898" s="328"/>
      <c r="E3898" s="23"/>
      <c r="F3898" s="329"/>
      <c r="G3898" s="23"/>
      <c r="H3898" s="23"/>
      <c r="I3898" s="330"/>
      <c r="J3898" s="330"/>
      <c r="K3898" s="23"/>
    </row>
    <row r="3899" spans="1:11" ht="12.75" x14ac:dyDescent="0.2">
      <c r="A3899" s="23"/>
      <c r="B3899" s="328"/>
      <c r="C3899" s="327"/>
      <c r="D3899" s="328"/>
      <c r="E3899" s="23"/>
      <c r="F3899" s="329"/>
      <c r="G3899" s="23"/>
      <c r="H3899" s="23"/>
      <c r="I3899" s="330"/>
      <c r="J3899" s="330"/>
      <c r="K3899" s="23"/>
    </row>
    <row r="3900" spans="1:11" ht="12.75" x14ac:dyDescent="0.2">
      <c r="A3900" s="23"/>
      <c r="B3900" s="328"/>
      <c r="C3900" s="327"/>
      <c r="D3900" s="328"/>
      <c r="E3900" s="23"/>
      <c r="F3900" s="329"/>
      <c r="G3900" s="23"/>
      <c r="H3900" s="23"/>
      <c r="I3900" s="330"/>
      <c r="J3900" s="330"/>
      <c r="K3900" s="23"/>
    </row>
    <row r="3901" spans="1:11" ht="12.75" x14ac:dyDescent="0.2">
      <c r="A3901" s="23"/>
      <c r="B3901" s="328"/>
      <c r="C3901" s="327"/>
      <c r="D3901" s="328"/>
      <c r="E3901" s="23"/>
      <c r="F3901" s="329"/>
      <c r="G3901" s="23"/>
      <c r="H3901" s="23"/>
      <c r="I3901" s="330"/>
      <c r="J3901" s="330"/>
      <c r="K3901" s="23"/>
    </row>
    <row r="3902" spans="1:11" ht="12.75" x14ac:dyDescent="0.2">
      <c r="A3902" s="23"/>
      <c r="B3902" s="328"/>
      <c r="C3902" s="327"/>
      <c r="D3902" s="328"/>
      <c r="E3902" s="23"/>
      <c r="F3902" s="329"/>
      <c r="G3902" s="23"/>
      <c r="H3902" s="23"/>
      <c r="I3902" s="330"/>
      <c r="J3902" s="330"/>
      <c r="K3902" s="23"/>
    </row>
    <row r="3903" spans="1:11" ht="12.75" x14ac:dyDescent="0.2">
      <c r="A3903" s="23"/>
      <c r="B3903" s="328"/>
      <c r="C3903" s="327"/>
      <c r="D3903" s="328"/>
      <c r="E3903" s="23"/>
      <c r="F3903" s="329"/>
      <c r="G3903" s="23"/>
      <c r="H3903" s="23"/>
      <c r="I3903" s="330"/>
      <c r="J3903" s="330"/>
      <c r="K3903" s="23"/>
    </row>
    <row r="3904" spans="1:11" ht="12.75" x14ac:dyDescent="0.2">
      <c r="A3904" s="23"/>
      <c r="B3904" s="328"/>
      <c r="C3904" s="327"/>
      <c r="D3904" s="328"/>
      <c r="E3904" s="23"/>
      <c r="F3904" s="329"/>
      <c r="G3904" s="23"/>
      <c r="H3904" s="23"/>
      <c r="I3904" s="330"/>
      <c r="J3904" s="330"/>
      <c r="K3904" s="23"/>
    </row>
    <row r="3905" spans="1:11" ht="12.75" x14ac:dyDescent="0.2">
      <c r="A3905" s="23"/>
      <c r="B3905" s="328"/>
      <c r="C3905" s="327"/>
      <c r="D3905" s="328"/>
      <c r="E3905" s="23"/>
      <c r="F3905" s="329"/>
      <c r="G3905" s="23"/>
      <c r="H3905" s="23"/>
      <c r="I3905" s="330"/>
      <c r="J3905" s="330"/>
      <c r="K3905" s="23"/>
    </row>
    <row r="3906" spans="1:11" ht="12.75" x14ac:dyDescent="0.2">
      <c r="A3906" s="23"/>
      <c r="B3906" s="328"/>
      <c r="C3906" s="327"/>
      <c r="D3906" s="328"/>
      <c r="E3906" s="23"/>
      <c r="F3906" s="329"/>
      <c r="G3906" s="23"/>
      <c r="H3906" s="23"/>
      <c r="I3906" s="330"/>
      <c r="J3906" s="330"/>
      <c r="K3906" s="23"/>
    </row>
    <row r="3907" spans="1:11" ht="12.75" x14ac:dyDescent="0.2">
      <c r="A3907" s="23"/>
      <c r="B3907" s="328"/>
      <c r="C3907" s="327"/>
      <c r="D3907" s="328"/>
      <c r="E3907" s="23"/>
      <c r="F3907" s="329"/>
      <c r="G3907" s="23"/>
      <c r="H3907" s="23"/>
      <c r="I3907" s="330"/>
      <c r="J3907" s="330"/>
      <c r="K3907" s="23"/>
    </row>
    <row r="3908" spans="1:11" ht="12.75" x14ac:dyDescent="0.2">
      <c r="A3908" s="23"/>
      <c r="B3908" s="328"/>
      <c r="C3908" s="327"/>
      <c r="D3908" s="328"/>
      <c r="E3908" s="23"/>
      <c r="F3908" s="329"/>
      <c r="G3908" s="23"/>
      <c r="H3908" s="23"/>
      <c r="I3908" s="330"/>
      <c r="J3908" s="330"/>
      <c r="K3908" s="23"/>
    </row>
    <row r="3909" spans="1:11" ht="12.75" x14ac:dyDescent="0.2">
      <c r="A3909" s="23"/>
      <c r="B3909" s="328"/>
      <c r="C3909" s="327"/>
      <c r="D3909" s="328"/>
      <c r="E3909" s="23"/>
      <c r="F3909" s="329"/>
      <c r="G3909" s="23"/>
      <c r="H3909" s="23"/>
      <c r="I3909" s="330"/>
      <c r="J3909" s="330"/>
      <c r="K3909" s="23"/>
    </row>
    <row r="3910" spans="1:11" ht="12.75" x14ac:dyDescent="0.2">
      <c r="A3910" s="23"/>
      <c r="B3910" s="328"/>
      <c r="C3910" s="327"/>
      <c r="D3910" s="328"/>
      <c r="E3910" s="23"/>
      <c r="F3910" s="329"/>
      <c r="G3910" s="23"/>
      <c r="H3910" s="23"/>
      <c r="I3910" s="330"/>
      <c r="J3910" s="330"/>
      <c r="K3910" s="23"/>
    </row>
    <row r="3911" spans="1:11" ht="12.75" x14ac:dyDescent="0.2">
      <c r="A3911" s="23"/>
      <c r="B3911" s="328"/>
      <c r="C3911" s="327"/>
      <c r="D3911" s="328"/>
      <c r="E3911" s="23"/>
      <c r="F3911" s="329"/>
      <c r="G3911" s="23"/>
      <c r="H3911" s="23"/>
      <c r="I3911" s="330"/>
      <c r="J3911" s="330"/>
      <c r="K3911" s="23"/>
    </row>
    <row r="3912" spans="1:11" ht="12.75" x14ac:dyDescent="0.2">
      <c r="A3912" s="23"/>
      <c r="B3912" s="328"/>
      <c r="C3912" s="327"/>
      <c r="D3912" s="328"/>
      <c r="E3912" s="23"/>
      <c r="F3912" s="329"/>
      <c r="G3912" s="23"/>
      <c r="H3912" s="23"/>
      <c r="I3912" s="330"/>
      <c r="J3912" s="330"/>
      <c r="K3912" s="23"/>
    </row>
    <row r="3913" spans="1:11" ht="12.75" x14ac:dyDescent="0.2">
      <c r="A3913" s="23"/>
      <c r="B3913" s="328"/>
      <c r="C3913" s="327"/>
      <c r="D3913" s="328"/>
      <c r="E3913" s="23"/>
      <c r="F3913" s="329"/>
      <c r="G3913" s="23"/>
      <c r="H3913" s="23"/>
      <c r="I3913" s="330"/>
      <c r="J3913" s="330"/>
      <c r="K3913" s="23"/>
    </row>
    <row r="3914" spans="1:11" ht="12.75" x14ac:dyDescent="0.2">
      <c r="A3914" s="23"/>
      <c r="B3914" s="328"/>
      <c r="C3914" s="327"/>
      <c r="D3914" s="328"/>
      <c r="E3914" s="23"/>
      <c r="F3914" s="329"/>
      <c r="G3914" s="23"/>
      <c r="H3914" s="23"/>
      <c r="I3914" s="330"/>
      <c r="J3914" s="330"/>
      <c r="K3914" s="23"/>
    </row>
    <row r="3915" spans="1:11" ht="12.75" x14ac:dyDescent="0.2">
      <c r="A3915" s="23"/>
      <c r="B3915" s="328"/>
      <c r="C3915" s="327"/>
      <c r="D3915" s="328"/>
      <c r="E3915" s="23"/>
      <c r="F3915" s="329"/>
      <c r="G3915" s="23"/>
      <c r="H3915" s="23"/>
      <c r="I3915" s="330"/>
      <c r="J3915" s="330"/>
      <c r="K3915" s="23"/>
    </row>
    <row r="3916" spans="1:11" ht="12.75" x14ac:dyDescent="0.2">
      <c r="A3916" s="23"/>
      <c r="B3916" s="328"/>
      <c r="C3916" s="327"/>
      <c r="D3916" s="328"/>
      <c r="E3916" s="23"/>
      <c r="F3916" s="329"/>
      <c r="G3916" s="23"/>
      <c r="H3916" s="23"/>
      <c r="I3916" s="330"/>
      <c r="J3916" s="330"/>
      <c r="K3916" s="23"/>
    </row>
    <row r="3917" spans="1:11" ht="12.75" x14ac:dyDescent="0.2">
      <c r="A3917" s="23"/>
      <c r="B3917" s="328"/>
      <c r="C3917" s="327"/>
      <c r="D3917" s="328"/>
      <c r="E3917" s="23"/>
      <c r="F3917" s="329"/>
      <c r="G3917" s="23"/>
      <c r="H3917" s="23"/>
      <c r="I3917" s="330"/>
      <c r="J3917" s="330"/>
      <c r="K3917" s="23"/>
    </row>
    <row r="3918" spans="1:11" ht="12.75" x14ac:dyDescent="0.2">
      <c r="A3918" s="23"/>
      <c r="B3918" s="328"/>
      <c r="C3918" s="327"/>
      <c r="D3918" s="328"/>
      <c r="E3918" s="23"/>
      <c r="F3918" s="329"/>
      <c r="G3918" s="23"/>
      <c r="H3918" s="23"/>
      <c r="I3918" s="330"/>
      <c r="J3918" s="330"/>
      <c r="K3918" s="23"/>
    </row>
    <row r="3919" spans="1:11" ht="12.75" x14ac:dyDescent="0.2">
      <c r="A3919" s="23"/>
      <c r="B3919" s="328"/>
      <c r="C3919" s="327"/>
      <c r="D3919" s="328"/>
      <c r="E3919" s="23"/>
      <c r="F3919" s="329"/>
      <c r="G3919" s="23"/>
      <c r="H3919" s="23"/>
      <c r="I3919" s="330"/>
      <c r="J3919" s="330"/>
      <c r="K3919" s="23"/>
    </row>
    <row r="3920" spans="1:11" ht="12.75" x14ac:dyDescent="0.2">
      <c r="A3920" s="23"/>
      <c r="B3920" s="328"/>
      <c r="C3920" s="327"/>
      <c r="D3920" s="328"/>
      <c r="E3920" s="23"/>
      <c r="F3920" s="329"/>
      <c r="G3920" s="23"/>
      <c r="H3920" s="23"/>
      <c r="I3920" s="330"/>
      <c r="J3920" s="330"/>
      <c r="K3920" s="23"/>
    </row>
    <row r="3921" spans="1:11" ht="12.75" x14ac:dyDescent="0.2">
      <c r="A3921" s="23"/>
      <c r="B3921" s="328"/>
      <c r="C3921" s="327"/>
      <c r="D3921" s="328"/>
      <c r="E3921" s="23"/>
      <c r="F3921" s="329"/>
      <c r="G3921" s="23"/>
      <c r="H3921" s="23"/>
      <c r="I3921" s="330"/>
      <c r="J3921" s="330"/>
      <c r="K3921" s="23"/>
    </row>
    <row r="3922" spans="1:11" ht="12.75" x14ac:dyDescent="0.2">
      <c r="A3922" s="23"/>
      <c r="B3922" s="328"/>
      <c r="C3922" s="327"/>
      <c r="D3922" s="328"/>
      <c r="E3922" s="23"/>
      <c r="F3922" s="329"/>
      <c r="G3922" s="23"/>
      <c r="H3922" s="23"/>
      <c r="I3922" s="330"/>
      <c r="J3922" s="330"/>
      <c r="K3922" s="23"/>
    </row>
    <row r="3923" spans="1:11" ht="12.75" x14ac:dyDescent="0.2">
      <c r="A3923" s="23"/>
      <c r="B3923" s="328"/>
      <c r="C3923" s="327"/>
      <c r="D3923" s="328"/>
      <c r="E3923" s="23"/>
      <c r="F3923" s="329"/>
      <c r="G3923" s="23"/>
      <c r="H3923" s="23"/>
      <c r="I3923" s="330"/>
      <c r="J3923" s="330"/>
      <c r="K3923" s="23"/>
    </row>
    <row r="3924" spans="1:11" ht="12.75" x14ac:dyDescent="0.2">
      <c r="A3924" s="23"/>
      <c r="B3924" s="328"/>
      <c r="C3924" s="327"/>
      <c r="D3924" s="328"/>
      <c r="E3924" s="23"/>
      <c r="F3924" s="329"/>
      <c r="G3924" s="23"/>
      <c r="H3924" s="23"/>
      <c r="I3924" s="330"/>
      <c r="J3924" s="330"/>
      <c r="K3924" s="23"/>
    </row>
    <row r="3925" spans="1:11" ht="12.75" x14ac:dyDescent="0.2">
      <c r="A3925" s="23"/>
      <c r="B3925" s="328"/>
      <c r="C3925" s="327"/>
      <c r="D3925" s="328"/>
      <c r="E3925" s="23"/>
      <c r="F3925" s="329"/>
      <c r="G3925" s="23"/>
      <c r="H3925" s="23"/>
      <c r="I3925" s="330"/>
      <c r="J3925" s="330"/>
      <c r="K3925" s="23"/>
    </row>
    <row r="3926" spans="1:11" ht="12.75" x14ac:dyDescent="0.2">
      <c r="A3926" s="23"/>
      <c r="B3926" s="328"/>
      <c r="C3926" s="327"/>
      <c r="D3926" s="328"/>
      <c r="E3926" s="23"/>
      <c r="F3926" s="329"/>
      <c r="G3926" s="23"/>
      <c r="H3926" s="23"/>
      <c r="I3926" s="330"/>
      <c r="J3926" s="330"/>
      <c r="K3926" s="23"/>
    </row>
    <row r="3927" spans="1:11" ht="12.75" x14ac:dyDescent="0.2">
      <c r="A3927" s="23"/>
      <c r="B3927" s="328"/>
      <c r="C3927" s="327"/>
      <c r="D3927" s="328"/>
      <c r="E3927" s="23"/>
      <c r="F3927" s="329"/>
      <c r="G3927" s="23"/>
      <c r="H3927" s="23"/>
      <c r="I3927" s="330"/>
      <c r="J3927" s="330"/>
      <c r="K3927" s="23"/>
    </row>
    <row r="3928" spans="1:11" ht="12.75" x14ac:dyDescent="0.2">
      <c r="A3928" s="23"/>
      <c r="B3928" s="328"/>
      <c r="C3928" s="327"/>
      <c r="D3928" s="328"/>
      <c r="E3928" s="23"/>
      <c r="F3928" s="329"/>
      <c r="G3928" s="23"/>
      <c r="H3928" s="23"/>
      <c r="I3928" s="330"/>
      <c r="J3928" s="330"/>
      <c r="K3928" s="23"/>
    </row>
    <row r="3929" spans="1:11" ht="12.75" x14ac:dyDescent="0.2">
      <c r="A3929" s="23"/>
      <c r="B3929" s="328"/>
      <c r="C3929" s="327"/>
      <c r="D3929" s="328"/>
      <c r="E3929" s="23"/>
      <c r="F3929" s="329"/>
      <c r="G3929" s="23"/>
      <c r="H3929" s="23"/>
      <c r="I3929" s="330"/>
      <c r="J3929" s="330"/>
      <c r="K3929" s="23"/>
    </row>
    <row r="3930" spans="1:11" ht="12.75" x14ac:dyDescent="0.2">
      <c r="A3930" s="23"/>
      <c r="B3930" s="328"/>
      <c r="C3930" s="327"/>
      <c r="D3930" s="328"/>
      <c r="E3930" s="23"/>
      <c r="F3930" s="329"/>
      <c r="G3930" s="23"/>
      <c r="H3930" s="23"/>
      <c r="I3930" s="330"/>
      <c r="J3930" s="330"/>
      <c r="K3930" s="23"/>
    </row>
    <row r="3931" spans="1:11" ht="12.75" x14ac:dyDescent="0.2">
      <c r="A3931" s="23"/>
      <c r="B3931" s="328"/>
      <c r="C3931" s="327"/>
      <c r="D3931" s="328"/>
      <c r="E3931" s="23"/>
      <c r="F3931" s="329"/>
      <c r="G3931" s="23"/>
      <c r="H3931" s="23"/>
      <c r="I3931" s="330"/>
      <c r="J3931" s="330"/>
      <c r="K3931" s="23"/>
    </row>
    <row r="3932" spans="1:11" ht="12.75" x14ac:dyDescent="0.2">
      <c r="A3932" s="23"/>
      <c r="B3932" s="328"/>
      <c r="C3932" s="327"/>
      <c r="D3932" s="328"/>
      <c r="E3932" s="23"/>
      <c r="F3932" s="329"/>
      <c r="G3932" s="23"/>
      <c r="H3932" s="23"/>
      <c r="I3932" s="330"/>
      <c r="J3932" s="330"/>
      <c r="K3932" s="23"/>
    </row>
    <row r="3933" spans="1:11" ht="12.75" x14ac:dyDescent="0.2">
      <c r="A3933" s="23"/>
      <c r="B3933" s="328"/>
      <c r="C3933" s="327"/>
      <c r="D3933" s="328"/>
      <c r="E3933" s="23"/>
      <c r="F3933" s="329"/>
      <c r="G3933" s="23"/>
      <c r="H3933" s="23"/>
      <c r="I3933" s="330"/>
      <c r="J3933" s="330"/>
      <c r="K3933" s="23"/>
    </row>
    <row r="3934" spans="1:11" ht="12.75" x14ac:dyDescent="0.2">
      <c r="A3934" s="23"/>
      <c r="B3934" s="328"/>
      <c r="C3934" s="327"/>
      <c r="D3934" s="328"/>
      <c r="E3934" s="23"/>
      <c r="F3934" s="329"/>
      <c r="G3934" s="23"/>
      <c r="H3934" s="23"/>
      <c r="I3934" s="330"/>
      <c r="J3934" s="330"/>
      <c r="K3934" s="23"/>
    </row>
    <row r="3935" spans="1:11" ht="12.75" x14ac:dyDescent="0.2">
      <c r="A3935" s="23"/>
      <c r="B3935" s="328"/>
      <c r="C3935" s="327"/>
      <c r="D3935" s="328"/>
      <c r="E3935" s="23"/>
      <c r="F3935" s="329"/>
      <c r="G3935" s="23"/>
      <c r="H3935" s="23"/>
      <c r="I3935" s="330"/>
      <c r="J3935" s="330"/>
      <c r="K3935" s="23"/>
    </row>
    <row r="3936" spans="1:11" ht="12.75" x14ac:dyDescent="0.2">
      <c r="A3936" s="23"/>
      <c r="B3936" s="328"/>
      <c r="C3936" s="327"/>
      <c r="D3936" s="328"/>
      <c r="E3936" s="23"/>
      <c r="F3936" s="329"/>
      <c r="G3936" s="23"/>
      <c r="H3936" s="23"/>
      <c r="I3936" s="330"/>
      <c r="J3936" s="330"/>
      <c r="K3936" s="23"/>
    </row>
    <row r="3937" spans="1:11" ht="12.75" x14ac:dyDescent="0.2">
      <c r="A3937" s="23"/>
      <c r="B3937" s="328"/>
      <c r="C3937" s="327"/>
      <c r="D3937" s="328"/>
      <c r="E3937" s="23"/>
      <c r="F3937" s="329"/>
      <c r="G3937" s="23"/>
      <c r="H3937" s="23"/>
      <c r="I3937" s="330"/>
      <c r="J3937" s="330"/>
      <c r="K3937" s="23"/>
    </row>
    <row r="3938" spans="1:11" ht="12.75" x14ac:dyDescent="0.2">
      <c r="A3938" s="23"/>
      <c r="B3938" s="328"/>
      <c r="C3938" s="327"/>
      <c r="D3938" s="328"/>
      <c r="E3938" s="23"/>
      <c r="F3938" s="329"/>
      <c r="G3938" s="23"/>
      <c r="H3938" s="23"/>
      <c r="I3938" s="330"/>
      <c r="J3938" s="330"/>
      <c r="K3938" s="23"/>
    </row>
    <row r="3939" spans="1:11" ht="12.75" x14ac:dyDescent="0.2">
      <c r="A3939" s="23"/>
      <c r="B3939" s="328"/>
      <c r="C3939" s="327"/>
      <c r="D3939" s="328"/>
      <c r="E3939" s="23"/>
      <c r="F3939" s="329"/>
      <c r="G3939" s="23"/>
      <c r="H3939" s="23"/>
      <c r="I3939" s="330"/>
      <c r="J3939" s="330"/>
      <c r="K3939" s="23"/>
    </row>
    <row r="3940" spans="1:11" ht="12.75" x14ac:dyDescent="0.2">
      <c r="A3940" s="23"/>
      <c r="B3940" s="328"/>
      <c r="C3940" s="327"/>
      <c r="D3940" s="328"/>
      <c r="E3940" s="23"/>
      <c r="F3940" s="329"/>
      <c r="G3940" s="23"/>
      <c r="H3940" s="23"/>
      <c r="I3940" s="330"/>
      <c r="J3940" s="330"/>
      <c r="K3940" s="23"/>
    </row>
    <row r="3941" spans="1:11" ht="12.75" x14ac:dyDescent="0.2">
      <c r="A3941" s="23"/>
      <c r="B3941" s="328"/>
      <c r="C3941" s="327"/>
      <c r="D3941" s="328"/>
      <c r="E3941" s="23"/>
      <c r="F3941" s="329"/>
      <c r="G3941" s="23"/>
      <c r="H3941" s="23"/>
      <c r="I3941" s="330"/>
      <c r="J3941" s="330"/>
      <c r="K3941" s="23"/>
    </row>
    <row r="3942" spans="1:11" ht="12.75" x14ac:dyDescent="0.2">
      <c r="A3942" s="23"/>
      <c r="B3942" s="328"/>
      <c r="C3942" s="327"/>
      <c r="D3942" s="328"/>
      <c r="E3942" s="23"/>
      <c r="F3942" s="329"/>
      <c r="G3942" s="23"/>
      <c r="H3942" s="23"/>
      <c r="I3942" s="330"/>
      <c r="J3942" s="330"/>
      <c r="K3942" s="23"/>
    </row>
    <row r="3943" spans="1:11" ht="12.75" x14ac:dyDescent="0.2">
      <c r="A3943" s="23"/>
      <c r="B3943" s="328"/>
      <c r="C3943" s="327"/>
      <c r="D3943" s="328"/>
      <c r="E3943" s="23"/>
      <c r="F3943" s="329"/>
      <c r="G3943" s="23"/>
      <c r="H3943" s="23"/>
      <c r="I3943" s="330"/>
      <c r="J3943" s="330"/>
      <c r="K3943" s="23"/>
    </row>
    <row r="3944" spans="1:11" ht="12.75" x14ac:dyDescent="0.2">
      <c r="A3944" s="23"/>
      <c r="B3944" s="328"/>
      <c r="C3944" s="327"/>
      <c r="D3944" s="328"/>
      <c r="E3944" s="23"/>
      <c r="F3944" s="329"/>
      <c r="G3944" s="23"/>
      <c r="H3944" s="23"/>
      <c r="I3944" s="330"/>
      <c r="J3944" s="330"/>
      <c r="K3944" s="23"/>
    </row>
    <row r="3945" spans="1:11" ht="12.75" x14ac:dyDescent="0.2">
      <c r="A3945" s="23"/>
      <c r="B3945" s="328"/>
      <c r="C3945" s="327"/>
      <c r="D3945" s="328"/>
      <c r="E3945" s="23"/>
      <c r="F3945" s="329"/>
      <c r="G3945" s="23"/>
      <c r="H3945" s="23"/>
      <c r="I3945" s="330"/>
      <c r="J3945" s="330"/>
      <c r="K3945" s="23"/>
    </row>
    <row r="3946" spans="1:11" ht="12.75" x14ac:dyDescent="0.2">
      <c r="A3946" s="23"/>
      <c r="B3946" s="328"/>
      <c r="C3946" s="327"/>
      <c r="D3946" s="328"/>
      <c r="E3946" s="23"/>
      <c r="F3946" s="329"/>
      <c r="G3946" s="23"/>
      <c r="H3946" s="23"/>
      <c r="I3946" s="330"/>
      <c r="J3946" s="330"/>
      <c r="K3946" s="23"/>
    </row>
    <row r="3947" spans="1:11" ht="12.75" x14ac:dyDescent="0.2">
      <c r="A3947" s="23"/>
      <c r="B3947" s="328"/>
      <c r="C3947" s="327"/>
      <c r="D3947" s="328"/>
      <c r="E3947" s="23"/>
      <c r="F3947" s="329"/>
      <c r="G3947" s="23"/>
      <c r="H3947" s="23"/>
      <c r="I3947" s="330"/>
      <c r="J3947" s="330"/>
      <c r="K3947" s="23"/>
    </row>
    <row r="3948" spans="1:11" ht="12.75" x14ac:dyDescent="0.2">
      <c r="A3948" s="23"/>
      <c r="B3948" s="328"/>
      <c r="C3948" s="327"/>
      <c r="D3948" s="328"/>
      <c r="E3948" s="23"/>
      <c r="F3948" s="329"/>
      <c r="G3948" s="23"/>
      <c r="H3948" s="23"/>
      <c r="I3948" s="330"/>
      <c r="J3948" s="330"/>
      <c r="K3948" s="23"/>
    </row>
    <row r="3949" spans="1:11" ht="12.75" x14ac:dyDescent="0.2">
      <c r="A3949" s="23"/>
      <c r="B3949" s="328"/>
      <c r="C3949" s="327"/>
      <c r="D3949" s="328"/>
      <c r="E3949" s="23"/>
      <c r="F3949" s="329"/>
      <c r="G3949" s="23"/>
      <c r="H3949" s="23"/>
      <c r="I3949" s="330"/>
      <c r="J3949" s="330"/>
      <c r="K3949" s="23"/>
    </row>
    <row r="3950" spans="1:11" ht="12.75" x14ac:dyDescent="0.2">
      <c r="A3950" s="23"/>
      <c r="B3950" s="328"/>
      <c r="C3950" s="327"/>
      <c r="D3950" s="328"/>
      <c r="E3950" s="23"/>
      <c r="F3950" s="329"/>
      <c r="G3950" s="23"/>
      <c r="H3950" s="23"/>
      <c r="I3950" s="330"/>
      <c r="J3950" s="330"/>
      <c r="K3950" s="23"/>
    </row>
    <row r="3951" spans="1:11" ht="12.75" x14ac:dyDescent="0.2">
      <c r="A3951" s="23"/>
      <c r="B3951" s="328"/>
      <c r="C3951" s="327"/>
      <c r="D3951" s="328"/>
      <c r="E3951" s="23"/>
      <c r="F3951" s="329"/>
      <c r="G3951" s="23"/>
      <c r="H3951" s="23"/>
      <c r="I3951" s="330"/>
      <c r="J3951" s="330"/>
      <c r="K3951" s="23"/>
    </row>
    <row r="3952" spans="1:11" ht="12.75" x14ac:dyDescent="0.2">
      <c r="A3952" s="23"/>
      <c r="B3952" s="328"/>
      <c r="C3952" s="327"/>
      <c r="D3952" s="328"/>
      <c r="E3952" s="23"/>
      <c r="F3952" s="329"/>
      <c r="G3952" s="23"/>
      <c r="H3952" s="23"/>
      <c r="I3952" s="330"/>
      <c r="J3952" s="330"/>
      <c r="K3952" s="23"/>
    </row>
    <row r="3953" spans="1:11" ht="12.75" x14ac:dyDescent="0.2">
      <c r="A3953" s="23"/>
      <c r="B3953" s="328"/>
      <c r="C3953" s="327"/>
      <c r="D3953" s="328"/>
      <c r="E3953" s="23"/>
      <c r="F3953" s="329"/>
      <c r="G3953" s="23"/>
      <c r="H3953" s="23"/>
      <c r="I3953" s="330"/>
      <c r="J3953" s="330"/>
      <c r="K3953" s="23"/>
    </row>
    <row r="3954" spans="1:11" ht="12.75" x14ac:dyDescent="0.2">
      <c r="A3954" s="23"/>
      <c r="B3954" s="328"/>
      <c r="C3954" s="327"/>
      <c r="D3954" s="328"/>
      <c r="E3954" s="23"/>
      <c r="F3954" s="329"/>
      <c r="G3954" s="23"/>
      <c r="H3954" s="23"/>
      <c r="I3954" s="330"/>
      <c r="J3954" s="330"/>
      <c r="K3954" s="23"/>
    </row>
    <row r="3955" spans="1:11" ht="12.75" x14ac:dyDescent="0.2">
      <c r="A3955" s="23"/>
      <c r="B3955" s="328"/>
      <c r="C3955" s="327"/>
      <c r="D3955" s="328"/>
      <c r="E3955" s="23"/>
      <c r="F3955" s="329"/>
      <c r="G3955" s="23"/>
      <c r="H3955" s="23"/>
      <c r="I3955" s="330"/>
      <c r="J3955" s="330"/>
      <c r="K3955" s="23"/>
    </row>
    <row r="3956" spans="1:11" ht="12.75" x14ac:dyDescent="0.2">
      <c r="A3956" s="23"/>
      <c r="B3956" s="328"/>
      <c r="C3956" s="327"/>
      <c r="D3956" s="328"/>
      <c r="E3956" s="23"/>
      <c r="F3956" s="329"/>
      <c r="G3956" s="23"/>
      <c r="H3956" s="23"/>
      <c r="I3956" s="330"/>
      <c r="J3956" s="330"/>
      <c r="K3956" s="23"/>
    </row>
    <row r="3957" spans="1:11" ht="12.75" x14ac:dyDescent="0.2">
      <c r="A3957" s="23"/>
      <c r="B3957" s="328"/>
      <c r="C3957" s="327"/>
      <c r="D3957" s="328"/>
      <c r="E3957" s="23"/>
      <c r="F3957" s="329"/>
      <c r="G3957" s="23"/>
      <c r="H3957" s="23"/>
      <c r="I3957" s="330"/>
      <c r="J3957" s="330"/>
      <c r="K3957" s="23"/>
    </row>
    <row r="3958" spans="1:11" ht="12.75" x14ac:dyDescent="0.2">
      <c r="A3958" s="23"/>
      <c r="B3958" s="328"/>
      <c r="C3958" s="327"/>
      <c r="D3958" s="328"/>
      <c r="E3958" s="23"/>
      <c r="F3958" s="329"/>
      <c r="G3958" s="23"/>
      <c r="H3958" s="23"/>
      <c r="I3958" s="330"/>
      <c r="J3958" s="330"/>
      <c r="K3958" s="23"/>
    </row>
    <row r="3959" spans="1:11" ht="12.75" x14ac:dyDescent="0.2">
      <c r="A3959" s="23"/>
      <c r="B3959" s="328"/>
      <c r="C3959" s="327"/>
      <c r="D3959" s="328"/>
      <c r="E3959" s="23"/>
      <c r="F3959" s="329"/>
      <c r="G3959" s="23"/>
      <c r="H3959" s="23"/>
      <c r="I3959" s="330"/>
      <c r="J3959" s="330"/>
      <c r="K3959" s="23"/>
    </row>
    <row r="3960" spans="1:11" ht="12.75" x14ac:dyDescent="0.2">
      <c r="A3960" s="23"/>
      <c r="B3960" s="328"/>
      <c r="C3960" s="327"/>
      <c r="D3960" s="328"/>
      <c r="E3960" s="23"/>
      <c r="F3960" s="329"/>
      <c r="G3960" s="23"/>
      <c r="H3960" s="23"/>
      <c r="I3960" s="330"/>
      <c r="J3960" s="330"/>
      <c r="K3960" s="23"/>
    </row>
    <row r="3961" spans="1:11" ht="12.75" x14ac:dyDescent="0.2">
      <c r="A3961" s="23"/>
      <c r="B3961" s="328"/>
      <c r="C3961" s="327"/>
      <c r="D3961" s="328"/>
      <c r="E3961" s="23"/>
      <c r="F3961" s="329"/>
      <c r="G3961" s="23"/>
      <c r="H3961" s="23"/>
      <c r="I3961" s="330"/>
      <c r="J3961" s="330"/>
      <c r="K3961" s="23"/>
    </row>
    <row r="3962" spans="1:11" ht="12.75" x14ac:dyDescent="0.2">
      <c r="A3962" s="23"/>
      <c r="B3962" s="328"/>
      <c r="C3962" s="327"/>
      <c r="D3962" s="328"/>
      <c r="E3962" s="23"/>
      <c r="F3962" s="329"/>
      <c r="G3962" s="23"/>
      <c r="H3962" s="23"/>
      <c r="I3962" s="330"/>
      <c r="J3962" s="330"/>
      <c r="K3962" s="23"/>
    </row>
    <row r="3963" spans="1:11" ht="12.75" x14ac:dyDescent="0.2">
      <c r="A3963" s="23"/>
      <c r="B3963" s="328"/>
      <c r="C3963" s="327"/>
      <c r="D3963" s="328"/>
      <c r="E3963" s="23"/>
      <c r="F3963" s="329"/>
      <c r="G3963" s="23"/>
      <c r="H3963" s="23"/>
      <c r="I3963" s="330"/>
      <c r="J3963" s="330"/>
      <c r="K3963" s="23"/>
    </row>
    <row r="3964" spans="1:11" ht="12.75" x14ac:dyDescent="0.2">
      <c r="A3964" s="23"/>
      <c r="B3964" s="328"/>
      <c r="C3964" s="327"/>
      <c r="D3964" s="328"/>
      <c r="E3964" s="23"/>
      <c r="F3964" s="329"/>
      <c r="G3964" s="23"/>
      <c r="H3964" s="23"/>
      <c r="I3964" s="330"/>
      <c r="J3964" s="330"/>
      <c r="K3964" s="23"/>
    </row>
    <row r="3965" spans="1:11" ht="12.75" x14ac:dyDescent="0.2">
      <c r="A3965" s="23"/>
      <c r="B3965" s="328"/>
      <c r="C3965" s="327"/>
      <c r="D3965" s="328"/>
      <c r="E3965" s="23"/>
      <c r="F3965" s="329"/>
      <c r="G3965" s="23"/>
      <c r="H3965" s="23"/>
      <c r="I3965" s="330"/>
      <c r="J3965" s="330"/>
      <c r="K3965" s="23"/>
    </row>
    <row r="3966" spans="1:11" ht="12.75" x14ac:dyDescent="0.2">
      <c r="A3966" s="23"/>
      <c r="B3966" s="328"/>
      <c r="C3966" s="327"/>
      <c r="D3966" s="328"/>
      <c r="E3966" s="23"/>
      <c r="F3966" s="329"/>
      <c r="G3966" s="23"/>
      <c r="H3966" s="23"/>
      <c r="I3966" s="330"/>
      <c r="J3966" s="330"/>
      <c r="K3966" s="23"/>
    </row>
    <row r="3967" spans="1:11" ht="12.75" x14ac:dyDescent="0.2">
      <c r="A3967" s="23"/>
      <c r="B3967" s="328"/>
      <c r="C3967" s="327"/>
      <c r="D3967" s="328"/>
      <c r="E3967" s="23"/>
      <c r="F3967" s="329"/>
      <c r="G3967" s="23"/>
      <c r="H3967" s="23"/>
      <c r="I3967" s="330"/>
      <c r="J3967" s="330"/>
      <c r="K3967" s="23"/>
    </row>
    <row r="3968" spans="1:11" ht="12.75" x14ac:dyDescent="0.2">
      <c r="A3968" s="23"/>
      <c r="B3968" s="328"/>
      <c r="C3968" s="327"/>
      <c r="D3968" s="328"/>
      <c r="E3968" s="23"/>
      <c r="F3968" s="329"/>
      <c r="G3968" s="23"/>
      <c r="H3968" s="23"/>
      <c r="I3968" s="330"/>
      <c r="J3968" s="330"/>
      <c r="K3968" s="23"/>
    </row>
    <row r="3969" spans="1:11" ht="12.75" x14ac:dyDescent="0.2">
      <c r="A3969" s="23"/>
      <c r="B3969" s="328"/>
      <c r="C3969" s="327"/>
      <c r="D3969" s="328"/>
      <c r="E3969" s="23"/>
      <c r="F3969" s="329"/>
      <c r="G3969" s="23"/>
      <c r="H3969" s="23"/>
      <c r="I3969" s="330"/>
      <c r="J3969" s="330"/>
      <c r="K3969" s="23"/>
    </row>
    <row r="3970" spans="1:11" ht="12.75" x14ac:dyDescent="0.2">
      <c r="A3970" s="23"/>
      <c r="B3970" s="328"/>
      <c r="C3970" s="327"/>
      <c r="D3970" s="328"/>
      <c r="E3970" s="23"/>
      <c r="F3970" s="329"/>
      <c r="G3970" s="23"/>
      <c r="H3970" s="23"/>
      <c r="I3970" s="330"/>
      <c r="J3970" s="330"/>
      <c r="K3970" s="23"/>
    </row>
    <row r="3971" spans="1:11" ht="12.75" x14ac:dyDescent="0.2">
      <c r="A3971" s="23"/>
      <c r="B3971" s="328"/>
      <c r="C3971" s="327"/>
      <c r="D3971" s="328"/>
      <c r="E3971" s="23"/>
      <c r="F3971" s="329"/>
      <c r="G3971" s="23"/>
      <c r="H3971" s="23"/>
      <c r="I3971" s="330"/>
      <c r="J3971" s="330"/>
      <c r="K3971" s="23"/>
    </row>
    <row r="3972" spans="1:11" ht="12.75" x14ac:dyDescent="0.2">
      <c r="A3972" s="23"/>
      <c r="B3972" s="328"/>
      <c r="C3972" s="327"/>
      <c r="D3972" s="328"/>
      <c r="E3972" s="23"/>
      <c r="F3972" s="329"/>
      <c r="G3972" s="23"/>
      <c r="H3972" s="23"/>
      <c r="I3972" s="330"/>
      <c r="J3972" s="330"/>
      <c r="K3972" s="23"/>
    </row>
    <row r="3973" spans="1:11" ht="12.75" x14ac:dyDescent="0.2">
      <c r="A3973" s="23"/>
      <c r="B3973" s="328"/>
      <c r="C3973" s="327"/>
      <c r="D3973" s="328"/>
      <c r="E3973" s="23"/>
      <c r="F3973" s="329"/>
      <c r="G3973" s="23"/>
      <c r="H3973" s="23"/>
      <c r="I3973" s="330"/>
      <c r="J3973" s="330"/>
      <c r="K3973" s="23"/>
    </row>
    <row r="3974" spans="1:11" ht="12.75" x14ac:dyDescent="0.2">
      <c r="A3974" s="23"/>
      <c r="B3974" s="328"/>
      <c r="C3974" s="327"/>
      <c r="D3974" s="328"/>
      <c r="E3974" s="23"/>
      <c r="F3974" s="329"/>
      <c r="G3974" s="23"/>
      <c r="H3974" s="23"/>
      <c r="I3974" s="330"/>
      <c r="J3974" s="330"/>
      <c r="K3974" s="23"/>
    </row>
    <row r="3975" spans="1:11" ht="12.75" x14ac:dyDescent="0.2">
      <c r="A3975" s="23"/>
      <c r="B3975" s="328"/>
      <c r="C3975" s="327"/>
      <c r="D3975" s="328"/>
      <c r="E3975" s="23"/>
      <c r="F3975" s="329"/>
      <c r="G3975" s="23"/>
      <c r="H3975" s="23"/>
      <c r="I3975" s="330"/>
      <c r="J3975" s="330"/>
      <c r="K3975" s="23"/>
    </row>
    <row r="3976" spans="1:11" ht="12.75" x14ac:dyDescent="0.2">
      <c r="A3976" s="23"/>
      <c r="B3976" s="328"/>
      <c r="C3976" s="327"/>
      <c r="D3976" s="328"/>
      <c r="E3976" s="23"/>
      <c r="F3976" s="329"/>
      <c r="G3976" s="23"/>
      <c r="H3976" s="23"/>
      <c r="I3976" s="330"/>
      <c r="J3976" s="330"/>
      <c r="K3976" s="23"/>
    </row>
    <row r="3977" spans="1:11" ht="12.75" x14ac:dyDescent="0.2">
      <c r="A3977" s="23"/>
      <c r="B3977" s="328"/>
      <c r="C3977" s="327"/>
      <c r="D3977" s="328"/>
      <c r="E3977" s="23"/>
      <c r="F3977" s="329"/>
      <c r="G3977" s="23"/>
      <c r="H3977" s="23"/>
      <c r="I3977" s="330"/>
      <c r="J3977" s="330"/>
      <c r="K3977" s="23"/>
    </row>
    <row r="3978" spans="1:11" ht="12.75" x14ac:dyDescent="0.2">
      <c r="A3978" s="23"/>
      <c r="B3978" s="328"/>
      <c r="C3978" s="327"/>
      <c r="D3978" s="328"/>
      <c r="E3978" s="23"/>
      <c r="F3978" s="329"/>
      <c r="G3978" s="23"/>
      <c r="H3978" s="23"/>
      <c r="I3978" s="330"/>
      <c r="J3978" s="330"/>
      <c r="K3978" s="23"/>
    </row>
    <row r="3979" spans="1:11" ht="12.75" x14ac:dyDescent="0.2">
      <c r="A3979" s="23"/>
      <c r="B3979" s="328"/>
      <c r="C3979" s="327"/>
      <c r="D3979" s="328"/>
      <c r="E3979" s="23"/>
      <c r="F3979" s="329"/>
      <c r="G3979" s="23"/>
      <c r="H3979" s="23"/>
      <c r="I3979" s="330"/>
      <c r="J3979" s="330"/>
      <c r="K3979" s="23"/>
    </row>
    <row r="3980" spans="1:11" ht="12.75" x14ac:dyDescent="0.2">
      <c r="A3980" s="23"/>
      <c r="B3980" s="328"/>
      <c r="C3980" s="327"/>
      <c r="D3980" s="328"/>
      <c r="E3980" s="23"/>
      <c r="F3980" s="329"/>
      <c r="G3980" s="23"/>
      <c r="H3980" s="23"/>
      <c r="I3980" s="330"/>
      <c r="J3980" s="330"/>
      <c r="K3980" s="23"/>
    </row>
    <row r="3981" spans="1:11" ht="12.75" x14ac:dyDescent="0.2">
      <c r="A3981" s="23"/>
      <c r="B3981" s="328"/>
      <c r="C3981" s="327"/>
      <c r="D3981" s="328"/>
      <c r="E3981" s="23"/>
      <c r="F3981" s="329"/>
      <c r="G3981" s="23"/>
      <c r="H3981" s="23"/>
      <c r="I3981" s="330"/>
      <c r="J3981" s="330"/>
      <c r="K3981" s="23"/>
    </row>
    <row r="3982" spans="1:11" ht="12.75" x14ac:dyDescent="0.2">
      <c r="A3982" s="23"/>
      <c r="B3982" s="328"/>
      <c r="C3982" s="327"/>
      <c r="D3982" s="328"/>
      <c r="E3982" s="23"/>
      <c r="F3982" s="329"/>
      <c r="G3982" s="23"/>
      <c r="H3982" s="23"/>
      <c r="I3982" s="330"/>
      <c r="J3982" s="330"/>
      <c r="K3982" s="23"/>
    </row>
    <row r="3983" spans="1:11" ht="12.75" x14ac:dyDescent="0.2">
      <c r="A3983" s="23"/>
      <c r="B3983" s="328"/>
      <c r="C3983" s="327"/>
      <c r="D3983" s="328"/>
      <c r="E3983" s="23"/>
      <c r="F3983" s="329"/>
      <c r="G3983" s="23"/>
      <c r="H3983" s="23"/>
      <c r="I3983" s="330"/>
      <c r="J3983" s="330"/>
      <c r="K3983" s="23"/>
    </row>
    <row r="3984" spans="1:11" ht="12.75" x14ac:dyDescent="0.2">
      <c r="A3984" s="23"/>
      <c r="B3984" s="328"/>
      <c r="C3984" s="327"/>
      <c r="D3984" s="328"/>
      <c r="E3984" s="23"/>
      <c r="F3984" s="329"/>
      <c r="G3984" s="23"/>
      <c r="H3984" s="23"/>
      <c r="I3984" s="330"/>
      <c r="J3984" s="330"/>
      <c r="K3984" s="23"/>
    </row>
    <row r="3985" spans="1:11" ht="12.75" x14ac:dyDescent="0.2">
      <c r="A3985" s="23"/>
      <c r="B3985" s="328"/>
      <c r="C3985" s="327"/>
      <c r="D3985" s="328"/>
      <c r="E3985" s="23"/>
      <c r="F3985" s="329"/>
      <c r="G3985" s="23"/>
      <c r="H3985" s="23"/>
      <c r="I3985" s="330"/>
      <c r="J3985" s="330"/>
      <c r="K3985" s="23"/>
    </row>
    <row r="3986" spans="1:11" ht="12.75" x14ac:dyDescent="0.2">
      <c r="A3986" s="23"/>
      <c r="B3986" s="328"/>
      <c r="C3986" s="327"/>
      <c r="D3986" s="328"/>
      <c r="E3986" s="23"/>
      <c r="F3986" s="329"/>
      <c r="G3986" s="23"/>
      <c r="H3986" s="23"/>
      <c r="I3986" s="330"/>
      <c r="J3986" s="330"/>
      <c r="K3986" s="23"/>
    </row>
    <row r="3987" spans="1:11" ht="12.75" x14ac:dyDescent="0.2">
      <c r="A3987" s="23"/>
      <c r="B3987" s="328"/>
      <c r="C3987" s="327"/>
      <c r="D3987" s="328"/>
      <c r="E3987" s="23"/>
      <c r="F3987" s="329"/>
      <c r="G3987" s="23"/>
      <c r="H3987" s="23"/>
      <c r="I3987" s="330"/>
      <c r="J3987" s="330"/>
      <c r="K3987" s="23"/>
    </row>
    <row r="3988" spans="1:11" ht="12.75" x14ac:dyDescent="0.2">
      <c r="A3988" s="23"/>
      <c r="B3988" s="328"/>
      <c r="C3988" s="327"/>
      <c r="D3988" s="328"/>
      <c r="E3988" s="23"/>
      <c r="F3988" s="329"/>
      <c r="G3988" s="23"/>
      <c r="H3988" s="23"/>
      <c r="I3988" s="330"/>
      <c r="J3988" s="330"/>
      <c r="K3988" s="23"/>
    </row>
    <row r="3989" spans="1:11" ht="12.75" x14ac:dyDescent="0.2">
      <c r="A3989" s="23"/>
      <c r="B3989" s="328"/>
      <c r="C3989" s="327"/>
      <c r="D3989" s="328"/>
      <c r="E3989" s="23"/>
      <c r="F3989" s="329"/>
      <c r="G3989" s="23"/>
      <c r="H3989" s="23"/>
      <c r="I3989" s="330"/>
      <c r="J3989" s="330"/>
      <c r="K3989" s="23"/>
    </row>
    <row r="3990" spans="1:11" ht="12.75" x14ac:dyDescent="0.2">
      <c r="A3990" s="23"/>
      <c r="B3990" s="328"/>
      <c r="C3990" s="327"/>
      <c r="D3990" s="328"/>
      <c r="E3990" s="23"/>
      <c r="F3990" s="329"/>
      <c r="G3990" s="23"/>
      <c r="H3990" s="23"/>
      <c r="I3990" s="330"/>
      <c r="J3990" s="330"/>
      <c r="K3990" s="23"/>
    </row>
    <row r="3991" spans="1:11" ht="12.75" x14ac:dyDescent="0.2">
      <c r="A3991" s="23"/>
      <c r="B3991" s="328"/>
      <c r="C3991" s="327"/>
      <c r="D3991" s="328"/>
      <c r="E3991" s="23"/>
      <c r="F3991" s="329"/>
      <c r="G3991" s="23"/>
      <c r="H3991" s="23"/>
      <c r="I3991" s="330"/>
      <c r="J3991" s="330"/>
      <c r="K3991" s="23"/>
    </row>
    <row r="3992" spans="1:11" ht="12.75" x14ac:dyDescent="0.2">
      <c r="A3992" s="23"/>
      <c r="B3992" s="328"/>
      <c r="C3992" s="327"/>
      <c r="D3992" s="328"/>
      <c r="E3992" s="23"/>
      <c r="F3992" s="329"/>
      <c r="G3992" s="23"/>
      <c r="H3992" s="23"/>
      <c r="I3992" s="330"/>
      <c r="J3992" s="330"/>
      <c r="K3992" s="23"/>
    </row>
    <row r="3993" spans="1:11" ht="12.75" x14ac:dyDescent="0.2">
      <c r="A3993" s="23"/>
      <c r="B3993" s="328"/>
      <c r="C3993" s="327"/>
      <c r="D3993" s="328"/>
      <c r="E3993" s="23"/>
      <c r="F3993" s="329"/>
      <c r="G3993" s="23"/>
      <c r="H3993" s="23"/>
      <c r="I3993" s="330"/>
      <c r="J3993" s="330"/>
      <c r="K3993" s="23"/>
    </row>
    <row r="3994" spans="1:11" ht="12.75" x14ac:dyDescent="0.2">
      <c r="A3994" s="23"/>
      <c r="B3994" s="328"/>
      <c r="C3994" s="327"/>
      <c r="D3994" s="328"/>
      <c r="E3994" s="23"/>
      <c r="F3994" s="329"/>
      <c r="G3994" s="23"/>
      <c r="H3994" s="23"/>
      <c r="I3994" s="330"/>
      <c r="J3994" s="330"/>
      <c r="K3994" s="23"/>
    </row>
    <row r="3995" spans="1:11" ht="12.75" x14ac:dyDescent="0.2">
      <c r="A3995" s="23"/>
      <c r="B3995" s="328"/>
      <c r="C3995" s="327"/>
      <c r="D3995" s="328"/>
      <c r="E3995" s="23"/>
      <c r="F3995" s="329"/>
      <c r="G3995" s="23"/>
      <c r="H3995" s="23"/>
      <c r="I3995" s="330"/>
      <c r="J3995" s="330"/>
      <c r="K3995" s="23"/>
    </row>
    <row r="3996" spans="1:11" ht="12.75" x14ac:dyDescent="0.2">
      <c r="A3996" s="23"/>
      <c r="B3996" s="328"/>
      <c r="C3996" s="327"/>
      <c r="D3996" s="328"/>
      <c r="E3996" s="23"/>
      <c r="F3996" s="329"/>
      <c r="G3996" s="23"/>
      <c r="H3996" s="23"/>
      <c r="I3996" s="330"/>
      <c r="J3996" s="330"/>
      <c r="K3996" s="23"/>
    </row>
    <row r="3997" spans="1:11" ht="12.75" x14ac:dyDescent="0.2">
      <c r="A3997" s="23"/>
      <c r="B3997" s="328"/>
      <c r="C3997" s="327"/>
      <c r="D3997" s="328"/>
      <c r="E3997" s="23"/>
      <c r="F3997" s="329"/>
      <c r="G3997" s="23"/>
      <c r="H3997" s="23"/>
      <c r="I3997" s="330"/>
      <c r="J3997" s="330"/>
      <c r="K3997" s="23"/>
    </row>
    <row r="3998" spans="1:11" ht="12.75" x14ac:dyDescent="0.2">
      <c r="A3998" s="23"/>
      <c r="B3998" s="328"/>
      <c r="C3998" s="327"/>
      <c r="D3998" s="328"/>
      <c r="E3998" s="23"/>
      <c r="F3998" s="329"/>
      <c r="G3998" s="23"/>
      <c r="H3998" s="23"/>
      <c r="I3998" s="330"/>
      <c r="J3998" s="330"/>
      <c r="K3998" s="23"/>
    </row>
    <row r="3999" spans="1:11" ht="12.75" x14ac:dyDescent="0.2">
      <c r="A3999" s="23"/>
      <c r="B3999" s="328"/>
      <c r="C3999" s="327"/>
      <c r="D3999" s="328"/>
      <c r="E3999" s="23"/>
      <c r="F3999" s="329"/>
      <c r="G3999" s="23"/>
      <c r="H3999" s="23"/>
      <c r="I3999" s="330"/>
      <c r="J3999" s="330"/>
      <c r="K3999" s="23"/>
    </row>
    <row r="4000" spans="1:11" ht="12.75" x14ac:dyDescent="0.2">
      <c r="A4000" s="23"/>
      <c r="B4000" s="328"/>
      <c r="C4000" s="327"/>
      <c r="D4000" s="328"/>
      <c r="E4000" s="23"/>
      <c r="F4000" s="329"/>
      <c r="G4000" s="23"/>
      <c r="H4000" s="23"/>
      <c r="I4000" s="330"/>
      <c r="J4000" s="330"/>
      <c r="K4000" s="23"/>
    </row>
    <row r="4001" spans="1:11" ht="12.75" x14ac:dyDescent="0.2">
      <c r="A4001" s="23"/>
      <c r="B4001" s="328"/>
      <c r="C4001" s="327"/>
      <c r="D4001" s="328"/>
      <c r="E4001" s="23"/>
      <c r="F4001" s="329"/>
      <c r="G4001" s="23"/>
      <c r="H4001" s="23"/>
      <c r="I4001" s="330"/>
      <c r="J4001" s="330"/>
      <c r="K4001" s="23"/>
    </row>
    <row r="4002" spans="1:11" ht="12.75" x14ac:dyDescent="0.2">
      <c r="A4002" s="23"/>
      <c r="B4002" s="328"/>
      <c r="C4002" s="327"/>
      <c r="D4002" s="328"/>
      <c r="E4002" s="23"/>
      <c r="F4002" s="329"/>
      <c r="G4002" s="23"/>
      <c r="H4002" s="23"/>
      <c r="I4002" s="330"/>
      <c r="J4002" s="330"/>
      <c r="K4002" s="23"/>
    </row>
    <row r="4003" spans="1:11" ht="12.75" x14ac:dyDescent="0.2">
      <c r="A4003" s="23"/>
      <c r="B4003" s="328"/>
      <c r="C4003" s="327"/>
      <c r="D4003" s="328"/>
      <c r="E4003" s="23"/>
      <c r="F4003" s="329"/>
      <c r="G4003" s="23"/>
      <c r="H4003" s="23"/>
      <c r="I4003" s="330"/>
      <c r="J4003" s="330"/>
      <c r="K4003" s="23"/>
    </row>
    <row r="4004" spans="1:11" ht="12.75" x14ac:dyDescent="0.2">
      <c r="A4004" s="23"/>
      <c r="B4004" s="328"/>
      <c r="C4004" s="327"/>
      <c r="D4004" s="328"/>
      <c r="E4004" s="23"/>
      <c r="F4004" s="329"/>
      <c r="G4004" s="23"/>
      <c r="H4004" s="23"/>
      <c r="I4004" s="330"/>
      <c r="J4004" s="330"/>
      <c r="K4004" s="23"/>
    </row>
    <row r="4005" spans="1:11" ht="12.75" x14ac:dyDescent="0.2">
      <c r="A4005" s="23"/>
      <c r="B4005" s="328"/>
      <c r="C4005" s="327"/>
      <c r="D4005" s="328"/>
      <c r="E4005" s="23"/>
      <c r="F4005" s="329"/>
      <c r="G4005" s="23"/>
      <c r="H4005" s="23"/>
      <c r="I4005" s="330"/>
      <c r="J4005" s="330"/>
      <c r="K4005" s="23"/>
    </row>
    <row r="4006" spans="1:11" ht="12.75" x14ac:dyDescent="0.2">
      <c r="A4006" s="23"/>
      <c r="B4006" s="328"/>
      <c r="C4006" s="327"/>
      <c r="D4006" s="328"/>
      <c r="E4006" s="23"/>
      <c r="F4006" s="329"/>
      <c r="G4006" s="23"/>
      <c r="H4006" s="23"/>
      <c r="I4006" s="330"/>
      <c r="J4006" s="330"/>
      <c r="K4006" s="23"/>
    </row>
    <row r="4007" spans="1:11" ht="12.75" x14ac:dyDescent="0.2">
      <c r="A4007" s="23"/>
      <c r="B4007" s="328"/>
      <c r="C4007" s="327"/>
      <c r="D4007" s="328"/>
      <c r="E4007" s="23"/>
      <c r="F4007" s="329"/>
      <c r="G4007" s="23"/>
      <c r="H4007" s="23"/>
      <c r="I4007" s="330"/>
      <c r="J4007" s="330"/>
      <c r="K4007" s="23"/>
    </row>
    <row r="4008" spans="1:11" ht="12.75" x14ac:dyDescent="0.2">
      <c r="A4008" s="23"/>
      <c r="B4008" s="328"/>
      <c r="C4008" s="327"/>
      <c r="D4008" s="328"/>
      <c r="E4008" s="23"/>
      <c r="F4008" s="329"/>
      <c r="G4008" s="23"/>
      <c r="H4008" s="23"/>
      <c r="I4008" s="330"/>
      <c r="J4008" s="330"/>
      <c r="K4008" s="23"/>
    </row>
    <row r="4009" spans="1:11" ht="12.75" x14ac:dyDescent="0.2">
      <c r="A4009" s="23"/>
      <c r="B4009" s="328"/>
      <c r="C4009" s="327"/>
      <c r="D4009" s="328"/>
      <c r="E4009" s="23"/>
      <c r="F4009" s="329"/>
      <c r="G4009" s="23"/>
      <c r="H4009" s="23"/>
      <c r="I4009" s="330"/>
      <c r="J4009" s="330"/>
      <c r="K4009" s="23"/>
    </row>
    <row r="4010" spans="1:11" ht="12.75" x14ac:dyDescent="0.2">
      <c r="A4010" s="23"/>
      <c r="B4010" s="328"/>
      <c r="C4010" s="327"/>
      <c r="D4010" s="328"/>
      <c r="E4010" s="23"/>
      <c r="F4010" s="329"/>
      <c r="G4010" s="23"/>
      <c r="H4010" s="23"/>
      <c r="I4010" s="330"/>
      <c r="J4010" s="330"/>
      <c r="K4010" s="23"/>
    </row>
    <row r="4011" spans="1:11" ht="12.75" x14ac:dyDescent="0.2">
      <c r="A4011" s="23"/>
      <c r="B4011" s="328"/>
      <c r="C4011" s="327"/>
      <c r="D4011" s="328"/>
      <c r="E4011" s="23"/>
      <c r="F4011" s="329"/>
      <c r="G4011" s="23"/>
      <c r="H4011" s="23"/>
      <c r="I4011" s="330"/>
      <c r="J4011" s="330"/>
      <c r="K4011" s="23"/>
    </row>
    <row r="4012" spans="1:11" ht="12.75" x14ac:dyDescent="0.2">
      <c r="A4012" s="23"/>
      <c r="B4012" s="328"/>
      <c r="C4012" s="327"/>
      <c r="D4012" s="328"/>
      <c r="E4012" s="23"/>
      <c r="F4012" s="329"/>
      <c r="G4012" s="23"/>
      <c r="H4012" s="23"/>
      <c r="I4012" s="330"/>
      <c r="J4012" s="330"/>
      <c r="K4012" s="23"/>
    </row>
    <row r="4013" spans="1:11" ht="12.75" x14ac:dyDescent="0.2">
      <c r="A4013" s="23"/>
      <c r="B4013" s="328"/>
      <c r="C4013" s="327"/>
      <c r="D4013" s="328"/>
      <c r="E4013" s="23"/>
      <c r="F4013" s="329"/>
      <c r="G4013" s="23"/>
      <c r="H4013" s="23"/>
      <c r="I4013" s="330"/>
      <c r="J4013" s="330"/>
      <c r="K4013" s="23"/>
    </row>
    <row r="4014" spans="1:11" ht="12.75" x14ac:dyDescent="0.2">
      <c r="A4014" s="23"/>
      <c r="B4014" s="328"/>
      <c r="C4014" s="327"/>
      <c r="D4014" s="328"/>
      <c r="E4014" s="23"/>
      <c r="F4014" s="329"/>
      <c r="G4014" s="23"/>
      <c r="H4014" s="23"/>
      <c r="I4014" s="330"/>
      <c r="J4014" s="330"/>
      <c r="K4014" s="23"/>
    </row>
    <row r="4015" spans="1:11" ht="12.75" x14ac:dyDescent="0.2">
      <c r="A4015" s="23"/>
      <c r="B4015" s="328"/>
      <c r="C4015" s="327"/>
      <c r="D4015" s="328"/>
      <c r="E4015" s="23"/>
      <c r="F4015" s="329"/>
      <c r="G4015" s="23"/>
      <c r="H4015" s="23"/>
      <c r="I4015" s="330"/>
      <c r="J4015" s="330"/>
      <c r="K4015" s="23"/>
    </row>
    <row r="4016" spans="1:11" ht="12.75" x14ac:dyDescent="0.2">
      <c r="A4016" s="23"/>
      <c r="B4016" s="328"/>
      <c r="C4016" s="327"/>
      <c r="D4016" s="328"/>
      <c r="E4016" s="23"/>
      <c r="F4016" s="329"/>
      <c r="G4016" s="23"/>
      <c r="H4016" s="23"/>
      <c r="I4016" s="330"/>
      <c r="J4016" s="330"/>
      <c r="K4016" s="23"/>
    </row>
    <row r="4017" spans="1:11" ht="12.75" x14ac:dyDescent="0.2">
      <c r="A4017" s="23"/>
      <c r="B4017" s="328"/>
      <c r="C4017" s="327"/>
      <c r="D4017" s="328"/>
      <c r="E4017" s="23"/>
      <c r="F4017" s="329"/>
      <c r="G4017" s="23"/>
      <c r="H4017" s="23"/>
      <c r="I4017" s="330"/>
      <c r="J4017" s="330"/>
      <c r="K4017" s="23"/>
    </row>
    <row r="4018" spans="1:11" ht="12.75" x14ac:dyDescent="0.2">
      <c r="A4018" s="23"/>
      <c r="B4018" s="328"/>
      <c r="C4018" s="327"/>
      <c r="D4018" s="328"/>
      <c r="E4018" s="23"/>
      <c r="F4018" s="329"/>
      <c r="G4018" s="23"/>
      <c r="H4018" s="23"/>
      <c r="I4018" s="330"/>
      <c r="J4018" s="330"/>
      <c r="K4018" s="23"/>
    </row>
    <row r="4019" spans="1:11" ht="12.75" x14ac:dyDescent="0.2">
      <c r="A4019" s="23"/>
      <c r="B4019" s="328"/>
      <c r="C4019" s="327"/>
      <c r="D4019" s="328"/>
      <c r="E4019" s="23"/>
      <c r="F4019" s="329"/>
      <c r="G4019" s="23"/>
      <c r="H4019" s="23"/>
      <c r="I4019" s="330"/>
      <c r="J4019" s="330"/>
      <c r="K4019" s="23"/>
    </row>
    <row r="4020" spans="1:11" ht="12.75" x14ac:dyDescent="0.2">
      <c r="A4020" s="23"/>
      <c r="B4020" s="328"/>
      <c r="C4020" s="327"/>
      <c r="D4020" s="328"/>
      <c r="E4020" s="23"/>
      <c r="F4020" s="329"/>
      <c r="G4020" s="23"/>
      <c r="H4020" s="23"/>
      <c r="I4020" s="330"/>
      <c r="J4020" s="330"/>
      <c r="K4020" s="23"/>
    </row>
    <row r="4021" spans="1:11" ht="12.75" x14ac:dyDescent="0.2">
      <c r="A4021" s="23"/>
      <c r="B4021" s="328"/>
      <c r="C4021" s="327"/>
      <c r="D4021" s="328"/>
      <c r="E4021" s="23"/>
      <c r="F4021" s="329"/>
      <c r="G4021" s="23"/>
      <c r="H4021" s="23"/>
      <c r="I4021" s="330"/>
      <c r="J4021" s="330"/>
      <c r="K4021" s="23"/>
    </row>
    <row r="4022" spans="1:11" ht="12.75" x14ac:dyDescent="0.2">
      <c r="A4022" s="23"/>
      <c r="B4022" s="328"/>
      <c r="C4022" s="327"/>
      <c r="D4022" s="328"/>
      <c r="E4022" s="23"/>
      <c r="F4022" s="329"/>
      <c r="G4022" s="23"/>
      <c r="H4022" s="23"/>
      <c r="I4022" s="330"/>
      <c r="J4022" s="330"/>
      <c r="K4022" s="23"/>
    </row>
    <row r="4023" spans="1:11" ht="12.75" x14ac:dyDescent="0.2">
      <c r="A4023" s="23"/>
      <c r="B4023" s="328"/>
      <c r="C4023" s="327"/>
      <c r="D4023" s="328"/>
      <c r="E4023" s="23"/>
      <c r="F4023" s="329"/>
      <c r="G4023" s="23"/>
      <c r="H4023" s="23"/>
      <c r="I4023" s="330"/>
      <c r="J4023" s="330"/>
      <c r="K4023" s="23"/>
    </row>
    <row r="4024" spans="1:11" ht="12.75" x14ac:dyDescent="0.2">
      <c r="A4024" s="23"/>
      <c r="B4024" s="328"/>
      <c r="C4024" s="327"/>
      <c r="D4024" s="328"/>
      <c r="E4024" s="23"/>
      <c r="F4024" s="329"/>
      <c r="G4024" s="23"/>
      <c r="H4024" s="23"/>
      <c r="I4024" s="330"/>
      <c r="J4024" s="330"/>
      <c r="K4024" s="23"/>
    </row>
    <row r="4025" spans="1:11" ht="12.75" x14ac:dyDescent="0.2">
      <c r="A4025" s="23"/>
      <c r="B4025" s="328"/>
      <c r="C4025" s="327"/>
      <c r="D4025" s="328"/>
      <c r="E4025" s="23"/>
      <c r="F4025" s="329"/>
      <c r="G4025" s="23"/>
      <c r="H4025" s="23"/>
      <c r="I4025" s="330"/>
      <c r="J4025" s="330"/>
      <c r="K4025" s="23"/>
    </row>
    <row r="4026" spans="1:11" ht="12.75" x14ac:dyDescent="0.2">
      <c r="A4026" s="23"/>
      <c r="B4026" s="328"/>
      <c r="C4026" s="327"/>
      <c r="D4026" s="328"/>
      <c r="E4026" s="23"/>
      <c r="F4026" s="329"/>
      <c r="G4026" s="23"/>
      <c r="H4026" s="23"/>
      <c r="I4026" s="330"/>
      <c r="J4026" s="330"/>
      <c r="K4026" s="23"/>
    </row>
    <row r="4027" spans="1:11" ht="12.75" x14ac:dyDescent="0.2">
      <c r="A4027" s="23"/>
      <c r="B4027" s="328"/>
      <c r="C4027" s="327"/>
      <c r="D4027" s="328"/>
      <c r="E4027" s="23"/>
      <c r="F4027" s="329"/>
      <c r="G4027" s="23"/>
      <c r="H4027" s="23"/>
      <c r="I4027" s="330"/>
      <c r="J4027" s="330"/>
      <c r="K4027" s="23"/>
    </row>
    <row r="4028" spans="1:11" ht="12.75" x14ac:dyDescent="0.2">
      <c r="A4028" s="23"/>
      <c r="B4028" s="328"/>
      <c r="C4028" s="327"/>
      <c r="D4028" s="328"/>
      <c r="E4028" s="23"/>
      <c r="F4028" s="329"/>
      <c r="G4028" s="23"/>
      <c r="H4028" s="23"/>
      <c r="I4028" s="330"/>
      <c r="J4028" s="330"/>
      <c r="K4028" s="23"/>
    </row>
    <row r="4029" spans="1:11" ht="12.75" x14ac:dyDescent="0.2">
      <c r="A4029" s="23"/>
      <c r="B4029" s="328"/>
      <c r="C4029" s="327"/>
      <c r="D4029" s="328"/>
      <c r="E4029" s="23"/>
      <c r="F4029" s="329"/>
      <c r="G4029" s="23"/>
      <c r="H4029" s="23"/>
      <c r="I4029" s="330"/>
      <c r="J4029" s="330"/>
      <c r="K4029" s="23"/>
    </row>
    <row r="4030" spans="1:11" ht="12.75" x14ac:dyDescent="0.2">
      <c r="A4030" s="23"/>
      <c r="B4030" s="328"/>
      <c r="C4030" s="327"/>
      <c r="D4030" s="328"/>
      <c r="E4030" s="23"/>
      <c r="F4030" s="329"/>
      <c r="G4030" s="23"/>
      <c r="H4030" s="23"/>
      <c r="I4030" s="330"/>
      <c r="J4030" s="330"/>
      <c r="K4030" s="23"/>
    </row>
    <row r="4031" spans="1:11" ht="12.75" x14ac:dyDescent="0.2">
      <c r="A4031" s="23"/>
      <c r="B4031" s="328"/>
      <c r="C4031" s="327"/>
      <c r="D4031" s="328"/>
      <c r="E4031" s="23"/>
      <c r="F4031" s="329"/>
      <c r="G4031" s="23"/>
      <c r="H4031" s="23"/>
      <c r="I4031" s="330"/>
      <c r="J4031" s="330"/>
      <c r="K4031" s="23"/>
    </row>
    <row r="4032" spans="1:11" ht="12.75" x14ac:dyDescent="0.2">
      <c r="A4032" s="23"/>
      <c r="B4032" s="328"/>
      <c r="C4032" s="327"/>
      <c r="D4032" s="328"/>
      <c r="E4032" s="23"/>
      <c r="F4032" s="329"/>
      <c r="G4032" s="23"/>
      <c r="H4032" s="23"/>
      <c r="I4032" s="330"/>
      <c r="J4032" s="330"/>
      <c r="K4032" s="23"/>
    </row>
    <row r="4033" spans="1:11" ht="12.75" x14ac:dyDescent="0.2">
      <c r="A4033" s="23"/>
      <c r="B4033" s="328"/>
      <c r="C4033" s="327"/>
      <c r="D4033" s="328"/>
      <c r="E4033" s="23"/>
      <c r="F4033" s="329"/>
      <c r="G4033" s="23"/>
      <c r="H4033" s="23"/>
      <c r="I4033" s="330"/>
      <c r="J4033" s="330"/>
      <c r="K4033" s="23"/>
    </row>
    <row r="4034" spans="1:11" ht="12.75" x14ac:dyDescent="0.2">
      <c r="A4034" s="23"/>
      <c r="B4034" s="328"/>
      <c r="C4034" s="327"/>
      <c r="D4034" s="328"/>
      <c r="E4034" s="23"/>
      <c r="F4034" s="329"/>
      <c r="G4034" s="23"/>
      <c r="H4034" s="23"/>
      <c r="I4034" s="330"/>
      <c r="J4034" s="330"/>
      <c r="K4034" s="23"/>
    </row>
    <row r="4035" spans="1:11" ht="12.75" x14ac:dyDescent="0.2">
      <c r="A4035" s="23"/>
      <c r="B4035" s="328"/>
      <c r="C4035" s="327"/>
      <c r="D4035" s="328"/>
      <c r="E4035" s="23"/>
      <c r="F4035" s="329"/>
      <c r="G4035" s="23"/>
      <c r="H4035" s="23"/>
      <c r="I4035" s="330"/>
      <c r="J4035" s="330"/>
      <c r="K4035" s="23"/>
    </row>
    <row r="4036" spans="1:11" ht="12.75" x14ac:dyDescent="0.2">
      <c r="A4036" s="23"/>
      <c r="B4036" s="328"/>
      <c r="C4036" s="327"/>
      <c r="D4036" s="328"/>
      <c r="E4036" s="23"/>
      <c r="F4036" s="329"/>
      <c r="G4036" s="23"/>
      <c r="H4036" s="23"/>
      <c r="I4036" s="330"/>
      <c r="J4036" s="330"/>
      <c r="K4036" s="23"/>
    </row>
    <row r="4037" spans="1:11" ht="12.75" x14ac:dyDescent="0.2">
      <c r="A4037" s="23"/>
      <c r="B4037" s="328"/>
      <c r="C4037" s="327"/>
      <c r="D4037" s="328"/>
      <c r="E4037" s="23"/>
      <c r="F4037" s="329"/>
      <c r="G4037" s="23"/>
      <c r="H4037" s="23"/>
      <c r="I4037" s="330"/>
      <c r="J4037" s="330"/>
      <c r="K4037" s="23"/>
    </row>
    <row r="4038" spans="1:11" ht="12.75" x14ac:dyDescent="0.2">
      <c r="A4038" s="23"/>
      <c r="B4038" s="328"/>
      <c r="C4038" s="327"/>
      <c r="D4038" s="328"/>
      <c r="E4038" s="23"/>
      <c r="F4038" s="329"/>
      <c r="G4038" s="23"/>
      <c r="H4038" s="23"/>
      <c r="I4038" s="330"/>
      <c r="J4038" s="330"/>
      <c r="K4038" s="23"/>
    </row>
    <row r="4039" spans="1:11" ht="12.75" x14ac:dyDescent="0.2">
      <c r="A4039" s="23"/>
      <c r="B4039" s="328"/>
      <c r="C4039" s="327"/>
      <c r="D4039" s="328"/>
      <c r="E4039" s="23"/>
      <c r="F4039" s="329"/>
      <c r="G4039" s="23"/>
      <c r="H4039" s="23"/>
      <c r="I4039" s="330"/>
      <c r="J4039" s="330"/>
      <c r="K4039" s="23"/>
    </row>
    <row r="4040" spans="1:11" ht="12.75" x14ac:dyDescent="0.2">
      <c r="A4040" s="23"/>
      <c r="B4040" s="328"/>
      <c r="C4040" s="327"/>
      <c r="D4040" s="328"/>
      <c r="E4040" s="23"/>
      <c r="F4040" s="329"/>
      <c r="G4040" s="23"/>
      <c r="H4040" s="23"/>
      <c r="I4040" s="330"/>
      <c r="J4040" s="330"/>
      <c r="K4040" s="23"/>
    </row>
    <row r="4041" spans="1:11" ht="12.75" x14ac:dyDescent="0.2">
      <c r="A4041" s="23"/>
      <c r="B4041" s="328"/>
      <c r="C4041" s="327"/>
      <c r="D4041" s="328"/>
      <c r="E4041" s="23"/>
      <c r="F4041" s="329"/>
      <c r="G4041" s="23"/>
      <c r="H4041" s="23"/>
      <c r="I4041" s="330"/>
      <c r="J4041" s="330"/>
      <c r="K4041" s="23"/>
    </row>
    <row r="4042" spans="1:11" ht="12.75" x14ac:dyDescent="0.2">
      <c r="A4042" s="23"/>
      <c r="B4042" s="328"/>
      <c r="C4042" s="327"/>
      <c r="D4042" s="328"/>
      <c r="E4042" s="23"/>
      <c r="F4042" s="329"/>
      <c r="G4042" s="23"/>
      <c r="H4042" s="23"/>
      <c r="I4042" s="330"/>
      <c r="J4042" s="330"/>
      <c r="K4042" s="23"/>
    </row>
    <row r="4043" spans="1:11" ht="12.75" x14ac:dyDescent="0.2">
      <c r="A4043" s="23"/>
      <c r="B4043" s="328"/>
      <c r="C4043" s="327"/>
      <c r="D4043" s="328"/>
      <c r="E4043" s="23"/>
      <c r="F4043" s="329"/>
      <c r="G4043" s="23"/>
      <c r="H4043" s="23"/>
      <c r="I4043" s="330"/>
      <c r="J4043" s="330"/>
      <c r="K4043" s="23"/>
    </row>
    <row r="4044" spans="1:11" ht="12.75" x14ac:dyDescent="0.2">
      <c r="A4044" s="23"/>
      <c r="B4044" s="328"/>
      <c r="C4044" s="327"/>
      <c r="D4044" s="328"/>
      <c r="E4044" s="23"/>
      <c r="F4044" s="329"/>
      <c r="G4044" s="23"/>
      <c r="H4044" s="23"/>
      <c r="I4044" s="330"/>
      <c r="J4044" s="330"/>
      <c r="K4044" s="23"/>
    </row>
    <row r="4045" spans="1:11" ht="12.75" x14ac:dyDescent="0.2">
      <c r="A4045" s="23"/>
      <c r="B4045" s="328"/>
      <c r="C4045" s="327"/>
      <c r="D4045" s="328"/>
      <c r="E4045" s="23"/>
      <c r="F4045" s="329"/>
      <c r="G4045" s="23"/>
      <c r="H4045" s="23"/>
      <c r="I4045" s="330"/>
      <c r="J4045" s="330"/>
      <c r="K4045" s="23"/>
    </row>
    <row r="4046" spans="1:11" ht="12.75" x14ac:dyDescent="0.2">
      <c r="A4046" s="23"/>
      <c r="B4046" s="328"/>
      <c r="C4046" s="327"/>
      <c r="D4046" s="328"/>
      <c r="E4046" s="23"/>
      <c r="F4046" s="329"/>
      <c r="G4046" s="23"/>
      <c r="H4046" s="23"/>
      <c r="I4046" s="330"/>
      <c r="J4046" s="330"/>
      <c r="K4046" s="23"/>
    </row>
    <row r="4047" spans="1:11" ht="12.75" x14ac:dyDescent="0.2">
      <c r="A4047" s="23"/>
      <c r="B4047" s="328"/>
      <c r="C4047" s="327"/>
      <c r="D4047" s="328"/>
      <c r="E4047" s="23"/>
      <c r="F4047" s="329"/>
      <c r="G4047" s="23"/>
      <c r="H4047" s="23"/>
      <c r="I4047" s="330"/>
      <c r="J4047" s="330"/>
      <c r="K4047" s="23"/>
    </row>
    <row r="4048" spans="1:11" ht="12.75" x14ac:dyDescent="0.2">
      <c r="A4048" s="23"/>
      <c r="B4048" s="328"/>
      <c r="C4048" s="327"/>
      <c r="D4048" s="328"/>
      <c r="E4048" s="23"/>
      <c r="F4048" s="329"/>
      <c r="G4048" s="23"/>
      <c r="H4048" s="23"/>
      <c r="I4048" s="330"/>
      <c r="J4048" s="330"/>
      <c r="K4048" s="23"/>
    </row>
    <row r="4049" spans="1:11" ht="12.75" x14ac:dyDescent="0.2">
      <c r="A4049" s="23"/>
      <c r="B4049" s="328"/>
      <c r="C4049" s="327"/>
      <c r="D4049" s="328"/>
      <c r="E4049" s="23"/>
      <c r="F4049" s="329"/>
      <c r="G4049" s="23"/>
      <c r="H4049" s="23"/>
      <c r="I4049" s="330"/>
      <c r="J4049" s="330"/>
      <c r="K4049" s="23"/>
    </row>
    <row r="4050" spans="1:11" ht="12.75" x14ac:dyDescent="0.2">
      <c r="A4050" s="23"/>
      <c r="B4050" s="328"/>
      <c r="C4050" s="327"/>
      <c r="D4050" s="328"/>
      <c r="E4050" s="23"/>
      <c r="F4050" s="329"/>
      <c r="G4050" s="23"/>
      <c r="H4050" s="23"/>
      <c r="I4050" s="330"/>
      <c r="J4050" s="330"/>
      <c r="K4050" s="23"/>
    </row>
    <row r="4051" spans="1:11" ht="12.75" x14ac:dyDescent="0.2">
      <c r="A4051" s="23"/>
      <c r="B4051" s="328"/>
      <c r="C4051" s="327"/>
      <c r="D4051" s="328"/>
      <c r="E4051" s="23"/>
      <c r="F4051" s="329"/>
      <c r="G4051" s="23"/>
      <c r="H4051" s="23"/>
      <c r="I4051" s="330"/>
      <c r="J4051" s="330"/>
      <c r="K4051" s="23"/>
    </row>
    <row r="4052" spans="1:11" ht="12.75" x14ac:dyDescent="0.2">
      <c r="A4052" s="23"/>
      <c r="B4052" s="328"/>
      <c r="C4052" s="327"/>
      <c r="D4052" s="328"/>
      <c r="E4052" s="23"/>
      <c r="F4052" s="329"/>
      <c r="G4052" s="23"/>
      <c r="H4052" s="23"/>
      <c r="I4052" s="330"/>
      <c r="J4052" s="330"/>
      <c r="K4052" s="23"/>
    </row>
    <row r="4053" spans="1:11" ht="12.75" x14ac:dyDescent="0.2">
      <c r="A4053" s="23"/>
      <c r="B4053" s="328"/>
      <c r="C4053" s="327"/>
      <c r="D4053" s="328"/>
      <c r="E4053" s="23"/>
      <c r="F4053" s="329"/>
      <c r="G4053" s="23"/>
      <c r="H4053" s="23"/>
      <c r="I4053" s="330"/>
      <c r="J4053" s="330"/>
      <c r="K4053" s="23"/>
    </row>
    <row r="4054" spans="1:11" ht="12.75" x14ac:dyDescent="0.2">
      <c r="A4054" s="23"/>
      <c r="B4054" s="328"/>
      <c r="C4054" s="327"/>
      <c r="D4054" s="328"/>
      <c r="E4054" s="23"/>
      <c r="F4054" s="329"/>
      <c r="G4054" s="23"/>
      <c r="H4054" s="23"/>
      <c r="I4054" s="330"/>
      <c r="J4054" s="330"/>
      <c r="K4054" s="23"/>
    </row>
    <row r="4055" spans="1:11" ht="12.75" x14ac:dyDescent="0.2">
      <c r="A4055" s="23"/>
      <c r="B4055" s="328"/>
      <c r="C4055" s="327"/>
      <c r="D4055" s="328"/>
      <c r="E4055" s="23"/>
      <c r="F4055" s="329"/>
      <c r="G4055" s="23"/>
      <c r="H4055" s="23"/>
      <c r="I4055" s="330"/>
      <c r="J4055" s="330"/>
      <c r="K4055" s="23"/>
    </row>
    <row r="4056" spans="1:11" ht="12.75" x14ac:dyDescent="0.2">
      <c r="A4056" s="23"/>
      <c r="B4056" s="328"/>
      <c r="C4056" s="327"/>
      <c r="D4056" s="328"/>
      <c r="E4056" s="23"/>
      <c r="F4056" s="329"/>
      <c r="G4056" s="23"/>
      <c r="H4056" s="23"/>
      <c r="I4056" s="330"/>
      <c r="J4056" s="330"/>
      <c r="K4056" s="23"/>
    </row>
    <row r="4057" spans="1:11" ht="12.75" x14ac:dyDescent="0.2">
      <c r="A4057" s="23"/>
      <c r="B4057" s="328"/>
      <c r="C4057" s="327"/>
      <c r="D4057" s="328"/>
      <c r="E4057" s="23"/>
      <c r="F4057" s="329"/>
      <c r="G4057" s="23"/>
      <c r="H4057" s="23"/>
      <c r="I4057" s="330"/>
      <c r="J4057" s="330"/>
      <c r="K4057" s="23"/>
    </row>
    <row r="4058" spans="1:11" ht="12.75" x14ac:dyDescent="0.2">
      <c r="A4058" s="23"/>
      <c r="B4058" s="328"/>
      <c r="C4058" s="327"/>
      <c r="D4058" s="328"/>
      <c r="E4058" s="23"/>
      <c r="F4058" s="329"/>
      <c r="G4058" s="23"/>
      <c r="H4058" s="23"/>
      <c r="I4058" s="330"/>
      <c r="J4058" s="330"/>
      <c r="K4058" s="23"/>
    </row>
    <row r="4059" spans="1:11" ht="12.75" x14ac:dyDescent="0.2">
      <c r="A4059" s="23"/>
      <c r="B4059" s="328"/>
      <c r="C4059" s="327"/>
      <c r="D4059" s="328"/>
      <c r="E4059" s="23"/>
      <c r="F4059" s="329"/>
      <c r="G4059" s="23"/>
      <c r="H4059" s="23"/>
      <c r="I4059" s="330"/>
      <c r="J4059" s="330"/>
      <c r="K4059" s="23"/>
    </row>
    <row r="4060" spans="1:11" ht="12.75" x14ac:dyDescent="0.2">
      <c r="A4060" s="23"/>
      <c r="B4060" s="328"/>
      <c r="C4060" s="327"/>
      <c r="D4060" s="328"/>
      <c r="E4060" s="23"/>
      <c r="F4060" s="329"/>
      <c r="G4060" s="23"/>
      <c r="H4060" s="23"/>
      <c r="I4060" s="330"/>
      <c r="J4060" s="330"/>
      <c r="K4060" s="23"/>
    </row>
    <row r="4061" spans="1:11" ht="12.75" x14ac:dyDescent="0.2">
      <c r="A4061" s="23"/>
      <c r="B4061" s="328"/>
      <c r="C4061" s="327"/>
      <c r="D4061" s="328"/>
      <c r="E4061" s="23"/>
      <c r="F4061" s="329"/>
      <c r="G4061" s="23"/>
      <c r="H4061" s="23"/>
      <c r="I4061" s="330"/>
      <c r="J4061" s="330"/>
      <c r="K4061" s="23"/>
    </row>
    <row r="4062" spans="1:11" ht="12.75" x14ac:dyDescent="0.2">
      <c r="A4062" s="23"/>
      <c r="B4062" s="328"/>
      <c r="C4062" s="327"/>
      <c r="D4062" s="328"/>
      <c r="E4062" s="23"/>
      <c r="F4062" s="329"/>
      <c r="G4062" s="23"/>
      <c r="H4062" s="23"/>
      <c r="I4062" s="330"/>
      <c r="J4062" s="330"/>
      <c r="K4062" s="23"/>
    </row>
    <row r="4063" spans="1:11" ht="12.75" x14ac:dyDescent="0.2">
      <c r="A4063" s="23"/>
      <c r="B4063" s="328"/>
      <c r="C4063" s="327"/>
      <c r="D4063" s="328"/>
      <c r="E4063" s="23"/>
      <c r="F4063" s="329"/>
      <c r="G4063" s="23"/>
      <c r="H4063" s="23"/>
      <c r="I4063" s="330"/>
      <c r="J4063" s="330"/>
      <c r="K4063" s="23"/>
    </row>
    <row r="4064" spans="1:11" ht="12.75" x14ac:dyDescent="0.2">
      <c r="A4064" s="23"/>
      <c r="B4064" s="328"/>
      <c r="C4064" s="327"/>
      <c r="D4064" s="328"/>
      <c r="E4064" s="23"/>
      <c r="F4064" s="329"/>
      <c r="G4064" s="23"/>
      <c r="H4064" s="23"/>
      <c r="I4064" s="330"/>
      <c r="J4064" s="330"/>
      <c r="K4064" s="23"/>
    </row>
    <row r="4065" spans="1:11" ht="12.75" x14ac:dyDescent="0.2">
      <c r="A4065" s="23"/>
      <c r="B4065" s="328"/>
      <c r="C4065" s="327"/>
      <c r="D4065" s="328"/>
      <c r="E4065" s="23"/>
      <c r="F4065" s="329"/>
      <c r="G4065" s="23"/>
      <c r="H4065" s="23"/>
      <c r="I4065" s="330"/>
      <c r="J4065" s="330"/>
      <c r="K4065" s="23"/>
    </row>
    <row r="4066" spans="1:11" ht="12.75" x14ac:dyDescent="0.2">
      <c r="A4066" s="23"/>
      <c r="B4066" s="328"/>
      <c r="C4066" s="327"/>
      <c r="D4066" s="328"/>
      <c r="E4066" s="23"/>
      <c r="F4066" s="329"/>
      <c r="G4066" s="23"/>
      <c r="H4066" s="23"/>
      <c r="I4066" s="330"/>
      <c r="J4066" s="330"/>
      <c r="K4066" s="23"/>
    </row>
    <row r="4067" spans="1:11" ht="12.75" x14ac:dyDescent="0.2">
      <c r="A4067" s="23"/>
      <c r="B4067" s="328"/>
      <c r="C4067" s="327"/>
      <c r="D4067" s="328"/>
      <c r="E4067" s="23"/>
      <c r="F4067" s="329"/>
      <c r="G4067" s="23"/>
      <c r="H4067" s="23"/>
      <c r="I4067" s="330"/>
      <c r="J4067" s="330"/>
      <c r="K4067" s="23"/>
    </row>
    <row r="4068" spans="1:11" ht="12.75" x14ac:dyDescent="0.2">
      <c r="A4068" s="23"/>
      <c r="B4068" s="328"/>
      <c r="C4068" s="327"/>
      <c r="D4068" s="328"/>
      <c r="E4068" s="23"/>
      <c r="F4068" s="329"/>
      <c r="G4068" s="23"/>
      <c r="H4068" s="23"/>
      <c r="I4068" s="330"/>
      <c r="J4068" s="330"/>
      <c r="K4068" s="23"/>
    </row>
    <row r="4069" spans="1:11" ht="12.75" x14ac:dyDescent="0.2">
      <c r="A4069" s="23"/>
      <c r="B4069" s="328"/>
      <c r="C4069" s="327"/>
      <c r="D4069" s="328"/>
      <c r="E4069" s="23"/>
      <c r="F4069" s="329"/>
      <c r="G4069" s="23"/>
      <c r="H4069" s="23"/>
      <c r="I4069" s="330"/>
      <c r="J4069" s="330"/>
      <c r="K4069" s="23"/>
    </row>
    <row r="4070" spans="1:11" ht="12.75" x14ac:dyDescent="0.2">
      <c r="A4070" s="23"/>
      <c r="B4070" s="328"/>
      <c r="C4070" s="327"/>
      <c r="D4070" s="328"/>
      <c r="E4070" s="23"/>
      <c r="F4070" s="329"/>
      <c r="G4070" s="23"/>
      <c r="H4070" s="23"/>
      <c r="I4070" s="330"/>
      <c r="J4070" s="330"/>
      <c r="K4070" s="23"/>
    </row>
    <row r="4071" spans="1:11" ht="12.75" x14ac:dyDescent="0.2">
      <c r="A4071" s="23"/>
      <c r="B4071" s="328"/>
      <c r="C4071" s="327"/>
      <c r="D4071" s="328"/>
      <c r="E4071" s="23"/>
      <c r="F4071" s="329"/>
      <c r="G4071" s="23"/>
      <c r="H4071" s="23"/>
      <c r="I4071" s="330"/>
      <c r="J4071" s="330"/>
      <c r="K4071" s="23"/>
    </row>
    <row r="4072" spans="1:11" ht="12.75" x14ac:dyDescent="0.2">
      <c r="A4072" s="23"/>
      <c r="B4072" s="328"/>
      <c r="C4072" s="327"/>
      <c r="D4072" s="328"/>
      <c r="E4072" s="23"/>
      <c r="F4072" s="329"/>
      <c r="G4072" s="23"/>
      <c r="H4072" s="23"/>
      <c r="I4072" s="330"/>
      <c r="J4072" s="330"/>
      <c r="K4072" s="23"/>
    </row>
    <row r="4073" spans="1:11" ht="12.75" x14ac:dyDescent="0.2">
      <c r="A4073" s="23"/>
      <c r="B4073" s="328"/>
      <c r="C4073" s="327"/>
      <c r="D4073" s="328"/>
      <c r="E4073" s="23"/>
      <c r="F4073" s="329"/>
      <c r="G4073" s="23"/>
      <c r="H4073" s="23"/>
      <c r="I4073" s="330"/>
      <c r="J4073" s="330"/>
      <c r="K4073" s="23"/>
    </row>
    <row r="4074" spans="1:11" ht="12.75" x14ac:dyDescent="0.2">
      <c r="A4074" s="23"/>
      <c r="B4074" s="328"/>
      <c r="C4074" s="327"/>
      <c r="D4074" s="328"/>
      <c r="E4074" s="23"/>
      <c r="F4074" s="329"/>
      <c r="G4074" s="23"/>
      <c r="H4074" s="23"/>
      <c r="I4074" s="330"/>
      <c r="J4074" s="330"/>
      <c r="K4074" s="23"/>
    </row>
    <row r="4075" spans="1:11" ht="12.75" x14ac:dyDescent="0.2">
      <c r="A4075" s="23"/>
      <c r="B4075" s="328"/>
      <c r="C4075" s="327"/>
      <c r="D4075" s="328"/>
      <c r="E4075" s="23"/>
      <c r="F4075" s="329"/>
      <c r="G4075" s="23"/>
      <c r="H4075" s="23"/>
      <c r="I4075" s="330"/>
      <c r="J4075" s="330"/>
      <c r="K4075" s="23"/>
    </row>
    <row r="4076" spans="1:11" ht="12.75" x14ac:dyDescent="0.2">
      <c r="A4076" s="23"/>
      <c r="B4076" s="328"/>
      <c r="C4076" s="327"/>
      <c r="D4076" s="328"/>
      <c r="E4076" s="23"/>
      <c r="F4076" s="329"/>
      <c r="G4076" s="23"/>
      <c r="H4076" s="23"/>
      <c r="I4076" s="330"/>
      <c r="J4076" s="330"/>
      <c r="K4076" s="23"/>
    </row>
    <row r="4077" spans="1:11" ht="12.75" x14ac:dyDescent="0.2">
      <c r="A4077" s="23"/>
      <c r="B4077" s="328"/>
      <c r="C4077" s="327"/>
      <c r="D4077" s="328"/>
      <c r="E4077" s="23"/>
      <c r="F4077" s="329"/>
      <c r="G4077" s="23"/>
      <c r="H4077" s="23"/>
      <c r="I4077" s="330"/>
      <c r="J4077" s="330"/>
      <c r="K4077" s="23"/>
    </row>
    <row r="4078" spans="1:11" ht="12.75" x14ac:dyDescent="0.2">
      <c r="A4078" s="23"/>
      <c r="B4078" s="328"/>
      <c r="C4078" s="327"/>
      <c r="D4078" s="328"/>
      <c r="E4078" s="23"/>
      <c r="F4078" s="329"/>
      <c r="G4078" s="23"/>
      <c r="H4078" s="23"/>
      <c r="I4078" s="330"/>
      <c r="J4078" s="330"/>
      <c r="K4078" s="23"/>
    </row>
    <row r="4079" spans="1:11" ht="12.75" x14ac:dyDescent="0.2">
      <c r="A4079" s="23"/>
      <c r="B4079" s="328"/>
      <c r="C4079" s="327"/>
      <c r="D4079" s="328"/>
      <c r="E4079" s="23"/>
      <c r="F4079" s="329"/>
      <c r="G4079" s="23"/>
      <c r="H4079" s="23"/>
      <c r="I4079" s="330"/>
      <c r="J4079" s="330"/>
      <c r="K4079" s="23"/>
    </row>
    <row r="4080" spans="1:11" ht="12.75" x14ac:dyDescent="0.2">
      <c r="A4080" s="23"/>
      <c r="B4080" s="328"/>
      <c r="C4080" s="327"/>
      <c r="D4080" s="328"/>
      <c r="E4080" s="23"/>
      <c r="F4080" s="329"/>
      <c r="G4080" s="23"/>
      <c r="H4080" s="23"/>
      <c r="I4080" s="330"/>
      <c r="J4080" s="330"/>
      <c r="K4080" s="23"/>
    </row>
    <row r="4081" spans="1:11" ht="12.75" x14ac:dyDescent="0.2">
      <c r="A4081" s="23"/>
      <c r="B4081" s="328"/>
      <c r="C4081" s="327"/>
      <c r="D4081" s="328"/>
      <c r="E4081" s="23"/>
      <c r="F4081" s="329"/>
      <c r="G4081" s="23"/>
      <c r="H4081" s="23"/>
      <c r="I4081" s="330"/>
      <c r="J4081" s="330"/>
      <c r="K4081" s="23"/>
    </row>
    <row r="4082" spans="1:11" ht="12.75" x14ac:dyDescent="0.2">
      <c r="A4082" s="23"/>
      <c r="B4082" s="328"/>
      <c r="C4082" s="327"/>
      <c r="D4082" s="328"/>
      <c r="E4082" s="23"/>
      <c r="F4082" s="329"/>
      <c r="G4082" s="23"/>
      <c r="H4082" s="23"/>
      <c r="I4082" s="330"/>
      <c r="J4082" s="330"/>
      <c r="K4082" s="23"/>
    </row>
    <row r="4083" spans="1:11" ht="12.75" x14ac:dyDescent="0.2">
      <c r="A4083" s="23"/>
      <c r="B4083" s="328"/>
      <c r="C4083" s="327"/>
      <c r="D4083" s="328"/>
      <c r="E4083" s="23"/>
      <c r="F4083" s="329"/>
      <c r="G4083" s="23"/>
      <c r="H4083" s="23"/>
      <c r="I4083" s="330"/>
      <c r="J4083" s="330"/>
      <c r="K4083" s="23"/>
    </row>
    <row r="4084" spans="1:11" ht="12.75" x14ac:dyDescent="0.2">
      <c r="A4084" s="23"/>
      <c r="B4084" s="328"/>
      <c r="C4084" s="327"/>
      <c r="D4084" s="328"/>
      <c r="E4084" s="23"/>
      <c r="F4084" s="329"/>
      <c r="G4084" s="23"/>
      <c r="H4084" s="23"/>
      <c r="I4084" s="330"/>
      <c r="J4084" s="330"/>
      <c r="K4084" s="23"/>
    </row>
    <row r="4085" spans="1:11" ht="12.75" x14ac:dyDescent="0.2">
      <c r="A4085" s="23"/>
      <c r="B4085" s="328"/>
      <c r="C4085" s="327"/>
      <c r="D4085" s="328"/>
      <c r="E4085" s="23"/>
      <c r="F4085" s="329"/>
      <c r="G4085" s="23"/>
      <c r="H4085" s="23"/>
      <c r="I4085" s="330"/>
      <c r="J4085" s="330"/>
      <c r="K4085" s="23"/>
    </row>
    <row r="4086" spans="1:11" ht="12.75" x14ac:dyDescent="0.2">
      <c r="A4086" s="23"/>
      <c r="B4086" s="328"/>
      <c r="C4086" s="327"/>
      <c r="D4086" s="328"/>
      <c r="E4086" s="23"/>
      <c r="F4086" s="329"/>
      <c r="G4086" s="23"/>
      <c r="H4086" s="23"/>
      <c r="I4086" s="330"/>
      <c r="J4086" s="330"/>
      <c r="K4086" s="23"/>
    </row>
    <row r="4087" spans="1:11" ht="12.75" x14ac:dyDescent="0.2">
      <c r="A4087" s="23"/>
      <c r="B4087" s="328"/>
      <c r="C4087" s="327"/>
      <c r="D4087" s="328"/>
      <c r="E4087" s="23"/>
      <c r="F4087" s="329"/>
      <c r="G4087" s="23"/>
      <c r="H4087" s="23"/>
      <c r="I4087" s="330"/>
      <c r="J4087" s="330"/>
      <c r="K4087" s="23"/>
    </row>
    <row r="4088" spans="1:11" ht="12.75" x14ac:dyDescent="0.2">
      <c r="A4088" s="23"/>
      <c r="B4088" s="328"/>
      <c r="C4088" s="327"/>
      <c r="D4088" s="328"/>
      <c r="E4088" s="23"/>
      <c r="F4088" s="329"/>
      <c r="G4088" s="23"/>
      <c r="H4088" s="23"/>
      <c r="I4088" s="330"/>
      <c r="J4088" s="330"/>
      <c r="K4088" s="23"/>
    </row>
    <row r="4089" spans="1:11" ht="12.75" x14ac:dyDescent="0.2">
      <c r="A4089" s="23"/>
      <c r="B4089" s="328"/>
      <c r="C4089" s="327"/>
      <c r="D4089" s="328"/>
      <c r="E4089" s="23"/>
      <c r="F4089" s="329"/>
      <c r="G4089" s="23"/>
      <c r="H4089" s="23"/>
      <c r="I4089" s="330"/>
      <c r="J4089" s="330"/>
      <c r="K4089" s="23"/>
    </row>
    <row r="4090" spans="1:11" ht="12.75" x14ac:dyDescent="0.2">
      <c r="A4090" s="23"/>
      <c r="B4090" s="328"/>
      <c r="C4090" s="327"/>
      <c r="D4090" s="328"/>
      <c r="E4090" s="23"/>
      <c r="F4090" s="329"/>
      <c r="G4090" s="23"/>
      <c r="H4090" s="23"/>
      <c r="I4090" s="330"/>
      <c r="J4090" s="330"/>
      <c r="K4090" s="23"/>
    </row>
    <row r="4091" spans="1:11" ht="12.75" x14ac:dyDescent="0.2">
      <c r="A4091" s="23"/>
      <c r="B4091" s="328"/>
      <c r="C4091" s="327"/>
      <c r="D4091" s="328"/>
      <c r="E4091" s="23"/>
      <c r="F4091" s="329"/>
      <c r="G4091" s="23"/>
      <c r="H4091" s="23"/>
      <c r="I4091" s="330"/>
      <c r="J4091" s="330"/>
      <c r="K4091" s="23"/>
    </row>
    <row r="4092" spans="1:11" ht="12.75" x14ac:dyDescent="0.2">
      <c r="A4092" s="23"/>
      <c r="B4092" s="328"/>
      <c r="C4092" s="327"/>
      <c r="D4092" s="328"/>
      <c r="E4092" s="23"/>
      <c r="F4092" s="329"/>
      <c r="G4092" s="23"/>
      <c r="H4092" s="23"/>
      <c r="I4092" s="330"/>
      <c r="J4092" s="330"/>
      <c r="K4092" s="23"/>
    </row>
    <row r="4093" spans="1:11" ht="12.75" x14ac:dyDescent="0.2">
      <c r="A4093" s="23"/>
      <c r="B4093" s="328"/>
      <c r="C4093" s="327"/>
      <c r="D4093" s="328"/>
      <c r="E4093" s="23"/>
      <c r="F4093" s="329"/>
      <c r="G4093" s="23"/>
      <c r="H4093" s="23"/>
      <c r="I4093" s="330"/>
      <c r="J4093" s="330"/>
      <c r="K4093" s="23"/>
    </row>
    <row r="4094" spans="1:11" ht="12.75" x14ac:dyDescent="0.2">
      <c r="A4094" s="23"/>
      <c r="B4094" s="328"/>
      <c r="C4094" s="327"/>
      <c r="D4094" s="328"/>
      <c r="E4094" s="23"/>
      <c r="F4094" s="329"/>
      <c r="G4094" s="23"/>
      <c r="H4094" s="23"/>
      <c r="I4094" s="330"/>
      <c r="J4094" s="330"/>
      <c r="K4094" s="23"/>
    </row>
    <row r="4095" spans="1:11" ht="12.75" x14ac:dyDescent="0.2">
      <c r="A4095" s="23"/>
      <c r="B4095" s="328"/>
      <c r="C4095" s="327"/>
      <c r="D4095" s="328"/>
      <c r="E4095" s="23"/>
      <c r="F4095" s="329"/>
      <c r="G4095" s="23"/>
      <c r="H4095" s="23"/>
      <c r="I4095" s="330"/>
      <c r="J4095" s="330"/>
      <c r="K4095" s="23"/>
    </row>
    <row r="4096" spans="1:11" ht="12.75" x14ac:dyDescent="0.2">
      <c r="A4096" s="23"/>
      <c r="B4096" s="328"/>
      <c r="C4096" s="327"/>
      <c r="D4096" s="328"/>
      <c r="E4096" s="23"/>
      <c r="F4096" s="329"/>
      <c r="G4096" s="23"/>
      <c r="H4096" s="23"/>
      <c r="I4096" s="330"/>
      <c r="J4096" s="330"/>
      <c r="K4096" s="23"/>
    </row>
    <row r="4097" spans="1:11" ht="12.75" x14ac:dyDescent="0.2">
      <c r="A4097" s="23"/>
      <c r="B4097" s="328"/>
      <c r="C4097" s="327"/>
      <c r="D4097" s="328"/>
      <c r="E4097" s="23"/>
      <c r="F4097" s="329"/>
      <c r="G4097" s="23"/>
      <c r="H4097" s="23"/>
      <c r="I4097" s="330"/>
      <c r="J4097" s="330"/>
      <c r="K4097" s="23"/>
    </row>
    <row r="4098" spans="1:11" ht="12.75" x14ac:dyDescent="0.2">
      <c r="A4098" s="23"/>
      <c r="B4098" s="328"/>
      <c r="C4098" s="327"/>
      <c r="D4098" s="328"/>
      <c r="E4098" s="23"/>
      <c r="F4098" s="329"/>
      <c r="G4098" s="23"/>
      <c r="H4098" s="23"/>
      <c r="I4098" s="330"/>
      <c r="J4098" s="330"/>
      <c r="K4098" s="23"/>
    </row>
    <row r="4099" spans="1:11" ht="12.75" x14ac:dyDescent="0.2">
      <c r="A4099" s="23"/>
      <c r="B4099" s="328"/>
      <c r="C4099" s="327"/>
      <c r="D4099" s="328"/>
      <c r="E4099" s="23"/>
      <c r="F4099" s="329"/>
      <c r="G4099" s="23"/>
      <c r="H4099" s="23"/>
      <c r="I4099" s="330"/>
      <c r="J4099" s="330"/>
      <c r="K4099" s="23"/>
    </row>
    <row r="4100" spans="1:11" ht="12.75" x14ac:dyDescent="0.2">
      <c r="A4100" s="23"/>
      <c r="B4100" s="328"/>
      <c r="C4100" s="327"/>
      <c r="D4100" s="328"/>
      <c r="E4100" s="23"/>
      <c r="F4100" s="329"/>
      <c r="G4100" s="23"/>
      <c r="H4100" s="23"/>
      <c r="I4100" s="330"/>
      <c r="J4100" s="330"/>
      <c r="K4100" s="23"/>
    </row>
    <row r="4101" spans="1:11" ht="12.75" x14ac:dyDescent="0.2">
      <c r="A4101" s="23"/>
      <c r="B4101" s="328"/>
      <c r="C4101" s="327"/>
      <c r="D4101" s="328"/>
      <c r="E4101" s="23"/>
      <c r="F4101" s="329"/>
      <c r="G4101" s="23"/>
      <c r="H4101" s="23"/>
      <c r="I4101" s="330"/>
      <c r="J4101" s="330"/>
      <c r="K4101" s="23"/>
    </row>
    <row r="4102" spans="1:11" ht="12.75" x14ac:dyDescent="0.2">
      <c r="A4102" s="23"/>
      <c r="B4102" s="328"/>
      <c r="C4102" s="327"/>
      <c r="D4102" s="328"/>
      <c r="E4102" s="23"/>
      <c r="F4102" s="329"/>
      <c r="G4102" s="23"/>
      <c r="H4102" s="23"/>
      <c r="I4102" s="330"/>
      <c r="J4102" s="330"/>
      <c r="K4102" s="23"/>
    </row>
    <row r="4103" spans="1:11" ht="12.75" x14ac:dyDescent="0.2">
      <c r="A4103" s="23"/>
      <c r="B4103" s="328"/>
      <c r="C4103" s="327"/>
      <c r="D4103" s="328"/>
      <c r="E4103" s="23"/>
      <c r="F4103" s="329"/>
      <c r="G4103" s="23"/>
      <c r="H4103" s="23"/>
      <c r="I4103" s="330"/>
      <c r="J4103" s="330"/>
      <c r="K4103" s="23"/>
    </row>
    <row r="4104" spans="1:11" ht="12.75" x14ac:dyDescent="0.2">
      <c r="A4104" s="23"/>
      <c r="B4104" s="328"/>
      <c r="C4104" s="327"/>
      <c r="D4104" s="328"/>
      <c r="E4104" s="23"/>
      <c r="F4104" s="329"/>
      <c r="G4104" s="23"/>
      <c r="H4104" s="23"/>
      <c r="I4104" s="330"/>
      <c r="J4104" s="330"/>
      <c r="K4104" s="23"/>
    </row>
    <row r="4105" spans="1:11" ht="12.75" x14ac:dyDescent="0.2">
      <c r="A4105" s="23"/>
      <c r="B4105" s="328"/>
      <c r="C4105" s="327"/>
      <c r="D4105" s="328"/>
      <c r="E4105" s="23"/>
      <c r="F4105" s="329"/>
      <c r="G4105" s="23"/>
      <c r="H4105" s="23"/>
      <c r="I4105" s="330"/>
      <c r="J4105" s="330"/>
      <c r="K4105" s="23"/>
    </row>
    <row r="4106" spans="1:11" ht="12.75" x14ac:dyDescent="0.2">
      <c r="A4106" s="23"/>
      <c r="B4106" s="328"/>
      <c r="C4106" s="327"/>
      <c r="D4106" s="328"/>
      <c r="E4106" s="23"/>
      <c r="F4106" s="329"/>
      <c r="G4106" s="23"/>
      <c r="H4106" s="23"/>
      <c r="I4106" s="330"/>
      <c r="J4106" s="330"/>
      <c r="K4106" s="23"/>
    </row>
    <row r="4107" spans="1:11" ht="12.75" x14ac:dyDescent="0.2">
      <c r="A4107" s="23"/>
      <c r="B4107" s="328"/>
      <c r="C4107" s="327"/>
      <c r="D4107" s="328"/>
      <c r="E4107" s="23"/>
      <c r="F4107" s="329"/>
      <c r="G4107" s="23"/>
      <c r="H4107" s="23"/>
      <c r="I4107" s="330"/>
      <c r="J4107" s="330"/>
      <c r="K4107" s="23"/>
    </row>
    <row r="4108" spans="1:11" ht="12.75" x14ac:dyDescent="0.2">
      <c r="A4108" s="23"/>
      <c r="B4108" s="328"/>
      <c r="C4108" s="327"/>
      <c r="D4108" s="328"/>
      <c r="E4108" s="23"/>
      <c r="F4108" s="329"/>
      <c r="G4108" s="23"/>
      <c r="H4108" s="23"/>
      <c r="I4108" s="330"/>
      <c r="J4108" s="330"/>
      <c r="K4108" s="23"/>
    </row>
    <row r="4109" spans="1:11" ht="12.75" x14ac:dyDescent="0.2">
      <c r="A4109" s="23"/>
      <c r="B4109" s="328"/>
      <c r="C4109" s="327"/>
      <c r="D4109" s="328"/>
      <c r="E4109" s="23"/>
      <c r="F4109" s="329"/>
      <c r="G4109" s="23"/>
      <c r="H4109" s="23"/>
      <c r="I4109" s="330"/>
      <c r="J4109" s="330"/>
      <c r="K4109" s="23"/>
    </row>
    <row r="4110" spans="1:11" ht="12.75" x14ac:dyDescent="0.2">
      <c r="A4110" s="23"/>
      <c r="B4110" s="328"/>
      <c r="C4110" s="327"/>
      <c r="D4110" s="328"/>
      <c r="E4110" s="23"/>
      <c r="F4110" s="329"/>
      <c r="G4110" s="23"/>
      <c r="H4110" s="23"/>
      <c r="I4110" s="330"/>
      <c r="J4110" s="330"/>
      <c r="K4110" s="23"/>
    </row>
    <row r="4111" spans="1:11" ht="12.75" x14ac:dyDescent="0.2">
      <c r="A4111" s="23"/>
      <c r="B4111" s="328"/>
      <c r="C4111" s="327"/>
      <c r="D4111" s="328"/>
      <c r="E4111" s="23"/>
      <c r="F4111" s="329"/>
      <c r="G4111" s="23"/>
      <c r="H4111" s="23"/>
      <c r="I4111" s="330"/>
      <c r="J4111" s="330"/>
      <c r="K4111" s="23"/>
    </row>
    <row r="4112" spans="1:11" ht="12.75" x14ac:dyDescent="0.2">
      <c r="A4112" s="23"/>
      <c r="B4112" s="328"/>
      <c r="C4112" s="327"/>
      <c r="D4112" s="328"/>
      <c r="E4112" s="23"/>
      <c r="F4112" s="329"/>
      <c r="G4112" s="23"/>
      <c r="H4112" s="23"/>
      <c r="I4112" s="330"/>
      <c r="J4112" s="330"/>
      <c r="K4112" s="23"/>
    </row>
    <row r="4113" spans="1:11" ht="12.75" x14ac:dyDescent="0.2">
      <c r="A4113" s="23"/>
      <c r="B4113" s="328"/>
      <c r="C4113" s="327"/>
      <c r="D4113" s="328"/>
      <c r="E4113" s="23"/>
      <c r="F4113" s="329"/>
      <c r="G4113" s="23"/>
      <c r="H4113" s="23"/>
      <c r="I4113" s="330"/>
      <c r="J4113" s="330"/>
      <c r="K4113" s="23"/>
    </row>
    <row r="4114" spans="1:11" ht="12.75" x14ac:dyDescent="0.2">
      <c r="A4114" s="23"/>
      <c r="B4114" s="328"/>
      <c r="C4114" s="327"/>
      <c r="D4114" s="328"/>
      <c r="E4114" s="23"/>
      <c r="F4114" s="329"/>
      <c r="G4114" s="23"/>
      <c r="H4114" s="23"/>
      <c r="I4114" s="330"/>
      <c r="J4114" s="330"/>
      <c r="K4114" s="23"/>
    </row>
    <row r="4115" spans="1:11" ht="12.75" x14ac:dyDescent="0.2">
      <c r="A4115" s="23"/>
      <c r="B4115" s="328"/>
      <c r="C4115" s="327"/>
      <c r="D4115" s="328"/>
      <c r="E4115" s="23"/>
      <c r="F4115" s="329"/>
      <c r="G4115" s="23"/>
      <c r="H4115" s="23"/>
      <c r="I4115" s="330"/>
      <c r="J4115" s="330"/>
      <c r="K4115" s="23"/>
    </row>
    <row r="4116" spans="1:11" ht="12.75" x14ac:dyDescent="0.2">
      <c r="A4116" s="23"/>
      <c r="B4116" s="328"/>
      <c r="C4116" s="327"/>
      <c r="D4116" s="328"/>
      <c r="E4116" s="23"/>
      <c r="F4116" s="329"/>
      <c r="G4116" s="23"/>
      <c r="H4116" s="23"/>
      <c r="I4116" s="330"/>
      <c r="J4116" s="330"/>
      <c r="K4116" s="23"/>
    </row>
    <row r="4117" spans="1:11" ht="12.75" x14ac:dyDescent="0.2">
      <c r="A4117" s="23"/>
      <c r="B4117" s="328"/>
      <c r="C4117" s="327"/>
      <c r="D4117" s="328"/>
      <c r="E4117" s="23"/>
      <c r="F4117" s="329"/>
      <c r="G4117" s="23"/>
      <c r="H4117" s="23"/>
      <c r="I4117" s="330"/>
      <c r="J4117" s="330"/>
      <c r="K4117" s="23"/>
    </row>
    <row r="4118" spans="1:11" ht="12.75" x14ac:dyDescent="0.2">
      <c r="A4118" s="23"/>
      <c r="B4118" s="328"/>
      <c r="C4118" s="327"/>
      <c r="D4118" s="328"/>
      <c r="E4118" s="23"/>
      <c r="F4118" s="329"/>
      <c r="G4118" s="23"/>
      <c r="H4118" s="23"/>
      <c r="I4118" s="330"/>
      <c r="J4118" s="330"/>
      <c r="K4118" s="23"/>
    </row>
    <row r="4119" spans="1:11" ht="12.75" x14ac:dyDescent="0.2">
      <c r="A4119" s="23"/>
      <c r="B4119" s="328"/>
      <c r="C4119" s="327"/>
      <c r="D4119" s="328"/>
      <c r="E4119" s="23"/>
      <c r="F4119" s="329"/>
      <c r="G4119" s="23"/>
      <c r="H4119" s="23"/>
      <c r="I4119" s="330"/>
      <c r="J4119" s="330"/>
      <c r="K4119" s="23"/>
    </row>
    <row r="4120" spans="1:11" ht="12.75" x14ac:dyDescent="0.2">
      <c r="A4120" s="23"/>
      <c r="B4120" s="328"/>
      <c r="C4120" s="327"/>
      <c r="D4120" s="328"/>
      <c r="E4120" s="23"/>
      <c r="F4120" s="329"/>
      <c r="G4120" s="23"/>
      <c r="H4120" s="23"/>
      <c r="I4120" s="330"/>
      <c r="J4120" s="330"/>
      <c r="K4120" s="23"/>
    </row>
    <row r="4121" spans="1:11" ht="12.75" x14ac:dyDescent="0.2">
      <c r="A4121" s="23"/>
      <c r="B4121" s="328"/>
      <c r="C4121" s="327"/>
      <c r="D4121" s="328"/>
      <c r="E4121" s="23"/>
      <c r="F4121" s="329"/>
      <c r="G4121" s="23"/>
      <c r="H4121" s="23"/>
      <c r="I4121" s="330"/>
      <c r="J4121" s="330"/>
      <c r="K4121" s="23"/>
    </row>
    <row r="4122" spans="1:11" ht="12.75" x14ac:dyDescent="0.2">
      <c r="A4122" s="23"/>
      <c r="B4122" s="328"/>
      <c r="C4122" s="327"/>
      <c r="D4122" s="328"/>
      <c r="E4122" s="23"/>
      <c r="F4122" s="329"/>
      <c r="G4122" s="23"/>
      <c r="H4122" s="23"/>
      <c r="I4122" s="330"/>
      <c r="J4122" s="330"/>
      <c r="K4122" s="23"/>
    </row>
    <row r="4123" spans="1:11" ht="12.75" x14ac:dyDescent="0.2">
      <c r="A4123" s="23"/>
      <c r="B4123" s="328"/>
      <c r="C4123" s="327"/>
      <c r="D4123" s="328"/>
      <c r="E4123" s="23"/>
      <c r="F4123" s="329"/>
      <c r="G4123" s="23"/>
      <c r="H4123" s="23"/>
      <c r="I4123" s="330"/>
      <c r="J4123" s="330"/>
      <c r="K4123" s="23"/>
    </row>
    <row r="4124" spans="1:11" ht="12.75" x14ac:dyDescent="0.2">
      <c r="A4124" s="23"/>
      <c r="B4124" s="328"/>
      <c r="C4124" s="327"/>
      <c r="D4124" s="328"/>
      <c r="E4124" s="23"/>
      <c r="F4124" s="329"/>
      <c r="G4124" s="23"/>
      <c r="H4124" s="23"/>
      <c r="I4124" s="330"/>
      <c r="J4124" s="330"/>
      <c r="K4124" s="23"/>
    </row>
    <row r="4125" spans="1:11" ht="12.75" x14ac:dyDescent="0.2">
      <c r="A4125" s="23"/>
      <c r="B4125" s="328"/>
      <c r="C4125" s="327"/>
      <c r="D4125" s="328"/>
      <c r="E4125" s="23"/>
      <c r="F4125" s="329"/>
      <c r="G4125" s="23"/>
      <c r="H4125" s="23"/>
      <c r="I4125" s="330"/>
      <c r="J4125" s="330"/>
      <c r="K4125" s="23"/>
    </row>
    <row r="4126" spans="1:11" ht="12.75" x14ac:dyDescent="0.2">
      <c r="A4126" s="23"/>
      <c r="B4126" s="328"/>
      <c r="C4126" s="327"/>
      <c r="D4126" s="328"/>
      <c r="E4126" s="23"/>
      <c r="F4126" s="329"/>
      <c r="G4126" s="23"/>
      <c r="H4126" s="23"/>
      <c r="I4126" s="330"/>
      <c r="J4126" s="330"/>
      <c r="K4126" s="23"/>
    </row>
    <row r="4127" spans="1:11" ht="12.75" x14ac:dyDescent="0.2">
      <c r="A4127" s="23"/>
      <c r="B4127" s="328"/>
      <c r="C4127" s="327"/>
      <c r="D4127" s="328"/>
      <c r="E4127" s="23"/>
      <c r="F4127" s="329"/>
      <c r="G4127" s="23"/>
      <c r="H4127" s="23"/>
      <c r="I4127" s="330"/>
      <c r="J4127" s="330"/>
      <c r="K4127" s="23"/>
    </row>
    <row r="4128" spans="1:11" ht="12.75" x14ac:dyDescent="0.2">
      <c r="A4128" s="23"/>
      <c r="B4128" s="328"/>
      <c r="C4128" s="327"/>
      <c r="D4128" s="328"/>
      <c r="E4128" s="23"/>
      <c r="F4128" s="329"/>
      <c r="G4128" s="23"/>
      <c r="H4128" s="23"/>
      <c r="I4128" s="330"/>
      <c r="J4128" s="330"/>
      <c r="K4128" s="23"/>
    </row>
    <row r="4129" spans="1:11" ht="12.75" x14ac:dyDescent="0.2">
      <c r="A4129" s="23"/>
      <c r="B4129" s="328"/>
      <c r="C4129" s="327"/>
      <c r="D4129" s="328"/>
      <c r="E4129" s="23"/>
      <c r="F4129" s="329"/>
      <c r="G4129" s="23"/>
      <c r="H4129" s="23"/>
      <c r="I4129" s="330"/>
      <c r="J4129" s="330"/>
      <c r="K4129" s="23"/>
    </row>
    <row r="4130" spans="1:11" ht="12.75" x14ac:dyDescent="0.2">
      <c r="A4130" s="23"/>
      <c r="B4130" s="328"/>
      <c r="C4130" s="327"/>
      <c r="D4130" s="328"/>
      <c r="E4130" s="23"/>
      <c r="F4130" s="329"/>
      <c r="G4130" s="23"/>
      <c r="H4130" s="23"/>
      <c r="I4130" s="330"/>
      <c r="J4130" s="330"/>
      <c r="K4130" s="23"/>
    </row>
    <row r="4131" spans="1:11" ht="12.75" x14ac:dyDescent="0.2">
      <c r="A4131" s="23"/>
      <c r="B4131" s="328"/>
      <c r="C4131" s="327"/>
      <c r="D4131" s="328"/>
      <c r="E4131" s="23"/>
      <c r="F4131" s="329"/>
      <c r="G4131" s="23"/>
      <c r="H4131" s="23"/>
      <c r="I4131" s="330"/>
      <c r="J4131" s="330"/>
      <c r="K4131" s="23"/>
    </row>
    <row r="4132" spans="1:11" ht="12.75" x14ac:dyDescent="0.2">
      <c r="A4132" s="23"/>
      <c r="B4132" s="328"/>
      <c r="C4132" s="327"/>
      <c r="D4132" s="328"/>
      <c r="E4132" s="23"/>
      <c r="F4132" s="329"/>
      <c r="G4132" s="23"/>
      <c r="H4132" s="23"/>
      <c r="I4132" s="330"/>
      <c r="J4132" s="330"/>
      <c r="K4132" s="23"/>
    </row>
    <row r="4133" spans="1:11" ht="12.75" x14ac:dyDescent="0.2">
      <c r="A4133" s="23"/>
      <c r="B4133" s="328"/>
      <c r="C4133" s="327"/>
      <c r="D4133" s="328"/>
      <c r="E4133" s="23"/>
      <c r="F4133" s="329"/>
      <c r="G4133" s="23"/>
      <c r="H4133" s="23"/>
      <c r="I4133" s="330"/>
      <c r="J4133" s="330"/>
      <c r="K4133" s="23"/>
    </row>
    <row r="4134" spans="1:11" ht="12.75" x14ac:dyDescent="0.2">
      <c r="A4134" s="23"/>
      <c r="B4134" s="328"/>
      <c r="C4134" s="327"/>
      <c r="D4134" s="328"/>
      <c r="E4134" s="23"/>
      <c r="F4134" s="329"/>
      <c r="G4134" s="23"/>
      <c r="H4134" s="23"/>
      <c r="I4134" s="330"/>
      <c r="J4134" s="330"/>
      <c r="K4134" s="23"/>
    </row>
    <row r="4135" spans="1:11" ht="12.75" x14ac:dyDescent="0.2">
      <c r="A4135" s="23"/>
      <c r="B4135" s="328"/>
      <c r="C4135" s="327"/>
      <c r="D4135" s="328"/>
      <c r="E4135" s="23"/>
      <c r="F4135" s="329"/>
      <c r="G4135" s="23"/>
      <c r="H4135" s="23"/>
      <c r="I4135" s="330"/>
      <c r="J4135" s="330"/>
      <c r="K4135" s="23"/>
    </row>
    <row r="4136" spans="1:11" ht="12.75" x14ac:dyDescent="0.2">
      <c r="A4136" s="23"/>
      <c r="B4136" s="328"/>
      <c r="C4136" s="327"/>
      <c r="D4136" s="328"/>
      <c r="E4136" s="23"/>
      <c r="F4136" s="329"/>
      <c r="G4136" s="23"/>
      <c r="H4136" s="23"/>
      <c r="I4136" s="330"/>
      <c r="J4136" s="330"/>
      <c r="K4136" s="23"/>
    </row>
    <row r="4137" spans="1:11" ht="12.75" x14ac:dyDescent="0.2">
      <c r="A4137" s="23"/>
      <c r="B4137" s="328"/>
      <c r="C4137" s="327"/>
      <c r="D4137" s="328"/>
      <c r="E4137" s="23"/>
      <c r="F4137" s="329"/>
      <c r="G4137" s="23"/>
      <c r="H4137" s="23"/>
      <c r="I4137" s="330"/>
      <c r="J4137" s="330"/>
      <c r="K4137" s="23"/>
    </row>
    <row r="4138" spans="1:11" ht="12.75" x14ac:dyDescent="0.2">
      <c r="A4138" s="23"/>
      <c r="B4138" s="328"/>
      <c r="C4138" s="327"/>
      <c r="D4138" s="328"/>
      <c r="E4138" s="23"/>
      <c r="F4138" s="329"/>
      <c r="G4138" s="23"/>
      <c r="H4138" s="23"/>
      <c r="I4138" s="330"/>
      <c r="J4138" s="330"/>
      <c r="K4138" s="23"/>
    </row>
    <row r="4139" spans="1:11" ht="12.75" x14ac:dyDescent="0.2">
      <c r="A4139" s="23"/>
      <c r="B4139" s="328"/>
      <c r="C4139" s="327"/>
      <c r="D4139" s="328"/>
      <c r="E4139" s="23"/>
      <c r="F4139" s="329"/>
      <c r="G4139" s="23"/>
      <c r="H4139" s="23"/>
      <c r="I4139" s="330"/>
      <c r="J4139" s="330"/>
      <c r="K4139" s="23"/>
    </row>
    <row r="4140" spans="1:11" ht="12.75" x14ac:dyDescent="0.2">
      <c r="A4140" s="23"/>
      <c r="B4140" s="328"/>
      <c r="C4140" s="327"/>
      <c r="D4140" s="328"/>
      <c r="E4140" s="23"/>
      <c r="F4140" s="329"/>
      <c r="G4140" s="23"/>
      <c r="H4140" s="23"/>
      <c r="I4140" s="330"/>
      <c r="J4140" s="330"/>
      <c r="K4140" s="23"/>
    </row>
    <row r="4141" spans="1:11" ht="12.75" x14ac:dyDescent="0.2">
      <c r="A4141" s="23"/>
      <c r="B4141" s="328"/>
      <c r="C4141" s="327"/>
      <c r="D4141" s="328"/>
      <c r="E4141" s="23"/>
      <c r="F4141" s="329"/>
      <c r="G4141" s="23"/>
      <c r="H4141" s="23"/>
      <c r="I4141" s="330"/>
      <c r="J4141" s="330"/>
      <c r="K4141" s="23"/>
    </row>
    <row r="4142" spans="1:11" ht="12.75" x14ac:dyDescent="0.2">
      <c r="A4142" s="23"/>
      <c r="B4142" s="328"/>
      <c r="C4142" s="327"/>
      <c r="D4142" s="328"/>
      <c r="E4142" s="23"/>
      <c r="F4142" s="329"/>
      <c r="G4142" s="23"/>
      <c r="H4142" s="23"/>
      <c r="I4142" s="330"/>
      <c r="J4142" s="330"/>
      <c r="K4142" s="23"/>
    </row>
    <row r="4143" spans="1:11" ht="12.75" x14ac:dyDescent="0.2">
      <c r="A4143" s="23"/>
      <c r="B4143" s="328"/>
      <c r="C4143" s="327"/>
      <c r="D4143" s="328"/>
      <c r="E4143" s="23"/>
      <c r="F4143" s="329"/>
      <c r="G4143" s="23"/>
      <c r="H4143" s="23"/>
      <c r="I4143" s="330"/>
      <c r="J4143" s="330"/>
      <c r="K4143" s="23"/>
    </row>
    <row r="4144" spans="1:11" ht="12.75" x14ac:dyDescent="0.2">
      <c r="A4144" s="23"/>
      <c r="B4144" s="328"/>
      <c r="C4144" s="327"/>
      <c r="D4144" s="328"/>
      <c r="E4144" s="23"/>
      <c r="F4144" s="329"/>
      <c r="G4144" s="23"/>
      <c r="H4144" s="23"/>
      <c r="I4144" s="330"/>
      <c r="J4144" s="330"/>
      <c r="K4144" s="23"/>
    </row>
    <row r="4145" spans="1:11" ht="12.75" x14ac:dyDescent="0.2">
      <c r="A4145" s="23"/>
      <c r="B4145" s="328"/>
      <c r="C4145" s="327"/>
      <c r="D4145" s="328"/>
      <c r="E4145" s="23"/>
      <c r="F4145" s="329"/>
      <c r="G4145" s="23"/>
      <c r="H4145" s="23"/>
      <c r="I4145" s="330"/>
      <c r="J4145" s="330"/>
      <c r="K4145" s="23"/>
    </row>
    <row r="4146" spans="1:11" ht="12.75" x14ac:dyDescent="0.2">
      <c r="A4146" s="23"/>
      <c r="B4146" s="328"/>
      <c r="C4146" s="327"/>
      <c r="D4146" s="328"/>
      <c r="E4146" s="23"/>
      <c r="F4146" s="329"/>
      <c r="G4146" s="23"/>
      <c r="H4146" s="23"/>
      <c r="I4146" s="330"/>
      <c r="J4146" s="330"/>
      <c r="K4146" s="23"/>
    </row>
    <row r="4147" spans="1:11" ht="12.75" x14ac:dyDescent="0.2">
      <c r="A4147" s="23"/>
      <c r="B4147" s="328"/>
      <c r="C4147" s="327"/>
      <c r="D4147" s="328"/>
      <c r="E4147" s="23"/>
      <c r="F4147" s="329"/>
      <c r="G4147" s="23"/>
      <c r="H4147" s="23"/>
      <c r="I4147" s="330"/>
      <c r="J4147" s="330"/>
      <c r="K4147" s="23"/>
    </row>
    <row r="4148" spans="1:11" ht="12.75" x14ac:dyDescent="0.2">
      <c r="A4148" s="23"/>
      <c r="B4148" s="328"/>
      <c r="C4148" s="327"/>
      <c r="D4148" s="328"/>
      <c r="E4148" s="23"/>
      <c r="F4148" s="329"/>
      <c r="G4148" s="23"/>
      <c r="H4148" s="23"/>
      <c r="I4148" s="330"/>
      <c r="J4148" s="330"/>
      <c r="K4148" s="23"/>
    </row>
    <row r="4149" spans="1:11" ht="12.75" x14ac:dyDescent="0.2">
      <c r="A4149" s="23"/>
      <c r="B4149" s="328"/>
      <c r="C4149" s="327"/>
      <c r="D4149" s="328"/>
      <c r="E4149" s="23"/>
      <c r="F4149" s="329"/>
      <c r="G4149" s="23"/>
      <c r="H4149" s="23"/>
      <c r="I4149" s="330"/>
      <c r="J4149" s="330"/>
      <c r="K4149" s="23"/>
    </row>
    <row r="4150" spans="1:11" ht="12.75" x14ac:dyDescent="0.2">
      <c r="A4150" s="23"/>
      <c r="B4150" s="328"/>
      <c r="C4150" s="327"/>
      <c r="D4150" s="328"/>
      <c r="E4150" s="23"/>
      <c r="F4150" s="329"/>
      <c r="G4150" s="23"/>
      <c r="H4150" s="23"/>
      <c r="I4150" s="330"/>
      <c r="J4150" s="330"/>
      <c r="K4150" s="23"/>
    </row>
    <row r="4151" spans="1:11" ht="12.75" x14ac:dyDescent="0.2">
      <c r="A4151" s="23"/>
      <c r="B4151" s="328"/>
      <c r="C4151" s="327"/>
      <c r="D4151" s="328"/>
      <c r="E4151" s="23"/>
      <c r="F4151" s="329"/>
      <c r="G4151" s="23"/>
      <c r="H4151" s="23"/>
      <c r="I4151" s="330"/>
      <c r="J4151" s="330"/>
      <c r="K4151" s="23"/>
    </row>
    <row r="4152" spans="1:11" ht="12.75" x14ac:dyDescent="0.2">
      <c r="A4152" s="23"/>
      <c r="B4152" s="328"/>
      <c r="C4152" s="327"/>
      <c r="D4152" s="328"/>
      <c r="E4152" s="23"/>
      <c r="F4152" s="329"/>
      <c r="G4152" s="23"/>
      <c r="H4152" s="23"/>
      <c r="I4152" s="330"/>
      <c r="J4152" s="330"/>
      <c r="K4152" s="23"/>
    </row>
    <row r="4153" spans="1:11" ht="12.75" x14ac:dyDescent="0.2">
      <c r="A4153" s="23"/>
      <c r="B4153" s="328"/>
      <c r="C4153" s="327"/>
      <c r="D4153" s="328"/>
      <c r="E4153" s="23"/>
      <c r="F4153" s="329"/>
      <c r="G4153" s="23"/>
      <c r="H4153" s="23"/>
      <c r="I4153" s="330"/>
      <c r="J4153" s="330"/>
      <c r="K4153" s="23"/>
    </row>
    <row r="4154" spans="1:11" ht="12.75" x14ac:dyDescent="0.2">
      <c r="A4154" s="23"/>
      <c r="B4154" s="328"/>
      <c r="C4154" s="327"/>
      <c r="D4154" s="328"/>
      <c r="E4154" s="23"/>
      <c r="F4154" s="329"/>
      <c r="G4154" s="23"/>
      <c r="H4154" s="23"/>
      <c r="I4154" s="330"/>
      <c r="J4154" s="330"/>
      <c r="K4154" s="23"/>
    </row>
    <row r="4155" spans="1:11" ht="12.75" x14ac:dyDescent="0.2">
      <c r="A4155" s="23"/>
      <c r="B4155" s="328"/>
      <c r="C4155" s="327"/>
      <c r="D4155" s="328"/>
      <c r="E4155" s="23"/>
      <c r="F4155" s="329"/>
      <c r="G4155" s="23"/>
      <c r="H4155" s="23"/>
      <c r="I4155" s="330"/>
      <c r="J4155" s="330"/>
      <c r="K4155" s="23"/>
    </row>
    <row r="4156" spans="1:11" ht="12.75" x14ac:dyDescent="0.2">
      <c r="A4156" s="23"/>
      <c r="B4156" s="328"/>
      <c r="C4156" s="327"/>
      <c r="D4156" s="328"/>
      <c r="E4156" s="23"/>
      <c r="F4156" s="329"/>
      <c r="G4156" s="23"/>
      <c r="H4156" s="23"/>
      <c r="I4156" s="330"/>
      <c r="J4156" s="330"/>
      <c r="K4156" s="23"/>
    </row>
    <row r="4157" spans="1:11" ht="12.75" x14ac:dyDescent="0.2">
      <c r="A4157" s="23"/>
      <c r="B4157" s="328"/>
      <c r="C4157" s="327"/>
      <c r="D4157" s="328"/>
      <c r="E4157" s="23"/>
      <c r="F4157" s="329"/>
      <c r="G4157" s="23"/>
      <c r="H4157" s="23"/>
      <c r="I4157" s="330"/>
      <c r="J4157" s="330"/>
      <c r="K4157" s="23"/>
    </row>
    <row r="4158" spans="1:11" ht="12.75" x14ac:dyDescent="0.2">
      <c r="A4158" s="23"/>
      <c r="B4158" s="328"/>
      <c r="C4158" s="327"/>
      <c r="D4158" s="328"/>
      <c r="E4158" s="23"/>
      <c r="F4158" s="329"/>
      <c r="G4158" s="23"/>
      <c r="H4158" s="23"/>
      <c r="I4158" s="330"/>
      <c r="J4158" s="330"/>
      <c r="K4158" s="23"/>
    </row>
    <row r="4159" spans="1:11" ht="12.75" x14ac:dyDescent="0.2">
      <c r="A4159" s="23"/>
      <c r="B4159" s="328"/>
      <c r="C4159" s="327"/>
      <c r="D4159" s="328"/>
      <c r="E4159" s="23"/>
      <c r="F4159" s="329"/>
      <c r="G4159" s="23"/>
      <c r="H4159" s="23"/>
      <c r="I4159" s="330"/>
      <c r="J4159" s="330"/>
      <c r="K4159" s="23"/>
    </row>
    <row r="4160" spans="1:11" ht="12.75" x14ac:dyDescent="0.2">
      <c r="A4160" s="23"/>
      <c r="B4160" s="328"/>
      <c r="C4160" s="327"/>
      <c r="D4160" s="328"/>
      <c r="E4160" s="23"/>
      <c r="F4160" s="329"/>
      <c r="G4160" s="23"/>
      <c r="H4160" s="23"/>
      <c r="I4160" s="330"/>
      <c r="J4160" s="330"/>
      <c r="K4160" s="23"/>
    </row>
    <row r="4161" spans="1:11" ht="12.75" x14ac:dyDescent="0.2">
      <c r="A4161" s="23"/>
      <c r="B4161" s="328"/>
      <c r="C4161" s="327"/>
      <c r="D4161" s="328"/>
      <c r="E4161" s="23"/>
      <c r="F4161" s="329"/>
      <c r="G4161" s="23"/>
      <c r="H4161" s="23"/>
      <c r="I4161" s="330"/>
      <c r="J4161" s="330"/>
      <c r="K4161" s="23"/>
    </row>
    <row r="4162" spans="1:11" ht="12.75" x14ac:dyDescent="0.2">
      <c r="A4162" s="23"/>
      <c r="B4162" s="328"/>
      <c r="C4162" s="327"/>
      <c r="D4162" s="328"/>
      <c r="E4162" s="23"/>
      <c r="F4162" s="329"/>
      <c r="G4162" s="23"/>
      <c r="H4162" s="23"/>
      <c r="I4162" s="330"/>
      <c r="J4162" s="330"/>
      <c r="K4162" s="23"/>
    </row>
    <row r="4163" spans="1:11" ht="12.75" x14ac:dyDescent="0.2">
      <c r="A4163" s="23"/>
      <c r="B4163" s="328"/>
      <c r="C4163" s="327"/>
      <c r="D4163" s="328"/>
      <c r="E4163" s="23"/>
      <c r="F4163" s="329"/>
      <c r="G4163" s="23"/>
      <c r="H4163" s="23"/>
      <c r="I4163" s="330"/>
      <c r="J4163" s="330"/>
      <c r="K4163" s="23"/>
    </row>
    <row r="4164" spans="1:11" ht="12.75" x14ac:dyDescent="0.2">
      <c r="A4164" s="23"/>
      <c r="B4164" s="328"/>
      <c r="C4164" s="327"/>
      <c r="D4164" s="328"/>
      <c r="E4164" s="23"/>
      <c r="F4164" s="329"/>
      <c r="G4164" s="23"/>
      <c r="H4164" s="23"/>
      <c r="I4164" s="330"/>
      <c r="J4164" s="330"/>
      <c r="K4164" s="23"/>
    </row>
    <row r="4165" spans="1:11" ht="12.75" x14ac:dyDescent="0.2">
      <c r="A4165" s="23"/>
      <c r="B4165" s="328"/>
      <c r="C4165" s="327"/>
      <c r="D4165" s="328"/>
      <c r="E4165" s="23"/>
      <c r="F4165" s="329"/>
      <c r="G4165" s="23"/>
      <c r="H4165" s="23"/>
      <c r="I4165" s="330"/>
      <c r="J4165" s="330"/>
      <c r="K4165" s="23"/>
    </row>
    <row r="4166" spans="1:11" ht="12.75" x14ac:dyDescent="0.2">
      <c r="A4166" s="23"/>
      <c r="B4166" s="328"/>
      <c r="C4166" s="327"/>
      <c r="D4166" s="328"/>
      <c r="E4166" s="23"/>
      <c r="F4166" s="329"/>
      <c r="G4166" s="23"/>
      <c r="H4166" s="23"/>
      <c r="I4166" s="330"/>
      <c r="J4166" s="330"/>
      <c r="K4166" s="23"/>
    </row>
    <row r="4167" spans="1:11" ht="12.75" x14ac:dyDescent="0.2">
      <c r="A4167" s="23"/>
      <c r="B4167" s="328"/>
      <c r="C4167" s="327"/>
      <c r="D4167" s="328"/>
      <c r="E4167" s="23"/>
      <c r="F4167" s="329"/>
      <c r="G4167" s="23"/>
      <c r="H4167" s="23"/>
      <c r="I4167" s="330"/>
      <c r="J4167" s="330"/>
      <c r="K4167" s="23"/>
    </row>
    <row r="4168" spans="1:11" ht="12.75" x14ac:dyDescent="0.2">
      <c r="A4168" s="23"/>
      <c r="B4168" s="328"/>
      <c r="C4168" s="327"/>
      <c r="D4168" s="328"/>
      <c r="E4168" s="23"/>
      <c r="F4168" s="329"/>
      <c r="G4168" s="23"/>
      <c r="H4168" s="23"/>
      <c r="I4168" s="330"/>
      <c r="J4168" s="330"/>
      <c r="K4168" s="23"/>
    </row>
    <row r="4169" spans="1:11" ht="12.75" x14ac:dyDescent="0.2">
      <c r="A4169" s="23"/>
      <c r="B4169" s="328"/>
      <c r="C4169" s="327"/>
      <c r="D4169" s="328"/>
      <c r="E4169" s="23"/>
      <c r="F4169" s="329"/>
      <c r="G4169" s="23"/>
      <c r="H4169" s="23"/>
      <c r="I4169" s="330"/>
      <c r="J4169" s="330"/>
      <c r="K4169" s="23"/>
    </row>
    <row r="4170" spans="1:11" ht="12.75" x14ac:dyDescent="0.2">
      <c r="A4170" s="23"/>
      <c r="B4170" s="328"/>
      <c r="C4170" s="327"/>
      <c r="D4170" s="328"/>
      <c r="E4170" s="23"/>
      <c r="F4170" s="329"/>
      <c r="G4170" s="23"/>
      <c r="H4170" s="23"/>
      <c r="I4170" s="330"/>
      <c r="J4170" s="330"/>
      <c r="K4170" s="23"/>
    </row>
    <row r="4171" spans="1:11" ht="12.75" x14ac:dyDescent="0.2">
      <c r="A4171" s="23"/>
      <c r="B4171" s="328"/>
      <c r="C4171" s="327"/>
      <c r="D4171" s="328"/>
      <c r="E4171" s="23"/>
      <c r="F4171" s="329"/>
      <c r="G4171" s="23"/>
      <c r="H4171" s="23"/>
      <c r="I4171" s="330"/>
      <c r="J4171" s="330"/>
      <c r="K4171" s="23"/>
    </row>
    <row r="4172" spans="1:11" ht="12.75" x14ac:dyDescent="0.2">
      <c r="A4172" s="23"/>
      <c r="B4172" s="328"/>
      <c r="C4172" s="327"/>
      <c r="D4172" s="328"/>
      <c r="E4172" s="23"/>
      <c r="F4172" s="329"/>
      <c r="G4172" s="23"/>
      <c r="H4172" s="23"/>
      <c r="I4172" s="330"/>
      <c r="J4172" s="330"/>
      <c r="K4172" s="23"/>
    </row>
    <row r="4173" spans="1:11" ht="12.75" x14ac:dyDescent="0.2">
      <c r="A4173" s="23"/>
      <c r="B4173" s="328"/>
      <c r="C4173" s="327"/>
      <c r="D4173" s="328"/>
      <c r="E4173" s="23"/>
      <c r="F4173" s="329"/>
      <c r="G4173" s="23"/>
      <c r="H4173" s="23"/>
      <c r="I4173" s="330"/>
      <c r="J4173" s="330"/>
      <c r="K4173" s="23"/>
    </row>
    <row r="4174" spans="1:11" ht="12.75" x14ac:dyDescent="0.2">
      <c r="A4174" s="23"/>
      <c r="B4174" s="328"/>
      <c r="C4174" s="327"/>
      <c r="D4174" s="328"/>
      <c r="E4174" s="23"/>
      <c r="F4174" s="329"/>
      <c r="G4174" s="23"/>
      <c r="H4174" s="23"/>
      <c r="I4174" s="330"/>
      <c r="J4174" s="330"/>
      <c r="K4174" s="23"/>
    </row>
    <row r="4175" spans="1:11" ht="12.75" x14ac:dyDescent="0.2">
      <c r="A4175" s="23"/>
      <c r="B4175" s="328"/>
      <c r="C4175" s="327"/>
      <c r="D4175" s="328"/>
      <c r="E4175" s="23"/>
      <c r="F4175" s="329"/>
      <c r="G4175" s="23"/>
      <c r="H4175" s="23"/>
      <c r="I4175" s="330"/>
      <c r="J4175" s="330"/>
      <c r="K4175" s="23"/>
    </row>
    <row r="4176" spans="1:11" ht="12.75" x14ac:dyDescent="0.2">
      <c r="A4176" s="23"/>
      <c r="B4176" s="328"/>
      <c r="C4176" s="327"/>
      <c r="D4176" s="328"/>
      <c r="E4176" s="23"/>
      <c r="F4176" s="329"/>
      <c r="G4176" s="23"/>
      <c r="H4176" s="23"/>
      <c r="I4176" s="330"/>
      <c r="J4176" s="330"/>
      <c r="K4176" s="23"/>
    </row>
    <row r="4177" spans="1:11" ht="12.75" x14ac:dyDescent="0.2">
      <c r="A4177" s="23"/>
      <c r="B4177" s="328"/>
      <c r="C4177" s="327"/>
      <c r="D4177" s="328"/>
      <c r="E4177" s="23"/>
      <c r="F4177" s="329"/>
      <c r="G4177" s="23"/>
      <c r="H4177" s="23"/>
      <c r="I4177" s="330"/>
      <c r="J4177" s="330"/>
      <c r="K4177" s="23"/>
    </row>
    <row r="4178" spans="1:11" ht="12.75" x14ac:dyDescent="0.2">
      <c r="A4178" s="23"/>
      <c r="B4178" s="328"/>
      <c r="C4178" s="327"/>
      <c r="D4178" s="328"/>
      <c r="E4178" s="23"/>
      <c r="F4178" s="329"/>
      <c r="G4178" s="23"/>
      <c r="H4178" s="23"/>
      <c r="I4178" s="330"/>
      <c r="J4178" s="330"/>
      <c r="K4178" s="23"/>
    </row>
    <row r="4179" spans="1:11" ht="12.75" x14ac:dyDescent="0.2">
      <c r="A4179" s="23"/>
      <c r="B4179" s="328"/>
      <c r="C4179" s="327"/>
      <c r="D4179" s="328"/>
      <c r="E4179" s="23"/>
      <c r="F4179" s="329"/>
      <c r="G4179" s="23"/>
      <c r="H4179" s="23"/>
      <c r="I4179" s="330"/>
      <c r="J4179" s="330"/>
      <c r="K4179" s="23"/>
    </row>
    <row r="4180" spans="1:11" ht="12.75" x14ac:dyDescent="0.2">
      <c r="A4180" s="23"/>
      <c r="B4180" s="328"/>
      <c r="C4180" s="327"/>
      <c r="D4180" s="328"/>
      <c r="E4180" s="23"/>
      <c r="F4180" s="329"/>
      <c r="G4180" s="23"/>
      <c r="H4180" s="23"/>
      <c r="I4180" s="330"/>
      <c r="J4180" s="330"/>
      <c r="K4180" s="23"/>
    </row>
    <row r="4181" spans="1:11" ht="12.75" x14ac:dyDescent="0.2">
      <c r="A4181" s="23"/>
      <c r="B4181" s="328"/>
      <c r="C4181" s="327"/>
      <c r="D4181" s="328"/>
      <c r="E4181" s="23"/>
      <c r="F4181" s="329"/>
      <c r="G4181" s="23"/>
      <c r="H4181" s="23"/>
      <c r="I4181" s="330"/>
      <c r="J4181" s="330"/>
      <c r="K4181" s="23"/>
    </row>
    <row r="4182" spans="1:11" ht="12.75" x14ac:dyDescent="0.2">
      <c r="A4182" s="23"/>
      <c r="B4182" s="328"/>
      <c r="C4182" s="327"/>
      <c r="D4182" s="328"/>
      <c r="E4182" s="23"/>
      <c r="F4182" s="329"/>
      <c r="G4182" s="23"/>
      <c r="H4182" s="23"/>
      <c r="I4182" s="330"/>
      <c r="J4182" s="330"/>
      <c r="K4182" s="23"/>
    </row>
    <row r="4183" spans="1:11" ht="12.75" x14ac:dyDescent="0.2">
      <c r="A4183" s="23"/>
      <c r="B4183" s="328"/>
      <c r="C4183" s="327"/>
      <c r="D4183" s="328"/>
      <c r="E4183" s="23"/>
      <c r="F4183" s="329"/>
      <c r="G4183" s="23"/>
      <c r="H4183" s="23"/>
      <c r="I4183" s="330"/>
      <c r="J4183" s="330"/>
      <c r="K4183" s="23"/>
    </row>
    <row r="4184" spans="1:11" ht="12.75" x14ac:dyDescent="0.2">
      <c r="A4184" s="23"/>
      <c r="B4184" s="328"/>
      <c r="C4184" s="327"/>
      <c r="D4184" s="328"/>
      <c r="E4184" s="23"/>
      <c r="F4184" s="329"/>
      <c r="G4184" s="23"/>
      <c r="H4184" s="23"/>
      <c r="I4184" s="330"/>
      <c r="J4184" s="330"/>
      <c r="K4184" s="23"/>
    </row>
    <row r="4185" spans="1:11" ht="12.75" x14ac:dyDescent="0.2">
      <c r="A4185" s="23"/>
      <c r="B4185" s="328"/>
      <c r="C4185" s="327"/>
      <c r="D4185" s="328"/>
      <c r="E4185" s="23"/>
      <c r="F4185" s="329"/>
      <c r="G4185" s="23"/>
      <c r="H4185" s="23"/>
      <c r="I4185" s="330"/>
      <c r="J4185" s="330"/>
      <c r="K4185" s="23"/>
    </row>
    <row r="4186" spans="1:11" ht="12.75" x14ac:dyDescent="0.2">
      <c r="A4186" s="23"/>
      <c r="B4186" s="328"/>
      <c r="C4186" s="327"/>
      <c r="D4186" s="328"/>
      <c r="E4186" s="23"/>
      <c r="F4186" s="329"/>
      <c r="G4186" s="23"/>
      <c r="H4186" s="23"/>
      <c r="I4186" s="330"/>
      <c r="J4186" s="330"/>
      <c r="K4186" s="23"/>
    </row>
    <row r="4187" spans="1:11" ht="12.75" x14ac:dyDescent="0.2">
      <c r="A4187" s="23"/>
      <c r="B4187" s="328"/>
      <c r="C4187" s="327"/>
      <c r="D4187" s="328"/>
      <c r="E4187" s="23"/>
      <c r="F4187" s="329"/>
      <c r="G4187" s="23"/>
      <c r="H4187" s="23"/>
      <c r="I4187" s="330"/>
      <c r="J4187" s="330"/>
      <c r="K4187" s="23"/>
    </row>
    <row r="4188" spans="1:11" ht="12.75" x14ac:dyDescent="0.2">
      <c r="A4188" s="23"/>
      <c r="B4188" s="328"/>
      <c r="C4188" s="327"/>
      <c r="D4188" s="328"/>
      <c r="E4188" s="23"/>
      <c r="F4188" s="329"/>
      <c r="G4188" s="23"/>
      <c r="H4188" s="23"/>
      <c r="I4188" s="330"/>
      <c r="J4188" s="330"/>
      <c r="K4188" s="23"/>
    </row>
    <row r="4189" spans="1:11" ht="12.75" x14ac:dyDescent="0.2">
      <c r="A4189" s="23"/>
      <c r="B4189" s="328"/>
      <c r="C4189" s="327"/>
      <c r="D4189" s="328"/>
      <c r="E4189" s="23"/>
      <c r="F4189" s="329"/>
      <c r="G4189" s="23"/>
      <c r="H4189" s="23"/>
      <c r="I4189" s="330"/>
      <c r="J4189" s="330"/>
      <c r="K4189" s="23"/>
    </row>
    <row r="4190" spans="1:11" ht="12.75" x14ac:dyDescent="0.2">
      <c r="A4190" s="23"/>
      <c r="B4190" s="328"/>
      <c r="C4190" s="327"/>
      <c r="D4190" s="328"/>
      <c r="E4190" s="23"/>
      <c r="F4190" s="329"/>
      <c r="G4190" s="23"/>
      <c r="H4190" s="23"/>
      <c r="I4190" s="330"/>
      <c r="J4190" s="330"/>
      <c r="K4190" s="23"/>
    </row>
    <row r="4191" spans="1:11" ht="12.75" x14ac:dyDescent="0.2">
      <c r="A4191" s="23"/>
      <c r="B4191" s="328"/>
      <c r="C4191" s="327"/>
      <c r="D4191" s="328"/>
      <c r="E4191" s="23"/>
      <c r="F4191" s="329"/>
      <c r="G4191" s="23"/>
      <c r="H4191" s="23"/>
      <c r="I4191" s="330"/>
      <c r="J4191" s="330"/>
      <c r="K4191" s="23"/>
    </row>
    <row r="4192" spans="1:11" ht="12.75" x14ac:dyDescent="0.2">
      <c r="A4192" s="23"/>
      <c r="B4192" s="328"/>
      <c r="C4192" s="327"/>
      <c r="D4192" s="328"/>
      <c r="E4192" s="23"/>
      <c r="F4192" s="329"/>
      <c r="G4192" s="23"/>
      <c r="H4192" s="23"/>
      <c r="I4192" s="330"/>
      <c r="J4192" s="330"/>
      <c r="K4192" s="23"/>
    </row>
    <row r="4193" spans="1:11" ht="12.75" x14ac:dyDescent="0.2">
      <c r="A4193" s="23"/>
      <c r="B4193" s="328"/>
      <c r="C4193" s="327"/>
      <c r="D4193" s="328"/>
      <c r="E4193" s="23"/>
      <c r="F4193" s="329"/>
      <c r="G4193" s="23"/>
      <c r="H4193" s="23"/>
      <c r="I4193" s="330"/>
      <c r="J4193" s="330"/>
      <c r="K4193" s="23"/>
    </row>
    <row r="4194" spans="1:11" ht="12.75" x14ac:dyDescent="0.2">
      <c r="A4194" s="23"/>
      <c r="B4194" s="328"/>
      <c r="C4194" s="327"/>
      <c r="D4194" s="328"/>
      <c r="E4194" s="23"/>
      <c r="F4194" s="329"/>
      <c r="G4194" s="23"/>
      <c r="H4194" s="23"/>
      <c r="I4194" s="330"/>
      <c r="J4194" s="330"/>
      <c r="K4194" s="23"/>
    </row>
    <row r="4195" spans="1:11" ht="12.75" x14ac:dyDescent="0.2">
      <c r="A4195" s="23"/>
      <c r="B4195" s="328"/>
      <c r="C4195" s="327"/>
      <c r="D4195" s="328"/>
      <c r="E4195" s="23"/>
      <c r="F4195" s="329"/>
      <c r="G4195" s="23"/>
      <c r="H4195" s="23"/>
      <c r="I4195" s="330"/>
      <c r="J4195" s="330"/>
      <c r="K4195" s="23"/>
    </row>
    <row r="4196" spans="1:11" ht="12.75" x14ac:dyDescent="0.2">
      <c r="A4196" s="23"/>
      <c r="B4196" s="328"/>
      <c r="C4196" s="327"/>
      <c r="D4196" s="328"/>
      <c r="E4196" s="23"/>
      <c r="F4196" s="329"/>
      <c r="G4196" s="23"/>
      <c r="H4196" s="23"/>
      <c r="I4196" s="330"/>
      <c r="J4196" s="330"/>
      <c r="K4196" s="23"/>
    </row>
    <row r="4197" spans="1:11" ht="12.75" x14ac:dyDescent="0.2">
      <c r="A4197" s="23"/>
      <c r="B4197" s="328"/>
      <c r="C4197" s="327"/>
      <c r="D4197" s="328"/>
      <c r="E4197" s="23"/>
      <c r="F4197" s="329"/>
      <c r="G4197" s="23"/>
      <c r="H4197" s="23"/>
      <c r="I4197" s="330"/>
      <c r="J4197" s="330"/>
      <c r="K4197" s="23"/>
    </row>
    <row r="4198" spans="1:11" ht="12.75" x14ac:dyDescent="0.2">
      <c r="A4198" s="23"/>
      <c r="B4198" s="328"/>
      <c r="C4198" s="327"/>
      <c r="D4198" s="328"/>
      <c r="E4198" s="23"/>
      <c r="F4198" s="329"/>
      <c r="G4198" s="23"/>
      <c r="H4198" s="23"/>
      <c r="I4198" s="330"/>
      <c r="J4198" s="330"/>
      <c r="K4198" s="23"/>
    </row>
    <row r="4199" spans="1:11" ht="12.75" x14ac:dyDescent="0.2">
      <c r="A4199" s="23"/>
      <c r="B4199" s="328"/>
      <c r="C4199" s="327"/>
      <c r="D4199" s="328"/>
      <c r="E4199" s="23"/>
      <c r="F4199" s="329"/>
      <c r="G4199" s="23"/>
      <c r="H4199" s="23"/>
      <c r="I4199" s="330"/>
      <c r="J4199" s="330"/>
      <c r="K4199" s="23"/>
    </row>
    <row r="4200" spans="1:11" ht="12.75" x14ac:dyDescent="0.2">
      <c r="A4200" s="23"/>
      <c r="B4200" s="328"/>
      <c r="C4200" s="327"/>
      <c r="D4200" s="328"/>
      <c r="E4200" s="23"/>
      <c r="F4200" s="329"/>
      <c r="G4200" s="23"/>
      <c r="H4200" s="23"/>
      <c r="I4200" s="330"/>
      <c r="J4200" s="330"/>
      <c r="K4200" s="23"/>
    </row>
    <row r="4201" spans="1:11" ht="12.75" x14ac:dyDescent="0.2">
      <c r="A4201" s="23"/>
      <c r="B4201" s="328"/>
      <c r="C4201" s="327"/>
      <c r="D4201" s="328"/>
      <c r="E4201" s="23"/>
      <c r="F4201" s="329"/>
      <c r="G4201" s="23"/>
      <c r="H4201" s="23"/>
      <c r="I4201" s="330"/>
      <c r="J4201" s="330"/>
      <c r="K4201" s="23"/>
    </row>
    <row r="4202" spans="1:11" ht="12.75" x14ac:dyDescent="0.2">
      <c r="A4202" s="23"/>
      <c r="B4202" s="328"/>
      <c r="C4202" s="327"/>
      <c r="D4202" s="328"/>
      <c r="E4202" s="23"/>
      <c r="F4202" s="329"/>
      <c r="G4202" s="23"/>
      <c r="H4202" s="23"/>
      <c r="I4202" s="330"/>
      <c r="J4202" s="330"/>
      <c r="K4202" s="23"/>
    </row>
    <row r="4203" spans="1:11" ht="12.75" x14ac:dyDescent="0.2">
      <c r="A4203" s="23"/>
      <c r="B4203" s="328"/>
      <c r="C4203" s="327"/>
      <c r="D4203" s="328"/>
      <c r="E4203" s="23"/>
      <c r="F4203" s="329"/>
      <c r="G4203" s="23"/>
      <c r="H4203" s="23"/>
      <c r="I4203" s="330"/>
      <c r="J4203" s="330"/>
      <c r="K4203" s="23"/>
    </row>
    <row r="4204" spans="1:11" ht="12.75" x14ac:dyDescent="0.2">
      <c r="A4204" s="23"/>
      <c r="B4204" s="328"/>
      <c r="C4204" s="327"/>
      <c r="D4204" s="328"/>
      <c r="E4204" s="23"/>
      <c r="F4204" s="329"/>
      <c r="G4204" s="23"/>
      <c r="H4204" s="23"/>
      <c r="I4204" s="330"/>
      <c r="J4204" s="330"/>
      <c r="K4204" s="23"/>
    </row>
    <row r="4205" spans="1:11" ht="12.75" x14ac:dyDescent="0.2">
      <c r="A4205" s="23"/>
      <c r="B4205" s="328"/>
      <c r="C4205" s="327"/>
      <c r="D4205" s="328"/>
      <c r="E4205" s="23"/>
      <c r="F4205" s="329"/>
      <c r="G4205" s="23"/>
      <c r="H4205" s="23"/>
      <c r="I4205" s="330"/>
      <c r="J4205" s="330"/>
      <c r="K4205" s="23"/>
    </row>
    <row r="4206" spans="1:11" ht="12.75" x14ac:dyDescent="0.2">
      <c r="A4206" s="23"/>
      <c r="B4206" s="328"/>
      <c r="C4206" s="327"/>
      <c r="D4206" s="328"/>
      <c r="E4206" s="23"/>
      <c r="F4206" s="329"/>
      <c r="G4206" s="23"/>
      <c r="H4206" s="23"/>
      <c r="I4206" s="330"/>
      <c r="J4206" s="330"/>
      <c r="K4206" s="23"/>
    </row>
    <row r="4207" spans="1:11" ht="12.75" x14ac:dyDescent="0.2">
      <c r="A4207" s="23"/>
      <c r="B4207" s="328"/>
      <c r="C4207" s="327"/>
      <c r="D4207" s="328"/>
      <c r="E4207" s="23"/>
      <c r="F4207" s="329"/>
      <c r="G4207" s="23"/>
      <c r="H4207" s="23"/>
      <c r="I4207" s="330"/>
      <c r="J4207" s="330"/>
      <c r="K4207" s="23"/>
    </row>
    <row r="4208" spans="1:11" ht="12.75" x14ac:dyDescent="0.2">
      <c r="A4208" s="23"/>
      <c r="B4208" s="328"/>
      <c r="C4208" s="327"/>
      <c r="D4208" s="328"/>
      <c r="E4208" s="23"/>
      <c r="F4208" s="329"/>
      <c r="G4208" s="23"/>
      <c r="H4208" s="23"/>
      <c r="I4208" s="330"/>
      <c r="J4208" s="330"/>
      <c r="K4208" s="23"/>
    </row>
    <row r="4209" spans="1:11" ht="12.75" x14ac:dyDescent="0.2">
      <c r="A4209" s="23"/>
      <c r="B4209" s="328"/>
      <c r="C4209" s="327"/>
      <c r="D4209" s="328"/>
      <c r="E4209" s="23"/>
      <c r="F4209" s="329"/>
      <c r="G4209" s="23"/>
      <c r="H4209" s="23"/>
      <c r="I4209" s="330"/>
      <c r="J4209" s="330"/>
      <c r="K4209" s="23"/>
    </row>
    <row r="4210" spans="1:11" ht="12.75" x14ac:dyDescent="0.2">
      <c r="A4210" s="23"/>
      <c r="B4210" s="328"/>
      <c r="C4210" s="327"/>
      <c r="D4210" s="328"/>
      <c r="E4210" s="23"/>
      <c r="F4210" s="329"/>
      <c r="G4210" s="23"/>
      <c r="H4210" s="23"/>
      <c r="I4210" s="330"/>
      <c r="J4210" s="330"/>
      <c r="K4210" s="23"/>
    </row>
    <row r="4211" spans="1:11" ht="12.75" x14ac:dyDescent="0.2">
      <c r="A4211" s="23"/>
      <c r="B4211" s="328"/>
      <c r="C4211" s="327"/>
      <c r="D4211" s="328"/>
      <c r="E4211" s="23"/>
      <c r="F4211" s="329"/>
      <c r="G4211" s="23"/>
      <c r="H4211" s="23"/>
      <c r="I4211" s="330"/>
      <c r="J4211" s="330"/>
      <c r="K4211" s="23"/>
    </row>
    <row r="4212" spans="1:11" ht="12.75" x14ac:dyDescent="0.2">
      <c r="A4212" s="23"/>
      <c r="B4212" s="328"/>
      <c r="C4212" s="327"/>
      <c r="D4212" s="328"/>
      <c r="E4212" s="23"/>
      <c r="F4212" s="329"/>
      <c r="G4212" s="23"/>
      <c r="H4212" s="23"/>
      <c r="I4212" s="330"/>
      <c r="J4212" s="330"/>
      <c r="K4212" s="23"/>
    </row>
    <row r="4213" spans="1:11" ht="12.75" x14ac:dyDescent="0.2">
      <c r="A4213" s="23"/>
      <c r="B4213" s="328"/>
      <c r="C4213" s="327"/>
      <c r="D4213" s="328"/>
      <c r="E4213" s="23"/>
      <c r="F4213" s="329"/>
      <c r="G4213" s="23"/>
      <c r="H4213" s="23"/>
      <c r="I4213" s="330"/>
      <c r="J4213" s="330"/>
      <c r="K4213" s="23"/>
    </row>
    <row r="4214" spans="1:11" ht="12.75" x14ac:dyDescent="0.2">
      <c r="A4214" s="23"/>
      <c r="B4214" s="328"/>
      <c r="C4214" s="327"/>
      <c r="D4214" s="328"/>
      <c r="E4214" s="23"/>
      <c r="F4214" s="329"/>
      <c r="G4214" s="23"/>
      <c r="H4214" s="23"/>
      <c r="I4214" s="330"/>
      <c r="J4214" s="330"/>
      <c r="K4214" s="23"/>
    </row>
    <row r="4215" spans="1:11" ht="12.75" x14ac:dyDescent="0.2">
      <c r="A4215" s="23"/>
      <c r="B4215" s="328"/>
      <c r="C4215" s="327"/>
      <c r="D4215" s="328"/>
      <c r="E4215" s="23"/>
      <c r="F4215" s="329"/>
      <c r="G4215" s="23"/>
      <c r="H4215" s="23"/>
      <c r="I4215" s="330"/>
      <c r="J4215" s="330"/>
      <c r="K4215" s="23"/>
    </row>
    <row r="4216" spans="1:11" ht="12.75" x14ac:dyDescent="0.2">
      <c r="A4216" s="23"/>
      <c r="B4216" s="328"/>
      <c r="C4216" s="327"/>
      <c r="D4216" s="328"/>
      <c r="E4216" s="23"/>
      <c r="F4216" s="329"/>
      <c r="G4216" s="23"/>
      <c r="H4216" s="23"/>
      <c r="I4216" s="330"/>
      <c r="J4216" s="330"/>
      <c r="K4216" s="23"/>
    </row>
    <row r="4217" spans="1:11" ht="12.75" x14ac:dyDescent="0.2">
      <c r="A4217" s="23"/>
      <c r="B4217" s="328"/>
      <c r="C4217" s="327"/>
      <c r="D4217" s="328"/>
      <c r="E4217" s="23"/>
      <c r="F4217" s="329"/>
      <c r="G4217" s="23"/>
      <c r="H4217" s="23"/>
      <c r="I4217" s="330"/>
      <c r="J4217" s="330"/>
      <c r="K4217" s="23"/>
    </row>
    <row r="4218" spans="1:11" ht="12.75" x14ac:dyDescent="0.2">
      <c r="A4218" s="23"/>
      <c r="B4218" s="328"/>
      <c r="C4218" s="327"/>
      <c r="D4218" s="328"/>
      <c r="E4218" s="23"/>
      <c r="F4218" s="329"/>
      <c r="G4218" s="23"/>
      <c r="H4218" s="23"/>
      <c r="I4218" s="330"/>
      <c r="J4218" s="330"/>
      <c r="K4218" s="23"/>
    </row>
    <row r="4219" spans="1:11" ht="12.75" x14ac:dyDescent="0.2">
      <c r="A4219" s="23"/>
      <c r="B4219" s="328"/>
      <c r="C4219" s="327"/>
      <c r="D4219" s="328"/>
      <c r="E4219" s="23"/>
      <c r="F4219" s="329"/>
      <c r="G4219" s="23"/>
      <c r="H4219" s="23"/>
      <c r="I4219" s="330"/>
      <c r="J4219" s="330"/>
      <c r="K4219" s="23"/>
    </row>
    <row r="4220" spans="1:11" ht="12.75" x14ac:dyDescent="0.2">
      <c r="A4220" s="23"/>
      <c r="B4220" s="328"/>
      <c r="C4220" s="327"/>
      <c r="D4220" s="328"/>
      <c r="E4220" s="23"/>
      <c r="F4220" s="329"/>
      <c r="G4220" s="23"/>
      <c r="H4220" s="23"/>
      <c r="I4220" s="330"/>
      <c r="J4220" s="330"/>
      <c r="K4220" s="23"/>
    </row>
    <row r="4221" spans="1:11" ht="12.75" x14ac:dyDescent="0.2">
      <c r="A4221" s="23"/>
      <c r="B4221" s="328"/>
      <c r="C4221" s="327"/>
      <c r="D4221" s="328"/>
      <c r="E4221" s="23"/>
      <c r="F4221" s="329"/>
      <c r="G4221" s="23"/>
      <c r="H4221" s="23"/>
      <c r="I4221" s="330"/>
      <c r="J4221" s="330"/>
      <c r="K4221" s="23"/>
    </row>
    <row r="4222" spans="1:11" ht="12.75" x14ac:dyDescent="0.2">
      <c r="A4222" s="23"/>
      <c r="B4222" s="328"/>
      <c r="C4222" s="327"/>
      <c r="D4222" s="328"/>
      <c r="E4222" s="23"/>
      <c r="F4222" s="329"/>
      <c r="G4222" s="23"/>
      <c r="H4222" s="23"/>
      <c r="I4222" s="330"/>
      <c r="J4222" s="330"/>
      <c r="K4222" s="23"/>
    </row>
    <row r="4223" spans="1:11" ht="12.75" x14ac:dyDescent="0.2">
      <c r="A4223" s="23"/>
      <c r="B4223" s="328"/>
      <c r="C4223" s="327"/>
      <c r="D4223" s="328"/>
      <c r="E4223" s="23"/>
      <c r="F4223" s="329"/>
      <c r="G4223" s="23"/>
      <c r="H4223" s="23"/>
      <c r="I4223" s="330"/>
      <c r="J4223" s="330"/>
      <c r="K4223" s="23"/>
    </row>
    <row r="4224" spans="1:11" ht="12.75" x14ac:dyDescent="0.2">
      <c r="A4224" s="23"/>
      <c r="B4224" s="328"/>
      <c r="C4224" s="327"/>
      <c r="D4224" s="328"/>
      <c r="E4224" s="23"/>
      <c r="F4224" s="329"/>
      <c r="G4224" s="23"/>
      <c r="H4224" s="23"/>
      <c r="I4224" s="330"/>
      <c r="J4224" s="330"/>
      <c r="K4224" s="23"/>
    </row>
    <row r="4225" spans="1:11" ht="12.75" x14ac:dyDescent="0.2">
      <c r="A4225" s="23"/>
      <c r="B4225" s="328"/>
      <c r="C4225" s="327"/>
      <c r="D4225" s="328"/>
      <c r="E4225" s="23"/>
      <c r="F4225" s="329"/>
      <c r="G4225" s="23"/>
      <c r="H4225" s="23"/>
      <c r="I4225" s="330"/>
      <c r="J4225" s="330"/>
      <c r="K4225" s="23"/>
    </row>
    <row r="4226" spans="1:11" ht="12.75" x14ac:dyDescent="0.2">
      <c r="A4226" s="23"/>
      <c r="B4226" s="328"/>
      <c r="C4226" s="327"/>
      <c r="D4226" s="328"/>
      <c r="E4226" s="23"/>
      <c r="F4226" s="329"/>
      <c r="G4226" s="23"/>
      <c r="H4226" s="23"/>
      <c r="I4226" s="330"/>
      <c r="J4226" s="330"/>
      <c r="K4226" s="23"/>
    </row>
    <row r="4227" spans="1:11" ht="12.75" x14ac:dyDescent="0.2">
      <c r="A4227" s="23"/>
      <c r="B4227" s="328"/>
      <c r="C4227" s="327"/>
      <c r="D4227" s="328"/>
      <c r="E4227" s="23"/>
      <c r="F4227" s="329"/>
      <c r="G4227" s="23"/>
      <c r="H4227" s="23"/>
      <c r="I4227" s="330"/>
      <c r="J4227" s="330"/>
      <c r="K4227" s="23"/>
    </row>
    <row r="4228" spans="1:11" ht="12.75" x14ac:dyDescent="0.2">
      <c r="A4228" s="23"/>
      <c r="B4228" s="328"/>
      <c r="C4228" s="327"/>
      <c r="D4228" s="328"/>
      <c r="E4228" s="23"/>
      <c r="F4228" s="329"/>
      <c r="G4228" s="23"/>
      <c r="H4228" s="23"/>
      <c r="I4228" s="330"/>
      <c r="J4228" s="330"/>
      <c r="K4228" s="23"/>
    </row>
    <row r="4229" spans="1:11" ht="12.75" x14ac:dyDescent="0.2">
      <c r="A4229" s="23"/>
      <c r="B4229" s="328"/>
      <c r="C4229" s="327"/>
      <c r="D4229" s="328"/>
      <c r="E4229" s="23"/>
      <c r="F4229" s="329"/>
      <c r="G4229" s="23"/>
      <c r="H4229" s="23"/>
      <c r="I4229" s="330"/>
      <c r="J4229" s="330"/>
      <c r="K4229" s="23"/>
    </row>
    <row r="4230" spans="1:11" ht="12.75" x14ac:dyDescent="0.2">
      <c r="A4230" s="23"/>
      <c r="B4230" s="328"/>
      <c r="C4230" s="327"/>
      <c r="D4230" s="328"/>
      <c r="E4230" s="23"/>
      <c r="F4230" s="329"/>
      <c r="G4230" s="23"/>
      <c r="H4230" s="23"/>
      <c r="I4230" s="330"/>
      <c r="J4230" s="330"/>
      <c r="K4230" s="23"/>
    </row>
    <row r="4231" spans="1:11" ht="12.75" x14ac:dyDescent="0.2">
      <c r="A4231" s="23"/>
      <c r="B4231" s="328"/>
      <c r="C4231" s="327"/>
      <c r="D4231" s="328"/>
      <c r="E4231" s="23"/>
      <c r="F4231" s="329"/>
      <c r="G4231" s="23"/>
      <c r="H4231" s="23"/>
      <c r="I4231" s="330"/>
      <c r="J4231" s="330"/>
      <c r="K4231" s="23"/>
    </row>
    <row r="4232" spans="1:11" ht="12.75" x14ac:dyDescent="0.2">
      <c r="A4232" s="23"/>
      <c r="B4232" s="328"/>
      <c r="C4232" s="327"/>
      <c r="D4232" s="328"/>
      <c r="E4232" s="23"/>
      <c r="F4232" s="329"/>
      <c r="G4232" s="23"/>
      <c r="H4232" s="23"/>
      <c r="I4232" s="330"/>
      <c r="J4232" s="330"/>
      <c r="K4232" s="23"/>
    </row>
    <row r="4233" spans="1:11" ht="12.75" x14ac:dyDescent="0.2">
      <c r="A4233" s="23"/>
      <c r="B4233" s="328"/>
      <c r="C4233" s="327"/>
      <c r="D4233" s="328"/>
      <c r="E4233" s="23"/>
      <c r="F4233" s="329"/>
      <c r="G4233" s="23"/>
      <c r="H4233" s="23"/>
      <c r="I4233" s="330"/>
      <c r="J4233" s="330"/>
      <c r="K4233" s="23"/>
    </row>
    <row r="4234" spans="1:11" ht="12.75" x14ac:dyDescent="0.2">
      <c r="A4234" s="23"/>
      <c r="B4234" s="328"/>
      <c r="C4234" s="327"/>
      <c r="D4234" s="328"/>
      <c r="E4234" s="23"/>
      <c r="F4234" s="329"/>
      <c r="G4234" s="23"/>
      <c r="H4234" s="23"/>
      <c r="I4234" s="330"/>
      <c r="J4234" s="330"/>
      <c r="K4234" s="23"/>
    </row>
    <row r="4235" spans="1:11" ht="12.75" x14ac:dyDescent="0.2">
      <c r="A4235" s="23"/>
      <c r="B4235" s="328"/>
      <c r="C4235" s="327"/>
      <c r="D4235" s="328"/>
      <c r="E4235" s="23"/>
      <c r="F4235" s="329"/>
      <c r="G4235" s="23"/>
      <c r="H4235" s="23"/>
      <c r="I4235" s="330"/>
      <c r="J4235" s="330"/>
      <c r="K4235" s="23"/>
    </row>
    <row r="4236" spans="1:11" ht="12.75" x14ac:dyDescent="0.2">
      <c r="A4236" s="23"/>
      <c r="B4236" s="328"/>
      <c r="C4236" s="327"/>
      <c r="D4236" s="328"/>
      <c r="E4236" s="23"/>
      <c r="F4236" s="329"/>
      <c r="G4236" s="23"/>
      <c r="H4236" s="23"/>
      <c r="I4236" s="330"/>
      <c r="J4236" s="330"/>
      <c r="K4236" s="23"/>
    </row>
    <row r="4237" spans="1:11" ht="12.75" x14ac:dyDescent="0.2">
      <c r="A4237" s="23"/>
      <c r="B4237" s="328"/>
      <c r="C4237" s="327"/>
      <c r="D4237" s="328"/>
      <c r="E4237" s="23"/>
      <c r="F4237" s="329"/>
      <c r="G4237" s="23"/>
      <c r="H4237" s="23"/>
      <c r="I4237" s="330"/>
      <c r="J4237" s="330"/>
      <c r="K4237" s="23"/>
    </row>
    <row r="4238" spans="1:11" ht="12.75" x14ac:dyDescent="0.2">
      <c r="A4238" s="23"/>
      <c r="B4238" s="328"/>
      <c r="C4238" s="327"/>
      <c r="D4238" s="328"/>
      <c r="E4238" s="23"/>
      <c r="F4238" s="329"/>
      <c r="G4238" s="23"/>
      <c r="H4238" s="23"/>
      <c r="I4238" s="330"/>
      <c r="J4238" s="330"/>
      <c r="K4238" s="23"/>
    </row>
    <row r="4239" spans="1:11" ht="12.75" x14ac:dyDescent="0.2">
      <c r="A4239" s="23"/>
      <c r="B4239" s="328"/>
      <c r="C4239" s="327"/>
      <c r="D4239" s="328"/>
      <c r="E4239" s="23"/>
      <c r="F4239" s="329"/>
      <c r="G4239" s="23"/>
      <c r="H4239" s="23"/>
      <c r="I4239" s="330"/>
      <c r="J4239" s="330"/>
      <c r="K4239" s="23"/>
    </row>
    <row r="4240" spans="1:11" ht="12.75" x14ac:dyDescent="0.2">
      <c r="A4240" s="23"/>
      <c r="B4240" s="328"/>
      <c r="C4240" s="327"/>
      <c r="D4240" s="328"/>
      <c r="E4240" s="23"/>
      <c r="F4240" s="329"/>
      <c r="G4240" s="23"/>
      <c r="H4240" s="23"/>
      <c r="I4240" s="330"/>
      <c r="J4240" s="330"/>
      <c r="K4240" s="23"/>
    </row>
    <row r="4241" spans="1:11" ht="12.75" x14ac:dyDescent="0.2">
      <c r="A4241" s="23"/>
      <c r="B4241" s="328"/>
      <c r="C4241" s="327"/>
      <c r="D4241" s="328"/>
      <c r="E4241" s="23"/>
      <c r="F4241" s="329"/>
      <c r="G4241" s="23"/>
      <c r="H4241" s="23"/>
      <c r="I4241" s="330"/>
      <c r="J4241" s="330"/>
      <c r="K4241" s="23"/>
    </row>
    <row r="4242" spans="1:11" ht="12.75" x14ac:dyDescent="0.2">
      <c r="A4242" s="23"/>
      <c r="B4242" s="328"/>
      <c r="C4242" s="327"/>
      <c r="D4242" s="328"/>
      <c r="E4242" s="23"/>
      <c r="F4242" s="329"/>
      <c r="G4242" s="23"/>
      <c r="H4242" s="23"/>
      <c r="I4242" s="330"/>
      <c r="J4242" s="330"/>
      <c r="K4242" s="23"/>
    </row>
    <row r="4243" spans="1:11" ht="12.75" x14ac:dyDescent="0.2">
      <c r="A4243" s="23"/>
      <c r="B4243" s="328"/>
      <c r="C4243" s="327"/>
      <c r="D4243" s="328"/>
      <c r="E4243" s="23"/>
      <c r="F4243" s="329"/>
      <c r="G4243" s="23"/>
      <c r="H4243" s="23"/>
      <c r="I4243" s="330"/>
      <c r="J4243" s="330"/>
      <c r="K4243" s="23"/>
    </row>
    <row r="4244" spans="1:11" ht="12.75" x14ac:dyDescent="0.2">
      <c r="A4244" s="23"/>
      <c r="B4244" s="328"/>
      <c r="C4244" s="327"/>
      <c r="D4244" s="328"/>
      <c r="E4244" s="23"/>
      <c r="F4244" s="329"/>
      <c r="G4244" s="23"/>
      <c r="H4244" s="23"/>
      <c r="I4244" s="330"/>
      <c r="J4244" s="330"/>
      <c r="K4244" s="23"/>
    </row>
    <row r="4245" spans="1:11" ht="12.75" x14ac:dyDescent="0.2">
      <c r="A4245" s="23"/>
      <c r="B4245" s="328"/>
      <c r="C4245" s="327"/>
      <c r="D4245" s="328"/>
      <c r="E4245" s="23"/>
      <c r="F4245" s="329"/>
      <c r="G4245" s="23"/>
      <c r="H4245" s="23"/>
      <c r="I4245" s="330"/>
      <c r="J4245" s="330"/>
      <c r="K4245" s="23"/>
    </row>
    <row r="4246" spans="1:11" ht="12.75" x14ac:dyDescent="0.2">
      <c r="A4246" s="23"/>
      <c r="B4246" s="328"/>
      <c r="C4246" s="327"/>
      <c r="D4246" s="328"/>
      <c r="E4246" s="23"/>
      <c r="F4246" s="329"/>
      <c r="G4246" s="23"/>
      <c r="H4246" s="23"/>
      <c r="I4246" s="330"/>
      <c r="J4246" s="330"/>
      <c r="K4246" s="23"/>
    </row>
    <row r="4247" spans="1:11" ht="12.75" x14ac:dyDescent="0.2">
      <c r="A4247" s="23"/>
      <c r="B4247" s="328"/>
      <c r="C4247" s="327"/>
      <c r="D4247" s="328"/>
      <c r="E4247" s="23"/>
      <c r="F4247" s="329"/>
      <c r="G4247" s="23"/>
      <c r="H4247" s="23"/>
      <c r="I4247" s="330"/>
      <c r="J4247" s="330"/>
      <c r="K4247" s="23"/>
    </row>
    <row r="4248" spans="1:11" ht="12.75" x14ac:dyDescent="0.2">
      <c r="A4248" s="23"/>
      <c r="B4248" s="328"/>
      <c r="C4248" s="327"/>
      <c r="D4248" s="328"/>
      <c r="E4248" s="23"/>
      <c r="F4248" s="329"/>
      <c r="G4248" s="23"/>
      <c r="H4248" s="23"/>
      <c r="I4248" s="330"/>
      <c r="J4248" s="330"/>
      <c r="K4248" s="23"/>
    </row>
    <row r="4249" spans="1:11" ht="12.75" x14ac:dyDescent="0.2">
      <c r="A4249" s="23"/>
      <c r="B4249" s="328"/>
      <c r="C4249" s="327"/>
      <c r="D4249" s="328"/>
      <c r="E4249" s="23"/>
      <c r="F4249" s="329"/>
      <c r="G4249" s="23"/>
      <c r="H4249" s="23"/>
      <c r="I4249" s="330"/>
      <c r="J4249" s="330"/>
      <c r="K4249" s="23"/>
    </row>
    <row r="4250" spans="1:11" ht="12.75" x14ac:dyDescent="0.2">
      <c r="A4250" s="23"/>
      <c r="B4250" s="328"/>
      <c r="C4250" s="327"/>
      <c r="D4250" s="328"/>
      <c r="E4250" s="23"/>
      <c r="F4250" s="329"/>
      <c r="G4250" s="23"/>
      <c r="H4250" s="23"/>
      <c r="I4250" s="330"/>
      <c r="J4250" s="330"/>
      <c r="K4250" s="23"/>
    </row>
    <row r="4251" spans="1:11" ht="12.75" x14ac:dyDescent="0.2">
      <c r="A4251" s="23"/>
      <c r="B4251" s="328"/>
      <c r="C4251" s="327"/>
      <c r="D4251" s="328"/>
      <c r="E4251" s="23"/>
      <c r="F4251" s="329"/>
      <c r="G4251" s="23"/>
      <c r="H4251" s="23"/>
      <c r="I4251" s="330"/>
      <c r="J4251" s="330"/>
      <c r="K4251" s="23"/>
    </row>
    <row r="4252" spans="1:11" ht="12.75" x14ac:dyDescent="0.2">
      <c r="A4252" s="23"/>
      <c r="B4252" s="328"/>
      <c r="C4252" s="327"/>
      <c r="D4252" s="328"/>
      <c r="E4252" s="23"/>
      <c r="F4252" s="329"/>
      <c r="G4252" s="23"/>
      <c r="H4252" s="23"/>
      <c r="I4252" s="330"/>
      <c r="J4252" s="330"/>
      <c r="K4252" s="23"/>
    </row>
    <row r="4253" spans="1:11" ht="12.75" x14ac:dyDescent="0.2">
      <c r="A4253" s="23"/>
      <c r="B4253" s="328"/>
      <c r="C4253" s="327"/>
      <c r="D4253" s="328"/>
      <c r="E4253" s="23"/>
      <c r="F4253" s="329"/>
      <c r="G4253" s="23"/>
      <c r="H4253" s="23"/>
      <c r="I4253" s="330"/>
      <c r="J4253" s="330"/>
      <c r="K4253" s="23"/>
    </row>
    <row r="4254" spans="1:11" ht="12.75" x14ac:dyDescent="0.2">
      <c r="A4254" s="23"/>
      <c r="B4254" s="328"/>
      <c r="C4254" s="327"/>
      <c r="D4254" s="328"/>
      <c r="E4254" s="23"/>
      <c r="F4254" s="329"/>
      <c r="G4254" s="23"/>
      <c r="H4254" s="23"/>
      <c r="I4254" s="330"/>
      <c r="J4254" s="330"/>
      <c r="K4254" s="23"/>
    </row>
    <row r="4255" spans="1:11" ht="12.75" x14ac:dyDescent="0.2">
      <c r="A4255" s="23"/>
      <c r="B4255" s="328"/>
      <c r="C4255" s="327"/>
      <c r="D4255" s="328"/>
      <c r="E4255" s="23"/>
      <c r="F4255" s="329"/>
      <c r="G4255" s="23"/>
      <c r="H4255" s="23"/>
      <c r="I4255" s="330"/>
      <c r="J4255" s="330"/>
      <c r="K4255" s="23"/>
    </row>
    <row r="4256" spans="1:11" ht="12.75" x14ac:dyDescent="0.2">
      <c r="A4256" s="23"/>
      <c r="B4256" s="328"/>
      <c r="C4256" s="327"/>
      <c r="D4256" s="328"/>
      <c r="E4256" s="23"/>
      <c r="F4256" s="329"/>
      <c r="G4256" s="23"/>
      <c r="H4256" s="23"/>
      <c r="I4256" s="330"/>
      <c r="J4256" s="330"/>
      <c r="K4256" s="23"/>
    </row>
    <row r="4257" spans="1:11" ht="12.75" x14ac:dyDescent="0.2">
      <c r="A4257" s="23"/>
      <c r="B4257" s="328"/>
      <c r="C4257" s="327"/>
      <c r="D4257" s="328"/>
      <c r="E4257" s="23"/>
      <c r="F4257" s="329"/>
      <c r="G4257" s="23"/>
      <c r="H4257" s="23"/>
      <c r="I4257" s="330"/>
      <c r="J4257" s="330"/>
      <c r="K4257" s="23"/>
    </row>
    <row r="4258" spans="1:11" ht="12.75" x14ac:dyDescent="0.2">
      <c r="A4258" s="23"/>
      <c r="B4258" s="328"/>
      <c r="C4258" s="327"/>
      <c r="D4258" s="328"/>
      <c r="E4258" s="23"/>
      <c r="F4258" s="329"/>
      <c r="G4258" s="23"/>
      <c r="H4258" s="23"/>
      <c r="I4258" s="330"/>
      <c r="J4258" s="330"/>
      <c r="K4258" s="23"/>
    </row>
    <row r="4259" spans="1:11" ht="12.75" x14ac:dyDescent="0.2">
      <c r="A4259" s="23"/>
      <c r="B4259" s="328"/>
      <c r="C4259" s="327"/>
      <c r="D4259" s="328"/>
      <c r="E4259" s="23"/>
      <c r="F4259" s="329"/>
      <c r="G4259" s="23"/>
      <c r="H4259" s="23"/>
      <c r="I4259" s="330"/>
      <c r="J4259" s="330"/>
      <c r="K4259" s="23"/>
    </row>
    <row r="4260" spans="1:11" ht="12.75" x14ac:dyDescent="0.2">
      <c r="A4260" s="23"/>
      <c r="B4260" s="328"/>
      <c r="C4260" s="327"/>
      <c r="D4260" s="328"/>
      <c r="E4260" s="23"/>
      <c r="F4260" s="329"/>
      <c r="G4260" s="23"/>
      <c r="H4260" s="23"/>
      <c r="I4260" s="330"/>
      <c r="J4260" s="330"/>
      <c r="K4260" s="23"/>
    </row>
    <row r="4261" spans="1:11" ht="12.75" x14ac:dyDescent="0.2">
      <c r="A4261" s="23"/>
      <c r="B4261" s="328"/>
      <c r="C4261" s="327"/>
      <c r="D4261" s="328"/>
      <c r="E4261" s="23"/>
      <c r="F4261" s="329"/>
      <c r="G4261" s="23"/>
      <c r="H4261" s="23"/>
      <c r="I4261" s="330"/>
      <c r="J4261" s="330"/>
      <c r="K4261" s="23"/>
    </row>
    <row r="4262" spans="1:11" ht="12.75" x14ac:dyDescent="0.2">
      <c r="A4262" s="23"/>
      <c r="B4262" s="328"/>
      <c r="C4262" s="327"/>
      <c r="D4262" s="328"/>
      <c r="E4262" s="23"/>
      <c r="F4262" s="329"/>
      <c r="G4262" s="23"/>
      <c r="H4262" s="23"/>
      <c r="I4262" s="330"/>
      <c r="J4262" s="330"/>
      <c r="K4262" s="23"/>
    </row>
    <row r="4263" spans="1:11" ht="12.75" x14ac:dyDescent="0.2">
      <c r="A4263" s="23"/>
      <c r="B4263" s="328"/>
      <c r="C4263" s="327"/>
      <c r="D4263" s="328"/>
      <c r="E4263" s="23"/>
      <c r="F4263" s="329"/>
      <c r="G4263" s="23"/>
      <c r="H4263" s="23"/>
      <c r="I4263" s="330"/>
      <c r="J4263" s="330"/>
      <c r="K4263" s="23"/>
    </row>
    <row r="4264" spans="1:11" ht="12.75" x14ac:dyDescent="0.2">
      <c r="A4264" s="23"/>
      <c r="B4264" s="328"/>
      <c r="C4264" s="327"/>
      <c r="D4264" s="328"/>
      <c r="E4264" s="23"/>
      <c r="F4264" s="329"/>
      <c r="G4264" s="23"/>
      <c r="H4264" s="23"/>
      <c r="I4264" s="330"/>
      <c r="J4264" s="330"/>
      <c r="K4264" s="23"/>
    </row>
    <row r="4265" spans="1:11" ht="12.75" x14ac:dyDescent="0.2">
      <c r="A4265" s="23"/>
      <c r="B4265" s="328"/>
      <c r="C4265" s="327"/>
      <c r="D4265" s="328"/>
      <c r="E4265" s="23"/>
      <c r="F4265" s="329"/>
      <c r="G4265" s="23"/>
      <c r="H4265" s="23"/>
      <c r="I4265" s="330"/>
      <c r="J4265" s="330"/>
      <c r="K4265" s="23"/>
    </row>
    <row r="4266" spans="1:11" ht="12.75" x14ac:dyDescent="0.2">
      <c r="A4266" s="23"/>
      <c r="B4266" s="328"/>
      <c r="C4266" s="327"/>
      <c r="D4266" s="328"/>
      <c r="E4266" s="23"/>
      <c r="F4266" s="329"/>
      <c r="G4266" s="23"/>
      <c r="H4266" s="23"/>
      <c r="I4266" s="330"/>
      <c r="J4266" s="330"/>
      <c r="K4266" s="23"/>
    </row>
    <row r="4267" spans="1:11" ht="12.75" x14ac:dyDescent="0.2">
      <c r="A4267" s="23"/>
      <c r="B4267" s="328"/>
      <c r="C4267" s="327"/>
      <c r="D4267" s="328"/>
      <c r="E4267" s="23"/>
      <c r="F4267" s="329"/>
      <c r="G4267" s="23"/>
      <c r="H4267" s="23"/>
      <c r="I4267" s="330"/>
      <c r="J4267" s="330"/>
      <c r="K4267" s="23"/>
    </row>
    <row r="4268" spans="1:11" ht="12.75" x14ac:dyDescent="0.2">
      <c r="A4268" s="23"/>
      <c r="B4268" s="328"/>
      <c r="C4268" s="327"/>
      <c r="D4268" s="328"/>
      <c r="E4268" s="23"/>
      <c r="F4268" s="329"/>
      <c r="G4268" s="23"/>
      <c r="H4268" s="23"/>
      <c r="I4268" s="330"/>
      <c r="J4268" s="330"/>
      <c r="K4268" s="23"/>
    </row>
    <row r="4269" spans="1:11" ht="12.75" x14ac:dyDescent="0.2">
      <c r="A4269" s="23"/>
      <c r="B4269" s="328"/>
      <c r="C4269" s="327"/>
      <c r="D4269" s="328"/>
      <c r="E4269" s="23"/>
      <c r="F4269" s="329"/>
      <c r="G4269" s="23"/>
      <c r="H4269" s="23"/>
      <c r="I4269" s="330"/>
      <c r="J4269" s="330"/>
      <c r="K4269" s="23"/>
    </row>
    <row r="4270" spans="1:11" ht="12.75" x14ac:dyDescent="0.2">
      <c r="A4270" s="23"/>
      <c r="B4270" s="328"/>
      <c r="C4270" s="327"/>
      <c r="D4270" s="328"/>
      <c r="E4270" s="23"/>
      <c r="F4270" s="329"/>
      <c r="G4270" s="23"/>
      <c r="H4270" s="23"/>
      <c r="I4270" s="330"/>
      <c r="J4270" s="330"/>
      <c r="K4270" s="23"/>
    </row>
    <row r="4271" spans="1:11" ht="12.75" x14ac:dyDescent="0.2">
      <c r="A4271" s="23"/>
      <c r="B4271" s="328"/>
      <c r="C4271" s="327"/>
      <c r="D4271" s="328"/>
      <c r="E4271" s="23"/>
      <c r="F4271" s="329"/>
      <c r="G4271" s="23"/>
      <c r="H4271" s="23"/>
      <c r="I4271" s="330"/>
      <c r="J4271" s="330"/>
      <c r="K4271" s="23"/>
    </row>
    <row r="4272" spans="1:11" ht="12.75" x14ac:dyDescent="0.2">
      <c r="A4272" s="23"/>
      <c r="B4272" s="328"/>
      <c r="C4272" s="327"/>
      <c r="D4272" s="328"/>
      <c r="E4272" s="23"/>
      <c r="F4272" s="329"/>
      <c r="G4272" s="23"/>
      <c r="H4272" s="23"/>
      <c r="I4272" s="330"/>
      <c r="J4272" s="330"/>
      <c r="K4272" s="23"/>
    </row>
    <row r="4273" spans="1:11" ht="12.75" x14ac:dyDescent="0.2">
      <c r="A4273" s="23"/>
      <c r="B4273" s="328"/>
      <c r="C4273" s="327"/>
      <c r="D4273" s="328"/>
      <c r="E4273" s="23"/>
      <c r="F4273" s="329"/>
      <c r="G4273" s="23"/>
      <c r="H4273" s="23"/>
      <c r="I4273" s="330"/>
      <c r="J4273" s="330"/>
      <c r="K4273" s="23"/>
    </row>
    <row r="4274" spans="1:11" ht="12.75" x14ac:dyDescent="0.2">
      <c r="A4274" s="23"/>
      <c r="B4274" s="328"/>
      <c r="C4274" s="327"/>
      <c r="D4274" s="328"/>
      <c r="E4274" s="23"/>
      <c r="F4274" s="329"/>
      <c r="G4274" s="23"/>
      <c r="H4274" s="23"/>
      <c r="I4274" s="330"/>
      <c r="J4274" s="330"/>
      <c r="K4274" s="23"/>
    </row>
    <row r="4275" spans="1:11" ht="12.75" x14ac:dyDescent="0.2">
      <c r="A4275" s="23"/>
      <c r="B4275" s="328"/>
      <c r="C4275" s="327"/>
      <c r="D4275" s="328"/>
      <c r="E4275" s="23"/>
      <c r="F4275" s="329"/>
      <c r="G4275" s="23"/>
      <c r="H4275" s="23"/>
      <c r="I4275" s="330"/>
      <c r="J4275" s="330"/>
      <c r="K4275" s="23"/>
    </row>
    <row r="4276" spans="1:11" ht="12.75" x14ac:dyDescent="0.2">
      <c r="A4276" s="23"/>
      <c r="B4276" s="328"/>
      <c r="C4276" s="327"/>
      <c r="D4276" s="328"/>
      <c r="E4276" s="23"/>
      <c r="F4276" s="329"/>
      <c r="G4276" s="23"/>
      <c r="H4276" s="23"/>
      <c r="I4276" s="330"/>
      <c r="J4276" s="330"/>
      <c r="K4276" s="23"/>
    </row>
    <row r="4277" spans="1:11" ht="12.75" x14ac:dyDescent="0.2">
      <c r="A4277" s="23"/>
      <c r="B4277" s="328"/>
      <c r="C4277" s="327"/>
      <c r="D4277" s="328"/>
      <c r="E4277" s="23"/>
      <c r="F4277" s="329"/>
      <c r="G4277" s="23"/>
      <c r="H4277" s="23"/>
      <c r="I4277" s="330"/>
      <c r="J4277" s="330"/>
      <c r="K4277" s="23"/>
    </row>
    <row r="4278" spans="1:11" ht="12.75" x14ac:dyDescent="0.2">
      <c r="A4278" s="23"/>
      <c r="B4278" s="328"/>
      <c r="C4278" s="327"/>
      <c r="D4278" s="328"/>
      <c r="E4278" s="23"/>
      <c r="F4278" s="329"/>
      <c r="G4278" s="23"/>
      <c r="H4278" s="23"/>
      <c r="I4278" s="330"/>
      <c r="J4278" s="330"/>
      <c r="K4278" s="23"/>
    </row>
    <row r="4279" spans="1:11" ht="12.75" x14ac:dyDescent="0.2">
      <c r="A4279" s="23"/>
      <c r="B4279" s="328"/>
      <c r="C4279" s="327"/>
      <c r="D4279" s="328"/>
      <c r="E4279" s="23"/>
      <c r="F4279" s="329"/>
      <c r="G4279" s="23"/>
      <c r="H4279" s="23"/>
      <c r="I4279" s="330"/>
      <c r="J4279" s="330"/>
      <c r="K4279" s="23"/>
    </row>
    <row r="4280" spans="1:11" ht="12.75" x14ac:dyDescent="0.2">
      <c r="A4280" s="23"/>
      <c r="B4280" s="328"/>
      <c r="C4280" s="327"/>
      <c r="D4280" s="328"/>
      <c r="E4280" s="23"/>
      <c r="F4280" s="329"/>
      <c r="G4280" s="23"/>
      <c r="H4280" s="23"/>
      <c r="I4280" s="330"/>
      <c r="J4280" s="330"/>
      <c r="K4280" s="23"/>
    </row>
    <row r="4281" spans="1:11" ht="12.75" x14ac:dyDescent="0.2">
      <c r="A4281" s="23"/>
      <c r="B4281" s="328"/>
      <c r="C4281" s="327"/>
      <c r="D4281" s="328"/>
      <c r="E4281" s="23"/>
      <c r="F4281" s="329"/>
      <c r="G4281" s="23"/>
      <c r="H4281" s="23"/>
      <c r="I4281" s="330"/>
      <c r="J4281" s="330"/>
      <c r="K4281" s="23"/>
    </row>
    <row r="4282" spans="1:11" ht="12.75" x14ac:dyDescent="0.2">
      <c r="A4282" s="23"/>
      <c r="B4282" s="328"/>
      <c r="C4282" s="327"/>
      <c r="D4282" s="328"/>
      <c r="E4282" s="23"/>
      <c r="F4282" s="329"/>
      <c r="G4282" s="23"/>
      <c r="H4282" s="23"/>
      <c r="I4282" s="330"/>
      <c r="J4282" s="330"/>
      <c r="K4282" s="23"/>
    </row>
    <row r="4283" spans="1:11" ht="12.75" x14ac:dyDescent="0.2">
      <c r="A4283" s="23"/>
      <c r="B4283" s="328"/>
      <c r="C4283" s="327"/>
      <c r="D4283" s="328"/>
      <c r="E4283" s="23"/>
      <c r="F4283" s="329"/>
      <c r="G4283" s="23"/>
      <c r="H4283" s="23"/>
      <c r="I4283" s="330"/>
      <c r="J4283" s="330"/>
      <c r="K4283" s="23"/>
    </row>
    <row r="4284" spans="1:11" ht="12.75" x14ac:dyDescent="0.2">
      <c r="A4284" s="23"/>
      <c r="B4284" s="328"/>
      <c r="C4284" s="327"/>
      <c r="D4284" s="328"/>
      <c r="E4284" s="23"/>
      <c r="F4284" s="329"/>
      <c r="G4284" s="23"/>
      <c r="H4284" s="23"/>
      <c r="I4284" s="330"/>
      <c r="J4284" s="330"/>
      <c r="K4284" s="23"/>
    </row>
    <row r="4285" spans="1:11" ht="12.75" x14ac:dyDescent="0.2">
      <c r="A4285" s="23"/>
      <c r="B4285" s="328"/>
      <c r="C4285" s="327"/>
      <c r="D4285" s="328"/>
      <c r="E4285" s="23"/>
      <c r="F4285" s="329"/>
      <c r="G4285" s="23"/>
      <c r="H4285" s="23"/>
      <c r="I4285" s="330"/>
      <c r="J4285" s="330"/>
      <c r="K4285" s="23"/>
    </row>
    <row r="4286" spans="1:11" ht="12.75" x14ac:dyDescent="0.2">
      <c r="A4286" s="23"/>
      <c r="B4286" s="328"/>
      <c r="C4286" s="327"/>
      <c r="D4286" s="328"/>
      <c r="E4286" s="23"/>
      <c r="F4286" s="329"/>
      <c r="G4286" s="23"/>
      <c r="H4286" s="23"/>
      <c r="I4286" s="330"/>
      <c r="J4286" s="330"/>
      <c r="K4286" s="23"/>
    </row>
    <row r="4287" spans="1:11" ht="12.75" x14ac:dyDescent="0.2">
      <c r="A4287" s="23"/>
      <c r="B4287" s="328"/>
      <c r="C4287" s="327"/>
      <c r="D4287" s="328"/>
      <c r="E4287" s="23"/>
      <c r="F4287" s="329"/>
      <c r="G4287" s="23"/>
      <c r="H4287" s="23"/>
      <c r="I4287" s="330"/>
      <c r="J4287" s="330"/>
      <c r="K4287" s="23"/>
    </row>
    <row r="4288" spans="1:11" ht="12.75" x14ac:dyDescent="0.2">
      <c r="A4288" s="23"/>
      <c r="B4288" s="328"/>
      <c r="C4288" s="327"/>
      <c r="D4288" s="328"/>
      <c r="E4288" s="23"/>
      <c r="F4288" s="329"/>
      <c r="G4288" s="23"/>
      <c r="H4288" s="23"/>
      <c r="I4288" s="330"/>
      <c r="J4288" s="330"/>
      <c r="K4288" s="23"/>
    </row>
    <row r="4289" spans="1:11" ht="12.75" x14ac:dyDescent="0.2">
      <c r="A4289" s="23"/>
      <c r="B4289" s="328"/>
      <c r="C4289" s="327"/>
      <c r="D4289" s="328"/>
      <c r="E4289" s="23"/>
      <c r="F4289" s="329"/>
      <c r="G4289" s="23"/>
      <c r="H4289" s="23"/>
      <c r="I4289" s="330"/>
      <c r="J4289" s="330"/>
      <c r="K4289" s="23"/>
    </row>
    <row r="4290" spans="1:11" ht="12.75" x14ac:dyDescent="0.2">
      <c r="A4290" s="23"/>
      <c r="B4290" s="328"/>
      <c r="C4290" s="327"/>
      <c r="D4290" s="328"/>
      <c r="E4290" s="23"/>
      <c r="F4290" s="329"/>
      <c r="G4290" s="23"/>
      <c r="H4290" s="23"/>
      <c r="I4290" s="330"/>
      <c r="J4290" s="330"/>
      <c r="K4290" s="23"/>
    </row>
    <row r="4291" spans="1:11" ht="12.75" x14ac:dyDescent="0.2">
      <c r="A4291" s="23"/>
      <c r="B4291" s="328"/>
      <c r="C4291" s="327"/>
      <c r="D4291" s="328"/>
      <c r="E4291" s="23"/>
      <c r="F4291" s="329"/>
      <c r="G4291" s="23"/>
      <c r="H4291" s="23"/>
      <c r="I4291" s="330"/>
      <c r="J4291" s="330"/>
      <c r="K4291" s="23"/>
    </row>
    <row r="4292" spans="1:11" ht="12.75" x14ac:dyDescent="0.2">
      <c r="A4292" s="23"/>
      <c r="B4292" s="328"/>
      <c r="C4292" s="327"/>
      <c r="D4292" s="328"/>
      <c r="E4292" s="23"/>
      <c r="F4292" s="329"/>
      <c r="G4292" s="23"/>
      <c r="H4292" s="23"/>
      <c r="I4292" s="330"/>
      <c r="J4292" s="330"/>
      <c r="K4292" s="23"/>
    </row>
    <row r="4293" spans="1:11" ht="12.75" x14ac:dyDescent="0.2">
      <c r="A4293" s="23"/>
      <c r="B4293" s="328"/>
      <c r="C4293" s="327"/>
      <c r="D4293" s="328"/>
      <c r="E4293" s="23"/>
      <c r="F4293" s="329"/>
      <c r="G4293" s="23"/>
      <c r="H4293" s="23"/>
      <c r="I4293" s="330"/>
      <c r="J4293" s="330"/>
      <c r="K4293" s="23"/>
    </row>
    <row r="4294" spans="1:11" ht="12.75" x14ac:dyDescent="0.2">
      <c r="A4294" s="23"/>
      <c r="B4294" s="328"/>
      <c r="C4294" s="327"/>
      <c r="D4294" s="328"/>
      <c r="E4294" s="23"/>
      <c r="F4294" s="329"/>
      <c r="G4294" s="23"/>
      <c r="H4294" s="23"/>
      <c r="I4294" s="330"/>
      <c r="J4294" s="330"/>
      <c r="K4294" s="23"/>
    </row>
    <row r="4295" spans="1:11" ht="12.75" x14ac:dyDescent="0.2">
      <c r="A4295" s="23"/>
      <c r="B4295" s="328"/>
      <c r="C4295" s="327"/>
      <c r="D4295" s="328"/>
      <c r="E4295" s="23"/>
      <c r="F4295" s="329"/>
      <c r="G4295" s="23"/>
      <c r="H4295" s="23"/>
      <c r="I4295" s="330"/>
      <c r="J4295" s="330"/>
      <c r="K4295" s="23"/>
    </row>
    <row r="4296" spans="1:11" ht="12.75" x14ac:dyDescent="0.2">
      <c r="A4296" s="23"/>
      <c r="B4296" s="328"/>
      <c r="C4296" s="327"/>
      <c r="D4296" s="328"/>
      <c r="E4296" s="23"/>
      <c r="F4296" s="329"/>
      <c r="G4296" s="23"/>
      <c r="H4296" s="23"/>
      <c r="I4296" s="330"/>
      <c r="J4296" s="330"/>
      <c r="K4296" s="23"/>
    </row>
    <row r="4297" spans="1:11" ht="12.75" x14ac:dyDescent="0.2">
      <c r="A4297" s="23"/>
      <c r="B4297" s="328"/>
      <c r="C4297" s="327"/>
      <c r="D4297" s="328"/>
      <c r="E4297" s="23"/>
      <c r="F4297" s="329"/>
      <c r="G4297" s="23"/>
      <c r="H4297" s="23"/>
      <c r="I4297" s="330"/>
      <c r="J4297" s="330"/>
      <c r="K4297" s="23"/>
    </row>
    <row r="4298" spans="1:11" ht="12.75" x14ac:dyDescent="0.2">
      <c r="A4298" s="23"/>
      <c r="B4298" s="328"/>
      <c r="C4298" s="327"/>
      <c r="D4298" s="328"/>
      <c r="E4298" s="23"/>
      <c r="F4298" s="329"/>
      <c r="G4298" s="23"/>
      <c r="H4298" s="23"/>
      <c r="I4298" s="330"/>
      <c r="J4298" s="330"/>
      <c r="K4298" s="23"/>
    </row>
    <row r="4299" spans="1:11" ht="12.75" x14ac:dyDescent="0.2">
      <c r="A4299" s="23"/>
      <c r="B4299" s="328"/>
      <c r="C4299" s="327"/>
      <c r="D4299" s="328"/>
      <c r="E4299" s="23"/>
      <c r="F4299" s="329"/>
      <c r="G4299" s="23"/>
      <c r="H4299" s="23"/>
      <c r="I4299" s="330"/>
      <c r="J4299" s="330"/>
      <c r="K4299" s="23"/>
    </row>
    <row r="4300" spans="1:11" ht="12.75" x14ac:dyDescent="0.2">
      <c r="A4300" s="23"/>
      <c r="B4300" s="328"/>
      <c r="C4300" s="327"/>
      <c r="D4300" s="328"/>
      <c r="E4300" s="23"/>
      <c r="F4300" s="329"/>
      <c r="G4300" s="23"/>
      <c r="H4300" s="23"/>
      <c r="I4300" s="330"/>
      <c r="J4300" s="330"/>
      <c r="K4300" s="23"/>
    </row>
    <row r="4301" spans="1:11" ht="12.75" x14ac:dyDescent="0.2">
      <c r="A4301" s="23"/>
      <c r="B4301" s="328"/>
      <c r="C4301" s="327"/>
      <c r="D4301" s="328"/>
      <c r="E4301" s="23"/>
      <c r="F4301" s="329"/>
      <c r="G4301" s="23"/>
      <c r="H4301" s="23"/>
      <c r="I4301" s="330"/>
      <c r="J4301" s="330"/>
      <c r="K4301" s="23"/>
    </row>
    <row r="4302" spans="1:11" ht="12.75" x14ac:dyDescent="0.2">
      <c r="A4302" s="23"/>
      <c r="B4302" s="328"/>
      <c r="C4302" s="327"/>
      <c r="D4302" s="328"/>
      <c r="E4302" s="23"/>
      <c r="F4302" s="329"/>
      <c r="G4302" s="23"/>
      <c r="H4302" s="23"/>
      <c r="I4302" s="330"/>
      <c r="J4302" s="330"/>
      <c r="K4302" s="23"/>
    </row>
    <row r="4303" spans="1:11" ht="12.75" x14ac:dyDescent="0.2">
      <c r="A4303" s="23"/>
      <c r="B4303" s="328"/>
      <c r="C4303" s="327"/>
      <c r="D4303" s="328"/>
      <c r="E4303" s="23"/>
      <c r="F4303" s="329"/>
      <c r="G4303" s="23"/>
      <c r="H4303" s="23"/>
      <c r="I4303" s="330"/>
      <c r="J4303" s="330"/>
      <c r="K4303" s="23"/>
    </row>
    <row r="4304" spans="1:11" ht="12.75" x14ac:dyDescent="0.2">
      <c r="A4304" s="23"/>
      <c r="B4304" s="328"/>
      <c r="C4304" s="327"/>
      <c r="D4304" s="328"/>
      <c r="E4304" s="23"/>
      <c r="F4304" s="329"/>
      <c r="G4304" s="23"/>
      <c r="H4304" s="23"/>
      <c r="I4304" s="330"/>
      <c r="J4304" s="330"/>
      <c r="K4304" s="23"/>
    </row>
    <row r="4305" spans="1:11" ht="12.75" x14ac:dyDescent="0.2">
      <c r="A4305" s="23"/>
      <c r="B4305" s="328"/>
      <c r="C4305" s="327"/>
      <c r="D4305" s="328"/>
      <c r="E4305" s="23"/>
      <c r="F4305" s="329"/>
      <c r="G4305" s="23"/>
      <c r="H4305" s="23"/>
      <c r="I4305" s="330"/>
      <c r="J4305" s="330"/>
      <c r="K4305" s="23"/>
    </row>
    <row r="4306" spans="1:11" ht="12.75" x14ac:dyDescent="0.2">
      <c r="A4306" s="23"/>
      <c r="B4306" s="328"/>
      <c r="C4306" s="327"/>
      <c r="D4306" s="328"/>
      <c r="E4306" s="23"/>
      <c r="F4306" s="329"/>
      <c r="G4306" s="23"/>
      <c r="H4306" s="23"/>
      <c r="I4306" s="330"/>
      <c r="J4306" s="330"/>
      <c r="K4306" s="23"/>
    </row>
    <row r="4307" spans="1:11" ht="12.75" x14ac:dyDescent="0.2">
      <c r="A4307" s="23"/>
      <c r="B4307" s="328"/>
      <c r="C4307" s="327"/>
      <c r="D4307" s="328"/>
      <c r="E4307" s="23"/>
      <c r="F4307" s="329"/>
      <c r="G4307" s="23"/>
      <c r="H4307" s="23"/>
      <c r="I4307" s="330"/>
      <c r="J4307" s="330"/>
      <c r="K4307" s="23"/>
    </row>
    <row r="4308" spans="1:11" ht="12.75" x14ac:dyDescent="0.2">
      <c r="A4308" s="23"/>
      <c r="B4308" s="328"/>
      <c r="C4308" s="327"/>
      <c r="D4308" s="328"/>
      <c r="E4308" s="23"/>
      <c r="F4308" s="329"/>
      <c r="G4308" s="23"/>
      <c r="H4308" s="23"/>
      <c r="I4308" s="330"/>
      <c r="J4308" s="330"/>
      <c r="K4308" s="23"/>
    </row>
    <row r="4309" spans="1:11" ht="12.75" x14ac:dyDescent="0.2">
      <c r="A4309" s="23"/>
      <c r="B4309" s="328"/>
      <c r="C4309" s="327"/>
      <c r="D4309" s="328"/>
      <c r="E4309" s="23"/>
      <c r="F4309" s="329"/>
      <c r="G4309" s="23"/>
      <c r="H4309" s="23"/>
      <c r="I4309" s="330"/>
      <c r="J4309" s="330"/>
      <c r="K4309" s="23"/>
    </row>
    <row r="4310" spans="1:11" ht="12.75" x14ac:dyDescent="0.2">
      <c r="A4310" s="23"/>
      <c r="B4310" s="328"/>
      <c r="C4310" s="327"/>
      <c r="D4310" s="328"/>
      <c r="E4310" s="23"/>
      <c r="F4310" s="329"/>
      <c r="G4310" s="23"/>
      <c r="H4310" s="23"/>
      <c r="I4310" s="330"/>
      <c r="J4310" s="330"/>
      <c r="K4310" s="23"/>
    </row>
    <row r="4311" spans="1:11" ht="12.75" x14ac:dyDescent="0.2">
      <c r="A4311" s="23"/>
      <c r="B4311" s="328"/>
      <c r="C4311" s="327"/>
      <c r="D4311" s="328"/>
      <c r="E4311" s="23"/>
      <c r="F4311" s="329"/>
      <c r="G4311" s="23"/>
      <c r="H4311" s="23"/>
      <c r="I4311" s="330"/>
      <c r="J4311" s="330"/>
      <c r="K4311" s="23"/>
    </row>
    <row r="4312" spans="1:11" ht="12.75" x14ac:dyDescent="0.2">
      <c r="A4312" s="23"/>
      <c r="B4312" s="328"/>
      <c r="C4312" s="327"/>
      <c r="D4312" s="328"/>
      <c r="E4312" s="23"/>
      <c r="F4312" s="329"/>
      <c r="G4312" s="23"/>
      <c r="H4312" s="23"/>
      <c r="I4312" s="330"/>
      <c r="J4312" s="330"/>
      <c r="K4312" s="23"/>
    </row>
    <row r="4313" spans="1:11" ht="12.75" x14ac:dyDescent="0.2">
      <c r="A4313" s="23"/>
      <c r="B4313" s="328"/>
      <c r="C4313" s="327"/>
      <c r="D4313" s="328"/>
      <c r="E4313" s="23"/>
      <c r="F4313" s="329"/>
      <c r="G4313" s="23"/>
      <c r="H4313" s="23"/>
      <c r="I4313" s="330"/>
      <c r="J4313" s="330"/>
      <c r="K4313" s="23"/>
    </row>
    <row r="4314" spans="1:11" ht="12.75" x14ac:dyDescent="0.2">
      <c r="A4314" s="23"/>
      <c r="B4314" s="328"/>
      <c r="C4314" s="327"/>
      <c r="D4314" s="328"/>
      <c r="E4314" s="23"/>
      <c r="F4314" s="329"/>
      <c r="G4314" s="23"/>
      <c r="H4314" s="23"/>
      <c r="I4314" s="330"/>
      <c r="J4314" s="330"/>
      <c r="K4314" s="23"/>
    </row>
    <row r="4315" spans="1:11" ht="12.75" x14ac:dyDescent="0.2">
      <c r="A4315" s="23"/>
      <c r="B4315" s="328"/>
      <c r="C4315" s="327"/>
      <c r="D4315" s="328"/>
      <c r="E4315" s="23"/>
      <c r="F4315" s="329"/>
      <c r="G4315" s="23"/>
      <c r="H4315" s="23"/>
      <c r="I4315" s="330"/>
      <c r="J4315" s="330"/>
      <c r="K4315" s="23"/>
    </row>
    <row r="4316" spans="1:11" ht="12.75" x14ac:dyDescent="0.2">
      <c r="A4316" s="23"/>
      <c r="B4316" s="328"/>
      <c r="C4316" s="327"/>
      <c r="D4316" s="328"/>
      <c r="E4316" s="23"/>
      <c r="F4316" s="329"/>
      <c r="G4316" s="23"/>
      <c r="H4316" s="23"/>
      <c r="I4316" s="330"/>
      <c r="J4316" s="330"/>
      <c r="K4316" s="23"/>
    </row>
    <row r="4317" spans="1:11" ht="12.75" x14ac:dyDescent="0.2">
      <c r="A4317" s="23"/>
      <c r="B4317" s="328"/>
      <c r="C4317" s="327"/>
      <c r="D4317" s="328"/>
      <c r="E4317" s="23"/>
      <c r="F4317" s="329"/>
      <c r="G4317" s="23"/>
      <c r="H4317" s="23"/>
      <c r="I4317" s="330"/>
      <c r="J4317" s="330"/>
      <c r="K4317" s="23"/>
    </row>
    <row r="4318" spans="1:11" ht="12.75" x14ac:dyDescent="0.2">
      <c r="A4318" s="23"/>
      <c r="B4318" s="328"/>
      <c r="C4318" s="327"/>
      <c r="D4318" s="328"/>
      <c r="E4318" s="23"/>
      <c r="F4318" s="329"/>
      <c r="G4318" s="23"/>
      <c r="H4318" s="23"/>
      <c r="I4318" s="330"/>
      <c r="J4318" s="330"/>
      <c r="K4318" s="23"/>
    </row>
    <row r="4319" spans="1:11" ht="12.75" x14ac:dyDescent="0.2">
      <c r="A4319" s="23"/>
      <c r="B4319" s="328"/>
      <c r="C4319" s="327"/>
      <c r="D4319" s="328"/>
      <c r="E4319" s="23"/>
      <c r="F4319" s="329"/>
      <c r="G4319" s="23"/>
      <c r="H4319" s="23"/>
      <c r="I4319" s="330"/>
      <c r="J4319" s="330"/>
      <c r="K4319" s="23"/>
    </row>
    <row r="4320" spans="1:11" ht="12.75" x14ac:dyDescent="0.2">
      <c r="A4320" s="23"/>
      <c r="B4320" s="328"/>
      <c r="C4320" s="327"/>
      <c r="D4320" s="328"/>
      <c r="E4320" s="23"/>
      <c r="F4320" s="329"/>
      <c r="G4320" s="23"/>
      <c r="H4320" s="23"/>
      <c r="I4320" s="330"/>
      <c r="J4320" s="330"/>
      <c r="K4320" s="23"/>
    </row>
    <row r="4321" spans="1:11" ht="12.75" x14ac:dyDescent="0.2">
      <c r="A4321" s="23"/>
      <c r="B4321" s="328"/>
      <c r="C4321" s="327"/>
      <c r="D4321" s="328"/>
      <c r="E4321" s="23"/>
      <c r="F4321" s="329"/>
      <c r="G4321" s="23"/>
      <c r="H4321" s="23"/>
      <c r="I4321" s="330"/>
      <c r="J4321" s="330"/>
      <c r="K4321" s="23"/>
    </row>
    <row r="4322" spans="1:11" ht="12.75" x14ac:dyDescent="0.2">
      <c r="A4322" s="23"/>
      <c r="B4322" s="328"/>
      <c r="C4322" s="327"/>
      <c r="D4322" s="328"/>
      <c r="E4322" s="23"/>
      <c r="F4322" s="329"/>
      <c r="G4322" s="23"/>
      <c r="H4322" s="23"/>
      <c r="I4322" s="330"/>
      <c r="J4322" s="330"/>
      <c r="K4322" s="23"/>
    </row>
    <row r="4323" spans="1:11" ht="12.75" x14ac:dyDescent="0.2">
      <c r="A4323" s="23"/>
      <c r="B4323" s="328"/>
      <c r="C4323" s="327"/>
      <c r="D4323" s="328"/>
      <c r="E4323" s="23"/>
      <c r="F4323" s="329"/>
      <c r="G4323" s="23"/>
      <c r="H4323" s="23"/>
      <c r="I4323" s="330"/>
      <c r="J4323" s="330"/>
      <c r="K4323" s="23"/>
    </row>
    <row r="4324" spans="1:11" ht="12.75" x14ac:dyDescent="0.2">
      <c r="A4324" s="23"/>
      <c r="B4324" s="328"/>
      <c r="C4324" s="327"/>
      <c r="D4324" s="328"/>
      <c r="E4324" s="23"/>
      <c r="F4324" s="329"/>
      <c r="G4324" s="23"/>
      <c r="H4324" s="23"/>
      <c r="I4324" s="330"/>
      <c r="J4324" s="330"/>
      <c r="K4324" s="23"/>
    </row>
    <row r="4325" spans="1:11" ht="12.75" x14ac:dyDescent="0.2">
      <c r="A4325" s="23"/>
      <c r="B4325" s="328"/>
      <c r="C4325" s="327"/>
      <c r="D4325" s="328"/>
      <c r="E4325" s="23"/>
      <c r="F4325" s="329"/>
      <c r="G4325" s="23"/>
      <c r="H4325" s="23"/>
      <c r="I4325" s="330"/>
      <c r="J4325" s="330"/>
      <c r="K4325" s="23"/>
    </row>
    <row r="4326" spans="1:11" ht="12.75" x14ac:dyDescent="0.2">
      <c r="A4326" s="23"/>
      <c r="B4326" s="328"/>
      <c r="C4326" s="327"/>
      <c r="D4326" s="328"/>
      <c r="E4326" s="23"/>
      <c r="F4326" s="329"/>
      <c r="G4326" s="23"/>
      <c r="H4326" s="23"/>
      <c r="I4326" s="330"/>
      <c r="J4326" s="330"/>
      <c r="K4326" s="23"/>
    </row>
    <row r="4327" spans="1:11" ht="12.75" x14ac:dyDescent="0.2">
      <c r="A4327" s="23"/>
      <c r="B4327" s="328"/>
      <c r="C4327" s="327"/>
      <c r="D4327" s="328"/>
      <c r="E4327" s="23"/>
      <c r="F4327" s="329"/>
      <c r="G4327" s="23"/>
      <c r="H4327" s="23"/>
      <c r="I4327" s="330"/>
      <c r="J4327" s="330"/>
      <c r="K4327" s="23"/>
    </row>
    <row r="4328" spans="1:11" ht="12.75" x14ac:dyDescent="0.2">
      <c r="A4328" s="23"/>
      <c r="B4328" s="328"/>
      <c r="C4328" s="327"/>
      <c r="D4328" s="328"/>
      <c r="E4328" s="23"/>
      <c r="F4328" s="329"/>
      <c r="G4328" s="23"/>
      <c r="H4328" s="23"/>
      <c r="I4328" s="330"/>
      <c r="J4328" s="330"/>
      <c r="K4328" s="23"/>
    </row>
    <row r="4329" spans="1:11" ht="12.75" x14ac:dyDescent="0.2">
      <c r="A4329" s="23"/>
      <c r="B4329" s="328"/>
      <c r="C4329" s="327"/>
      <c r="D4329" s="328"/>
      <c r="E4329" s="23"/>
      <c r="F4329" s="329"/>
      <c r="G4329" s="23"/>
      <c r="H4329" s="23"/>
      <c r="I4329" s="330"/>
      <c r="J4329" s="330"/>
      <c r="K4329" s="23"/>
    </row>
    <row r="4330" spans="1:11" ht="12.75" x14ac:dyDescent="0.2">
      <c r="A4330" s="23"/>
      <c r="B4330" s="328"/>
      <c r="C4330" s="327"/>
      <c r="D4330" s="328"/>
      <c r="E4330" s="23"/>
      <c r="F4330" s="329"/>
      <c r="G4330" s="23"/>
      <c r="H4330" s="23"/>
      <c r="I4330" s="330"/>
      <c r="J4330" s="330"/>
      <c r="K4330" s="23"/>
    </row>
    <row r="4331" spans="1:11" ht="12.75" x14ac:dyDescent="0.2">
      <c r="A4331" s="23"/>
      <c r="B4331" s="328"/>
      <c r="C4331" s="327"/>
      <c r="D4331" s="328"/>
      <c r="E4331" s="23"/>
      <c r="F4331" s="329"/>
      <c r="G4331" s="23"/>
      <c r="H4331" s="23"/>
      <c r="I4331" s="330"/>
      <c r="J4331" s="330"/>
      <c r="K4331" s="23"/>
    </row>
    <row r="4332" spans="1:11" ht="12.75" x14ac:dyDescent="0.2">
      <c r="A4332" s="23"/>
      <c r="B4332" s="328"/>
      <c r="C4332" s="327"/>
      <c r="D4332" s="328"/>
      <c r="E4332" s="23"/>
      <c r="F4332" s="329"/>
      <c r="G4332" s="23"/>
      <c r="H4332" s="23"/>
      <c r="I4332" s="330"/>
      <c r="J4332" s="330"/>
      <c r="K4332" s="23"/>
    </row>
    <row r="4333" spans="1:11" ht="12.75" x14ac:dyDescent="0.2">
      <c r="A4333" s="23"/>
      <c r="B4333" s="328"/>
      <c r="C4333" s="327"/>
      <c r="D4333" s="328"/>
      <c r="E4333" s="23"/>
      <c r="F4333" s="329"/>
      <c r="G4333" s="23"/>
      <c r="H4333" s="23"/>
      <c r="I4333" s="330"/>
      <c r="J4333" s="330"/>
      <c r="K4333" s="23"/>
    </row>
    <row r="4334" spans="1:11" ht="12.75" x14ac:dyDescent="0.2">
      <c r="A4334" s="23"/>
      <c r="B4334" s="328"/>
      <c r="C4334" s="327"/>
      <c r="D4334" s="328"/>
      <c r="E4334" s="23"/>
      <c r="F4334" s="329"/>
      <c r="G4334" s="23"/>
      <c r="H4334" s="23"/>
      <c r="I4334" s="330"/>
      <c r="J4334" s="330"/>
      <c r="K4334" s="23"/>
    </row>
    <row r="4335" spans="1:11" ht="12.75" x14ac:dyDescent="0.2">
      <c r="A4335" s="23"/>
      <c r="B4335" s="328"/>
      <c r="C4335" s="327"/>
      <c r="D4335" s="328"/>
      <c r="E4335" s="23"/>
      <c r="F4335" s="329"/>
      <c r="G4335" s="23"/>
      <c r="H4335" s="23"/>
      <c r="I4335" s="330"/>
      <c r="J4335" s="330"/>
      <c r="K4335" s="23"/>
    </row>
    <row r="4336" spans="1:11" ht="12.75" x14ac:dyDescent="0.2">
      <c r="A4336" s="23"/>
      <c r="B4336" s="328"/>
      <c r="C4336" s="327"/>
      <c r="D4336" s="328"/>
      <c r="E4336" s="23"/>
      <c r="F4336" s="329"/>
      <c r="G4336" s="23"/>
      <c r="H4336" s="23"/>
      <c r="I4336" s="330"/>
      <c r="J4336" s="330"/>
      <c r="K4336" s="23"/>
    </row>
    <row r="4337" spans="1:11" ht="12.75" x14ac:dyDescent="0.2">
      <c r="A4337" s="23"/>
      <c r="B4337" s="328"/>
      <c r="C4337" s="327"/>
      <c r="D4337" s="328"/>
      <c r="E4337" s="23"/>
      <c r="F4337" s="329"/>
      <c r="G4337" s="23"/>
      <c r="H4337" s="23"/>
      <c r="I4337" s="330"/>
      <c r="J4337" s="330"/>
      <c r="K4337" s="23"/>
    </row>
    <row r="4338" spans="1:11" ht="12.75" x14ac:dyDescent="0.2">
      <c r="A4338" s="23"/>
      <c r="B4338" s="328"/>
      <c r="C4338" s="327"/>
      <c r="D4338" s="328"/>
      <c r="E4338" s="23"/>
      <c r="F4338" s="329"/>
      <c r="G4338" s="23"/>
      <c r="H4338" s="23"/>
      <c r="I4338" s="330"/>
      <c r="J4338" s="330"/>
      <c r="K4338" s="23"/>
    </row>
    <row r="4339" spans="1:11" ht="12.75" x14ac:dyDescent="0.2">
      <c r="A4339" s="23"/>
      <c r="B4339" s="328"/>
      <c r="C4339" s="327"/>
      <c r="D4339" s="328"/>
      <c r="E4339" s="23"/>
      <c r="F4339" s="329"/>
      <c r="G4339" s="23"/>
      <c r="H4339" s="23"/>
      <c r="I4339" s="330"/>
      <c r="J4339" s="330"/>
      <c r="K4339" s="23"/>
    </row>
    <row r="4340" spans="1:11" ht="12.75" x14ac:dyDescent="0.2">
      <c r="A4340" s="23"/>
      <c r="B4340" s="328"/>
      <c r="C4340" s="327"/>
      <c r="D4340" s="328"/>
      <c r="E4340" s="23"/>
      <c r="F4340" s="329"/>
      <c r="G4340" s="23"/>
      <c r="H4340" s="23"/>
      <c r="I4340" s="330"/>
      <c r="J4340" s="330"/>
      <c r="K4340" s="23"/>
    </row>
    <row r="4341" spans="1:11" ht="12.75" x14ac:dyDescent="0.2">
      <c r="A4341" s="23"/>
      <c r="B4341" s="328"/>
      <c r="C4341" s="327"/>
      <c r="D4341" s="328"/>
      <c r="E4341" s="23"/>
      <c r="F4341" s="329"/>
      <c r="G4341" s="23"/>
      <c r="H4341" s="23"/>
      <c r="I4341" s="330"/>
      <c r="J4341" s="330"/>
      <c r="K4341" s="23"/>
    </row>
    <row r="4342" spans="1:11" ht="12.75" x14ac:dyDescent="0.2">
      <c r="A4342" s="23"/>
      <c r="B4342" s="328"/>
      <c r="C4342" s="327"/>
      <c r="D4342" s="328"/>
      <c r="E4342" s="23"/>
      <c r="F4342" s="329"/>
      <c r="G4342" s="23"/>
      <c r="H4342" s="23"/>
      <c r="I4342" s="330"/>
      <c r="J4342" s="330"/>
      <c r="K4342" s="23"/>
    </row>
    <row r="4343" spans="1:11" ht="12.75" x14ac:dyDescent="0.2">
      <c r="A4343" s="23"/>
      <c r="B4343" s="328"/>
      <c r="C4343" s="327"/>
      <c r="D4343" s="328"/>
      <c r="E4343" s="23"/>
      <c r="F4343" s="329"/>
      <c r="G4343" s="23"/>
      <c r="H4343" s="23"/>
      <c r="I4343" s="330"/>
      <c r="J4343" s="330"/>
      <c r="K4343" s="23"/>
    </row>
    <row r="4344" spans="1:11" ht="12.75" x14ac:dyDescent="0.2">
      <c r="A4344" s="23"/>
      <c r="B4344" s="328"/>
      <c r="C4344" s="327"/>
      <c r="D4344" s="328"/>
      <c r="E4344" s="23"/>
      <c r="F4344" s="329"/>
      <c r="G4344" s="23"/>
      <c r="H4344" s="23"/>
      <c r="I4344" s="330"/>
      <c r="J4344" s="330"/>
      <c r="K4344" s="23"/>
    </row>
    <row r="4345" spans="1:11" ht="12.75" x14ac:dyDescent="0.2">
      <c r="A4345" s="23"/>
      <c r="B4345" s="328"/>
      <c r="C4345" s="327"/>
      <c r="D4345" s="328"/>
      <c r="E4345" s="23"/>
      <c r="F4345" s="329"/>
      <c r="G4345" s="23"/>
      <c r="H4345" s="23"/>
      <c r="I4345" s="330"/>
      <c r="J4345" s="330"/>
      <c r="K4345" s="23"/>
    </row>
    <row r="4346" spans="1:11" ht="12.75" x14ac:dyDescent="0.2">
      <c r="A4346" s="23"/>
      <c r="B4346" s="328"/>
      <c r="C4346" s="327"/>
      <c r="D4346" s="328"/>
      <c r="E4346" s="23"/>
      <c r="F4346" s="329"/>
      <c r="G4346" s="23"/>
      <c r="H4346" s="23"/>
      <c r="I4346" s="330"/>
      <c r="J4346" s="330"/>
      <c r="K4346" s="23"/>
    </row>
    <row r="4347" spans="1:11" ht="12.75" x14ac:dyDescent="0.2">
      <c r="A4347" s="23"/>
      <c r="B4347" s="328"/>
      <c r="C4347" s="327"/>
      <c r="D4347" s="328"/>
      <c r="E4347" s="23"/>
      <c r="F4347" s="329"/>
      <c r="G4347" s="23"/>
      <c r="H4347" s="23"/>
      <c r="I4347" s="330"/>
      <c r="J4347" s="330"/>
      <c r="K4347" s="23"/>
    </row>
    <row r="4348" spans="1:11" ht="12.75" x14ac:dyDescent="0.2">
      <c r="A4348" s="23"/>
      <c r="B4348" s="328"/>
      <c r="C4348" s="327"/>
      <c r="D4348" s="328"/>
      <c r="E4348" s="23"/>
      <c r="F4348" s="329"/>
      <c r="G4348" s="23"/>
      <c r="H4348" s="23"/>
      <c r="I4348" s="330"/>
      <c r="J4348" s="330"/>
      <c r="K4348" s="23"/>
    </row>
    <row r="4349" spans="1:11" ht="12.75" x14ac:dyDescent="0.2">
      <c r="A4349" s="23"/>
      <c r="B4349" s="328"/>
      <c r="C4349" s="327"/>
      <c r="D4349" s="328"/>
      <c r="E4349" s="23"/>
      <c r="F4349" s="329"/>
      <c r="G4349" s="23"/>
      <c r="H4349" s="23"/>
      <c r="I4349" s="330"/>
      <c r="J4349" s="330"/>
      <c r="K4349" s="23"/>
    </row>
    <row r="4350" spans="1:11" ht="12.75" x14ac:dyDescent="0.2">
      <c r="A4350" s="23"/>
      <c r="B4350" s="328"/>
      <c r="C4350" s="327"/>
      <c r="D4350" s="328"/>
      <c r="E4350" s="23"/>
      <c r="F4350" s="329"/>
      <c r="G4350" s="23"/>
      <c r="H4350" s="23"/>
      <c r="I4350" s="330"/>
      <c r="J4350" s="330"/>
      <c r="K4350" s="23"/>
    </row>
    <row r="4351" spans="1:11" ht="12.75" x14ac:dyDescent="0.2">
      <c r="A4351" s="23"/>
      <c r="B4351" s="328"/>
      <c r="C4351" s="327"/>
      <c r="D4351" s="328"/>
      <c r="E4351" s="23"/>
      <c r="F4351" s="329"/>
      <c r="G4351" s="23"/>
      <c r="H4351" s="23"/>
      <c r="I4351" s="330"/>
      <c r="J4351" s="330"/>
      <c r="K4351" s="23"/>
    </row>
    <row r="4352" spans="1:11" ht="12.75" x14ac:dyDescent="0.2">
      <c r="A4352" s="23"/>
      <c r="B4352" s="328"/>
      <c r="C4352" s="327"/>
      <c r="D4352" s="328"/>
      <c r="E4352" s="23"/>
      <c r="F4352" s="329"/>
      <c r="G4352" s="23"/>
      <c r="H4352" s="23"/>
      <c r="I4352" s="330"/>
      <c r="J4352" s="330"/>
      <c r="K4352" s="23"/>
    </row>
    <row r="4353" spans="1:11" ht="12.75" x14ac:dyDescent="0.2">
      <c r="A4353" s="23"/>
      <c r="B4353" s="328"/>
      <c r="C4353" s="327"/>
      <c r="D4353" s="328"/>
      <c r="E4353" s="23"/>
      <c r="F4353" s="329"/>
      <c r="G4353" s="23"/>
      <c r="H4353" s="23"/>
      <c r="I4353" s="330"/>
      <c r="J4353" s="330"/>
      <c r="K4353" s="23"/>
    </row>
    <row r="4354" spans="1:11" ht="12.75" x14ac:dyDescent="0.2">
      <c r="A4354" s="23"/>
      <c r="B4354" s="328"/>
      <c r="C4354" s="327"/>
      <c r="D4354" s="328"/>
      <c r="E4354" s="23"/>
      <c r="F4354" s="329"/>
      <c r="G4354" s="23"/>
      <c r="H4354" s="23"/>
      <c r="I4354" s="330"/>
      <c r="J4354" s="330"/>
      <c r="K4354" s="23"/>
    </row>
    <row r="4355" spans="1:11" ht="12.75" x14ac:dyDescent="0.2">
      <c r="A4355" s="23"/>
      <c r="B4355" s="328"/>
      <c r="C4355" s="327"/>
      <c r="D4355" s="328"/>
      <c r="E4355" s="23"/>
      <c r="F4355" s="329"/>
      <c r="G4355" s="23"/>
      <c r="H4355" s="23"/>
      <c r="I4355" s="330"/>
      <c r="J4355" s="330"/>
      <c r="K4355" s="23"/>
    </row>
    <row r="4356" spans="1:11" ht="12.75" x14ac:dyDescent="0.2">
      <c r="A4356" s="23"/>
      <c r="B4356" s="328"/>
      <c r="C4356" s="327"/>
      <c r="D4356" s="328"/>
      <c r="E4356" s="23"/>
      <c r="F4356" s="329"/>
      <c r="G4356" s="23"/>
      <c r="H4356" s="23"/>
      <c r="I4356" s="330"/>
      <c r="J4356" s="330"/>
      <c r="K4356" s="23"/>
    </row>
    <row r="4357" spans="1:11" ht="12.75" x14ac:dyDescent="0.2">
      <c r="A4357" s="23"/>
      <c r="B4357" s="328"/>
      <c r="C4357" s="327"/>
      <c r="D4357" s="328"/>
      <c r="E4357" s="23"/>
      <c r="F4357" s="329"/>
      <c r="G4357" s="23"/>
      <c r="H4357" s="23"/>
      <c r="I4357" s="330"/>
      <c r="J4357" s="330"/>
      <c r="K4357" s="23"/>
    </row>
    <row r="4358" spans="1:11" ht="12.75" x14ac:dyDescent="0.2">
      <c r="A4358" s="23"/>
      <c r="B4358" s="328"/>
      <c r="C4358" s="327"/>
      <c r="D4358" s="328"/>
      <c r="E4358" s="23"/>
      <c r="F4358" s="329"/>
      <c r="G4358" s="23"/>
      <c r="H4358" s="23"/>
      <c r="I4358" s="330"/>
      <c r="J4358" s="330"/>
      <c r="K4358" s="23"/>
    </row>
    <row r="4359" spans="1:11" ht="12.75" x14ac:dyDescent="0.2">
      <c r="A4359" s="23"/>
      <c r="B4359" s="328"/>
      <c r="C4359" s="327"/>
      <c r="D4359" s="328"/>
      <c r="E4359" s="23"/>
      <c r="F4359" s="329"/>
      <c r="G4359" s="23"/>
      <c r="H4359" s="23"/>
      <c r="I4359" s="330"/>
      <c r="J4359" s="330"/>
      <c r="K4359" s="23"/>
    </row>
    <row r="4360" spans="1:11" ht="12.75" x14ac:dyDescent="0.2">
      <c r="A4360" s="23"/>
      <c r="B4360" s="328"/>
      <c r="C4360" s="327"/>
      <c r="D4360" s="328"/>
      <c r="E4360" s="23"/>
      <c r="F4360" s="329"/>
      <c r="G4360" s="23"/>
      <c r="H4360" s="23"/>
      <c r="I4360" s="330"/>
      <c r="J4360" s="330"/>
      <c r="K4360" s="23"/>
    </row>
    <row r="4361" spans="1:11" ht="12.75" x14ac:dyDescent="0.2">
      <c r="A4361" s="23"/>
      <c r="B4361" s="328"/>
      <c r="C4361" s="327"/>
      <c r="D4361" s="328"/>
      <c r="E4361" s="23"/>
      <c r="F4361" s="329"/>
      <c r="G4361" s="23"/>
      <c r="H4361" s="23"/>
      <c r="I4361" s="330"/>
      <c r="J4361" s="330"/>
      <c r="K4361" s="23"/>
    </row>
    <row r="4362" spans="1:11" ht="12.75" x14ac:dyDescent="0.2">
      <c r="A4362" s="23"/>
      <c r="B4362" s="328"/>
      <c r="C4362" s="327"/>
      <c r="D4362" s="328"/>
      <c r="E4362" s="23"/>
      <c r="F4362" s="329"/>
      <c r="G4362" s="23"/>
      <c r="H4362" s="23"/>
      <c r="I4362" s="330"/>
      <c r="J4362" s="330"/>
      <c r="K4362" s="23"/>
    </row>
    <row r="4363" spans="1:11" ht="12.75" x14ac:dyDescent="0.2">
      <c r="A4363" s="23"/>
      <c r="B4363" s="328"/>
      <c r="C4363" s="327"/>
      <c r="D4363" s="328"/>
      <c r="E4363" s="23"/>
      <c r="F4363" s="329"/>
      <c r="G4363" s="23"/>
      <c r="H4363" s="23"/>
      <c r="I4363" s="330"/>
      <c r="J4363" s="330"/>
      <c r="K4363" s="23"/>
    </row>
    <row r="4364" spans="1:11" ht="12.75" x14ac:dyDescent="0.2">
      <c r="A4364" s="23"/>
      <c r="B4364" s="328"/>
      <c r="C4364" s="327"/>
      <c r="D4364" s="328"/>
      <c r="E4364" s="23"/>
      <c r="F4364" s="329"/>
      <c r="G4364" s="23"/>
      <c r="H4364" s="23"/>
      <c r="I4364" s="330"/>
      <c r="J4364" s="330"/>
      <c r="K4364" s="23"/>
    </row>
    <row r="4365" spans="1:11" ht="12.75" x14ac:dyDescent="0.2">
      <c r="A4365" s="23"/>
      <c r="B4365" s="328"/>
      <c r="C4365" s="327"/>
      <c r="D4365" s="328"/>
      <c r="E4365" s="23"/>
      <c r="F4365" s="329"/>
      <c r="G4365" s="23"/>
      <c r="H4365" s="23"/>
      <c r="I4365" s="330"/>
      <c r="J4365" s="330"/>
      <c r="K4365" s="23"/>
    </row>
    <row r="4366" spans="1:11" ht="12.75" x14ac:dyDescent="0.2">
      <c r="A4366" s="23"/>
      <c r="B4366" s="328"/>
      <c r="C4366" s="327"/>
      <c r="D4366" s="328"/>
      <c r="E4366" s="23"/>
      <c r="F4366" s="329"/>
      <c r="G4366" s="23"/>
      <c r="H4366" s="23"/>
      <c r="I4366" s="330"/>
      <c r="J4366" s="330"/>
      <c r="K4366" s="23"/>
    </row>
    <row r="4367" spans="1:11" ht="12.75" x14ac:dyDescent="0.2">
      <c r="A4367" s="23"/>
      <c r="B4367" s="328"/>
      <c r="C4367" s="327"/>
      <c r="D4367" s="328"/>
      <c r="E4367" s="23"/>
      <c r="F4367" s="329"/>
      <c r="G4367" s="23"/>
      <c r="H4367" s="23"/>
      <c r="I4367" s="330"/>
      <c r="J4367" s="330"/>
      <c r="K4367" s="23"/>
    </row>
    <row r="4368" spans="1:11" ht="12.75" x14ac:dyDescent="0.2">
      <c r="A4368" s="23"/>
      <c r="B4368" s="328"/>
      <c r="C4368" s="327"/>
      <c r="D4368" s="328"/>
      <c r="E4368" s="23"/>
      <c r="F4368" s="329"/>
      <c r="G4368" s="23"/>
      <c r="H4368" s="23"/>
      <c r="I4368" s="330"/>
      <c r="J4368" s="330"/>
      <c r="K4368" s="23"/>
    </row>
    <row r="4369" spans="1:11" ht="12.75" x14ac:dyDescent="0.2">
      <c r="A4369" s="23"/>
      <c r="B4369" s="328"/>
      <c r="C4369" s="327"/>
      <c r="D4369" s="328"/>
      <c r="E4369" s="23"/>
      <c r="F4369" s="329"/>
      <c r="G4369" s="23"/>
      <c r="H4369" s="23"/>
      <c r="I4369" s="330"/>
      <c r="J4369" s="330"/>
      <c r="K4369" s="23"/>
    </row>
    <row r="4370" spans="1:11" ht="12.75" x14ac:dyDescent="0.2">
      <c r="A4370" s="23"/>
      <c r="B4370" s="328"/>
      <c r="C4370" s="327"/>
      <c r="D4370" s="328"/>
      <c r="E4370" s="23"/>
      <c r="F4370" s="329"/>
      <c r="G4370" s="23"/>
      <c r="H4370" s="23"/>
      <c r="I4370" s="330"/>
      <c r="J4370" s="330"/>
      <c r="K4370" s="23"/>
    </row>
    <row r="4371" spans="1:11" ht="12.75" x14ac:dyDescent="0.2">
      <c r="A4371" s="23"/>
      <c r="B4371" s="328"/>
      <c r="C4371" s="327"/>
      <c r="D4371" s="328"/>
      <c r="E4371" s="23"/>
      <c r="F4371" s="329"/>
      <c r="G4371" s="23"/>
      <c r="H4371" s="23"/>
      <c r="I4371" s="330"/>
      <c r="J4371" s="330"/>
      <c r="K4371" s="23"/>
    </row>
    <row r="4372" spans="1:11" ht="12.75" x14ac:dyDescent="0.2">
      <c r="A4372" s="23"/>
      <c r="B4372" s="328"/>
      <c r="C4372" s="327"/>
      <c r="D4372" s="328"/>
      <c r="E4372" s="23"/>
      <c r="F4372" s="329"/>
      <c r="G4372" s="23"/>
      <c r="H4372" s="23"/>
      <c r="I4372" s="330"/>
      <c r="J4372" s="330"/>
      <c r="K4372" s="23"/>
    </row>
    <row r="4373" spans="1:11" ht="12.75" x14ac:dyDescent="0.2">
      <c r="A4373" s="23"/>
      <c r="B4373" s="328"/>
      <c r="C4373" s="327"/>
      <c r="D4373" s="328"/>
      <c r="E4373" s="23"/>
      <c r="F4373" s="329"/>
      <c r="G4373" s="23"/>
      <c r="H4373" s="23"/>
      <c r="I4373" s="330"/>
      <c r="J4373" s="330"/>
      <c r="K4373" s="23"/>
    </row>
    <row r="4374" spans="1:11" ht="12.75" x14ac:dyDescent="0.2">
      <c r="A4374" s="23"/>
      <c r="B4374" s="328"/>
      <c r="C4374" s="327"/>
      <c r="D4374" s="328"/>
      <c r="E4374" s="23"/>
      <c r="F4374" s="329"/>
      <c r="G4374" s="23"/>
      <c r="H4374" s="23"/>
      <c r="I4374" s="330"/>
      <c r="J4374" s="330"/>
      <c r="K4374" s="23"/>
    </row>
    <row r="4375" spans="1:11" ht="12.75" x14ac:dyDescent="0.2">
      <c r="A4375" s="23"/>
      <c r="B4375" s="328"/>
      <c r="C4375" s="327"/>
      <c r="D4375" s="328"/>
      <c r="E4375" s="23"/>
      <c r="F4375" s="329"/>
      <c r="G4375" s="23"/>
      <c r="H4375" s="23"/>
      <c r="I4375" s="330"/>
      <c r="J4375" s="330"/>
      <c r="K4375" s="23"/>
    </row>
    <row r="4376" spans="1:11" ht="12.75" x14ac:dyDescent="0.2">
      <c r="A4376" s="23"/>
      <c r="B4376" s="328"/>
      <c r="C4376" s="327"/>
      <c r="D4376" s="328"/>
      <c r="E4376" s="23"/>
      <c r="F4376" s="329"/>
      <c r="G4376" s="23"/>
      <c r="H4376" s="23"/>
      <c r="I4376" s="330"/>
      <c r="J4376" s="330"/>
      <c r="K4376" s="23"/>
    </row>
    <row r="4377" spans="1:11" ht="12.75" x14ac:dyDescent="0.2">
      <c r="A4377" s="23"/>
      <c r="B4377" s="328"/>
      <c r="C4377" s="327"/>
      <c r="D4377" s="328"/>
      <c r="E4377" s="23"/>
      <c r="F4377" s="329"/>
      <c r="G4377" s="23"/>
      <c r="H4377" s="23"/>
      <c r="I4377" s="330"/>
      <c r="J4377" s="330"/>
      <c r="K4377" s="23"/>
    </row>
    <row r="4378" spans="1:11" ht="12.75" x14ac:dyDescent="0.2">
      <c r="A4378" s="23"/>
      <c r="B4378" s="328"/>
      <c r="C4378" s="327"/>
      <c r="D4378" s="328"/>
      <c r="E4378" s="23"/>
      <c r="F4378" s="329"/>
      <c r="G4378" s="23"/>
      <c r="H4378" s="23"/>
      <c r="I4378" s="330"/>
      <c r="J4378" s="330"/>
      <c r="K4378" s="23"/>
    </row>
    <row r="4379" spans="1:11" ht="12.75" x14ac:dyDescent="0.2">
      <c r="A4379" s="23"/>
      <c r="B4379" s="328"/>
      <c r="C4379" s="327"/>
      <c r="D4379" s="328"/>
      <c r="E4379" s="23"/>
      <c r="F4379" s="329"/>
      <c r="G4379" s="23"/>
      <c r="H4379" s="23"/>
      <c r="I4379" s="330"/>
      <c r="J4379" s="330"/>
      <c r="K4379" s="23"/>
    </row>
    <row r="4380" spans="1:11" ht="12.75" x14ac:dyDescent="0.2">
      <c r="A4380" s="23"/>
      <c r="B4380" s="328"/>
      <c r="C4380" s="327"/>
      <c r="D4380" s="328"/>
      <c r="E4380" s="23"/>
      <c r="F4380" s="329"/>
      <c r="G4380" s="23"/>
      <c r="H4380" s="23"/>
      <c r="I4380" s="330"/>
      <c r="J4380" s="330"/>
      <c r="K4380" s="23"/>
    </row>
    <row r="4381" spans="1:11" ht="12.75" x14ac:dyDescent="0.2">
      <c r="A4381" s="23"/>
      <c r="B4381" s="328"/>
      <c r="C4381" s="327"/>
      <c r="D4381" s="328"/>
      <c r="E4381" s="23"/>
      <c r="F4381" s="329"/>
      <c r="G4381" s="23"/>
      <c r="H4381" s="23"/>
      <c r="I4381" s="330"/>
      <c r="J4381" s="330"/>
      <c r="K4381" s="23"/>
    </row>
    <row r="4382" spans="1:11" ht="12.75" x14ac:dyDescent="0.2">
      <c r="A4382" s="23"/>
      <c r="B4382" s="328"/>
      <c r="C4382" s="327"/>
      <c r="D4382" s="328"/>
      <c r="E4382" s="23"/>
      <c r="F4382" s="329"/>
      <c r="G4382" s="23"/>
      <c r="H4382" s="23"/>
      <c r="I4382" s="330"/>
      <c r="J4382" s="330"/>
      <c r="K4382" s="23"/>
    </row>
    <row r="4383" spans="1:11" ht="12.75" x14ac:dyDescent="0.2">
      <c r="A4383" s="23"/>
      <c r="B4383" s="328"/>
      <c r="C4383" s="327"/>
      <c r="D4383" s="328"/>
      <c r="E4383" s="23"/>
      <c r="F4383" s="329"/>
      <c r="G4383" s="23"/>
      <c r="H4383" s="23"/>
      <c r="I4383" s="330"/>
      <c r="J4383" s="330"/>
      <c r="K4383" s="23"/>
    </row>
    <row r="4384" spans="1:11" ht="12.75" x14ac:dyDescent="0.2">
      <c r="A4384" s="23"/>
      <c r="B4384" s="328"/>
      <c r="C4384" s="327"/>
      <c r="D4384" s="328"/>
      <c r="E4384" s="23"/>
      <c r="F4384" s="329"/>
      <c r="G4384" s="23"/>
      <c r="H4384" s="23"/>
      <c r="I4384" s="330"/>
      <c r="J4384" s="330"/>
      <c r="K4384" s="23"/>
    </row>
    <row r="4385" spans="1:11" ht="12.75" x14ac:dyDescent="0.2">
      <c r="A4385" s="23"/>
      <c r="B4385" s="328"/>
      <c r="C4385" s="327"/>
      <c r="D4385" s="328"/>
      <c r="E4385" s="23"/>
      <c r="F4385" s="329"/>
      <c r="G4385" s="23"/>
      <c r="H4385" s="23"/>
      <c r="I4385" s="330"/>
      <c r="J4385" s="330"/>
      <c r="K4385" s="23"/>
    </row>
    <row r="4386" spans="1:11" ht="12.75" x14ac:dyDescent="0.2">
      <c r="A4386" s="23"/>
      <c r="B4386" s="328"/>
      <c r="C4386" s="327"/>
      <c r="D4386" s="328"/>
      <c r="E4386" s="23"/>
      <c r="F4386" s="329"/>
      <c r="G4386" s="23"/>
      <c r="H4386" s="23"/>
      <c r="I4386" s="330"/>
      <c r="J4386" s="330"/>
      <c r="K4386" s="23"/>
    </row>
    <row r="4387" spans="1:11" ht="12.75" x14ac:dyDescent="0.2">
      <c r="A4387" s="23"/>
      <c r="B4387" s="328"/>
      <c r="C4387" s="327"/>
      <c r="D4387" s="328"/>
      <c r="E4387" s="23"/>
      <c r="F4387" s="329"/>
      <c r="G4387" s="23"/>
      <c r="H4387" s="23"/>
      <c r="I4387" s="330"/>
      <c r="J4387" s="330"/>
      <c r="K4387" s="23"/>
    </row>
    <row r="4388" spans="1:11" ht="12.75" x14ac:dyDescent="0.2">
      <c r="A4388" s="23"/>
      <c r="B4388" s="328"/>
      <c r="C4388" s="327"/>
      <c r="D4388" s="328"/>
      <c r="E4388" s="23"/>
      <c r="F4388" s="329"/>
      <c r="G4388" s="23"/>
      <c r="H4388" s="23"/>
      <c r="I4388" s="330"/>
      <c r="J4388" s="330"/>
      <c r="K4388" s="23"/>
    </row>
    <row r="4389" spans="1:11" ht="12.75" x14ac:dyDescent="0.2">
      <c r="A4389" s="23"/>
      <c r="B4389" s="328"/>
      <c r="C4389" s="327"/>
      <c r="D4389" s="328"/>
      <c r="E4389" s="23"/>
      <c r="F4389" s="329"/>
      <c r="G4389" s="23"/>
      <c r="H4389" s="23"/>
      <c r="I4389" s="330"/>
      <c r="J4389" s="330"/>
      <c r="K4389" s="23"/>
    </row>
    <row r="4390" spans="1:11" ht="12.75" x14ac:dyDescent="0.2">
      <c r="A4390" s="23"/>
      <c r="B4390" s="328"/>
      <c r="C4390" s="327"/>
      <c r="D4390" s="328"/>
      <c r="E4390" s="23"/>
      <c r="F4390" s="329"/>
      <c r="G4390" s="23"/>
      <c r="H4390" s="23"/>
      <c r="I4390" s="330"/>
      <c r="J4390" s="330"/>
      <c r="K4390" s="23"/>
    </row>
    <row r="4391" spans="1:11" ht="12.75" x14ac:dyDescent="0.2">
      <c r="A4391" s="23"/>
      <c r="B4391" s="328"/>
      <c r="C4391" s="327"/>
      <c r="D4391" s="328"/>
      <c r="E4391" s="23"/>
      <c r="F4391" s="329"/>
      <c r="G4391" s="23"/>
      <c r="H4391" s="23"/>
      <c r="I4391" s="330"/>
      <c r="J4391" s="330"/>
      <c r="K4391" s="23"/>
    </row>
    <row r="4392" spans="1:11" ht="12.75" x14ac:dyDescent="0.2">
      <c r="A4392" s="23"/>
      <c r="B4392" s="328"/>
      <c r="C4392" s="327"/>
      <c r="D4392" s="328"/>
      <c r="E4392" s="23"/>
      <c r="F4392" s="329"/>
      <c r="G4392" s="23"/>
      <c r="H4392" s="23"/>
      <c r="I4392" s="330"/>
      <c r="J4392" s="330"/>
      <c r="K4392" s="23"/>
    </row>
    <row r="4393" spans="1:11" ht="12.75" x14ac:dyDescent="0.2">
      <c r="A4393" s="23"/>
      <c r="B4393" s="328"/>
      <c r="C4393" s="327"/>
      <c r="D4393" s="328"/>
      <c r="E4393" s="23"/>
      <c r="F4393" s="329"/>
      <c r="G4393" s="23"/>
      <c r="H4393" s="23"/>
      <c r="I4393" s="330"/>
      <c r="J4393" s="330"/>
      <c r="K4393" s="23"/>
    </row>
    <row r="4394" spans="1:11" ht="12.75" x14ac:dyDescent="0.2">
      <c r="A4394" s="23"/>
      <c r="B4394" s="328"/>
      <c r="C4394" s="327"/>
      <c r="D4394" s="328"/>
      <c r="E4394" s="23"/>
      <c r="F4394" s="329"/>
      <c r="G4394" s="23"/>
      <c r="H4394" s="23"/>
      <c r="I4394" s="330"/>
      <c r="J4394" s="330"/>
      <c r="K4394" s="23"/>
    </row>
    <row r="4395" spans="1:11" ht="12.75" x14ac:dyDescent="0.2">
      <c r="A4395" s="23"/>
      <c r="B4395" s="328"/>
      <c r="C4395" s="327"/>
      <c r="D4395" s="328"/>
      <c r="E4395" s="23"/>
      <c r="F4395" s="329"/>
      <c r="G4395" s="23"/>
      <c r="H4395" s="23"/>
      <c r="I4395" s="330"/>
      <c r="J4395" s="330"/>
      <c r="K4395" s="23"/>
    </row>
    <row r="4396" spans="1:11" ht="12.75" x14ac:dyDescent="0.2">
      <c r="A4396" s="23"/>
      <c r="B4396" s="328"/>
      <c r="C4396" s="327"/>
      <c r="D4396" s="328"/>
      <c r="E4396" s="23"/>
      <c r="F4396" s="329"/>
      <c r="G4396" s="23"/>
      <c r="H4396" s="23"/>
      <c r="I4396" s="330"/>
      <c r="J4396" s="330"/>
      <c r="K4396" s="23"/>
    </row>
    <row r="4397" spans="1:11" ht="12.75" x14ac:dyDescent="0.2">
      <c r="A4397" s="23"/>
      <c r="B4397" s="328"/>
      <c r="C4397" s="327"/>
      <c r="D4397" s="328"/>
      <c r="E4397" s="23"/>
      <c r="F4397" s="329"/>
      <c r="G4397" s="23"/>
      <c r="H4397" s="23"/>
      <c r="I4397" s="330"/>
      <c r="J4397" s="330"/>
      <c r="K4397" s="23"/>
    </row>
    <row r="4398" spans="1:11" ht="12.75" x14ac:dyDescent="0.2">
      <c r="A4398" s="23"/>
      <c r="B4398" s="328"/>
      <c r="C4398" s="327"/>
      <c r="D4398" s="328"/>
      <c r="E4398" s="23"/>
      <c r="F4398" s="329"/>
      <c r="G4398" s="23"/>
      <c r="H4398" s="23"/>
      <c r="I4398" s="330"/>
      <c r="J4398" s="330"/>
      <c r="K4398" s="23"/>
    </row>
    <row r="4399" spans="1:11" ht="12.75" x14ac:dyDescent="0.2">
      <c r="A4399" s="23"/>
      <c r="B4399" s="328"/>
      <c r="C4399" s="327"/>
      <c r="D4399" s="328"/>
      <c r="E4399" s="23"/>
      <c r="F4399" s="329"/>
      <c r="G4399" s="23"/>
      <c r="H4399" s="23"/>
      <c r="I4399" s="330"/>
      <c r="J4399" s="330"/>
      <c r="K4399" s="23"/>
    </row>
    <row r="4400" spans="1:11" ht="12.75" x14ac:dyDescent="0.2">
      <c r="A4400" s="23"/>
      <c r="B4400" s="328"/>
      <c r="C4400" s="327"/>
      <c r="D4400" s="328"/>
      <c r="E4400" s="23"/>
      <c r="F4400" s="329"/>
      <c r="G4400" s="23"/>
      <c r="H4400" s="23"/>
      <c r="I4400" s="330"/>
      <c r="J4400" s="330"/>
      <c r="K4400" s="23"/>
    </row>
    <row r="4401" spans="1:11" ht="12.75" x14ac:dyDescent="0.2">
      <c r="A4401" s="23"/>
      <c r="B4401" s="328"/>
      <c r="C4401" s="327"/>
      <c r="D4401" s="328"/>
      <c r="E4401" s="23"/>
      <c r="F4401" s="329"/>
      <c r="G4401" s="23"/>
      <c r="H4401" s="23"/>
      <c r="I4401" s="330"/>
      <c r="J4401" s="330"/>
      <c r="K4401" s="23"/>
    </row>
    <row r="4402" spans="1:11" ht="12.75" x14ac:dyDescent="0.2">
      <c r="A4402" s="23"/>
      <c r="B4402" s="328"/>
      <c r="C4402" s="327"/>
      <c r="D4402" s="328"/>
      <c r="E4402" s="23"/>
      <c r="F4402" s="329"/>
      <c r="G4402" s="23"/>
      <c r="H4402" s="23"/>
      <c r="I4402" s="330"/>
      <c r="J4402" s="330"/>
      <c r="K4402" s="23"/>
    </row>
    <row r="4403" spans="1:11" ht="12.75" x14ac:dyDescent="0.2">
      <c r="A4403" s="23"/>
      <c r="B4403" s="328"/>
      <c r="C4403" s="327"/>
      <c r="D4403" s="328"/>
      <c r="E4403" s="23"/>
      <c r="F4403" s="329"/>
      <c r="G4403" s="23"/>
      <c r="H4403" s="23"/>
      <c r="I4403" s="330"/>
      <c r="J4403" s="330"/>
      <c r="K4403" s="23"/>
    </row>
    <row r="4404" spans="1:11" ht="12.75" x14ac:dyDescent="0.2">
      <c r="A4404" s="23"/>
      <c r="B4404" s="328"/>
      <c r="C4404" s="327"/>
      <c r="D4404" s="328"/>
      <c r="E4404" s="23"/>
      <c r="F4404" s="329"/>
      <c r="G4404" s="23"/>
      <c r="H4404" s="23"/>
      <c r="I4404" s="330"/>
      <c r="J4404" s="330"/>
      <c r="K4404" s="23"/>
    </row>
    <row r="4405" spans="1:11" ht="12.75" x14ac:dyDescent="0.2">
      <c r="A4405" s="23"/>
      <c r="B4405" s="328"/>
      <c r="C4405" s="327"/>
      <c r="D4405" s="328"/>
      <c r="E4405" s="23"/>
      <c r="F4405" s="329"/>
      <c r="G4405" s="23"/>
      <c r="H4405" s="23"/>
      <c r="I4405" s="330"/>
      <c r="J4405" s="330"/>
      <c r="K4405" s="23"/>
    </row>
    <row r="4406" spans="1:11" ht="12.75" x14ac:dyDescent="0.2">
      <c r="A4406" s="23"/>
      <c r="B4406" s="328"/>
      <c r="C4406" s="327"/>
      <c r="D4406" s="328"/>
      <c r="E4406" s="23"/>
      <c r="F4406" s="329"/>
      <c r="G4406" s="23"/>
      <c r="H4406" s="23"/>
      <c r="I4406" s="330"/>
      <c r="J4406" s="330"/>
      <c r="K4406" s="23"/>
    </row>
    <row r="4407" spans="1:11" ht="12.75" x14ac:dyDescent="0.2">
      <c r="A4407" s="23"/>
      <c r="B4407" s="328"/>
      <c r="C4407" s="327"/>
      <c r="D4407" s="328"/>
      <c r="E4407" s="23"/>
      <c r="F4407" s="329"/>
      <c r="G4407" s="23"/>
      <c r="H4407" s="23"/>
      <c r="I4407" s="330"/>
      <c r="J4407" s="330"/>
      <c r="K4407" s="23"/>
    </row>
    <row r="4408" spans="1:11" ht="12.75" x14ac:dyDescent="0.2">
      <c r="A4408" s="23"/>
      <c r="B4408" s="328"/>
      <c r="C4408" s="327"/>
      <c r="D4408" s="328"/>
      <c r="E4408" s="23"/>
      <c r="F4408" s="329"/>
      <c r="G4408" s="23"/>
      <c r="H4408" s="23"/>
      <c r="I4408" s="330"/>
      <c r="J4408" s="330"/>
      <c r="K4408" s="23"/>
    </row>
    <row r="4409" spans="1:11" ht="12.75" x14ac:dyDescent="0.2">
      <c r="A4409" s="23"/>
      <c r="B4409" s="328"/>
      <c r="C4409" s="327"/>
      <c r="D4409" s="328"/>
      <c r="E4409" s="23"/>
      <c r="F4409" s="329"/>
      <c r="G4409" s="23"/>
      <c r="H4409" s="23"/>
      <c r="I4409" s="330"/>
      <c r="J4409" s="330"/>
      <c r="K4409" s="23"/>
    </row>
    <row r="4410" spans="1:11" ht="12.75" x14ac:dyDescent="0.2">
      <c r="A4410" s="23"/>
      <c r="B4410" s="328"/>
      <c r="C4410" s="327"/>
      <c r="D4410" s="328"/>
      <c r="E4410" s="23"/>
      <c r="F4410" s="329"/>
      <c r="G4410" s="23"/>
      <c r="H4410" s="23"/>
      <c r="I4410" s="330"/>
      <c r="J4410" s="330"/>
      <c r="K4410" s="23"/>
    </row>
    <row r="4411" spans="1:11" ht="12.75" x14ac:dyDescent="0.2">
      <c r="A4411" s="23"/>
      <c r="B4411" s="328"/>
      <c r="C4411" s="327"/>
      <c r="D4411" s="328"/>
      <c r="E4411" s="23"/>
      <c r="F4411" s="329"/>
      <c r="G4411" s="23"/>
      <c r="H4411" s="23"/>
      <c r="I4411" s="330"/>
      <c r="J4411" s="330"/>
      <c r="K4411" s="23"/>
    </row>
    <row r="4412" spans="1:11" ht="12.75" x14ac:dyDescent="0.2">
      <c r="A4412" s="23"/>
      <c r="B4412" s="328"/>
      <c r="C4412" s="327"/>
      <c r="D4412" s="328"/>
      <c r="E4412" s="23"/>
      <c r="F4412" s="329"/>
      <c r="G4412" s="23"/>
      <c r="H4412" s="23"/>
      <c r="I4412" s="330"/>
      <c r="J4412" s="330"/>
      <c r="K4412" s="23"/>
    </row>
    <row r="4413" spans="1:11" ht="12.75" x14ac:dyDescent="0.2">
      <c r="A4413" s="23"/>
      <c r="B4413" s="328"/>
      <c r="C4413" s="327"/>
      <c r="D4413" s="328"/>
      <c r="E4413" s="23"/>
      <c r="F4413" s="329"/>
      <c r="G4413" s="23"/>
      <c r="H4413" s="23"/>
      <c r="I4413" s="330"/>
      <c r="J4413" s="330"/>
      <c r="K4413" s="23"/>
    </row>
    <row r="4414" spans="1:11" ht="12.75" x14ac:dyDescent="0.2">
      <c r="A4414" s="23"/>
      <c r="B4414" s="328"/>
      <c r="C4414" s="327"/>
      <c r="D4414" s="328"/>
      <c r="E4414" s="23"/>
      <c r="F4414" s="329"/>
      <c r="G4414" s="23"/>
      <c r="H4414" s="23"/>
      <c r="I4414" s="330"/>
      <c r="J4414" s="330"/>
      <c r="K4414" s="23"/>
    </row>
    <row r="4415" spans="1:11" ht="12.75" x14ac:dyDescent="0.2">
      <c r="A4415" s="23"/>
      <c r="B4415" s="328"/>
      <c r="C4415" s="327"/>
      <c r="D4415" s="328"/>
      <c r="E4415" s="23"/>
      <c r="F4415" s="329"/>
      <c r="G4415" s="23"/>
      <c r="H4415" s="23"/>
      <c r="I4415" s="330"/>
      <c r="J4415" s="330"/>
      <c r="K4415" s="23"/>
    </row>
    <row r="4416" spans="1:11" ht="12.75" x14ac:dyDescent="0.2">
      <c r="A4416" s="23"/>
      <c r="B4416" s="328"/>
      <c r="C4416" s="327"/>
      <c r="D4416" s="328"/>
      <c r="E4416" s="23"/>
      <c r="F4416" s="329"/>
      <c r="G4416" s="23"/>
      <c r="H4416" s="23"/>
      <c r="I4416" s="330"/>
      <c r="J4416" s="330"/>
      <c r="K4416" s="23"/>
    </row>
    <row r="4417" spans="1:11" ht="12.75" x14ac:dyDescent="0.2">
      <c r="A4417" s="23"/>
      <c r="B4417" s="328"/>
      <c r="C4417" s="327"/>
      <c r="D4417" s="328"/>
      <c r="E4417" s="23"/>
      <c r="F4417" s="329"/>
      <c r="G4417" s="23"/>
      <c r="H4417" s="23"/>
      <c r="I4417" s="330"/>
      <c r="J4417" s="330"/>
      <c r="K4417" s="23"/>
    </row>
    <row r="4418" spans="1:11" ht="12.75" x14ac:dyDescent="0.2">
      <c r="A4418" s="23"/>
      <c r="B4418" s="328"/>
      <c r="C4418" s="327"/>
      <c r="D4418" s="328"/>
      <c r="E4418" s="23"/>
      <c r="F4418" s="329"/>
      <c r="G4418" s="23"/>
      <c r="H4418" s="23"/>
      <c r="I4418" s="330"/>
      <c r="J4418" s="330"/>
      <c r="K4418" s="23"/>
    </row>
    <row r="4419" spans="1:11" ht="12.75" x14ac:dyDescent="0.2">
      <c r="A4419" s="23"/>
      <c r="B4419" s="328"/>
      <c r="C4419" s="327"/>
      <c r="D4419" s="328"/>
      <c r="E4419" s="23"/>
      <c r="F4419" s="329"/>
      <c r="G4419" s="23"/>
      <c r="H4419" s="23"/>
      <c r="I4419" s="330"/>
      <c r="J4419" s="330"/>
      <c r="K4419" s="23"/>
    </row>
    <row r="4420" spans="1:11" ht="12.75" x14ac:dyDescent="0.2">
      <c r="A4420" s="23"/>
      <c r="B4420" s="328"/>
      <c r="C4420" s="327"/>
      <c r="D4420" s="328"/>
      <c r="E4420" s="23"/>
      <c r="F4420" s="329"/>
      <c r="G4420" s="23"/>
      <c r="H4420" s="23"/>
      <c r="I4420" s="330"/>
      <c r="J4420" s="330"/>
      <c r="K4420" s="23"/>
    </row>
    <row r="4421" spans="1:11" ht="12.75" x14ac:dyDescent="0.2">
      <c r="A4421" s="23"/>
      <c r="B4421" s="328"/>
      <c r="C4421" s="327"/>
      <c r="D4421" s="328"/>
      <c r="E4421" s="23"/>
      <c r="F4421" s="329"/>
      <c r="G4421" s="23"/>
      <c r="H4421" s="23"/>
      <c r="I4421" s="330"/>
      <c r="J4421" s="330"/>
      <c r="K4421" s="23"/>
    </row>
    <row r="4422" spans="1:11" ht="12.75" x14ac:dyDescent="0.2">
      <c r="A4422" s="23"/>
      <c r="B4422" s="328"/>
      <c r="C4422" s="327"/>
      <c r="D4422" s="328"/>
      <c r="E4422" s="23"/>
      <c r="F4422" s="329"/>
      <c r="G4422" s="23"/>
      <c r="H4422" s="23"/>
      <c r="I4422" s="330"/>
      <c r="J4422" s="330"/>
      <c r="K4422" s="23"/>
    </row>
    <row r="4423" spans="1:11" ht="12.75" x14ac:dyDescent="0.2">
      <c r="A4423" s="23"/>
      <c r="B4423" s="328"/>
      <c r="C4423" s="327"/>
      <c r="D4423" s="328"/>
      <c r="E4423" s="23"/>
      <c r="F4423" s="329"/>
      <c r="G4423" s="23"/>
      <c r="H4423" s="23"/>
      <c r="I4423" s="330"/>
      <c r="J4423" s="330"/>
      <c r="K4423" s="23"/>
    </row>
    <row r="4424" spans="1:11" ht="12.75" x14ac:dyDescent="0.2">
      <c r="A4424" s="23"/>
      <c r="B4424" s="328"/>
      <c r="C4424" s="327"/>
      <c r="D4424" s="328"/>
      <c r="E4424" s="23"/>
      <c r="F4424" s="329"/>
      <c r="G4424" s="23"/>
      <c r="H4424" s="23"/>
      <c r="I4424" s="330"/>
      <c r="J4424" s="330"/>
      <c r="K4424" s="23"/>
    </row>
    <row r="4425" spans="1:11" ht="12.75" x14ac:dyDescent="0.2">
      <c r="A4425" s="23"/>
      <c r="B4425" s="328"/>
      <c r="C4425" s="327"/>
      <c r="D4425" s="328"/>
      <c r="E4425" s="23"/>
      <c r="F4425" s="329"/>
      <c r="G4425" s="23"/>
      <c r="H4425" s="23"/>
      <c r="I4425" s="330"/>
      <c r="J4425" s="330"/>
      <c r="K4425" s="23"/>
    </row>
    <row r="4426" spans="1:11" ht="12.75" x14ac:dyDescent="0.2">
      <c r="A4426" s="23"/>
      <c r="B4426" s="328"/>
      <c r="C4426" s="327"/>
      <c r="D4426" s="328"/>
      <c r="E4426" s="23"/>
      <c r="F4426" s="329"/>
      <c r="G4426" s="23"/>
      <c r="H4426" s="23"/>
      <c r="I4426" s="330"/>
      <c r="J4426" s="330"/>
      <c r="K4426" s="23"/>
    </row>
    <row r="4427" spans="1:11" ht="12.75" x14ac:dyDescent="0.2">
      <c r="A4427" s="23"/>
      <c r="B4427" s="328"/>
      <c r="C4427" s="327"/>
      <c r="D4427" s="328"/>
      <c r="E4427" s="23"/>
      <c r="F4427" s="329"/>
      <c r="G4427" s="23"/>
      <c r="H4427" s="23"/>
      <c r="I4427" s="330"/>
      <c r="J4427" s="330"/>
      <c r="K4427" s="23"/>
    </row>
    <row r="4428" spans="1:11" ht="12.75" x14ac:dyDescent="0.2">
      <c r="A4428" s="23"/>
      <c r="B4428" s="328"/>
      <c r="C4428" s="327"/>
      <c r="D4428" s="328"/>
      <c r="E4428" s="23"/>
      <c r="F4428" s="329"/>
      <c r="G4428" s="23"/>
      <c r="H4428" s="23"/>
      <c r="I4428" s="330"/>
      <c r="J4428" s="330"/>
      <c r="K4428" s="23"/>
    </row>
    <row r="4429" spans="1:11" ht="12.75" x14ac:dyDescent="0.2">
      <c r="A4429" s="23"/>
      <c r="B4429" s="328"/>
      <c r="C4429" s="327"/>
      <c r="D4429" s="328"/>
      <c r="E4429" s="23"/>
      <c r="F4429" s="329"/>
      <c r="G4429" s="23"/>
      <c r="H4429" s="23"/>
      <c r="I4429" s="330"/>
      <c r="J4429" s="330"/>
      <c r="K4429" s="23"/>
    </row>
    <row r="4430" spans="1:11" ht="12.75" x14ac:dyDescent="0.2">
      <c r="A4430" s="23"/>
      <c r="B4430" s="328"/>
      <c r="C4430" s="327"/>
      <c r="D4430" s="328"/>
      <c r="E4430" s="23"/>
      <c r="F4430" s="329"/>
      <c r="G4430" s="23"/>
      <c r="H4430" s="23"/>
      <c r="I4430" s="330"/>
      <c r="J4430" s="330"/>
      <c r="K4430" s="23"/>
    </row>
    <row r="4431" spans="1:11" ht="12.75" x14ac:dyDescent="0.2">
      <c r="A4431" s="23"/>
      <c r="B4431" s="328"/>
      <c r="C4431" s="327"/>
      <c r="D4431" s="328"/>
      <c r="E4431" s="23"/>
      <c r="F4431" s="329"/>
      <c r="G4431" s="23"/>
      <c r="H4431" s="23"/>
      <c r="I4431" s="330"/>
      <c r="J4431" s="330"/>
      <c r="K4431" s="23"/>
    </row>
    <row r="4432" spans="1:11" ht="12.75" x14ac:dyDescent="0.2">
      <c r="A4432" s="23"/>
      <c r="B4432" s="328"/>
      <c r="C4432" s="327"/>
      <c r="D4432" s="328"/>
      <c r="E4432" s="23"/>
      <c r="F4432" s="329"/>
      <c r="G4432" s="23"/>
      <c r="H4432" s="23"/>
      <c r="I4432" s="330"/>
      <c r="J4432" s="330"/>
      <c r="K4432" s="23"/>
    </row>
    <row r="4433" spans="1:11" ht="12.75" x14ac:dyDescent="0.2">
      <c r="A4433" s="23"/>
      <c r="B4433" s="328"/>
      <c r="C4433" s="327"/>
      <c r="D4433" s="328"/>
      <c r="E4433" s="23"/>
      <c r="F4433" s="329"/>
      <c r="G4433" s="23"/>
      <c r="H4433" s="23"/>
      <c r="I4433" s="330"/>
      <c r="J4433" s="330"/>
      <c r="K4433" s="23"/>
    </row>
    <row r="4434" spans="1:11" ht="12.75" x14ac:dyDescent="0.2">
      <c r="A4434" s="23"/>
      <c r="B4434" s="328"/>
      <c r="C4434" s="327"/>
      <c r="D4434" s="328"/>
      <c r="E4434" s="23"/>
      <c r="F4434" s="329"/>
      <c r="G4434" s="23"/>
      <c r="H4434" s="23"/>
      <c r="I4434" s="330"/>
      <c r="J4434" s="330"/>
      <c r="K4434" s="23"/>
    </row>
    <row r="4435" spans="1:11" ht="12.75" x14ac:dyDescent="0.2">
      <c r="A4435" s="23"/>
      <c r="B4435" s="328"/>
      <c r="C4435" s="327"/>
      <c r="D4435" s="328"/>
      <c r="E4435" s="23"/>
      <c r="F4435" s="329"/>
      <c r="G4435" s="23"/>
      <c r="H4435" s="23"/>
      <c r="I4435" s="330"/>
      <c r="J4435" s="330"/>
      <c r="K4435" s="23"/>
    </row>
    <row r="4436" spans="1:11" ht="12.75" x14ac:dyDescent="0.2">
      <c r="A4436" s="23"/>
      <c r="B4436" s="328"/>
      <c r="C4436" s="327"/>
      <c r="D4436" s="328"/>
      <c r="E4436" s="23"/>
      <c r="F4436" s="329"/>
      <c r="G4436" s="23"/>
      <c r="H4436" s="23"/>
      <c r="I4436" s="330"/>
      <c r="J4436" s="330"/>
      <c r="K4436" s="23"/>
    </row>
    <row r="4437" spans="1:11" ht="12.75" x14ac:dyDescent="0.2">
      <c r="A4437" s="23"/>
      <c r="B4437" s="328"/>
      <c r="C4437" s="327"/>
      <c r="D4437" s="328"/>
      <c r="E4437" s="23"/>
      <c r="F4437" s="329"/>
      <c r="G4437" s="23"/>
      <c r="H4437" s="23"/>
      <c r="I4437" s="330"/>
      <c r="J4437" s="330"/>
      <c r="K4437" s="23"/>
    </row>
    <row r="4438" spans="1:11" ht="12.75" x14ac:dyDescent="0.2">
      <c r="A4438" s="23"/>
      <c r="B4438" s="328"/>
      <c r="C4438" s="327"/>
      <c r="D4438" s="328"/>
      <c r="E4438" s="23"/>
      <c r="F4438" s="329"/>
      <c r="G4438" s="23"/>
      <c r="H4438" s="23"/>
      <c r="I4438" s="330"/>
      <c r="J4438" s="330"/>
      <c r="K4438" s="23"/>
    </row>
    <row r="4439" spans="1:11" ht="12.75" x14ac:dyDescent="0.2">
      <c r="A4439" s="23"/>
      <c r="B4439" s="328"/>
      <c r="C4439" s="327"/>
      <c r="D4439" s="328"/>
      <c r="E4439" s="23"/>
      <c r="F4439" s="329"/>
      <c r="G4439" s="23"/>
      <c r="H4439" s="23"/>
      <c r="I4439" s="330"/>
      <c r="J4439" s="330"/>
      <c r="K4439" s="23"/>
    </row>
    <row r="4440" spans="1:11" ht="12.75" x14ac:dyDescent="0.2">
      <c r="A4440" s="23"/>
      <c r="B4440" s="328"/>
      <c r="C4440" s="327"/>
      <c r="D4440" s="328"/>
      <c r="E4440" s="23"/>
      <c r="F4440" s="329"/>
      <c r="G4440" s="23"/>
      <c r="H4440" s="23"/>
      <c r="I4440" s="330"/>
      <c r="J4440" s="330"/>
      <c r="K4440" s="23"/>
    </row>
    <row r="4441" spans="1:11" ht="12.75" x14ac:dyDescent="0.2">
      <c r="A4441" s="23"/>
      <c r="B4441" s="328"/>
      <c r="C4441" s="327"/>
      <c r="D4441" s="328"/>
      <c r="E4441" s="23"/>
      <c r="F4441" s="329"/>
      <c r="G4441" s="23"/>
      <c r="H4441" s="23"/>
      <c r="I4441" s="330"/>
      <c r="J4441" s="330"/>
      <c r="K4441" s="23"/>
    </row>
    <row r="4442" spans="1:11" ht="12.75" x14ac:dyDescent="0.2">
      <c r="A4442" s="23"/>
      <c r="B4442" s="328"/>
      <c r="C4442" s="327"/>
      <c r="D4442" s="328"/>
      <c r="E4442" s="23"/>
      <c r="F4442" s="329"/>
      <c r="G4442" s="23"/>
      <c r="H4442" s="23"/>
      <c r="I4442" s="330"/>
      <c r="J4442" s="330"/>
      <c r="K4442" s="23"/>
    </row>
    <row r="4443" spans="1:11" ht="12.75" x14ac:dyDescent="0.2">
      <c r="A4443" s="23"/>
      <c r="B4443" s="328"/>
      <c r="C4443" s="327"/>
      <c r="D4443" s="328"/>
      <c r="E4443" s="23"/>
      <c r="F4443" s="329"/>
      <c r="G4443" s="23"/>
      <c r="H4443" s="23"/>
      <c r="I4443" s="330"/>
      <c r="J4443" s="330"/>
      <c r="K4443" s="23"/>
    </row>
    <row r="4444" spans="1:11" ht="12.75" x14ac:dyDescent="0.2">
      <c r="A4444" s="23"/>
      <c r="B4444" s="328"/>
      <c r="C4444" s="327"/>
      <c r="D4444" s="328"/>
      <c r="E4444" s="23"/>
      <c r="F4444" s="329"/>
      <c r="G4444" s="23"/>
      <c r="H4444" s="23"/>
      <c r="I4444" s="330"/>
      <c r="J4444" s="330"/>
      <c r="K4444" s="23"/>
    </row>
    <row r="4445" spans="1:11" ht="12.75" x14ac:dyDescent="0.2">
      <c r="A4445" s="23"/>
      <c r="B4445" s="328"/>
      <c r="C4445" s="327"/>
      <c r="D4445" s="328"/>
      <c r="E4445" s="23"/>
      <c r="F4445" s="329"/>
      <c r="G4445" s="23"/>
      <c r="H4445" s="23"/>
      <c r="I4445" s="330"/>
      <c r="J4445" s="330"/>
      <c r="K4445" s="23"/>
    </row>
    <row r="4446" spans="1:11" ht="12.75" x14ac:dyDescent="0.2">
      <c r="A4446" s="23"/>
      <c r="B4446" s="328"/>
      <c r="C4446" s="327"/>
      <c r="D4446" s="328"/>
      <c r="E4446" s="23"/>
      <c r="F4446" s="329"/>
      <c r="G4446" s="23"/>
      <c r="H4446" s="23"/>
      <c r="I4446" s="330"/>
      <c r="J4446" s="330"/>
      <c r="K4446" s="23"/>
    </row>
    <row r="4447" spans="1:11" ht="12.75" x14ac:dyDescent="0.2">
      <c r="A4447" s="23"/>
      <c r="B4447" s="328"/>
      <c r="C4447" s="327"/>
      <c r="D4447" s="328"/>
      <c r="E4447" s="23"/>
      <c r="F4447" s="329"/>
      <c r="G4447" s="23"/>
      <c r="H4447" s="23"/>
      <c r="I4447" s="330"/>
      <c r="J4447" s="330"/>
      <c r="K4447" s="23"/>
    </row>
    <row r="4448" spans="1:11" ht="12.75" x14ac:dyDescent="0.2">
      <c r="A4448" s="23"/>
      <c r="B4448" s="328"/>
      <c r="C4448" s="327"/>
      <c r="D4448" s="328"/>
      <c r="E4448" s="23"/>
      <c r="F4448" s="329"/>
      <c r="G4448" s="23"/>
      <c r="H4448" s="23"/>
      <c r="I4448" s="330"/>
      <c r="J4448" s="330"/>
      <c r="K4448" s="23"/>
    </row>
    <row r="4449" spans="1:11" ht="12.75" x14ac:dyDescent="0.2">
      <c r="A4449" s="23"/>
      <c r="B4449" s="328"/>
      <c r="C4449" s="327"/>
      <c r="D4449" s="328"/>
      <c r="E4449" s="23"/>
      <c r="F4449" s="329"/>
      <c r="G4449" s="23"/>
      <c r="H4449" s="23"/>
      <c r="I4449" s="330"/>
      <c r="J4449" s="330"/>
      <c r="K4449" s="23"/>
    </row>
    <row r="4450" spans="1:11" ht="12.75" x14ac:dyDescent="0.2">
      <c r="A4450" s="23"/>
      <c r="B4450" s="328"/>
      <c r="C4450" s="327"/>
      <c r="D4450" s="328"/>
      <c r="E4450" s="23"/>
      <c r="F4450" s="329"/>
      <c r="G4450" s="23"/>
      <c r="H4450" s="23"/>
      <c r="I4450" s="330"/>
      <c r="J4450" s="330"/>
      <c r="K4450" s="23"/>
    </row>
    <row r="4451" spans="1:11" ht="12.75" x14ac:dyDescent="0.2">
      <c r="A4451" s="23"/>
      <c r="B4451" s="328"/>
      <c r="C4451" s="327"/>
      <c r="D4451" s="328"/>
      <c r="E4451" s="23"/>
      <c r="F4451" s="329"/>
      <c r="G4451" s="23"/>
      <c r="H4451" s="23"/>
      <c r="I4451" s="330"/>
      <c r="J4451" s="330"/>
      <c r="K4451" s="23"/>
    </row>
    <row r="4452" spans="1:11" ht="12.75" x14ac:dyDescent="0.2">
      <c r="A4452" s="23"/>
      <c r="B4452" s="328"/>
      <c r="C4452" s="327"/>
      <c r="D4452" s="328"/>
      <c r="E4452" s="23"/>
      <c r="F4452" s="329"/>
      <c r="G4452" s="23"/>
      <c r="H4452" s="23"/>
      <c r="I4452" s="330"/>
      <c r="J4452" s="330"/>
      <c r="K4452" s="23"/>
    </row>
    <row r="4453" spans="1:11" ht="12.75" x14ac:dyDescent="0.2">
      <c r="A4453" s="23"/>
      <c r="B4453" s="328"/>
      <c r="C4453" s="327"/>
      <c r="D4453" s="328"/>
      <c r="E4453" s="23"/>
      <c r="F4453" s="329"/>
      <c r="G4453" s="23"/>
      <c r="H4453" s="23"/>
      <c r="I4453" s="330"/>
      <c r="J4453" s="330"/>
      <c r="K4453" s="23"/>
    </row>
    <row r="4454" spans="1:11" ht="12.75" x14ac:dyDescent="0.2">
      <c r="A4454" s="23"/>
      <c r="B4454" s="328"/>
      <c r="C4454" s="327"/>
      <c r="D4454" s="328"/>
      <c r="E4454" s="23"/>
      <c r="F4454" s="329"/>
      <c r="G4454" s="23"/>
      <c r="H4454" s="23"/>
      <c r="I4454" s="330"/>
      <c r="J4454" s="330"/>
      <c r="K4454" s="23"/>
    </row>
    <row r="4455" spans="1:11" ht="12.75" x14ac:dyDescent="0.2">
      <c r="A4455" s="23"/>
      <c r="B4455" s="328"/>
      <c r="C4455" s="327"/>
      <c r="D4455" s="328"/>
      <c r="E4455" s="23"/>
      <c r="F4455" s="329"/>
      <c r="G4455" s="23"/>
      <c r="H4455" s="23"/>
      <c r="I4455" s="330"/>
      <c r="J4455" s="330"/>
      <c r="K4455" s="23"/>
    </row>
    <row r="4456" spans="1:11" ht="12.75" x14ac:dyDescent="0.2">
      <c r="A4456" s="23"/>
      <c r="B4456" s="328"/>
      <c r="C4456" s="327"/>
      <c r="D4456" s="328"/>
      <c r="E4456" s="23"/>
      <c r="F4456" s="329"/>
      <c r="G4456" s="23"/>
      <c r="H4456" s="23"/>
      <c r="I4456" s="330"/>
      <c r="J4456" s="330"/>
      <c r="K4456" s="23"/>
    </row>
    <row r="4457" spans="1:11" ht="12.75" x14ac:dyDescent="0.2">
      <c r="A4457" s="23"/>
      <c r="B4457" s="328"/>
      <c r="C4457" s="327"/>
      <c r="D4457" s="328"/>
      <c r="E4457" s="23"/>
      <c r="F4457" s="329"/>
      <c r="G4457" s="23"/>
      <c r="H4457" s="23"/>
      <c r="I4457" s="330"/>
      <c r="J4457" s="330"/>
      <c r="K4457" s="23"/>
    </row>
    <row r="4458" spans="1:11" ht="12.75" x14ac:dyDescent="0.2">
      <c r="A4458" s="23"/>
      <c r="B4458" s="328"/>
      <c r="C4458" s="327"/>
      <c r="D4458" s="328"/>
      <c r="E4458" s="23"/>
      <c r="F4458" s="329"/>
      <c r="G4458" s="23"/>
      <c r="H4458" s="23"/>
      <c r="I4458" s="330"/>
      <c r="J4458" s="330"/>
      <c r="K4458" s="23"/>
    </row>
    <row r="4459" spans="1:11" ht="12.75" x14ac:dyDescent="0.2">
      <c r="A4459" s="23"/>
      <c r="B4459" s="328"/>
      <c r="C4459" s="327"/>
      <c r="D4459" s="328"/>
      <c r="E4459" s="23"/>
      <c r="F4459" s="329"/>
      <c r="G4459" s="23"/>
      <c r="H4459" s="23"/>
      <c r="I4459" s="330"/>
      <c r="J4459" s="330"/>
      <c r="K4459" s="23"/>
    </row>
    <row r="4460" spans="1:11" ht="12.75" x14ac:dyDescent="0.2">
      <c r="A4460" s="23"/>
      <c r="B4460" s="328"/>
      <c r="C4460" s="327"/>
      <c r="D4460" s="328"/>
      <c r="E4460" s="23"/>
      <c r="F4460" s="329"/>
      <c r="G4460" s="23"/>
      <c r="H4460" s="23"/>
      <c r="I4460" s="330"/>
      <c r="J4460" s="330"/>
      <c r="K4460" s="23"/>
    </row>
    <row r="4461" spans="1:11" ht="12.75" x14ac:dyDescent="0.2">
      <c r="A4461" s="23"/>
      <c r="B4461" s="328"/>
      <c r="C4461" s="327"/>
      <c r="D4461" s="328"/>
      <c r="E4461" s="23"/>
      <c r="F4461" s="329"/>
      <c r="G4461" s="23"/>
      <c r="H4461" s="23"/>
      <c r="I4461" s="330"/>
      <c r="J4461" s="330"/>
      <c r="K4461" s="23"/>
    </row>
    <row r="4462" spans="1:11" ht="12.75" x14ac:dyDescent="0.2">
      <c r="A4462" s="23"/>
      <c r="B4462" s="328"/>
      <c r="C4462" s="327"/>
      <c r="D4462" s="328"/>
      <c r="E4462" s="23"/>
      <c r="F4462" s="329"/>
      <c r="G4462" s="23"/>
      <c r="H4462" s="23"/>
      <c r="I4462" s="330"/>
      <c r="J4462" s="330"/>
      <c r="K4462" s="23"/>
    </row>
    <row r="4463" spans="1:11" ht="12.75" x14ac:dyDescent="0.2">
      <c r="A4463" s="23"/>
      <c r="B4463" s="328"/>
      <c r="C4463" s="327"/>
      <c r="D4463" s="328"/>
      <c r="E4463" s="23"/>
      <c r="F4463" s="329"/>
      <c r="G4463" s="23"/>
      <c r="H4463" s="23"/>
      <c r="I4463" s="330"/>
      <c r="J4463" s="330"/>
      <c r="K4463" s="23"/>
    </row>
    <row r="4464" spans="1:11" ht="12.75" x14ac:dyDescent="0.2">
      <c r="A4464" s="23"/>
      <c r="B4464" s="328"/>
      <c r="C4464" s="327"/>
      <c r="D4464" s="328"/>
      <c r="E4464" s="23"/>
      <c r="F4464" s="329"/>
      <c r="G4464" s="23"/>
      <c r="H4464" s="23"/>
      <c r="I4464" s="330"/>
      <c r="J4464" s="330"/>
      <c r="K4464" s="23"/>
    </row>
    <row r="4465" spans="1:11" ht="12.75" x14ac:dyDescent="0.2">
      <c r="A4465" s="23"/>
      <c r="B4465" s="328"/>
      <c r="C4465" s="327"/>
      <c r="D4465" s="328"/>
      <c r="E4465" s="23"/>
      <c r="F4465" s="329"/>
      <c r="G4465" s="23"/>
      <c r="H4465" s="23"/>
      <c r="I4465" s="330"/>
      <c r="J4465" s="330"/>
      <c r="K4465" s="23"/>
    </row>
    <row r="4466" spans="1:11" ht="12.75" x14ac:dyDescent="0.2">
      <c r="A4466" s="23"/>
      <c r="B4466" s="328"/>
      <c r="C4466" s="327"/>
      <c r="D4466" s="328"/>
      <c r="E4466" s="23"/>
      <c r="F4466" s="329"/>
      <c r="G4466" s="23"/>
      <c r="H4466" s="23"/>
      <c r="I4466" s="330"/>
      <c r="J4466" s="330"/>
      <c r="K4466" s="23"/>
    </row>
    <row r="4467" spans="1:11" ht="12.75" x14ac:dyDescent="0.2">
      <c r="A4467" s="23"/>
      <c r="B4467" s="328"/>
      <c r="C4467" s="327"/>
      <c r="D4467" s="328"/>
      <c r="E4467" s="23"/>
      <c r="F4467" s="329"/>
      <c r="G4467" s="23"/>
      <c r="H4467" s="23"/>
      <c r="I4467" s="330"/>
      <c r="J4467" s="330"/>
      <c r="K4467" s="23"/>
    </row>
    <row r="4468" spans="1:11" ht="12.75" x14ac:dyDescent="0.2">
      <c r="A4468" s="23"/>
      <c r="B4468" s="328"/>
      <c r="C4468" s="327"/>
      <c r="D4468" s="328"/>
      <c r="E4468" s="23"/>
      <c r="F4468" s="329"/>
      <c r="G4468" s="23"/>
      <c r="H4468" s="23"/>
      <c r="I4468" s="330"/>
      <c r="J4468" s="330"/>
      <c r="K4468" s="23"/>
    </row>
    <row r="4469" spans="1:11" ht="12.75" x14ac:dyDescent="0.2">
      <c r="A4469" s="23"/>
      <c r="B4469" s="328"/>
      <c r="C4469" s="327"/>
      <c r="D4469" s="328"/>
      <c r="E4469" s="23"/>
      <c r="F4469" s="329"/>
      <c r="G4469" s="23"/>
      <c r="H4469" s="23"/>
      <c r="I4469" s="330"/>
      <c r="J4469" s="330"/>
      <c r="K4469" s="23"/>
    </row>
    <row r="4470" spans="1:11" ht="12.75" x14ac:dyDescent="0.2">
      <c r="A4470" s="23"/>
      <c r="B4470" s="328"/>
      <c r="C4470" s="327"/>
      <c r="D4470" s="328"/>
      <c r="E4470" s="23"/>
      <c r="F4470" s="329"/>
      <c r="G4470" s="23"/>
      <c r="H4470" s="23"/>
      <c r="I4470" s="330"/>
      <c r="J4470" s="330"/>
      <c r="K4470" s="23"/>
    </row>
    <row r="4471" spans="1:11" ht="12.75" x14ac:dyDescent="0.2">
      <c r="A4471" s="23"/>
      <c r="B4471" s="328"/>
      <c r="C4471" s="327"/>
      <c r="D4471" s="328"/>
      <c r="E4471" s="23"/>
      <c r="F4471" s="329"/>
      <c r="G4471" s="23"/>
      <c r="H4471" s="23"/>
      <c r="I4471" s="330"/>
      <c r="J4471" s="330"/>
      <c r="K4471" s="23"/>
    </row>
    <row r="4472" spans="1:11" ht="12.75" x14ac:dyDescent="0.2">
      <c r="A4472" s="23"/>
      <c r="B4472" s="328"/>
      <c r="C4472" s="327"/>
      <c r="D4472" s="328"/>
      <c r="E4472" s="23"/>
      <c r="F4472" s="329"/>
      <c r="G4472" s="23"/>
      <c r="H4472" s="23"/>
      <c r="I4472" s="330"/>
      <c r="J4472" s="330"/>
      <c r="K4472" s="23"/>
    </row>
    <row r="4473" spans="1:11" ht="12.75" x14ac:dyDescent="0.2">
      <c r="A4473" s="23"/>
      <c r="B4473" s="328"/>
      <c r="C4473" s="327"/>
      <c r="D4473" s="328"/>
      <c r="E4473" s="23"/>
      <c r="F4473" s="329"/>
      <c r="G4473" s="23"/>
      <c r="H4473" s="23"/>
      <c r="I4473" s="330"/>
      <c r="J4473" s="330"/>
      <c r="K4473" s="23"/>
    </row>
    <row r="4474" spans="1:11" ht="12.75" x14ac:dyDescent="0.2">
      <c r="A4474" s="23"/>
      <c r="B4474" s="328"/>
      <c r="C4474" s="327"/>
      <c r="D4474" s="328"/>
      <c r="E4474" s="23"/>
      <c r="F4474" s="329"/>
      <c r="G4474" s="23"/>
      <c r="H4474" s="23"/>
      <c r="I4474" s="330"/>
      <c r="J4474" s="330"/>
      <c r="K4474" s="23"/>
    </row>
    <row r="4475" spans="1:11" ht="12.75" x14ac:dyDescent="0.2">
      <c r="A4475" s="23"/>
      <c r="B4475" s="328"/>
      <c r="C4475" s="327"/>
      <c r="D4475" s="328"/>
      <c r="E4475" s="23"/>
      <c r="F4475" s="329"/>
      <c r="G4475" s="23"/>
      <c r="H4475" s="23"/>
      <c r="I4475" s="330"/>
      <c r="J4475" s="330"/>
      <c r="K4475" s="23"/>
    </row>
    <row r="4476" spans="1:11" ht="12.75" x14ac:dyDescent="0.2">
      <c r="A4476" s="23"/>
      <c r="B4476" s="328"/>
      <c r="C4476" s="327"/>
      <c r="D4476" s="328"/>
      <c r="E4476" s="23"/>
      <c r="F4476" s="329"/>
      <c r="G4476" s="23"/>
      <c r="H4476" s="23"/>
      <c r="I4476" s="330"/>
      <c r="J4476" s="330"/>
      <c r="K4476" s="23"/>
    </row>
    <row r="4477" spans="1:11" ht="12.75" x14ac:dyDescent="0.2">
      <c r="A4477" s="23"/>
      <c r="B4477" s="328"/>
      <c r="C4477" s="327"/>
      <c r="D4477" s="328"/>
      <c r="E4477" s="23"/>
      <c r="F4477" s="329"/>
      <c r="G4477" s="23"/>
      <c r="H4477" s="23"/>
      <c r="I4477" s="330"/>
      <c r="J4477" s="330"/>
      <c r="K4477" s="23"/>
    </row>
    <row r="4478" spans="1:11" ht="12.75" x14ac:dyDescent="0.2">
      <c r="A4478" s="23"/>
      <c r="B4478" s="328"/>
      <c r="C4478" s="327"/>
      <c r="D4478" s="328"/>
      <c r="E4478" s="23"/>
      <c r="F4478" s="329"/>
      <c r="G4478" s="23"/>
      <c r="H4478" s="23"/>
      <c r="I4478" s="330"/>
      <c r="J4478" s="330"/>
      <c r="K4478" s="23"/>
    </row>
    <row r="4479" spans="1:11" ht="12.75" x14ac:dyDescent="0.2">
      <c r="A4479" s="23"/>
      <c r="B4479" s="328"/>
      <c r="C4479" s="327"/>
      <c r="D4479" s="328"/>
      <c r="E4479" s="23"/>
      <c r="F4479" s="329"/>
      <c r="G4479" s="23"/>
      <c r="H4479" s="23"/>
      <c r="I4479" s="330"/>
      <c r="J4479" s="330"/>
      <c r="K4479" s="23"/>
    </row>
    <row r="4480" spans="1:11" ht="12.75" x14ac:dyDescent="0.2">
      <c r="A4480" s="23"/>
      <c r="B4480" s="328"/>
      <c r="C4480" s="327"/>
      <c r="D4480" s="328"/>
      <c r="E4480" s="23"/>
      <c r="F4480" s="329"/>
      <c r="G4480" s="23"/>
      <c r="H4480" s="23"/>
      <c r="I4480" s="330"/>
      <c r="J4480" s="330"/>
      <c r="K4480" s="23"/>
    </row>
    <row r="4481" spans="1:11" ht="12.75" x14ac:dyDescent="0.2">
      <c r="A4481" s="23"/>
      <c r="B4481" s="328"/>
      <c r="C4481" s="327"/>
      <c r="D4481" s="328"/>
      <c r="E4481" s="23"/>
      <c r="F4481" s="329"/>
      <c r="G4481" s="23"/>
      <c r="H4481" s="23"/>
      <c r="I4481" s="330"/>
      <c r="J4481" s="330"/>
      <c r="K4481" s="23"/>
    </row>
    <row r="4482" spans="1:11" ht="12.75" x14ac:dyDescent="0.2">
      <c r="A4482" s="23"/>
      <c r="B4482" s="328"/>
      <c r="C4482" s="327"/>
      <c r="D4482" s="328"/>
      <c r="E4482" s="23"/>
      <c r="F4482" s="329"/>
      <c r="G4482" s="23"/>
      <c r="H4482" s="23"/>
      <c r="I4482" s="330"/>
      <c r="J4482" s="330"/>
      <c r="K4482" s="23"/>
    </row>
    <row r="4483" spans="1:11" ht="12.75" x14ac:dyDescent="0.2">
      <c r="A4483" s="23"/>
      <c r="B4483" s="328"/>
      <c r="C4483" s="327"/>
      <c r="D4483" s="328"/>
      <c r="E4483" s="23"/>
      <c r="F4483" s="329"/>
      <c r="G4483" s="23"/>
      <c r="H4483" s="23"/>
      <c r="I4483" s="330"/>
      <c r="J4483" s="330"/>
      <c r="K4483" s="23"/>
    </row>
    <row r="4484" spans="1:11" ht="12.75" x14ac:dyDescent="0.2">
      <c r="A4484" s="23"/>
      <c r="B4484" s="328"/>
      <c r="C4484" s="327"/>
      <c r="D4484" s="328"/>
      <c r="E4484" s="23"/>
      <c r="F4484" s="329"/>
      <c r="G4484" s="23"/>
      <c r="H4484" s="23"/>
      <c r="I4484" s="330"/>
      <c r="J4484" s="330"/>
      <c r="K4484" s="23"/>
    </row>
    <row r="4485" spans="1:11" ht="12.75" x14ac:dyDescent="0.2">
      <c r="A4485" s="23"/>
      <c r="B4485" s="328"/>
      <c r="C4485" s="327"/>
      <c r="D4485" s="328"/>
      <c r="E4485" s="23"/>
      <c r="F4485" s="329"/>
      <c r="G4485" s="23"/>
      <c r="H4485" s="23"/>
      <c r="I4485" s="330"/>
      <c r="J4485" s="330"/>
      <c r="K4485" s="23"/>
    </row>
    <row r="4486" spans="1:11" ht="12.75" x14ac:dyDescent="0.2">
      <c r="A4486" s="23"/>
      <c r="B4486" s="328"/>
      <c r="C4486" s="327"/>
      <c r="D4486" s="328"/>
      <c r="E4486" s="23"/>
      <c r="F4486" s="329"/>
      <c r="G4486" s="23"/>
      <c r="H4486" s="23"/>
      <c r="I4486" s="330"/>
      <c r="J4486" s="330"/>
      <c r="K4486" s="23"/>
    </row>
    <row r="4487" spans="1:11" ht="12.75" x14ac:dyDescent="0.2">
      <c r="A4487" s="23"/>
      <c r="B4487" s="328"/>
      <c r="C4487" s="327"/>
      <c r="D4487" s="328"/>
      <c r="E4487" s="23"/>
      <c r="F4487" s="329"/>
      <c r="G4487" s="23"/>
      <c r="H4487" s="23"/>
      <c r="I4487" s="330"/>
      <c r="J4487" s="330"/>
      <c r="K4487" s="23"/>
    </row>
    <row r="4488" spans="1:11" ht="12.75" x14ac:dyDescent="0.2">
      <c r="A4488" s="23"/>
      <c r="B4488" s="328"/>
      <c r="C4488" s="327"/>
      <c r="D4488" s="328"/>
      <c r="E4488" s="23"/>
      <c r="F4488" s="329"/>
      <c r="G4488" s="23"/>
      <c r="H4488" s="23"/>
      <c r="I4488" s="330"/>
      <c r="J4488" s="330"/>
      <c r="K4488" s="23"/>
    </row>
    <row r="4489" spans="1:11" ht="12.75" x14ac:dyDescent="0.2">
      <c r="A4489" s="23"/>
      <c r="B4489" s="328"/>
      <c r="C4489" s="327"/>
      <c r="D4489" s="328"/>
      <c r="E4489" s="23"/>
      <c r="F4489" s="329"/>
      <c r="G4489" s="23"/>
      <c r="H4489" s="23"/>
      <c r="I4489" s="330"/>
      <c r="J4489" s="330"/>
      <c r="K4489" s="23"/>
    </row>
    <row r="4490" spans="1:11" ht="12.75" x14ac:dyDescent="0.2">
      <c r="A4490" s="23"/>
      <c r="B4490" s="328"/>
      <c r="C4490" s="327"/>
      <c r="D4490" s="328"/>
      <c r="E4490" s="23"/>
      <c r="F4490" s="329"/>
      <c r="G4490" s="23"/>
      <c r="H4490" s="23"/>
      <c r="I4490" s="330"/>
      <c r="J4490" s="330"/>
      <c r="K4490" s="23"/>
    </row>
    <row r="4491" spans="1:11" ht="12.75" x14ac:dyDescent="0.2">
      <c r="A4491" s="23"/>
      <c r="B4491" s="328"/>
      <c r="C4491" s="327"/>
      <c r="D4491" s="328"/>
      <c r="E4491" s="23"/>
      <c r="F4491" s="329"/>
      <c r="G4491" s="23"/>
      <c r="H4491" s="23"/>
      <c r="I4491" s="330"/>
      <c r="J4491" s="330"/>
      <c r="K4491" s="23"/>
    </row>
    <row r="4492" spans="1:11" ht="12.75" x14ac:dyDescent="0.2">
      <c r="A4492" s="23"/>
      <c r="B4492" s="328"/>
      <c r="C4492" s="327"/>
      <c r="D4492" s="328"/>
      <c r="E4492" s="23"/>
      <c r="F4492" s="329"/>
      <c r="G4492" s="23"/>
      <c r="H4492" s="23"/>
      <c r="I4492" s="330"/>
      <c r="J4492" s="330"/>
      <c r="K4492" s="23"/>
    </row>
    <row r="4493" spans="1:11" ht="12.75" x14ac:dyDescent="0.2">
      <c r="A4493" s="23"/>
      <c r="B4493" s="328"/>
      <c r="C4493" s="327"/>
      <c r="D4493" s="328"/>
      <c r="E4493" s="23"/>
      <c r="F4493" s="329"/>
      <c r="G4493" s="23"/>
      <c r="H4493" s="23"/>
      <c r="I4493" s="330"/>
      <c r="J4493" s="330"/>
      <c r="K4493" s="23"/>
    </row>
    <row r="4494" spans="1:11" ht="12.75" x14ac:dyDescent="0.2">
      <c r="A4494" s="23"/>
      <c r="B4494" s="328"/>
      <c r="C4494" s="327"/>
      <c r="D4494" s="328"/>
      <c r="E4494" s="23"/>
      <c r="F4494" s="329"/>
      <c r="G4494" s="23"/>
      <c r="H4494" s="23"/>
      <c r="I4494" s="330"/>
      <c r="J4494" s="330"/>
      <c r="K4494" s="23"/>
    </row>
    <row r="4495" spans="1:11" ht="12.75" x14ac:dyDescent="0.2">
      <c r="A4495" s="23"/>
      <c r="B4495" s="328"/>
      <c r="C4495" s="327"/>
      <c r="D4495" s="328"/>
      <c r="E4495" s="23"/>
      <c r="F4495" s="329"/>
      <c r="G4495" s="23"/>
      <c r="H4495" s="23"/>
      <c r="I4495" s="330"/>
      <c r="J4495" s="330"/>
      <c r="K4495" s="23"/>
    </row>
    <row r="4496" spans="1:11" ht="12.75" x14ac:dyDescent="0.2">
      <c r="A4496" s="23"/>
      <c r="B4496" s="328"/>
      <c r="C4496" s="327"/>
      <c r="D4496" s="328"/>
      <c r="E4496" s="23"/>
      <c r="F4496" s="329"/>
      <c r="G4496" s="23"/>
      <c r="H4496" s="23"/>
      <c r="I4496" s="330"/>
      <c r="J4496" s="330"/>
      <c r="K4496" s="23"/>
    </row>
    <row r="4497" spans="1:11" ht="12.75" x14ac:dyDescent="0.2">
      <c r="A4497" s="23"/>
      <c r="B4497" s="328"/>
      <c r="C4497" s="327"/>
      <c r="D4497" s="328"/>
      <c r="E4497" s="23"/>
      <c r="F4497" s="329"/>
      <c r="G4497" s="23"/>
      <c r="H4497" s="23"/>
      <c r="I4497" s="330"/>
      <c r="J4497" s="330"/>
      <c r="K4497" s="23"/>
    </row>
    <row r="4498" spans="1:11" ht="12.75" x14ac:dyDescent="0.2">
      <c r="A4498" s="23"/>
      <c r="B4498" s="328"/>
      <c r="C4498" s="327"/>
      <c r="D4498" s="328"/>
      <c r="E4498" s="23"/>
      <c r="F4498" s="329"/>
      <c r="G4498" s="23"/>
      <c r="H4498" s="23"/>
      <c r="I4498" s="330"/>
      <c r="J4498" s="330"/>
      <c r="K4498" s="23"/>
    </row>
    <row r="4499" spans="1:11" ht="12.75" x14ac:dyDescent="0.2">
      <c r="A4499" s="23"/>
      <c r="B4499" s="328"/>
      <c r="C4499" s="327"/>
      <c r="D4499" s="328"/>
      <c r="E4499" s="23"/>
      <c r="F4499" s="329"/>
      <c r="G4499" s="23"/>
      <c r="H4499" s="23"/>
      <c r="I4499" s="330"/>
      <c r="J4499" s="330"/>
      <c r="K4499" s="23"/>
    </row>
    <row r="4500" spans="1:11" ht="12.75" x14ac:dyDescent="0.2">
      <c r="A4500" s="23"/>
      <c r="B4500" s="328"/>
      <c r="C4500" s="327"/>
      <c r="D4500" s="328"/>
      <c r="E4500" s="23"/>
      <c r="F4500" s="329"/>
      <c r="G4500" s="23"/>
      <c r="H4500" s="23"/>
      <c r="I4500" s="330"/>
      <c r="J4500" s="330"/>
      <c r="K4500" s="23"/>
    </row>
    <row r="4501" spans="1:11" ht="12.75" x14ac:dyDescent="0.2">
      <c r="A4501" s="23"/>
      <c r="B4501" s="328"/>
      <c r="C4501" s="327"/>
      <c r="D4501" s="328"/>
      <c r="E4501" s="23"/>
      <c r="F4501" s="329"/>
      <c r="G4501" s="23"/>
      <c r="H4501" s="23"/>
      <c r="I4501" s="330"/>
      <c r="J4501" s="330"/>
      <c r="K4501" s="23"/>
    </row>
    <row r="4502" spans="1:11" ht="12.75" x14ac:dyDescent="0.2">
      <c r="A4502" s="23"/>
      <c r="B4502" s="328"/>
      <c r="C4502" s="327"/>
      <c r="D4502" s="328"/>
      <c r="E4502" s="23"/>
      <c r="F4502" s="329"/>
      <c r="G4502" s="23"/>
      <c r="H4502" s="23"/>
      <c r="I4502" s="330"/>
      <c r="J4502" s="330"/>
      <c r="K4502" s="23"/>
    </row>
    <row r="4503" spans="1:11" ht="12.75" x14ac:dyDescent="0.2">
      <c r="A4503" s="23"/>
      <c r="B4503" s="328"/>
      <c r="C4503" s="327"/>
      <c r="D4503" s="328"/>
      <c r="E4503" s="23"/>
      <c r="F4503" s="329"/>
      <c r="G4503" s="23"/>
      <c r="H4503" s="23"/>
      <c r="I4503" s="330"/>
      <c r="J4503" s="330"/>
      <c r="K4503" s="23"/>
    </row>
    <row r="4504" spans="1:11" ht="12.75" x14ac:dyDescent="0.2">
      <c r="A4504" s="23"/>
      <c r="B4504" s="328"/>
      <c r="C4504" s="327"/>
      <c r="D4504" s="328"/>
      <c r="E4504" s="23"/>
      <c r="F4504" s="329"/>
      <c r="G4504" s="23"/>
      <c r="H4504" s="23"/>
      <c r="I4504" s="330"/>
      <c r="J4504" s="330"/>
      <c r="K4504" s="23"/>
    </row>
    <row r="4505" spans="1:11" ht="12.75" x14ac:dyDescent="0.2">
      <c r="A4505" s="23"/>
      <c r="B4505" s="328"/>
      <c r="C4505" s="327"/>
      <c r="D4505" s="328"/>
      <c r="E4505" s="23"/>
      <c r="F4505" s="329"/>
      <c r="G4505" s="23"/>
      <c r="H4505" s="23"/>
      <c r="I4505" s="330"/>
      <c r="J4505" s="330"/>
      <c r="K4505" s="23"/>
    </row>
    <row r="4506" spans="1:11" ht="12.75" x14ac:dyDescent="0.2">
      <c r="A4506" s="23"/>
      <c r="B4506" s="328"/>
      <c r="C4506" s="327"/>
      <c r="D4506" s="328"/>
      <c r="E4506" s="23"/>
      <c r="F4506" s="329"/>
      <c r="G4506" s="23"/>
      <c r="H4506" s="23"/>
      <c r="I4506" s="330"/>
      <c r="J4506" s="330"/>
      <c r="K4506" s="23"/>
    </row>
    <row r="4507" spans="1:11" ht="12.75" x14ac:dyDescent="0.2">
      <c r="A4507" s="23"/>
      <c r="B4507" s="328"/>
      <c r="C4507" s="327"/>
      <c r="D4507" s="328"/>
      <c r="E4507" s="23"/>
      <c r="F4507" s="329"/>
      <c r="G4507" s="23"/>
      <c r="H4507" s="23"/>
      <c r="I4507" s="330"/>
      <c r="J4507" s="330"/>
      <c r="K4507" s="23"/>
    </row>
    <row r="4508" spans="1:11" ht="12.75" x14ac:dyDescent="0.2">
      <c r="A4508" s="23"/>
      <c r="B4508" s="328"/>
      <c r="C4508" s="327"/>
      <c r="D4508" s="328"/>
      <c r="E4508" s="23"/>
      <c r="F4508" s="329"/>
      <c r="G4508" s="23"/>
      <c r="H4508" s="23"/>
      <c r="I4508" s="330"/>
      <c r="J4508" s="330"/>
      <c r="K4508" s="23"/>
    </row>
    <row r="4509" spans="1:11" ht="12.75" x14ac:dyDescent="0.2">
      <c r="A4509" s="23"/>
      <c r="B4509" s="328"/>
      <c r="C4509" s="327"/>
      <c r="D4509" s="328"/>
      <c r="E4509" s="23"/>
      <c r="F4509" s="329"/>
      <c r="G4509" s="23"/>
      <c r="H4509" s="23"/>
      <c r="I4509" s="330"/>
      <c r="J4509" s="330"/>
      <c r="K4509" s="23"/>
    </row>
    <row r="4510" spans="1:11" ht="12.75" x14ac:dyDescent="0.2">
      <c r="A4510" s="23"/>
      <c r="B4510" s="328"/>
      <c r="C4510" s="327"/>
      <c r="D4510" s="328"/>
      <c r="E4510" s="23"/>
      <c r="F4510" s="329"/>
      <c r="G4510" s="23"/>
      <c r="H4510" s="23"/>
      <c r="I4510" s="330"/>
      <c r="J4510" s="330"/>
      <c r="K4510" s="23"/>
    </row>
    <row r="4511" spans="1:11" ht="12.75" x14ac:dyDescent="0.2">
      <c r="A4511" s="23"/>
      <c r="B4511" s="328"/>
      <c r="C4511" s="327"/>
      <c r="D4511" s="328"/>
      <c r="E4511" s="23"/>
      <c r="F4511" s="329"/>
      <c r="G4511" s="23"/>
      <c r="H4511" s="23"/>
      <c r="I4511" s="330"/>
      <c r="J4511" s="330"/>
      <c r="K4511" s="23"/>
    </row>
    <row r="4512" spans="1:11" ht="12.75" x14ac:dyDescent="0.2">
      <c r="A4512" s="23"/>
      <c r="B4512" s="328"/>
      <c r="C4512" s="327"/>
      <c r="D4512" s="328"/>
      <c r="E4512" s="23"/>
      <c r="F4512" s="329"/>
      <c r="G4512" s="23"/>
      <c r="H4512" s="23"/>
      <c r="I4512" s="330"/>
      <c r="J4512" s="330"/>
      <c r="K4512" s="23"/>
    </row>
    <row r="4513" spans="1:11" ht="12.75" x14ac:dyDescent="0.2">
      <c r="A4513" s="23"/>
      <c r="B4513" s="328"/>
      <c r="C4513" s="327"/>
      <c r="D4513" s="328"/>
      <c r="E4513" s="23"/>
      <c r="F4513" s="329"/>
      <c r="G4513" s="23"/>
      <c r="H4513" s="23"/>
      <c r="I4513" s="330"/>
      <c r="J4513" s="330"/>
      <c r="K4513" s="23"/>
    </row>
    <row r="4514" spans="1:11" ht="12.75" x14ac:dyDescent="0.2">
      <c r="A4514" s="23"/>
      <c r="B4514" s="328"/>
      <c r="C4514" s="327"/>
      <c r="D4514" s="328"/>
      <c r="E4514" s="23"/>
      <c r="F4514" s="329"/>
      <c r="G4514" s="23"/>
      <c r="H4514" s="23"/>
      <c r="I4514" s="330"/>
      <c r="J4514" s="330"/>
      <c r="K4514" s="23"/>
    </row>
    <row r="4515" spans="1:11" ht="12.75" x14ac:dyDescent="0.2">
      <c r="A4515" s="23"/>
      <c r="B4515" s="328"/>
      <c r="C4515" s="327"/>
      <c r="D4515" s="328"/>
      <c r="E4515" s="23"/>
      <c r="F4515" s="329"/>
      <c r="G4515" s="23"/>
      <c r="H4515" s="23"/>
      <c r="I4515" s="330"/>
      <c r="J4515" s="330"/>
      <c r="K4515" s="23"/>
    </row>
    <row r="4516" spans="1:11" ht="12.75" x14ac:dyDescent="0.2">
      <c r="A4516" s="23"/>
      <c r="B4516" s="328"/>
      <c r="C4516" s="327"/>
      <c r="D4516" s="328"/>
      <c r="E4516" s="23"/>
      <c r="F4516" s="329"/>
      <c r="G4516" s="23"/>
      <c r="H4516" s="23"/>
      <c r="I4516" s="330"/>
      <c r="J4516" s="330"/>
      <c r="K4516" s="23"/>
    </row>
    <row r="4517" spans="1:11" ht="12.75" x14ac:dyDescent="0.2">
      <c r="A4517" s="23"/>
      <c r="B4517" s="328"/>
      <c r="C4517" s="327"/>
      <c r="D4517" s="328"/>
      <c r="E4517" s="23"/>
      <c r="F4517" s="329"/>
      <c r="G4517" s="23"/>
      <c r="H4517" s="23"/>
      <c r="I4517" s="330"/>
      <c r="J4517" s="330"/>
      <c r="K4517" s="23"/>
    </row>
    <row r="4518" spans="1:11" ht="12.75" x14ac:dyDescent="0.2">
      <c r="A4518" s="23"/>
      <c r="B4518" s="328"/>
      <c r="C4518" s="327"/>
      <c r="D4518" s="328"/>
      <c r="E4518" s="23"/>
      <c r="F4518" s="329"/>
      <c r="G4518" s="23"/>
      <c r="H4518" s="23"/>
      <c r="I4518" s="330"/>
      <c r="J4518" s="330"/>
      <c r="K4518" s="23"/>
    </row>
    <row r="4519" spans="1:11" ht="12.75" x14ac:dyDescent="0.2">
      <c r="A4519" s="23"/>
      <c r="B4519" s="328"/>
      <c r="C4519" s="327"/>
      <c r="D4519" s="328"/>
      <c r="E4519" s="23"/>
      <c r="F4519" s="329"/>
      <c r="G4519" s="23"/>
      <c r="H4519" s="23"/>
      <c r="I4519" s="330"/>
      <c r="J4519" s="330"/>
      <c r="K4519" s="23"/>
    </row>
    <row r="4520" spans="1:11" ht="12.75" x14ac:dyDescent="0.2">
      <c r="A4520" s="23"/>
      <c r="B4520" s="328"/>
      <c r="C4520" s="327"/>
      <c r="D4520" s="328"/>
      <c r="E4520" s="23"/>
      <c r="F4520" s="329"/>
      <c r="G4520" s="23"/>
      <c r="H4520" s="23"/>
      <c r="I4520" s="330"/>
      <c r="J4520" s="330"/>
      <c r="K4520" s="23"/>
    </row>
    <row r="4521" spans="1:11" ht="12.75" x14ac:dyDescent="0.2">
      <c r="A4521" s="23"/>
      <c r="B4521" s="328"/>
      <c r="C4521" s="327"/>
      <c r="D4521" s="328"/>
      <c r="E4521" s="23"/>
      <c r="F4521" s="329"/>
      <c r="G4521" s="23"/>
      <c r="H4521" s="23"/>
      <c r="I4521" s="330"/>
      <c r="J4521" s="330"/>
      <c r="K4521" s="23"/>
    </row>
    <row r="4522" spans="1:11" ht="12.75" x14ac:dyDescent="0.2">
      <c r="A4522" s="23"/>
      <c r="B4522" s="328"/>
      <c r="C4522" s="327"/>
      <c r="D4522" s="328"/>
      <c r="E4522" s="23"/>
      <c r="F4522" s="329"/>
      <c r="G4522" s="23"/>
      <c r="H4522" s="23"/>
      <c r="I4522" s="330"/>
      <c r="J4522" s="330"/>
      <c r="K4522" s="23"/>
    </row>
    <row r="4523" spans="1:11" ht="12.75" x14ac:dyDescent="0.2">
      <c r="A4523" s="23"/>
      <c r="B4523" s="328"/>
      <c r="C4523" s="327"/>
      <c r="D4523" s="328"/>
      <c r="E4523" s="23"/>
      <c r="F4523" s="329"/>
      <c r="G4523" s="23"/>
      <c r="H4523" s="23"/>
      <c r="I4523" s="330"/>
      <c r="J4523" s="330"/>
      <c r="K4523" s="23"/>
    </row>
    <row r="4524" spans="1:11" ht="12.75" x14ac:dyDescent="0.2">
      <c r="A4524" s="23"/>
      <c r="B4524" s="328"/>
      <c r="C4524" s="327"/>
      <c r="D4524" s="328"/>
      <c r="E4524" s="23"/>
      <c r="F4524" s="329"/>
      <c r="G4524" s="23"/>
      <c r="H4524" s="23"/>
      <c r="I4524" s="330"/>
      <c r="J4524" s="330"/>
      <c r="K4524" s="23"/>
    </row>
    <row r="4525" spans="1:11" ht="12.75" x14ac:dyDescent="0.2">
      <c r="A4525" s="23"/>
      <c r="B4525" s="328"/>
      <c r="C4525" s="327"/>
      <c r="D4525" s="328"/>
      <c r="E4525" s="23"/>
      <c r="F4525" s="329"/>
      <c r="G4525" s="23"/>
      <c r="H4525" s="23"/>
      <c r="I4525" s="330"/>
      <c r="J4525" s="330"/>
      <c r="K4525" s="23"/>
    </row>
    <row r="4526" spans="1:11" ht="12.75" x14ac:dyDescent="0.2">
      <c r="A4526" s="23"/>
      <c r="B4526" s="328"/>
      <c r="C4526" s="327"/>
      <c r="D4526" s="328"/>
      <c r="E4526" s="23"/>
      <c r="F4526" s="329"/>
      <c r="G4526" s="23"/>
      <c r="H4526" s="23"/>
      <c r="I4526" s="330"/>
      <c r="J4526" s="330"/>
      <c r="K4526" s="23"/>
    </row>
    <row r="4527" spans="1:11" ht="12.75" x14ac:dyDescent="0.2">
      <c r="A4527" s="23"/>
      <c r="B4527" s="328"/>
      <c r="C4527" s="327"/>
      <c r="D4527" s="328"/>
      <c r="E4527" s="23"/>
      <c r="F4527" s="329"/>
      <c r="G4527" s="23"/>
      <c r="H4527" s="23"/>
      <c r="I4527" s="330"/>
      <c r="J4527" s="330"/>
      <c r="K4527" s="23"/>
    </row>
    <row r="4528" spans="1:11" ht="12.75" x14ac:dyDescent="0.2">
      <c r="A4528" s="23"/>
      <c r="B4528" s="328"/>
      <c r="C4528" s="327"/>
      <c r="D4528" s="328"/>
      <c r="E4528" s="23"/>
      <c r="F4528" s="329"/>
      <c r="G4528" s="23"/>
      <c r="H4528" s="23"/>
      <c r="I4528" s="330"/>
      <c r="J4528" s="330"/>
      <c r="K4528" s="23"/>
    </row>
    <row r="4529" spans="1:11" ht="12.75" x14ac:dyDescent="0.2">
      <c r="A4529" s="23"/>
      <c r="B4529" s="328"/>
      <c r="C4529" s="327"/>
      <c r="D4529" s="328"/>
      <c r="E4529" s="23"/>
      <c r="F4529" s="329"/>
      <c r="G4529" s="23"/>
      <c r="H4529" s="23"/>
      <c r="I4529" s="330"/>
      <c r="J4529" s="330"/>
      <c r="K4529" s="23"/>
    </row>
    <row r="4530" spans="1:11" ht="12.75" x14ac:dyDescent="0.2">
      <c r="A4530" s="23"/>
      <c r="B4530" s="328"/>
      <c r="C4530" s="327"/>
      <c r="D4530" s="328"/>
      <c r="E4530" s="23"/>
      <c r="F4530" s="329"/>
      <c r="G4530" s="23"/>
      <c r="H4530" s="23"/>
      <c r="I4530" s="330"/>
      <c r="J4530" s="330"/>
      <c r="K4530" s="23"/>
    </row>
    <row r="4531" spans="1:11" ht="12.75" x14ac:dyDescent="0.2">
      <c r="A4531" s="23"/>
      <c r="B4531" s="328"/>
      <c r="C4531" s="327"/>
      <c r="D4531" s="328"/>
      <c r="E4531" s="23"/>
      <c r="F4531" s="329"/>
      <c r="G4531" s="23"/>
      <c r="H4531" s="23"/>
      <c r="I4531" s="330"/>
      <c r="J4531" s="330"/>
      <c r="K4531" s="23"/>
    </row>
    <row r="4532" spans="1:11" ht="12.75" x14ac:dyDescent="0.2">
      <c r="A4532" s="23"/>
      <c r="B4532" s="328"/>
      <c r="C4532" s="327"/>
      <c r="D4532" s="328"/>
      <c r="E4532" s="23"/>
      <c r="F4532" s="329"/>
      <c r="G4532" s="23"/>
      <c r="H4532" s="23"/>
      <c r="I4532" s="330"/>
      <c r="J4532" s="330"/>
      <c r="K4532" s="23"/>
    </row>
    <row r="4533" spans="1:11" ht="12.75" x14ac:dyDescent="0.2">
      <c r="A4533" s="23"/>
      <c r="B4533" s="328"/>
      <c r="C4533" s="327"/>
      <c r="D4533" s="328"/>
      <c r="E4533" s="23"/>
      <c r="F4533" s="329"/>
      <c r="G4533" s="23"/>
      <c r="H4533" s="23"/>
      <c r="I4533" s="330"/>
      <c r="J4533" s="330"/>
      <c r="K4533" s="23"/>
    </row>
    <row r="4534" spans="1:11" ht="12.75" x14ac:dyDescent="0.2">
      <c r="A4534" s="23"/>
      <c r="B4534" s="328"/>
      <c r="C4534" s="327"/>
      <c r="D4534" s="328"/>
      <c r="E4534" s="23"/>
      <c r="F4534" s="329"/>
      <c r="G4534" s="23"/>
      <c r="H4534" s="23"/>
      <c r="I4534" s="330"/>
      <c r="J4534" s="330"/>
      <c r="K4534" s="23"/>
    </row>
    <row r="4535" spans="1:11" ht="12.75" x14ac:dyDescent="0.2">
      <c r="A4535" s="23"/>
      <c r="B4535" s="328"/>
      <c r="C4535" s="327"/>
      <c r="D4535" s="328"/>
      <c r="E4535" s="23"/>
      <c r="F4535" s="329"/>
      <c r="G4535" s="23"/>
      <c r="H4535" s="23"/>
      <c r="I4535" s="330"/>
      <c r="J4535" s="330"/>
      <c r="K4535" s="23"/>
    </row>
    <row r="4536" spans="1:11" ht="12.75" x14ac:dyDescent="0.2">
      <c r="A4536" s="23"/>
      <c r="B4536" s="328"/>
      <c r="C4536" s="327"/>
      <c r="D4536" s="328"/>
      <c r="E4536" s="23"/>
      <c r="F4536" s="329"/>
      <c r="G4536" s="23"/>
      <c r="H4536" s="23"/>
      <c r="I4536" s="330"/>
      <c r="J4536" s="330"/>
      <c r="K4536" s="23"/>
    </row>
    <row r="4537" spans="1:11" ht="12.75" x14ac:dyDescent="0.2">
      <c r="A4537" s="23"/>
      <c r="B4537" s="328"/>
      <c r="C4537" s="327"/>
      <c r="D4537" s="328"/>
      <c r="E4537" s="23"/>
      <c r="F4537" s="329"/>
      <c r="G4537" s="23"/>
      <c r="H4537" s="23"/>
      <c r="I4537" s="330"/>
      <c r="J4537" s="330"/>
      <c r="K4537" s="23"/>
    </row>
    <row r="4538" spans="1:11" ht="12.75" x14ac:dyDescent="0.2">
      <c r="A4538" s="23"/>
      <c r="B4538" s="328"/>
      <c r="C4538" s="327"/>
      <c r="D4538" s="328"/>
      <c r="E4538" s="23"/>
      <c r="F4538" s="329"/>
      <c r="G4538" s="23"/>
      <c r="H4538" s="23"/>
      <c r="I4538" s="330"/>
      <c r="J4538" s="330"/>
      <c r="K4538" s="23"/>
    </row>
    <row r="4539" spans="1:11" ht="12.75" x14ac:dyDescent="0.2">
      <c r="A4539" s="23"/>
      <c r="B4539" s="328"/>
      <c r="C4539" s="327"/>
      <c r="D4539" s="328"/>
      <c r="E4539" s="23"/>
      <c r="F4539" s="329"/>
      <c r="G4539" s="23"/>
      <c r="H4539" s="23"/>
      <c r="I4539" s="330"/>
      <c r="J4539" s="330"/>
      <c r="K4539" s="23"/>
    </row>
    <row r="4540" spans="1:11" ht="12.75" x14ac:dyDescent="0.2">
      <c r="A4540" s="23"/>
      <c r="B4540" s="328"/>
      <c r="C4540" s="327"/>
      <c r="D4540" s="328"/>
      <c r="E4540" s="23"/>
      <c r="F4540" s="329"/>
      <c r="G4540" s="23"/>
      <c r="H4540" s="23"/>
      <c r="I4540" s="330"/>
      <c r="J4540" s="330"/>
      <c r="K4540" s="23"/>
    </row>
    <row r="4541" spans="1:11" ht="12.75" x14ac:dyDescent="0.2">
      <c r="A4541" s="23"/>
      <c r="B4541" s="328"/>
      <c r="C4541" s="327"/>
      <c r="D4541" s="328"/>
      <c r="E4541" s="23"/>
      <c r="F4541" s="329"/>
      <c r="G4541" s="23"/>
      <c r="H4541" s="23"/>
      <c r="I4541" s="330"/>
      <c r="J4541" s="330"/>
      <c r="K4541" s="23"/>
    </row>
    <row r="4542" spans="1:11" ht="12.75" x14ac:dyDescent="0.2">
      <c r="A4542" s="23"/>
      <c r="B4542" s="328"/>
      <c r="C4542" s="327"/>
      <c r="D4542" s="328"/>
      <c r="E4542" s="23"/>
      <c r="F4542" s="329"/>
      <c r="G4542" s="23"/>
      <c r="H4542" s="23"/>
      <c r="I4542" s="330"/>
      <c r="J4542" s="330"/>
      <c r="K4542" s="23"/>
    </row>
    <row r="4543" spans="1:11" ht="12.75" x14ac:dyDescent="0.2">
      <c r="A4543" s="23"/>
      <c r="B4543" s="328"/>
      <c r="C4543" s="327"/>
      <c r="D4543" s="328"/>
      <c r="E4543" s="23"/>
      <c r="F4543" s="329"/>
      <c r="G4543" s="23"/>
      <c r="H4543" s="23"/>
      <c r="I4543" s="330"/>
      <c r="J4543" s="330"/>
      <c r="K4543" s="23"/>
    </row>
    <row r="4544" spans="1:11" ht="12.75" x14ac:dyDescent="0.2">
      <c r="A4544" s="23"/>
      <c r="B4544" s="328"/>
      <c r="C4544" s="327"/>
      <c r="D4544" s="328"/>
      <c r="E4544" s="23"/>
      <c r="F4544" s="329"/>
      <c r="G4544" s="23"/>
      <c r="H4544" s="23"/>
      <c r="I4544" s="330"/>
      <c r="J4544" s="330"/>
      <c r="K4544" s="23"/>
    </row>
    <row r="4545" spans="1:11" ht="12.75" x14ac:dyDescent="0.2">
      <c r="A4545" s="23"/>
      <c r="B4545" s="328"/>
      <c r="C4545" s="327"/>
      <c r="D4545" s="328"/>
      <c r="E4545" s="23"/>
      <c r="F4545" s="329"/>
      <c r="G4545" s="23"/>
      <c r="H4545" s="23"/>
      <c r="I4545" s="330"/>
      <c r="J4545" s="330"/>
      <c r="K4545" s="23"/>
    </row>
    <row r="4546" spans="1:11" ht="12.75" x14ac:dyDescent="0.2">
      <c r="A4546" s="23"/>
      <c r="B4546" s="328"/>
      <c r="C4546" s="327"/>
      <c r="D4546" s="328"/>
      <c r="E4546" s="23"/>
      <c r="F4546" s="329"/>
      <c r="G4546" s="23"/>
      <c r="H4546" s="23"/>
      <c r="I4546" s="330"/>
      <c r="J4546" s="330"/>
      <c r="K4546" s="23"/>
    </row>
    <row r="4547" spans="1:11" ht="12.75" x14ac:dyDescent="0.2">
      <c r="A4547" s="23"/>
      <c r="B4547" s="328"/>
      <c r="C4547" s="327"/>
      <c r="D4547" s="328"/>
      <c r="E4547" s="23"/>
      <c r="F4547" s="329"/>
      <c r="G4547" s="23"/>
      <c r="H4547" s="23"/>
      <c r="I4547" s="330"/>
      <c r="J4547" s="330"/>
      <c r="K4547" s="23"/>
    </row>
    <row r="4548" spans="1:11" ht="12.75" x14ac:dyDescent="0.2">
      <c r="A4548" s="23"/>
      <c r="B4548" s="328"/>
      <c r="C4548" s="327"/>
      <c r="D4548" s="328"/>
      <c r="E4548" s="23"/>
      <c r="F4548" s="329"/>
      <c r="G4548" s="23"/>
      <c r="H4548" s="23"/>
      <c r="I4548" s="330"/>
      <c r="J4548" s="330"/>
      <c r="K4548" s="23"/>
    </row>
    <row r="4549" spans="1:11" ht="12.75" x14ac:dyDescent="0.2">
      <c r="A4549" s="23"/>
      <c r="B4549" s="328"/>
      <c r="C4549" s="327"/>
      <c r="D4549" s="328"/>
      <c r="E4549" s="23"/>
      <c r="F4549" s="329"/>
      <c r="G4549" s="23"/>
      <c r="H4549" s="23"/>
      <c r="I4549" s="330"/>
      <c r="J4549" s="330"/>
      <c r="K4549" s="23"/>
    </row>
    <row r="4550" spans="1:11" ht="12.75" x14ac:dyDescent="0.2">
      <c r="A4550" s="23"/>
      <c r="B4550" s="328"/>
      <c r="C4550" s="327"/>
      <c r="D4550" s="328"/>
      <c r="E4550" s="23"/>
      <c r="F4550" s="329"/>
      <c r="G4550" s="23"/>
      <c r="H4550" s="23"/>
      <c r="I4550" s="330"/>
      <c r="J4550" s="330"/>
      <c r="K4550" s="23"/>
    </row>
    <row r="4551" spans="1:11" ht="12.75" x14ac:dyDescent="0.2">
      <c r="A4551" s="23"/>
      <c r="B4551" s="328"/>
      <c r="C4551" s="327"/>
      <c r="D4551" s="328"/>
      <c r="E4551" s="23"/>
      <c r="F4551" s="329"/>
      <c r="G4551" s="23"/>
      <c r="H4551" s="23"/>
      <c r="I4551" s="330"/>
      <c r="J4551" s="330"/>
      <c r="K4551" s="23"/>
    </row>
    <row r="4552" spans="1:11" ht="12.75" x14ac:dyDescent="0.2">
      <c r="A4552" s="23"/>
      <c r="B4552" s="328"/>
      <c r="C4552" s="327"/>
      <c r="D4552" s="328"/>
      <c r="E4552" s="23"/>
      <c r="F4552" s="329"/>
      <c r="G4552" s="23"/>
      <c r="H4552" s="23"/>
      <c r="I4552" s="330"/>
      <c r="J4552" s="330"/>
      <c r="K4552" s="23"/>
    </row>
    <row r="4553" spans="1:11" ht="12.75" x14ac:dyDescent="0.2">
      <c r="A4553" s="23"/>
      <c r="B4553" s="328"/>
      <c r="C4553" s="327"/>
      <c r="D4553" s="328"/>
      <c r="E4553" s="23"/>
      <c r="F4553" s="329"/>
      <c r="G4553" s="23"/>
      <c r="H4553" s="23"/>
      <c r="I4553" s="330"/>
      <c r="J4553" s="330"/>
      <c r="K4553" s="23"/>
    </row>
    <row r="4554" spans="1:11" ht="12.75" x14ac:dyDescent="0.2">
      <c r="A4554" s="23"/>
      <c r="B4554" s="328"/>
      <c r="C4554" s="327"/>
      <c r="D4554" s="328"/>
      <c r="E4554" s="23"/>
      <c r="F4554" s="329"/>
      <c r="G4554" s="23"/>
      <c r="H4554" s="23"/>
      <c r="I4554" s="330"/>
      <c r="J4554" s="330"/>
      <c r="K4554" s="23"/>
    </row>
    <row r="4555" spans="1:11" ht="12.75" x14ac:dyDescent="0.2">
      <c r="A4555" s="23"/>
      <c r="B4555" s="328"/>
      <c r="C4555" s="327"/>
      <c r="D4555" s="328"/>
      <c r="E4555" s="23"/>
      <c r="F4555" s="329"/>
      <c r="G4555" s="23"/>
      <c r="H4555" s="23"/>
      <c r="I4555" s="330"/>
      <c r="J4555" s="330"/>
      <c r="K4555" s="23"/>
    </row>
    <row r="4556" spans="1:11" ht="12.75" x14ac:dyDescent="0.2">
      <c r="A4556" s="23"/>
      <c r="B4556" s="328"/>
      <c r="C4556" s="327"/>
      <c r="D4556" s="328"/>
      <c r="E4556" s="23"/>
      <c r="F4556" s="329"/>
      <c r="G4556" s="23"/>
      <c r="H4556" s="23"/>
      <c r="I4556" s="330"/>
      <c r="J4556" s="330"/>
      <c r="K4556" s="23"/>
    </row>
    <row r="4557" spans="1:11" ht="12.75" x14ac:dyDescent="0.2">
      <c r="A4557" s="23"/>
      <c r="B4557" s="328"/>
      <c r="C4557" s="327"/>
      <c r="D4557" s="328"/>
      <c r="E4557" s="23"/>
      <c r="F4557" s="329"/>
      <c r="G4557" s="23"/>
      <c r="H4557" s="23"/>
      <c r="I4557" s="330"/>
      <c r="J4557" s="330"/>
      <c r="K4557" s="23"/>
    </row>
    <row r="4558" spans="1:11" ht="12.75" x14ac:dyDescent="0.2">
      <c r="A4558" s="23"/>
      <c r="B4558" s="328"/>
      <c r="C4558" s="327"/>
      <c r="D4558" s="328"/>
      <c r="E4558" s="23"/>
      <c r="F4558" s="329"/>
      <c r="G4558" s="23"/>
      <c r="H4558" s="23"/>
      <c r="I4558" s="330"/>
      <c r="J4558" s="330"/>
      <c r="K4558" s="23"/>
    </row>
    <row r="4559" spans="1:11" ht="12.75" x14ac:dyDescent="0.2">
      <c r="A4559" s="23"/>
      <c r="B4559" s="328"/>
      <c r="C4559" s="327"/>
      <c r="D4559" s="328"/>
      <c r="E4559" s="23"/>
      <c r="F4559" s="329"/>
      <c r="G4559" s="23"/>
      <c r="H4559" s="23"/>
      <c r="I4559" s="330"/>
      <c r="J4559" s="330"/>
      <c r="K4559" s="23"/>
    </row>
    <row r="4560" spans="1:11" ht="12.75" x14ac:dyDescent="0.2">
      <c r="A4560" s="23"/>
      <c r="B4560" s="328"/>
      <c r="C4560" s="327"/>
      <c r="D4560" s="328"/>
      <c r="E4560" s="23"/>
      <c r="F4560" s="329"/>
      <c r="G4560" s="23"/>
      <c r="H4560" s="23"/>
      <c r="I4560" s="330"/>
      <c r="J4560" s="330"/>
      <c r="K4560" s="23"/>
    </row>
    <row r="4561" spans="1:11" ht="12.75" x14ac:dyDescent="0.2">
      <c r="A4561" s="23"/>
      <c r="B4561" s="328"/>
      <c r="C4561" s="327"/>
      <c r="D4561" s="328"/>
      <c r="E4561" s="23"/>
      <c r="F4561" s="329"/>
      <c r="G4561" s="23"/>
      <c r="H4561" s="23"/>
      <c r="I4561" s="330"/>
      <c r="J4561" s="330"/>
      <c r="K4561" s="23"/>
    </row>
    <row r="4562" spans="1:11" ht="12.75" x14ac:dyDescent="0.2">
      <c r="A4562" s="23"/>
      <c r="B4562" s="328"/>
      <c r="C4562" s="327"/>
      <c r="D4562" s="328"/>
      <c r="E4562" s="23"/>
      <c r="F4562" s="329"/>
      <c r="G4562" s="23"/>
      <c r="H4562" s="23"/>
      <c r="I4562" s="330"/>
      <c r="J4562" s="330"/>
      <c r="K4562" s="23"/>
    </row>
    <row r="4563" spans="1:11" ht="12.75" x14ac:dyDescent="0.2">
      <c r="A4563" s="23"/>
      <c r="B4563" s="328"/>
      <c r="C4563" s="327"/>
      <c r="D4563" s="328"/>
      <c r="E4563" s="23"/>
      <c r="F4563" s="329"/>
      <c r="G4563" s="23"/>
      <c r="H4563" s="23"/>
      <c r="I4563" s="330"/>
      <c r="J4563" s="330"/>
      <c r="K4563" s="23"/>
    </row>
    <row r="4564" spans="1:11" ht="12.75" x14ac:dyDescent="0.2">
      <c r="A4564" s="23"/>
      <c r="B4564" s="328"/>
      <c r="C4564" s="327"/>
      <c r="D4564" s="328"/>
      <c r="E4564" s="23"/>
      <c r="F4564" s="329"/>
      <c r="G4564" s="23"/>
      <c r="H4564" s="23"/>
      <c r="I4564" s="330"/>
      <c r="J4564" s="330"/>
      <c r="K4564" s="23"/>
    </row>
    <row r="4565" spans="1:11" ht="12.75" x14ac:dyDescent="0.2">
      <c r="A4565" s="23"/>
      <c r="B4565" s="328"/>
      <c r="C4565" s="327"/>
      <c r="D4565" s="328"/>
      <c r="E4565" s="23"/>
      <c r="F4565" s="329"/>
      <c r="G4565" s="23"/>
      <c r="H4565" s="23"/>
      <c r="I4565" s="330"/>
      <c r="J4565" s="330"/>
      <c r="K4565" s="23"/>
    </row>
    <row r="4566" spans="1:11" ht="12.75" x14ac:dyDescent="0.2">
      <c r="A4566" s="23"/>
      <c r="B4566" s="328"/>
      <c r="C4566" s="327"/>
      <c r="D4566" s="328"/>
      <c r="E4566" s="23"/>
      <c r="F4566" s="329"/>
      <c r="G4566" s="23"/>
      <c r="H4566" s="23"/>
      <c r="I4566" s="330"/>
      <c r="J4566" s="330"/>
      <c r="K4566" s="23"/>
    </row>
    <row r="4567" spans="1:11" ht="12.75" x14ac:dyDescent="0.2">
      <c r="A4567" s="23"/>
      <c r="B4567" s="328"/>
      <c r="C4567" s="327"/>
      <c r="D4567" s="328"/>
      <c r="E4567" s="23"/>
      <c r="F4567" s="329"/>
      <c r="G4567" s="23"/>
      <c r="H4567" s="23"/>
      <c r="I4567" s="330"/>
      <c r="J4567" s="330"/>
      <c r="K4567" s="23"/>
    </row>
    <row r="4568" spans="1:11" ht="12.75" x14ac:dyDescent="0.2">
      <c r="A4568" s="23"/>
      <c r="B4568" s="328"/>
      <c r="C4568" s="327"/>
      <c r="D4568" s="328"/>
      <c r="E4568" s="23"/>
      <c r="F4568" s="329"/>
      <c r="G4568" s="23"/>
      <c r="H4568" s="23"/>
      <c r="I4568" s="330"/>
      <c r="J4568" s="330"/>
      <c r="K4568" s="23"/>
    </row>
    <row r="4569" spans="1:11" ht="12.75" x14ac:dyDescent="0.2">
      <c r="A4569" s="23"/>
      <c r="B4569" s="328"/>
      <c r="C4569" s="327"/>
      <c r="D4569" s="328"/>
      <c r="E4569" s="23"/>
      <c r="F4569" s="329"/>
      <c r="G4569" s="23"/>
      <c r="H4569" s="23"/>
      <c r="I4569" s="330"/>
      <c r="J4569" s="330"/>
      <c r="K4569" s="23"/>
    </row>
    <row r="4570" spans="1:11" ht="12.75" x14ac:dyDescent="0.2">
      <c r="A4570" s="23"/>
      <c r="B4570" s="328"/>
      <c r="C4570" s="327"/>
      <c r="D4570" s="328"/>
      <c r="E4570" s="23"/>
      <c r="F4570" s="329"/>
      <c r="G4570" s="23"/>
      <c r="H4570" s="23"/>
      <c r="I4570" s="330"/>
      <c r="J4570" s="330"/>
      <c r="K4570" s="23"/>
    </row>
    <row r="4571" spans="1:11" ht="12.75" x14ac:dyDescent="0.2">
      <c r="A4571" s="23"/>
      <c r="B4571" s="328"/>
      <c r="C4571" s="327"/>
      <c r="D4571" s="328"/>
      <c r="E4571" s="23"/>
      <c r="F4571" s="329"/>
      <c r="G4571" s="23"/>
      <c r="H4571" s="23"/>
      <c r="I4571" s="330"/>
      <c r="J4571" s="330"/>
      <c r="K4571" s="23"/>
    </row>
    <row r="4572" spans="1:11" ht="12.75" x14ac:dyDescent="0.2">
      <c r="A4572" s="23"/>
      <c r="B4572" s="328"/>
      <c r="C4572" s="327"/>
      <c r="D4572" s="328"/>
      <c r="E4572" s="23"/>
      <c r="F4572" s="329"/>
      <c r="G4572" s="23"/>
      <c r="H4572" s="23"/>
      <c r="I4572" s="330"/>
      <c r="J4572" s="330"/>
      <c r="K4572" s="23"/>
    </row>
    <row r="4573" spans="1:11" ht="12.75" x14ac:dyDescent="0.2">
      <c r="A4573" s="23"/>
      <c r="B4573" s="328"/>
      <c r="C4573" s="327"/>
      <c r="D4573" s="328"/>
      <c r="E4573" s="23"/>
      <c r="F4573" s="329"/>
      <c r="G4573" s="23"/>
      <c r="H4573" s="23"/>
      <c r="I4573" s="330"/>
      <c r="J4573" s="330"/>
      <c r="K4573" s="23"/>
    </row>
    <row r="4574" spans="1:11" ht="12.75" x14ac:dyDescent="0.2">
      <c r="A4574" s="23"/>
      <c r="B4574" s="328"/>
      <c r="C4574" s="327"/>
      <c r="D4574" s="328"/>
      <c r="E4574" s="23"/>
      <c r="F4574" s="329"/>
      <c r="G4574" s="23"/>
      <c r="H4574" s="23"/>
      <c r="I4574" s="330"/>
      <c r="J4574" s="330"/>
      <c r="K4574" s="23"/>
    </row>
    <row r="4575" spans="1:11" ht="12.75" x14ac:dyDescent="0.2">
      <c r="A4575" s="23"/>
      <c r="B4575" s="328"/>
      <c r="C4575" s="327"/>
      <c r="D4575" s="328"/>
      <c r="E4575" s="23"/>
      <c r="F4575" s="329"/>
      <c r="G4575" s="23"/>
      <c r="H4575" s="23"/>
      <c r="I4575" s="330"/>
      <c r="J4575" s="330"/>
      <c r="K4575" s="23"/>
    </row>
    <row r="4576" spans="1:11" ht="12.75" x14ac:dyDescent="0.2">
      <c r="A4576" s="23"/>
      <c r="B4576" s="328"/>
      <c r="C4576" s="327"/>
      <c r="D4576" s="328"/>
      <c r="E4576" s="23"/>
      <c r="F4576" s="329"/>
      <c r="G4576" s="23"/>
      <c r="H4576" s="23"/>
      <c r="I4576" s="330"/>
      <c r="J4576" s="330"/>
      <c r="K4576" s="23"/>
    </row>
    <row r="4577" spans="1:11" ht="12.75" x14ac:dyDescent="0.2">
      <c r="A4577" s="23"/>
      <c r="B4577" s="328"/>
      <c r="C4577" s="327"/>
      <c r="D4577" s="328"/>
      <c r="E4577" s="23"/>
      <c r="F4577" s="329"/>
      <c r="G4577" s="23"/>
      <c r="H4577" s="23"/>
      <c r="I4577" s="330"/>
      <c r="J4577" s="330"/>
      <c r="K4577" s="23"/>
    </row>
    <row r="4578" spans="1:11" ht="12.75" x14ac:dyDescent="0.2">
      <c r="A4578" s="23"/>
      <c r="B4578" s="328"/>
      <c r="C4578" s="327"/>
      <c r="D4578" s="328"/>
      <c r="E4578" s="23"/>
      <c r="F4578" s="329"/>
      <c r="G4578" s="23"/>
      <c r="H4578" s="23"/>
      <c r="I4578" s="330"/>
      <c r="J4578" s="330"/>
      <c r="K4578" s="23"/>
    </row>
    <row r="4579" spans="1:11" ht="12.75" x14ac:dyDescent="0.2">
      <c r="A4579" s="23"/>
      <c r="B4579" s="328"/>
      <c r="C4579" s="327"/>
      <c r="D4579" s="328"/>
      <c r="E4579" s="23"/>
      <c r="F4579" s="329"/>
      <c r="G4579" s="23"/>
      <c r="H4579" s="23"/>
      <c r="I4579" s="330"/>
      <c r="J4579" s="330"/>
      <c r="K4579" s="23"/>
    </row>
    <row r="4580" spans="1:11" ht="12.75" x14ac:dyDescent="0.2">
      <c r="A4580" s="23"/>
      <c r="B4580" s="328"/>
      <c r="C4580" s="327"/>
      <c r="D4580" s="328"/>
      <c r="E4580" s="23"/>
      <c r="F4580" s="329"/>
      <c r="G4580" s="23"/>
      <c r="H4580" s="23"/>
      <c r="I4580" s="330"/>
      <c r="J4580" s="330"/>
      <c r="K4580" s="23"/>
    </row>
    <row r="4581" spans="1:11" ht="12.75" x14ac:dyDescent="0.2">
      <c r="A4581" s="23"/>
      <c r="B4581" s="328"/>
      <c r="C4581" s="327"/>
      <c r="D4581" s="328"/>
      <c r="E4581" s="23"/>
      <c r="F4581" s="329"/>
      <c r="G4581" s="23"/>
      <c r="H4581" s="23"/>
      <c r="I4581" s="330"/>
      <c r="J4581" s="330"/>
      <c r="K4581" s="23"/>
    </row>
    <row r="4582" spans="1:11" ht="12.75" x14ac:dyDescent="0.2">
      <c r="A4582" s="23"/>
      <c r="B4582" s="328"/>
      <c r="C4582" s="327"/>
      <c r="D4582" s="328"/>
      <c r="E4582" s="23"/>
      <c r="F4582" s="329"/>
      <c r="G4582" s="23"/>
      <c r="H4582" s="23"/>
      <c r="I4582" s="330"/>
      <c r="J4582" s="330"/>
      <c r="K4582" s="23"/>
    </row>
    <row r="4583" spans="1:11" ht="12.75" x14ac:dyDescent="0.2">
      <c r="A4583" s="23"/>
      <c r="B4583" s="328"/>
      <c r="C4583" s="327"/>
      <c r="D4583" s="328"/>
      <c r="E4583" s="23"/>
      <c r="F4583" s="329"/>
      <c r="G4583" s="23"/>
      <c r="H4583" s="23"/>
      <c r="I4583" s="330"/>
      <c r="J4583" s="330"/>
      <c r="K4583" s="23"/>
    </row>
    <row r="4584" spans="1:11" ht="12.75" x14ac:dyDescent="0.2">
      <c r="A4584" s="23"/>
      <c r="B4584" s="328"/>
      <c r="C4584" s="327"/>
      <c r="D4584" s="328"/>
      <c r="E4584" s="23"/>
      <c r="F4584" s="329"/>
      <c r="G4584" s="23"/>
      <c r="H4584" s="23"/>
      <c r="I4584" s="330"/>
      <c r="J4584" s="330"/>
      <c r="K4584" s="23"/>
    </row>
    <row r="4585" spans="1:11" ht="12.75" x14ac:dyDescent="0.2">
      <c r="A4585" s="23"/>
      <c r="B4585" s="328"/>
      <c r="C4585" s="327"/>
      <c r="D4585" s="328"/>
      <c r="E4585" s="23"/>
      <c r="F4585" s="329"/>
      <c r="G4585" s="23"/>
      <c r="H4585" s="23"/>
      <c r="I4585" s="330"/>
      <c r="J4585" s="330"/>
      <c r="K4585" s="23"/>
    </row>
    <row r="4586" spans="1:11" ht="12.75" x14ac:dyDescent="0.2">
      <c r="A4586" s="23"/>
      <c r="B4586" s="328"/>
      <c r="C4586" s="327"/>
      <c r="D4586" s="328"/>
      <c r="E4586" s="23"/>
      <c r="F4586" s="329"/>
      <c r="G4586" s="23"/>
      <c r="H4586" s="23"/>
      <c r="I4586" s="330"/>
      <c r="J4586" s="330"/>
      <c r="K4586" s="23"/>
    </row>
    <row r="4587" spans="1:11" ht="12.75" x14ac:dyDescent="0.2">
      <c r="A4587" s="23"/>
      <c r="B4587" s="328"/>
      <c r="C4587" s="327"/>
      <c r="D4587" s="328"/>
      <c r="E4587" s="23"/>
      <c r="F4587" s="329"/>
      <c r="G4587" s="23"/>
      <c r="H4587" s="23"/>
      <c r="I4587" s="330"/>
      <c r="J4587" s="330"/>
      <c r="K4587" s="23"/>
    </row>
    <row r="4588" spans="1:11" ht="12.75" x14ac:dyDescent="0.2">
      <c r="A4588" s="23"/>
      <c r="B4588" s="328"/>
      <c r="C4588" s="327"/>
      <c r="D4588" s="328"/>
      <c r="E4588" s="23"/>
      <c r="F4588" s="329"/>
      <c r="G4588" s="23"/>
      <c r="H4588" s="23"/>
      <c r="I4588" s="330"/>
      <c r="J4588" s="330"/>
      <c r="K4588" s="23"/>
    </row>
    <row r="4589" spans="1:11" ht="12.75" x14ac:dyDescent="0.2">
      <c r="A4589" s="23"/>
      <c r="B4589" s="328"/>
      <c r="C4589" s="327"/>
      <c r="D4589" s="328"/>
      <c r="E4589" s="23"/>
      <c r="F4589" s="329"/>
      <c r="G4589" s="23"/>
      <c r="H4589" s="23"/>
      <c r="I4589" s="330"/>
      <c r="J4589" s="330"/>
      <c r="K4589" s="23"/>
    </row>
    <row r="4590" spans="1:11" ht="12.75" x14ac:dyDescent="0.2">
      <c r="A4590" s="23"/>
      <c r="B4590" s="328"/>
      <c r="C4590" s="327"/>
      <c r="D4590" s="328"/>
      <c r="E4590" s="23"/>
      <c r="F4590" s="329"/>
      <c r="G4590" s="23"/>
      <c r="H4590" s="23"/>
      <c r="I4590" s="330"/>
      <c r="J4590" s="330"/>
      <c r="K4590" s="23"/>
    </row>
    <row r="4591" spans="1:11" ht="12.75" x14ac:dyDescent="0.2">
      <c r="A4591" s="23"/>
      <c r="B4591" s="328"/>
      <c r="C4591" s="327"/>
      <c r="D4591" s="328"/>
      <c r="E4591" s="23"/>
      <c r="F4591" s="329"/>
      <c r="G4591" s="23"/>
      <c r="H4591" s="23"/>
      <c r="I4591" s="330"/>
      <c r="J4591" s="330"/>
      <c r="K4591" s="23"/>
    </row>
    <row r="4592" spans="1:11" ht="12.75" x14ac:dyDescent="0.2">
      <c r="A4592" s="23"/>
      <c r="B4592" s="328"/>
      <c r="C4592" s="327"/>
      <c r="D4592" s="328"/>
      <c r="E4592" s="23"/>
      <c r="F4592" s="329"/>
      <c r="G4592" s="23"/>
      <c r="H4592" s="23"/>
      <c r="I4592" s="330"/>
      <c r="J4592" s="330"/>
      <c r="K4592" s="23"/>
    </row>
    <row r="4593" spans="1:11" ht="12.75" x14ac:dyDescent="0.2">
      <c r="A4593" s="23"/>
      <c r="B4593" s="328"/>
      <c r="C4593" s="327"/>
      <c r="D4593" s="328"/>
      <c r="E4593" s="23"/>
      <c r="F4593" s="329"/>
      <c r="G4593" s="23"/>
      <c r="H4593" s="23"/>
      <c r="I4593" s="330"/>
      <c r="J4593" s="330"/>
      <c r="K4593" s="23"/>
    </row>
    <row r="4594" spans="1:11" ht="12.75" x14ac:dyDescent="0.2">
      <c r="A4594" s="23"/>
      <c r="B4594" s="328"/>
      <c r="C4594" s="327"/>
      <c r="D4594" s="328"/>
      <c r="E4594" s="23"/>
      <c r="F4594" s="329"/>
      <c r="G4594" s="23"/>
      <c r="H4594" s="23"/>
      <c r="I4594" s="330"/>
      <c r="J4594" s="330"/>
      <c r="K4594" s="23"/>
    </row>
    <row r="4595" spans="1:11" ht="12.75" x14ac:dyDescent="0.2">
      <c r="A4595" s="23"/>
      <c r="B4595" s="328"/>
      <c r="C4595" s="327"/>
      <c r="D4595" s="328"/>
      <c r="E4595" s="23"/>
      <c r="F4595" s="329"/>
      <c r="G4595" s="23"/>
      <c r="H4595" s="23"/>
      <c r="I4595" s="330"/>
      <c r="J4595" s="330"/>
      <c r="K4595" s="23"/>
    </row>
    <row r="4596" spans="1:11" ht="12.75" x14ac:dyDescent="0.2">
      <c r="A4596" s="23"/>
      <c r="B4596" s="328"/>
      <c r="C4596" s="327"/>
      <c r="D4596" s="328"/>
      <c r="E4596" s="23"/>
      <c r="F4596" s="329"/>
      <c r="G4596" s="23"/>
      <c r="H4596" s="23"/>
      <c r="I4596" s="330"/>
      <c r="J4596" s="330"/>
      <c r="K4596" s="23"/>
    </row>
    <row r="4597" spans="1:11" ht="12.75" x14ac:dyDescent="0.2">
      <c r="A4597" s="23"/>
      <c r="B4597" s="328"/>
      <c r="C4597" s="327"/>
      <c r="D4597" s="328"/>
      <c r="E4597" s="23"/>
      <c r="F4597" s="329"/>
      <c r="G4597" s="23"/>
      <c r="H4597" s="23"/>
      <c r="I4597" s="330"/>
      <c r="J4597" s="330"/>
      <c r="K4597" s="23"/>
    </row>
    <row r="4598" spans="1:11" ht="12.75" x14ac:dyDescent="0.2">
      <c r="A4598" s="23"/>
      <c r="B4598" s="328"/>
      <c r="C4598" s="327"/>
      <c r="D4598" s="328"/>
      <c r="E4598" s="23"/>
      <c r="F4598" s="329"/>
      <c r="G4598" s="23"/>
      <c r="H4598" s="23"/>
      <c r="I4598" s="330"/>
      <c r="J4598" s="330"/>
      <c r="K4598" s="23"/>
    </row>
    <row r="4599" spans="1:11" ht="12.75" x14ac:dyDescent="0.2">
      <c r="A4599" s="23"/>
      <c r="B4599" s="328"/>
      <c r="C4599" s="327"/>
      <c r="D4599" s="328"/>
      <c r="E4599" s="23"/>
      <c r="F4599" s="329"/>
      <c r="G4599" s="23"/>
      <c r="H4599" s="23"/>
      <c r="I4599" s="330"/>
      <c r="J4599" s="330"/>
      <c r="K4599" s="23"/>
    </row>
    <row r="4600" spans="1:11" ht="12.75" x14ac:dyDescent="0.2">
      <c r="A4600" s="23"/>
      <c r="B4600" s="328"/>
      <c r="C4600" s="327"/>
      <c r="D4600" s="328"/>
      <c r="E4600" s="23"/>
      <c r="F4600" s="329"/>
      <c r="G4600" s="23"/>
      <c r="H4600" s="23"/>
      <c r="I4600" s="330"/>
      <c r="J4600" s="330"/>
      <c r="K4600" s="23"/>
    </row>
    <row r="4601" spans="1:11" ht="12.75" x14ac:dyDescent="0.2">
      <c r="A4601" s="23"/>
      <c r="B4601" s="328"/>
      <c r="C4601" s="327"/>
      <c r="D4601" s="328"/>
      <c r="E4601" s="23"/>
      <c r="F4601" s="329"/>
      <c r="G4601" s="23"/>
      <c r="H4601" s="23"/>
      <c r="I4601" s="330"/>
      <c r="J4601" s="330"/>
      <c r="K4601" s="23"/>
    </row>
    <row r="4602" spans="1:11" ht="12.75" x14ac:dyDescent="0.2">
      <c r="A4602" s="23"/>
      <c r="B4602" s="328"/>
      <c r="C4602" s="327"/>
      <c r="D4602" s="328"/>
      <c r="E4602" s="23"/>
      <c r="F4602" s="329"/>
      <c r="G4602" s="23"/>
      <c r="H4602" s="23"/>
      <c r="I4602" s="330"/>
      <c r="J4602" s="330"/>
      <c r="K4602" s="23"/>
    </row>
    <row r="4603" spans="1:11" ht="12.75" x14ac:dyDescent="0.2">
      <c r="A4603" s="23"/>
      <c r="B4603" s="328"/>
      <c r="C4603" s="327"/>
      <c r="D4603" s="328"/>
      <c r="E4603" s="23"/>
      <c r="F4603" s="329"/>
      <c r="G4603" s="23"/>
      <c r="H4603" s="23"/>
      <c r="I4603" s="330"/>
      <c r="J4603" s="330"/>
      <c r="K4603" s="23"/>
    </row>
    <row r="4604" spans="1:11" ht="12.75" x14ac:dyDescent="0.2">
      <c r="A4604" s="23"/>
      <c r="B4604" s="328"/>
      <c r="C4604" s="327"/>
      <c r="D4604" s="328"/>
      <c r="E4604" s="23"/>
      <c r="F4604" s="329"/>
      <c r="G4604" s="23"/>
      <c r="H4604" s="23"/>
      <c r="I4604" s="330"/>
      <c r="J4604" s="330"/>
      <c r="K4604" s="23"/>
    </row>
    <row r="4605" spans="1:11" ht="12.75" x14ac:dyDescent="0.2">
      <c r="A4605" s="23"/>
      <c r="B4605" s="328"/>
      <c r="C4605" s="327"/>
      <c r="D4605" s="328"/>
      <c r="E4605" s="23"/>
      <c r="F4605" s="329"/>
      <c r="G4605" s="23"/>
      <c r="H4605" s="23"/>
      <c r="I4605" s="330"/>
      <c r="J4605" s="330"/>
      <c r="K4605" s="23"/>
    </row>
    <row r="4606" spans="1:11" ht="12.75" x14ac:dyDescent="0.2">
      <c r="A4606" s="23"/>
      <c r="B4606" s="328"/>
      <c r="C4606" s="327"/>
      <c r="D4606" s="328"/>
      <c r="E4606" s="23"/>
      <c r="F4606" s="329"/>
      <c r="G4606" s="23"/>
      <c r="H4606" s="23"/>
      <c r="I4606" s="330"/>
      <c r="J4606" s="330"/>
      <c r="K4606" s="23"/>
    </row>
    <row r="4607" spans="1:11" ht="12.75" x14ac:dyDescent="0.2">
      <c r="A4607" s="23"/>
      <c r="B4607" s="328"/>
      <c r="C4607" s="327"/>
      <c r="D4607" s="328"/>
      <c r="E4607" s="23"/>
      <c r="F4607" s="329"/>
      <c r="G4607" s="23"/>
      <c r="H4607" s="23"/>
      <c r="I4607" s="330"/>
      <c r="J4607" s="330"/>
      <c r="K4607" s="23"/>
    </row>
    <row r="4608" spans="1:11" ht="12.75" x14ac:dyDescent="0.2">
      <c r="A4608" s="23"/>
      <c r="B4608" s="328"/>
      <c r="C4608" s="327"/>
      <c r="D4608" s="328"/>
      <c r="E4608" s="23"/>
      <c r="F4608" s="329"/>
      <c r="G4608" s="23"/>
      <c r="H4608" s="23"/>
      <c r="I4608" s="330"/>
      <c r="J4608" s="330"/>
      <c r="K4608" s="23"/>
    </row>
    <row r="4609" spans="1:11" ht="12.75" x14ac:dyDescent="0.2">
      <c r="A4609" s="23"/>
      <c r="B4609" s="328"/>
      <c r="C4609" s="327"/>
      <c r="D4609" s="328"/>
      <c r="E4609" s="23"/>
      <c r="F4609" s="329"/>
      <c r="G4609" s="23"/>
      <c r="H4609" s="23"/>
      <c r="I4609" s="330"/>
      <c r="J4609" s="330"/>
      <c r="K4609" s="23"/>
    </row>
    <row r="4610" spans="1:11" ht="12.75" x14ac:dyDescent="0.2">
      <c r="A4610" s="23"/>
      <c r="B4610" s="328"/>
      <c r="C4610" s="327"/>
      <c r="D4610" s="328"/>
      <c r="E4610" s="23"/>
      <c r="F4610" s="329"/>
      <c r="G4610" s="23"/>
      <c r="H4610" s="23"/>
      <c r="I4610" s="330"/>
      <c r="J4610" s="330"/>
      <c r="K4610" s="23"/>
    </row>
    <row r="4611" spans="1:11" ht="12.75" x14ac:dyDescent="0.2">
      <c r="A4611" s="23"/>
      <c r="B4611" s="328"/>
      <c r="C4611" s="327"/>
      <c r="D4611" s="328"/>
      <c r="E4611" s="23"/>
      <c r="F4611" s="329"/>
      <c r="G4611" s="23"/>
      <c r="H4611" s="23"/>
      <c r="I4611" s="330"/>
      <c r="J4611" s="330"/>
      <c r="K4611" s="23"/>
    </row>
    <row r="4612" spans="1:11" ht="12.75" x14ac:dyDescent="0.2">
      <c r="A4612" s="23"/>
      <c r="B4612" s="328"/>
      <c r="C4612" s="327"/>
      <c r="D4612" s="328"/>
      <c r="E4612" s="23"/>
      <c r="F4612" s="329"/>
      <c r="G4612" s="23"/>
      <c r="H4612" s="23"/>
      <c r="I4612" s="330"/>
      <c r="J4612" s="330"/>
      <c r="K4612" s="23"/>
    </row>
    <row r="4613" spans="1:11" ht="12.75" x14ac:dyDescent="0.2">
      <c r="A4613" s="23"/>
      <c r="B4613" s="328"/>
      <c r="C4613" s="327"/>
      <c r="D4613" s="328"/>
      <c r="E4613" s="23"/>
      <c r="F4613" s="329"/>
      <c r="G4613" s="23"/>
      <c r="H4613" s="23"/>
      <c r="I4613" s="330"/>
      <c r="J4613" s="330"/>
      <c r="K4613" s="23"/>
    </row>
    <row r="4614" spans="1:11" ht="12.75" x14ac:dyDescent="0.2">
      <c r="A4614" s="23"/>
      <c r="B4614" s="328"/>
      <c r="C4614" s="327"/>
      <c r="D4614" s="328"/>
      <c r="E4614" s="23"/>
      <c r="F4614" s="329"/>
      <c r="G4614" s="23"/>
      <c r="H4614" s="23"/>
      <c r="I4614" s="330"/>
      <c r="J4614" s="330"/>
      <c r="K4614" s="23"/>
    </row>
    <row r="4615" spans="1:11" ht="12.75" x14ac:dyDescent="0.2">
      <c r="A4615" s="23"/>
      <c r="B4615" s="328"/>
      <c r="C4615" s="327"/>
      <c r="D4615" s="328"/>
      <c r="E4615" s="23"/>
      <c r="F4615" s="329"/>
      <c r="G4615" s="23"/>
      <c r="H4615" s="23"/>
      <c r="I4615" s="330"/>
      <c r="J4615" s="330"/>
      <c r="K4615" s="23"/>
    </row>
    <row r="4616" spans="1:11" ht="12.75" x14ac:dyDescent="0.2">
      <c r="A4616" s="23"/>
      <c r="B4616" s="328"/>
      <c r="C4616" s="327"/>
      <c r="D4616" s="328"/>
      <c r="E4616" s="23"/>
      <c r="F4616" s="329"/>
      <c r="G4616" s="23"/>
      <c r="H4616" s="23"/>
      <c r="I4616" s="330"/>
      <c r="J4616" s="330"/>
      <c r="K4616" s="23"/>
    </row>
    <row r="4617" spans="1:11" ht="12.75" x14ac:dyDescent="0.2">
      <c r="A4617" s="23"/>
      <c r="B4617" s="328"/>
      <c r="C4617" s="327"/>
      <c r="D4617" s="328"/>
      <c r="E4617" s="23"/>
      <c r="F4617" s="329"/>
      <c r="G4617" s="23"/>
      <c r="H4617" s="23"/>
      <c r="I4617" s="330"/>
      <c r="J4617" s="330"/>
      <c r="K4617" s="23"/>
    </row>
    <row r="4618" spans="1:11" ht="12.75" x14ac:dyDescent="0.2">
      <c r="A4618" s="23"/>
      <c r="B4618" s="328"/>
      <c r="C4618" s="327"/>
      <c r="D4618" s="328"/>
      <c r="E4618" s="23"/>
      <c r="F4618" s="329"/>
      <c r="G4618" s="23"/>
      <c r="H4618" s="23"/>
      <c r="I4618" s="330"/>
      <c r="J4618" s="330"/>
      <c r="K4618" s="23"/>
    </row>
    <row r="4619" spans="1:11" ht="12.75" x14ac:dyDescent="0.2">
      <c r="A4619" s="23"/>
      <c r="B4619" s="328"/>
      <c r="C4619" s="327"/>
      <c r="D4619" s="328"/>
      <c r="E4619" s="23"/>
      <c r="F4619" s="329"/>
      <c r="G4619" s="23"/>
      <c r="H4619" s="23"/>
      <c r="I4619" s="330"/>
      <c r="J4619" s="330"/>
      <c r="K4619" s="23"/>
    </row>
    <row r="4620" spans="1:11" ht="12.75" x14ac:dyDescent="0.2">
      <c r="A4620" s="23"/>
      <c r="B4620" s="328"/>
      <c r="C4620" s="327"/>
      <c r="D4620" s="328"/>
      <c r="E4620" s="23"/>
      <c r="F4620" s="329"/>
      <c r="G4620" s="23"/>
      <c r="H4620" s="23"/>
      <c r="I4620" s="330"/>
      <c r="J4620" s="330"/>
      <c r="K4620" s="23"/>
    </row>
    <row r="4621" spans="1:11" ht="12.75" x14ac:dyDescent="0.2">
      <c r="A4621" s="23"/>
      <c r="B4621" s="328"/>
      <c r="C4621" s="327"/>
      <c r="D4621" s="328"/>
      <c r="E4621" s="23"/>
      <c r="F4621" s="329"/>
      <c r="G4621" s="23"/>
      <c r="H4621" s="23"/>
      <c r="I4621" s="330"/>
      <c r="J4621" s="330"/>
      <c r="K4621" s="23"/>
    </row>
    <row r="4622" spans="1:11" ht="12.75" x14ac:dyDescent="0.2">
      <c r="A4622" s="23"/>
      <c r="B4622" s="328"/>
      <c r="C4622" s="327"/>
      <c r="D4622" s="328"/>
      <c r="E4622" s="23"/>
      <c r="F4622" s="329"/>
      <c r="G4622" s="23"/>
      <c r="H4622" s="23"/>
      <c r="I4622" s="330"/>
      <c r="J4622" s="330"/>
      <c r="K4622" s="23"/>
    </row>
    <row r="4623" spans="1:11" ht="12.75" x14ac:dyDescent="0.2">
      <c r="A4623" s="23"/>
      <c r="B4623" s="328"/>
      <c r="C4623" s="327"/>
      <c r="D4623" s="328"/>
      <c r="E4623" s="23"/>
      <c r="F4623" s="329"/>
      <c r="G4623" s="23"/>
      <c r="H4623" s="23"/>
      <c r="I4623" s="330"/>
      <c r="J4623" s="330"/>
      <c r="K4623" s="23"/>
    </row>
    <row r="4624" spans="1:11" ht="12.75" x14ac:dyDescent="0.2">
      <c r="A4624" s="23"/>
      <c r="B4624" s="328"/>
      <c r="C4624" s="327"/>
      <c r="D4624" s="328"/>
      <c r="E4624" s="23"/>
      <c r="F4624" s="329"/>
      <c r="G4624" s="23"/>
      <c r="H4624" s="23"/>
      <c r="I4624" s="330"/>
      <c r="J4624" s="330"/>
      <c r="K4624" s="23"/>
    </row>
    <row r="4625" spans="1:11" ht="12.75" x14ac:dyDescent="0.2">
      <c r="A4625" s="23"/>
      <c r="B4625" s="328"/>
      <c r="C4625" s="327"/>
      <c r="D4625" s="328"/>
      <c r="E4625" s="23"/>
      <c r="F4625" s="329"/>
      <c r="G4625" s="23"/>
      <c r="H4625" s="23"/>
      <c r="I4625" s="330"/>
      <c r="J4625" s="330"/>
      <c r="K4625" s="23"/>
    </row>
    <row r="4626" spans="1:11" ht="12.75" x14ac:dyDescent="0.2">
      <c r="A4626" s="23"/>
      <c r="B4626" s="328"/>
      <c r="C4626" s="327"/>
      <c r="D4626" s="328"/>
      <c r="E4626" s="23"/>
      <c r="F4626" s="329"/>
      <c r="G4626" s="23"/>
      <c r="H4626" s="23"/>
      <c r="I4626" s="330"/>
      <c r="J4626" s="330"/>
      <c r="K4626" s="23"/>
    </row>
    <row r="4627" spans="1:11" ht="12.75" x14ac:dyDescent="0.2">
      <c r="A4627" s="23"/>
      <c r="B4627" s="328"/>
      <c r="C4627" s="327"/>
      <c r="D4627" s="328"/>
      <c r="E4627" s="23"/>
      <c r="F4627" s="329"/>
      <c r="G4627" s="23"/>
      <c r="H4627" s="23"/>
      <c r="I4627" s="330"/>
      <c r="J4627" s="330"/>
      <c r="K4627" s="23"/>
    </row>
    <row r="4628" spans="1:11" ht="12.75" x14ac:dyDescent="0.2">
      <c r="A4628" s="23"/>
      <c r="B4628" s="328"/>
      <c r="C4628" s="327"/>
      <c r="D4628" s="328"/>
      <c r="E4628" s="23"/>
      <c r="F4628" s="329"/>
      <c r="G4628" s="23"/>
      <c r="H4628" s="23"/>
      <c r="I4628" s="330"/>
      <c r="J4628" s="330"/>
      <c r="K4628" s="23"/>
    </row>
    <row r="4629" spans="1:11" ht="12.75" x14ac:dyDescent="0.2">
      <c r="A4629" s="23"/>
      <c r="B4629" s="328"/>
      <c r="C4629" s="327"/>
      <c r="D4629" s="328"/>
      <c r="E4629" s="23"/>
      <c r="F4629" s="329"/>
      <c r="G4629" s="23"/>
      <c r="H4629" s="23"/>
      <c r="I4629" s="330"/>
      <c r="J4629" s="330"/>
      <c r="K4629" s="23"/>
    </row>
    <row r="4630" spans="1:11" ht="12.75" x14ac:dyDescent="0.2">
      <c r="A4630" s="23"/>
      <c r="B4630" s="328"/>
      <c r="C4630" s="327"/>
      <c r="D4630" s="328"/>
      <c r="E4630" s="23"/>
      <c r="F4630" s="329"/>
      <c r="G4630" s="23"/>
      <c r="H4630" s="23"/>
      <c r="I4630" s="330"/>
      <c r="J4630" s="330"/>
      <c r="K4630" s="23"/>
    </row>
    <row r="4631" spans="1:11" ht="12.75" x14ac:dyDescent="0.2">
      <c r="A4631" s="23"/>
      <c r="B4631" s="328"/>
      <c r="C4631" s="327"/>
      <c r="D4631" s="328"/>
      <c r="E4631" s="23"/>
      <c r="F4631" s="329"/>
      <c r="G4631" s="23"/>
      <c r="H4631" s="23"/>
      <c r="I4631" s="330"/>
      <c r="J4631" s="330"/>
      <c r="K4631" s="23"/>
    </row>
    <row r="4632" spans="1:11" ht="12.75" x14ac:dyDescent="0.2">
      <c r="A4632" s="23"/>
      <c r="B4632" s="328"/>
      <c r="C4632" s="327"/>
      <c r="D4632" s="328"/>
      <c r="E4632" s="23"/>
      <c r="F4632" s="329"/>
      <c r="G4632" s="23"/>
      <c r="H4632" s="23"/>
      <c r="I4632" s="330"/>
      <c r="J4632" s="330"/>
      <c r="K4632" s="23"/>
    </row>
    <row r="4633" spans="1:11" ht="12.75" x14ac:dyDescent="0.2">
      <c r="A4633" s="23"/>
      <c r="B4633" s="328"/>
      <c r="C4633" s="327"/>
      <c r="D4633" s="328"/>
      <c r="E4633" s="23"/>
      <c r="F4633" s="329"/>
      <c r="G4633" s="23"/>
      <c r="H4633" s="23"/>
      <c r="I4633" s="330"/>
      <c r="J4633" s="330"/>
      <c r="K4633" s="23"/>
    </row>
    <row r="4634" spans="1:11" ht="12.75" x14ac:dyDescent="0.2">
      <c r="A4634" s="23"/>
      <c r="B4634" s="328"/>
      <c r="C4634" s="327"/>
      <c r="D4634" s="328"/>
      <c r="E4634" s="23"/>
      <c r="F4634" s="329"/>
      <c r="G4634" s="23"/>
      <c r="H4634" s="23"/>
      <c r="I4634" s="330"/>
      <c r="J4634" s="330"/>
      <c r="K4634" s="23"/>
    </row>
    <row r="4635" spans="1:11" ht="12.75" x14ac:dyDescent="0.2">
      <c r="A4635" s="23"/>
      <c r="B4635" s="328"/>
      <c r="C4635" s="327"/>
      <c r="D4635" s="328"/>
      <c r="E4635" s="23"/>
      <c r="F4635" s="329"/>
      <c r="G4635" s="23"/>
      <c r="H4635" s="23"/>
      <c r="I4635" s="330"/>
      <c r="J4635" s="330"/>
      <c r="K4635" s="23"/>
    </row>
    <row r="4636" spans="1:11" ht="12.75" x14ac:dyDescent="0.2">
      <c r="A4636" s="23"/>
      <c r="B4636" s="328"/>
      <c r="C4636" s="327"/>
      <c r="D4636" s="328"/>
      <c r="E4636" s="23"/>
      <c r="F4636" s="329"/>
      <c r="G4636" s="23"/>
      <c r="H4636" s="23"/>
      <c r="I4636" s="330"/>
      <c r="J4636" s="330"/>
      <c r="K4636" s="23"/>
    </row>
    <row r="4637" spans="1:11" ht="12.75" x14ac:dyDescent="0.2">
      <c r="A4637" s="23"/>
      <c r="B4637" s="328"/>
      <c r="C4637" s="327"/>
      <c r="D4637" s="328"/>
      <c r="E4637" s="23"/>
      <c r="F4637" s="329"/>
      <c r="G4637" s="23"/>
      <c r="H4637" s="23"/>
      <c r="I4637" s="330"/>
      <c r="J4637" s="330"/>
      <c r="K4637" s="23"/>
    </row>
    <row r="4638" spans="1:11" ht="12.75" x14ac:dyDescent="0.2">
      <c r="A4638" s="23"/>
      <c r="B4638" s="328"/>
      <c r="C4638" s="327"/>
      <c r="D4638" s="328"/>
      <c r="E4638" s="23"/>
      <c r="F4638" s="329"/>
      <c r="G4638" s="23"/>
      <c r="H4638" s="23"/>
      <c r="I4638" s="330"/>
      <c r="J4638" s="330"/>
      <c r="K4638" s="23"/>
    </row>
    <row r="4639" spans="1:11" ht="12.75" x14ac:dyDescent="0.2">
      <c r="A4639" s="23"/>
      <c r="B4639" s="328"/>
      <c r="C4639" s="327"/>
      <c r="D4639" s="328"/>
      <c r="E4639" s="23"/>
      <c r="F4639" s="329"/>
      <c r="G4639" s="23"/>
      <c r="H4639" s="23"/>
      <c r="I4639" s="330"/>
      <c r="J4639" s="330"/>
      <c r="K4639" s="23"/>
    </row>
    <row r="4640" spans="1:11" ht="12.75" x14ac:dyDescent="0.2">
      <c r="A4640" s="23"/>
      <c r="B4640" s="328"/>
      <c r="C4640" s="327"/>
      <c r="D4640" s="328"/>
      <c r="E4640" s="23"/>
      <c r="F4640" s="329"/>
      <c r="G4640" s="23"/>
      <c r="H4640" s="23"/>
      <c r="I4640" s="330"/>
      <c r="J4640" s="330"/>
      <c r="K4640" s="23"/>
    </row>
    <row r="4641" spans="1:11" ht="12.75" x14ac:dyDescent="0.2">
      <c r="A4641" s="23"/>
      <c r="B4641" s="328"/>
      <c r="C4641" s="327"/>
      <c r="D4641" s="328"/>
      <c r="E4641" s="23"/>
      <c r="F4641" s="329"/>
      <c r="G4641" s="23"/>
      <c r="H4641" s="23"/>
      <c r="I4641" s="330"/>
      <c r="J4641" s="330"/>
      <c r="K4641" s="23"/>
    </row>
    <row r="4642" spans="1:11" ht="12.75" x14ac:dyDescent="0.2">
      <c r="A4642" s="23"/>
      <c r="B4642" s="328"/>
      <c r="C4642" s="327"/>
      <c r="D4642" s="328"/>
      <c r="E4642" s="23"/>
      <c r="F4642" s="329"/>
      <c r="G4642" s="23"/>
      <c r="H4642" s="23"/>
      <c r="I4642" s="330"/>
      <c r="J4642" s="330"/>
      <c r="K4642" s="23"/>
    </row>
    <row r="4643" spans="1:11" ht="12.75" x14ac:dyDescent="0.2">
      <c r="A4643" s="23"/>
      <c r="B4643" s="328"/>
      <c r="C4643" s="327"/>
      <c r="D4643" s="328"/>
      <c r="E4643" s="23"/>
      <c r="F4643" s="329"/>
      <c r="G4643" s="23"/>
      <c r="H4643" s="23"/>
      <c r="I4643" s="330"/>
      <c r="J4643" s="330"/>
      <c r="K4643" s="23"/>
    </row>
    <row r="4644" spans="1:11" ht="12.75" x14ac:dyDescent="0.2">
      <c r="A4644" s="23"/>
      <c r="B4644" s="328"/>
      <c r="C4644" s="327"/>
      <c r="D4644" s="328"/>
      <c r="E4644" s="23"/>
      <c r="F4644" s="329"/>
      <c r="G4644" s="23"/>
      <c r="H4644" s="23"/>
      <c r="I4644" s="330"/>
      <c r="J4644" s="330"/>
      <c r="K4644" s="23"/>
    </row>
    <row r="4645" spans="1:11" ht="12.75" x14ac:dyDescent="0.2">
      <c r="A4645" s="23"/>
      <c r="B4645" s="328"/>
      <c r="C4645" s="327"/>
      <c r="D4645" s="328"/>
      <c r="E4645" s="23"/>
      <c r="F4645" s="329"/>
      <c r="G4645" s="23"/>
      <c r="H4645" s="23"/>
      <c r="I4645" s="330"/>
      <c r="J4645" s="330"/>
      <c r="K4645" s="23"/>
    </row>
    <row r="4646" spans="1:11" ht="12.75" x14ac:dyDescent="0.2">
      <c r="A4646" s="23"/>
      <c r="B4646" s="328"/>
      <c r="C4646" s="327"/>
      <c r="D4646" s="328"/>
      <c r="E4646" s="23"/>
      <c r="F4646" s="329"/>
      <c r="G4646" s="23"/>
      <c r="H4646" s="23"/>
      <c r="I4646" s="330"/>
      <c r="J4646" s="330"/>
      <c r="K4646" s="23"/>
    </row>
    <row r="4647" spans="1:11" ht="12.75" x14ac:dyDescent="0.2">
      <c r="A4647" s="23"/>
      <c r="B4647" s="328"/>
      <c r="C4647" s="327"/>
      <c r="D4647" s="328"/>
      <c r="E4647" s="23"/>
      <c r="F4647" s="329"/>
      <c r="G4647" s="23"/>
      <c r="H4647" s="23"/>
      <c r="I4647" s="330"/>
      <c r="J4647" s="330"/>
      <c r="K4647" s="23"/>
    </row>
    <row r="4648" spans="1:11" ht="12.75" x14ac:dyDescent="0.2">
      <c r="A4648" s="23"/>
      <c r="B4648" s="328"/>
      <c r="C4648" s="327"/>
      <c r="D4648" s="328"/>
      <c r="E4648" s="23"/>
      <c r="F4648" s="329"/>
      <c r="G4648" s="23"/>
      <c r="H4648" s="23"/>
      <c r="I4648" s="330"/>
      <c r="J4648" s="330"/>
      <c r="K4648" s="23"/>
    </row>
    <row r="4649" spans="1:11" ht="12.75" x14ac:dyDescent="0.2">
      <c r="A4649" s="23"/>
      <c r="B4649" s="328"/>
      <c r="C4649" s="327"/>
      <c r="D4649" s="328"/>
      <c r="E4649" s="23"/>
      <c r="F4649" s="329"/>
      <c r="G4649" s="23"/>
      <c r="H4649" s="23"/>
      <c r="I4649" s="330"/>
      <c r="J4649" s="330"/>
      <c r="K4649" s="23"/>
    </row>
    <row r="4650" spans="1:11" ht="12.75" x14ac:dyDescent="0.2">
      <c r="A4650" s="23"/>
      <c r="B4650" s="328"/>
      <c r="C4650" s="327"/>
      <c r="D4650" s="328"/>
      <c r="E4650" s="23"/>
      <c r="F4650" s="329"/>
      <c r="G4650" s="23"/>
      <c r="H4650" s="23"/>
      <c r="I4650" s="330"/>
      <c r="J4650" s="330"/>
      <c r="K4650" s="23"/>
    </row>
    <row r="4651" spans="1:11" ht="12.75" x14ac:dyDescent="0.2">
      <c r="A4651" s="23"/>
      <c r="B4651" s="328"/>
      <c r="C4651" s="327"/>
      <c r="D4651" s="328"/>
      <c r="E4651" s="23"/>
      <c r="F4651" s="329"/>
      <c r="G4651" s="23"/>
      <c r="H4651" s="23"/>
      <c r="I4651" s="330"/>
      <c r="J4651" s="330"/>
      <c r="K4651" s="23"/>
    </row>
    <row r="4652" spans="1:11" ht="12.75" x14ac:dyDescent="0.2">
      <c r="A4652" s="23"/>
      <c r="B4652" s="328"/>
      <c r="C4652" s="327"/>
      <c r="D4652" s="328"/>
      <c r="E4652" s="23"/>
      <c r="F4652" s="329"/>
      <c r="G4652" s="23"/>
      <c r="H4652" s="23"/>
      <c r="I4652" s="330"/>
      <c r="J4652" s="330"/>
      <c r="K4652" s="23"/>
    </row>
    <row r="4653" spans="1:11" ht="12.75" x14ac:dyDescent="0.2">
      <c r="A4653" s="23"/>
      <c r="B4653" s="328"/>
      <c r="C4653" s="327"/>
      <c r="D4653" s="328"/>
      <c r="E4653" s="23"/>
      <c r="F4653" s="329"/>
      <c r="G4653" s="23"/>
      <c r="H4653" s="23"/>
      <c r="I4653" s="330"/>
      <c r="J4653" s="330"/>
      <c r="K4653" s="23"/>
    </row>
    <row r="4654" spans="1:11" ht="12.75" x14ac:dyDescent="0.2">
      <c r="A4654" s="23"/>
      <c r="B4654" s="328"/>
      <c r="C4654" s="327"/>
      <c r="D4654" s="328"/>
      <c r="E4654" s="23"/>
      <c r="F4654" s="329"/>
      <c r="G4654" s="23"/>
      <c r="H4654" s="23"/>
      <c r="I4654" s="330"/>
      <c r="J4654" s="330"/>
      <c r="K4654" s="23"/>
    </row>
    <row r="4655" spans="1:11" ht="12.75" x14ac:dyDescent="0.2">
      <c r="A4655" s="23"/>
      <c r="B4655" s="328"/>
      <c r="C4655" s="327"/>
      <c r="D4655" s="328"/>
      <c r="E4655" s="23"/>
      <c r="F4655" s="329"/>
      <c r="G4655" s="23"/>
      <c r="H4655" s="23"/>
      <c r="I4655" s="330"/>
      <c r="J4655" s="330"/>
      <c r="K4655" s="23"/>
    </row>
    <row r="4656" spans="1:11" ht="12.75" x14ac:dyDescent="0.2">
      <c r="A4656" s="23"/>
      <c r="B4656" s="328"/>
      <c r="C4656" s="327"/>
      <c r="D4656" s="328"/>
      <c r="E4656" s="23"/>
      <c r="F4656" s="329"/>
      <c r="G4656" s="23"/>
      <c r="H4656" s="23"/>
      <c r="I4656" s="330"/>
      <c r="J4656" s="330"/>
      <c r="K4656" s="23"/>
    </row>
    <row r="4657" spans="1:11" ht="12.75" x14ac:dyDescent="0.2">
      <c r="A4657" s="23"/>
      <c r="B4657" s="328"/>
      <c r="C4657" s="327"/>
      <c r="D4657" s="328"/>
      <c r="E4657" s="23"/>
      <c r="F4657" s="329"/>
      <c r="G4657" s="23"/>
      <c r="H4657" s="23"/>
      <c r="I4657" s="330"/>
      <c r="J4657" s="330"/>
      <c r="K4657" s="23"/>
    </row>
    <row r="4658" spans="1:11" ht="12.75" x14ac:dyDescent="0.2">
      <c r="A4658" s="23"/>
      <c r="B4658" s="328"/>
      <c r="C4658" s="327"/>
      <c r="D4658" s="328"/>
      <c r="E4658" s="23"/>
      <c r="F4658" s="329"/>
      <c r="G4658" s="23"/>
      <c r="H4658" s="23"/>
      <c r="I4658" s="330"/>
      <c r="J4658" s="330"/>
      <c r="K4658" s="23"/>
    </row>
    <row r="4659" spans="1:11" ht="12.75" x14ac:dyDescent="0.2">
      <c r="A4659" s="23"/>
      <c r="B4659" s="328"/>
      <c r="C4659" s="327"/>
      <c r="D4659" s="328"/>
      <c r="E4659" s="23"/>
      <c r="F4659" s="329"/>
      <c r="G4659" s="23"/>
      <c r="H4659" s="23"/>
      <c r="I4659" s="330"/>
      <c r="J4659" s="330"/>
      <c r="K4659" s="23"/>
    </row>
    <row r="4660" spans="1:11" ht="12.75" x14ac:dyDescent="0.2">
      <c r="A4660" s="23"/>
      <c r="B4660" s="328"/>
      <c r="C4660" s="327"/>
      <c r="D4660" s="328"/>
      <c r="E4660" s="23"/>
      <c r="F4660" s="329"/>
      <c r="G4660" s="23"/>
      <c r="H4660" s="23"/>
      <c r="I4660" s="330"/>
      <c r="J4660" s="330"/>
      <c r="K4660" s="23"/>
    </row>
    <row r="4661" spans="1:11" ht="12.75" x14ac:dyDescent="0.2">
      <c r="A4661" s="23"/>
      <c r="B4661" s="328"/>
      <c r="C4661" s="327"/>
      <c r="D4661" s="328"/>
      <c r="E4661" s="23"/>
      <c r="F4661" s="329"/>
      <c r="G4661" s="23"/>
      <c r="H4661" s="23"/>
      <c r="I4661" s="330"/>
      <c r="J4661" s="330"/>
      <c r="K4661" s="23"/>
    </row>
    <row r="4662" spans="1:11" ht="12.75" x14ac:dyDescent="0.2">
      <c r="A4662" s="23"/>
      <c r="B4662" s="328"/>
      <c r="C4662" s="327"/>
      <c r="D4662" s="328"/>
      <c r="E4662" s="23"/>
      <c r="F4662" s="329"/>
      <c r="G4662" s="23"/>
      <c r="H4662" s="23"/>
      <c r="I4662" s="330"/>
      <c r="J4662" s="330"/>
      <c r="K4662" s="23"/>
    </row>
    <row r="4663" spans="1:11" ht="12.75" x14ac:dyDescent="0.2">
      <c r="A4663" s="23"/>
      <c r="B4663" s="328"/>
      <c r="C4663" s="327"/>
      <c r="D4663" s="328"/>
      <c r="E4663" s="23"/>
      <c r="F4663" s="329"/>
      <c r="G4663" s="23"/>
      <c r="H4663" s="23"/>
      <c r="I4663" s="330"/>
      <c r="J4663" s="330"/>
      <c r="K4663" s="23"/>
    </row>
    <row r="4664" spans="1:11" ht="12.75" x14ac:dyDescent="0.2">
      <c r="A4664" s="23"/>
      <c r="B4664" s="328"/>
      <c r="C4664" s="327"/>
      <c r="D4664" s="328"/>
      <c r="E4664" s="23"/>
      <c r="F4664" s="329"/>
      <c r="G4664" s="23"/>
      <c r="H4664" s="23"/>
      <c r="I4664" s="330"/>
      <c r="J4664" s="330"/>
      <c r="K4664" s="23"/>
    </row>
    <row r="4665" spans="1:11" ht="12.75" x14ac:dyDescent="0.2">
      <c r="A4665" s="23"/>
      <c r="B4665" s="328"/>
      <c r="C4665" s="327"/>
      <c r="D4665" s="328"/>
      <c r="E4665" s="23"/>
      <c r="F4665" s="329"/>
      <c r="G4665" s="23"/>
      <c r="H4665" s="23"/>
      <c r="I4665" s="330"/>
      <c r="J4665" s="330"/>
      <c r="K4665" s="23"/>
    </row>
    <row r="4666" spans="1:11" ht="12.75" x14ac:dyDescent="0.2">
      <c r="A4666" s="23"/>
      <c r="B4666" s="328"/>
      <c r="C4666" s="327"/>
      <c r="D4666" s="328"/>
      <c r="E4666" s="23"/>
      <c r="F4666" s="329"/>
      <c r="G4666" s="23"/>
      <c r="H4666" s="23"/>
      <c r="I4666" s="330"/>
      <c r="J4666" s="330"/>
      <c r="K4666" s="23"/>
    </row>
    <row r="4667" spans="1:11" ht="12.75" x14ac:dyDescent="0.2">
      <c r="A4667" s="23"/>
      <c r="B4667" s="328"/>
      <c r="C4667" s="327"/>
      <c r="D4667" s="328"/>
      <c r="E4667" s="23"/>
      <c r="F4667" s="329"/>
      <c r="G4667" s="23"/>
      <c r="H4667" s="23"/>
      <c r="I4667" s="330"/>
      <c r="J4667" s="330"/>
      <c r="K4667" s="23"/>
    </row>
    <row r="4668" spans="1:11" ht="12.75" x14ac:dyDescent="0.2">
      <c r="A4668" s="23"/>
      <c r="B4668" s="328"/>
      <c r="C4668" s="327"/>
      <c r="D4668" s="328"/>
      <c r="E4668" s="23"/>
      <c r="F4668" s="329"/>
      <c r="G4668" s="23"/>
      <c r="H4668" s="23"/>
      <c r="I4668" s="330"/>
      <c r="J4668" s="330"/>
      <c r="K4668" s="23"/>
    </row>
    <row r="4669" spans="1:11" ht="12.75" x14ac:dyDescent="0.2">
      <c r="A4669" s="23"/>
      <c r="B4669" s="328"/>
      <c r="C4669" s="327"/>
      <c r="D4669" s="328"/>
      <c r="E4669" s="23"/>
      <c r="F4669" s="329"/>
      <c r="G4669" s="23"/>
      <c r="H4669" s="23"/>
      <c r="I4669" s="330"/>
      <c r="J4669" s="330"/>
      <c r="K4669" s="23"/>
    </row>
    <row r="4670" spans="1:11" ht="12.75" x14ac:dyDescent="0.2">
      <c r="A4670" s="23"/>
      <c r="B4670" s="328"/>
      <c r="C4670" s="327"/>
      <c r="D4670" s="328"/>
      <c r="E4670" s="23"/>
      <c r="F4670" s="329"/>
      <c r="G4670" s="23"/>
      <c r="H4670" s="23"/>
      <c r="I4670" s="330"/>
      <c r="J4670" s="330"/>
      <c r="K4670" s="23"/>
    </row>
    <row r="4671" spans="1:11" ht="12.75" x14ac:dyDescent="0.2">
      <c r="A4671" s="23"/>
      <c r="B4671" s="328"/>
      <c r="C4671" s="327"/>
      <c r="D4671" s="328"/>
      <c r="E4671" s="23"/>
      <c r="F4671" s="329"/>
      <c r="G4671" s="23"/>
      <c r="H4671" s="23"/>
      <c r="I4671" s="330"/>
      <c r="J4671" s="330"/>
      <c r="K4671" s="23"/>
    </row>
    <row r="4672" spans="1:11" ht="12.75" x14ac:dyDescent="0.2">
      <c r="A4672" s="23"/>
      <c r="B4672" s="328"/>
      <c r="C4672" s="327"/>
      <c r="D4672" s="328"/>
      <c r="E4672" s="23"/>
      <c r="F4672" s="329"/>
      <c r="G4672" s="23"/>
      <c r="H4672" s="23"/>
      <c r="I4672" s="330"/>
      <c r="J4672" s="330"/>
      <c r="K4672" s="23"/>
    </row>
    <row r="4673" spans="1:11" ht="12.75" x14ac:dyDescent="0.2">
      <c r="A4673" s="23"/>
      <c r="B4673" s="328"/>
      <c r="C4673" s="327"/>
      <c r="D4673" s="328"/>
      <c r="E4673" s="23"/>
      <c r="F4673" s="329"/>
      <c r="G4673" s="23"/>
      <c r="H4673" s="23"/>
      <c r="I4673" s="330"/>
      <c r="J4673" s="330"/>
      <c r="K4673" s="23"/>
    </row>
    <row r="4674" spans="1:11" ht="12.75" x14ac:dyDescent="0.2">
      <c r="A4674" s="23"/>
      <c r="B4674" s="328"/>
      <c r="C4674" s="327"/>
      <c r="D4674" s="328"/>
      <c r="E4674" s="23"/>
      <c r="F4674" s="329"/>
      <c r="G4674" s="23"/>
      <c r="H4674" s="23"/>
      <c r="I4674" s="330"/>
      <c r="J4674" s="330"/>
      <c r="K4674" s="23"/>
    </row>
    <row r="4675" spans="1:11" ht="12.75" x14ac:dyDescent="0.2">
      <c r="A4675" s="23"/>
      <c r="B4675" s="328"/>
      <c r="C4675" s="327"/>
      <c r="D4675" s="328"/>
      <c r="E4675" s="23"/>
      <c r="F4675" s="329"/>
      <c r="G4675" s="23"/>
      <c r="H4675" s="23"/>
      <c r="I4675" s="330"/>
      <c r="J4675" s="330"/>
      <c r="K4675" s="23"/>
    </row>
    <row r="4676" spans="1:11" ht="12.75" x14ac:dyDescent="0.2">
      <c r="A4676" s="23"/>
      <c r="B4676" s="328"/>
      <c r="C4676" s="327"/>
      <c r="D4676" s="328"/>
      <c r="E4676" s="23"/>
      <c r="F4676" s="329"/>
      <c r="G4676" s="23"/>
      <c r="H4676" s="23"/>
      <c r="I4676" s="330"/>
      <c r="J4676" s="330"/>
      <c r="K4676" s="23"/>
    </row>
    <row r="4677" spans="1:11" ht="12.75" x14ac:dyDescent="0.2">
      <c r="A4677" s="23"/>
      <c r="B4677" s="328"/>
      <c r="C4677" s="327"/>
      <c r="D4677" s="328"/>
      <c r="E4677" s="23"/>
      <c r="F4677" s="329"/>
      <c r="G4677" s="23"/>
      <c r="H4677" s="23"/>
      <c r="I4677" s="330"/>
      <c r="J4677" s="330"/>
      <c r="K4677" s="23"/>
    </row>
    <row r="4678" spans="1:11" ht="12.75" x14ac:dyDescent="0.2">
      <c r="A4678" s="23"/>
      <c r="B4678" s="328"/>
      <c r="C4678" s="327"/>
      <c r="D4678" s="328"/>
      <c r="E4678" s="23"/>
      <c r="F4678" s="329"/>
      <c r="G4678" s="23"/>
      <c r="H4678" s="23"/>
      <c r="I4678" s="330"/>
      <c r="J4678" s="330"/>
      <c r="K4678" s="23"/>
    </row>
    <row r="4679" spans="1:11" ht="12.75" x14ac:dyDescent="0.2">
      <c r="A4679" s="23"/>
      <c r="B4679" s="328"/>
      <c r="C4679" s="327"/>
      <c r="D4679" s="328"/>
      <c r="E4679" s="23"/>
      <c r="F4679" s="329"/>
      <c r="G4679" s="23"/>
      <c r="H4679" s="23"/>
      <c r="I4679" s="330"/>
      <c r="J4679" s="330"/>
      <c r="K4679" s="23"/>
    </row>
    <row r="4680" spans="1:11" ht="12.75" x14ac:dyDescent="0.2">
      <c r="A4680" s="23"/>
      <c r="B4680" s="328"/>
      <c r="C4680" s="327"/>
      <c r="D4680" s="328"/>
      <c r="E4680" s="23"/>
      <c r="F4680" s="329"/>
      <c r="G4680" s="23"/>
      <c r="H4680" s="23"/>
      <c r="I4680" s="330"/>
      <c r="J4680" s="330"/>
      <c r="K4680" s="23"/>
    </row>
    <row r="4681" spans="1:11" ht="12.75" x14ac:dyDescent="0.2">
      <c r="A4681" s="23"/>
      <c r="B4681" s="328"/>
      <c r="C4681" s="327"/>
      <c r="D4681" s="328"/>
      <c r="E4681" s="23"/>
      <c r="F4681" s="329"/>
      <c r="G4681" s="23"/>
      <c r="H4681" s="23"/>
      <c r="I4681" s="330"/>
      <c r="J4681" s="330"/>
      <c r="K4681" s="23"/>
    </row>
    <row r="4682" spans="1:11" ht="12.75" x14ac:dyDescent="0.2">
      <c r="A4682" s="23"/>
      <c r="B4682" s="328"/>
      <c r="C4682" s="327"/>
      <c r="D4682" s="328"/>
      <c r="E4682" s="23"/>
      <c r="F4682" s="329"/>
      <c r="G4682" s="23"/>
      <c r="H4682" s="23"/>
      <c r="I4682" s="330"/>
      <c r="J4682" s="330"/>
      <c r="K4682" s="23"/>
    </row>
    <row r="4683" spans="1:11" ht="12.75" x14ac:dyDescent="0.2">
      <c r="A4683" s="23"/>
      <c r="B4683" s="328"/>
      <c r="C4683" s="327"/>
      <c r="D4683" s="328"/>
      <c r="E4683" s="23"/>
      <c r="F4683" s="329"/>
      <c r="G4683" s="23"/>
      <c r="H4683" s="23"/>
      <c r="I4683" s="330"/>
      <c r="J4683" s="330"/>
      <c r="K4683" s="23"/>
    </row>
    <row r="4684" spans="1:11" ht="12.75" x14ac:dyDescent="0.2">
      <c r="A4684" s="23"/>
      <c r="B4684" s="328"/>
      <c r="C4684" s="327"/>
      <c r="D4684" s="328"/>
      <c r="E4684" s="23"/>
      <c r="F4684" s="329"/>
      <c r="G4684" s="23"/>
      <c r="H4684" s="23"/>
      <c r="I4684" s="330"/>
      <c r="J4684" s="330"/>
      <c r="K4684" s="23"/>
    </row>
    <row r="4685" spans="1:11" ht="12.75" x14ac:dyDescent="0.2">
      <c r="A4685" s="23"/>
      <c r="B4685" s="328"/>
      <c r="C4685" s="327"/>
      <c r="D4685" s="328"/>
      <c r="E4685" s="23"/>
      <c r="F4685" s="329"/>
      <c r="G4685" s="23"/>
      <c r="H4685" s="23"/>
      <c r="I4685" s="330"/>
      <c r="J4685" s="330"/>
      <c r="K4685" s="23"/>
    </row>
    <row r="4686" spans="1:11" ht="12.75" x14ac:dyDescent="0.2">
      <c r="A4686" s="23"/>
      <c r="B4686" s="328"/>
      <c r="C4686" s="327"/>
      <c r="D4686" s="328"/>
      <c r="E4686" s="23"/>
      <c r="F4686" s="329"/>
      <c r="G4686" s="23"/>
      <c r="H4686" s="23"/>
      <c r="I4686" s="330"/>
      <c r="J4686" s="330"/>
      <c r="K4686" s="23"/>
    </row>
    <row r="4687" spans="1:11" ht="12.75" x14ac:dyDescent="0.2">
      <c r="A4687" s="23"/>
      <c r="B4687" s="328"/>
      <c r="C4687" s="327"/>
      <c r="D4687" s="328"/>
      <c r="E4687" s="23"/>
      <c r="F4687" s="329"/>
      <c r="G4687" s="23"/>
      <c r="H4687" s="23"/>
      <c r="I4687" s="330"/>
      <c r="J4687" s="330"/>
      <c r="K4687" s="23"/>
    </row>
    <row r="4688" spans="1:11" ht="12.75" x14ac:dyDescent="0.2">
      <c r="A4688" s="23"/>
      <c r="B4688" s="328"/>
      <c r="C4688" s="327"/>
      <c r="D4688" s="328"/>
      <c r="E4688" s="23"/>
      <c r="F4688" s="329"/>
      <c r="G4688" s="23"/>
      <c r="H4688" s="23"/>
      <c r="I4688" s="330"/>
      <c r="J4688" s="330"/>
      <c r="K4688" s="23"/>
    </row>
    <row r="4689" spans="1:11" ht="12.75" x14ac:dyDescent="0.2">
      <c r="A4689" s="23"/>
      <c r="B4689" s="328"/>
      <c r="C4689" s="327"/>
      <c r="D4689" s="328"/>
      <c r="E4689" s="23"/>
      <c r="F4689" s="329"/>
      <c r="G4689" s="23"/>
      <c r="H4689" s="23"/>
      <c r="I4689" s="330"/>
      <c r="J4689" s="330"/>
      <c r="K4689" s="23"/>
    </row>
    <row r="4690" spans="1:11" ht="12.75" x14ac:dyDescent="0.2">
      <c r="A4690" s="23"/>
      <c r="B4690" s="328"/>
      <c r="C4690" s="327"/>
      <c r="D4690" s="328"/>
      <c r="E4690" s="23"/>
      <c r="F4690" s="329"/>
      <c r="G4690" s="23"/>
      <c r="H4690" s="23"/>
      <c r="I4690" s="330"/>
      <c r="J4690" s="330"/>
      <c r="K4690" s="23"/>
    </row>
    <row r="4691" spans="1:11" ht="12.75" x14ac:dyDescent="0.2">
      <c r="A4691" s="23"/>
      <c r="B4691" s="328"/>
      <c r="C4691" s="327"/>
      <c r="D4691" s="328"/>
      <c r="E4691" s="23"/>
      <c r="F4691" s="329"/>
      <c r="G4691" s="23"/>
      <c r="H4691" s="23"/>
      <c r="I4691" s="330"/>
      <c r="J4691" s="330"/>
      <c r="K4691" s="23"/>
    </row>
    <row r="4692" spans="1:11" ht="12.75" x14ac:dyDescent="0.2">
      <c r="A4692" s="23"/>
      <c r="B4692" s="328"/>
      <c r="C4692" s="327"/>
      <c r="D4692" s="328"/>
      <c r="E4692" s="23"/>
      <c r="F4692" s="329"/>
      <c r="G4692" s="23"/>
      <c r="H4692" s="23"/>
      <c r="I4692" s="330"/>
      <c r="J4692" s="330"/>
      <c r="K4692" s="23"/>
    </row>
    <row r="4693" spans="1:11" ht="12.75" x14ac:dyDescent="0.2">
      <c r="A4693" s="23"/>
      <c r="B4693" s="328"/>
      <c r="C4693" s="327"/>
      <c r="D4693" s="328"/>
      <c r="E4693" s="23"/>
      <c r="F4693" s="329"/>
      <c r="G4693" s="23"/>
      <c r="H4693" s="23"/>
      <c r="I4693" s="330"/>
      <c r="J4693" s="330"/>
      <c r="K4693" s="23"/>
    </row>
    <row r="4694" spans="1:11" ht="12.75" x14ac:dyDescent="0.2">
      <c r="A4694" s="23"/>
      <c r="B4694" s="328"/>
      <c r="C4694" s="327"/>
      <c r="D4694" s="328"/>
      <c r="E4694" s="23"/>
      <c r="F4694" s="329"/>
      <c r="G4694" s="23"/>
      <c r="H4694" s="23"/>
      <c r="I4694" s="330"/>
      <c r="J4694" s="330"/>
      <c r="K4694" s="23"/>
    </row>
    <row r="4695" spans="1:11" ht="12.75" x14ac:dyDescent="0.2">
      <c r="A4695" s="23"/>
      <c r="B4695" s="328"/>
      <c r="C4695" s="327"/>
      <c r="D4695" s="328"/>
      <c r="E4695" s="23"/>
      <c r="F4695" s="329"/>
      <c r="G4695" s="23"/>
      <c r="H4695" s="23"/>
      <c r="I4695" s="330"/>
      <c r="J4695" s="330"/>
      <c r="K4695" s="23"/>
    </row>
    <row r="4696" spans="1:11" ht="12.75" x14ac:dyDescent="0.2">
      <c r="A4696" s="23"/>
      <c r="B4696" s="328"/>
      <c r="C4696" s="327"/>
      <c r="D4696" s="328"/>
      <c r="E4696" s="23"/>
      <c r="F4696" s="329"/>
      <c r="G4696" s="23"/>
      <c r="H4696" s="23"/>
      <c r="I4696" s="330"/>
      <c r="J4696" s="330"/>
      <c r="K4696" s="23"/>
    </row>
    <row r="4697" spans="1:11" ht="12.75" x14ac:dyDescent="0.2">
      <c r="A4697" s="23"/>
      <c r="B4697" s="328"/>
      <c r="C4697" s="327"/>
      <c r="D4697" s="328"/>
      <c r="E4697" s="23"/>
      <c r="F4697" s="329"/>
      <c r="G4697" s="23"/>
      <c r="H4697" s="23"/>
      <c r="I4697" s="330"/>
      <c r="J4697" s="330"/>
      <c r="K4697" s="23"/>
    </row>
    <row r="4698" spans="1:11" ht="12.75" x14ac:dyDescent="0.2">
      <c r="A4698" s="23"/>
      <c r="B4698" s="328"/>
      <c r="C4698" s="327"/>
      <c r="D4698" s="328"/>
      <c r="E4698" s="23"/>
      <c r="F4698" s="329"/>
      <c r="G4698" s="23"/>
      <c r="H4698" s="23"/>
      <c r="I4698" s="330"/>
      <c r="J4698" s="330"/>
      <c r="K4698" s="23"/>
    </row>
    <row r="4699" spans="1:11" ht="12.75" x14ac:dyDescent="0.2">
      <c r="A4699" s="23"/>
      <c r="B4699" s="328"/>
      <c r="C4699" s="327"/>
      <c r="D4699" s="328"/>
      <c r="E4699" s="23"/>
      <c r="F4699" s="329"/>
      <c r="G4699" s="23"/>
      <c r="H4699" s="23"/>
      <c r="I4699" s="330"/>
      <c r="J4699" s="330"/>
      <c r="K4699" s="23"/>
    </row>
    <row r="4700" spans="1:11" ht="12.75" x14ac:dyDescent="0.2">
      <c r="A4700" s="23"/>
      <c r="B4700" s="328"/>
      <c r="C4700" s="327"/>
      <c r="D4700" s="328"/>
      <c r="E4700" s="23"/>
      <c r="F4700" s="329"/>
      <c r="G4700" s="23"/>
      <c r="H4700" s="23"/>
      <c r="I4700" s="330"/>
      <c r="J4700" s="330"/>
      <c r="K4700" s="23"/>
    </row>
    <row r="4701" spans="1:11" ht="12.75" x14ac:dyDescent="0.2">
      <c r="A4701" s="23"/>
      <c r="B4701" s="328"/>
      <c r="C4701" s="327"/>
      <c r="D4701" s="328"/>
      <c r="E4701" s="23"/>
      <c r="F4701" s="329"/>
      <c r="G4701" s="23"/>
      <c r="H4701" s="23"/>
      <c r="I4701" s="330"/>
      <c r="J4701" s="330"/>
      <c r="K4701" s="23"/>
    </row>
    <row r="4702" spans="1:11" ht="12.75" x14ac:dyDescent="0.2">
      <c r="A4702" s="23"/>
      <c r="B4702" s="328"/>
      <c r="C4702" s="327"/>
      <c r="D4702" s="328"/>
      <c r="E4702" s="23"/>
      <c r="F4702" s="329"/>
      <c r="G4702" s="23"/>
      <c r="H4702" s="23"/>
      <c r="I4702" s="330"/>
      <c r="J4702" s="330"/>
      <c r="K4702" s="23"/>
    </row>
    <row r="4703" spans="1:11" ht="12.75" x14ac:dyDescent="0.2">
      <c r="A4703" s="23"/>
      <c r="B4703" s="328"/>
      <c r="C4703" s="327"/>
      <c r="D4703" s="328"/>
      <c r="E4703" s="23"/>
      <c r="F4703" s="329"/>
      <c r="G4703" s="23"/>
      <c r="H4703" s="23"/>
      <c r="I4703" s="330"/>
      <c r="J4703" s="330"/>
      <c r="K4703" s="23"/>
    </row>
    <row r="4704" spans="1:11" ht="12.75" x14ac:dyDescent="0.2">
      <c r="A4704" s="23"/>
      <c r="B4704" s="328"/>
      <c r="C4704" s="327"/>
      <c r="D4704" s="328"/>
      <c r="E4704" s="23"/>
      <c r="F4704" s="329"/>
      <c r="G4704" s="23"/>
      <c r="H4704" s="23"/>
      <c r="I4704" s="330"/>
      <c r="J4704" s="330"/>
      <c r="K4704" s="23"/>
    </row>
    <row r="4705" spans="1:11" ht="12.75" x14ac:dyDescent="0.2">
      <c r="A4705" s="23"/>
      <c r="B4705" s="328"/>
      <c r="C4705" s="327"/>
      <c r="D4705" s="328"/>
      <c r="E4705" s="23"/>
      <c r="F4705" s="329"/>
      <c r="G4705" s="23"/>
      <c r="H4705" s="23"/>
      <c r="I4705" s="330"/>
      <c r="J4705" s="330"/>
      <c r="K4705" s="23"/>
    </row>
    <row r="4706" spans="1:11" ht="12.75" x14ac:dyDescent="0.2">
      <c r="A4706" s="23"/>
      <c r="B4706" s="328"/>
      <c r="C4706" s="327"/>
      <c r="D4706" s="328"/>
      <c r="E4706" s="23"/>
      <c r="F4706" s="329"/>
      <c r="G4706" s="23"/>
      <c r="H4706" s="23"/>
      <c r="I4706" s="330"/>
      <c r="J4706" s="330"/>
      <c r="K4706" s="23"/>
    </row>
    <row r="4707" spans="1:11" ht="12.75" x14ac:dyDescent="0.2">
      <c r="A4707" s="23"/>
      <c r="B4707" s="328"/>
      <c r="C4707" s="327"/>
      <c r="D4707" s="328"/>
      <c r="E4707" s="23"/>
      <c r="F4707" s="329"/>
      <c r="G4707" s="23"/>
      <c r="H4707" s="23"/>
      <c r="I4707" s="330"/>
      <c r="J4707" s="330"/>
      <c r="K4707" s="23"/>
    </row>
    <row r="4708" spans="1:11" ht="12.75" x14ac:dyDescent="0.2">
      <c r="A4708" s="23"/>
      <c r="B4708" s="328"/>
      <c r="C4708" s="327"/>
      <c r="D4708" s="328"/>
      <c r="E4708" s="23"/>
      <c r="F4708" s="329"/>
      <c r="G4708" s="23"/>
      <c r="H4708" s="23"/>
      <c r="I4708" s="330"/>
      <c r="J4708" s="330"/>
      <c r="K4708" s="23"/>
    </row>
    <row r="4709" spans="1:11" ht="12.75" x14ac:dyDescent="0.2">
      <c r="A4709" s="23"/>
      <c r="B4709" s="328"/>
      <c r="C4709" s="327"/>
      <c r="D4709" s="328"/>
      <c r="E4709" s="23"/>
      <c r="F4709" s="329"/>
      <c r="G4709" s="23"/>
      <c r="H4709" s="23"/>
      <c r="I4709" s="330"/>
      <c r="J4709" s="330"/>
      <c r="K4709" s="23"/>
    </row>
    <row r="4710" spans="1:11" ht="12.75" x14ac:dyDescent="0.2">
      <c r="A4710" s="23"/>
      <c r="B4710" s="328"/>
      <c r="C4710" s="327"/>
      <c r="D4710" s="328"/>
      <c r="E4710" s="23"/>
      <c r="F4710" s="329"/>
      <c r="G4710" s="23"/>
      <c r="H4710" s="23"/>
      <c r="I4710" s="330"/>
      <c r="J4710" s="330"/>
      <c r="K4710" s="23"/>
    </row>
    <row r="4711" spans="1:11" ht="12.75" x14ac:dyDescent="0.2">
      <c r="A4711" s="23"/>
      <c r="B4711" s="328"/>
      <c r="C4711" s="327"/>
      <c r="D4711" s="328"/>
      <c r="E4711" s="23"/>
      <c r="F4711" s="329"/>
      <c r="G4711" s="23"/>
      <c r="H4711" s="23"/>
      <c r="I4711" s="330"/>
      <c r="J4711" s="330"/>
      <c r="K4711" s="23"/>
    </row>
    <row r="4712" spans="1:11" ht="12.75" x14ac:dyDescent="0.2">
      <c r="A4712" s="23"/>
      <c r="B4712" s="328"/>
      <c r="C4712" s="327"/>
      <c r="D4712" s="328"/>
      <c r="E4712" s="23"/>
      <c r="F4712" s="329"/>
      <c r="G4712" s="23"/>
      <c r="H4712" s="23"/>
      <c r="I4712" s="330"/>
      <c r="J4712" s="330"/>
      <c r="K4712" s="23"/>
    </row>
    <row r="4713" spans="1:11" ht="12.75" x14ac:dyDescent="0.2">
      <c r="A4713" s="23"/>
      <c r="B4713" s="328"/>
      <c r="C4713" s="327"/>
      <c r="D4713" s="328"/>
      <c r="E4713" s="23"/>
      <c r="F4713" s="329"/>
      <c r="G4713" s="23"/>
      <c r="H4713" s="23"/>
      <c r="I4713" s="330"/>
      <c r="J4713" s="330"/>
      <c r="K4713" s="23"/>
    </row>
    <row r="4714" spans="1:11" ht="12.75" x14ac:dyDescent="0.2">
      <c r="A4714" s="23"/>
      <c r="B4714" s="328"/>
      <c r="C4714" s="327"/>
      <c r="D4714" s="328"/>
      <c r="E4714" s="23"/>
      <c r="F4714" s="329"/>
      <c r="G4714" s="23"/>
      <c r="H4714" s="23"/>
      <c r="I4714" s="330"/>
      <c r="J4714" s="330"/>
      <c r="K4714" s="23"/>
    </row>
    <row r="4715" spans="1:11" ht="12.75" x14ac:dyDescent="0.2">
      <c r="A4715" s="23"/>
      <c r="B4715" s="328"/>
      <c r="C4715" s="327"/>
      <c r="D4715" s="328"/>
      <c r="E4715" s="23"/>
      <c r="F4715" s="329"/>
      <c r="G4715" s="23"/>
      <c r="H4715" s="23"/>
      <c r="I4715" s="330"/>
      <c r="J4715" s="330"/>
      <c r="K4715" s="23"/>
    </row>
    <row r="4716" spans="1:11" ht="12.75" x14ac:dyDescent="0.2">
      <c r="A4716" s="23"/>
      <c r="B4716" s="328"/>
      <c r="C4716" s="327"/>
      <c r="D4716" s="328"/>
      <c r="E4716" s="23"/>
      <c r="F4716" s="329"/>
      <c r="G4716" s="23"/>
      <c r="H4716" s="23"/>
      <c r="I4716" s="330"/>
      <c r="J4716" s="330"/>
      <c r="K4716" s="23"/>
    </row>
    <row r="4717" spans="1:11" ht="12.75" x14ac:dyDescent="0.2">
      <c r="A4717" s="23"/>
      <c r="B4717" s="328"/>
      <c r="C4717" s="327"/>
      <c r="D4717" s="328"/>
      <c r="E4717" s="23"/>
      <c r="F4717" s="329"/>
      <c r="G4717" s="23"/>
      <c r="H4717" s="23"/>
      <c r="I4717" s="330"/>
      <c r="J4717" s="330"/>
      <c r="K4717" s="23"/>
    </row>
    <row r="4718" spans="1:11" ht="12.75" x14ac:dyDescent="0.2">
      <c r="A4718" s="23"/>
      <c r="B4718" s="328"/>
      <c r="C4718" s="327"/>
      <c r="D4718" s="328"/>
      <c r="E4718" s="23"/>
      <c r="F4718" s="329"/>
      <c r="G4718" s="23"/>
      <c r="H4718" s="23"/>
      <c r="I4718" s="330"/>
      <c r="J4718" s="330"/>
      <c r="K4718" s="23"/>
    </row>
    <row r="4719" spans="1:11" ht="12.75" x14ac:dyDescent="0.2">
      <c r="A4719" s="23"/>
      <c r="B4719" s="328"/>
      <c r="C4719" s="327"/>
      <c r="D4719" s="328"/>
      <c r="E4719" s="23"/>
      <c r="F4719" s="329"/>
      <c r="G4719" s="23"/>
      <c r="H4719" s="23"/>
      <c r="I4719" s="330"/>
      <c r="J4719" s="330"/>
      <c r="K4719" s="23"/>
    </row>
    <row r="4720" spans="1:11" ht="12.75" x14ac:dyDescent="0.2">
      <c r="A4720" s="23"/>
      <c r="B4720" s="328"/>
      <c r="C4720" s="327"/>
      <c r="D4720" s="328"/>
      <c r="E4720" s="23"/>
      <c r="F4720" s="329"/>
      <c r="G4720" s="23"/>
      <c r="H4720" s="23"/>
      <c r="I4720" s="330"/>
      <c r="J4720" s="330"/>
      <c r="K4720" s="23"/>
    </row>
    <row r="4721" spans="1:11" ht="12.75" x14ac:dyDescent="0.2">
      <c r="A4721" s="23"/>
      <c r="B4721" s="328"/>
      <c r="C4721" s="327"/>
      <c r="D4721" s="328"/>
      <c r="E4721" s="23"/>
      <c r="F4721" s="329"/>
      <c r="G4721" s="23"/>
      <c r="H4721" s="23"/>
      <c r="I4721" s="330"/>
      <c r="J4721" s="330"/>
      <c r="K4721" s="23"/>
    </row>
    <row r="4722" spans="1:11" ht="12.75" x14ac:dyDescent="0.2">
      <c r="A4722" s="23"/>
      <c r="B4722" s="328"/>
      <c r="C4722" s="327"/>
      <c r="D4722" s="328"/>
      <c r="E4722" s="23"/>
      <c r="F4722" s="329"/>
      <c r="G4722" s="23"/>
      <c r="H4722" s="23"/>
      <c r="I4722" s="330"/>
      <c r="J4722" s="330"/>
      <c r="K4722" s="23"/>
    </row>
    <row r="4723" spans="1:11" ht="12.75" x14ac:dyDescent="0.2">
      <c r="A4723" s="23"/>
      <c r="B4723" s="328"/>
      <c r="C4723" s="327"/>
      <c r="D4723" s="328"/>
      <c r="E4723" s="23"/>
      <c r="F4723" s="329"/>
      <c r="G4723" s="23"/>
      <c r="H4723" s="23"/>
      <c r="I4723" s="330"/>
      <c r="J4723" s="330"/>
      <c r="K4723" s="23"/>
    </row>
    <row r="4724" spans="1:11" ht="12.75" x14ac:dyDescent="0.2">
      <c r="A4724" s="23"/>
      <c r="B4724" s="328"/>
      <c r="C4724" s="327"/>
      <c r="D4724" s="328"/>
      <c r="E4724" s="23"/>
      <c r="F4724" s="329"/>
      <c r="G4724" s="23"/>
      <c r="H4724" s="23"/>
      <c r="I4724" s="330"/>
      <c r="J4724" s="330"/>
      <c r="K4724" s="23"/>
    </row>
    <row r="4725" spans="1:11" ht="12.75" x14ac:dyDescent="0.2">
      <c r="A4725" s="23"/>
      <c r="B4725" s="328"/>
      <c r="C4725" s="327"/>
      <c r="D4725" s="328"/>
      <c r="E4725" s="23"/>
      <c r="F4725" s="329"/>
      <c r="G4725" s="23"/>
      <c r="H4725" s="23"/>
      <c r="I4725" s="330"/>
      <c r="J4725" s="330"/>
      <c r="K4725" s="23"/>
    </row>
    <row r="4726" spans="1:11" ht="12.75" x14ac:dyDescent="0.2">
      <c r="A4726" s="23"/>
      <c r="B4726" s="328"/>
      <c r="C4726" s="327"/>
      <c r="D4726" s="328"/>
      <c r="E4726" s="23"/>
      <c r="F4726" s="329"/>
      <c r="G4726" s="23"/>
      <c r="H4726" s="23"/>
      <c r="I4726" s="330"/>
      <c r="J4726" s="330"/>
      <c r="K4726" s="23"/>
    </row>
    <row r="4727" spans="1:11" ht="12.75" x14ac:dyDescent="0.2">
      <c r="A4727" s="23"/>
      <c r="B4727" s="328"/>
      <c r="C4727" s="327"/>
      <c r="D4727" s="328"/>
      <c r="E4727" s="23"/>
      <c r="F4727" s="329"/>
      <c r="G4727" s="23"/>
      <c r="H4727" s="23"/>
      <c r="I4727" s="330"/>
      <c r="J4727" s="330"/>
      <c r="K4727" s="23"/>
    </row>
    <row r="4728" spans="1:11" ht="12.75" x14ac:dyDescent="0.2">
      <c r="A4728" s="23"/>
      <c r="B4728" s="328"/>
      <c r="C4728" s="327"/>
      <c r="D4728" s="328"/>
      <c r="E4728" s="23"/>
      <c r="F4728" s="329"/>
      <c r="G4728" s="23"/>
      <c r="H4728" s="23"/>
      <c r="I4728" s="330"/>
      <c r="J4728" s="330"/>
      <c r="K4728" s="23"/>
    </row>
    <row r="4729" spans="1:11" ht="12.75" x14ac:dyDescent="0.2">
      <c r="A4729" s="23"/>
      <c r="B4729" s="328"/>
      <c r="C4729" s="327"/>
      <c r="D4729" s="328"/>
      <c r="E4729" s="23"/>
      <c r="F4729" s="329"/>
      <c r="G4729" s="23"/>
      <c r="H4729" s="23"/>
      <c r="I4729" s="330"/>
      <c r="J4729" s="330"/>
      <c r="K4729" s="23"/>
    </row>
    <row r="4730" spans="1:11" ht="12.75" x14ac:dyDescent="0.2">
      <c r="A4730" s="23"/>
      <c r="B4730" s="328"/>
      <c r="C4730" s="327"/>
      <c r="D4730" s="328"/>
      <c r="E4730" s="23"/>
      <c r="F4730" s="329"/>
      <c r="G4730" s="23"/>
      <c r="H4730" s="23"/>
      <c r="I4730" s="330"/>
      <c r="J4730" s="330"/>
      <c r="K4730" s="23"/>
    </row>
    <row r="4731" spans="1:11" ht="12.75" x14ac:dyDescent="0.2">
      <c r="A4731" s="23"/>
      <c r="B4731" s="328"/>
      <c r="C4731" s="327"/>
      <c r="D4731" s="328"/>
      <c r="E4731" s="23"/>
      <c r="F4731" s="329"/>
      <c r="G4731" s="23"/>
      <c r="H4731" s="23"/>
      <c r="I4731" s="330"/>
      <c r="J4731" s="330"/>
      <c r="K4731" s="23"/>
    </row>
    <row r="4732" spans="1:11" ht="12.75" x14ac:dyDescent="0.2">
      <c r="A4732" s="23"/>
      <c r="B4732" s="328"/>
      <c r="C4732" s="327"/>
      <c r="D4732" s="328"/>
      <c r="E4732" s="23"/>
      <c r="F4732" s="329"/>
      <c r="G4732" s="23"/>
      <c r="H4732" s="23"/>
      <c r="I4732" s="330"/>
      <c r="J4732" s="330"/>
      <c r="K4732" s="23"/>
    </row>
    <row r="4733" spans="1:11" ht="12.75" x14ac:dyDescent="0.2">
      <c r="A4733" s="23"/>
      <c r="B4733" s="328"/>
      <c r="C4733" s="327"/>
      <c r="D4733" s="328"/>
      <c r="E4733" s="23"/>
      <c r="F4733" s="329"/>
      <c r="G4733" s="23"/>
      <c r="H4733" s="23"/>
      <c r="I4733" s="330"/>
      <c r="J4733" s="330"/>
      <c r="K4733" s="23"/>
    </row>
    <row r="4734" spans="1:11" ht="12.75" x14ac:dyDescent="0.2">
      <c r="A4734" s="23"/>
      <c r="B4734" s="328"/>
      <c r="C4734" s="327"/>
      <c r="D4734" s="328"/>
      <c r="E4734" s="23"/>
      <c r="F4734" s="329"/>
      <c r="G4734" s="23"/>
      <c r="H4734" s="23"/>
      <c r="I4734" s="330"/>
      <c r="J4734" s="330"/>
      <c r="K4734" s="23"/>
    </row>
    <row r="4735" spans="1:11" ht="12.75" x14ac:dyDescent="0.2">
      <c r="A4735" s="23"/>
      <c r="B4735" s="328"/>
      <c r="C4735" s="327"/>
      <c r="D4735" s="328"/>
      <c r="E4735" s="23"/>
      <c r="F4735" s="329"/>
      <c r="G4735" s="23"/>
      <c r="H4735" s="23"/>
      <c r="I4735" s="330"/>
      <c r="J4735" s="330"/>
      <c r="K4735" s="23"/>
    </row>
    <row r="4736" spans="1:11" ht="12.75" x14ac:dyDescent="0.2">
      <c r="A4736" s="23"/>
      <c r="B4736" s="328"/>
      <c r="C4736" s="327"/>
      <c r="D4736" s="328"/>
      <c r="E4736" s="23"/>
      <c r="F4736" s="329"/>
      <c r="G4736" s="23"/>
      <c r="H4736" s="23"/>
      <c r="I4736" s="330"/>
      <c r="J4736" s="330"/>
      <c r="K4736" s="23"/>
    </row>
    <row r="4737" spans="1:11" ht="12.75" x14ac:dyDescent="0.2">
      <c r="A4737" s="23"/>
      <c r="B4737" s="328"/>
      <c r="C4737" s="327"/>
      <c r="D4737" s="328"/>
      <c r="E4737" s="23"/>
      <c r="F4737" s="329"/>
      <c r="G4737" s="23"/>
      <c r="H4737" s="23"/>
      <c r="I4737" s="330"/>
      <c r="J4737" s="330"/>
      <c r="K4737" s="23"/>
    </row>
    <row r="4738" spans="1:11" ht="12.75" x14ac:dyDescent="0.2">
      <c r="A4738" s="23"/>
      <c r="B4738" s="328"/>
      <c r="C4738" s="327"/>
      <c r="D4738" s="328"/>
      <c r="E4738" s="23"/>
      <c r="F4738" s="329"/>
      <c r="G4738" s="23"/>
      <c r="H4738" s="23"/>
      <c r="I4738" s="330"/>
      <c r="J4738" s="330"/>
      <c r="K4738" s="23"/>
    </row>
    <row r="4739" spans="1:11" ht="12.75" x14ac:dyDescent="0.2">
      <c r="A4739" s="23"/>
      <c r="B4739" s="328"/>
      <c r="C4739" s="327"/>
      <c r="D4739" s="328"/>
      <c r="E4739" s="23"/>
      <c r="F4739" s="329"/>
      <c r="G4739" s="23"/>
      <c r="H4739" s="23"/>
      <c r="I4739" s="330"/>
      <c r="J4739" s="330"/>
      <c r="K4739" s="23"/>
    </row>
    <row r="4740" spans="1:11" ht="12.75" x14ac:dyDescent="0.2">
      <c r="A4740" s="23"/>
      <c r="B4740" s="328"/>
      <c r="C4740" s="327"/>
      <c r="D4740" s="328"/>
      <c r="E4740" s="23"/>
      <c r="F4740" s="329"/>
      <c r="G4740" s="23"/>
      <c r="H4740" s="23"/>
      <c r="I4740" s="330"/>
      <c r="J4740" s="330"/>
      <c r="K4740" s="23"/>
    </row>
    <row r="4741" spans="1:11" ht="12.75" x14ac:dyDescent="0.2">
      <c r="A4741" s="23"/>
      <c r="B4741" s="328"/>
      <c r="C4741" s="327"/>
      <c r="D4741" s="328"/>
      <c r="E4741" s="23"/>
      <c r="F4741" s="329"/>
      <c r="G4741" s="23"/>
      <c r="H4741" s="23"/>
      <c r="I4741" s="330"/>
      <c r="J4741" s="330"/>
      <c r="K4741" s="23"/>
    </row>
    <row r="4742" spans="1:11" ht="12.75" x14ac:dyDescent="0.2">
      <c r="A4742" s="23"/>
      <c r="B4742" s="328"/>
      <c r="C4742" s="327"/>
      <c r="D4742" s="328"/>
      <c r="E4742" s="23"/>
      <c r="F4742" s="329"/>
      <c r="G4742" s="23"/>
      <c r="H4742" s="23"/>
      <c r="I4742" s="330"/>
      <c r="J4742" s="330"/>
      <c r="K4742" s="23"/>
    </row>
    <row r="4743" spans="1:11" ht="12.75" x14ac:dyDescent="0.2">
      <c r="A4743" s="23"/>
      <c r="B4743" s="328"/>
      <c r="C4743" s="327"/>
      <c r="D4743" s="328"/>
      <c r="E4743" s="23"/>
      <c r="F4743" s="329"/>
      <c r="G4743" s="23"/>
      <c r="H4743" s="23"/>
      <c r="I4743" s="330"/>
      <c r="J4743" s="330"/>
      <c r="K4743" s="23"/>
    </row>
    <row r="4744" spans="1:11" ht="12.75" x14ac:dyDescent="0.2">
      <c r="A4744" s="23"/>
      <c r="B4744" s="328"/>
      <c r="C4744" s="327"/>
      <c r="D4744" s="328"/>
      <c r="E4744" s="23"/>
      <c r="F4744" s="329"/>
      <c r="G4744" s="23"/>
      <c r="H4744" s="23"/>
      <c r="I4744" s="330"/>
      <c r="J4744" s="330"/>
      <c r="K4744" s="23"/>
    </row>
    <row r="4745" spans="1:11" ht="12.75" x14ac:dyDescent="0.2">
      <c r="A4745" s="23"/>
      <c r="B4745" s="328"/>
      <c r="C4745" s="327"/>
      <c r="D4745" s="328"/>
      <c r="E4745" s="23"/>
      <c r="F4745" s="329"/>
      <c r="G4745" s="23"/>
      <c r="H4745" s="23"/>
      <c r="I4745" s="330"/>
      <c r="J4745" s="330"/>
      <c r="K4745" s="23"/>
    </row>
    <row r="4746" spans="1:11" ht="12.75" x14ac:dyDescent="0.2">
      <c r="A4746" s="23"/>
      <c r="B4746" s="328"/>
      <c r="C4746" s="327"/>
      <c r="D4746" s="328"/>
      <c r="E4746" s="23"/>
      <c r="F4746" s="329"/>
      <c r="G4746" s="23"/>
      <c r="H4746" s="23"/>
      <c r="I4746" s="330"/>
      <c r="J4746" s="330"/>
      <c r="K4746" s="23"/>
    </row>
    <row r="4747" spans="1:11" ht="12.75" x14ac:dyDescent="0.2">
      <c r="A4747" s="23"/>
      <c r="B4747" s="328"/>
      <c r="C4747" s="327"/>
      <c r="D4747" s="328"/>
      <c r="E4747" s="23"/>
      <c r="F4747" s="329"/>
      <c r="G4747" s="23"/>
      <c r="H4747" s="23"/>
      <c r="I4747" s="330"/>
      <c r="J4747" s="330"/>
      <c r="K4747" s="23"/>
    </row>
    <row r="4748" spans="1:11" ht="12.75" x14ac:dyDescent="0.2">
      <c r="A4748" s="23"/>
      <c r="B4748" s="328"/>
      <c r="C4748" s="327"/>
      <c r="D4748" s="328"/>
      <c r="E4748" s="23"/>
      <c r="F4748" s="329"/>
      <c r="G4748" s="23"/>
      <c r="H4748" s="23"/>
      <c r="I4748" s="330"/>
      <c r="J4748" s="330"/>
      <c r="K4748" s="23"/>
    </row>
    <row r="4749" spans="1:11" ht="12.75" x14ac:dyDescent="0.2">
      <c r="A4749" s="23"/>
      <c r="B4749" s="328"/>
      <c r="C4749" s="327"/>
      <c r="D4749" s="328"/>
      <c r="E4749" s="23"/>
      <c r="F4749" s="329"/>
      <c r="G4749" s="23"/>
      <c r="H4749" s="23"/>
      <c r="I4749" s="330"/>
      <c r="J4749" s="330"/>
      <c r="K4749" s="23"/>
    </row>
    <row r="4750" spans="1:11" ht="12.75" x14ac:dyDescent="0.2">
      <c r="A4750" s="23"/>
      <c r="B4750" s="328"/>
      <c r="C4750" s="327"/>
      <c r="D4750" s="328"/>
      <c r="E4750" s="23"/>
      <c r="F4750" s="329"/>
      <c r="G4750" s="23"/>
      <c r="H4750" s="23"/>
      <c r="I4750" s="330"/>
      <c r="J4750" s="330"/>
      <c r="K4750" s="23"/>
    </row>
    <row r="4751" spans="1:11" ht="12.75" x14ac:dyDescent="0.2">
      <c r="A4751" s="23"/>
      <c r="B4751" s="328"/>
      <c r="C4751" s="327"/>
      <c r="D4751" s="328"/>
      <c r="E4751" s="23"/>
      <c r="F4751" s="329"/>
      <c r="G4751" s="23"/>
      <c r="H4751" s="23"/>
      <c r="I4751" s="330"/>
      <c r="J4751" s="330"/>
      <c r="K4751" s="23"/>
    </row>
    <row r="4752" spans="1:11" ht="12.75" x14ac:dyDescent="0.2">
      <c r="A4752" s="23"/>
      <c r="B4752" s="328"/>
      <c r="C4752" s="327"/>
      <c r="D4752" s="328"/>
      <c r="E4752" s="23"/>
      <c r="F4752" s="329"/>
      <c r="G4752" s="23"/>
      <c r="H4752" s="23"/>
      <c r="I4752" s="330"/>
      <c r="J4752" s="330"/>
      <c r="K4752" s="23"/>
    </row>
    <row r="4753" spans="1:11" ht="12.75" x14ac:dyDescent="0.2">
      <c r="A4753" s="23"/>
      <c r="B4753" s="328"/>
      <c r="C4753" s="327"/>
      <c r="D4753" s="328"/>
      <c r="E4753" s="23"/>
      <c r="F4753" s="329"/>
      <c r="G4753" s="23"/>
      <c r="H4753" s="23"/>
      <c r="I4753" s="330"/>
      <c r="J4753" s="330"/>
      <c r="K4753" s="23"/>
    </row>
    <row r="4754" spans="1:11" ht="12.75" x14ac:dyDescent="0.2">
      <c r="A4754" s="23"/>
      <c r="B4754" s="328"/>
      <c r="C4754" s="327"/>
      <c r="D4754" s="328"/>
      <c r="E4754" s="23"/>
      <c r="F4754" s="329"/>
      <c r="G4754" s="23"/>
      <c r="H4754" s="23"/>
      <c r="I4754" s="330"/>
      <c r="J4754" s="330"/>
      <c r="K4754" s="23"/>
    </row>
    <row r="4755" spans="1:11" ht="12.75" x14ac:dyDescent="0.2">
      <c r="A4755" s="23"/>
      <c r="B4755" s="328"/>
      <c r="C4755" s="327"/>
      <c r="D4755" s="328"/>
      <c r="E4755" s="23"/>
      <c r="F4755" s="329"/>
      <c r="G4755" s="23"/>
      <c r="H4755" s="23"/>
      <c r="I4755" s="330"/>
      <c r="J4755" s="330"/>
      <c r="K4755" s="23"/>
    </row>
    <row r="4756" spans="1:11" ht="12.75" x14ac:dyDescent="0.2">
      <c r="A4756" s="23"/>
      <c r="B4756" s="328"/>
      <c r="C4756" s="327"/>
      <c r="D4756" s="328"/>
      <c r="E4756" s="23"/>
      <c r="F4756" s="329"/>
      <c r="G4756" s="23"/>
      <c r="H4756" s="23"/>
      <c r="I4756" s="330"/>
      <c r="J4756" s="330"/>
      <c r="K4756" s="23"/>
    </row>
    <row r="4757" spans="1:11" ht="12.75" x14ac:dyDescent="0.2">
      <c r="A4757" s="23"/>
      <c r="B4757" s="328"/>
      <c r="C4757" s="327"/>
      <c r="D4757" s="328"/>
      <c r="E4757" s="23"/>
      <c r="F4757" s="329"/>
      <c r="G4757" s="23"/>
      <c r="H4757" s="23"/>
      <c r="I4757" s="330"/>
      <c r="J4757" s="330"/>
      <c r="K4757" s="23"/>
    </row>
    <row r="4758" spans="1:11" ht="12.75" x14ac:dyDescent="0.2">
      <c r="A4758" s="23"/>
      <c r="B4758" s="328"/>
      <c r="C4758" s="327"/>
      <c r="D4758" s="328"/>
      <c r="E4758" s="23"/>
      <c r="F4758" s="329"/>
      <c r="G4758" s="23"/>
      <c r="H4758" s="23"/>
      <c r="I4758" s="330"/>
      <c r="J4758" s="330"/>
      <c r="K4758" s="23"/>
    </row>
    <row r="4759" spans="1:11" ht="12.75" x14ac:dyDescent="0.2">
      <c r="A4759" s="23"/>
      <c r="B4759" s="328"/>
      <c r="C4759" s="327"/>
      <c r="D4759" s="328"/>
      <c r="E4759" s="23"/>
      <c r="F4759" s="329"/>
      <c r="G4759" s="23"/>
      <c r="H4759" s="23"/>
      <c r="I4759" s="330"/>
      <c r="J4759" s="330"/>
      <c r="K4759" s="23"/>
    </row>
    <row r="4760" spans="1:11" ht="12.75" x14ac:dyDescent="0.2">
      <c r="A4760" s="23"/>
      <c r="B4760" s="328"/>
      <c r="C4760" s="327"/>
      <c r="D4760" s="328"/>
      <c r="E4760" s="23"/>
      <c r="F4760" s="329"/>
      <c r="G4760" s="23"/>
      <c r="H4760" s="23"/>
      <c r="I4760" s="330"/>
      <c r="J4760" s="330"/>
      <c r="K4760" s="23"/>
    </row>
    <row r="4761" spans="1:11" ht="12.75" x14ac:dyDescent="0.2">
      <c r="A4761" s="23"/>
      <c r="B4761" s="328"/>
      <c r="C4761" s="327"/>
      <c r="D4761" s="328"/>
      <c r="E4761" s="23"/>
      <c r="F4761" s="329"/>
      <c r="G4761" s="23"/>
      <c r="H4761" s="23"/>
      <c r="I4761" s="330"/>
      <c r="J4761" s="330"/>
      <c r="K4761" s="23"/>
    </row>
    <row r="4762" spans="1:11" ht="12.75" x14ac:dyDescent="0.2">
      <c r="A4762" s="23"/>
      <c r="B4762" s="328"/>
      <c r="C4762" s="327"/>
      <c r="D4762" s="328"/>
      <c r="E4762" s="23"/>
      <c r="F4762" s="329"/>
      <c r="G4762" s="23"/>
      <c r="H4762" s="23"/>
      <c r="I4762" s="330"/>
      <c r="J4762" s="330"/>
      <c r="K4762" s="23"/>
    </row>
    <row r="4763" spans="1:11" ht="12.75" x14ac:dyDescent="0.2">
      <c r="A4763" s="23"/>
      <c r="B4763" s="328"/>
      <c r="C4763" s="327"/>
      <c r="D4763" s="328"/>
      <c r="E4763" s="23"/>
      <c r="F4763" s="329"/>
      <c r="G4763" s="23"/>
      <c r="H4763" s="23"/>
      <c r="I4763" s="330"/>
      <c r="J4763" s="330"/>
      <c r="K4763" s="23"/>
    </row>
    <row r="4764" spans="1:11" ht="12.75" x14ac:dyDescent="0.2">
      <c r="A4764" s="23"/>
      <c r="B4764" s="328"/>
      <c r="C4764" s="327"/>
      <c r="D4764" s="328"/>
      <c r="E4764" s="23"/>
      <c r="F4764" s="329"/>
      <c r="G4764" s="23"/>
      <c r="H4764" s="23"/>
      <c r="I4764" s="330"/>
      <c r="J4764" s="330"/>
      <c r="K4764" s="23"/>
    </row>
    <row r="4765" spans="1:11" ht="12.75" x14ac:dyDescent="0.2">
      <c r="A4765" s="23"/>
      <c r="B4765" s="328"/>
      <c r="C4765" s="327"/>
      <c r="D4765" s="328"/>
      <c r="E4765" s="23"/>
      <c r="F4765" s="329"/>
      <c r="G4765" s="23"/>
      <c r="H4765" s="23"/>
      <c r="I4765" s="330"/>
      <c r="J4765" s="330"/>
      <c r="K4765" s="23"/>
    </row>
    <row r="4766" spans="1:11" ht="12.75" x14ac:dyDescent="0.2">
      <c r="A4766" s="23"/>
      <c r="B4766" s="328"/>
      <c r="C4766" s="327"/>
      <c r="D4766" s="328"/>
      <c r="E4766" s="23"/>
      <c r="F4766" s="329"/>
      <c r="G4766" s="23"/>
      <c r="H4766" s="23"/>
      <c r="I4766" s="330"/>
      <c r="J4766" s="330"/>
      <c r="K4766" s="23"/>
    </row>
    <row r="4767" spans="1:11" ht="12.75" x14ac:dyDescent="0.2">
      <c r="A4767" s="23"/>
      <c r="B4767" s="328"/>
      <c r="C4767" s="327"/>
      <c r="D4767" s="328"/>
      <c r="E4767" s="23"/>
      <c r="F4767" s="329"/>
      <c r="G4767" s="23"/>
      <c r="H4767" s="23"/>
      <c r="I4767" s="330"/>
      <c r="J4767" s="330"/>
      <c r="K4767" s="23"/>
    </row>
    <row r="4768" spans="1:11" ht="12.75" x14ac:dyDescent="0.2">
      <c r="A4768" s="23"/>
      <c r="B4768" s="328"/>
      <c r="C4768" s="327"/>
      <c r="D4768" s="328"/>
      <c r="E4768" s="23"/>
      <c r="F4768" s="329"/>
      <c r="G4768" s="23"/>
      <c r="H4768" s="23"/>
      <c r="I4768" s="330"/>
      <c r="J4768" s="330"/>
      <c r="K4768" s="23"/>
    </row>
    <row r="4769" spans="1:11" ht="12.75" x14ac:dyDescent="0.2">
      <c r="A4769" s="23"/>
      <c r="B4769" s="328"/>
      <c r="C4769" s="327"/>
      <c r="D4769" s="328"/>
      <c r="E4769" s="23"/>
      <c r="F4769" s="329"/>
      <c r="G4769" s="23"/>
      <c r="H4769" s="23"/>
      <c r="I4769" s="330"/>
      <c r="J4769" s="330"/>
      <c r="K4769" s="23"/>
    </row>
    <row r="4770" spans="1:11" ht="12.75" x14ac:dyDescent="0.2">
      <c r="A4770" s="23"/>
      <c r="B4770" s="328"/>
      <c r="C4770" s="327"/>
      <c r="D4770" s="328"/>
      <c r="E4770" s="23"/>
      <c r="F4770" s="329"/>
      <c r="G4770" s="23"/>
      <c r="H4770" s="23"/>
      <c r="I4770" s="330"/>
      <c r="J4770" s="330"/>
      <c r="K4770" s="23"/>
    </row>
    <row r="4771" spans="1:11" ht="12.75" x14ac:dyDescent="0.2">
      <c r="A4771" s="23"/>
      <c r="B4771" s="328"/>
      <c r="C4771" s="327"/>
      <c r="D4771" s="328"/>
      <c r="E4771" s="23"/>
      <c r="F4771" s="329"/>
      <c r="G4771" s="23"/>
      <c r="H4771" s="23"/>
      <c r="I4771" s="330"/>
      <c r="J4771" s="330"/>
      <c r="K4771" s="23"/>
    </row>
    <row r="4772" spans="1:11" ht="12.75" x14ac:dyDescent="0.2">
      <c r="A4772" s="23"/>
      <c r="B4772" s="328"/>
      <c r="C4772" s="327"/>
      <c r="D4772" s="328"/>
      <c r="E4772" s="23"/>
      <c r="F4772" s="329"/>
      <c r="G4772" s="23"/>
      <c r="H4772" s="23"/>
      <c r="I4772" s="330"/>
      <c r="J4772" s="330"/>
      <c r="K4772" s="23"/>
    </row>
    <row r="4773" spans="1:11" ht="12.75" x14ac:dyDescent="0.2">
      <c r="A4773" s="23"/>
      <c r="B4773" s="328"/>
      <c r="C4773" s="327"/>
      <c r="D4773" s="328"/>
      <c r="E4773" s="23"/>
      <c r="F4773" s="329"/>
      <c r="G4773" s="23"/>
      <c r="H4773" s="23"/>
      <c r="I4773" s="330"/>
      <c r="J4773" s="330"/>
      <c r="K4773" s="23"/>
    </row>
    <row r="4774" spans="1:11" ht="12.75" x14ac:dyDescent="0.2">
      <c r="A4774" s="23"/>
      <c r="B4774" s="328"/>
      <c r="C4774" s="327"/>
      <c r="D4774" s="328"/>
      <c r="E4774" s="23"/>
      <c r="F4774" s="329"/>
      <c r="G4774" s="23"/>
      <c r="H4774" s="23"/>
      <c r="I4774" s="330"/>
      <c r="J4774" s="330"/>
      <c r="K4774" s="23"/>
    </row>
    <row r="4775" spans="1:11" ht="12.75" x14ac:dyDescent="0.2">
      <c r="A4775" s="23"/>
      <c r="B4775" s="328"/>
      <c r="C4775" s="327"/>
      <c r="D4775" s="328"/>
      <c r="E4775" s="23"/>
      <c r="F4775" s="329"/>
      <c r="G4775" s="23"/>
      <c r="H4775" s="23"/>
      <c r="I4775" s="330"/>
      <c r="J4775" s="330"/>
      <c r="K4775" s="23"/>
    </row>
    <row r="4776" spans="1:11" ht="12.75" x14ac:dyDescent="0.2">
      <c r="A4776" s="23"/>
      <c r="B4776" s="328"/>
      <c r="C4776" s="327"/>
      <c r="D4776" s="328"/>
      <c r="E4776" s="23"/>
      <c r="F4776" s="329"/>
      <c r="G4776" s="23"/>
      <c r="H4776" s="23"/>
      <c r="I4776" s="330"/>
      <c r="J4776" s="330"/>
      <c r="K4776" s="23"/>
    </row>
    <row r="4777" spans="1:11" ht="12.75" x14ac:dyDescent="0.2">
      <c r="A4777" s="23"/>
      <c r="B4777" s="328"/>
      <c r="C4777" s="327"/>
      <c r="D4777" s="328"/>
      <c r="E4777" s="23"/>
      <c r="F4777" s="329"/>
      <c r="G4777" s="23"/>
      <c r="H4777" s="23"/>
      <c r="I4777" s="330"/>
      <c r="J4777" s="330"/>
      <c r="K4777" s="23"/>
    </row>
    <row r="4778" spans="1:11" ht="12.75" x14ac:dyDescent="0.2">
      <c r="A4778" s="23"/>
      <c r="B4778" s="328"/>
      <c r="C4778" s="327"/>
      <c r="D4778" s="328"/>
      <c r="E4778" s="23"/>
      <c r="F4778" s="329"/>
      <c r="G4778" s="23"/>
      <c r="H4778" s="23"/>
      <c r="I4778" s="330"/>
      <c r="J4778" s="330"/>
      <c r="K4778" s="23"/>
    </row>
    <row r="4779" spans="1:11" ht="12.75" x14ac:dyDescent="0.2">
      <c r="A4779" s="23"/>
      <c r="B4779" s="328"/>
      <c r="C4779" s="327"/>
      <c r="D4779" s="328"/>
      <c r="E4779" s="23"/>
      <c r="F4779" s="329"/>
      <c r="G4779" s="23"/>
      <c r="H4779" s="23"/>
      <c r="I4779" s="330"/>
      <c r="J4779" s="330"/>
      <c r="K4779" s="23"/>
    </row>
    <row r="4780" spans="1:11" ht="12.75" x14ac:dyDescent="0.2">
      <c r="A4780" s="23"/>
      <c r="B4780" s="328"/>
      <c r="C4780" s="327"/>
      <c r="D4780" s="328"/>
      <c r="E4780" s="23"/>
      <c r="F4780" s="329"/>
      <c r="G4780" s="23"/>
      <c r="H4780" s="23"/>
      <c r="I4780" s="330"/>
      <c r="J4780" s="330"/>
      <c r="K4780" s="23"/>
    </row>
    <row r="4781" spans="1:11" ht="12.75" x14ac:dyDescent="0.2">
      <c r="A4781" s="23"/>
      <c r="B4781" s="328"/>
      <c r="C4781" s="327"/>
      <c r="D4781" s="328"/>
      <c r="E4781" s="23"/>
      <c r="F4781" s="329"/>
      <c r="G4781" s="23"/>
      <c r="H4781" s="23"/>
      <c r="I4781" s="330"/>
      <c r="J4781" s="330"/>
      <c r="K4781" s="23"/>
    </row>
    <row r="4782" spans="1:11" ht="12.75" x14ac:dyDescent="0.2">
      <c r="A4782" s="23"/>
      <c r="B4782" s="328"/>
      <c r="C4782" s="327"/>
      <c r="D4782" s="328"/>
      <c r="E4782" s="23"/>
      <c r="F4782" s="329"/>
      <c r="G4782" s="23"/>
      <c r="H4782" s="23"/>
      <c r="I4782" s="330"/>
      <c r="J4782" s="330"/>
      <c r="K4782" s="23"/>
    </row>
    <row r="4783" spans="1:11" ht="12.75" x14ac:dyDescent="0.2">
      <c r="A4783" s="23"/>
      <c r="B4783" s="328"/>
      <c r="C4783" s="327"/>
      <c r="D4783" s="328"/>
      <c r="E4783" s="23"/>
      <c r="F4783" s="329"/>
      <c r="G4783" s="23"/>
      <c r="H4783" s="23"/>
      <c r="I4783" s="330"/>
      <c r="J4783" s="330"/>
      <c r="K4783" s="23"/>
    </row>
    <row r="4784" spans="1:11" ht="12.75" x14ac:dyDescent="0.2">
      <c r="A4784" s="23"/>
      <c r="B4784" s="328"/>
      <c r="C4784" s="327"/>
      <c r="D4784" s="328"/>
      <c r="E4784" s="23"/>
      <c r="F4784" s="329"/>
      <c r="G4784" s="23"/>
      <c r="H4784" s="23"/>
      <c r="I4784" s="330"/>
      <c r="J4784" s="330"/>
      <c r="K4784" s="23"/>
    </row>
    <row r="4785" spans="1:11" ht="12.75" x14ac:dyDescent="0.2">
      <c r="A4785" s="23"/>
      <c r="B4785" s="328"/>
      <c r="C4785" s="327"/>
      <c r="D4785" s="328"/>
      <c r="E4785" s="23"/>
      <c r="F4785" s="329"/>
      <c r="G4785" s="23"/>
      <c r="H4785" s="23"/>
      <c r="I4785" s="330"/>
      <c r="J4785" s="330"/>
      <c r="K4785" s="23"/>
    </row>
    <row r="4786" spans="1:11" ht="12.75" x14ac:dyDescent="0.2">
      <c r="A4786" s="23"/>
      <c r="B4786" s="328"/>
      <c r="C4786" s="327"/>
      <c r="D4786" s="328"/>
      <c r="E4786" s="23"/>
      <c r="F4786" s="329"/>
      <c r="G4786" s="23"/>
      <c r="H4786" s="23"/>
      <c r="I4786" s="330"/>
      <c r="J4786" s="330"/>
      <c r="K4786" s="23"/>
    </row>
    <row r="4787" spans="1:11" ht="12.75" x14ac:dyDescent="0.2">
      <c r="A4787" s="23"/>
      <c r="B4787" s="328"/>
      <c r="C4787" s="327"/>
      <c r="D4787" s="328"/>
      <c r="E4787" s="23"/>
      <c r="F4787" s="329"/>
      <c r="G4787" s="23"/>
      <c r="H4787" s="23"/>
      <c r="I4787" s="330"/>
      <c r="J4787" s="330"/>
      <c r="K4787" s="23"/>
    </row>
    <row r="4788" spans="1:11" ht="12.75" x14ac:dyDescent="0.2">
      <c r="A4788" s="23"/>
      <c r="B4788" s="328"/>
      <c r="C4788" s="327"/>
      <c r="D4788" s="328"/>
      <c r="E4788" s="23"/>
      <c r="F4788" s="329"/>
      <c r="G4788" s="23"/>
      <c r="H4788" s="23"/>
      <c r="I4788" s="330"/>
      <c r="J4788" s="330"/>
      <c r="K4788" s="23"/>
    </row>
    <row r="4789" spans="1:11" ht="12.75" x14ac:dyDescent="0.2">
      <c r="A4789" s="23"/>
      <c r="B4789" s="328"/>
      <c r="C4789" s="327"/>
      <c r="D4789" s="328"/>
      <c r="E4789" s="23"/>
      <c r="F4789" s="329"/>
      <c r="G4789" s="23"/>
      <c r="H4789" s="23"/>
      <c r="I4789" s="330"/>
      <c r="J4789" s="330"/>
      <c r="K4789" s="23"/>
    </row>
    <row r="4790" spans="1:11" ht="12.75" x14ac:dyDescent="0.2">
      <c r="A4790" s="23"/>
      <c r="B4790" s="328"/>
      <c r="C4790" s="327"/>
      <c r="D4790" s="328"/>
      <c r="E4790" s="23"/>
      <c r="F4790" s="329"/>
      <c r="G4790" s="23"/>
      <c r="H4790" s="23"/>
      <c r="I4790" s="330"/>
      <c r="J4790" s="330"/>
      <c r="K4790" s="23"/>
    </row>
    <row r="4791" spans="1:11" ht="12.75" x14ac:dyDescent="0.2">
      <c r="A4791" s="23"/>
      <c r="B4791" s="328"/>
      <c r="C4791" s="327"/>
      <c r="D4791" s="328"/>
      <c r="E4791" s="23"/>
      <c r="F4791" s="329"/>
      <c r="G4791" s="23"/>
      <c r="H4791" s="23"/>
      <c r="I4791" s="330"/>
      <c r="J4791" s="330"/>
      <c r="K4791" s="23"/>
    </row>
    <row r="4792" spans="1:11" ht="12.75" x14ac:dyDescent="0.2">
      <c r="A4792" s="23"/>
      <c r="B4792" s="328"/>
      <c r="C4792" s="327"/>
      <c r="D4792" s="328"/>
      <c r="E4792" s="23"/>
      <c r="F4792" s="329"/>
      <c r="G4792" s="23"/>
      <c r="H4792" s="23"/>
      <c r="I4792" s="330"/>
      <c r="J4792" s="330"/>
      <c r="K4792" s="23"/>
    </row>
    <row r="4793" spans="1:11" ht="12.75" x14ac:dyDescent="0.2">
      <c r="A4793" s="23"/>
      <c r="B4793" s="328"/>
      <c r="C4793" s="327"/>
      <c r="D4793" s="328"/>
      <c r="E4793" s="23"/>
      <c r="F4793" s="329"/>
      <c r="G4793" s="23"/>
      <c r="H4793" s="23"/>
      <c r="I4793" s="330"/>
      <c r="J4793" s="330"/>
      <c r="K4793" s="23"/>
    </row>
    <row r="4794" spans="1:11" ht="12.75" x14ac:dyDescent="0.2">
      <c r="A4794" s="23"/>
      <c r="B4794" s="328"/>
      <c r="C4794" s="327"/>
      <c r="D4794" s="328"/>
      <c r="E4794" s="23"/>
      <c r="F4794" s="329"/>
      <c r="G4794" s="23"/>
      <c r="H4794" s="23"/>
      <c r="I4794" s="330"/>
      <c r="J4794" s="330"/>
      <c r="K4794" s="23"/>
    </row>
    <row r="4795" spans="1:11" ht="12.75" x14ac:dyDescent="0.2">
      <c r="A4795" s="23"/>
      <c r="B4795" s="328"/>
      <c r="C4795" s="327"/>
      <c r="D4795" s="328"/>
      <c r="E4795" s="23"/>
      <c r="F4795" s="329"/>
      <c r="G4795" s="23"/>
      <c r="H4795" s="23"/>
      <c r="I4795" s="330"/>
      <c r="J4795" s="330"/>
      <c r="K4795" s="23"/>
    </row>
    <row r="4796" spans="1:11" ht="12.75" x14ac:dyDescent="0.2">
      <c r="A4796" s="23"/>
      <c r="B4796" s="328"/>
      <c r="C4796" s="327"/>
      <c r="D4796" s="328"/>
      <c r="E4796" s="23"/>
      <c r="F4796" s="329"/>
      <c r="G4796" s="23"/>
      <c r="H4796" s="23"/>
      <c r="I4796" s="330"/>
      <c r="J4796" s="330"/>
      <c r="K4796" s="23"/>
    </row>
    <row r="4797" spans="1:11" ht="12.75" x14ac:dyDescent="0.2">
      <c r="A4797" s="23"/>
      <c r="B4797" s="328"/>
      <c r="C4797" s="327"/>
      <c r="D4797" s="328"/>
      <c r="E4797" s="23"/>
      <c r="F4797" s="329"/>
      <c r="G4797" s="23"/>
      <c r="H4797" s="23"/>
      <c r="I4797" s="330"/>
      <c r="J4797" s="330"/>
      <c r="K4797" s="23"/>
    </row>
    <row r="4798" spans="1:11" ht="12.75" x14ac:dyDescent="0.2">
      <c r="A4798" s="23"/>
      <c r="B4798" s="328"/>
      <c r="C4798" s="327"/>
      <c r="D4798" s="328"/>
      <c r="E4798" s="23"/>
      <c r="F4798" s="329"/>
      <c r="G4798" s="23"/>
      <c r="H4798" s="23"/>
      <c r="I4798" s="330"/>
      <c r="J4798" s="330"/>
      <c r="K4798" s="23"/>
    </row>
    <row r="4799" spans="1:11" ht="12.75" x14ac:dyDescent="0.2">
      <c r="A4799" s="23"/>
      <c r="B4799" s="328"/>
      <c r="C4799" s="327"/>
      <c r="D4799" s="328"/>
      <c r="E4799" s="23"/>
      <c r="F4799" s="329"/>
      <c r="G4799" s="23"/>
      <c r="H4799" s="23"/>
      <c r="I4799" s="330"/>
      <c r="J4799" s="330"/>
      <c r="K4799" s="23"/>
    </row>
    <row r="4800" spans="1:11" ht="12.75" x14ac:dyDescent="0.2">
      <c r="A4800" s="23"/>
      <c r="B4800" s="328"/>
      <c r="C4800" s="327"/>
      <c r="D4800" s="328"/>
      <c r="E4800" s="23"/>
      <c r="F4800" s="329"/>
      <c r="G4800" s="23"/>
      <c r="H4800" s="23"/>
      <c r="I4800" s="330"/>
      <c r="J4800" s="330"/>
      <c r="K4800" s="23"/>
    </row>
    <row r="4801" spans="1:11" ht="12.75" x14ac:dyDescent="0.2">
      <c r="A4801" s="23"/>
      <c r="B4801" s="328"/>
      <c r="C4801" s="327"/>
      <c r="D4801" s="328"/>
      <c r="E4801" s="23"/>
      <c r="F4801" s="329"/>
      <c r="G4801" s="23"/>
      <c r="H4801" s="23"/>
      <c r="I4801" s="330"/>
      <c r="J4801" s="330"/>
      <c r="K4801" s="23"/>
    </row>
    <row r="4802" spans="1:11" ht="12.75" x14ac:dyDescent="0.2">
      <c r="A4802" s="23"/>
      <c r="B4802" s="328"/>
      <c r="C4802" s="327"/>
      <c r="D4802" s="328"/>
      <c r="E4802" s="23"/>
      <c r="F4802" s="329"/>
      <c r="G4802" s="23"/>
      <c r="H4802" s="23"/>
      <c r="I4802" s="330"/>
      <c r="J4802" s="330"/>
      <c r="K4802" s="23"/>
    </row>
    <row r="4803" spans="1:11" ht="12.75" x14ac:dyDescent="0.2">
      <c r="A4803" s="23"/>
      <c r="B4803" s="328"/>
      <c r="C4803" s="327"/>
      <c r="D4803" s="328"/>
      <c r="E4803" s="23"/>
      <c r="F4803" s="329"/>
      <c r="G4803" s="23"/>
      <c r="H4803" s="23"/>
      <c r="I4803" s="330"/>
      <c r="J4803" s="330"/>
      <c r="K4803" s="23"/>
    </row>
    <row r="4804" spans="1:11" ht="12.75" x14ac:dyDescent="0.2">
      <c r="A4804" s="23"/>
      <c r="B4804" s="328"/>
      <c r="C4804" s="327"/>
      <c r="D4804" s="328"/>
      <c r="E4804" s="23"/>
      <c r="F4804" s="329"/>
      <c r="G4804" s="23"/>
      <c r="H4804" s="23"/>
      <c r="I4804" s="330"/>
      <c r="J4804" s="330"/>
      <c r="K4804" s="23"/>
    </row>
    <row r="4805" spans="1:11" ht="12.75" x14ac:dyDescent="0.2">
      <c r="A4805" s="23"/>
      <c r="B4805" s="328"/>
      <c r="C4805" s="327"/>
      <c r="D4805" s="328"/>
      <c r="E4805" s="23"/>
      <c r="F4805" s="329"/>
      <c r="G4805" s="23"/>
      <c r="H4805" s="23"/>
      <c r="I4805" s="330"/>
      <c r="J4805" s="330"/>
      <c r="K4805" s="23"/>
    </row>
    <row r="4806" spans="1:11" ht="12.75" x14ac:dyDescent="0.2">
      <c r="A4806" s="23"/>
      <c r="B4806" s="328"/>
      <c r="C4806" s="327"/>
      <c r="D4806" s="328"/>
      <c r="E4806" s="23"/>
      <c r="F4806" s="329"/>
      <c r="G4806" s="23"/>
      <c r="H4806" s="23"/>
      <c r="I4806" s="330"/>
      <c r="J4806" s="330"/>
      <c r="K4806" s="23"/>
    </row>
    <row r="4807" spans="1:11" ht="12.75" x14ac:dyDescent="0.2">
      <c r="A4807" s="23"/>
      <c r="B4807" s="328"/>
      <c r="C4807" s="327"/>
      <c r="D4807" s="328"/>
      <c r="E4807" s="23"/>
      <c r="F4807" s="329"/>
      <c r="G4807" s="23"/>
      <c r="H4807" s="23"/>
      <c r="I4807" s="330"/>
      <c r="J4807" s="330"/>
      <c r="K4807" s="23"/>
    </row>
    <row r="4808" spans="1:11" ht="12.75" x14ac:dyDescent="0.2">
      <c r="A4808" s="23"/>
      <c r="B4808" s="328"/>
      <c r="C4808" s="327"/>
      <c r="D4808" s="328"/>
      <c r="E4808" s="23"/>
      <c r="F4808" s="329"/>
      <c r="G4808" s="23"/>
      <c r="H4808" s="23"/>
      <c r="I4808" s="330"/>
      <c r="J4808" s="330"/>
      <c r="K4808" s="23"/>
    </row>
    <row r="4809" spans="1:11" ht="12.75" x14ac:dyDescent="0.2">
      <c r="A4809" s="23"/>
      <c r="B4809" s="328"/>
      <c r="C4809" s="327"/>
      <c r="D4809" s="328"/>
      <c r="E4809" s="23"/>
      <c r="F4809" s="329"/>
      <c r="G4809" s="23"/>
      <c r="H4809" s="23"/>
      <c r="I4809" s="330"/>
      <c r="J4809" s="330"/>
      <c r="K4809" s="23"/>
    </row>
    <row r="4810" spans="1:11" ht="12.75" x14ac:dyDescent="0.2">
      <c r="A4810" s="23"/>
      <c r="B4810" s="328"/>
      <c r="C4810" s="327"/>
      <c r="D4810" s="328"/>
      <c r="E4810" s="23"/>
      <c r="F4810" s="329"/>
      <c r="G4810" s="23"/>
      <c r="H4810" s="23"/>
      <c r="I4810" s="330"/>
      <c r="J4810" s="330"/>
      <c r="K4810" s="23"/>
    </row>
    <row r="4811" spans="1:11" ht="12.75" x14ac:dyDescent="0.2">
      <c r="A4811" s="23"/>
      <c r="B4811" s="328"/>
      <c r="C4811" s="327"/>
      <c r="D4811" s="328"/>
      <c r="E4811" s="23"/>
      <c r="F4811" s="329"/>
      <c r="G4811" s="23"/>
      <c r="H4811" s="23"/>
      <c r="I4811" s="330"/>
      <c r="J4811" s="330"/>
      <c r="K4811" s="23"/>
    </row>
    <row r="4812" spans="1:11" ht="12.75" x14ac:dyDescent="0.2">
      <c r="A4812" s="23"/>
      <c r="B4812" s="328"/>
      <c r="C4812" s="327"/>
      <c r="D4812" s="328"/>
      <c r="E4812" s="23"/>
      <c r="F4812" s="329"/>
      <c r="G4812" s="23"/>
      <c r="H4812" s="23"/>
      <c r="I4812" s="330"/>
      <c r="J4812" s="330"/>
      <c r="K4812" s="23"/>
    </row>
    <row r="4813" spans="1:11" ht="12.75" x14ac:dyDescent="0.2">
      <c r="A4813" s="23"/>
      <c r="B4813" s="328"/>
      <c r="C4813" s="327"/>
      <c r="D4813" s="328"/>
      <c r="E4813" s="23"/>
      <c r="F4813" s="329"/>
      <c r="G4813" s="23"/>
      <c r="H4813" s="23"/>
      <c r="I4813" s="330"/>
      <c r="J4813" s="330"/>
      <c r="K4813" s="23"/>
    </row>
    <row r="4814" spans="1:11" ht="12.75" x14ac:dyDescent="0.2">
      <c r="A4814" s="23"/>
      <c r="B4814" s="328"/>
      <c r="C4814" s="327"/>
      <c r="D4814" s="328"/>
      <c r="E4814" s="23"/>
      <c r="F4814" s="329"/>
      <c r="G4814" s="23"/>
      <c r="H4814" s="23"/>
      <c r="I4814" s="330"/>
      <c r="J4814" s="330"/>
      <c r="K4814" s="23"/>
    </row>
    <row r="4815" spans="1:11" ht="12.75" x14ac:dyDescent="0.2">
      <c r="A4815" s="23"/>
      <c r="B4815" s="328"/>
      <c r="C4815" s="327"/>
      <c r="D4815" s="328"/>
      <c r="E4815" s="23"/>
      <c r="F4815" s="329"/>
      <c r="G4815" s="23"/>
      <c r="H4815" s="23"/>
      <c r="I4815" s="330"/>
      <c r="J4815" s="330"/>
      <c r="K4815" s="23"/>
    </row>
    <row r="4816" spans="1:11" ht="12.75" x14ac:dyDescent="0.2">
      <c r="A4816" s="23"/>
      <c r="B4816" s="328"/>
      <c r="C4816" s="327"/>
      <c r="D4816" s="328"/>
      <c r="E4816" s="23"/>
      <c r="F4816" s="329"/>
      <c r="G4816" s="23"/>
      <c r="H4816" s="23"/>
      <c r="I4816" s="330"/>
      <c r="J4816" s="330"/>
      <c r="K4816" s="23"/>
    </row>
    <row r="4817" spans="1:11" ht="12.75" x14ac:dyDescent="0.2">
      <c r="A4817" s="23"/>
      <c r="B4817" s="328"/>
      <c r="C4817" s="327"/>
      <c r="D4817" s="328"/>
      <c r="E4817" s="23"/>
      <c r="F4817" s="329"/>
      <c r="G4817" s="23"/>
      <c r="H4817" s="23"/>
      <c r="I4817" s="330"/>
      <c r="J4817" s="330"/>
      <c r="K4817" s="23"/>
    </row>
    <row r="4818" spans="1:11" ht="12.75" x14ac:dyDescent="0.2">
      <c r="A4818" s="23"/>
      <c r="B4818" s="328"/>
      <c r="C4818" s="327"/>
      <c r="D4818" s="328"/>
      <c r="E4818" s="23"/>
      <c r="F4818" s="329"/>
      <c r="G4818" s="23"/>
      <c r="H4818" s="23"/>
      <c r="I4818" s="330"/>
      <c r="J4818" s="330"/>
      <c r="K4818" s="23"/>
    </row>
    <row r="4819" spans="1:11" ht="12.75" x14ac:dyDescent="0.2">
      <c r="A4819" s="23"/>
      <c r="B4819" s="328"/>
      <c r="C4819" s="327"/>
      <c r="D4819" s="328"/>
      <c r="E4819" s="23"/>
      <c r="F4819" s="329"/>
      <c r="G4819" s="23"/>
      <c r="H4819" s="23"/>
      <c r="I4819" s="330"/>
      <c r="J4819" s="330"/>
      <c r="K4819" s="23"/>
    </row>
    <row r="4820" spans="1:11" ht="12.75" x14ac:dyDescent="0.2">
      <c r="A4820" s="23"/>
      <c r="B4820" s="328"/>
      <c r="C4820" s="327"/>
      <c r="D4820" s="328"/>
      <c r="E4820" s="23"/>
      <c r="F4820" s="329"/>
      <c r="G4820" s="23"/>
      <c r="H4820" s="23"/>
      <c r="I4820" s="330"/>
      <c r="J4820" s="330"/>
      <c r="K4820" s="23"/>
    </row>
    <row r="4821" spans="1:11" ht="12.75" x14ac:dyDescent="0.2">
      <c r="A4821" s="23"/>
      <c r="B4821" s="328"/>
      <c r="C4821" s="327"/>
      <c r="D4821" s="328"/>
      <c r="E4821" s="23"/>
      <c r="F4821" s="329"/>
      <c r="G4821" s="23"/>
      <c r="H4821" s="23"/>
      <c r="I4821" s="330"/>
      <c r="J4821" s="330"/>
      <c r="K4821" s="23"/>
    </row>
    <row r="4822" spans="1:11" ht="12.75" x14ac:dyDescent="0.2">
      <c r="A4822" s="23"/>
      <c r="B4822" s="328"/>
      <c r="C4822" s="327"/>
      <c r="D4822" s="328"/>
      <c r="E4822" s="23"/>
      <c r="F4822" s="329"/>
      <c r="G4822" s="23"/>
      <c r="H4822" s="23"/>
      <c r="I4822" s="330"/>
      <c r="J4822" s="330"/>
      <c r="K4822" s="23"/>
    </row>
    <row r="4823" spans="1:11" ht="12.75" x14ac:dyDescent="0.2">
      <c r="A4823" s="23"/>
      <c r="B4823" s="328"/>
      <c r="C4823" s="327"/>
      <c r="D4823" s="328"/>
      <c r="E4823" s="23"/>
      <c r="F4823" s="329"/>
      <c r="G4823" s="23"/>
      <c r="H4823" s="23"/>
      <c r="I4823" s="330"/>
      <c r="J4823" s="330"/>
      <c r="K4823" s="23"/>
    </row>
    <row r="4824" spans="1:11" ht="12.75" x14ac:dyDescent="0.2">
      <c r="A4824" s="23"/>
      <c r="B4824" s="328"/>
      <c r="C4824" s="327"/>
      <c r="D4824" s="328"/>
      <c r="E4824" s="23"/>
      <c r="F4824" s="329"/>
      <c r="G4824" s="23"/>
      <c r="H4824" s="23"/>
      <c r="I4824" s="330"/>
      <c r="J4824" s="330"/>
      <c r="K4824" s="23"/>
    </row>
    <row r="4825" spans="1:11" ht="12.75" x14ac:dyDescent="0.2">
      <c r="A4825" s="23"/>
      <c r="B4825" s="328"/>
      <c r="C4825" s="327"/>
      <c r="D4825" s="328"/>
      <c r="E4825" s="23"/>
      <c r="F4825" s="329"/>
      <c r="G4825" s="23"/>
      <c r="H4825" s="23"/>
      <c r="I4825" s="330"/>
      <c r="J4825" s="330"/>
      <c r="K4825" s="23"/>
    </row>
    <row r="4826" spans="1:11" ht="12.75" x14ac:dyDescent="0.2">
      <c r="A4826" s="23"/>
      <c r="B4826" s="328"/>
      <c r="C4826" s="327"/>
      <c r="D4826" s="328"/>
      <c r="E4826" s="23"/>
      <c r="F4826" s="329"/>
      <c r="G4826" s="23"/>
      <c r="H4826" s="23"/>
      <c r="I4826" s="330"/>
      <c r="J4826" s="330"/>
      <c r="K4826" s="23"/>
    </row>
    <row r="4827" spans="1:11" ht="12.75" x14ac:dyDescent="0.2">
      <c r="A4827" s="23"/>
      <c r="B4827" s="328"/>
      <c r="C4827" s="327"/>
      <c r="D4827" s="328"/>
      <c r="E4827" s="23"/>
      <c r="F4827" s="329"/>
      <c r="G4827" s="23"/>
      <c r="H4827" s="23"/>
      <c r="I4827" s="330"/>
      <c r="J4827" s="330"/>
      <c r="K4827" s="23"/>
    </row>
    <row r="4828" spans="1:11" ht="12.75" x14ac:dyDescent="0.2">
      <c r="A4828" s="23"/>
      <c r="B4828" s="328"/>
      <c r="C4828" s="327"/>
      <c r="D4828" s="328"/>
      <c r="E4828" s="23"/>
      <c r="F4828" s="329"/>
      <c r="G4828" s="23"/>
      <c r="H4828" s="23"/>
      <c r="I4828" s="330"/>
      <c r="J4828" s="330"/>
      <c r="K4828" s="23"/>
    </row>
    <row r="4829" spans="1:11" ht="12.75" x14ac:dyDescent="0.2">
      <c r="A4829" s="23"/>
      <c r="B4829" s="328"/>
      <c r="C4829" s="327"/>
      <c r="D4829" s="328"/>
      <c r="E4829" s="23"/>
      <c r="F4829" s="329"/>
      <c r="G4829" s="23"/>
      <c r="H4829" s="23"/>
      <c r="I4829" s="330"/>
      <c r="J4829" s="330"/>
      <c r="K4829" s="23"/>
    </row>
    <row r="4830" spans="1:11" ht="12.75" x14ac:dyDescent="0.2">
      <c r="A4830" s="23"/>
      <c r="B4830" s="328"/>
      <c r="C4830" s="327"/>
      <c r="D4830" s="328"/>
      <c r="E4830" s="23"/>
      <c r="F4830" s="329"/>
      <c r="G4830" s="23"/>
      <c r="H4830" s="23"/>
      <c r="I4830" s="330"/>
      <c r="J4830" s="330"/>
      <c r="K4830" s="23"/>
    </row>
    <row r="4831" spans="1:11" ht="12.75" x14ac:dyDescent="0.2">
      <c r="A4831" s="23"/>
      <c r="B4831" s="328"/>
      <c r="C4831" s="327"/>
      <c r="D4831" s="328"/>
      <c r="E4831" s="23"/>
      <c r="F4831" s="329"/>
      <c r="G4831" s="23"/>
      <c r="H4831" s="23"/>
      <c r="I4831" s="330"/>
      <c r="J4831" s="330"/>
      <c r="K4831" s="23"/>
    </row>
    <row r="4832" spans="1:11" ht="12.75" x14ac:dyDescent="0.2">
      <c r="A4832" s="23"/>
      <c r="B4832" s="328"/>
      <c r="C4832" s="327"/>
      <c r="D4832" s="328"/>
      <c r="E4832" s="23"/>
      <c r="F4832" s="329"/>
      <c r="G4832" s="23"/>
      <c r="H4832" s="23"/>
      <c r="I4832" s="330"/>
      <c r="J4832" s="330"/>
      <c r="K4832" s="23"/>
    </row>
    <row r="4833" spans="1:11" ht="12.75" x14ac:dyDescent="0.2">
      <c r="A4833" s="23"/>
      <c r="B4833" s="328"/>
      <c r="C4833" s="327"/>
      <c r="D4833" s="328"/>
      <c r="E4833" s="23"/>
      <c r="F4833" s="329"/>
      <c r="G4833" s="23"/>
      <c r="H4833" s="23"/>
      <c r="I4833" s="330"/>
      <c r="J4833" s="330"/>
      <c r="K4833" s="23"/>
    </row>
    <row r="4834" spans="1:11" ht="12.75" x14ac:dyDescent="0.2">
      <c r="A4834" s="23"/>
      <c r="B4834" s="328"/>
      <c r="C4834" s="327"/>
      <c r="D4834" s="328"/>
      <c r="E4834" s="23"/>
      <c r="F4834" s="329"/>
      <c r="G4834" s="23"/>
      <c r="H4834" s="23"/>
      <c r="I4834" s="330"/>
      <c r="J4834" s="330"/>
      <c r="K4834" s="23"/>
    </row>
    <row r="4835" spans="1:11" ht="12.75" x14ac:dyDescent="0.2">
      <c r="A4835" s="23"/>
      <c r="B4835" s="328"/>
      <c r="C4835" s="327"/>
      <c r="D4835" s="328"/>
      <c r="E4835" s="23"/>
      <c r="F4835" s="329"/>
      <c r="G4835" s="23"/>
      <c r="H4835" s="23"/>
      <c r="I4835" s="330"/>
      <c r="J4835" s="330"/>
      <c r="K4835" s="23"/>
    </row>
    <row r="4836" spans="1:11" ht="12.75" x14ac:dyDescent="0.2">
      <c r="A4836" s="23"/>
      <c r="B4836" s="328"/>
      <c r="C4836" s="327"/>
      <c r="D4836" s="328"/>
      <c r="E4836" s="23"/>
      <c r="F4836" s="329"/>
      <c r="G4836" s="23"/>
      <c r="H4836" s="23"/>
      <c r="I4836" s="330"/>
      <c r="J4836" s="330"/>
      <c r="K4836" s="23"/>
    </row>
    <row r="4837" spans="1:11" ht="12.75" x14ac:dyDescent="0.2">
      <c r="A4837" s="23"/>
      <c r="B4837" s="328"/>
      <c r="C4837" s="327"/>
      <c r="D4837" s="328"/>
      <c r="E4837" s="23"/>
      <c r="F4837" s="329"/>
      <c r="G4837" s="23"/>
      <c r="H4837" s="23"/>
      <c r="I4837" s="330"/>
      <c r="J4837" s="330"/>
      <c r="K4837" s="23"/>
    </row>
    <row r="4838" spans="1:11" ht="12.75" x14ac:dyDescent="0.2">
      <c r="A4838" s="23"/>
      <c r="B4838" s="328"/>
      <c r="C4838" s="327"/>
      <c r="D4838" s="328"/>
      <c r="E4838" s="23"/>
      <c r="F4838" s="329"/>
      <c r="G4838" s="23"/>
      <c r="H4838" s="23"/>
      <c r="I4838" s="330"/>
      <c r="J4838" s="330"/>
      <c r="K4838" s="23"/>
    </row>
    <row r="4839" spans="1:11" ht="12.75" x14ac:dyDescent="0.2">
      <c r="A4839" s="23"/>
      <c r="B4839" s="328"/>
      <c r="C4839" s="327"/>
      <c r="D4839" s="328"/>
      <c r="E4839" s="23"/>
      <c r="F4839" s="329"/>
      <c r="G4839" s="23"/>
      <c r="H4839" s="23"/>
      <c r="I4839" s="330"/>
      <c r="J4839" s="330"/>
      <c r="K4839" s="23"/>
    </row>
    <row r="4840" spans="1:11" ht="12.75" x14ac:dyDescent="0.2">
      <c r="A4840" s="23"/>
      <c r="B4840" s="328"/>
      <c r="C4840" s="327"/>
      <c r="D4840" s="328"/>
      <c r="E4840" s="23"/>
      <c r="F4840" s="329"/>
      <c r="G4840" s="23"/>
      <c r="H4840" s="23"/>
      <c r="I4840" s="330"/>
      <c r="J4840" s="330"/>
      <c r="K4840" s="23"/>
    </row>
    <row r="4841" spans="1:11" ht="12.75" x14ac:dyDescent="0.2">
      <c r="A4841" s="23"/>
      <c r="B4841" s="328"/>
      <c r="C4841" s="327"/>
      <c r="D4841" s="328"/>
      <c r="E4841" s="23"/>
      <c r="F4841" s="329"/>
      <c r="G4841" s="23"/>
      <c r="H4841" s="23"/>
      <c r="I4841" s="330"/>
      <c r="J4841" s="330"/>
      <c r="K4841" s="23"/>
    </row>
    <row r="4842" spans="1:11" ht="12.75" x14ac:dyDescent="0.2">
      <c r="A4842" s="23"/>
      <c r="B4842" s="328"/>
      <c r="C4842" s="327"/>
      <c r="D4842" s="328"/>
      <c r="E4842" s="23"/>
      <c r="F4842" s="329"/>
      <c r="G4842" s="23"/>
      <c r="H4842" s="23"/>
      <c r="I4842" s="330"/>
      <c r="J4842" s="330"/>
      <c r="K4842" s="23"/>
    </row>
    <row r="4843" spans="1:11" ht="12.75" x14ac:dyDescent="0.2">
      <c r="A4843" s="23"/>
      <c r="B4843" s="328"/>
      <c r="C4843" s="327"/>
      <c r="D4843" s="328"/>
      <c r="E4843" s="23"/>
      <c r="F4843" s="329"/>
      <c r="G4843" s="23"/>
      <c r="H4843" s="23"/>
      <c r="I4843" s="330"/>
      <c r="J4843" s="330"/>
      <c r="K4843" s="23"/>
    </row>
    <row r="4844" spans="1:11" ht="12.75" x14ac:dyDescent="0.2">
      <c r="A4844" s="23"/>
      <c r="B4844" s="328"/>
      <c r="C4844" s="327"/>
      <c r="D4844" s="328"/>
      <c r="E4844" s="23"/>
      <c r="F4844" s="329"/>
      <c r="G4844" s="23"/>
      <c r="H4844" s="23"/>
      <c r="I4844" s="330"/>
      <c r="J4844" s="330"/>
      <c r="K4844" s="23"/>
    </row>
    <row r="4845" spans="1:11" ht="12.75" x14ac:dyDescent="0.2">
      <c r="A4845" s="23"/>
      <c r="B4845" s="328"/>
      <c r="C4845" s="327"/>
      <c r="D4845" s="328"/>
      <c r="E4845" s="23"/>
      <c r="F4845" s="329"/>
      <c r="G4845" s="23"/>
      <c r="H4845" s="23"/>
      <c r="I4845" s="330"/>
      <c r="J4845" s="330"/>
      <c r="K4845" s="23"/>
    </row>
    <row r="4846" spans="1:11" ht="12.75" x14ac:dyDescent="0.2">
      <c r="A4846" s="23"/>
      <c r="B4846" s="328"/>
      <c r="C4846" s="327"/>
      <c r="D4846" s="328"/>
      <c r="E4846" s="23"/>
      <c r="F4846" s="329"/>
      <c r="G4846" s="23"/>
      <c r="H4846" s="23"/>
      <c r="I4846" s="330"/>
      <c r="J4846" s="330"/>
      <c r="K4846" s="23"/>
    </row>
    <row r="4847" spans="1:11" ht="12.75" x14ac:dyDescent="0.2">
      <c r="A4847" s="23"/>
      <c r="B4847" s="328"/>
      <c r="C4847" s="327"/>
      <c r="D4847" s="328"/>
      <c r="E4847" s="23"/>
      <c r="F4847" s="329"/>
      <c r="G4847" s="23"/>
      <c r="H4847" s="23"/>
      <c r="I4847" s="330"/>
      <c r="J4847" s="330"/>
      <c r="K4847" s="23"/>
    </row>
    <row r="4848" spans="1:11" ht="12.75" x14ac:dyDescent="0.2">
      <c r="A4848" s="23"/>
      <c r="B4848" s="328"/>
      <c r="C4848" s="327"/>
      <c r="D4848" s="328"/>
      <c r="E4848" s="23"/>
      <c r="F4848" s="329"/>
      <c r="G4848" s="23"/>
      <c r="H4848" s="23"/>
      <c r="I4848" s="330"/>
      <c r="J4848" s="330"/>
      <c r="K4848" s="23"/>
    </row>
    <row r="4849" spans="1:11" ht="12.75" x14ac:dyDescent="0.2">
      <c r="A4849" s="23"/>
      <c r="B4849" s="328"/>
      <c r="C4849" s="327"/>
      <c r="D4849" s="328"/>
      <c r="E4849" s="23"/>
      <c r="F4849" s="329"/>
      <c r="G4849" s="23"/>
      <c r="H4849" s="23"/>
      <c r="I4849" s="330"/>
      <c r="J4849" s="330"/>
      <c r="K4849" s="23"/>
    </row>
    <row r="4850" spans="1:11" ht="12.75" x14ac:dyDescent="0.2">
      <c r="A4850" s="23"/>
      <c r="B4850" s="328"/>
      <c r="C4850" s="327"/>
      <c r="D4850" s="328"/>
      <c r="E4850" s="23"/>
      <c r="F4850" s="329"/>
      <c r="G4850" s="23"/>
      <c r="H4850" s="23"/>
      <c r="I4850" s="330"/>
      <c r="J4850" s="330"/>
      <c r="K4850" s="23"/>
    </row>
    <row r="4851" spans="1:11" ht="12.75" x14ac:dyDescent="0.2">
      <c r="A4851" s="23"/>
      <c r="B4851" s="328"/>
      <c r="C4851" s="327"/>
      <c r="D4851" s="328"/>
      <c r="E4851" s="23"/>
      <c r="F4851" s="329"/>
      <c r="G4851" s="23"/>
      <c r="H4851" s="23"/>
      <c r="I4851" s="330"/>
      <c r="J4851" s="330"/>
      <c r="K4851" s="23"/>
    </row>
    <row r="4852" spans="1:11" ht="12.75" x14ac:dyDescent="0.2">
      <c r="A4852" s="23"/>
      <c r="B4852" s="328"/>
      <c r="C4852" s="327"/>
      <c r="D4852" s="328"/>
      <c r="E4852" s="23"/>
      <c r="F4852" s="329"/>
      <c r="G4852" s="23"/>
      <c r="H4852" s="23"/>
      <c r="I4852" s="330"/>
      <c r="J4852" s="330"/>
      <c r="K4852" s="23"/>
    </row>
    <row r="4853" spans="1:11" ht="12.75" x14ac:dyDescent="0.2">
      <c r="A4853" s="23"/>
      <c r="B4853" s="328"/>
      <c r="C4853" s="327"/>
      <c r="D4853" s="328"/>
      <c r="E4853" s="23"/>
      <c r="F4853" s="329"/>
      <c r="G4853" s="23"/>
      <c r="H4853" s="23"/>
      <c r="I4853" s="330"/>
      <c r="J4853" s="330"/>
      <c r="K4853" s="23"/>
    </row>
    <row r="4854" spans="1:11" ht="12.75" x14ac:dyDescent="0.2">
      <c r="A4854" s="23"/>
      <c r="B4854" s="328"/>
      <c r="C4854" s="327"/>
      <c r="D4854" s="328"/>
      <c r="E4854" s="23"/>
      <c r="F4854" s="329"/>
      <c r="G4854" s="23"/>
      <c r="H4854" s="23"/>
      <c r="I4854" s="330"/>
      <c r="J4854" s="330"/>
      <c r="K4854" s="23"/>
    </row>
    <row r="4855" spans="1:11" ht="12.75" x14ac:dyDescent="0.2">
      <c r="A4855" s="23"/>
      <c r="B4855" s="328"/>
      <c r="C4855" s="327"/>
      <c r="D4855" s="328"/>
      <c r="E4855" s="23"/>
      <c r="F4855" s="329"/>
      <c r="G4855" s="23"/>
      <c r="H4855" s="23"/>
      <c r="I4855" s="330"/>
      <c r="J4855" s="330"/>
      <c r="K4855" s="23"/>
    </row>
    <row r="4856" spans="1:11" ht="12.75" x14ac:dyDescent="0.2">
      <c r="A4856" s="23"/>
      <c r="B4856" s="328"/>
      <c r="C4856" s="327"/>
      <c r="D4856" s="328"/>
      <c r="E4856" s="23"/>
      <c r="F4856" s="329"/>
      <c r="G4856" s="23"/>
      <c r="H4856" s="23"/>
      <c r="I4856" s="330"/>
      <c r="J4856" s="330"/>
      <c r="K4856" s="23"/>
    </row>
    <row r="4857" spans="1:11" ht="12.75" x14ac:dyDescent="0.2">
      <c r="A4857" s="23"/>
      <c r="B4857" s="328"/>
      <c r="C4857" s="327"/>
      <c r="D4857" s="328"/>
      <c r="E4857" s="23"/>
      <c r="F4857" s="329"/>
      <c r="G4857" s="23"/>
      <c r="H4857" s="23"/>
      <c r="I4857" s="330"/>
      <c r="J4857" s="330"/>
      <c r="K4857" s="23"/>
    </row>
    <row r="4858" spans="1:11" ht="12.75" x14ac:dyDescent="0.2">
      <c r="A4858" s="23"/>
      <c r="B4858" s="328"/>
      <c r="C4858" s="327"/>
      <c r="D4858" s="328"/>
      <c r="E4858" s="23"/>
      <c r="F4858" s="329"/>
      <c r="G4858" s="23"/>
      <c r="H4858" s="23"/>
      <c r="I4858" s="330"/>
      <c r="J4858" s="330"/>
      <c r="K4858" s="23"/>
    </row>
    <row r="4859" spans="1:11" ht="12.75" x14ac:dyDescent="0.2">
      <c r="A4859" s="23"/>
      <c r="B4859" s="328"/>
      <c r="C4859" s="327"/>
      <c r="D4859" s="328"/>
      <c r="E4859" s="23"/>
      <c r="F4859" s="329"/>
      <c r="G4859" s="23"/>
      <c r="H4859" s="23"/>
      <c r="I4859" s="330"/>
      <c r="J4859" s="330"/>
      <c r="K4859" s="23"/>
    </row>
    <row r="4860" spans="1:11" ht="12.75" x14ac:dyDescent="0.2">
      <c r="A4860" s="23"/>
      <c r="B4860" s="328"/>
      <c r="C4860" s="327"/>
      <c r="D4860" s="328"/>
      <c r="E4860" s="23"/>
      <c r="F4860" s="329"/>
      <c r="G4860" s="23"/>
      <c r="H4860" s="23"/>
      <c r="I4860" s="330"/>
      <c r="J4860" s="330"/>
      <c r="K4860" s="23"/>
    </row>
    <row r="4861" spans="1:11" ht="12.75" x14ac:dyDescent="0.2">
      <c r="A4861" s="23"/>
      <c r="B4861" s="328"/>
      <c r="C4861" s="327"/>
      <c r="D4861" s="328"/>
      <c r="E4861" s="23"/>
      <c r="F4861" s="329"/>
      <c r="G4861" s="23"/>
      <c r="H4861" s="23"/>
      <c r="I4861" s="330"/>
      <c r="J4861" s="330"/>
      <c r="K4861" s="23"/>
    </row>
    <row r="4862" spans="1:11" ht="12.75" x14ac:dyDescent="0.2">
      <c r="A4862" s="23"/>
      <c r="B4862" s="328"/>
      <c r="C4862" s="327"/>
      <c r="D4862" s="328"/>
      <c r="E4862" s="23"/>
      <c r="F4862" s="329"/>
      <c r="G4862" s="23"/>
      <c r="H4862" s="23"/>
      <c r="I4862" s="330"/>
      <c r="J4862" s="330"/>
      <c r="K4862" s="23"/>
    </row>
    <row r="4863" spans="1:11" ht="12.75" x14ac:dyDescent="0.2">
      <c r="A4863" s="23"/>
      <c r="B4863" s="328"/>
      <c r="C4863" s="327"/>
      <c r="D4863" s="328"/>
      <c r="E4863" s="23"/>
      <c r="F4863" s="329"/>
      <c r="G4863" s="23"/>
      <c r="H4863" s="23"/>
      <c r="I4863" s="330"/>
      <c r="J4863" s="330"/>
      <c r="K4863" s="23"/>
    </row>
    <row r="4864" spans="1:11" ht="12.75" x14ac:dyDescent="0.2">
      <c r="A4864" s="23"/>
      <c r="B4864" s="328"/>
      <c r="C4864" s="327"/>
      <c r="D4864" s="328"/>
      <c r="E4864" s="23"/>
      <c r="F4864" s="329"/>
      <c r="G4864" s="23"/>
      <c r="H4864" s="23"/>
      <c r="I4864" s="330"/>
      <c r="J4864" s="330"/>
      <c r="K4864" s="23"/>
    </row>
    <row r="4865" spans="1:11" ht="12.75" x14ac:dyDescent="0.2">
      <c r="A4865" s="23"/>
      <c r="B4865" s="328"/>
      <c r="C4865" s="327"/>
      <c r="D4865" s="328"/>
      <c r="E4865" s="23"/>
      <c r="F4865" s="329"/>
      <c r="G4865" s="23"/>
      <c r="H4865" s="23"/>
      <c r="I4865" s="330"/>
      <c r="J4865" s="330"/>
      <c r="K4865" s="23"/>
    </row>
    <row r="4866" spans="1:11" ht="12.75" x14ac:dyDescent="0.2">
      <c r="A4866" s="23"/>
      <c r="B4866" s="328"/>
      <c r="C4866" s="327"/>
      <c r="D4866" s="328"/>
      <c r="E4866" s="23"/>
      <c r="F4866" s="329"/>
      <c r="G4866" s="23"/>
      <c r="H4866" s="23"/>
      <c r="I4866" s="330"/>
      <c r="J4866" s="330"/>
      <c r="K4866" s="23"/>
    </row>
    <row r="4867" spans="1:11" ht="12.75" x14ac:dyDescent="0.2">
      <c r="A4867" s="23"/>
      <c r="B4867" s="328"/>
      <c r="C4867" s="327"/>
      <c r="D4867" s="328"/>
      <c r="E4867" s="23"/>
      <c r="F4867" s="329"/>
      <c r="G4867" s="23"/>
      <c r="H4867" s="23"/>
      <c r="I4867" s="330"/>
      <c r="J4867" s="330"/>
      <c r="K4867" s="23"/>
    </row>
    <row r="4868" spans="1:11" ht="12.75" x14ac:dyDescent="0.2">
      <c r="A4868" s="23"/>
      <c r="B4868" s="328"/>
      <c r="C4868" s="327"/>
      <c r="D4868" s="328"/>
      <c r="E4868" s="23"/>
      <c r="F4868" s="329"/>
      <c r="G4868" s="23"/>
      <c r="H4868" s="23"/>
      <c r="I4868" s="330"/>
      <c r="J4868" s="330"/>
      <c r="K4868" s="23"/>
    </row>
    <row r="4869" spans="1:11" ht="12.75" x14ac:dyDescent="0.2">
      <c r="A4869" s="23"/>
      <c r="B4869" s="328"/>
      <c r="C4869" s="327"/>
      <c r="D4869" s="328"/>
      <c r="E4869" s="23"/>
      <c r="F4869" s="329"/>
      <c r="G4869" s="23"/>
      <c r="H4869" s="23"/>
      <c r="I4869" s="330"/>
      <c r="J4869" s="330"/>
      <c r="K4869" s="23"/>
    </row>
    <row r="4870" spans="1:11" ht="12.75" x14ac:dyDescent="0.2">
      <c r="A4870" s="23"/>
      <c r="B4870" s="328"/>
      <c r="C4870" s="327"/>
      <c r="D4870" s="328"/>
      <c r="E4870" s="23"/>
      <c r="F4870" s="329"/>
      <c r="G4870" s="23"/>
      <c r="H4870" s="23"/>
      <c r="I4870" s="330"/>
      <c r="J4870" s="330"/>
      <c r="K4870" s="23"/>
    </row>
    <row r="4871" spans="1:11" ht="12.75" x14ac:dyDescent="0.2">
      <c r="A4871" s="23"/>
      <c r="B4871" s="328"/>
      <c r="C4871" s="327"/>
      <c r="D4871" s="328"/>
      <c r="E4871" s="23"/>
      <c r="F4871" s="329"/>
      <c r="G4871" s="23"/>
      <c r="H4871" s="23"/>
      <c r="I4871" s="330"/>
      <c r="J4871" s="330"/>
      <c r="K4871" s="23"/>
    </row>
    <row r="4872" spans="1:11" ht="12.75" x14ac:dyDescent="0.2">
      <c r="A4872" s="23"/>
      <c r="B4872" s="328"/>
      <c r="C4872" s="327"/>
      <c r="D4872" s="328"/>
      <c r="E4872" s="23"/>
      <c r="F4872" s="329"/>
      <c r="G4872" s="23"/>
      <c r="H4872" s="23"/>
      <c r="I4872" s="330"/>
      <c r="J4872" s="330"/>
      <c r="K4872" s="23"/>
    </row>
    <row r="4873" spans="1:11" ht="12.75" x14ac:dyDescent="0.2">
      <c r="A4873" s="23"/>
      <c r="B4873" s="328"/>
      <c r="C4873" s="327"/>
      <c r="D4873" s="328"/>
      <c r="E4873" s="23"/>
      <c r="F4873" s="329"/>
      <c r="G4873" s="23"/>
      <c r="H4873" s="23"/>
      <c r="I4873" s="330"/>
      <c r="J4873" s="330"/>
      <c r="K4873" s="23"/>
    </row>
    <row r="4874" spans="1:11" ht="12.75" x14ac:dyDescent="0.2">
      <c r="A4874" s="23"/>
      <c r="B4874" s="328"/>
      <c r="C4874" s="327"/>
      <c r="D4874" s="328"/>
      <c r="E4874" s="23"/>
      <c r="F4874" s="329"/>
      <c r="G4874" s="23"/>
      <c r="H4874" s="23"/>
      <c r="I4874" s="330"/>
      <c r="J4874" s="330"/>
      <c r="K4874" s="23"/>
    </row>
    <row r="4875" spans="1:11" ht="12.75" x14ac:dyDescent="0.2">
      <c r="A4875" s="23"/>
      <c r="B4875" s="328"/>
      <c r="C4875" s="327"/>
      <c r="D4875" s="328"/>
      <c r="E4875" s="23"/>
      <c r="F4875" s="329"/>
      <c r="G4875" s="23"/>
      <c r="H4875" s="23"/>
      <c r="I4875" s="330"/>
      <c r="J4875" s="330"/>
      <c r="K4875" s="23"/>
    </row>
    <row r="4876" spans="1:11" ht="12.75" x14ac:dyDescent="0.2">
      <c r="A4876" s="23"/>
      <c r="B4876" s="328"/>
      <c r="C4876" s="327"/>
      <c r="D4876" s="328"/>
      <c r="E4876" s="23"/>
      <c r="F4876" s="329"/>
      <c r="G4876" s="23"/>
      <c r="H4876" s="23"/>
      <c r="I4876" s="330"/>
      <c r="J4876" s="330"/>
      <c r="K4876" s="23"/>
    </row>
    <row r="4877" spans="1:11" ht="12.75" x14ac:dyDescent="0.2">
      <c r="A4877" s="23"/>
      <c r="B4877" s="328"/>
      <c r="C4877" s="327"/>
      <c r="D4877" s="328"/>
      <c r="E4877" s="23"/>
      <c r="F4877" s="329"/>
      <c r="G4877" s="23"/>
      <c r="H4877" s="23"/>
      <c r="I4877" s="330"/>
      <c r="J4877" s="330"/>
      <c r="K4877" s="23"/>
    </row>
    <row r="4878" spans="1:11" ht="12.75" x14ac:dyDescent="0.2">
      <c r="A4878" s="23"/>
      <c r="B4878" s="328"/>
      <c r="C4878" s="327"/>
      <c r="D4878" s="328"/>
      <c r="E4878" s="23"/>
      <c r="F4878" s="329"/>
      <c r="G4878" s="23"/>
      <c r="H4878" s="23"/>
      <c r="I4878" s="330"/>
      <c r="J4878" s="330"/>
      <c r="K4878" s="23"/>
    </row>
    <row r="4879" spans="1:11" ht="12.75" x14ac:dyDescent="0.2">
      <c r="A4879" s="23"/>
      <c r="B4879" s="328"/>
      <c r="C4879" s="327"/>
      <c r="D4879" s="328"/>
      <c r="E4879" s="23"/>
      <c r="F4879" s="329"/>
      <c r="G4879" s="23"/>
      <c r="H4879" s="23"/>
      <c r="I4879" s="330"/>
      <c r="J4879" s="330"/>
      <c r="K4879" s="23"/>
    </row>
    <row r="4880" spans="1:11" ht="12.75" x14ac:dyDescent="0.2">
      <c r="A4880" s="23"/>
      <c r="B4880" s="328"/>
      <c r="C4880" s="327"/>
      <c r="D4880" s="328"/>
      <c r="E4880" s="23"/>
      <c r="F4880" s="329"/>
      <c r="G4880" s="23"/>
      <c r="H4880" s="23"/>
      <c r="I4880" s="330"/>
      <c r="J4880" s="330"/>
      <c r="K4880" s="23"/>
    </row>
    <row r="4881" spans="1:11" ht="12.75" x14ac:dyDescent="0.2">
      <c r="A4881" s="23"/>
      <c r="B4881" s="328"/>
      <c r="C4881" s="327"/>
      <c r="D4881" s="328"/>
      <c r="E4881" s="23"/>
      <c r="F4881" s="329"/>
      <c r="G4881" s="23"/>
      <c r="H4881" s="23"/>
      <c r="I4881" s="330"/>
      <c r="J4881" s="330"/>
      <c r="K4881" s="23"/>
    </row>
    <row r="4882" spans="1:11" ht="12.75" x14ac:dyDescent="0.2">
      <c r="A4882" s="23"/>
      <c r="B4882" s="328"/>
      <c r="C4882" s="327"/>
      <c r="D4882" s="328"/>
      <c r="E4882" s="23"/>
      <c r="F4882" s="329"/>
      <c r="G4882" s="23"/>
      <c r="H4882" s="23"/>
      <c r="I4882" s="330"/>
      <c r="J4882" s="330"/>
      <c r="K4882" s="23"/>
    </row>
    <row r="4883" spans="1:11" ht="12.75" x14ac:dyDescent="0.2">
      <c r="A4883" s="23"/>
      <c r="B4883" s="328"/>
      <c r="C4883" s="327"/>
      <c r="D4883" s="328"/>
      <c r="E4883" s="23"/>
      <c r="F4883" s="329"/>
      <c r="G4883" s="23"/>
      <c r="H4883" s="23"/>
      <c r="I4883" s="330"/>
      <c r="J4883" s="330"/>
      <c r="K4883" s="23"/>
    </row>
    <row r="4884" spans="1:11" ht="12.75" x14ac:dyDescent="0.2">
      <c r="A4884" s="23"/>
      <c r="B4884" s="328"/>
      <c r="C4884" s="327"/>
      <c r="D4884" s="328"/>
      <c r="E4884" s="23"/>
      <c r="F4884" s="329"/>
      <c r="G4884" s="23"/>
      <c r="H4884" s="23"/>
      <c r="I4884" s="330"/>
      <c r="J4884" s="330"/>
      <c r="K4884" s="23"/>
    </row>
    <row r="4885" spans="1:11" ht="12.75" x14ac:dyDescent="0.2">
      <c r="A4885" s="23"/>
      <c r="B4885" s="328"/>
      <c r="C4885" s="327"/>
      <c r="D4885" s="328"/>
      <c r="E4885" s="23"/>
      <c r="F4885" s="329"/>
      <c r="G4885" s="23"/>
      <c r="H4885" s="23"/>
      <c r="I4885" s="330"/>
      <c r="J4885" s="330"/>
      <c r="K4885" s="23"/>
    </row>
    <row r="4886" spans="1:11" ht="12.75" x14ac:dyDescent="0.2">
      <c r="A4886" s="23"/>
      <c r="B4886" s="328"/>
      <c r="C4886" s="327"/>
      <c r="D4886" s="328"/>
      <c r="E4886" s="23"/>
      <c r="F4886" s="329"/>
      <c r="G4886" s="23"/>
      <c r="H4886" s="23"/>
      <c r="I4886" s="330"/>
      <c r="J4886" s="330"/>
      <c r="K4886" s="23"/>
    </row>
    <row r="4887" spans="1:11" ht="12.75" x14ac:dyDescent="0.2">
      <c r="A4887" s="23"/>
      <c r="B4887" s="328"/>
      <c r="C4887" s="327"/>
      <c r="D4887" s="328"/>
      <c r="E4887" s="23"/>
      <c r="F4887" s="329"/>
      <c r="G4887" s="23"/>
      <c r="H4887" s="23"/>
      <c r="I4887" s="330"/>
      <c r="J4887" s="330"/>
      <c r="K4887" s="23"/>
    </row>
    <row r="4888" spans="1:11" ht="12.75" x14ac:dyDescent="0.2">
      <c r="A4888" s="23"/>
      <c r="B4888" s="328"/>
      <c r="C4888" s="327"/>
      <c r="D4888" s="328"/>
      <c r="E4888" s="23"/>
      <c r="F4888" s="329"/>
      <c r="G4888" s="23"/>
      <c r="H4888" s="23"/>
      <c r="I4888" s="330"/>
      <c r="J4888" s="330"/>
      <c r="K4888" s="23"/>
    </row>
    <row r="4889" spans="1:11" ht="12.75" x14ac:dyDescent="0.2">
      <c r="A4889" s="23"/>
      <c r="B4889" s="328"/>
      <c r="C4889" s="327"/>
      <c r="D4889" s="328"/>
      <c r="E4889" s="23"/>
      <c r="F4889" s="329"/>
      <c r="G4889" s="23"/>
      <c r="H4889" s="23"/>
      <c r="I4889" s="330"/>
      <c r="J4889" s="330"/>
      <c r="K4889" s="23"/>
    </row>
    <row r="4890" spans="1:11" ht="12.75" x14ac:dyDescent="0.2">
      <c r="A4890" s="23"/>
      <c r="B4890" s="328"/>
      <c r="C4890" s="327"/>
      <c r="D4890" s="328"/>
      <c r="E4890" s="23"/>
      <c r="F4890" s="329"/>
      <c r="G4890" s="23"/>
      <c r="H4890" s="23"/>
      <c r="I4890" s="330"/>
      <c r="J4890" s="330"/>
      <c r="K4890" s="23"/>
    </row>
    <row r="4891" spans="1:11" ht="12.75" x14ac:dyDescent="0.2">
      <c r="A4891" s="23"/>
      <c r="B4891" s="328"/>
      <c r="C4891" s="327"/>
      <c r="D4891" s="328"/>
      <c r="E4891" s="23"/>
      <c r="F4891" s="329"/>
      <c r="G4891" s="23"/>
      <c r="H4891" s="23"/>
      <c r="I4891" s="330"/>
      <c r="J4891" s="330"/>
      <c r="K4891" s="23"/>
    </row>
    <row r="4892" spans="1:11" ht="12.75" x14ac:dyDescent="0.2">
      <c r="A4892" s="23"/>
      <c r="B4892" s="328"/>
      <c r="C4892" s="327"/>
      <c r="D4892" s="328"/>
      <c r="E4892" s="23"/>
      <c r="F4892" s="329"/>
      <c r="G4892" s="23"/>
      <c r="H4892" s="23"/>
      <c r="I4892" s="330"/>
      <c r="J4892" s="330"/>
      <c r="K4892" s="23"/>
    </row>
    <row r="4893" spans="1:11" ht="12.75" x14ac:dyDescent="0.2">
      <c r="A4893" s="23"/>
      <c r="B4893" s="328"/>
      <c r="C4893" s="327"/>
      <c r="D4893" s="328"/>
      <c r="E4893" s="23"/>
      <c r="F4893" s="329"/>
      <c r="G4893" s="23"/>
      <c r="H4893" s="23"/>
      <c r="I4893" s="330"/>
      <c r="J4893" s="330"/>
      <c r="K4893" s="23"/>
    </row>
    <row r="4894" spans="1:11" ht="12.75" x14ac:dyDescent="0.2">
      <c r="A4894" s="23"/>
      <c r="B4894" s="328"/>
      <c r="C4894" s="327"/>
      <c r="D4894" s="328"/>
      <c r="E4894" s="23"/>
      <c r="F4894" s="329"/>
      <c r="G4894" s="23"/>
      <c r="H4894" s="23"/>
      <c r="I4894" s="330"/>
      <c r="J4894" s="330"/>
      <c r="K4894" s="23"/>
    </row>
    <row r="4895" spans="1:11" ht="12.75" x14ac:dyDescent="0.2">
      <c r="A4895" s="23"/>
      <c r="B4895" s="328"/>
      <c r="C4895" s="327"/>
      <c r="D4895" s="328"/>
      <c r="E4895" s="23"/>
      <c r="F4895" s="329"/>
      <c r="G4895" s="23"/>
      <c r="H4895" s="23"/>
      <c r="I4895" s="330"/>
      <c r="J4895" s="330"/>
      <c r="K4895" s="23"/>
    </row>
    <row r="4896" spans="1:11" ht="12.75" x14ac:dyDescent="0.2">
      <c r="A4896" s="23"/>
      <c r="B4896" s="328"/>
      <c r="C4896" s="327"/>
      <c r="D4896" s="328"/>
      <c r="E4896" s="23"/>
      <c r="F4896" s="329"/>
      <c r="G4896" s="23"/>
      <c r="H4896" s="23"/>
      <c r="I4896" s="330"/>
      <c r="J4896" s="330"/>
      <c r="K4896" s="23"/>
    </row>
    <row r="4897" spans="1:11" ht="12.75" x14ac:dyDescent="0.2">
      <c r="A4897" s="23"/>
      <c r="B4897" s="328"/>
      <c r="C4897" s="327"/>
      <c r="D4897" s="328"/>
      <c r="E4897" s="23"/>
      <c r="F4897" s="329"/>
      <c r="G4897" s="23"/>
      <c r="H4897" s="23"/>
      <c r="I4897" s="330"/>
      <c r="J4897" s="330"/>
      <c r="K4897" s="23"/>
    </row>
    <row r="4898" spans="1:11" ht="12.75" x14ac:dyDescent="0.2">
      <c r="A4898" s="23"/>
      <c r="B4898" s="328"/>
      <c r="C4898" s="327"/>
      <c r="D4898" s="328"/>
      <c r="E4898" s="23"/>
      <c r="F4898" s="329"/>
      <c r="G4898" s="23"/>
      <c r="H4898" s="23"/>
      <c r="I4898" s="330"/>
      <c r="J4898" s="330"/>
      <c r="K4898" s="23"/>
    </row>
    <row r="4899" spans="1:11" ht="12.75" x14ac:dyDescent="0.2">
      <c r="A4899" s="23"/>
      <c r="B4899" s="328"/>
      <c r="C4899" s="327"/>
      <c r="D4899" s="328"/>
      <c r="E4899" s="23"/>
      <c r="F4899" s="329"/>
      <c r="G4899" s="23"/>
      <c r="H4899" s="23"/>
      <c r="I4899" s="330"/>
      <c r="J4899" s="330"/>
      <c r="K4899" s="23"/>
    </row>
    <row r="4900" spans="1:11" ht="12.75" x14ac:dyDescent="0.2">
      <c r="A4900" s="23"/>
      <c r="B4900" s="328"/>
      <c r="C4900" s="327"/>
      <c r="D4900" s="328"/>
      <c r="E4900" s="23"/>
      <c r="F4900" s="329"/>
      <c r="G4900" s="23"/>
      <c r="H4900" s="23"/>
      <c r="I4900" s="330"/>
      <c r="J4900" s="330"/>
      <c r="K4900" s="23"/>
    </row>
    <row r="4901" spans="1:11" ht="12.75" x14ac:dyDescent="0.2">
      <c r="A4901" s="23"/>
      <c r="B4901" s="328"/>
      <c r="C4901" s="327"/>
      <c r="D4901" s="328"/>
      <c r="E4901" s="23"/>
      <c r="F4901" s="329"/>
      <c r="G4901" s="23"/>
      <c r="H4901" s="23"/>
      <c r="I4901" s="330"/>
      <c r="J4901" s="330"/>
      <c r="K4901" s="23"/>
    </row>
    <row r="4902" spans="1:11" ht="12.75" x14ac:dyDescent="0.2">
      <c r="A4902" s="23"/>
      <c r="B4902" s="328"/>
      <c r="C4902" s="327"/>
      <c r="D4902" s="328"/>
      <c r="E4902" s="23"/>
      <c r="F4902" s="329"/>
      <c r="G4902" s="23"/>
      <c r="H4902" s="23"/>
      <c r="I4902" s="330"/>
      <c r="J4902" s="330"/>
      <c r="K4902" s="23"/>
    </row>
    <row r="4903" spans="1:11" ht="12.75" x14ac:dyDescent="0.2">
      <c r="A4903" s="23"/>
      <c r="B4903" s="328"/>
      <c r="C4903" s="327"/>
      <c r="D4903" s="328"/>
      <c r="E4903" s="23"/>
      <c r="F4903" s="329"/>
      <c r="G4903" s="23"/>
      <c r="H4903" s="23"/>
      <c r="I4903" s="330"/>
      <c r="J4903" s="330"/>
      <c r="K4903" s="23"/>
    </row>
    <row r="4904" spans="1:11" ht="12.75" x14ac:dyDescent="0.2">
      <c r="A4904" s="23"/>
      <c r="B4904" s="328"/>
      <c r="C4904" s="327"/>
      <c r="D4904" s="328"/>
      <c r="E4904" s="23"/>
      <c r="F4904" s="329"/>
      <c r="G4904" s="23"/>
      <c r="H4904" s="23"/>
      <c r="I4904" s="330"/>
      <c r="J4904" s="330"/>
      <c r="K4904" s="23"/>
    </row>
    <row r="4905" spans="1:11" ht="12.75" x14ac:dyDescent="0.2">
      <c r="A4905" s="23"/>
      <c r="B4905" s="328"/>
      <c r="C4905" s="327"/>
      <c r="D4905" s="328"/>
      <c r="E4905" s="23"/>
      <c r="F4905" s="329"/>
      <c r="G4905" s="23"/>
      <c r="H4905" s="23"/>
      <c r="I4905" s="330"/>
      <c r="J4905" s="330"/>
      <c r="K4905" s="23"/>
    </row>
    <row r="4906" spans="1:11" ht="12.75" x14ac:dyDescent="0.2">
      <c r="A4906" s="23"/>
      <c r="B4906" s="328"/>
      <c r="C4906" s="327"/>
      <c r="D4906" s="328"/>
      <c r="E4906" s="23"/>
      <c r="F4906" s="329"/>
      <c r="G4906" s="23"/>
      <c r="H4906" s="23"/>
      <c r="I4906" s="330"/>
      <c r="J4906" s="330"/>
      <c r="K4906" s="23"/>
    </row>
    <row r="4907" spans="1:11" ht="12.75" x14ac:dyDescent="0.2">
      <c r="A4907" s="23"/>
      <c r="B4907" s="328"/>
      <c r="C4907" s="327"/>
      <c r="D4907" s="328"/>
      <c r="E4907" s="23"/>
      <c r="F4907" s="329"/>
      <c r="G4907" s="23"/>
      <c r="H4907" s="23"/>
      <c r="I4907" s="330"/>
      <c r="J4907" s="330"/>
      <c r="K4907" s="23"/>
    </row>
    <row r="4908" spans="1:11" ht="12.75" x14ac:dyDescent="0.2">
      <c r="A4908" s="23"/>
      <c r="B4908" s="328"/>
      <c r="C4908" s="327"/>
      <c r="D4908" s="328"/>
      <c r="E4908" s="23"/>
      <c r="F4908" s="329"/>
      <c r="G4908" s="23"/>
      <c r="H4908" s="23"/>
      <c r="I4908" s="330"/>
      <c r="J4908" s="330"/>
      <c r="K4908" s="23"/>
    </row>
    <row r="4909" spans="1:11" ht="12.75" x14ac:dyDescent="0.2">
      <c r="A4909" s="23"/>
      <c r="B4909" s="328"/>
      <c r="C4909" s="327"/>
      <c r="D4909" s="328"/>
      <c r="E4909" s="23"/>
      <c r="F4909" s="329"/>
      <c r="G4909" s="23"/>
      <c r="H4909" s="23"/>
      <c r="I4909" s="330"/>
      <c r="J4909" s="330"/>
      <c r="K4909" s="23"/>
    </row>
    <row r="4910" spans="1:11" ht="12.75" x14ac:dyDescent="0.2">
      <c r="A4910" s="23"/>
      <c r="B4910" s="328"/>
      <c r="C4910" s="327"/>
      <c r="D4910" s="328"/>
      <c r="E4910" s="23"/>
      <c r="F4910" s="329"/>
      <c r="G4910" s="23"/>
      <c r="H4910" s="23"/>
      <c r="I4910" s="330"/>
      <c r="J4910" s="330"/>
      <c r="K4910" s="23"/>
    </row>
    <row r="4911" spans="1:11" ht="12.75" x14ac:dyDescent="0.2">
      <c r="A4911" s="23"/>
      <c r="B4911" s="328"/>
      <c r="C4911" s="327"/>
      <c r="D4911" s="328"/>
      <c r="E4911" s="23"/>
      <c r="F4911" s="329"/>
      <c r="G4911" s="23"/>
      <c r="H4911" s="23"/>
      <c r="I4911" s="330"/>
      <c r="J4911" s="330"/>
      <c r="K4911" s="23"/>
    </row>
    <row r="4912" spans="1:11" ht="12.75" x14ac:dyDescent="0.2">
      <c r="A4912" s="23"/>
      <c r="B4912" s="328"/>
      <c r="C4912" s="327"/>
      <c r="D4912" s="328"/>
      <c r="E4912" s="23"/>
      <c r="F4912" s="329"/>
      <c r="G4912" s="23"/>
      <c r="H4912" s="23"/>
      <c r="I4912" s="330"/>
      <c r="J4912" s="330"/>
      <c r="K4912" s="23"/>
    </row>
    <row r="4913" spans="1:11" ht="12.75" x14ac:dyDescent="0.2">
      <c r="A4913" s="23"/>
      <c r="B4913" s="328"/>
      <c r="C4913" s="327"/>
      <c r="D4913" s="328"/>
      <c r="E4913" s="23"/>
      <c r="F4913" s="329"/>
      <c r="G4913" s="23"/>
      <c r="H4913" s="23"/>
      <c r="I4913" s="330"/>
      <c r="J4913" s="330"/>
      <c r="K4913" s="23"/>
    </row>
    <row r="4914" spans="1:11" ht="12.75" x14ac:dyDescent="0.2">
      <c r="A4914" s="23"/>
      <c r="B4914" s="328"/>
      <c r="C4914" s="327"/>
      <c r="D4914" s="328"/>
      <c r="E4914" s="23"/>
      <c r="F4914" s="329"/>
      <c r="G4914" s="23"/>
      <c r="H4914" s="23"/>
      <c r="I4914" s="330"/>
      <c r="J4914" s="330"/>
      <c r="K4914" s="23"/>
    </row>
    <row r="4915" spans="1:11" ht="12.75" x14ac:dyDescent="0.2">
      <c r="A4915" s="23"/>
      <c r="B4915" s="328"/>
      <c r="C4915" s="327"/>
      <c r="D4915" s="328"/>
      <c r="E4915" s="23"/>
      <c r="F4915" s="329"/>
      <c r="G4915" s="23"/>
      <c r="H4915" s="23"/>
      <c r="I4915" s="330"/>
      <c r="J4915" s="330"/>
      <c r="K4915" s="23"/>
    </row>
    <row r="4916" spans="1:11" ht="12.75" x14ac:dyDescent="0.2">
      <c r="A4916" s="23"/>
      <c r="B4916" s="328"/>
      <c r="C4916" s="327"/>
      <c r="D4916" s="328"/>
      <c r="E4916" s="23"/>
      <c r="F4916" s="329"/>
      <c r="G4916" s="23"/>
      <c r="H4916" s="23"/>
      <c r="I4916" s="330"/>
      <c r="J4916" s="330"/>
      <c r="K4916" s="23"/>
    </row>
    <row r="4917" spans="1:11" ht="12.75" x14ac:dyDescent="0.2">
      <c r="A4917" s="23"/>
      <c r="B4917" s="328"/>
      <c r="C4917" s="327"/>
      <c r="D4917" s="328"/>
      <c r="E4917" s="23"/>
      <c r="F4917" s="329"/>
      <c r="G4917" s="23"/>
      <c r="H4917" s="23"/>
      <c r="I4917" s="330"/>
      <c r="J4917" s="330"/>
      <c r="K4917" s="23"/>
    </row>
    <row r="4918" spans="1:11" ht="12.75" x14ac:dyDescent="0.2">
      <c r="A4918" s="23"/>
      <c r="B4918" s="328"/>
      <c r="C4918" s="327"/>
      <c r="D4918" s="328"/>
      <c r="E4918" s="23"/>
      <c r="F4918" s="329"/>
      <c r="G4918" s="23"/>
      <c r="H4918" s="23"/>
      <c r="I4918" s="330"/>
      <c r="J4918" s="330"/>
      <c r="K4918" s="23"/>
    </row>
    <row r="4919" spans="1:11" ht="12.75" x14ac:dyDescent="0.2">
      <c r="A4919" s="23"/>
      <c r="B4919" s="328"/>
      <c r="C4919" s="327"/>
      <c r="D4919" s="328"/>
      <c r="E4919" s="23"/>
      <c r="F4919" s="329"/>
      <c r="G4919" s="23"/>
      <c r="H4919" s="23"/>
      <c r="I4919" s="330"/>
      <c r="J4919" s="330"/>
      <c r="K4919" s="23"/>
    </row>
    <row r="4920" spans="1:11" ht="12.75" x14ac:dyDescent="0.2">
      <c r="A4920" s="23"/>
      <c r="B4920" s="328"/>
      <c r="C4920" s="327"/>
      <c r="D4920" s="328"/>
      <c r="E4920" s="23"/>
      <c r="F4920" s="329"/>
      <c r="G4920" s="23"/>
      <c r="H4920" s="23"/>
      <c r="I4920" s="330"/>
      <c r="J4920" s="330"/>
      <c r="K4920" s="23"/>
    </row>
    <row r="4921" spans="1:11" ht="12.75" x14ac:dyDescent="0.2">
      <c r="A4921" s="23"/>
      <c r="B4921" s="328"/>
      <c r="C4921" s="327"/>
      <c r="D4921" s="328"/>
      <c r="E4921" s="23"/>
      <c r="F4921" s="329"/>
      <c r="G4921" s="23"/>
      <c r="H4921" s="23"/>
      <c r="I4921" s="330"/>
      <c r="J4921" s="330"/>
      <c r="K4921" s="23"/>
    </row>
    <row r="4922" spans="1:11" ht="12.75" x14ac:dyDescent="0.2">
      <c r="A4922" s="23"/>
      <c r="B4922" s="328"/>
      <c r="C4922" s="327"/>
      <c r="D4922" s="328"/>
      <c r="E4922" s="23"/>
      <c r="F4922" s="329"/>
      <c r="G4922" s="23"/>
      <c r="H4922" s="23"/>
      <c r="I4922" s="330"/>
      <c r="J4922" s="330"/>
      <c r="K4922" s="23"/>
    </row>
    <row r="4923" spans="1:11" ht="12.75" x14ac:dyDescent="0.2">
      <c r="A4923" s="23"/>
      <c r="B4923" s="328"/>
      <c r="C4923" s="327"/>
      <c r="D4923" s="328"/>
      <c r="E4923" s="23"/>
      <c r="F4923" s="329"/>
      <c r="G4923" s="23"/>
      <c r="H4923" s="23"/>
      <c r="I4923" s="330"/>
      <c r="J4923" s="330"/>
      <c r="K4923" s="23"/>
    </row>
    <row r="4924" spans="1:11" ht="12.75" x14ac:dyDescent="0.2">
      <c r="A4924" s="23"/>
      <c r="B4924" s="328"/>
      <c r="C4924" s="327"/>
      <c r="D4924" s="328"/>
      <c r="E4924" s="23"/>
      <c r="F4924" s="329"/>
      <c r="G4924" s="23"/>
      <c r="H4924" s="23"/>
      <c r="I4924" s="330"/>
      <c r="J4924" s="330"/>
      <c r="K4924" s="23"/>
    </row>
    <row r="4925" spans="1:11" ht="12.75" x14ac:dyDescent="0.2">
      <c r="A4925" s="23"/>
      <c r="B4925" s="328"/>
      <c r="C4925" s="327"/>
      <c r="D4925" s="328"/>
      <c r="E4925" s="23"/>
      <c r="F4925" s="329"/>
      <c r="G4925" s="23"/>
      <c r="H4925" s="23"/>
      <c r="I4925" s="330"/>
      <c r="J4925" s="330"/>
      <c r="K4925" s="23"/>
    </row>
    <row r="4926" spans="1:11" ht="12.75" x14ac:dyDescent="0.2">
      <c r="A4926" s="23"/>
      <c r="B4926" s="328"/>
      <c r="C4926" s="327"/>
      <c r="D4926" s="328"/>
      <c r="E4926" s="23"/>
      <c r="F4926" s="329"/>
      <c r="G4926" s="23"/>
      <c r="H4926" s="23"/>
      <c r="I4926" s="330"/>
      <c r="J4926" s="330"/>
      <c r="K4926" s="23"/>
    </row>
    <row r="4927" spans="1:11" ht="12.75" x14ac:dyDescent="0.2">
      <c r="A4927" s="23"/>
      <c r="B4927" s="328"/>
      <c r="C4927" s="327"/>
      <c r="D4927" s="328"/>
      <c r="E4927" s="23"/>
      <c r="F4927" s="329"/>
      <c r="G4927" s="23"/>
      <c r="H4927" s="23"/>
      <c r="I4927" s="330"/>
      <c r="J4927" s="330"/>
      <c r="K4927" s="23"/>
    </row>
    <row r="4928" spans="1:11" ht="12.75" x14ac:dyDescent="0.2">
      <c r="A4928" s="23"/>
      <c r="B4928" s="328"/>
      <c r="C4928" s="327"/>
      <c r="D4928" s="328"/>
      <c r="E4928" s="23"/>
      <c r="F4928" s="329"/>
      <c r="G4928" s="23"/>
      <c r="H4928" s="23"/>
      <c r="I4928" s="330"/>
      <c r="J4928" s="330"/>
      <c r="K4928" s="23"/>
    </row>
    <row r="4929" spans="1:11" ht="12.75" x14ac:dyDescent="0.2">
      <c r="A4929" s="23"/>
      <c r="B4929" s="328"/>
      <c r="C4929" s="327"/>
      <c r="D4929" s="328"/>
      <c r="E4929" s="23"/>
      <c r="F4929" s="329"/>
      <c r="G4929" s="23"/>
      <c r="H4929" s="23"/>
      <c r="I4929" s="330"/>
      <c r="J4929" s="330"/>
      <c r="K4929" s="23"/>
    </row>
    <row r="4930" spans="1:11" ht="12.75" x14ac:dyDescent="0.2">
      <c r="A4930" s="23"/>
      <c r="B4930" s="328"/>
      <c r="C4930" s="327"/>
      <c r="D4930" s="328"/>
      <c r="E4930" s="23"/>
      <c r="F4930" s="329"/>
      <c r="G4930" s="23"/>
      <c r="H4930" s="23"/>
      <c r="I4930" s="330"/>
      <c r="J4930" s="330"/>
      <c r="K4930" s="23"/>
    </row>
    <row r="4931" spans="1:11" ht="12.75" x14ac:dyDescent="0.2">
      <c r="A4931" s="23"/>
      <c r="B4931" s="328"/>
      <c r="C4931" s="327"/>
      <c r="D4931" s="328"/>
      <c r="E4931" s="23"/>
      <c r="F4931" s="329"/>
      <c r="G4931" s="23"/>
      <c r="H4931" s="23"/>
      <c r="I4931" s="330"/>
      <c r="J4931" s="330"/>
      <c r="K4931" s="23"/>
    </row>
    <row r="4932" spans="1:11" ht="12.75" x14ac:dyDescent="0.2">
      <c r="A4932" s="23"/>
      <c r="B4932" s="328"/>
      <c r="C4932" s="327"/>
      <c r="D4932" s="328"/>
      <c r="E4932" s="23"/>
      <c r="F4932" s="329"/>
      <c r="G4932" s="23"/>
      <c r="H4932" s="23"/>
      <c r="I4932" s="330"/>
      <c r="J4932" s="330"/>
      <c r="K4932" s="23"/>
    </row>
    <row r="4933" spans="1:11" ht="12.75" x14ac:dyDescent="0.2">
      <c r="A4933" s="23"/>
      <c r="B4933" s="328"/>
      <c r="C4933" s="327"/>
      <c r="D4933" s="328"/>
      <c r="E4933" s="23"/>
      <c r="F4933" s="329"/>
      <c r="G4933" s="23"/>
      <c r="H4933" s="23"/>
      <c r="I4933" s="330"/>
      <c r="J4933" s="330"/>
      <c r="K4933" s="23"/>
    </row>
    <row r="4934" spans="1:11" ht="12.75" x14ac:dyDescent="0.2">
      <c r="A4934" s="23"/>
      <c r="B4934" s="328"/>
      <c r="C4934" s="327"/>
      <c r="D4934" s="328"/>
      <c r="E4934" s="23"/>
      <c r="F4934" s="329"/>
      <c r="G4934" s="23"/>
      <c r="H4934" s="23"/>
      <c r="I4934" s="330"/>
      <c r="J4934" s="330"/>
      <c r="K4934" s="23"/>
    </row>
    <row r="4935" spans="1:11" ht="12.75" x14ac:dyDescent="0.2">
      <c r="A4935" s="23"/>
      <c r="B4935" s="328"/>
      <c r="C4935" s="327"/>
      <c r="D4935" s="328"/>
      <c r="E4935" s="23"/>
      <c r="F4935" s="329"/>
      <c r="G4935" s="23"/>
      <c r="H4935" s="23"/>
      <c r="I4935" s="330"/>
      <c r="J4935" s="330"/>
      <c r="K4935" s="23"/>
    </row>
    <row r="4936" spans="1:11" ht="12.75" x14ac:dyDescent="0.2">
      <c r="A4936" s="23"/>
      <c r="B4936" s="328"/>
      <c r="C4936" s="327"/>
      <c r="D4936" s="328"/>
      <c r="E4936" s="23"/>
      <c r="F4936" s="329"/>
      <c r="G4936" s="23"/>
      <c r="H4936" s="23"/>
      <c r="I4936" s="330"/>
      <c r="J4936" s="330"/>
      <c r="K4936" s="23"/>
    </row>
    <row r="4937" spans="1:11" ht="12.75" x14ac:dyDescent="0.2">
      <c r="A4937" s="23"/>
      <c r="B4937" s="328"/>
      <c r="C4937" s="327"/>
      <c r="D4937" s="328"/>
      <c r="E4937" s="23"/>
      <c r="F4937" s="329"/>
      <c r="G4937" s="23"/>
      <c r="H4937" s="23"/>
      <c r="I4937" s="330"/>
      <c r="J4937" s="330"/>
      <c r="K4937" s="23"/>
    </row>
    <row r="4938" spans="1:11" ht="12.75" x14ac:dyDescent="0.2">
      <c r="A4938" s="23"/>
      <c r="B4938" s="328"/>
      <c r="C4938" s="327"/>
      <c r="D4938" s="328"/>
      <c r="E4938" s="23"/>
      <c r="F4938" s="329"/>
      <c r="G4938" s="23"/>
      <c r="H4938" s="23"/>
      <c r="I4938" s="330"/>
      <c r="J4938" s="330"/>
      <c r="K4938" s="23"/>
    </row>
    <row r="4939" spans="1:11" ht="12.75" x14ac:dyDescent="0.2">
      <c r="A4939" s="23"/>
      <c r="B4939" s="328"/>
      <c r="C4939" s="327"/>
      <c r="D4939" s="328"/>
      <c r="E4939" s="23"/>
      <c r="F4939" s="329"/>
      <c r="G4939" s="23"/>
      <c r="H4939" s="23"/>
      <c r="I4939" s="330"/>
      <c r="J4939" s="330"/>
      <c r="K4939" s="23"/>
    </row>
    <row r="4940" spans="1:11" ht="12.75" x14ac:dyDescent="0.2">
      <c r="A4940" s="23"/>
      <c r="B4940" s="328"/>
      <c r="C4940" s="327"/>
      <c r="D4940" s="328"/>
      <c r="E4940" s="23"/>
      <c r="F4940" s="329"/>
      <c r="G4940" s="23"/>
      <c r="H4940" s="23"/>
      <c r="I4940" s="330"/>
      <c r="J4940" s="330"/>
      <c r="K4940" s="23"/>
    </row>
    <row r="4941" spans="1:11" ht="12.75" x14ac:dyDescent="0.2">
      <c r="A4941" s="23"/>
      <c r="B4941" s="328"/>
      <c r="C4941" s="327"/>
      <c r="D4941" s="328"/>
      <c r="E4941" s="23"/>
      <c r="F4941" s="329"/>
      <c r="G4941" s="23"/>
      <c r="H4941" s="23"/>
      <c r="I4941" s="330"/>
      <c r="J4941" s="330"/>
      <c r="K4941" s="23"/>
    </row>
    <row r="4942" spans="1:11" ht="12.75" x14ac:dyDescent="0.2">
      <c r="A4942" s="23"/>
      <c r="B4942" s="328"/>
      <c r="C4942" s="327"/>
      <c r="D4942" s="328"/>
      <c r="E4942" s="23"/>
      <c r="F4942" s="329"/>
      <c r="G4942" s="23"/>
      <c r="H4942" s="23"/>
      <c r="I4942" s="330"/>
      <c r="J4942" s="330"/>
      <c r="K4942" s="23"/>
    </row>
    <row r="4943" spans="1:11" ht="12.75" x14ac:dyDescent="0.2">
      <c r="A4943" s="23"/>
      <c r="B4943" s="328"/>
      <c r="C4943" s="327"/>
      <c r="D4943" s="328"/>
      <c r="E4943" s="23"/>
      <c r="F4943" s="329"/>
      <c r="G4943" s="23"/>
      <c r="H4943" s="23"/>
      <c r="I4943" s="330"/>
      <c r="J4943" s="330"/>
      <c r="K4943" s="23"/>
    </row>
    <row r="4944" spans="1:11" ht="12.75" x14ac:dyDescent="0.2">
      <c r="A4944" s="23"/>
      <c r="B4944" s="328"/>
      <c r="C4944" s="327"/>
      <c r="D4944" s="328"/>
      <c r="E4944" s="23"/>
      <c r="F4944" s="329"/>
      <c r="G4944" s="23"/>
      <c r="H4944" s="23"/>
      <c r="I4944" s="330"/>
      <c r="J4944" s="330"/>
      <c r="K4944" s="23"/>
    </row>
    <row r="4945" spans="1:11" ht="12.75" x14ac:dyDescent="0.2">
      <c r="A4945" s="23"/>
      <c r="B4945" s="328"/>
      <c r="C4945" s="327"/>
      <c r="D4945" s="328"/>
      <c r="E4945" s="23"/>
      <c r="F4945" s="329"/>
      <c r="G4945" s="23"/>
      <c r="H4945" s="23"/>
      <c r="I4945" s="330"/>
      <c r="J4945" s="330"/>
      <c r="K4945" s="23"/>
    </row>
    <row r="4946" spans="1:11" ht="12.75" x14ac:dyDescent="0.2">
      <c r="A4946" s="23"/>
      <c r="B4946" s="328"/>
      <c r="C4946" s="327"/>
      <c r="D4946" s="328"/>
      <c r="E4946" s="23"/>
      <c r="F4946" s="329"/>
      <c r="G4946" s="23"/>
      <c r="H4946" s="23"/>
      <c r="I4946" s="330"/>
      <c r="J4946" s="330"/>
      <c r="K4946" s="23"/>
    </row>
    <row r="4947" spans="1:11" ht="12.75" x14ac:dyDescent="0.2">
      <c r="A4947" s="23"/>
      <c r="B4947" s="328"/>
      <c r="C4947" s="327"/>
      <c r="D4947" s="328"/>
      <c r="E4947" s="23"/>
      <c r="F4947" s="329"/>
      <c r="G4947" s="23"/>
      <c r="H4947" s="23"/>
      <c r="I4947" s="330"/>
      <c r="J4947" s="330"/>
      <c r="K4947" s="23"/>
    </row>
    <row r="4948" spans="1:11" ht="12.75" x14ac:dyDescent="0.2">
      <c r="A4948" s="23"/>
      <c r="B4948" s="328"/>
      <c r="C4948" s="327"/>
      <c r="D4948" s="328"/>
      <c r="E4948" s="23"/>
      <c r="F4948" s="329"/>
      <c r="G4948" s="23"/>
      <c r="H4948" s="23"/>
      <c r="I4948" s="330"/>
      <c r="J4948" s="330"/>
      <c r="K4948" s="23"/>
    </row>
    <row r="4949" spans="1:11" ht="12.75" x14ac:dyDescent="0.2">
      <c r="A4949" s="23"/>
      <c r="B4949" s="328"/>
      <c r="C4949" s="327"/>
      <c r="D4949" s="328"/>
      <c r="E4949" s="23"/>
      <c r="F4949" s="329"/>
      <c r="G4949" s="23"/>
      <c r="H4949" s="23"/>
      <c r="I4949" s="330"/>
      <c r="J4949" s="330"/>
      <c r="K4949" s="23"/>
    </row>
    <row r="4950" spans="1:11" ht="12.75" x14ac:dyDescent="0.2">
      <c r="A4950" s="23"/>
      <c r="B4950" s="328"/>
      <c r="C4950" s="327"/>
      <c r="D4950" s="328"/>
      <c r="E4950" s="23"/>
      <c r="F4950" s="329"/>
      <c r="G4950" s="23"/>
      <c r="H4950" s="23"/>
      <c r="I4950" s="330"/>
      <c r="J4950" s="330"/>
      <c r="K4950" s="23"/>
    </row>
    <row r="4951" spans="1:11" ht="12.75" x14ac:dyDescent="0.2">
      <c r="A4951" s="23"/>
      <c r="B4951" s="328"/>
      <c r="C4951" s="327"/>
      <c r="D4951" s="328"/>
      <c r="E4951" s="23"/>
      <c r="F4951" s="329"/>
      <c r="G4951" s="23"/>
      <c r="H4951" s="23"/>
      <c r="I4951" s="330"/>
      <c r="J4951" s="330"/>
      <c r="K4951" s="23"/>
    </row>
    <row r="4952" spans="1:11" ht="12.75" x14ac:dyDescent="0.2">
      <c r="A4952" s="23"/>
      <c r="B4952" s="328"/>
      <c r="C4952" s="327"/>
      <c r="D4952" s="328"/>
      <c r="E4952" s="23"/>
      <c r="F4952" s="329"/>
      <c r="G4952" s="23"/>
      <c r="H4952" s="23"/>
      <c r="I4952" s="330"/>
      <c r="J4952" s="330"/>
      <c r="K4952" s="23"/>
    </row>
    <row r="4953" spans="1:11" ht="12.75" x14ac:dyDescent="0.2">
      <c r="A4953" s="23"/>
      <c r="B4953" s="328"/>
      <c r="C4953" s="327"/>
      <c r="D4953" s="328"/>
      <c r="E4953" s="23"/>
      <c r="F4953" s="329"/>
      <c r="G4953" s="23"/>
      <c r="H4953" s="23"/>
      <c r="I4953" s="330"/>
      <c r="J4953" s="330"/>
      <c r="K4953" s="23"/>
    </row>
    <row r="4954" spans="1:11" ht="12.75" x14ac:dyDescent="0.2">
      <c r="A4954" s="23"/>
      <c r="B4954" s="328"/>
      <c r="C4954" s="327"/>
      <c r="D4954" s="328"/>
      <c r="E4954" s="23"/>
      <c r="F4954" s="329"/>
      <c r="G4954" s="23"/>
      <c r="H4954" s="23"/>
      <c r="I4954" s="330"/>
      <c r="J4954" s="330"/>
      <c r="K4954" s="23"/>
    </row>
    <row r="4955" spans="1:11" ht="12.75" x14ac:dyDescent="0.2">
      <c r="A4955" s="23"/>
      <c r="B4955" s="328"/>
      <c r="C4955" s="327"/>
      <c r="D4955" s="328"/>
      <c r="E4955" s="23"/>
      <c r="F4955" s="329"/>
      <c r="G4955" s="23"/>
      <c r="H4955" s="23"/>
      <c r="I4955" s="330"/>
      <c r="J4955" s="330"/>
      <c r="K4955" s="23"/>
    </row>
    <row r="4956" spans="1:11" ht="12.75" x14ac:dyDescent="0.2">
      <c r="A4956" s="23"/>
      <c r="B4956" s="328"/>
      <c r="C4956" s="327"/>
      <c r="D4956" s="328"/>
      <c r="E4956" s="23"/>
      <c r="F4956" s="329"/>
      <c r="G4956" s="23"/>
      <c r="H4956" s="23"/>
      <c r="I4956" s="330"/>
      <c r="J4956" s="330"/>
      <c r="K4956" s="23"/>
    </row>
    <row r="4957" spans="1:11" ht="12.75" x14ac:dyDescent="0.2">
      <c r="A4957" s="23"/>
      <c r="B4957" s="328"/>
      <c r="C4957" s="327"/>
      <c r="D4957" s="328"/>
      <c r="E4957" s="23"/>
      <c r="F4957" s="329"/>
      <c r="G4957" s="23"/>
      <c r="H4957" s="23"/>
      <c r="I4957" s="330"/>
      <c r="J4957" s="330"/>
      <c r="K4957" s="23"/>
    </row>
    <row r="4958" spans="1:11" ht="12.75" x14ac:dyDescent="0.2">
      <c r="A4958" s="23"/>
      <c r="B4958" s="328"/>
      <c r="C4958" s="327"/>
      <c r="D4958" s="328"/>
      <c r="E4958" s="23"/>
      <c r="F4958" s="329"/>
      <c r="G4958" s="23"/>
      <c r="H4958" s="23"/>
      <c r="I4958" s="330"/>
      <c r="J4958" s="330"/>
      <c r="K4958" s="23"/>
    </row>
    <row r="4959" spans="1:11" ht="12.75" x14ac:dyDescent="0.2">
      <c r="A4959" s="23"/>
      <c r="B4959" s="328"/>
      <c r="C4959" s="327"/>
      <c r="D4959" s="328"/>
      <c r="E4959" s="23"/>
      <c r="F4959" s="329"/>
      <c r="G4959" s="23"/>
      <c r="H4959" s="23"/>
      <c r="I4959" s="330"/>
      <c r="J4959" s="330"/>
      <c r="K4959" s="23"/>
    </row>
    <row r="4960" spans="1:11" ht="12.75" x14ac:dyDescent="0.2">
      <c r="A4960" s="23"/>
      <c r="B4960" s="328"/>
      <c r="C4960" s="327"/>
      <c r="D4960" s="328"/>
      <c r="E4960" s="23"/>
      <c r="F4960" s="329"/>
      <c r="G4960" s="23"/>
      <c r="H4960" s="23"/>
      <c r="I4960" s="330"/>
      <c r="J4960" s="330"/>
      <c r="K4960" s="23"/>
    </row>
    <row r="4961" spans="1:11" ht="12.75" x14ac:dyDescent="0.2">
      <c r="A4961" s="23"/>
      <c r="B4961" s="328"/>
      <c r="C4961" s="327"/>
      <c r="D4961" s="328"/>
      <c r="E4961" s="23"/>
      <c r="F4961" s="329"/>
      <c r="G4961" s="23"/>
      <c r="H4961" s="23"/>
      <c r="I4961" s="330"/>
      <c r="J4961" s="330"/>
      <c r="K4961" s="23"/>
    </row>
    <row r="4962" spans="1:11" ht="12.75" x14ac:dyDescent="0.2">
      <c r="A4962" s="23"/>
      <c r="B4962" s="328"/>
      <c r="C4962" s="327"/>
      <c r="D4962" s="328"/>
      <c r="E4962" s="23"/>
      <c r="F4962" s="329"/>
      <c r="G4962" s="23"/>
      <c r="H4962" s="23"/>
      <c r="I4962" s="330"/>
      <c r="J4962" s="330"/>
      <c r="K4962" s="23"/>
    </row>
    <row r="4963" spans="1:11" ht="12.75" x14ac:dyDescent="0.2">
      <c r="A4963" s="23"/>
      <c r="B4963" s="328"/>
      <c r="C4963" s="327"/>
      <c r="D4963" s="328"/>
      <c r="E4963" s="23"/>
      <c r="F4963" s="329"/>
      <c r="G4963" s="23"/>
      <c r="H4963" s="23"/>
      <c r="I4963" s="330"/>
      <c r="J4963" s="330"/>
      <c r="K4963" s="23"/>
    </row>
    <row r="4964" spans="1:11" ht="12.75" x14ac:dyDescent="0.2">
      <c r="A4964" s="23"/>
      <c r="B4964" s="328"/>
      <c r="C4964" s="327"/>
      <c r="D4964" s="328"/>
      <c r="E4964" s="23"/>
      <c r="F4964" s="329"/>
      <c r="G4964" s="23"/>
      <c r="H4964" s="23"/>
      <c r="I4964" s="330"/>
      <c r="J4964" s="330"/>
      <c r="K4964" s="23"/>
    </row>
    <row r="4965" spans="1:11" ht="12.75" x14ac:dyDescent="0.2">
      <c r="A4965" s="23"/>
      <c r="B4965" s="328"/>
      <c r="C4965" s="327"/>
      <c r="D4965" s="328"/>
      <c r="E4965" s="23"/>
      <c r="F4965" s="329"/>
      <c r="G4965" s="23"/>
      <c r="H4965" s="23"/>
      <c r="I4965" s="330"/>
      <c r="J4965" s="330"/>
      <c r="K4965" s="23"/>
    </row>
    <row r="4966" spans="1:11" ht="12.75" x14ac:dyDescent="0.2">
      <c r="A4966" s="23"/>
      <c r="B4966" s="328"/>
      <c r="C4966" s="327"/>
      <c r="D4966" s="328"/>
      <c r="E4966" s="23"/>
      <c r="F4966" s="329"/>
      <c r="G4966" s="23"/>
      <c r="H4966" s="23"/>
      <c r="I4966" s="330"/>
      <c r="J4966" s="330"/>
      <c r="K4966" s="23"/>
    </row>
    <row r="4967" spans="1:11" ht="12.75" x14ac:dyDescent="0.2">
      <c r="A4967" s="23"/>
      <c r="B4967" s="328"/>
      <c r="C4967" s="327"/>
      <c r="D4967" s="328"/>
      <c r="E4967" s="23"/>
      <c r="F4967" s="329"/>
      <c r="G4967" s="23"/>
      <c r="H4967" s="23"/>
      <c r="I4967" s="330"/>
      <c r="J4967" s="330"/>
      <c r="K4967" s="23"/>
    </row>
    <row r="4968" spans="1:11" ht="12.75" x14ac:dyDescent="0.2">
      <c r="A4968" s="23"/>
      <c r="B4968" s="328"/>
      <c r="C4968" s="327"/>
      <c r="D4968" s="328"/>
      <c r="E4968" s="23"/>
      <c r="F4968" s="329"/>
      <c r="G4968" s="23"/>
      <c r="H4968" s="23"/>
      <c r="I4968" s="330"/>
      <c r="J4968" s="330"/>
      <c r="K4968" s="23"/>
    </row>
    <row r="4969" spans="1:11" ht="12.75" x14ac:dyDescent="0.2">
      <c r="A4969" s="23"/>
      <c r="B4969" s="328"/>
      <c r="C4969" s="327"/>
      <c r="D4969" s="328"/>
      <c r="E4969" s="23"/>
      <c r="F4969" s="329"/>
      <c r="G4969" s="23"/>
      <c r="H4969" s="23"/>
      <c r="I4969" s="330"/>
      <c r="J4969" s="330"/>
      <c r="K4969" s="23"/>
    </row>
    <row r="4970" spans="1:11" ht="12.75" x14ac:dyDescent="0.2">
      <c r="A4970" s="23"/>
      <c r="B4970" s="328"/>
      <c r="C4970" s="327"/>
      <c r="D4970" s="328"/>
      <c r="E4970" s="23"/>
      <c r="F4970" s="329"/>
      <c r="G4970" s="23"/>
      <c r="H4970" s="23"/>
      <c r="I4970" s="330"/>
      <c r="J4970" s="330"/>
      <c r="K4970" s="23"/>
    </row>
    <row r="4971" spans="1:11" ht="12.75" x14ac:dyDescent="0.2">
      <c r="A4971" s="23"/>
      <c r="B4971" s="328"/>
      <c r="C4971" s="327"/>
      <c r="D4971" s="328"/>
      <c r="E4971" s="23"/>
      <c r="F4971" s="329"/>
      <c r="G4971" s="23"/>
      <c r="H4971" s="23"/>
      <c r="I4971" s="330"/>
      <c r="J4971" s="330"/>
      <c r="K4971" s="23"/>
    </row>
    <row r="4972" spans="1:11" ht="12.75" x14ac:dyDescent="0.2">
      <c r="A4972" s="23"/>
      <c r="B4972" s="328"/>
      <c r="C4972" s="327"/>
      <c r="D4972" s="328"/>
      <c r="E4972" s="23"/>
      <c r="F4972" s="329"/>
      <c r="G4972" s="23"/>
      <c r="H4972" s="23"/>
      <c r="I4972" s="330"/>
      <c r="J4972" s="330"/>
      <c r="K4972" s="23"/>
    </row>
    <row r="4973" spans="1:11" ht="12.75" x14ac:dyDescent="0.2">
      <c r="A4973" s="23"/>
      <c r="B4973" s="328"/>
      <c r="C4973" s="327"/>
      <c r="D4973" s="328"/>
      <c r="E4973" s="23"/>
      <c r="F4973" s="329"/>
      <c r="G4973" s="23"/>
      <c r="H4973" s="23"/>
      <c r="I4973" s="330"/>
      <c r="J4973" s="330"/>
      <c r="K4973" s="23"/>
    </row>
    <row r="4974" spans="1:11" ht="12.75" x14ac:dyDescent="0.2">
      <c r="A4974" s="23"/>
      <c r="B4974" s="328"/>
      <c r="C4974" s="327"/>
      <c r="D4974" s="328"/>
      <c r="E4974" s="23"/>
      <c r="F4974" s="329"/>
      <c r="G4974" s="23"/>
      <c r="H4974" s="23"/>
      <c r="I4974" s="330"/>
      <c r="J4974" s="330"/>
      <c r="K4974" s="23"/>
    </row>
    <row r="4975" spans="1:11" ht="12.75" x14ac:dyDescent="0.2">
      <c r="A4975" s="23"/>
      <c r="B4975" s="328"/>
      <c r="C4975" s="327"/>
      <c r="D4975" s="328"/>
      <c r="E4975" s="23"/>
      <c r="F4975" s="329"/>
      <c r="G4975" s="23"/>
      <c r="H4975" s="23"/>
      <c r="I4975" s="330"/>
      <c r="J4975" s="330"/>
      <c r="K4975" s="23"/>
    </row>
    <row r="4976" spans="1:11" ht="12.75" x14ac:dyDescent="0.2">
      <c r="A4976" s="23"/>
      <c r="B4976" s="328"/>
      <c r="C4976" s="327"/>
      <c r="D4976" s="328"/>
      <c r="E4976" s="23"/>
      <c r="F4976" s="329"/>
      <c r="G4976" s="23"/>
      <c r="H4976" s="23"/>
      <c r="I4976" s="330"/>
      <c r="J4976" s="330"/>
      <c r="K4976" s="23"/>
    </row>
    <row r="4977" spans="1:11" ht="12.75" x14ac:dyDescent="0.2">
      <c r="A4977" s="23"/>
      <c r="B4977" s="328"/>
      <c r="C4977" s="327"/>
      <c r="D4977" s="328"/>
      <c r="E4977" s="23"/>
      <c r="F4977" s="329"/>
      <c r="G4977" s="23"/>
      <c r="H4977" s="23"/>
      <c r="I4977" s="330"/>
      <c r="J4977" s="330"/>
      <c r="K4977" s="23"/>
    </row>
    <row r="4978" spans="1:11" ht="12.75" x14ac:dyDescent="0.2">
      <c r="A4978" s="23"/>
      <c r="B4978" s="328"/>
      <c r="C4978" s="327"/>
      <c r="D4978" s="328"/>
      <c r="E4978" s="23"/>
      <c r="F4978" s="329"/>
      <c r="G4978" s="23"/>
      <c r="H4978" s="23"/>
      <c r="I4978" s="330"/>
      <c r="J4978" s="330"/>
      <c r="K4978" s="23"/>
    </row>
    <row r="4979" spans="1:11" ht="12.75" x14ac:dyDescent="0.2">
      <c r="A4979" s="23"/>
      <c r="B4979" s="328"/>
      <c r="C4979" s="327"/>
      <c r="D4979" s="328"/>
      <c r="E4979" s="23"/>
      <c r="F4979" s="329"/>
      <c r="G4979" s="23"/>
      <c r="H4979" s="23"/>
      <c r="I4979" s="330"/>
      <c r="J4979" s="330"/>
      <c r="K4979" s="23"/>
    </row>
    <row r="4980" spans="1:11" ht="12.75" x14ac:dyDescent="0.2">
      <c r="A4980" s="23"/>
      <c r="B4980" s="328"/>
      <c r="C4980" s="327"/>
      <c r="D4980" s="328"/>
      <c r="E4980" s="23"/>
      <c r="F4980" s="329"/>
      <c r="G4980" s="23"/>
      <c r="H4980" s="23"/>
      <c r="I4980" s="330"/>
      <c r="J4980" s="330"/>
      <c r="K4980" s="23"/>
    </row>
    <row r="4981" spans="1:11" ht="12.75" x14ac:dyDescent="0.2">
      <c r="A4981" s="23"/>
      <c r="B4981" s="328"/>
      <c r="C4981" s="327"/>
      <c r="D4981" s="328"/>
      <c r="E4981" s="23"/>
      <c r="F4981" s="329"/>
      <c r="G4981" s="23"/>
      <c r="H4981" s="23"/>
      <c r="I4981" s="330"/>
      <c r="J4981" s="330"/>
      <c r="K4981" s="23"/>
    </row>
    <row r="4982" spans="1:11" ht="12.75" x14ac:dyDescent="0.2">
      <c r="A4982" s="23"/>
      <c r="B4982" s="328"/>
      <c r="C4982" s="327"/>
      <c r="D4982" s="328"/>
      <c r="E4982" s="23"/>
      <c r="F4982" s="329"/>
      <c r="G4982" s="23"/>
      <c r="H4982" s="23"/>
      <c r="I4982" s="330"/>
      <c r="J4982" s="330"/>
      <c r="K4982" s="23"/>
    </row>
    <row r="4983" spans="1:11" ht="12.75" x14ac:dyDescent="0.2">
      <c r="A4983" s="23"/>
      <c r="B4983" s="328"/>
      <c r="C4983" s="327"/>
      <c r="D4983" s="328"/>
      <c r="E4983" s="23"/>
      <c r="F4983" s="329"/>
      <c r="G4983" s="23"/>
      <c r="H4983" s="23"/>
      <c r="I4983" s="330"/>
      <c r="J4983" s="330"/>
      <c r="K4983" s="23"/>
    </row>
    <row r="4984" spans="1:11" ht="12.75" x14ac:dyDescent="0.2">
      <c r="A4984" s="23"/>
      <c r="B4984" s="328"/>
      <c r="C4984" s="327"/>
      <c r="D4984" s="328"/>
      <c r="E4984" s="23"/>
      <c r="F4984" s="329"/>
      <c r="G4984" s="23"/>
      <c r="H4984" s="23"/>
      <c r="I4984" s="330"/>
      <c r="J4984" s="330"/>
      <c r="K4984" s="23"/>
    </row>
    <row r="4985" spans="1:11" ht="12.75" x14ac:dyDescent="0.2">
      <c r="A4985" s="23"/>
      <c r="B4985" s="328"/>
      <c r="C4985" s="327"/>
      <c r="D4985" s="328"/>
      <c r="E4985" s="23"/>
      <c r="F4985" s="329"/>
      <c r="G4985" s="23"/>
      <c r="H4985" s="23"/>
      <c r="I4985" s="330"/>
      <c r="J4985" s="330"/>
      <c r="K4985" s="23"/>
    </row>
    <row r="4986" spans="1:11" ht="12.75" x14ac:dyDescent="0.2">
      <c r="A4986" s="23"/>
      <c r="B4986" s="328"/>
      <c r="C4986" s="327"/>
      <c r="D4986" s="328"/>
      <c r="E4986" s="23"/>
      <c r="F4986" s="329"/>
      <c r="G4986" s="23"/>
      <c r="H4986" s="23"/>
      <c r="I4986" s="330"/>
      <c r="J4986" s="330"/>
      <c r="K4986" s="23"/>
    </row>
    <row r="4987" spans="1:11" ht="12.75" x14ac:dyDescent="0.2">
      <c r="A4987" s="23"/>
      <c r="B4987" s="328"/>
      <c r="C4987" s="327"/>
      <c r="D4987" s="328"/>
      <c r="E4987" s="23"/>
      <c r="F4987" s="329"/>
      <c r="G4987" s="23"/>
      <c r="H4987" s="23"/>
      <c r="I4987" s="330"/>
      <c r="J4987" s="330"/>
      <c r="K4987" s="23"/>
    </row>
    <row r="4988" spans="1:11" ht="12.75" x14ac:dyDescent="0.2">
      <c r="A4988" s="23"/>
      <c r="B4988" s="328"/>
      <c r="C4988" s="327"/>
      <c r="D4988" s="328"/>
      <c r="E4988" s="23"/>
      <c r="F4988" s="329"/>
      <c r="G4988" s="23"/>
      <c r="H4988" s="23"/>
      <c r="I4988" s="330"/>
      <c r="J4988" s="330"/>
      <c r="K4988" s="23"/>
    </row>
    <row r="4989" spans="1:11" ht="12.75" x14ac:dyDescent="0.2">
      <c r="A4989" s="23"/>
      <c r="B4989" s="328"/>
      <c r="C4989" s="327"/>
      <c r="D4989" s="328"/>
      <c r="E4989" s="23"/>
      <c r="F4989" s="329"/>
      <c r="G4989" s="23"/>
      <c r="H4989" s="23"/>
      <c r="I4989" s="330"/>
      <c r="J4989" s="330"/>
      <c r="K4989" s="23"/>
    </row>
    <row r="4990" spans="1:11" ht="12.75" x14ac:dyDescent="0.2">
      <c r="A4990" s="23"/>
      <c r="B4990" s="328"/>
      <c r="C4990" s="327"/>
      <c r="D4990" s="328"/>
      <c r="E4990" s="23"/>
      <c r="F4990" s="329"/>
      <c r="G4990" s="23"/>
      <c r="H4990" s="23"/>
      <c r="I4990" s="330"/>
      <c r="J4990" s="330"/>
      <c r="K4990" s="23"/>
    </row>
    <row r="4991" spans="1:11" ht="12.75" x14ac:dyDescent="0.2">
      <c r="A4991" s="23"/>
      <c r="B4991" s="328"/>
      <c r="C4991" s="327"/>
      <c r="D4991" s="328"/>
      <c r="E4991" s="23"/>
      <c r="F4991" s="329"/>
      <c r="G4991" s="23"/>
      <c r="H4991" s="23"/>
      <c r="I4991" s="330"/>
      <c r="J4991" s="330"/>
      <c r="K4991" s="23"/>
    </row>
    <row r="4992" spans="1:11" ht="12.75" x14ac:dyDescent="0.2">
      <c r="A4992" s="23"/>
      <c r="B4992" s="328"/>
      <c r="C4992" s="327"/>
      <c r="D4992" s="328"/>
      <c r="E4992" s="23"/>
      <c r="F4992" s="329"/>
      <c r="G4992" s="23"/>
      <c r="H4992" s="23"/>
      <c r="I4992" s="330"/>
      <c r="J4992" s="330"/>
      <c r="K4992" s="23"/>
    </row>
    <row r="4993" spans="1:11" ht="12.75" x14ac:dyDescent="0.2">
      <c r="A4993" s="23"/>
      <c r="B4993" s="328"/>
      <c r="C4993" s="327"/>
      <c r="D4993" s="328"/>
      <c r="E4993" s="23"/>
      <c r="F4993" s="329"/>
      <c r="G4993" s="23"/>
      <c r="H4993" s="23"/>
      <c r="I4993" s="330"/>
      <c r="J4993" s="330"/>
      <c r="K4993" s="23"/>
    </row>
    <row r="4994" spans="1:11" ht="12.75" x14ac:dyDescent="0.2">
      <c r="A4994" s="23"/>
      <c r="B4994" s="328"/>
      <c r="C4994" s="327"/>
      <c r="D4994" s="328"/>
      <c r="E4994" s="23"/>
      <c r="F4994" s="329"/>
      <c r="G4994" s="23"/>
      <c r="H4994" s="23"/>
      <c r="I4994" s="330"/>
      <c r="J4994" s="330"/>
      <c r="K4994" s="23"/>
    </row>
    <row r="4995" spans="1:11" ht="12.75" x14ac:dyDescent="0.2">
      <c r="A4995" s="23"/>
      <c r="B4995" s="328"/>
      <c r="C4995" s="327"/>
      <c r="D4995" s="328"/>
      <c r="E4995" s="23"/>
      <c r="F4995" s="329"/>
      <c r="G4995" s="23"/>
      <c r="H4995" s="23"/>
      <c r="I4995" s="330"/>
      <c r="J4995" s="330"/>
      <c r="K4995" s="23"/>
    </row>
    <row r="4996" spans="1:11" ht="12.75" x14ac:dyDescent="0.2">
      <c r="A4996" s="23"/>
      <c r="B4996" s="328"/>
      <c r="C4996" s="327"/>
      <c r="D4996" s="328"/>
      <c r="E4996" s="23"/>
      <c r="F4996" s="329"/>
      <c r="G4996" s="23"/>
      <c r="H4996" s="23"/>
      <c r="I4996" s="330"/>
      <c r="J4996" s="330"/>
      <c r="K4996" s="23"/>
    </row>
    <row r="4997" spans="1:11" ht="12.75" x14ac:dyDescent="0.2">
      <c r="A4997" s="23"/>
      <c r="B4997" s="328"/>
      <c r="C4997" s="327"/>
      <c r="D4997" s="328"/>
      <c r="E4997" s="23"/>
      <c r="F4997" s="329"/>
      <c r="G4997" s="23"/>
      <c r="H4997" s="23"/>
      <c r="I4997" s="330"/>
      <c r="J4997" s="330"/>
      <c r="K4997" s="23"/>
    </row>
    <row r="4998" spans="1:11" ht="12.75" x14ac:dyDescent="0.2">
      <c r="A4998" s="23"/>
      <c r="B4998" s="328"/>
      <c r="C4998" s="327"/>
      <c r="D4998" s="328"/>
      <c r="E4998" s="23"/>
      <c r="F4998" s="329"/>
      <c r="G4998" s="23"/>
      <c r="H4998" s="23"/>
      <c r="I4998" s="330"/>
      <c r="J4998" s="330"/>
      <c r="K4998" s="23"/>
    </row>
    <row r="4999" spans="1:11" ht="12.75" x14ac:dyDescent="0.2">
      <c r="A4999" s="23"/>
      <c r="B4999" s="328"/>
      <c r="C4999" s="327"/>
      <c r="D4999" s="328"/>
      <c r="E4999" s="23"/>
      <c r="F4999" s="329"/>
      <c r="G4999" s="23"/>
      <c r="H4999" s="23"/>
      <c r="I4999" s="330"/>
      <c r="J4999" s="330"/>
      <c r="K4999" s="23"/>
    </row>
    <row r="5000" spans="1:11" ht="12.75" x14ac:dyDescent="0.2">
      <c r="A5000" s="23"/>
      <c r="B5000" s="328"/>
      <c r="C5000" s="327"/>
      <c r="D5000" s="328"/>
      <c r="E5000" s="23"/>
      <c r="F5000" s="329"/>
      <c r="G5000" s="23"/>
      <c r="H5000" s="23"/>
      <c r="I5000" s="330"/>
      <c r="J5000" s="330"/>
      <c r="K5000" s="23"/>
    </row>
    <row r="5001" spans="1:11" ht="12.75" x14ac:dyDescent="0.2">
      <c r="A5001" s="23"/>
      <c r="B5001" s="328"/>
      <c r="C5001" s="327"/>
      <c r="D5001" s="328"/>
      <c r="E5001" s="23"/>
      <c r="F5001" s="329"/>
      <c r="G5001" s="23"/>
      <c r="H5001" s="23"/>
      <c r="I5001" s="330"/>
      <c r="J5001" s="330"/>
      <c r="K5001" s="23"/>
    </row>
    <row r="5002" spans="1:11" ht="12.75" x14ac:dyDescent="0.2">
      <c r="A5002" s="23"/>
      <c r="B5002" s="328"/>
      <c r="C5002" s="327"/>
      <c r="D5002" s="328"/>
      <c r="E5002" s="23"/>
      <c r="F5002" s="329"/>
      <c r="G5002" s="23"/>
      <c r="H5002" s="23"/>
      <c r="I5002" s="330"/>
      <c r="J5002" s="330"/>
      <c r="K5002" s="23"/>
    </row>
    <row r="5003" spans="1:11" ht="12.75" x14ac:dyDescent="0.2">
      <c r="A5003" s="23"/>
      <c r="B5003" s="328"/>
      <c r="C5003" s="327"/>
      <c r="D5003" s="328"/>
      <c r="E5003" s="23"/>
      <c r="F5003" s="329"/>
      <c r="G5003" s="23"/>
      <c r="H5003" s="23"/>
      <c r="I5003" s="330"/>
      <c r="J5003" s="330"/>
      <c r="K5003" s="23"/>
    </row>
    <row r="5004" spans="1:11" ht="12.75" x14ac:dyDescent="0.2">
      <c r="A5004" s="23"/>
      <c r="B5004" s="328"/>
      <c r="C5004" s="327"/>
      <c r="D5004" s="328"/>
      <c r="E5004" s="23"/>
      <c r="F5004" s="329"/>
      <c r="G5004" s="23"/>
      <c r="H5004" s="23"/>
      <c r="I5004" s="330"/>
      <c r="J5004" s="330"/>
      <c r="K5004" s="23"/>
    </row>
    <row r="5005" spans="1:11" ht="12.75" x14ac:dyDescent="0.2">
      <c r="A5005" s="23"/>
      <c r="B5005" s="328"/>
      <c r="C5005" s="327"/>
      <c r="D5005" s="328"/>
      <c r="E5005" s="23"/>
      <c r="F5005" s="329"/>
      <c r="G5005" s="23"/>
      <c r="H5005" s="23"/>
      <c r="I5005" s="330"/>
      <c r="J5005" s="330"/>
      <c r="K5005" s="23"/>
    </row>
    <row r="5006" spans="1:11" ht="12.75" x14ac:dyDescent="0.2">
      <c r="A5006" s="23"/>
      <c r="B5006" s="328"/>
      <c r="C5006" s="327"/>
      <c r="D5006" s="328"/>
      <c r="E5006" s="23"/>
      <c r="F5006" s="329"/>
      <c r="G5006" s="23"/>
      <c r="H5006" s="23"/>
      <c r="I5006" s="330"/>
      <c r="J5006" s="330"/>
      <c r="K5006" s="23"/>
    </row>
    <row r="5007" spans="1:11" ht="12.75" x14ac:dyDescent="0.2">
      <c r="A5007" s="23"/>
      <c r="B5007" s="328"/>
      <c r="C5007" s="327"/>
      <c r="D5007" s="328"/>
      <c r="E5007" s="23"/>
      <c r="F5007" s="329"/>
      <c r="G5007" s="23"/>
      <c r="H5007" s="23"/>
      <c r="I5007" s="330"/>
      <c r="J5007" s="330"/>
      <c r="K5007" s="23"/>
    </row>
    <row r="5008" spans="1:11" ht="12.75" x14ac:dyDescent="0.2">
      <c r="A5008" s="23"/>
      <c r="B5008" s="328"/>
      <c r="C5008" s="327"/>
      <c r="D5008" s="328"/>
      <c r="E5008" s="23"/>
      <c r="F5008" s="329"/>
      <c r="G5008" s="23"/>
      <c r="H5008" s="23"/>
      <c r="I5008" s="330"/>
      <c r="J5008" s="330"/>
      <c r="K5008" s="23"/>
    </row>
    <row r="5009" spans="1:11" ht="12.75" x14ac:dyDescent="0.2">
      <c r="A5009" s="23"/>
      <c r="B5009" s="328"/>
      <c r="C5009" s="327"/>
      <c r="D5009" s="328"/>
      <c r="E5009" s="23"/>
      <c r="F5009" s="329"/>
      <c r="G5009" s="23"/>
      <c r="H5009" s="23"/>
      <c r="I5009" s="330"/>
      <c r="J5009" s="330"/>
      <c r="K5009" s="23"/>
    </row>
    <row r="5010" spans="1:11" ht="12.75" x14ac:dyDescent="0.2">
      <c r="A5010" s="23"/>
      <c r="B5010" s="328"/>
      <c r="C5010" s="327"/>
      <c r="D5010" s="328"/>
      <c r="E5010" s="23"/>
      <c r="F5010" s="329"/>
      <c r="G5010" s="23"/>
      <c r="H5010" s="23"/>
      <c r="I5010" s="330"/>
      <c r="J5010" s="330"/>
      <c r="K5010" s="23"/>
    </row>
    <row r="5011" spans="1:11" ht="12.75" x14ac:dyDescent="0.2">
      <c r="A5011" s="23"/>
      <c r="B5011" s="328"/>
      <c r="C5011" s="327"/>
      <c r="D5011" s="328"/>
      <c r="E5011" s="23"/>
      <c r="F5011" s="329"/>
      <c r="G5011" s="23"/>
      <c r="H5011" s="23"/>
      <c r="I5011" s="330"/>
      <c r="J5011" s="330"/>
      <c r="K5011" s="23"/>
    </row>
    <row r="5012" spans="1:11" ht="12.75" x14ac:dyDescent="0.2">
      <c r="A5012" s="23"/>
      <c r="B5012" s="328"/>
      <c r="C5012" s="327"/>
      <c r="D5012" s="328"/>
      <c r="E5012" s="23"/>
      <c r="F5012" s="329"/>
      <c r="G5012" s="23"/>
      <c r="H5012" s="23"/>
      <c r="I5012" s="330"/>
      <c r="J5012" s="330"/>
      <c r="K5012" s="23"/>
    </row>
    <row r="5013" spans="1:11" ht="12.75" x14ac:dyDescent="0.2">
      <c r="A5013" s="23"/>
      <c r="B5013" s="328"/>
      <c r="C5013" s="327"/>
      <c r="D5013" s="328"/>
      <c r="E5013" s="23"/>
      <c r="F5013" s="329"/>
      <c r="G5013" s="23"/>
      <c r="H5013" s="23"/>
      <c r="I5013" s="330"/>
      <c r="J5013" s="330"/>
      <c r="K5013" s="23"/>
    </row>
    <row r="5014" spans="1:11" ht="12.75" x14ac:dyDescent="0.2">
      <c r="A5014" s="23"/>
      <c r="B5014" s="328"/>
      <c r="C5014" s="327"/>
      <c r="D5014" s="328"/>
      <c r="E5014" s="23"/>
      <c r="F5014" s="329"/>
      <c r="G5014" s="23"/>
      <c r="H5014" s="23"/>
      <c r="I5014" s="330"/>
      <c r="J5014" s="330"/>
      <c r="K5014" s="23"/>
    </row>
    <row r="5015" spans="1:11" ht="12.75" x14ac:dyDescent="0.2">
      <c r="A5015" s="23"/>
      <c r="B5015" s="328"/>
      <c r="C5015" s="327"/>
      <c r="D5015" s="328"/>
      <c r="E5015" s="23"/>
      <c r="F5015" s="329"/>
      <c r="G5015" s="23"/>
      <c r="H5015" s="23"/>
      <c r="I5015" s="330"/>
      <c r="J5015" s="330"/>
      <c r="K5015" s="23"/>
    </row>
    <row r="5016" spans="1:11" ht="12.75" x14ac:dyDescent="0.2">
      <c r="A5016" s="23"/>
      <c r="B5016" s="328"/>
      <c r="C5016" s="327"/>
      <c r="D5016" s="328"/>
      <c r="E5016" s="23"/>
      <c r="F5016" s="329"/>
      <c r="G5016" s="23"/>
      <c r="H5016" s="23"/>
      <c r="I5016" s="330"/>
      <c r="J5016" s="330"/>
      <c r="K5016" s="23"/>
    </row>
    <row r="5017" spans="1:11" ht="12.75" x14ac:dyDescent="0.2">
      <c r="A5017" s="23"/>
      <c r="B5017" s="328"/>
      <c r="C5017" s="327"/>
      <c r="D5017" s="328"/>
      <c r="E5017" s="23"/>
      <c r="F5017" s="329"/>
      <c r="G5017" s="23"/>
      <c r="H5017" s="23"/>
      <c r="I5017" s="330"/>
      <c r="J5017" s="330"/>
      <c r="K5017" s="23"/>
    </row>
    <row r="5018" spans="1:11" ht="12.75" x14ac:dyDescent="0.2">
      <c r="A5018" s="23"/>
      <c r="B5018" s="328"/>
      <c r="C5018" s="327"/>
      <c r="D5018" s="328"/>
      <c r="E5018" s="23"/>
      <c r="F5018" s="329"/>
      <c r="G5018" s="23"/>
      <c r="H5018" s="23"/>
      <c r="I5018" s="330"/>
      <c r="J5018" s="330"/>
      <c r="K5018" s="23"/>
    </row>
    <row r="5019" spans="1:11" ht="12.75" x14ac:dyDescent="0.2">
      <c r="A5019" s="23"/>
      <c r="B5019" s="328"/>
      <c r="C5019" s="327"/>
      <c r="D5019" s="328"/>
      <c r="E5019" s="23"/>
      <c r="F5019" s="329"/>
      <c r="G5019" s="23"/>
      <c r="H5019" s="23"/>
      <c r="I5019" s="330"/>
      <c r="J5019" s="330"/>
      <c r="K5019" s="23"/>
    </row>
    <row r="5020" spans="1:11" ht="12.75" x14ac:dyDescent="0.2">
      <c r="A5020" s="23"/>
      <c r="B5020" s="328"/>
      <c r="C5020" s="327"/>
      <c r="D5020" s="328"/>
      <c r="E5020" s="23"/>
      <c r="F5020" s="329"/>
      <c r="G5020" s="23"/>
      <c r="H5020" s="23"/>
      <c r="I5020" s="330"/>
      <c r="J5020" s="330"/>
      <c r="K5020" s="23"/>
    </row>
    <row r="5021" spans="1:11" ht="12.75" x14ac:dyDescent="0.2">
      <c r="A5021" s="23"/>
      <c r="B5021" s="328"/>
      <c r="C5021" s="327"/>
      <c r="D5021" s="328"/>
      <c r="E5021" s="23"/>
      <c r="F5021" s="329"/>
      <c r="G5021" s="23"/>
      <c r="H5021" s="23"/>
      <c r="I5021" s="330"/>
      <c r="J5021" s="330"/>
      <c r="K5021" s="23"/>
    </row>
    <row r="5022" spans="1:11" ht="12.75" x14ac:dyDescent="0.2">
      <c r="A5022" s="23"/>
      <c r="B5022" s="328"/>
      <c r="C5022" s="327"/>
      <c r="D5022" s="328"/>
      <c r="E5022" s="23"/>
      <c r="F5022" s="329"/>
      <c r="G5022" s="23"/>
      <c r="H5022" s="23"/>
      <c r="I5022" s="330"/>
      <c r="J5022" s="330"/>
      <c r="K5022" s="23"/>
    </row>
    <row r="5023" spans="1:11" ht="12.75" x14ac:dyDescent="0.2">
      <c r="A5023" s="23"/>
      <c r="B5023" s="328"/>
      <c r="C5023" s="327"/>
      <c r="D5023" s="328"/>
      <c r="E5023" s="23"/>
      <c r="F5023" s="329"/>
      <c r="G5023" s="23"/>
      <c r="H5023" s="23"/>
      <c r="I5023" s="330"/>
      <c r="J5023" s="330"/>
      <c r="K5023" s="23"/>
    </row>
    <row r="5024" spans="1:11" ht="12.75" x14ac:dyDescent="0.2">
      <c r="A5024" s="23"/>
      <c r="B5024" s="328"/>
      <c r="C5024" s="327"/>
      <c r="D5024" s="328"/>
      <c r="E5024" s="23"/>
      <c r="F5024" s="329"/>
      <c r="G5024" s="23"/>
      <c r="H5024" s="23"/>
      <c r="I5024" s="330"/>
      <c r="J5024" s="330"/>
      <c r="K5024" s="23"/>
    </row>
    <row r="5025" spans="1:11" ht="12.75" x14ac:dyDescent="0.2">
      <c r="A5025" s="23"/>
      <c r="B5025" s="328"/>
      <c r="C5025" s="327"/>
      <c r="D5025" s="328"/>
      <c r="E5025" s="23"/>
      <c r="F5025" s="329"/>
      <c r="G5025" s="23"/>
      <c r="H5025" s="23"/>
      <c r="I5025" s="330"/>
      <c r="J5025" s="330"/>
      <c r="K5025" s="23"/>
    </row>
    <row r="5026" spans="1:11" ht="12.75" x14ac:dyDescent="0.2">
      <c r="A5026" s="23"/>
      <c r="B5026" s="328"/>
      <c r="C5026" s="327"/>
      <c r="D5026" s="328"/>
      <c r="E5026" s="23"/>
      <c r="F5026" s="329"/>
      <c r="G5026" s="23"/>
      <c r="H5026" s="23"/>
      <c r="I5026" s="330"/>
      <c r="J5026" s="330"/>
      <c r="K5026" s="23"/>
    </row>
    <row r="5027" spans="1:11" ht="12.75" x14ac:dyDescent="0.2">
      <c r="A5027" s="23"/>
      <c r="B5027" s="328"/>
      <c r="C5027" s="327"/>
      <c r="D5027" s="328"/>
      <c r="E5027" s="23"/>
      <c r="F5027" s="329"/>
      <c r="G5027" s="23"/>
      <c r="H5027" s="23"/>
      <c r="I5027" s="330"/>
      <c r="J5027" s="330"/>
      <c r="K5027" s="23"/>
    </row>
    <row r="5028" spans="1:11" ht="12.75" x14ac:dyDescent="0.2">
      <c r="A5028" s="23"/>
      <c r="B5028" s="328"/>
      <c r="C5028" s="327"/>
      <c r="D5028" s="328"/>
      <c r="E5028" s="23"/>
      <c r="F5028" s="329"/>
      <c r="G5028" s="23"/>
      <c r="H5028" s="23"/>
      <c r="I5028" s="330"/>
      <c r="J5028" s="330"/>
      <c r="K5028" s="23"/>
    </row>
    <row r="5029" spans="1:11" ht="12.75" x14ac:dyDescent="0.2">
      <c r="A5029" s="23"/>
      <c r="B5029" s="328"/>
      <c r="C5029" s="327"/>
      <c r="D5029" s="328"/>
      <c r="E5029" s="23"/>
      <c r="F5029" s="329"/>
      <c r="G5029" s="23"/>
      <c r="H5029" s="23"/>
      <c r="I5029" s="330"/>
      <c r="J5029" s="330"/>
      <c r="K5029" s="23"/>
    </row>
    <row r="5030" spans="1:11" ht="12.75" x14ac:dyDescent="0.2">
      <c r="A5030" s="23"/>
      <c r="B5030" s="328"/>
      <c r="C5030" s="327"/>
      <c r="D5030" s="328"/>
      <c r="E5030" s="23"/>
      <c r="F5030" s="329"/>
      <c r="G5030" s="23"/>
      <c r="H5030" s="23"/>
      <c r="I5030" s="330"/>
      <c r="J5030" s="330"/>
      <c r="K5030" s="23"/>
    </row>
    <row r="5031" spans="1:11" ht="12.75" x14ac:dyDescent="0.2">
      <c r="A5031" s="23"/>
      <c r="B5031" s="328"/>
      <c r="C5031" s="327"/>
      <c r="D5031" s="328"/>
      <c r="E5031" s="23"/>
      <c r="F5031" s="329"/>
      <c r="G5031" s="23"/>
      <c r="H5031" s="23"/>
      <c r="I5031" s="330"/>
      <c r="J5031" s="330"/>
      <c r="K5031" s="23"/>
    </row>
    <row r="5032" spans="1:11" ht="12.75" x14ac:dyDescent="0.2">
      <c r="A5032" s="23"/>
      <c r="B5032" s="328"/>
      <c r="C5032" s="327"/>
      <c r="D5032" s="328"/>
      <c r="E5032" s="23"/>
      <c r="F5032" s="329"/>
      <c r="G5032" s="23"/>
      <c r="H5032" s="23"/>
      <c r="I5032" s="330"/>
      <c r="J5032" s="330"/>
      <c r="K5032" s="23"/>
    </row>
    <row r="5033" spans="1:11" ht="12.75" x14ac:dyDescent="0.2">
      <c r="A5033" s="23"/>
      <c r="B5033" s="328"/>
      <c r="C5033" s="327"/>
      <c r="D5033" s="328"/>
      <c r="E5033" s="23"/>
      <c r="F5033" s="329"/>
      <c r="G5033" s="23"/>
      <c r="H5033" s="23"/>
      <c r="I5033" s="330"/>
      <c r="J5033" s="330"/>
      <c r="K5033" s="23"/>
    </row>
    <row r="5034" spans="1:11" ht="12.75" x14ac:dyDescent="0.2">
      <c r="A5034" s="23"/>
      <c r="B5034" s="328"/>
      <c r="C5034" s="327"/>
      <c r="D5034" s="328"/>
      <c r="E5034" s="23"/>
      <c r="F5034" s="329"/>
      <c r="G5034" s="23"/>
      <c r="H5034" s="23"/>
      <c r="I5034" s="330"/>
      <c r="J5034" s="330"/>
      <c r="K5034" s="23"/>
    </row>
    <row r="5035" spans="1:11" ht="12.75" x14ac:dyDescent="0.2">
      <c r="A5035" s="23"/>
      <c r="B5035" s="328"/>
      <c r="C5035" s="327"/>
      <c r="D5035" s="328"/>
      <c r="E5035" s="23"/>
      <c r="F5035" s="329"/>
      <c r="G5035" s="23"/>
      <c r="H5035" s="23"/>
      <c r="I5035" s="330"/>
      <c r="J5035" s="330"/>
      <c r="K5035" s="23"/>
    </row>
    <row r="5036" spans="1:11" ht="12.75" x14ac:dyDescent="0.2">
      <c r="A5036" s="23"/>
      <c r="B5036" s="328"/>
      <c r="C5036" s="327"/>
      <c r="D5036" s="328"/>
      <c r="E5036" s="23"/>
      <c r="F5036" s="329"/>
      <c r="G5036" s="23"/>
      <c r="H5036" s="23"/>
      <c r="I5036" s="330"/>
      <c r="J5036" s="330"/>
      <c r="K5036" s="23"/>
    </row>
    <row r="5037" spans="1:11" ht="12.75" x14ac:dyDescent="0.2">
      <c r="A5037" s="23"/>
      <c r="B5037" s="328"/>
      <c r="C5037" s="327"/>
      <c r="D5037" s="328"/>
      <c r="E5037" s="23"/>
      <c r="F5037" s="329"/>
      <c r="G5037" s="23"/>
      <c r="H5037" s="23"/>
      <c r="I5037" s="330"/>
      <c r="J5037" s="330"/>
      <c r="K5037" s="23"/>
    </row>
    <row r="5038" spans="1:11" ht="12.75" x14ac:dyDescent="0.2">
      <c r="A5038" s="23"/>
      <c r="B5038" s="328"/>
      <c r="C5038" s="327"/>
      <c r="D5038" s="328"/>
      <c r="E5038" s="23"/>
      <c r="F5038" s="329"/>
      <c r="G5038" s="23"/>
      <c r="H5038" s="23"/>
      <c r="I5038" s="330"/>
      <c r="J5038" s="330"/>
      <c r="K5038" s="23"/>
    </row>
    <row r="5039" spans="1:11" ht="12.75" x14ac:dyDescent="0.2">
      <c r="A5039" s="23"/>
      <c r="B5039" s="328"/>
      <c r="C5039" s="327"/>
      <c r="D5039" s="328"/>
      <c r="E5039" s="23"/>
      <c r="F5039" s="329"/>
      <c r="G5039" s="23"/>
      <c r="H5039" s="23"/>
      <c r="I5039" s="330"/>
      <c r="J5039" s="330"/>
      <c r="K5039" s="23"/>
    </row>
    <row r="5040" spans="1:11" ht="12.75" x14ac:dyDescent="0.2">
      <c r="A5040" s="23"/>
      <c r="B5040" s="328"/>
      <c r="C5040" s="327"/>
      <c r="D5040" s="328"/>
      <c r="E5040" s="23"/>
      <c r="F5040" s="329"/>
      <c r="G5040" s="23"/>
      <c r="H5040" s="23"/>
      <c r="I5040" s="330"/>
      <c r="J5040" s="330"/>
      <c r="K5040" s="23"/>
    </row>
    <row r="5041" spans="1:11" ht="12.75" x14ac:dyDescent="0.2">
      <c r="A5041" s="23"/>
      <c r="B5041" s="328"/>
      <c r="C5041" s="327"/>
      <c r="D5041" s="328"/>
      <c r="E5041" s="23"/>
      <c r="F5041" s="329"/>
      <c r="G5041" s="23"/>
      <c r="H5041" s="23"/>
      <c r="I5041" s="330"/>
      <c r="J5041" s="330"/>
      <c r="K5041" s="23"/>
    </row>
    <row r="5042" spans="1:11" ht="12.75" x14ac:dyDescent="0.2">
      <c r="A5042" s="23"/>
      <c r="B5042" s="328"/>
      <c r="C5042" s="327"/>
      <c r="D5042" s="328"/>
      <c r="E5042" s="23"/>
      <c r="F5042" s="329"/>
      <c r="G5042" s="23"/>
      <c r="H5042" s="23"/>
      <c r="I5042" s="330"/>
      <c r="J5042" s="330"/>
      <c r="K5042" s="23"/>
    </row>
    <row r="5043" spans="1:11" ht="12.75" x14ac:dyDescent="0.2">
      <c r="A5043" s="23"/>
      <c r="B5043" s="328"/>
      <c r="C5043" s="327"/>
      <c r="D5043" s="328"/>
      <c r="E5043" s="23"/>
      <c r="F5043" s="329"/>
      <c r="G5043" s="23"/>
      <c r="H5043" s="23"/>
      <c r="I5043" s="330"/>
      <c r="J5043" s="330"/>
      <c r="K5043" s="23"/>
    </row>
    <row r="5044" spans="1:11" ht="12.75" x14ac:dyDescent="0.2">
      <c r="A5044" s="23"/>
      <c r="B5044" s="328"/>
      <c r="C5044" s="327"/>
      <c r="D5044" s="328"/>
      <c r="E5044" s="23"/>
      <c r="F5044" s="329"/>
      <c r="G5044" s="23"/>
      <c r="H5044" s="23"/>
      <c r="I5044" s="330"/>
      <c r="J5044" s="330"/>
      <c r="K5044" s="23"/>
    </row>
    <row r="5045" spans="1:11" ht="12.75" x14ac:dyDescent="0.2">
      <c r="A5045" s="23"/>
      <c r="B5045" s="328"/>
      <c r="C5045" s="327"/>
      <c r="D5045" s="328"/>
      <c r="E5045" s="23"/>
      <c r="F5045" s="329"/>
      <c r="G5045" s="23"/>
      <c r="H5045" s="23"/>
      <c r="I5045" s="330"/>
      <c r="J5045" s="330"/>
      <c r="K5045" s="23"/>
    </row>
    <row r="5046" spans="1:11" ht="12.75" x14ac:dyDescent="0.2">
      <c r="A5046" s="23"/>
      <c r="B5046" s="328"/>
      <c r="C5046" s="327"/>
      <c r="D5046" s="328"/>
      <c r="E5046" s="23"/>
      <c r="F5046" s="329"/>
      <c r="G5046" s="23"/>
      <c r="H5046" s="23"/>
      <c r="I5046" s="330"/>
      <c r="J5046" s="330"/>
      <c r="K5046" s="23"/>
    </row>
    <row r="5047" spans="1:11" ht="12.75" x14ac:dyDescent="0.2">
      <c r="A5047" s="23"/>
      <c r="B5047" s="328"/>
      <c r="C5047" s="327"/>
      <c r="D5047" s="328"/>
      <c r="E5047" s="23"/>
      <c r="F5047" s="329"/>
      <c r="G5047" s="23"/>
      <c r="H5047" s="23"/>
      <c r="I5047" s="330"/>
      <c r="J5047" s="330"/>
      <c r="K5047" s="23"/>
    </row>
    <row r="5048" spans="1:11" ht="12.75" x14ac:dyDescent="0.2">
      <c r="A5048" s="23"/>
      <c r="B5048" s="328"/>
      <c r="C5048" s="327"/>
      <c r="D5048" s="328"/>
      <c r="E5048" s="23"/>
      <c r="F5048" s="329"/>
      <c r="G5048" s="23"/>
      <c r="H5048" s="23"/>
      <c r="I5048" s="330"/>
      <c r="J5048" s="330"/>
      <c r="K5048" s="23"/>
    </row>
    <row r="5049" spans="1:11" ht="12.75" x14ac:dyDescent="0.2">
      <c r="A5049" s="23"/>
      <c r="B5049" s="328"/>
      <c r="C5049" s="327"/>
      <c r="D5049" s="328"/>
      <c r="E5049" s="23"/>
      <c r="F5049" s="329"/>
      <c r="G5049" s="23"/>
      <c r="H5049" s="23"/>
      <c r="I5049" s="330"/>
      <c r="J5049" s="330"/>
      <c r="K5049" s="23"/>
    </row>
    <row r="5050" spans="1:11" ht="12.75" x14ac:dyDescent="0.2">
      <c r="A5050" s="23"/>
      <c r="B5050" s="328"/>
      <c r="C5050" s="327"/>
      <c r="D5050" s="328"/>
      <c r="E5050" s="23"/>
      <c r="F5050" s="329"/>
      <c r="G5050" s="23"/>
      <c r="H5050" s="23"/>
      <c r="I5050" s="330"/>
      <c r="J5050" s="330"/>
      <c r="K5050" s="23"/>
    </row>
    <row r="5051" spans="1:11" ht="12.75" x14ac:dyDescent="0.2">
      <c r="A5051" s="23"/>
      <c r="B5051" s="328"/>
      <c r="C5051" s="327"/>
      <c r="D5051" s="328"/>
      <c r="E5051" s="23"/>
      <c r="F5051" s="329"/>
      <c r="G5051" s="23"/>
      <c r="H5051" s="23"/>
      <c r="I5051" s="330"/>
      <c r="J5051" s="330"/>
      <c r="K5051" s="23"/>
    </row>
    <row r="5052" spans="1:11" ht="12.75" x14ac:dyDescent="0.2">
      <c r="A5052" s="23"/>
      <c r="B5052" s="328"/>
      <c r="C5052" s="327"/>
      <c r="D5052" s="328"/>
      <c r="E5052" s="23"/>
      <c r="F5052" s="329"/>
      <c r="G5052" s="23"/>
      <c r="H5052" s="23"/>
      <c r="I5052" s="330"/>
      <c r="J5052" s="330"/>
      <c r="K5052" s="23"/>
    </row>
    <row r="5053" spans="1:11" ht="12.75" x14ac:dyDescent="0.2">
      <c r="A5053" s="23"/>
      <c r="B5053" s="328"/>
      <c r="C5053" s="327"/>
      <c r="D5053" s="328"/>
      <c r="E5053" s="23"/>
      <c r="F5053" s="329"/>
      <c r="G5053" s="23"/>
      <c r="H5053" s="23"/>
      <c r="I5053" s="330"/>
      <c r="J5053" s="330"/>
      <c r="K5053" s="23"/>
    </row>
    <row r="5054" spans="1:11" ht="12.75" x14ac:dyDescent="0.2">
      <c r="A5054" s="23"/>
      <c r="B5054" s="328"/>
      <c r="C5054" s="327"/>
      <c r="D5054" s="328"/>
      <c r="E5054" s="23"/>
      <c r="F5054" s="329"/>
      <c r="G5054" s="23"/>
      <c r="H5054" s="23"/>
      <c r="I5054" s="330"/>
      <c r="J5054" s="330"/>
      <c r="K5054" s="23"/>
    </row>
    <row r="5055" spans="1:11" ht="12.75" x14ac:dyDescent="0.2">
      <c r="A5055" s="23"/>
      <c r="B5055" s="328"/>
      <c r="C5055" s="327"/>
      <c r="D5055" s="328"/>
      <c r="E5055" s="23"/>
      <c r="F5055" s="329"/>
      <c r="G5055" s="23"/>
      <c r="H5055" s="23"/>
      <c r="I5055" s="330"/>
      <c r="J5055" s="330"/>
      <c r="K5055" s="23"/>
    </row>
    <row r="5056" spans="1:11" ht="12.75" x14ac:dyDescent="0.2">
      <c r="A5056" s="23"/>
      <c r="B5056" s="328"/>
      <c r="C5056" s="327"/>
      <c r="D5056" s="328"/>
      <c r="E5056" s="23"/>
      <c r="F5056" s="329"/>
      <c r="G5056" s="23"/>
      <c r="H5056" s="23"/>
      <c r="I5056" s="330"/>
      <c r="J5056" s="330"/>
      <c r="K5056" s="23"/>
    </row>
    <row r="5057" spans="1:11" ht="12.75" x14ac:dyDescent="0.2">
      <c r="A5057" s="23"/>
      <c r="B5057" s="328"/>
      <c r="C5057" s="327"/>
      <c r="D5057" s="328"/>
      <c r="E5057" s="23"/>
      <c r="F5057" s="329"/>
      <c r="G5057" s="23"/>
      <c r="H5057" s="23"/>
      <c r="I5057" s="330"/>
      <c r="J5057" s="330"/>
      <c r="K5057" s="23"/>
    </row>
    <row r="5058" spans="1:11" ht="12.75" x14ac:dyDescent="0.2">
      <c r="A5058" s="23"/>
      <c r="B5058" s="328"/>
      <c r="C5058" s="327"/>
      <c r="D5058" s="328"/>
      <c r="E5058" s="23"/>
      <c r="F5058" s="329"/>
      <c r="G5058" s="23"/>
      <c r="H5058" s="23"/>
      <c r="I5058" s="330"/>
      <c r="J5058" s="330"/>
      <c r="K5058" s="23"/>
    </row>
    <row r="5059" spans="1:11" ht="12.75" x14ac:dyDescent="0.2">
      <c r="A5059" s="23"/>
      <c r="B5059" s="328"/>
      <c r="C5059" s="327"/>
      <c r="D5059" s="328"/>
      <c r="E5059" s="23"/>
      <c r="F5059" s="329"/>
      <c r="G5059" s="23"/>
      <c r="H5059" s="23"/>
      <c r="I5059" s="330"/>
      <c r="J5059" s="330"/>
      <c r="K5059" s="23"/>
    </row>
    <row r="5060" spans="1:11" ht="12.75" x14ac:dyDescent="0.2">
      <c r="A5060" s="23"/>
      <c r="B5060" s="328"/>
      <c r="C5060" s="327"/>
      <c r="D5060" s="328"/>
      <c r="E5060" s="23"/>
      <c r="F5060" s="329"/>
      <c r="G5060" s="23"/>
      <c r="H5060" s="23"/>
      <c r="I5060" s="330"/>
      <c r="J5060" s="330"/>
      <c r="K5060" s="23"/>
    </row>
    <row r="5061" spans="1:11" ht="12.75" x14ac:dyDescent="0.2">
      <c r="A5061" s="23"/>
      <c r="B5061" s="328"/>
      <c r="C5061" s="327"/>
      <c r="D5061" s="328"/>
      <c r="E5061" s="23"/>
      <c r="F5061" s="329"/>
      <c r="G5061" s="23"/>
      <c r="H5061" s="23"/>
      <c r="I5061" s="330"/>
      <c r="J5061" s="330"/>
      <c r="K5061" s="23"/>
    </row>
    <row r="5062" spans="1:11" ht="12.75" x14ac:dyDescent="0.2">
      <c r="A5062" s="23"/>
      <c r="B5062" s="328"/>
      <c r="C5062" s="327"/>
      <c r="D5062" s="328"/>
      <c r="E5062" s="23"/>
      <c r="F5062" s="329"/>
      <c r="G5062" s="23"/>
      <c r="H5062" s="23"/>
      <c r="I5062" s="330"/>
      <c r="J5062" s="330"/>
      <c r="K5062" s="23"/>
    </row>
    <row r="5063" spans="1:11" ht="12.75" x14ac:dyDescent="0.2">
      <c r="A5063" s="23"/>
      <c r="B5063" s="328"/>
      <c r="C5063" s="327"/>
      <c r="D5063" s="328"/>
      <c r="E5063" s="23"/>
      <c r="F5063" s="329"/>
      <c r="G5063" s="23"/>
      <c r="H5063" s="23"/>
      <c r="I5063" s="330"/>
      <c r="J5063" s="330"/>
      <c r="K5063" s="23"/>
    </row>
    <row r="5064" spans="1:11" ht="12.75" x14ac:dyDescent="0.2">
      <c r="A5064" s="23"/>
      <c r="B5064" s="328"/>
      <c r="C5064" s="327"/>
      <c r="D5064" s="328"/>
      <c r="E5064" s="23"/>
      <c r="F5064" s="329"/>
      <c r="G5064" s="23"/>
      <c r="H5064" s="23"/>
      <c r="I5064" s="330"/>
      <c r="J5064" s="330"/>
      <c r="K5064" s="23"/>
    </row>
    <row r="5065" spans="1:11" ht="12.75" x14ac:dyDescent="0.2">
      <c r="A5065" s="23"/>
      <c r="B5065" s="328"/>
      <c r="C5065" s="327"/>
      <c r="D5065" s="328"/>
      <c r="E5065" s="23"/>
      <c r="F5065" s="329"/>
      <c r="G5065" s="23"/>
      <c r="H5065" s="23"/>
      <c r="I5065" s="330"/>
      <c r="J5065" s="330"/>
      <c r="K5065" s="23"/>
    </row>
    <row r="5066" spans="1:11" ht="12.75" x14ac:dyDescent="0.2">
      <c r="A5066" s="23"/>
      <c r="B5066" s="328"/>
      <c r="C5066" s="327"/>
      <c r="D5066" s="328"/>
      <c r="E5066" s="23"/>
      <c r="F5066" s="329"/>
      <c r="G5066" s="23"/>
      <c r="H5066" s="23"/>
      <c r="I5066" s="330"/>
      <c r="J5066" s="330"/>
      <c r="K5066" s="23"/>
    </row>
    <row r="5067" spans="1:11" ht="12.75" x14ac:dyDescent="0.2">
      <c r="A5067" s="23"/>
      <c r="B5067" s="328"/>
      <c r="C5067" s="327"/>
      <c r="D5067" s="328"/>
      <c r="E5067" s="23"/>
      <c r="F5067" s="329"/>
      <c r="G5067" s="23"/>
      <c r="H5067" s="23"/>
      <c r="I5067" s="330"/>
      <c r="J5067" s="330"/>
      <c r="K5067" s="23"/>
    </row>
    <row r="5068" spans="1:11" ht="12.75" x14ac:dyDescent="0.2">
      <c r="A5068" s="23"/>
      <c r="B5068" s="328"/>
      <c r="C5068" s="327"/>
      <c r="D5068" s="328"/>
      <c r="E5068" s="23"/>
      <c r="F5068" s="329"/>
      <c r="G5068" s="23"/>
      <c r="H5068" s="23"/>
      <c r="I5068" s="330"/>
      <c r="J5068" s="330"/>
      <c r="K5068" s="23"/>
    </row>
    <row r="5069" spans="1:11" ht="12.75" x14ac:dyDescent="0.2">
      <c r="A5069" s="23"/>
      <c r="B5069" s="328"/>
      <c r="C5069" s="327"/>
      <c r="D5069" s="328"/>
      <c r="E5069" s="23"/>
      <c r="F5069" s="329"/>
      <c r="G5069" s="23"/>
      <c r="H5069" s="23"/>
      <c r="I5069" s="330"/>
      <c r="J5069" s="330"/>
      <c r="K5069" s="23"/>
    </row>
    <row r="5070" spans="1:11" ht="12.75" x14ac:dyDescent="0.2">
      <c r="A5070" s="23"/>
      <c r="B5070" s="328"/>
      <c r="C5070" s="327"/>
      <c r="D5070" s="328"/>
      <c r="E5070" s="23"/>
      <c r="F5070" s="329"/>
      <c r="G5070" s="23"/>
      <c r="H5070" s="23"/>
      <c r="I5070" s="330"/>
      <c r="J5070" s="330"/>
      <c r="K5070" s="23"/>
    </row>
    <row r="5071" spans="1:11" ht="12.75" x14ac:dyDescent="0.2">
      <c r="A5071" s="23"/>
      <c r="B5071" s="328"/>
      <c r="C5071" s="327"/>
      <c r="D5071" s="328"/>
      <c r="E5071" s="23"/>
      <c r="F5071" s="329"/>
      <c r="G5071" s="23"/>
      <c r="H5071" s="23"/>
      <c r="I5071" s="330"/>
      <c r="J5071" s="330"/>
      <c r="K5071" s="23"/>
    </row>
    <row r="5072" spans="1:11" ht="12.75" x14ac:dyDescent="0.2">
      <c r="A5072" s="23"/>
      <c r="B5072" s="328"/>
      <c r="C5072" s="327"/>
      <c r="D5072" s="328"/>
      <c r="E5072" s="23"/>
      <c r="F5072" s="329"/>
      <c r="G5072" s="23"/>
      <c r="H5072" s="23"/>
      <c r="I5072" s="330"/>
      <c r="J5072" s="330"/>
      <c r="K5072" s="23"/>
    </row>
    <row r="5073" spans="1:11" ht="12.75" x14ac:dyDescent="0.2">
      <c r="A5073" s="23"/>
      <c r="B5073" s="328"/>
      <c r="C5073" s="327"/>
      <c r="D5073" s="328"/>
      <c r="E5073" s="23"/>
      <c r="F5073" s="329"/>
      <c r="G5073" s="23"/>
      <c r="H5073" s="23"/>
      <c r="I5073" s="330"/>
      <c r="J5073" s="330"/>
      <c r="K5073" s="23"/>
    </row>
    <row r="5074" spans="1:11" ht="12.75" x14ac:dyDescent="0.2">
      <c r="A5074" s="23"/>
      <c r="B5074" s="328"/>
      <c r="C5074" s="327"/>
      <c r="D5074" s="328"/>
      <c r="E5074" s="23"/>
      <c r="F5074" s="329"/>
      <c r="G5074" s="23"/>
      <c r="H5074" s="23"/>
      <c r="I5074" s="330"/>
      <c r="J5074" s="330"/>
      <c r="K5074" s="23"/>
    </row>
    <row r="5075" spans="1:11" ht="12.75" x14ac:dyDescent="0.2">
      <c r="A5075" s="23"/>
      <c r="B5075" s="328"/>
      <c r="C5075" s="327"/>
      <c r="D5075" s="328"/>
      <c r="E5075" s="23"/>
      <c r="F5075" s="329"/>
      <c r="G5075" s="23"/>
      <c r="H5075" s="23"/>
      <c r="I5075" s="330"/>
      <c r="J5075" s="330"/>
      <c r="K5075" s="2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35089"/>
    <outlinePr summaryBelow="0" summaryRight="0"/>
  </sheetPr>
  <dimension ref="A1:AL62"/>
  <sheetViews>
    <sheetView showGridLines="0" workbookViewId="0">
      <pane ySplit="1" topLeftCell="A2" activePane="bottomLeft" state="frozen"/>
      <selection pane="bottomLeft" activeCell="P67" sqref="P67"/>
    </sheetView>
  </sheetViews>
  <sheetFormatPr defaultColWidth="14.42578125" defaultRowHeight="15.75" customHeight="1" x14ac:dyDescent="0.2"/>
  <cols>
    <col min="1" max="1" width="43.140625" customWidth="1"/>
    <col min="2" max="2" width="3.85546875" hidden="1" customWidth="1"/>
  </cols>
  <sheetData>
    <row r="1" spans="1:38" ht="15.75" customHeight="1" x14ac:dyDescent="0.2">
      <c r="A1" s="5" t="s">
        <v>10</v>
      </c>
      <c r="B1" s="20">
        <f>EDATE(C1,-1)</f>
        <v>43435</v>
      </c>
      <c r="C1" s="20">
        <v>43466</v>
      </c>
      <c r="D1" s="20">
        <f t="shared" ref="D1:AL1" si="0">EDATE(C1,1)</f>
        <v>43497</v>
      </c>
      <c r="E1" s="20">
        <f t="shared" si="0"/>
        <v>43525</v>
      </c>
      <c r="F1" s="20">
        <f t="shared" si="0"/>
        <v>43556</v>
      </c>
      <c r="G1" s="20">
        <f t="shared" si="0"/>
        <v>43586</v>
      </c>
      <c r="H1" s="20">
        <f t="shared" si="0"/>
        <v>43617</v>
      </c>
      <c r="I1" s="20">
        <f t="shared" si="0"/>
        <v>43647</v>
      </c>
      <c r="J1" s="20">
        <f t="shared" si="0"/>
        <v>43678</v>
      </c>
      <c r="K1" s="20">
        <f t="shared" si="0"/>
        <v>43709</v>
      </c>
      <c r="L1" s="20">
        <f t="shared" si="0"/>
        <v>43739</v>
      </c>
      <c r="M1" s="20">
        <f t="shared" si="0"/>
        <v>43770</v>
      </c>
      <c r="N1" s="20">
        <f t="shared" si="0"/>
        <v>43800</v>
      </c>
      <c r="O1" s="20">
        <f t="shared" si="0"/>
        <v>43831</v>
      </c>
      <c r="P1" s="20">
        <f t="shared" si="0"/>
        <v>43862</v>
      </c>
      <c r="Q1" s="20">
        <f t="shared" si="0"/>
        <v>43891</v>
      </c>
      <c r="R1" s="20">
        <f t="shared" si="0"/>
        <v>43922</v>
      </c>
      <c r="S1" s="20">
        <f t="shared" si="0"/>
        <v>43952</v>
      </c>
      <c r="T1" s="20">
        <f t="shared" si="0"/>
        <v>43983</v>
      </c>
      <c r="U1" s="20">
        <f t="shared" si="0"/>
        <v>44013</v>
      </c>
      <c r="V1" s="20">
        <f t="shared" si="0"/>
        <v>44044</v>
      </c>
      <c r="W1" s="20">
        <f t="shared" si="0"/>
        <v>44075</v>
      </c>
      <c r="X1" s="20">
        <f t="shared" si="0"/>
        <v>44105</v>
      </c>
      <c r="Y1" s="20">
        <f t="shared" si="0"/>
        <v>44136</v>
      </c>
      <c r="Z1" s="20">
        <f t="shared" si="0"/>
        <v>44166</v>
      </c>
      <c r="AA1" s="20">
        <f t="shared" si="0"/>
        <v>44197</v>
      </c>
      <c r="AB1" s="20">
        <f t="shared" si="0"/>
        <v>44228</v>
      </c>
      <c r="AC1" s="20">
        <f t="shared" si="0"/>
        <v>44256</v>
      </c>
      <c r="AD1" s="20">
        <f t="shared" si="0"/>
        <v>44287</v>
      </c>
      <c r="AE1" s="20">
        <f t="shared" si="0"/>
        <v>44317</v>
      </c>
      <c r="AF1" s="20">
        <f t="shared" si="0"/>
        <v>44348</v>
      </c>
      <c r="AG1" s="20">
        <f t="shared" si="0"/>
        <v>44378</v>
      </c>
      <c r="AH1" s="20">
        <f t="shared" si="0"/>
        <v>44409</v>
      </c>
      <c r="AI1" s="20">
        <f t="shared" si="0"/>
        <v>44440</v>
      </c>
      <c r="AJ1" s="20">
        <f t="shared" si="0"/>
        <v>44470</v>
      </c>
      <c r="AK1" s="20">
        <f t="shared" si="0"/>
        <v>44501</v>
      </c>
      <c r="AL1" s="20">
        <f t="shared" si="0"/>
        <v>44531</v>
      </c>
    </row>
    <row r="2" spans="1:38" ht="15.75" customHeight="1" x14ac:dyDescent="0.2">
      <c r="A2" s="21" t="s">
        <v>11</v>
      </c>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row>
    <row r="3" spans="1:38" ht="15.75" customHeight="1" x14ac:dyDescent="0.2">
      <c r="A3" s="23" t="s">
        <v>12</v>
      </c>
      <c r="B3" s="22"/>
      <c r="C3" s="25">
        <f t="array" aca="1" ref="C3" ca="1">INDEX(Oper_Model_Sales_and_Marketing,MATCH(C$1,Oper_Model_Months,0))</f>
        <v>236691</v>
      </c>
      <c r="D3" s="25">
        <f t="array" aca="1" ref="D3" ca="1">INDEX(Oper_Model_Sales_and_Marketing,MATCH(D$1,Oper_Model_Months,0))</f>
        <v>266218</v>
      </c>
      <c r="E3" s="25">
        <f t="array" aca="1" ref="E3" ca="1">INDEX(Oper_Model_Sales_and_Marketing,MATCH(E$1,Oper_Model_Months,0))</f>
        <v>270508</v>
      </c>
      <c r="F3" s="25">
        <f t="array" aca="1" ref="F3" ca="1">INDEX(Oper_Model_Sales_and_Marketing,MATCH(F$1,Oper_Model_Months,0))</f>
        <v>268262</v>
      </c>
      <c r="G3" s="25">
        <f t="array" aca="1" ref="G3" ca="1">INDEX(Oper_Model_Sales_and_Marketing,MATCH(G$1,Oper_Model_Months,0))</f>
        <v>288544</v>
      </c>
      <c r="H3" s="25">
        <f t="array" aca="1" ref="H3" ca="1">INDEX(Oper_Model_Sales_and_Marketing,MATCH(H$1,Oper_Model_Months,0))</f>
        <v>285526</v>
      </c>
      <c r="I3" s="25">
        <f t="array" aca="1" ref="I3" ca="1">INDEX(Oper_Model_Sales_and_Marketing,MATCH(I$1,Oper_Model_Months,0))</f>
        <v>284126</v>
      </c>
      <c r="J3" s="25">
        <f t="array" aca="1" ref="J3" ca="1">INDEX(Oper_Model_Sales_and_Marketing,MATCH(J$1,Oper_Model_Months,0))</f>
        <v>287045</v>
      </c>
      <c r="K3" s="25">
        <f t="array" aca="1" ref="K3" ca="1">INDEX(Oper_Model_Sales_and_Marketing,MATCH(K$1,Oper_Model_Months,0))</f>
        <v>294322</v>
      </c>
      <c r="L3" s="25">
        <f t="array" aca="1" ref="L3" ca="1">INDEX(Oper_Model_Sales_and_Marketing,MATCH(L$1,Oper_Model_Months,0))</f>
        <v>277501</v>
      </c>
      <c r="M3" s="25">
        <f t="array" aca="1" ref="M3" ca="1">INDEX(Oper_Model_Sales_and_Marketing,MATCH(M$1,Oper_Model_Months,0))</f>
        <v>294377</v>
      </c>
      <c r="N3" s="25">
        <f t="array" aca="1" ref="N3" ca="1">INDEX(Oper_Model_Sales_and_Marketing,MATCH(N$1,Oper_Model_Months,0))</f>
        <v>308676</v>
      </c>
      <c r="O3" s="25">
        <f t="array" aca="1" ref="O3" ca="1">INDEX(Oper_Model_Sales_and_Marketing,MATCH(O$1,Oper_Model_Months,0))</f>
        <v>312682</v>
      </c>
      <c r="P3" s="25">
        <f t="array" aca="1" ref="P3" ca="1">INDEX(Oper_Model_Sales_and_Marketing,MATCH(P$1,Oper_Model_Months,0))</f>
        <v>326880</v>
      </c>
      <c r="Q3" s="25">
        <f t="array" aca="1" ref="Q3" ca="1">INDEX(Oper_Model_Sales_and_Marketing,MATCH(Q$1,Oper_Model_Months,0))</f>
        <v>296642</v>
      </c>
      <c r="R3" s="25">
        <f t="array" aca="1" ref="R3" ca="1">INDEX(Oper_Model_Sales_and_Marketing,MATCH(R$1,Oper_Model_Months,0))</f>
        <v>284575</v>
      </c>
      <c r="S3" s="25">
        <f t="array" aca="1" ref="S3" ca="1">INDEX(Oper_Model_Sales_and_Marketing,MATCH(S$1,Oper_Model_Months,0))</f>
        <v>275628.6895190989</v>
      </c>
      <c r="T3" s="25">
        <f t="array" aca="1" ref="T3" ca="1">INDEX(Oper_Model_Sales_and_Marketing,MATCH(T$1,Oper_Model_Months,0))</f>
        <v>290437.16025988699</v>
      </c>
      <c r="U3" s="25">
        <f t="array" aca="1" ref="U3" ca="1">INDEX(Oper_Model_Sales_and_Marketing,MATCH(U$1,Oper_Model_Months,0))</f>
        <v>305844.63572074543</v>
      </c>
      <c r="V3" s="25">
        <f t="array" aca="1" ref="V3" ca="1">INDEX(Oper_Model_Sales_and_Marketing,MATCH(V$1,Oper_Model_Months,0))</f>
        <v>321388.18137200613</v>
      </c>
      <c r="W3" s="25">
        <f t="array" aca="1" ref="W3" ca="1">INDEX(Oper_Model_Sales_and_Marketing,MATCH(W$1,Oper_Model_Months,0))</f>
        <v>337270.76314522664</v>
      </c>
      <c r="X3" s="25">
        <f t="array" aca="1" ref="X3" ca="1">INDEX(Oper_Model_Sales_and_Marketing,MATCH(X$1,Oper_Model_Months,0))</f>
        <v>384907.78326085664</v>
      </c>
      <c r="Y3" s="25">
        <f t="array" aca="1" ref="Y3" ca="1">INDEX(Oper_Model_Sales_and_Marketing,MATCH(Y$1,Oper_Model_Months,0))</f>
        <v>400854.80835042981</v>
      </c>
      <c r="Z3" s="25">
        <f t="array" aca="1" ref="Z3" ca="1">INDEX(Oper_Model_Sales_and_Marketing,MATCH(Z$1,Oper_Model_Months,0))</f>
        <v>448490.58265770611</v>
      </c>
      <c r="AA3" s="25">
        <f t="array" aca="1" ref="AA3" ca="1">INDEX(Oper_Model_Sales_and_Marketing,MATCH(AA$1,Oper_Model_Months,0))</f>
        <v>464487.08641489793</v>
      </c>
      <c r="AB3" s="25">
        <f t="array" aca="1" ref="AB3" ca="1">INDEX(Oper_Model_Sales_and_Marketing,MATCH(AB$1,Oper_Model_Months,0))</f>
        <v>512179.21556046407</v>
      </c>
      <c r="AC3" s="25">
        <f t="array" aca="1" ref="AC3" ca="1">INDEX(Oper_Model_Sales_and_Marketing,MATCH(AC$1,Oper_Model_Months,0))</f>
        <v>528229.28177051072</v>
      </c>
      <c r="AD3" s="25">
        <f t="array" aca="1" ref="AD3" ca="1">INDEX(Oper_Model_Sales_and_Marketing,MATCH(AD$1,Oper_Model_Months,0))</f>
        <v>575973.73756634886</v>
      </c>
      <c r="AE3" s="25">
        <f t="array" aca="1" ref="AE3" ca="1">INDEX(Oper_Model_Sales_and_Marketing,MATCH(AE$1,Oper_Model_Months,0))</f>
        <v>592145.20645199763</v>
      </c>
      <c r="AF3" s="25">
        <f t="array" aca="1" ref="AF3" ca="1">INDEX(Oper_Model_Sales_and_Marketing,MATCH(AF$1,Oper_Model_Months,0))</f>
        <v>608308.12371383095</v>
      </c>
      <c r="AG3" s="25">
        <f t="array" aca="1" ref="AG3" ca="1">INDEX(Oper_Model_Sales_and_Marketing,MATCH(AG$1,Oper_Model_Months,0))</f>
        <v>624530.98009443725</v>
      </c>
      <c r="AH3" s="25">
        <f t="array" aca="1" ref="AH3" ca="1">INDEX(Oper_Model_Sales_and_Marketing,MATCH(AH$1,Oper_Model_Months,0))</f>
        <v>640745.16302347055</v>
      </c>
      <c r="AI3" s="25">
        <f t="array" aca="1" ref="AI3" ca="1">INDEX(Oper_Model_Sales_and_Marketing,MATCH(AI$1,Oper_Model_Months,0))</f>
        <v>657018.76940350165</v>
      </c>
      <c r="AJ3" s="25">
        <f t="array" aca="1" ref="AJ3" ca="1">INDEX(Oper_Model_Sales_and_Marketing,MATCH(AJ$1,Oper_Model_Months,0))</f>
        <v>673351.42896824365</v>
      </c>
      <c r="AK3" s="25">
        <f t="array" aca="1" ref="AK3" ca="1">INDEX(Oper_Model_Sales_and_Marketing,MATCH(AK$1,Oper_Model_Months,0))</f>
        <v>689674.61053388193</v>
      </c>
      <c r="AL3" s="25">
        <f t="array" aca="1" ref="AL3" ca="1">INDEX(Oper_Model_Sales_and_Marketing,MATCH(AL$1,Oper_Model_Months,0))</f>
        <v>706056.46352332644</v>
      </c>
    </row>
    <row r="4" spans="1:38" ht="15.75" customHeight="1" x14ac:dyDescent="0.2">
      <c r="A4" s="23" t="s">
        <v>20</v>
      </c>
      <c r="B4" s="22"/>
      <c r="C4" s="25">
        <f t="array" ref="C4">INDEX(Revenue_Model_New_Count_1m,MATCH(C$1,Revenue_Model_Months,0))+INDEX(Revenue_Model_New_Count_12m,MATCH(C$1,Revenue_Model_Months,0))</f>
        <v>15</v>
      </c>
      <c r="D4" s="25">
        <f t="array" ref="D4">INDEX(Revenue_Model_New_Count_1m,MATCH(D$1,Revenue_Model_Months,0))+INDEX(Revenue_Model_New_Count_12m,MATCH(D$1,Revenue_Model_Months,0))</f>
        <v>25</v>
      </c>
      <c r="E4" s="25">
        <f t="array" ref="E4">INDEX(Revenue_Model_New_Count_1m,MATCH(E$1,Revenue_Model_Months,0))+INDEX(Revenue_Model_New_Count_12m,MATCH(E$1,Revenue_Model_Months,0))</f>
        <v>17</v>
      </c>
      <c r="F4" s="25">
        <f t="array" ref="F4">INDEX(Revenue_Model_New_Count_1m,MATCH(F$1,Revenue_Model_Months,0))+INDEX(Revenue_Model_New_Count_12m,MATCH(F$1,Revenue_Model_Months,0))</f>
        <v>38</v>
      </c>
      <c r="G4" s="25">
        <f t="array" ref="G4">INDEX(Revenue_Model_New_Count_1m,MATCH(G$1,Revenue_Model_Months,0))+INDEX(Revenue_Model_New_Count_12m,MATCH(G$1,Revenue_Model_Months,0))</f>
        <v>20</v>
      </c>
      <c r="H4" s="25">
        <f t="array" ref="H4">INDEX(Revenue_Model_New_Count_1m,MATCH(H$1,Revenue_Model_Months,0))+INDEX(Revenue_Model_New_Count_12m,MATCH(H$1,Revenue_Model_Months,0))</f>
        <v>29</v>
      </c>
      <c r="I4" s="25">
        <f t="array" ref="I4">INDEX(Revenue_Model_New_Count_1m,MATCH(I$1,Revenue_Model_Months,0))+INDEX(Revenue_Model_New_Count_12m,MATCH(I$1,Revenue_Model_Months,0))</f>
        <v>32</v>
      </c>
      <c r="J4" s="25">
        <f t="array" ref="J4">INDEX(Revenue_Model_New_Count_1m,MATCH(J$1,Revenue_Model_Months,0))+INDEX(Revenue_Model_New_Count_12m,MATCH(J$1,Revenue_Model_Months,0))</f>
        <v>30</v>
      </c>
      <c r="K4" s="25">
        <f t="array" ref="K4">INDEX(Revenue_Model_New_Count_1m,MATCH(K$1,Revenue_Model_Months,0))+INDEX(Revenue_Model_New_Count_12m,MATCH(K$1,Revenue_Model_Months,0))</f>
        <v>26</v>
      </c>
      <c r="L4" s="25">
        <f t="array" ref="L4">INDEX(Revenue_Model_New_Count_1m,MATCH(L$1,Revenue_Model_Months,0))+INDEX(Revenue_Model_New_Count_12m,MATCH(L$1,Revenue_Model_Months,0))</f>
        <v>21</v>
      </c>
      <c r="M4" s="25">
        <f t="array" ref="M4">INDEX(Revenue_Model_New_Count_1m,MATCH(M$1,Revenue_Model_Months,0))+INDEX(Revenue_Model_New_Count_12m,MATCH(M$1,Revenue_Model_Months,0))</f>
        <v>22</v>
      </c>
      <c r="N4" s="25">
        <f t="array" ref="N4">INDEX(Revenue_Model_New_Count_1m,MATCH(N$1,Revenue_Model_Months,0))+INDEX(Revenue_Model_New_Count_12m,MATCH(N$1,Revenue_Model_Months,0))</f>
        <v>25</v>
      </c>
      <c r="O4" s="25">
        <f t="array" ref="O4">INDEX(Revenue_Model_New_Count_1m,MATCH(O$1,Revenue_Model_Months,0))+INDEX(Revenue_Model_New_Count_12m,MATCH(O$1,Revenue_Model_Months,0))</f>
        <v>25</v>
      </c>
      <c r="P4" s="25">
        <f t="array" ref="P4">INDEX(Revenue_Model_New_Count_1m,MATCH(P$1,Revenue_Model_Months,0))+INDEX(Revenue_Model_New_Count_12m,MATCH(P$1,Revenue_Model_Months,0))</f>
        <v>28</v>
      </c>
      <c r="Q4" s="25">
        <f t="array" ref="Q4">INDEX(Revenue_Model_New_Count_1m,MATCH(Q$1,Revenue_Model_Months,0))+INDEX(Revenue_Model_New_Count_12m,MATCH(Q$1,Revenue_Model_Months,0))</f>
        <v>20</v>
      </c>
      <c r="R4" s="25">
        <f t="array" ref="R4">INDEX(Revenue_Model_New_Count_1m,MATCH(R$1,Revenue_Model_Months,0))+INDEX(Revenue_Model_New_Count_12m,MATCH(R$1,Revenue_Model_Months,0))</f>
        <v>14</v>
      </c>
      <c r="S4" s="25">
        <f t="array" aca="1" ref="S4" ca="1">INDEX(Revenue_Model_New_Count_1m,MATCH(S$1,Revenue_Model_Months,0))+INDEX(Revenue_Model_New_Count_12m,MATCH(S$1,Revenue_Model_Months,0))</f>
        <v>17</v>
      </c>
      <c r="T4" s="25">
        <f t="array" aca="1" ref="T4" ca="1">INDEX(Revenue_Model_New_Count_1m,MATCH(T$1,Revenue_Model_Months,0))+INDEX(Revenue_Model_New_Count_12m,MATCH(T$1,Revenue_Model_Months,0))</f>
        <v>18</v>
      </c>
      <c r="U4" s="25">
        <f t="array" aca="1" ref="U4" ca="1">INDEX(Revenue_Model_New_Count_1m,MATCH(U$1,Revenue_Model_Months,0))+INDEX(Revenue_Model_New_Count_12m,MATCH(U$1,Revenue_Model_Months,0))</f>
        <v>19</v>
      </c>
      <c r="V4" s="25">
        <f t="array" aca="1" ref="V4" ca="1">INDEX(Revenue_Model_New_Count_1m,MATCH(V$1,Revenue_Model_Months,0))+INDEX(Revenue_Model_New_Count_12m,MATCH(V$1,Revenue_Model_Months,0))</f>
        <v>18</v>
      </c>
      <c r="W4" s="25">
        <f t="array" aca="1" ref="W4" ca="1">INDEX(Revenue_Model_New_Count_1m,MATCH(W$1,Revenue_Model_Months,0))+INDEX(Revenue_Model_New_Count_12m,MATCH(W$1,Revenue_Model_Months,0))</f>
        <v>18</v>
      </c>
      <c r="X4" s="25">
        <f t="array" aca="1" ref="X4" ca="1">INDEX(Revenue_Model_New_Count_1m,MATCH(X$1,Revenue_Model_Months,0))+INDEX(Revenue_Model_New_Count_12m,MATCH(X$1,Revenue_Model_Months,0))</f>
        <v>19</v>
      </c>
      <c r="Y4" s="25">
        <f t="array" aca="1" ref="Y4" ca="1">INDEX(Revenue_Model_New_Count_1m,MATCH(Y$1,Revenue_Model_Months,0))+INDEX(Revenue_Model_New_Count_12m,MATCH(Y$1,Revenue_Model_Months,0))</f>
        <v>19</v>
      </c>
      <c r="Z4" s="25">
        <f t="array" aca="1" ref="Z4" ca="1">INDEX(Revenue_Model_New_Count_1m,MATCH(Z$1,Revenue_Model_Months,0))+INDEX(Revenue_Model_New_Count_12m,MATCH(Z$1,Revenue_Model_Months,0))</f>
        <v>20</v>
      </c>
      <c r="AA4" s="25">
        <f t="array" aca="1" ref="AA4" ca="1">INDEX(Revenue_Model_New_Count_1m,MATCH(AA$1,Revenue_Model_Months,0))+INDEX(Revenue_Model_New_Count_12m,MATCH(AA$1,Revenue_Model_Months,0))</f>
        <v>20</v>
      </c>
      <c r="AB4" s="25">
        <f t="array" aca="1" ref="AB4" ca="1">INDEX(Revenue_Model_New_Count_1m,MATCH(AB$1,Revenue_Model_Months,0))+INDEX(Revenue_Model_New_Count_12m,MATCH(AB$1,Revenue_Model_Months,0))</f>
        <v>21</v>
      </c>
      <c r="AC4" s="25">
        <f t="array" aca="1" ref="AC4" ca="1">INDEX(Revenue_Model_New_Count_1m,MATCH(AC$1,Revenue_Model_Months,0))+INDEX(Revenue_Model_New_Count_12m,MATCH(AC$1,Revenue_Model_Months,0))</f>
        <v>21</v>
      </c>
      <c r="AD4" s="25">
        <f t="array" aca="1" ref="AD4" ca="1">INDEX(Revenue_Model_New_Count_1m,MATCH(AD$1,Revenue_Model_Months,0))+INDEX(Revenue_Model_New_Count_12m,MATCH(AD$1,Revenue_Model_Months,0))</f>
        <v>22</v>
      </c>
      <c r="AE4" s="25">
        <f t="array" aca="1" ref="AE4" ca="1">INDEX(Revenue_Model_New_Count_1m,MATCH(AE$1,Revenue_Model_Months,0))+INDEX(Revenue_Model_New_Count_12m,MATCH(AE$1,Revenue_Model_Months,0))</f>
        <v>23</v>
      </c>
      <c r="AF4" s="25">
        <f t="array" aca="1" ref="AF4" ca="1">INDEX(Revenue_Model_New_Count_1m,MATCH(AF$1,Revenue_Model_Months,0))+INDEX(Revenue_Model_New_Count_12m,MATCH(AF$1,Revenue_Model_Months,0))</f>
        <v>23</v>
      </c>
      <c r="AG4" s="25">
        <f t="array" aca="1" ref="AG4" ca="1">INDEX(Revenue_Model_New_Count_1m,MATCH(AG$1,Revenue_Model_Months,0))+INDEX(Revenue_Model_New_Count_12m,MATCH(AG$1,Revenue_Model_Months,0))</f>
        <v>24</v>
      </c>
      <c r="AH4" s="25">
        <f t="array" aca="1" ref="AH4" ca="1">INDEX(Revenue_Model_New_Count_1m,MATCH(AH$1,Revenue_Model_Months,0))+INDEX(Revenue_Model_New_Count_12m,MATCH(AH$1,Revenue_Model_Months,0))</f>
        <v>24</v>
      </c>
      <c r="AI4" s="25">
        <f t="array" aca="1" ref="AI4" ca="1">INDEX(Revenue_Model_New_Count_1m,MATCH(AI$1,Revenue_Model_Months,0))+INDEX(Revenue_Model_New_Count_12m,MATCH(AI$1,Revenue_Model_Months,0))</f>
        <v>25</v>
      </c>
      <c r="AJ4" s="25">
        <f t="array" aca="1" ref="AJ4" ca="1">INDEX(Revenue_Model_New_Count_1m,MATCH(AJ$1,Revenue_Model_Months,0))+INDEX(Revenue_Model_New_Count_12m,MATCH(AJ$1,Revenue_Model_Months,0))</f>
        <v>26</v>
      </c>
      <c r="AK4" s="25">
        <f t="array" aca="1" ref="AK4" ca="1">INDEX(Revenue_Model_New_Count_1m,MATCH(AK$1,Revenue_Model_Months,0))+INDEX(Revenue_Model_New_Count_12m,MATCH(AK$1,Revenue_Model_Months,0))</f>
        <v>26</v>
      </c>
      <c r="AL4" s="25">
        <f t="array" aca="1" ref="AL4" ca="1">INDEX(Revenue_Model_New_Count_1m,MATCH(AL$1,Revenue_Model_Months,0))+INDEX(Revenue_Model_New_Count_12m,MATCH(AL$1,Revenue_Model_Months,0))</f>
        <v>27</v>
      </c>
    </row>
    <row r="5" spans="1:38" ht="15.75" customHeight="1" x14ac:dyDescent="0.2">
      <c r="A5" s="23" t="s">
        <v>30</v>
      </c>
      <c r="B5" s="33"/>
      <c r="C5" s="33">
        <f t="shared" ref="C5:AL5" ca="1" si="1">C3/C4</f>
        <v>15779.4</v>
      </c>
      <c r="D5" s="33">
        <f t="shared" ca="1" si="1"/>
        <v>10648.72</v>
      </c>
      <c r="E5" s="33">
        <f t="shared" ca="1" si="1"/>
        <v>15912.235294117647</v>
      </c>
      <c r="F5" s="33">
        <f t="shared" ca="1" si="1"/>
        <v>7059.5263157894733</v>
      </c>
      <c r="G5" s="33">
        <f t="shared" ca="1" si="1"/>
        <v>14427.2</v>
      </c>
      <c r="H5" s="33">
        <f t="shared" ca="1" si="1"/>
        <v>9845.7241379310344</v>
      </c>
      <c r="I5" s="33">
        <f t="shared" ca="1" si="1"/>
        <v>8878.9375</v>
      </c>
      <c r="J5" s="33">
        <f t="shared" ca="1" si="1"/>
        <v>9568.1666666666661</v>
      </c>
      <c r="K5" s="33">
        <f t="shared" ca="1" si="1"/>
        <v>11320.076923076924</v>
      </c>
      <c r="L5" s="33">
        <f t="shared" ca="1" si="1"/>
        <v>13214.333333333334</v>
      </c>
      <c r="M5" s="33">
        <f t="shared" ca="1" si="1"/>
        <v>13380.772727272728</v>
      </c>
      <c r="N5" s="33">
        <f t="shared" ca="1" si="1"/>
        <v>12347.04</v>
      </c>
      <c r="O5" s="33">
        <f t="shared" ca="1" si="1"/>
        <v>12507.28</v>
      </c>
      <c r="P5" s="33">
        <f t="shared" ca="1" si="1"/>
        <v>11674.285714285714</v>
      </c>
      <c r="Q5" s="33">
        <f t="shared" ca="1" si="1"/>
        <v>14832.1</v>
      </c>
      <c r="R5" s="33">
        <f t="shared" ca="1" si="1"/>
        <v>20326.785714285714</v>
      </c>
      <c r="S5" s="33">
        <f t="shared" ca="1" si="1"/>
        <v>16213.452324652877</v>
      </c>
      <c r="T5" s="33">
        <f t="shared" ca="1" si="1"/>
        <v>16135.397792215945</v>
      </c>
      <c r="U5" s="33">
        <f t="shared" ca="1" si="1"/>
        <v>16097.086090565548</v>
      </c>
      <c r="V5" s="33">
        <f t="shared" ca="1" si="1"/>
        <v>17854.898965111453</v>
      </c>
      <c r="W5" s="33">
        <f t="shared" ca="1" si="1"/>
        <v>18737.264619179259</v>
      </c>
      <c r="X5" s="33">
        <f t="shared" ca="1" si="1"/>
        <v>20258.304382150349</v>
      </c>
      <c r="Y5" s="33">
        <f t="shared" ca="1" si="1"/>
        <v>21097.621492127884</v>
      </c>
      <c r="Z5" s="33">
        <f t="shared" ca="1" si="1"/>
        <v>22424.529132885305</v>
      </c>
      <c r="AA5" s="33">
        <f t="shared" ca="1" si="1"/>
        <v>23224.354320744897</v>
      </c>
      <c r="AB5" s="33">
        <f t="shared" ca="1" si="1"/>
        <v>24389.486455260194</v>
      </c>
      <c r="AC5" s="33">
        <f t="shared" ca="1" si="1"/>
        <v>25153.775322405272</v>
      </c>
      <c r="AD5" s="33">
        <f t="shared" ca="1" si="1"/>
        <v>26180.624434834041</v>
      </c>
      <c r="AE5" s="33">
        <f t="shared" ca="1" si="1"/>
        <v>25745.443758782505</v>
      </c>
      <c r="AF5" s="33">
        <f t="shared" ca="1" si="1"/>
        <v>26448.179291905693</v>
      </c>
      <c r="AG5" s="33">
        <f t="shared" ca="1" si="1"/>
        <v>26022.124170601553</v>
      </c>
      <c r="AH5" s="33">
        <f t="shared" ca="1" si="1"/>
        <v>26697.715125977938</v>
      </c>
      <c r="AI5" s="33">
        <f t="shared" ca="1" si="1"/>
        <v>26280.750776140067</v>
      </c>
      <c r="AJ5" s="33">
        <f t="shared" ca="1" si="1"/>
        <v>25898.131883393988</v>
      </c>
      <c r="AK5" s="33">
        <f t="shared" ca="1" si="1"/>
        <v>26525.94655899546</v>
      </c>
      <c r="AL5" s="33">
        <f t="shared" ca="1" si="1"/>
        <v>26150.239389752831</v>
      </c>
    </row>
    <row r="6" spans="1:38" ht="15.75" customHeight="1" x14ac:dyDescent="0.2">
      <c r="A6" s="21"/>
    </row>
    <row r="7" spans="1:38" ht="15.75" customHeight="1" x14ac:dyDescent="0.2">
      <c r="A7" s="21" t="s">
        <v>31</v>
      </c>
    </row>
    <row r="8" spans="1:38" ht="15.75" customHeight="1" x14ac:dyDescent="0.2">
      <c r="A8" s="23" t="s">
        <v>32</v>
      </c>
      <c r="C8" s="25">
        <f t="array" aca="1" ref="C8" ca="1">INDEX(Oper_Model_Advertising,MATCH(C$1,Oper_Model_Months,0))</f>
        <v>135234</v>
      </c>
      <c r="D8" s="25">
        <f t="array" aca="1" ref="D8" ca="1">INDEX(Oper_Model_Advertising,MATCH(D$1,Oper_Model_Months,0))</f>
        <v>156382</v>
      </c>
      <c r="E8" s="25">
        <f t="array" aca="1" ref="E8" ca="1">INDEX(Oper_Model_Advertising,MATCH(E$1,Oper_Model_Months,0))</f>
        <v>158221</v>
      </c>
      <c r="F8" s="25">
        <f t="array" aca="1" ref="F8" ca="1">INDEX(Oper_Model_Advertising,MATCH(F$1,Oper_Model_Months,0))</f>
        <v>156382</v>
      </c>
      <c r="G8" s="25">
        <f t="array" aca="1" ref="G8" ca="1">INDEX(Oper_Model_Advertising,MATCH(G$1,Oper_Model_Months,0))</f>
        <v>171134</v>
      </c>
      <c r="H8" s="25">
        <f t="array" aca="1" ref="H8" ca="1">INDEX(Oper_Model_Advertising,MATCH(H$1,Oper_Model_Months,0))</f>
        <v>168772</v>
      </c>
      <c r="I8" s="25">
        <f t="array" aca="1" ref="I8" ca="1">INDEX(Oper_Model_Advertising,MATCH(I$1,Oper_Model_Months,0))</f>
        <v>166219</v>
      </c>
      <c r="J8" s="25">
        <f t="array" aca="1" ref="J8" ca="1">INDEX(Oper_Model_Advertising,MATCH(J$1,Oper_Model_Months,0))</f>
        <v>168021</v>
      </c>
      <c r="K8" s="25">
        <f t="array" aca="1" ref="K8" ca="1">INDEX(Oper_Model_Advertising,MATCH(K$1,Oper_Model_Months,0))</f>
        <v>172114</v>
      </c>
      <c r="L8" s="25">
        <f t="array" aca="1" ref="L8" ca="1">INDEX(Oper_Model_Advertising,MATCH(L$1,Oper_Model_Months,0))</f>
        <v>152043</v>
      </c>
      <c r="M8" s="25">
        <f t="array" aca="1" ref="M8" ca="1">INDEX(Oper_Model_Advertising,MATCH(M$1,Oper_Model_Months,0))</f>
        <v>163012</v>
      </c>
      <c r="N8" s="25">
        <f t="array" aca="1" ref="N8" ca="1">INDEX(Oper_Model_Advertising,MATCH(N$1,Oper_Model_Months,0))</f>
        <v>175421</v>
      </c>
      <c r="O8" s="25">
        <f t="array" aca="1" ref="O8" ca="1">INDEX(Oper_Model_Advertising,MATCH(O$1,Oper_Model_Months,0))</f>
        <v>179427</v>
      </c>
      <c r="P8" s="25">
        <f t="array" aca="1" ref="P8" ca="1">INDEX(Oper_Model_Advertising,MATCH(P$1,Oper_Model_Months,0))</f>
        <v>185764</v>
      </c>
      <c r="Q8" s="25">
        <f t="array" aca="1" ref="Q8" ca="1">INDEX(Oper_Model_Advertising,MATCH(Q$1,Oper_Model_Months,0))</f>
        <v>175764</v>
      </c>
      <c r="R8" s="25">
        <f t="array" aca="1" ref="R8" ca="1">INDEX(Oper_Model_Advertising,MATCH(R$1,Oper_Model_Months,0))</f>
        <v>167469</v>
      </c>
      <c r="S8" s="25">
        <f t="array" ref="S8">INDEX(Oper_Model_Advertising,MATCH(S$1,Oper_Model_Months,0))</f>
        <v>150000</v>
      </c>
      <c r="T8" s="25">
        <f t="array" ref="T8">INDEX(Oper_Model_Advertising,MATCH(T$1,Oper_Model_Months,0))</f>
        <v>165000</v>
      </c>
      <c r="U8" s="25">
        <f t="array" ref="U8">INDEX(Oper_Model_Advertising,MATCH(U$1,Oper_Model_Months,0))</f>
        <v>180000</v>
      </c>
      <c r="V8" s="25">
        <f t="array" ref="V8">INDEX(Oper_Model_Advertising,MATCH(V$1,Oper_Model_Months,0))</f>
        <v>195000</v>
      </c>
      <c r="W8" s="25">
        <f t="array" ref="W8">INDEX(Oper_Model_Advertising,MATCH(W$1,Oper_Model_Months,0))</f>
        <v>210000</v>
      </c>
      <c r="X8" s="25">
        <f t="array" ref="X8">INDEX(Oper_Model_Advertising,MATCH(X$1,Oper_Model_Months,0))</f>
        <v>225000</v>
      </c>
      <c r="Y8" s="25">
        <f t="array" ref="Y8">INDEX(Oper_Model_Advertising,MATCH(Y$1,Oper_Model_Months,0))</f>
        <v>240000</v>
      </c>
      <c r="Z8" s="25">
        <f t="array" ref="Z8">INDEX(Oper_Model_Advertising,MATCH(Z$1,Oper_Model_Months,0))</f>
        <v>255000</v>
      </c>
      <c r="AA8" s="25">
        <f t="array" ref="AA8">INDEX(Oper_Model_Advertising,MATCH(AA$1,Oper_Model_Months,0))</f>
        <v>270000</v>
      </c>
      <c r="AB8" s="25">
        <f t="array" ref="AB8">INDEX(Oper_Model_Advertising,MATCH(AB$1,Oper_Model_Months,0))</f>
        <v>285000</v>
      </c>
      <c r="AC8" s="25">
        <f t="array" ref="AC8">INDEX(Oper_Model_Advertising,MATCH(AC$1,Oper_Model_Months,0))</f>
        <v>300000</v>
      </c>
      <c r="AD8" s="25">
        <f t="array" ref="AD8">INDEX(Oper_Model_Advertising,MATCH(AD$1,Oper_Model_Months,0))</f>
        <v>315000</v>
      </c>
      <c r="AE8" s="25">
        <f t="array" ref="AE8">INDEX(Oper_Model_Advertising,MATCH(AE$1,Oper_Model_Months,0))</f>
        <v>330000</v>
      </c>
      <c r="AF8" s="25">
        <f t="array" ref="AF8">INDEX(Oper_Model_Advertising,MATCH(AF$1,Oper_Model_Months,0))</f>
        <v>345000</v>
      </c>
      <c r="AG8" s="25">
        <f t="array" ref="AG8">INDEX(Oper_Model_Advertising,MATCH(AG$1,Oper_Model_Months,0))</f>
        <v>360000</v>
      </c>
      <c r="AH8" s="25">
        <f t="array" ref="AH8">INDEX(Oper_Model_Advertising,MATCH(AH$1,Oper_Model_Months,0))</f>
        <v>375000</v>
      </c>
      <c r="AI8" s="25">
        <f t="array" ref="AI8">INDEX(Oper_Model_Advertising,MATCH(AI$1,Oper_Model_Months,0))</f>
        <v>390000</v>
      </c>
      <c r="AJ8" s="25">
        <f t="array" ref="AJ8">INDEX(Oper_Model_Advertising,MATCH(AJ$1,Oper_Model_Months,0))</f>
        <v>405000</v>
      </c>
      <c r="AK8" s="25">
        <f t="array" ref="AK8">INDEX(Oper_Model_Advertising,MATCH(AK$1,Oper_Model_Months,0))</f>
        <v>420000</v>
      </c>
      <c r="AL8" s="25">
        <f t="array" ref="AL8">INDEX(Oper_Model_Advertising,MATCH(AL$1,Oper_Model_Months,0))</f>
        <v>435000</v>
      </c>
    </row>
    <row r="9" spans="1:38" ht="15.75" customHeight="1" x14ac:dyDescent="0.2">
      <c r="A9" s="23" t="s">
        <v>20</v>
      </c>
      <c r="C9" s="25">
        <f t="array" aca="1" ref="C9" ca="1">INDEX(Marketing_Funnel_New_Customers_AdWords,MATCH(C$1,Marketing_Funnel_Months,0))</f>
        <v>8</v>
      </c>
      <c r="D9" s="25">
        <f t="array" aca="1" ref="D9" ca="1">INDEX(Marketing_Funnel_New_Customers_AdWords,MATCH(D$1,Marketing_Funnel_Months,0))</f>
        <v>12</v>
      </c>
      <c r="E9" s="25">
        <f t="array" aca="1" ref="E9" ca="1">INDEX(Marketing_Funnel_New_Customers_AdWords,MATCH(E$1,Marketing_Funnel_Months,0))</f>
        <v>9</v>
      </c>
      <c r="F9" s="25">
        <f t="array" aca="1" ref="F9" ca="1">INDEX(Marketing_Funnel_New_Customers_AdWords,MATCH(F$1,Marketing_Funnel_Months,0))</f>
        <v>20</v>
      </c>
      <c r="G9" s="25">
        <f t="array" aca="1" ref="G9" ca="1">INDEX(Marketing_Funnel_New_Customers_AdWords,MATCH(G$1,Marketing_Funnel_Months,0))</f>
        <v>10</v>
      </c>
      <c r="H9" s="25">
        <f t="array" aca="1" ref="H9" ca="1">INDEX(Marketing_Funnel_New_Customers_AdWords,MATCH(H$1,Marketing_Funnel_Months,0))</f>
        <v>10</v>
      </c>
      <c r="I9" s="25">
        <f t="array" aca="1" ref="I9" ca="1">INDEX(Marketing_Funnel_New_Customers_AdWords,MATCH(I$1,Marketing_Funnel_Months,0))</f>
        <v>15</v>
      </c>
      <c r="J9" s="25">
        <f t="array" aca="1" ref="J9" ca="1">INDEX(Marketing_Funnel_New_Customers_AdWords,MATCH(J$1,Marketing_Funnel_Months,0))</f>
        <v>17</v>
      </c>
      <c r="K9" s="25">
        <f t="array" aca="1" ref="K9" ca="1">INDEX(Marketing_Funnel_New_Customers_AdWords,MATCH(K$1,Marketing_Funnel_Months,0))</f>
        <v>14</v>
      </c>
      <c r="L9" s="25">
        <f t="array" aca="1" ref="L9" ca="1">INDEX(Marketing_Funnel_New_Customers_AdWords,MATCH(L$1,Marketing_Funnel_Months,0))</f>
        <v>10</v>
      </c>
      <c r="M9" s="25">
        <f t="array" aca="1" ref="M9" ca="1">INDEX(Marketing_Funnel_New_Customers_AdWords,MATCH(M$1,Marketing_Funnel_Months,0))</f>
        <v>11</v>
      </c>
      <c r="N9" s="25">
        <f t="array" aca="1" ref="N9" ca="1">INDEX(Marketing_Funnel_New_Customers_AdWords,MATCH(N$1,Marketing_Funnel_Months,0))</f>
        <v>12</v>
      </c>
      <c r="O9" s="25">
        <f t="array" aca="1" ref="O9" ca="1">INDEX(Marketing_Funnel_New_Customers_AdWords,MATCH(O$1,Marketing_Funnel_Months,0))</f>
        <v>12</v>
      </c>
      <c r="P9" s="25">
        <f t="array" aca="1" ref="P9" ca="1">INDEX(Marketing_Funnel_New_Customers_AdWords,MATCH(P$1,Marketing_Funnel_Months,0))</f>
        <v>14</v>
      </c>
      <c r="Q9" s="25">
        <f t="array" aca="1" ref="Q9" ca="1">INDEX(Marketing_Funnel_New_Customers_AdWords,MATCH(Q$1,Marketing_Funnel_Months,0))</f>
        <v>10</v>
      </c>
      <c r="R9" s="25">
        <f t="array" aca="1" ref="R9" ca="1">INDEX(Marketing_Funnel_New_Customers_AdWords,MATCH(R$1,Marketing_Funnel_Months,0))</f>
        <v>7</v>
      </c>
      <c r="S9" s="25">
        <f t="array" aca="1" ref="S9" ca="1">INDEX(Marketing_Funnel_New_Customers_AdWords,MATCH(S$1,Marketing_Funnel_Months,0))</f>
        <v>8.79021998234394</v>
      </c>
      <c r="T9" s="25">
        <f t="array" aca="1" ref="T9" ca="1">INDEX(Marketing_Funnel_New_Customers_AdWords,MATCH(T$1,Marketing_Funnel_Months,0))</f>
        <v>8.62753768925994</v>
      </c>
      <c r="U9" s="25">
        <f t="array" aca="1" ref="U9" ca="1">INDEX(Marketing_Funnel_New_Customers_AdWords,MATCH(U$1,Marketing_Funnel_Months,0))</f>
        <v>9.1098005900662997</v>
      </c>
      <c r="V9" s="25">
        <f t="array" aca="1" ref="V9" ca="1">INDEX(Marketing_Funnel_New_Customers_AdWords,MATCH(V$1,Marketing_Funnel_Months,0))</f>
        <v>10.450250224294299</v>
      </c>
      <c r="W9" s="25">
        <f t="array" aca="1" ref="W9" ca="1">INDEX(Marketing_Funnel_New_Customers_AdWords,MATCH(W$1,Marketing_Funnel_Months,0))</f>
        <v>10.9618399736302</v>
      </c>
      <c r="X9" s="25">
        <f t="array" aca="1" ref="X9" ca="1">INDEX(Marketing_Funnel_New_Customers_AdWords,MATCH(X$1,Marketing_Funnel_Months,0))</f>
        <v>11.7391887646118</v>
      </c>
      <c r="Y9" s="25">
        <f t="array" aca="1" ref="Y9" ca="1">INDEX(Marketing_Funnel_New_Customers_AdWords,MATCH(Y$1,Marketing_Funnel_Months,0))</f>
        <v>12.6290586523948</v>
      </c>
      <c r="Z9" s="25">
        <f t="array" aca="1" ref="Z9" ca="1">INDEX(Marketing_Funnel_New_Customers_AdWords,MATCH(Z$1,Marketing_Funnel_Months,0))</f>
        <v>13.3469219031295</v>
      </c>
      <c r="AA9" s="25">
        <f t="array" aca="1" ref="AA9" ca="1">INDEX(Marketing_Funnel_New_Customers_AdWords,MATCH(AA$1,Marketing_Funnel_Months,0))</f>
        <v>14.143188495051</v>
      </c>
      <c r="AB9" s="25">
        <f t="array" aca="1" ref="AB9" ca="1">INDEX(Marketing_Funnel_New_Customers_AdWords,MATCH(AB$1,Marketing_Funnel_Months,0))</f>
        <v>14.946357097273101</v>
      </c>
      <c r="AC9" s="25">
        <f t="array" aca="1" ref="AC9" ca="1">INDEX(Marketing_Funnel_New_Customers_AdWords,MATCH(AC$1,Marketing_Funnel_Months,0))</f>
        <v>15.717210183501299</v>
      </c>
      <c r="AD9" s="25">
        <f t="array" aca="1" ref="AD9" ca="1">INDEX(Marketing_Funnel_New_Customers_AdWords,MATCH(AD$1,Marketing_Funnel_Months,0))</f>
        <v>16.507752127935699</v>
      </c>
      <c r="AE9" s="25">
        <f t="array" aca="1" ref="AE9" ca="1">INDEX(Marketing_Funnel_New_Customers_AdWords,MATCH(AE$1,Marketing_Funnel_Months,0))</f>
        <v>17.296150449860399</v>
      </c>
      <c r="AF9" s="25">
        <f t="array" aca="1" ref="AF9" ca="1">INDEX(Marketing_Funnel_New_Customers_AdWords,MATCH(AF$1,Marketing_Funnel_Months,0))</f>
        <v>18.079136404918099</v>
      </c>
      <c r="AG9" s="25">
        <f t="array" aca="1" ref="AG9" ca="1">INDEX(Marketing_Funnel_New_Customers_AdWords,MATCH(AG$1,Marketing_Funnel_Months,0))</f>
        <v>18.866559630077901</v>
      </c>
      <c r="AH9" s="25">
        <f t="array" aca="1" ref="AH9" ca="1">INDEX(Marketing_Funnel_New_Customers_AdWords,MATCH(AH$1,Marketing_Funnel_Months,0))</f>
        <v>19.652842929295801</v>
      </c>
      <c r="AI9" s="25">
        <f t="array" aca="1" ref="AI9" ca="1">INDEX(Marketing_Funnel_New_Customers_AdWords,MATCH(AI$1,Marketing_Funnel_Months,0))</f>
        <v>20.438361292661</v>
      </c>
      <c r="AJ9" s="25">
        <f t="array" aca="1" ref="AJ9" ca="1">INDEX(Marketing_Funnel_New_Customers_AdWords,MATCH(AJ$1,Marketing_Funnel_Months,0))</f>
        <v>21.224794986732501</v>
      </c>
      <c r="AK9" s="25">
        <f t="array" aca="1" ref="AK9" ca="1">INDEX(Marketing_Funnel_New_Customers_AdWords,MATCH(AK$1,Marketing_Funnel_Months,0))</f>
        <v>22.010871510811501</v>
      </c>
      <c r="AL9" s="25">
        <f t="array" aca="1" ref="AL9" ca="1">INDEX(Marketing_Funnel_New_Customers_AdWords,MATCH(AL$1,Marketing_Funnel_Months,0))</f>
        <v>22.796874147110401</v>
      </c>
    </row>
    <row r="10" spans="1:38" ht="15.75" customHeight="1" x14ac:dyDescent="0.2">
      <c r="A10" s="23" t="s">
        <v>30</v>
      </c>
      <c r="C10" s="33">
        <f t="shared" ref="C10:AL10" ca="1" si="2">C8/C9</f>
        <v>16904.25</v>
      </c>
      <c r="D10" s="33">
        <f t="shared" ca="1" si="2"/>
        <v>13031.833333333334</v>
      </c>
      <c r="E10" s="33">
        <f t="shared" ca="1" si="2"/>
        <v>17580.111111111109</v>
      </c>
      <c r="F10" s="33">
        <f t="shared" ca="1" si="2"/>
        <v>7819.1</v>
      </c>
      <c r="G10" s="33">
        <f t="shared" ca="1" si="2"/>
        <v>17113.400000000001</v>
      </c>
      <c r="H10" s="33">
        <f t="shared" ca="1" si="2"/>
        <v>16877.2</v>
      </c>
      <c r="I10" s="33">
        <f t="shared" ca="1" si="2"/>
        <v>11081.266666666666</v>
      </c>
      <c r="J10" s="33">
        <f t="shared" ca="1" si="2"/>
        <v>9883.5882352941171</v>
      </c>
      <c r="K10" s="33">
        <f t="shared" ca="1" si="2"/>
        <v>12293.857142857143</v>
      </c>
      <c r="L10" s="33">
        <f t="shared" ca="1" si="2"/>
        <v>15204.3</v>
      </c>
      <c r="M10" s="33">
        <f t="shared" ca="1" si="2"/>
        <v>14819.272727272728</v>
      </c>
      <c r="N10" s="33">
        <f t="shared" ca="1" si="2"/>
        <v>14618.416666666666</v>
      </c>
      <c r="O10" s="33">
        <f t="shared" ca="1" si="2"/>
        <v>14952.25</v>
      </c>
      <c r="P10" s="33">
        <f t="shared" ca="1" si="2"/>
        <v>13268.857142857143</v>
      </c>
      <c r="Q10" s="33">
        <f t="shared" ca="1" si="2"/>
        <v>17576.400000000001</v>
      </c>
      <c r="R10" s="33">
        <f t="shared" ca="1" si="2"/>
        <v>23924.142857142859</v>
      </c>
      <c r="S10" s="33">
        <f t="shared" ca="1" si="2"/>
        <v>17064.419354838719</v>
      </c>
      <c r="T10" s="33">
        <f t="shared" ca="1" si="2"/>
        <v>19124.807789063801</v>
      </c>
      <c r="U10" s="33">
        <f t="shared" ca="1" si="2"/>
        <v>19758.93964092687</v>
      </c>
      <c r="V10" s="33">
        <f t="shared" ca="1" si="2"/>
        <v>18659.840273170899</v>
      </c>
      <c r="W10" s="33">
        <f t="shared" ca="1" si="2"/>
        <v>19157.367787267096</v>
      </c>
      <c r="X10" s="33">
        <f t="shared" ca="1" si="2"/>
        <v>19166.571431091597</v>
      </c>
      <c r="Y10" s="33">
        <f t="shared" ca="1" si="2"/>
        <v>19003.791700222228</v>
      </c>
      <c r="Z10" s="33">
        <f t="shared" ca="1" si="2"/>
        <v>19105.52873919261</v>
      </c>
      <c r="AA10" s="33">
        <f t="shared" ca="1" si="2"/>
        <v>19090.461821567231</v>
      </c>
      <c r="AB10" s="33">
        <f t="shared" ca="1" si="2"/>
        <v>19068.191542941058</v>
      </c>
      <c r="AC10" s="33">
        <f t="shared" ca="1" si="2"/>
        <v>19087.356884424476</v>
      </c>
      <c r="AD10" s="33">
        <f t="shared" ca="1" si="2"/>
        <v>19081.943898765752</v>
      </c>
      <c r="AE10" s="33">
        <f t="shared" ca="1" si="2"/>
        <v>19079.390003956836</v>
      </c>
      <c r="AF10" s="33">
        <f t="shared" ca="1" si="2"/>
        <v>19082.769899681105</v>
      </c>
      <c r="AG10" s="33">
        <f t="shared" ca="1" si="2"/>
        <v>19081.38033953324</v>
      </c>
      <c r="AH10" s="33">
        <f t="shared" ca="1" si="2"/>
        <v>19081.208828113144</v>
      </c>
      <c r="AI10" s="33">
        <f t="shared" ca="1" si="2"/>
        <v>19081.764649108198</v>
      </c>
      <c r="AJ10" s="33">
        <f t="shared" ca="1" si="2"/>
        <v>19081.456393485223</v>
      </c>
      <c r="AK10" s="33">
        <f t="shared" ca="1" si="2"/>
        <v>19081.479794823234</v>
      </c>
      <c r="AL10" s="33">
        <f t="shared" ca="1" si="2"/>
        <v>19081.563428078058</v>
      </c>
    </row>
    <row r="11" spans="1:38" ht="15.75" customHeight="1" x14ac:dyDescent="0.2">
      <c r="A11" s="21"/>
    </row>
    <row r="12" spans="1:38" ht="15.75" customHeight="1" x14ac:dyDescent="0.2">
      <c r="A12" s="21" t="s">
        <v>34</v>
      </c>
    </row>
    <row r="13" spans="1:38" ht="15.75" customHeight="1" x14ac:dyDescent="0.2">
      <c r="A13" s="23" t="s">
        <v>9</v>
      </c>
      <c r="B13" s="22"/>
      <c r="C13" s="25">
        <f t="array" aca="1" ref="C13" ca="1">INDEX(Oper_Model_Revenue,MATCH(C$1,Oper_Model_Months,0))</f>
        <v>505058</v>
      </c>
      <c r="D13" s="25">
        <f t="array" aca="1" ref="D13" ca="1">INDEX(Oper_Model_Revenue,MATCH(D$1,Oper_Model_Months,0))</f>
        <v>525437</v>
      </c>
      <c r="E13" s="25">
        <f t="array" aca="1" ref="E13" ca="1">INDEX(Oper_Model_Revenue,MATCH(E$1,Oper_Model_Months,0))</f>
        <v>542733</v>
      </c>
      <c r="F13" s="25">
        <f t="array" aca="1" ref="F13" ca="1">INDEX(Oper_Model_Revenue,MATCH(F$1,Oper_Model_Months,0))</f>
        <v>598887</v>
      </c>
      <c r="G13" s="25">
        <f t="array" aca="1" ref="G13" ca="1">INDEX(Oper_Model_Revenue,MATCH(G$1,Oper_Model_Months,0))</f>
        <v>614053</v>
      </c>
      <c r="H13" s="25">
        <f t="array" aca="1" ref="H13" ca="1">INDEX(Oper_Model_Revenue,MATCH(H$1,Oper_Model_Months,0))</f>
        <v>637488</v>
      </c>
      <c r="I13" s="25">
        <f t="array" aca="1" ref="I13" ca="1">INDEX(Oper_Model_Revenue,MATCH(I$1,Oper_Model_Months,0))</f>
        <v>657516</v>
      </c>
      <c r="J13" s="25">
        <f t="array" aca="1" ref="J13" ca="1">INDEX(Oper_Model_Revenue,MATCH(J$1,Oper_Model_Months,0))</f>
        <v>685483</v>
      </c>
      <c r="K13" s="25">
        <f t="array" aca="1" ref="K13" ca="1">INDEX(Oper_Model_Revenue,MATCH(K$1,Oper_Model_Months,0))</f>
        <v>718774</v>
      </c>
      <c r="L13" s="25">
        <f t="array" aca="1" ref="L13" ca="1">INDEX(Oper_Model_Revenue,MATCH(L$1,Oper_Model_Months,0))</f>
        <v>754542</v>
      </c>
      <c r="M13" s="25">
        <f t="array" aca="1" ref="M13" ca="1">INDEX(Oper_Model_Revenue,MATCH(M$1,Oper_Model_Months,0))</f>
        <v>787554</v>
      </c>
      <c r="N13" s="25">
        <f t="array" aca="1" ref="N13" ca="1">INDEX(Oper_Model_Revenue,MATCH(N$1,Oper_Model_Months,0))</f>
        <v>808046</v>
      </c>
      <c r="O13" s="25">
        <f t="array" aca="1" ref="O13" ca="1">INDEX(Oper_Model_Revenue,MATCH(O$1,Oper_Model_Months,0))</f>
        <v>824529</v>
      </c>
      <c r="P13" s="25">
        <f t="array" aca="1" ref="P13" ca="1">INDEX(Oper_Model_Revenue,MATCH(P$1,Oper_Model_Months,0))</f>
        <v>844626</v>
      </c>
      <c r="Q13" s="25">
        <f t="array" aca="1" ref="Q13" ca="1">INDEX(Oper_Model_Revenue,MATCH(Q$1,Oper_Model_Months,0))</f>
        <v>819162.19</v>
      </c>
      <c r="R13" s="25">
        <f t="array" aca="1" ref="R13" ca="1">INDEX(Oper_Model_Revenue,MATCH(R$1,Oper_Model_Months,0))</f>
        <v>796507</v>
      </c>
      <c r="S13" s="25">
        <f t="array" aca="1" ref="S13" ca="1">INDEX(Oper_Model_Revenue,MATCH(S$1,Oper_Model_Months,0))</f>
        <v>780349.42888759938</v>
      </c>
      <c r="T13" s="25">
        <f t="array" aca="1" ref="T13" ca="1">INDEX(Oper_Model_Revenue,MATCH(T$1,Oper_Model_Months,0))</f>
        <v>776838.89834164642</v>
      </c>
      <c r="U13" s="25">
        <f t="array" aca="1" ref="U13" ca="1">INDEX(Oper_Model_Revenue,MATCH(U$1,Oper_Model_Months,0))</f>
        <v>784307.49639270024</v>
      </c>
      <c r="V13" s="25">
        <f t="array" aca="1" ref="V13" ca="1">INDEX(Oper_Model_Revenue,MATCH(V$1,Oper_Model_Months,0))</f>
        <v>794270.11839480256</v>
      </c>
      <c r="W13" s="25">
        <f t="array" aca="1" ref="W13" ca="1">INDEX(Oper_Model_Revenue,MATCH(W$1,Oper_Model_Months,0))</f>
        <v>810446.91710921796</v>
      </c>
      <c r="X13" s="25">
        <f t="array" aca="1" ref="X13" ca="1">INDEX(Oper_Model_Revenue,MATCH(X$1,Oper_Model_Months,0))</f>
        <v>828843.4436886058</v>
      </c>
      <c r="Y13" s="25">
        <f t="array" aca="1" ref="Y13" ca="1">INDEX(Oper_Model_Revenue,MATCH(Y$1,Oper_Model_Months,0))</f>
        <v>846201.42083742563</v>
      </c>
      <c r="Z13" s="25">
        <f t="array" aca="1" ref="Z13" ca="1">INDEX(Oper_Model_Revenue,MATCH(Z$1,Oper_Model_Months,0))</f>
        <v>864575.11305563885</v>
      </c>
      <c r="AA13" s="25">
        <f t="array" aca="1" ref="AA13" ca="1">INDEX(Oper_Model_Revenue,MATCH(AA$1,Oper_Model_Months,0))</f>
        <v>882839.9823146424</v>
      </c>
      <c r="AB13" s="25">
        <f t="array" aca="1" ref="AB13" ca="1">INDEX(Oper_Model_Revenue,MATCH(AB$1,Oper_Model_Months,0))</f>
        <v>902246.59964331996</v>
      </c>
      <c r="AC13" s="25">
        <f t="array" aca="1" ref="AC13" ca="1">INDEX(Oper_Model_Revenue,MATCH(AC$1,Oper_Model_Months,0))</f>
        <v>921493.21251495357</v>
      </c>
      <c r="AD13" s="25">
        <f t="array" aca="1" ref="AD13" ca="1">INDEX(Oper_Model_Revenue,MATCH(AD$1,Oper_Model_Months,0))</f>
        <v>941858.92249037873</v>
      </c>
      <c r="AE13" s="25">
        <f t="array" aca="1" ref="AE13" ca="1">INDEX(Oper_Model_Revenue,MATCH(AE$1,Oper_Model_Months,0))</f>
        <v>963330.71914236806</v>
      </c>
      <c r="AF13" s="25">
        <f t="array" aca="1" ref="AF13" ca="1">INDEX(Oper_Model_Revenue,MATCH(AF$1,Oper_Model_Months,0))</f>
        <v>984645.77349427529</v>
      </c>
      <c r="AG13" s="25">
        <f t="array" aca="1" ref="AG13" ca="1">INDEX(Oper_Model_Revenue,MATCH(AG$1,Oper_Model_Months,0))</f>
        <v>1007059.4490605886</v>
      </c>
      <c r="AH13" s="25">
        <f t="array" aca="1" ref="AH13" ca="1">INDEX(Oper_Model_Revenue,MATCH(AH$1,Oper_Model_Months,0))</f>
        <v>1029314.1493517382</v>
      </c>
      <c r="AI13" s="25">
        <f t="array" aca="1" ref="AI13" ca="1">INDEX(Oper_Model_Revenue,MATCH(AI$1,Oper_Model_Months,0))</f>
        <v>1052658.0192075358</v>
      </c>
      <c r="AJ13" s="25">
        <f t="array" aca="1" ref="AJ13" ca="1">INDEX(Oper_Model_Revenue,MATCH(AJ$1,Oper_Model_Months,0))</f>
        <v>1077084.2720350875</v>
      </c>
      <c r="AK13" s="25">
        <f t="array" aca="1" ref="AK13" ca="1">INDEX(Oper_Model_Revenue,MATCH(AK$1,Oper_Model_Months,0))</f>
        <v>1101336.8030746204</v>
      </c>
      <c r="AL13" s="25">
        <f t="array" aca="1" ref="AL13" ca="1">INDEX(Oper_Model_Revenue,MATCH(AL$1,Oper_Model_Months,0))</f>
        <v>1126664.7198087142</v>
      </c>
    </row>
    <row r="14" spans="1:38" ht="15.75" customHeight="1" x14ac:dyDescent="0.2">
      <c r="A14" s="23" t="s">
        <v>13</v>
      </c>
      <c r="B14" s="22"/>
      <c r="C14" s="25">
        <f t="array" aca="1" ref="C14" ca="1">INDEX(Oper_Model_Cost_of_Revenue,MATCH(C$1,Oper_Model_Months,0))</f>
        <v>111864</v>
      </c>
      <c r="D14" s="25">
        <f t="array" aca="1" ref="D14" ca="1">INDEX(Oper_Model_Cost_of_Revenue,MATCH(D$1,Oper_Model_Months,0))</f>
        <v>111333</v>
      </c>
      <c r="E14" s="25">
        <f t="array" aca="1" ref="E14" ca="1">INDEX(Oper_Model_Cost_of_Revenue,MATCH(E$1,Oper_Model_Months,0))</f>
        <v>114806</v>
      </c>
      <c r="F14" s="25">
        <f t="array" aca="1" ref="F14" ca="1">INDEX(Oper_Model_Cost_of_Revenue,MATCH(F$1,Oper_Model_Months,0))</f>
        <v>115813</v>
      </c>
      <c r="G14" s="25">
        <f t="array" aca="1" ref="G14" ca="1">INDEX(Oper_Model_Cost_of_Revenue,MATCH(G$1,Oper_Model_Months,0))</f>
        <v>123316</v>
      </c>
      <c r="H14" s="25">
        <f t="array" aca="1" ref="H14" ca="1">INDEX(Oper_Model_Cost_of_Revenue,MATCH(H$1,Oper_Model_Months,0))</f>
        <v>121692</v>
      </c>
      <c r="I14" s="25">
        <f t="array" aca="1" ref="I14" ca="1">INDEX(Oper_Model_Cost_of_Revenue,MATCH(I$1,Oper_Model_Months,0))</f>
        <v>122814</v>
      </c>
      <c r="J14" s="25">
        <f t="array" aca="1" ref="J14" ca="1">INDEX(Oper_Model_Cost_of_Revenue,MATCH(J$1,Oper_Model_Months,0))</f>
        <v>124795</v>
      </c>
      <c r="K14" s="25">
        <f t="array" aca="1" ref="K14" ca="1">INDEX(Oper_Model_Cost_of_Revenue,MATCH(K$1,Oper_Model_Months,0))</f>
        <v>126787</v>
      </c>
      <c r="L14" s="25">
        <f t="array" aca="1" ref="L14" ca="1">INDEX(Oper_Model_Cost_of_Revenue,MATCH(L$1,Oper_Model_Months,0))</f>
        <v>132805</v>
      </c>
      <c r="M14" s="25">
        <f t="array" aca="1" ref="M14" ca="1">INDEX(Oper_Model_Cost_of_Revenue,MATCH(M$1,Oper_Model_Months,0))</f>
        <v>138091</v>
      </c>
      <c r="N14" s="25">
        <f t="array" aca="1" ref="N14" ca="1">INDEX(Oper_Model_Cost_of_Revenue,MATCH(N$1,Oper_Model_Months,0))</f>
        <v>142756</v>
      </c>
      <c r="O14" s="25">
        <f t="array" aca="1" ref="O14" ca="1">INDEX(Oper_Model_Cost_of_Revenue,MATCH(O$1,Oper_Model_Months,0))</f>
        <v>144559</v>
      </c>
      <c r="P14" s="25">
        <f t="array" aca="1" ref="P14" ca="1">INDEX(Oper_Model_Cost_of_Revenue,MATCH(P$1,Oper_Model_Months,0))</f>
        <v>147471</v>
      </c>
      <c r="Q14" s="25">
        <f t="array" aca="1" ref="Q14" ca="1">INDEX(Oper_Model_Cost_of_Revenue,MATCH(Q$1,Oper_Model_Months,0))</f>
        <v>146844</v>
      </c>
      <c r="R14" s="25">
        <f t="array" aca="1" ref="R14" ca="1">INDEX(Oper_Model_Cost_of_Revenue,MATCH(R$1,Oper_Model_Months,0))</f>
        <v>145771</v>
      </c>
      <c r="S14" s="25">
        <f t="array" aca="1" ref="S14" ca="1">INDEX(Oper_Model_Cost_of_Revenue,MATCH(S$1,Oper_Model_Months,0))</f>
        <v>143824.40636466118</v>
      </c>
      <c r="T14" s="25">
        <f t="array" aca="1" ref="T14" ca="1">INDEX(Oper_Model_Cost_of_Revenue,MATCH(T$1,Oper_Model_Months,0))</f>
        <v>143487.71696146208</v>
      </c>
      <c r="U14" s="25">
        <f t="array" aca="1" ref="U14" ca="1">INDEX(Oper_Model_Cost_of_Revenue,MATCH(U$1,Oper_Model_Months,0))</f>
        <v>144204.01832606411</v>
      </c>
      <c r="V14" s="25">
        <f t="array" aca="1" ref="V14" ca="1">INDEX(Oper_Model_Cost_of_Revenue,MATCH(V$1,Oper_Model_Months,0))</f>
        <v>145159.51756251228</v>
      </c>
      <c r="W14" s="25">
        <f t="array" aca="1" ref="W14" ca="1">INDEX(Oper_Model_Cost_of_Revenue,MATCH(W$1,Oper_Model_Months,0))</f>
        <v>146711.0086073936</v>
      </c>
      <c r="X14" s="25">
        <f t="array" aca="1" ref="X14" ca="1">INDEX(Oper_Model_Cost_of_Revenue,MATCH(X$1,Oper_Model_Months,0))</f>
        <v>156508.72355594771</v>
      </c>
      <c r="Y14" s="25">
        <f t="array" aca="1" ref="Y14" ca="1">INDEX(Oper_Model_Cost_of_Revenue,MATCH(Y$1,Oper_Model_Months,0))</f>
        <v>158173.49954649335</v>
      </c>
      <c r="Z14" s="25">
        <f t="array" aca="1" ref="Z14" ca="1">INDEX(Oper_Model_Cost_of_Revenue,MATCH(Z$1,Oper_Model_Months,0))</f>
        <v>168439.85782110534</v>
      </c>
      <c r="AA14" s="25">
        <f t="array" aca="1" ref="AA14" ca="1">INDEX(Oper_Model_Cost_of_Revenue,MATCH(AA$1,Oper_Model_Months,0))</f>
        <v>170191.61239205269</v>
      </c>
      <c r="AB14" s="25">
        <f t="array" aca="1" ref="AB14" ca="1">INDEX(Oper_Model_Cost_of_Revenue,MATCH(AB$1,Oper_Model_Months,0))</f>
        <v>180086.20353840754</v>
      </c>
      <c r="AC14" s="25">
        <f t="array" aca="1" ref="AC14" ca="1">INDEX(Oper_Model_Cost_of_Revenue,MATCH(AC$1,Oper_Model_Months,0))</f>
        <v>181932.11557834828</v>
      </c>
      <c r="AD14" s="25">
        <f t="array" aca="1" ref="AD14" ca="1">INDEX(Oper_Model_Cost_of_Revenue,MATCH(AD$1,Oper_Model_Months,0))</f>
        <v>183885.35844223859</v>
      </c>
      <c r="AE14" s="25">
        <f t="array" aca="1" ref="AE14" ca="1">INDEX(Oper_Model_Cost_of_Revenue,MATCH(AE$1,Oper_Model_Months,0))</f>
        <v>185944.68432068874</v>
      </c>
      <c r="AF14" s="25">
        <f t="array" aca="1" ref="AF14" ca="1">INDEX(Oper_Model_Cost_of_Revenue,MATCH(AF$1,Oper_Model_Months,0))</f>
        <v>187988.97729434574</v>
      </c>
      <c r="AG14" s="25">
        <f t="array" aca="1" ref="AG14" ca="1">INDEX(Oper_Model_Cost_of_Revenue,MATCH(AG$1,Oper_Model_Months,0))</f>
        <v>190138.63728195638</v>
      </c>
      <c r="AH14" s="25">
        <f t="array" aca="1" ref="AH14" ca="1">INDEX(Oper_Model_Cost_of_Revenue,MATCH(AH$1,Oper_Model_Months,0))</f>
        <v>192273.05020368411</v>
      </c>
      <c r="AI14" s="25">
        <f t="array" aca="1" ref="AI14" ca="1">INDEX(Oper_Model_Cost_of_Revenue,MATCH(AI$1,Oper_Model_Months,0))</f>
        <v>194511.92364666454</v>
      </c>
      <c r="AJ14" s="25">
        <f t="array" aca="1" ref="AJ14" ca="1">INDEX(Oper_Model_Cost_of_Revenue,MATCH(AJ$1,Oper_Model_Months,0))</f>
        <v>196854.60671956345</v>
      </c>
      <c r="AK14" s="25">
        <f t="array" aca="1" ref="AK14" ca="1">INDEX(Oper_Model_Cost_of_Revenue,MATCH(AK$1,Oper_Model_Months,0))</f>
        <v>199180.62841197726</v>
      </c>
      <c r="AL14" s="25">
        <f t="array" aca="1" ref="AL14" ca="1">INDEX(Oper_Model_Cost_of_Revenue,MATCH(AL$1,Oper_Model_Months,0))</f>
        <v>201609.788636579</v>
      </c>
    </row>
    <row r="15" spans="1:38" ht="15.75" customHeight="1" x14ac:dyDescent="0.2">
      <c r="A15" s="50" t="s">
        <v>16</v>
      </c>
      <c r="B15" s="51"/>
      <c r="C15" s="54">
        <f t="shared" ref="C15:AL15" ca="1" si="3">C13-C14</f>
        <v>393194</v>
      </c>
      <c r="D15" s="54">
        <f t="shared" ca="1" si="3"/>
        <v>414104</v>
      </c>
      <c r="E15" s="54">
        <f t="shared" ca="1" si="3"/>
        <v>427927</v>
      </c>
      <c r="F15" s="54">
        <f t="shared" ca="1" si="3"/>
        <v>483074</v>
      </c>
      <c r="G15" s="54">
        <f t="shared" ca="1" si="3"/>
        <v>490737</v>
      </c>
      <c r="H15" s="54">
        <f t="shared" ca="1" si="3"/>
        <v>515796</v>
      </c>
      <c r="I15" s="54">
        <f t="shared" ca="1" si="3"/>
        <v>534702</v>
      </c>
      <c r="J15" s="54">
        <f t="shared" ca="1" si="3"/>
        <v>560688</v>
      </c>
      <c r="K15" s="54">
        <f t="shared" ca="1" si="3"/>
        <v>591987</v>
      </c>
      <c r="L15" s="54">
        <f t="shared" ca="1" si="3"/>
        <v>621737</v>
      </c>
      <c r="M15" s="54">
        <f t="shared" ca="1" si="3"/>
        <v>649463</v>
      </c>
      <c r="N15" s="54">
        <f t="shared" ca="1" si="3"/>
        <v>665290</v>
      </c>
      <c r="O15" s="54">
        <f t="shared" ca="1" si="3"/>
        <v>679970</v>
      </c>
      <c r="P15" s="54">
        <f t="shared" ca="1" si="3"/>
        <v>697155</v>
      </c>
      <c r="Q15" s="54">
        <f t="shared" ca="1" si="3"/>
        <v>672318.19</v>
      </c>
      <c r="R15" s="54">
        <f t="shared" ca="1" si="3"/>
        <v>650736</v>
      </c>
      <c r="S15" s="54">
        <f t="shared" ca="1" si="3"/>
        <v>636525.0225229382</v>
      </c>
      <c r="T15" s="54">
        <f t="shared" ca="1" si="3"/>
        <v>633351.18138018437</v>
      </c>
      <c r="U15" s="54">
        <f t="shared" ca="1" si="3"/>
        <v>640103.47806663613</v>
      </c>
      <c r="V15" s="54">
        <f t="shared" ca="1" si="3"/>
        <v>649110.60083229025</v>
      </c>
      <c r="W15" s="54">
        <f t="shared" ca="1" si="3"/>
        <v>663735.90850182436</v>
      </c>
      <c r="X15" s="54">
        <f t="shared" ca="1" si="3"/>
        <v>672334.72013265803</v>
      </c>
      <c r="Y15" s="54">
        <f t="shared" ca="1" si="3"/>
        <v>688027.92129093222</v>
      </c>
      <c r="Z15" s="54">
        <f t="shared" ca="1" si="3"/>
        <v>696135.25523453346</v>
      </c>
      <c r="AA15" s="54">
        <f t="shared" ca="1" si="3"/>
        <v>712648.36992258974</v>
      </c>
      <c r="AB15" s="54">
        <f t="shared" ca="1" si="3"/>
        <v>722160.39610491239</v>
      </c>
      <c r="AC15" s="54">
        <f t="shared" ca="1" si="3"/>
        <v>739561.09693660529</v>
      </c>
      <c r="AD15" s="54">
        <f t="shared" ca="1" si="3"/>
        <v>757973.56404814008</v>
      </c>
      <c r="AE15" s="54">
        <f t="shared" ca="1" si="3"/>
        <v>777386.03482167935</v>
      </c>
      <c r="AF15" s="54">
        <f t="shared" ca="1" si="3"/>
        <v>796656.79619992955</v>
      </c>
      <c r="AG15" s="54">
        <f t="shared" ca="1" si="3"/>
        <v>816920.81177863223</v>
      </c>
      <c r="AH15" s="54">
        <f t="shared" ca="1" si="3"/>
        <v>837041.09914805403</v>
      </c>
      <c r="AI15" s="54">
        <f t="shared" ca="1" si="3"/>
        <v>858146.0955608713</v>
      </c>
      <c r="AJ15" s="54">
        <f t="shared" ca="1" si="3"/>
        <v>880229.66531552398</v>
      </c>
      <c r="AK15" s="54">
        <f t="shared" ca="1" si="3"/>
        <v>902156.17466264311</v>
      </c>
      <c r="AL15" s="54">
        <f t="shared" ca="1" si="3"/>
        <v>925054.93117213529</v>
      </c>
    </row>
    <row r="16" spans="1:38" ht="15.75" customHeight="1" x14ac:dyDescent="0.2">
      <c r="A16" s="23" t="s">
        <v>34</v>
      </c>
      <c r="B16" s="22"/>
      <c r="C16" s="58">
        <f t="shared" ref="C16:AL16" ca="1" si="4">C15/C13</f>
        <v>0.77851256687350756</v>
      </c>
      <c r="D16" s="58">
        <f t="shared" ca="1" si="4"/>
        <v>0.78811351313287792</v>
      </c>
      <c r="E16" s="58">
        <f t="shared" ca="1" si="4"/>
        <v>0.78846688887537708</v>
      </c>
      <c r="F16" s="58">
        <f t="shared" ca="1" si="4"/>
        <v>0.80661961271491955</v>
      </c>
      <c r="G16" s="58">
        <f t="shared" ca="1" si="4"/>
        <v>0.79917694400971906</v>
      </c>
      <c r="H16" s="58">
        <f t="shared" ca="1" si="4"/>
        <v>0.80910699495519911</v>
      </c>
      <c r="I16" s="58">
        <f t="shared" ca="1" si="4"/>
        <v>0.81321519172157031</v>
      </c>
      <c r="J16" s="58">
        <f t="shared" ca="1" si="4"/>
        <v>0.81794588633124377</v>
      </c>
      <c r="K16" s="58">
        <f t="shared" ca="1" si="4"/>
        <v>0.82360658565835709</v>
      </c>
      <c r="L16" s="58">
        <f t="shared" ca="1" si="4"/>
        <v>0.82399256767681583</v>
      </c>
      <c r="M16" s="58">
        <f t="shared" ca="1" si="4"/>
        <v>0.82465837263222586</v>
      </c>
      <c r="N16" s="58">
        <f t="shared" ca="1" si="4"/>
        <v>0.82333184001900883</v>
      </c>
      <c r="O16" s="58">
        <f t="shared" ca="1" si="4"/>
        <v>0.8246768761317067</v>
      </c>
      <c r="P16" s="58">
        <f t="shared" ca="1" si="4"/>
        <v>0.82540082829560069</v>
      </c>
      <c r="Q16" s="58">
        <f t="shared" ca="1" si="4"/>
        <v>0.8207387965501679</v>
      </c>
      <c r="R16" s="58">
        <f t="shared" ca="1" si="4"/>
        <v>0.81698717023202561</v>
      </c>
      <c r="S16" s="58">
        <f t="shared" ca="1" si="4"/>
        <v>0.81569230265256276</v>
      </c>
      <c r="T16" s="58">
        <f t="shared" ca="1" si="4"/>
        <v>0.8152928267781494</v>
      </c>
      <c r="U16" s="58">
        <f t="shared" ca="1" si="4"/>
        <v>0.81613841638731244</v>
      </c>
      <c r="V16" s="58">
        <f t="shared" ca="1" si="4"/>
        <v>0.81724162322022686</v>
      </c>
      <c r="W16" s="58">
        <f t="shared" ca="1" si="4"/>
        <v>0.81897517837356093</v>
      </c>
      <c r="X16" s="58">
        <f t="shared" ca="1" si="4"/>
        <v>0.81117215229520756</v>
      </c>
      <c r="Y16" s="58">
        <f t="shared" ca="1" si="4"/>
        <v>0.81307819196290132</v>
      </c>
      <c r="Z16" s="58">
        <f t="shared" ca="1" si="4"/>
        <v>0.80517614342865584</v>
      </c>
      <c r="AA16" s="58">
        <f t="shared" ca="1" si="4"/>
        <v>0.80722258189321938</v>
      </c>
      <c r="AB16" s="58">
        <f t="shared" ca="1" si="4"/>
        <v>0.80040245803131871</v>
      </c>
      <c r="AC16" s="58">
        <f t="shared" ca="1" si="4"/>
        <v>0.80256814363090501</v>
      </c>
      <c r="AD16" s="58">
        <f t="shared" ca="1" si="4"/>
        <v>0.80476337373751738</v>
      </c>
      <c r="AE16" s="58">
        <f t="shared" ca="1" si="4"/>
        <v>0.8069773125409816</v>
      </c>
      <c r="AF16" s="58">
        <f t="shared" ca="1" si="4"/>
        <v>0.80907958744674513</v>
      </c>
      <c r="AG16" s="58">
        <f t="shared" ca="1" si="4"/>
        <v>0.81119422745169345</v>
      </c>
      <c r="AH16" s="58">
        <f t="shared" ca="1" si="4"/>
        <v>0.81320275221633975</v>
      </c>
      <c r="AI16" s="58">
        <f t="shared" ca="1" si="4"/>
        <v>0.81521831392772992</v>
      </c>
      <c r="AJ16" s="58">
        <f t="shared" ca="1" si="4"/>
        <v>0.81723379327820067</v>
      </c>
      <c r="AK16" s="58">
        <f t="shared" ca="1" si="4"/>
        <v>0.81914648828957548</v>
      </c>
      <c r="AL16" s="58">
        <f t="shared" ca="1" si="4"/>
        <v>0.82105609140684876</v>
      </c>
    </row>
    <row r="17" spans="1:38" ht="15.75" customHeight="1" x14ac:dyDescent="0.2">
      <c r="A17" s="23"/>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row>
    <row r="18" spans="1:38" ht="15.75" customHeight="1" x14ac:dyDescent="0.2">
      <c r="A18" s="23" t="s">
        <v>44</v>
      </c>
      <c r="B18" s="25">
        <f t="array" ref="B18">INDEX(Revenue_Model_Total_Customers,MATCH(B$1,Revenue_Model_Months,0))</f>
        <v>323</v>
      </c>
      <c r="C18" s="25">
        <f t="array" ref="C18">INDEX(Revenue_Model_Total_Customers,MATCH(C$1,Revenue_Model_Months,0))</f>
        <v>333</v>
      </c>
      <c r="D18" s="25">
        <f t="array" ref="D18">INDEX(Revenue_Model_Total_Customers,MATCH(D$1,Revenue_Model_Months,0))</f>
        <v>353</v>
      </c>
      <c r="E18" s="25">
        <f t="array" ref="E18">INDEX(Revenue_Model_Total_Customers,MATCH(E$1,Revenue_Model_Months,0))</f>
        <v>364</v>
      </c>
      <c r="F18" s="25">
        <f t="array" ref="F18">INDEX(Revenue_Model_Total_Customers,MATCH(F$1,Revenue_Model_Months,0))</f>
        <v>398</v>
      </c>
      <c r="G18" s="25">
        <f t="array" ref="G18">INDEX(Revenue_Model_Total_Customers,MATCH(G$1,Revenue_Model_Months,0))</f>
        <v>412</v>
      </c>
      <c r="H18" s="25">
        <f t="array" ref="H18">INDEX(Revenue_Model_Total_Customers,MATCH(H$1,Revenue_Model_Months,0))</f>
        <v>434</v>
      </c>
      <c r="I18" s="25">
        <f t="array" ref="I18">INDEX(Revenue_Model_Total_Customers,MATCH(I$1,Revenue_Model_Months,0))</f>
        <v>457</v>
      </c>
      <c r="J18" s="25">
        <f t="array" ref="J18">INDEX(Revenue_Model_Total_Customers,MATCH(J$1,Revenue_Model_Months,0))</f>
        <v>479</v>
      </c>
      <c r="K18" s="25">
        <f t="array" ref="K18">INDEX(Revenue_Model_Total_Customers,MATCH(K$1,Revenue_Model_Months,0))</f>
        <v>496</v>
      </c>
      <c r="L18" s="25">
        <f t="array" ref="L18">INDEX(Revenue_Model_Total_Customers,MATCH(L$1,Revenue_Model_Months,0))</f>
        <v>508</v>
      </c>
      <c r="M18" s="25">
        <f t="array" ref="M18">INDEX(Revenue_Model_Total_Customers,MATCH(M$1,Revenue_Model_Months,0))</f>
        <v>524</v>
      </c>
      <c r="N18" s="25">
        <f t="array" ref="N18">INDEX(Revenue_Model_Total_Customers,MATCH(N$1,Revenue_Model_Months,0))</f>
        <v>545</v>
      </c>
      <c r="O18" s="25">
        <f t="array" ref="O18">INDEX(Revenue_Model_Total_Customers,MATCH(O$1,Revenue_Model_Months,0))</f>
        <v>571</v>
      </c>
      <c r="P18" s="25">
        <f t="array" ref="P18">INDEX(Revenue_Model_Total_Customers,MATCH(P$1,Revenue_Model_Months,0))</f>
        <v>605</v>
      </c>
      <c r="Q18" s="25">
        <f t="array" ref="Q18">INDEX(Revenue_Model_Total_Customers,MATCH(Q$1,Revenue_Model_Months,0))</f>
        <v>616</v>
      </c>
      <c r="R18" s="25">
        <f t="array" ref="R18">INDEX(Revenue_Model_Total_Customers,MATCH(R$1,Revenue_Model_Months,0))</f>
        <v>618</v>
      </c>
      <c r="S18" s="25">
        <f t="array" aca="1" ref="S18" ca="1">INDEX(Revenue_Model_Total_Customers,MATCH(S$1,Revenue_Model_Months,0))</f>
        <v>623.25800000000004</v>
      </c>
      <c r="T18" s="25">
        <f t="array" aca="1" ref="T18" ca="1">INDEX(Revenue_Model_Total_Customers,MATCH(T$1,Revenue_Model_Months,0))</f>
        <v>631.90913</v>
      </c>
      <c r="U18" s="25">
        <f t="array" aca="1" ref="U18" ca="1">INDEX(Revenue_Model_Total_Customers,MATCH(U$1,Revenue_Model_Months,0))</f>
        <v>643.95812956999998</v>
      </c>
      <c r="V18" s="25">
        <f t="array" aca="1" ref="V18" ca="1">INDEX(Revenue_Model_Total_Customers,MATCH(V$1,Revenue_Model_Months,0))</f>
        <v>654.87459014472995</v>
      </c>
      <c r="W18" s="25">
        <f t="array" aca="1" ref="W18" ca="1">INDEX(Revenue_Model_Total_Customers,MATCH(W$1,Revenue_Model_Months,0))</f>
        <v>666.98071883342743</v>
      </c>
      <c r="X18" s="25">
        <f t="array" aca="1" ref="X18" ca="1">INDEX(Revenue_Model_Total_Customers,MATCH(X$1,Revenue_Model_Months,0))</f>
        <v>679.97789236392657</v>
      </c>
      <c r="Y18" s="25">
        <f t="array" aca="1" ref="Y18" ca="1">INDEX(Revenue_Model_Total_Customers,MATCH(Y$1,Revenue_Model_Months,0))</f>
        <v>692.85809133265127</v>
      </c>
      <c r="Z18" s="25">
        <f t="array" aca="1" ref="Z18" ca="1">INDEX(Revenue_Model_Total_Customers,MATCH(Z$1,Revenue_Model_Months,0))</f>
        <v>706.62236851065745</v>
      </c>
      <c r="AA18" s="25">
        <f t="array" aca="1" ref="AA18" ca="1">INDEX(Revenue_Model_Total_Customers,MATCH(AA$1,Revenue_Model_Months,0))</f>
        <v>720.26276719406155</v>
      </c>
      <c r="AB18" s="25">
        <f t="array" aca="1" ref="AB18" ca="1">INDEX(Revenue_Model_Total_Customers,MATCH(AB$1,Revenue_Model_Months,0))</f>
        <v>734.78040228931502</v>
      </c>
      <c r="AC18" s="25">
        <f t="array" aca="1" ref="AC18" ca="1">INDEX(Revenue_Model_Total_Customers,MATCH(AC$1,Revenue_Model_Months,0))</f>
        <v>749.16737866871119</v>
      </c>
      <c r="AD18" s="25">
        <f t="array" aca="1" ref="AD18" ca="1">INDEX(Revenue_Model_Total_Customers,MATCH(AD$1,Revenue_Model_Months,0))</f>
        <v>764.42487226069284</v>
      </c>
      <c r="AE18" s="25">
        <f t="array" aca="1" ref="AE18" ca="1">INDEX(Revenue_Model_Total_Customers,MATCH(AE$1,Revenue_Model_Months,0))</f>
        <v>780.54504841034657</v>
      </c>
      <c r="AF18" s="25">
        <f t="array" aca="1" ref="AF18" ca="1">INDEX(Revenue_Model_Total_Customers,MATCH(AF$1,Revenue_Model_Months,0))</f>
        <v>796.52014297465348</v>
      </c>
      <c r="AG18" s="25">
        <f t="array" aca="1" ref="AG18" ca="1">INDEX(Revenue_Model_Total_Customers,MATCH(AG$1,Revenue_Model_Months,0))</f>
        <v>813.35146168788162</v>
      </c>
      <c r="AH18" s="25">
        <f t="array" aca="1" ref="AH18" ca="1">INDEX(Revenue_Model_Total_Customers,MATCH(AH$1,Revenue_Model_Months,0))</f>
        <v>830.0312985326907</v>
      </c>
      <c r="AI18" s="25">
        <f t="array" aca="1" ref="AI18" ca="1">INDEX(Revenue_Model_Total_Customers,MATCH(AI$1,Revenue_Model_Months,0))</f>
        <v>847.56101684589646</v>
      </c>
      <c r="AJ18" s="25">
        <f t="array" aca="1" ref="AJ18" ca="1">INDEX(Revenue_Model_Total_Customers,MATCH(AJ$1,Revenue_Model_Months,0))</f>
        <v>865.93296769428343</v>
      </c>
      <c r="AK18" s="25">
        <f t="array" aca="1" ref="AK18" ca="1">INDEX(Revenue_Model_Total_Customers,MATCH(AK$1,Revenue_Model_Months,0))</f>
        <v>884.13957098503488</v>
      </c>
      <c r="AL18" s="25">
        <f t="array" aca="1" ref="AL18" ca="1">INDEX(Revenue_Model_Total_Customers,MATCH(AL$1,Revenue_Model_Months,0))</f>
        <v>903.18231484616956</v>
      </c>
    </row>
    <row r="19" spans="1:38" ht="15.75" customHeight="1" x14ac:dyDescent="0.2">
      <c r="A19" s="23" t="s">
        <v>49</v>
      </c>
      <c r="B19" s="33"/>
      <c r="C19" s="33">
        <f t="shared" ref="C19:AL19" ca="1" si="5">C13/C18</f>
        <v>1516.6906906906906</v>
      </c>
      <c r="D19" s="33">
        <f t="shared" ca="1" si="5"/>
        <v>1488.4900849858357</v>
      </c>
      <c r="E19" s="33">
        <f t="shared" ca="1" si="5"/>
        <v>1491.0247252747254</v>
      </c>
      <c r="F19" s="33">
        <f t="shared" ca="1" si="5"/>
        <v>1504.7412060301508</v>
      </c>
      <c r="G19" s="33">
        <f t="shared" ca="1" si="5"/>
        <v>1490.4199029126214</v>
      </c>
      <c r="H19" s="33">
        <f t="shared" ca="1" si="5"/>
        <v>1468.8663594470047</v>
      </c>
      <c r="I19" s="33">
        <f t="shared" ca="1" si="5"/>
        <v>1438.765864332604</v>
      </c>
      <c r="J19" s="33">
        <f t="shared" ca="1" si="5"/>
        <v>1431.070981210856</v>
      </c>
      <c r="K19" s="33">
        <f t="shared" ca="1" si="5"/>
        <v>1449.141129032258</v>
      </c>
      <c r="L19" s="33">
        <f t="shared" ca="1" si="5"/>
        <v>1485.3188976377953</v>
      </c>
      <c r="M19" s="33">
        <f t="shared" ca="1" si="5"/>
        <v>1502.9656488549617</v>
      </c>
      <c r="N19" s="33">
        <f t="shared" ca="1" si="5"/>
        <v>1482.6532110091744</v>
      </c>
      <c r="O19" s="33">
        <f t="shared" ca="1" si="5"/>
        <v>1444.0087565674255</v>
      </c>
      <c r="P19" s="33">
        <f t="shared" ca="1" si="5"/>
        <v>1396.0760330578512</v>
      </c>
      <c r="Q19" s="33">
        <f t="shared" ca="1" si="5"/>
        <v>1329.8087499999999</v>
      </c>
      <c r="R19" s="33">
        <f t="shared" ca="1" si="5"/>
        <v>1288.8462783171522</v>
      </c>
      <c r="S19" s="33">
        <f t="shared" ca="1" si="5"/>
        <v>1252.0487966261153</v>
      </c>
      <c r="T19" s="33">
        <f t="shared" ca="1" si="5"/>
        <v>1229.352230346231</v>
      </c>
      <c r="U19" s="33">
        <f t="shared" ca="1" si="5"/>
        <v>1217.9479695619618</v>
      </c>
      <c r="V19" s="33">
        <f t="shared" ca="1" si="5"/>
        <v>1212.8583553978872</v>
      </c>
      <c r="W19" s="33">
        <f t="shared" ca="1" si="5"/>
        <v>1215.0979694386338</v>
      </c>
      <c r="X19" s="33">
        <f t="shared" ca="1" si="5"/>
        <v>1218.9270460060868</v>
      </c>
      <c r="Y19" s="33">
        <f t="shared" ca="1" si="5"/>
        <v>1221.3199664159683</v>
      </c>
      <c r="Z19" s="33">
        <f t="shared" ca="1" si="5"/>
        <v>1223.5320470789754</v>
      </c>
      <c r="AA19" s="33">
        <f t="shared" ca="1" si="5"/>
        <v>1225.7193104038063</v>
      </c>
      <c r="AB19" s="33">
        <f t="shared" ca="1" si="5"/>
        <v>1227.9132606588848</v>
      </c>
      <c r="AC19" s="33">
        <f t="shared" ca="1" si="5"/>
        <v>1230.0231413605723</v>
      </c>
      <c r="AD19" s="33">
        <f t="shared" ca="1" si="5"/>
        <v>1232.1144388001746</v>
      </c>
      <c r="AE19" s="33">
        <f t="shared" ca="1" si="5"/>
        <v>1234.1769653196593</v>
      </c>
      <c r="AF19" s="33">
        <f t="shared" ca="1" si="5"/>
        <v>1236.1843980706565</v>
      </c>
      <c r="AG19" s="33">
        <f t="shared" ca="1" si="5"/>
        <v>1238.1602499007265</v>
      </c>
      <c r="AH19" s="33">
        <f t="shared" ca="1" si="5"/>
        <v>1240.0907666630583</v>
      </c>
      <c r="AI19" s="33">
        <f t="shared" ca="1" si="5"/>
        <v>1241.9849406534586</v>
      </c>
      <c r="AJ19" s="33">
        <f t="shared" ca="1" si="5"/>
        <v>1243.8425515811412</v>
      </c>
      <c r="AK19" s="33">
        <f t="shared" ca="1" si="5"/>
        <v>1245.6594402257128</v>
      </c>
      <c r="AL19" s="33">
        <f t="shared" ca="1" si="5"/>
        <v>1247.438862884077</v>
      </c>
    </row>
    <row r="20" spans="1:38" ht="15.75" customHeight="1" x14ac:dyDescent="0.2">
      <c r="A20" s="23" t="s">
        <v>51</v>
      </c>
      <c r="B20" s="33"/>
      <c r="C20" s="33">
        <f t="shared" ref="C20:AL20" ca="1" si="6">C19*C16</f>
        <v>1180.7627627627626</v>
      </c>
      <c r="D20" s="33">
        <f t="shared" ca="1" si="6"/>
        <v>1173.0991501416429</v>
      </c>
      <c r="E20" s="33">
        <f t="shared" ca="1" si="6"/>
        <v>1175.6236263736266</v>
      </c>
      <c r="F20" s="33">
        <f t="shared" ca="1" si="6"/>
        <v>1213.7537688442212</v>
      </c>
      <c r="G20" s="33">
        <f t="shared" ca="1" si="6"/>
        <v>1191.1092233009711</v>
      </c>
      <c r="H20" s="33">
        <f t="shared" ca="1" si="6"/>
        <v>1188.4700460829492</v>
      </c>
      <c r="I20" s="33">
        <f t="shared" ca="1" si="6"/>
        <v>1170.0262582056894</v>
      </c>
      <c r="J20" s="33">
        <f t="shared" ca="1" si="6"/>
        <v>1170.5386221294364</v>
      </c>
      <c r="K20" s="33">
        <f t="shared" ca="1" si="6"/>
        <v>1193.5221774193546</v>
      </c>
      <c r="L20" s="33">
        <f t="shared" ca="1" si="6"/>
        <v>1223.8917322834645</v>
      </c>
      <c r="M20" s="33">
        <f t="shared" ca="1" si="6"/>
        <v>1239.4332061068701</v>
      </c>
      <c r="N20" s="33">
        <f t="shared" ca="1" si="6"/>
        <v>1220.7155963302753</v>
      </c>
      <c r="O20" s="33">
        <f t="shared" ca="1" si="6"/>
        <v>1190.8406304728546</v>
      </c>
      <c r="P20" s="33">
        <f t="shared" ca="1" si="6"/>
        <v>1152.3223140495868</v>
      </c>
      <c r="Q20" s="33">
        <f t="shared" ca="1" si="6"/>
        <v>1091.4256331168831</v>
      </c>
      <c r="R20" s="33">
        <f t="shared" ca="1" si="6"/>
        <v>1052.9708737864078</v>
      </c>
      <c r="S20" s="33">
        <f t="shared" ca="1" si="6"/>
        <v>1021.2865659533262</v>
      </c>
      <c r="T20" s="33">
        <f t="shared" ca="1" si="6"/>
        <v>1002.2820549850013</v>
      </c>
      <c r="U20" s="33">
        <f t="shared" ca="1" si="6"/>
        <v>994.01412712044214</v>
      </c>
      <c r="V20" s="33">
        <f t="shared" ca="1" si="6"/>
        <v>991.19833110158413</v>
      </c>
      <c r="W20" s="33">
        <f t="shared" ca="1" si="6"/>
        <v>995.13507626235673</v>
      </c>
      <c r="X20" s="33">
        <f t="shared" ca="1" si="6"/>
        <v>988.75967539959697</v>
      </c>
      <c r="Y20" s="33">
        <f t="shared" ca="1" si="6"/>
        <v>993.02863010168687</v>
      </c>
      <c r="Z20" s="33">
        <f t="shared" ca="1" si="6"/>
        <v>985.15881502841808</v>
      </c>
      <c r="AA20" s="33">
        <f t="shared" ca="1" si="6"/>
        <v>989.42830642053696</v>
      </c>
      <c r="AB20" s="33">
        <f t="shared" ca="1" si="6"/>
        <v>982.82479208062273</v>
      </c>
      <c r="AC20" s="33">
        <f t="shared" ca="1" si="6"/>
        <v>987.1773891848087</v>
      </c>
      <c r="AD20" s="33">
        <f t="shared" ca="1" si="6"/>
        <v>991.56057259953639</v>
      </c>
      <c r="AE20" s="33">
        <f t="shared" ca="1" si="6"/>
        <v>995.95281067364294</v>
      </c>
      <c r="AF20" s="33">
        <f t="shared" ca="1" si="6"/>
        <v>1000.1715627991097</v>
      </c>
      <c r="AG20" s="33">
        <f t="shared" ca="1" si="6"/>
        <v>1004.3884473796155</v>
      </c>
      <c r="AH20" s="33">
        <f t="shared" ca="1" si="6"/>
        <v>1008.4452244484697</v>
      </c>
      <c r="AI20" s="33">
        <f t="shared" ca="1" si="6"/>
        <v>1012.4888692431442</v>
      </c>
      <c r="AJ20" s="33">
        <f t="shared" ca="1" si="6"/>
        <v>1016.5101666694919</v>
      </c>
      <c r="AK20" s="33">
        <f t="shared" ca="1" si="6"/>
        <v>1020.377556065651</v>
      </c>
      <c r="AL20" s="33">
        <f t="shared" ca="1" si="6"/>
        <v>1024.2172770286043</v>
      </c>
    </row>
    <row r="22" spans="1:38" ht="15.75" customHeight="1" x14ac:dyDescent="0.2">
      <c r="A22" s="23" t="s">
        <v>59</v>
      </c>
      <c r="B22" s="25">
        <f t="array" ref="B22">INDEX(Revenue_Model_Churn_Count_1m,MATCH(B$1,Revenue_Model_Months,0))+INDEX(Revenue_Model_Churn_Count_12m,MATCH(B$1,Revenue_Model_Months,0))</f>
        <v>5</v>
      </c>
      <c r="C22" s="25">
        <f t="array" ref="C22">INDEX(Revenue_Model_Churn_Count_1m,MATCH(C$1,Revenue_Model_Months,0))+INDEX(Revenue_Model_Churn_Count_12m,MATCH(C$1,Revenue_Model_Months,0))</f>
        <v>5</v>
      </c>
      <c r="D22" s="25">
        <f t="array" ref="D22">INDEX(Revenue_Model_Churn_Count_1m,MATCH(D$1,Revenue_Model_Months,0))+INDEX(Revenue_Model_Churn_Count_12m,MATCH(D$1,Revenue_Model_Months,0))</f>
        <v>5</v>
      </c>
      <c r="E22" s="25">
        <f t="array" ref="E22">INDEX(Revenue_Model_Churn_Count_1m,MATCH(E$1,Revenue_Model_Months,0))+INDEX(Revenue_Model_Churn_Count_12m,MATCH(E$1,Revenue_Model_Months,0))</f>
        <v>6</v>
      </c>
      <c r="F22" s="25">
        <f t="array" ref="F22">INDEX(Revenue_Model_Churn_Count_1m,MATCH(F$1,Revenue_Model_Months,0))+INDEX(Revenue_Model_Churn_Count_12m,MATCH(F$1,Revenue_Model_Months,0))</f>
        <v>4</v>
      </c>
      <c r="G22" s="25">
        <f t="array" ref="G22">INDEX(Revenue_Model_Churn_Count_1m,MATCH(G$1,Revenue_Model_Months,0))+INDEX(Revenue_Model_Churn_Count_12m,MATCH(G$1,Revenue_Model_Months,0))</f>
        <v>6</v>
      </c>
      <c r="H22" s="25">
        <f t="array" ref="H22">INDEX(Revenue_Model_Churn_Count_1m,MATCH(H$1,Revenue_Model_Months,0))+INDEX(Revenue_Model_Churn_Count_12m,MATCH(H$1,Revenue_Model_Months,0))</f>
        <v>7</v>
      </c>
      <c r="I22" s="25">
        <f t="array" ref="I22">INDEX(Revenue_Model_Churn_Count_1m,MATCH(I$1,Revenue_Model_Months,0))+INDEX(Revenue_Model_Churn_Count_12m,MATCH(I$1,Revenue_Model_Months,0))</f>
        <v>9</v>
      </c>
      <c r="J22" s="25">
        <f t="array" ref="J22">INDEX(Revenue_Model_Churn_Count_1m,MATCH(J$1,Revenue_Model_Months,0))+INDEX(Revenue_Model_Churn_Count_12m,MATCH(J$1,Revenue_Model_Months,0))</f>
        <v>6</v>
      </c>
      <c r="K22" s="25">
        <f t="array" ref="K22">INDEX(Revenue_Model_Churn_Count_1m,MATCH(K$1,Revenue_Model_Months,0))+INDEX(Revenue_Model_Churn_Count_12m,MATCH(K$1,Revenue_Model_Months,0))</f>
        <v>9</v>
      </c>
      <c r="L22" s="25">
        <f t="array" ref="L22">INDEX(Revenue_Model_Churn_Count_1m,MATCH(L$1,Revenue_Model_Months,0))+INDEX(Revenue_Model_Churn_Count_12m,MATCH(L$1,Revenue_Model_Months,0))</f>
        <v>9</v>
      </c>
      <c r="M22" s="25">
        <f t="array" ref="M22">INDEX(Revenue_Model_Churn_Count_1m,MATCH(M$1,Revenue_Model_Months,0))+INDEX(Revenue_Model_Churn_Count_12m,MATCH(M$1,Revenue_Model_Months,0))</f>
        <v>6</v>
      </c>
      <c r="N22" s="25">
        <f t="array" ref="N22">INDEX(Revenue_Model_Churn_Count_1m,MATCH(N$1,Revenue_Model_Months,0))+INDEX(Revenue_Model_Churn_Count_12m,MATCH(N$1,Revenue_Model_Months,0))</f>
        <v>4</v>
      </c>
      <c r="O22" s="25">
        <f t="array" ref="O22">INDEX(Revenue_Model_Churn_Count_1m,MATCH(O$1,Revenue_Model_Months,0))+INDEX(Revenue_Model_Churn_Count_12m,MATCH(O$1,Revenue_Model_Months,0))</f>
        <v>1</v>
      </c>
      <c r="P22" s="25">
        <f t="array" ref="P22">INDEX(Revenue_Model_Churn_Count_1m,MATCH(P$1,Revenue_Model_Months,0))+INDEX(Revenue_Model_Churn_Count_12m,MATCH(P$1,Revenue_Model_Months,0))</f>
        <v>6</v>
      </c>
      <c r="Q22" s="25">
        <f t="array" ref="Q22">INDEX(Revenue_Model_Churn_Count_1m,MATCH(Q$1,Revenue_Model_Months,0))+INDEX(Revenue_Model_Churn_Count_12m,MATCH(Q$1,Revenue_Model_Months,0))</f>
        <v>9</v>
      </c>
      <c r="R22" s="25">
        <f t="array" ref="R22">INDEX(Revenue_Model_Churn_Count_1m,MATCH(R$1,Revenue_Model_Months,0))+INDEX(Revenue_Model_Churn_Count_12m,MATCH(R$1,Revenue_Model_Months,0))</f>
        <v>12</v>
      </c>
      <c r="S22" s="25">
        <f t="array" ref="S22">INDEX(Revenue_Model_Churn_Count_1m,MATCH(S$1,Revenue_Model_Months,0))+INDEX(Revenue_Model_Churn_Count_12m,MATCH(S$1,Revenue_Model_Months,0))</f>
        <v>11.741999999999999</v>
      </c>
      <c r="T22" s="25">
        <f t="array" aca="1" ref="T22" ca="1">INDEX(Revenue_Model_Churn_Count_1m,MATCH(T$1,Revenue_Model_Months,0))+INDEX(Revenue_Model_Churn_Count_12m,MATCH(T$1,Revenue_Model_Months,0))</f>
        <v>9.3488699999999998</v>
      </c>
      <c r="U22" s="25">
        <f t="array" aca="1" ref="U22" ca="1">INDEX(Revenue_Model_Churn_Count_1m,MATCH(U$1,Revenue_Model_Months,0))+INDEX(Revenue_Model_Churn_Count_12m,MATCH(U$1,Revenue_Model_Months,0))</f>
        <v>6.9510004299999997</v>
      </c>
      <c r="V22" s="25">
        <f t="array" aca="1" ref="V22" ca="1">INDEX(Revenue_Model_Churn_Count_1m,MATCH(V$1,Revenue_Model_Months,0))+INDEX(Revenue_Model_Churn_Count_12m,MATCH(V$1,Revenue_Model_Months,0))</f>
        <v>7.0835394252699997</v>
      </c>
      <c r="W22" s="25">
        <f t="array" aca="1" ref="W22" ca="1">INDEX(Revenue_Model_Churn_Count_1m,MATCH(W$1,Revenue_Model_Months,0))+INDEX(Revenue_Model_Churn_Count_12m,MATCH(W$1,Revenue_Model_Months,0))</f>
        <v>5.8938713113025694</v>
      </c>
      <c r="X22" s="25">
        <f t="array" aca="1" ref="X22" ca="1">INDEX(Revenue_Model_Churn_Count_1m,MATCH(X$1,Revenue_Model_Months,0))+INDEX(Revenue_Model_Churn_Count_12m,MATCH(X$1,Revenue_Model_Months,0))</f>
        <v>6.0028264695008469</v>
      </c>
      <c r="Y22" s="25">
        <f t="array" aca="1" ref="Y22" ca="1">INDEX(Revenue_Model_Churn_Count_1m,MATCH(Y$1,Revenue_Model_Months,0))+INDEX(Revenue_Model_Churn_Count_12m,MATCH(Y$1,Revenue_Model_Months,0))</f>
        <v>6.1198010312753386</v>
      </c>
      <c r="Z22" s="25">
        <f t="array" aca="1" ref="Z22" ca="1">INDEX(Revenue_Model_Churn_Count_1m,MATCH(Z$1,Revenue_Model_Months,0))+INDEX(Revenue_Model_Churn_Count_12m,MATCH(Z$1,Revenue_Model_Months,0))</f>
        <v>6.2357228219938605</v>
      </c>
      <c r="AA22" s="25">
        <f t="array" aca="1" ref="AA22" ca="1">INDEX(Revenue_Model_Churn_Count_1m,MATCH(AA$1,Revenue_Model_Months,0))+INDEX(Revenue_Model_Churn_Count_12m,MATCH(AA$1,Revenue_Model_Months,0))</f>
        <v>6.3596013165959162</v>
      </c>
      <c r="AB22" s="25">
        <f t="array" aca="1" ref="AB22" ca="1">INDEX(Revenue_Model_Churn_Count_1m,MATCH(AB$1,Revenue_Model_Months,0))+INDEX(Revenue_Model_Churn_Count_12m,MATCH(AB$1,Revenue_Model_Months,0))</f>
        <v>6.4823649047465537</v>
      </c>
      <c r="AC22" s="25">
        <f t="array" aca="1" ref="AC22" ca="1">INDEX(Revenue_Model_Churn_Count_1m,MATCH(AC$1,Revenue_Model_Months,0))+INDEX(Revenue_Model_Churn_Count_12m,MATCH(AC$1,Revenue_Model_Months,0))</f>
        <v>6.6130236206038351</v>
      </c>
      <c r="AD22" s="25">
        <f t="array" aca="1" ref="AD22" ca="1">INDEX(Revenue_Model_Churn_Count_1m,MATCH(AD$1,Revenue_Model_Months,0))+INDEX(Revenue_Model_Churn_Count_12m,MATCH(AD$1,Revenue_Model_Months,0))</f>
        <v>6.7425064080184001</v>
      </c>
      <c r="AE22" s="25">
        <f t="array" aca="1" ref="AE22" ca="1">INDEX(Revenue_Model_Churn_Count_1m,MATCH(AE$1,Revenue_Model_Months,0))+INDEX(Revenue_Model_Churn_Count_12m,MATCH(AE$1,Revenue_Model_Months,0))</f>
        <v>6.8798238503462352</v>
      </c>
      <c r="AF22" s="25">
        <f t="array" aca="1" ref="AF22" ca="1">INDEX(Revenue_Model_Churn_Count_1m,MATCH(AF$1,Revenue_Model_Months,0))+INDEX(Revenue_Model_Churn_Count_12m,MATCH(AF$1,Revenue_Model_Months,0))</f>
        <v>7.0249054356931184</v>
      </c>
      <c r="AG22" s="25">
        <f t="array" aca="1" ref="AG22" ca="1">INDEX(Revenue_Model_Churn_Count_1m,MATCH(AG$1,Revenue_Model_Months,0))+INDEX(Revenue_Model_Churn_Count_12m,MATCH(AG$1,Revenue_Model_Months,0))</f>
        <v>7.1686812867718812</v>
      </c>
      <c r="AH22" s="25">
        <f t="array" aca="1" ref="AH22" ca="1">INDEX(Revenue_Model_Churn_Count_1m,MATCH(AH$1,Revenue_Model_Months,0))+INDEX(Revenue_Model_Churn_Count_12m,MATCH(AH$1,Revenue_Model_Months,0))</f>
        <v>7.3201631551909339</v>
      </c>
      <c r="AI22" s="25">
        <f t="array" aca="1" ref="AI22" ca="1">INDEX(Revenue_Model_Churn_Count_1m,MATCH(AI$1,Revenue_Model_Months,0))+INDEX(Revenue_Model_Churn_Count_12m,MATCH(AI$1,Revenue_Model_Months,0))</f>
        <v>7.4702816867942161</v>
      </c>
      <c r="AJ22" s="25">
        <f t="array" aca="1" ref="AJ22" ca="1">INDEX(Revenue_Model_Churn_Count_1m,MATCH(AJ$1,Revenue_Model_Months,0))+INDEX(Revenue_Model_Churn_Count_12m,MATCH(AJ$1,Revenue_Model_Months,0))</f>
        <v>7.6280491516130677</v>
      </c>
      <c r="AK22" s="25">
        <f t="array" aca="1" ref="AK22" ca="1">INDEX(Revenue_Model_Churn_Count_1m,MATCH(AK$1,Revenue_Model_Months,0))+INDEX(Revenue_Model_Churn_Count_12m,MATCH(AK$1,Revenue_Model_Months,0))</f>
        <v>7.7933967092485501</v>
      </c>
      <c r="AL22" s="25">
        <f t="array" aca="1" ref="AL22" ca="1">INDEX(Revenue_Model_Churn_Count_1m,MATCH(AL$1,Revenue_Model_Months,0))+INDEX(Revenue_Model_Churn_Count_12m,MATCH(AL$1,Revenue_Model_Months,0))</f>
        <v>7.9572561388653131</v>
      </c>
    </row>
    <row r="23" spans="1:38" ht="15.75" customHeight="1" x14ac:dyDescent="0.2">
      <c r="A23" s="23" t="s">
        <v>60</v>
      </c>
      <c r="C23" s="58">
        <f t="shared" ref="C23:AL23" si="7">C22/B$18</f>
        <v>1.5479876160990712E-2</v>
      </c>
      <c r="D23" s="58">
        <f t="shared" si="7"/>
        <v>1.5015015015015015E-2</v>
      </c>
      <c r="E23" s="58">
        <f t="shared" si="7"/>
        <v>1.69971671388102E-2</v>
      </c>
      <c r="F23" s="58">
        <f t="shared" si="7"/>
        <v>1.098901098901099E-2</v>
      </c>
      <c r="G23" s="58">
        <f t="shared" si="7"/>
        <v>1.507537688442211E-2</v>
      </c>
      <c r="H23" s="58">
        <f t="shared" si="7"/>
        <v>1.6990291262135922E-2</v>
      </c>
      <c r="I23" s="58">
        <f t="shared" si="7"/>
        <v>2.0737327188940093E-2</v>
      </c>
      <c r="J23" s="58">
        <f t="shared" si="7"/>
        <v>1.3129102844638949E-2</v>
      </c>
      <c r="K23" s="58">
        <f t="shared" si="7"/>
        <v>1.8789144050104383E-2</v>
      </c>
      <c r="L23" s="58">
        <f t="shared" si="7"/>
        <v>1.8145161290322582E-2</v>
      </c>
      <c r="M23" s="58">
        <f t="shared" si="7"/>
        <v>1.1811023622047244E-2</v>
      </c>
      <c r="N23" s="58">
        <f t="shared" si="7"/>
        <v>7.6335877862595417E-3</v>
      </c>
      <c r="O23" s="58">
        <f t="shared" si="7"/>
        <v>1.834862385321101E-3</v>
      </c>
      <c r="P23" s="58">
        <f t="shared" si="7"/>
        <v>1.0507880910683012E-2</v>
      </c>
      <c r="Q23" s="58">
        <f t="shared" si="7"/>
        <v>1.487603305785124E-2</v>
      </c>
      <c r="R23" s="58">
        <f t="shared" si="7"/>
        <v>1.948051948051948E-2</v>
      </c>
      <c r="S23" s="58">
        <f t="shared" si="7"/>
        <v>1.9E-2</v>
      </c>
      <c r="T23" s="58">
        <f t="shared" ca="1" si="7"/>
        <v>1.4999999999999999E-2</v>
      </c>
      <c r="U23" s="58">
        <f t="shared" ca="1" si="7"/>
        <v>1.0999999999999999E-2</v>
      </c>
      <c r="V23" s="58">
        <f t="shared" ca="1" si="7"/>
        <v>1.0999999999999999E-2</v>
      </c>
      <c r="W23" s="58">
        <f t="shared" ca="1" si="7"/>
        <v>8.9999999999999993E-3</v>
      </c>
      <c r="X23" s="58">
        <f t="shared" ca="1" si="7"/>
        <v>8.9999999999999993E-3</v>
      </c>
      <c r="Y23" s="58">
        <f t="shared" ca="1" si="7"/>
        <v>8.9999999999999993E-3</v>
      </c>
      <c r="Z23" s="58">
        <f t="shared" ca="1" si="7"/>
        <v>8.9999999999999993E-3</v>
      </c>
      <c r="AA23" s="58">
        <f t="shared" ca="1" si="7"/>
        <v>8.9999999999999993E-3</v>
      </c>
      <c r="AB23" s="58">
        <f t="shared" ca="1" si="7"/>
        <v>8.9999999999999993E-3</v>
      </c>
      <c r="AC23" s="58">
        <f t="shared" ca="1" si="7"/>
        <v>8.9999999999999993E-3</v>
      </c>
      <c r="AD23" s="58">
        <f t="shared" ca="1" si="7"/>
        <v>8.9999999999999993E-3</v>
      </c>
      <c r="AE23" s="58">
        <f t="shared" ca="1" si="7"/>
        <v>8.9999999999999993E-3</v>
      </c>
      <c r="AF23" s="58">
        <f t="shared" ca="1" si="7"/>
        <v>8.9999999999999993E-3</v>
      </c>
      <c r="AG23" s="58">
        <f t="shared" ca="1" si="7"/>
        <v>8.9999999999999993E-3</v>
      </c>
      <c r="AH23" s="58">
        <f t="shared" ca="1" si="7"/>
        <v>8.9999999999999993E-3</v>
      </c>
      <c r="AI23" s="58">
        <f t="shared" ca="1" si="7"/>
        <v>8.9999999999999993E-3</v>
      </c>
      <c r="AJ23" s="58">
        <f t="shared" ca="1" si="7"/>
        <v>8.9999999999999993E-3</v>
      </c>
      <c r="AK23" s="58">
        <f t="shared" ca="1" si="7"/>
        <v>8.9999999999999993E-3</v>
      </c>
      <c r="AL23" s="58">
        <f t="shared" ca="1" si="7"/>
        <v>8.9999999999999993E-3</v>
      </c>
    </row>
    <row r="24" spans="1:38" ht="15.75" customHeight="1" x14ac:dyDescent="0.2">
      <c r="A24" s="23" t="s">
        <v>61</v>
      </c>
      <c r="C24" s="71">
        <f t="shared" ref="C24:AL24" si="8">1/C23</f>
        <v>64.599999999999994</v>
      </c>
      <c r="D24" s="71">
        <f t="shared" si="8"/>
        <v>66.599999999999994</v>
      </c>
      <c r="E24" s="71">
        <f t="shared" si="8"/>
        <v>58.833333333333329</v>
      </c>
      <c r="F24" s="71">
        <f t="shared" si="8"/>
        <v>91</v>
      </c>
      <c r="G24" s="71">
        <f t="shared" si="8"/>
        <v>66.333333333333343</v>
      </c>
      <c r="H24" s="71">
        <f t="shared" si="8"/>
        <v>58.857142857142861</v>
      </c>
      <c r="I24" s="71">
        <f t="shared" si="8"/>
        <v>48.222222222222221</v>
      </c>
      <c r="J24" s="71">
        <f t="shared" si="8"/>
        <v>76.166666666666671</v>
      </c>
      <c r="K24" s="71">
        <f t="shared" si="8"/>
        <v>53.222222222222229</v>
      </c>
      <c r="L24" s="71">
        <f t="shared" si="8"/>
        <v>55.111111111111107</v>
      </c>
      <c r="M24" s="71">
        <f t="shared" si="8"/>
        <v>84.666666666666671</v>
      </c>
      <c r="N24" s="71">
        <f t="shared" si="8"/>
        <v>131</v>
      </c>
      <c r="O24" s="71">
        <f t="shared" si="8"/>
        <v>545</v>
      </c>
      <c r="P24" s="71">
        <f t="shared" si="8"/>
        <v>95.166666666666671</v>
      </c>
      <c r="Q24" s="71">
        <f t="shared" si="8"/>
        <v>67.222222222222229</v>
      </c>
      <c r="R24" s="71">
        <f t="shared" si="8"/>
        <v>51.333333333333336</v>
      </c>
      <c r="S24" s="71">
        <f t="shared" si="8"/>
        <v>52.631578947368425</v>
      </c>
      <c r="T24" s="71">
        <f t="shared" ca="1" si="8"/>
        <v>66.666666666666671</v>
      </c>
      <c r="U24" s="71">
        <f t="shared" ca="1" si="8"/>
        <v>90.909090909090921</v>
      </c>
      <c r="V24" s="71">
        <f t="shared" ca="1" si="8"/>
        <v>90.909090909090921</v>
      </c>
      <c r="W24" s="71">
        <f t="shared" ca="1" si="8"/>
        <v>111.11111111111111</v>
      </c>
      <c r="X24" s="71">
        <f t="shared" ca="1" si="8"/>
        <v>111.11111111111111</v>
      </c>
      <c r="Y24" s="71">
        <f t="shared" ca="1" si="8"/>
        <v>111.11111111111111</v>
      </c>
      <c r="Z24" s="71">
        <f t="shared" ca="1" si="8"/>
        <v>111.11111111111111</v>
      </c>
      <c r="AA24" s="71">
        <f t="shared" ca="1" si="8"/>
        <v>111.11111111111111</v>
      </c>
      <c r="AB24" s="71">
        <f t="shared" ca="1" si="8"/>
        <v>111.11111111111111</v>
      </c>
      <c r="AC24" s="71">
        <f t="shared" ca="1" si="8"/>
        <v>111.11111111111111</v>
      </c>
      <c r="AD24" s="71">
        <f t="shared" ca="1" si="8"/>
        <v>111.11111111111111</v>
      </c>
      <c r="AE24" s="71">
        <f t="shared" ca="1" si="8"/>
        <v>111.11111111111111</v>
      </c>
      <c r="AF24" s="71">
        <f t="shared" ca="1" si="8"/>
        <v>111.11111111111111</v>
      </c>
      <c r="AG24" s="71">
        <f t="shared" ca="1" si="8"/>
        <v>111.11111111111111</v>
      </c>
      <c r="AH24" s="71">
        <f t="shared" ca="1" si="8"/>
        <v>111.11111111111111</v>
      </c>
      <c r="AI24" s="71">
        <f t="shared" ca="1" si="8"/>
        <v>111.11111111111111</v>
      </c>
      <c r="AJ24" s="71">
        <f t="shared" ca="1" si="8"/>
        <v>111.11111111111111</v>
      </c>
      <c r="AK24" s="71">
        <f t="shared" ca="1" si="8"/>
        <v>111.11111111111111</v>
      </c>
      <c r="AL24" s="71">
        <f t="shared" ca="1" si="8"/>
        <v>111.11111111111111</v>
      </c>
    </row>
    <row r="25" spans="1:38" ht="15.75" customHeight="1" x14ac:dyDescent="0.2">
      <c r="A25" s="23" t="s">
        <v>63</v>
      </c>
      <c r="C25" s="33">
        <f t="shared" ref="C25:AL25" ca="1" si="9">C20*C24</f>
        <v>76277.274474474456</v>
      </c>
      <c r="D25" s="33">
        <f t="shared" ca="1" si="9"/>
        <v>78128.403399433417</v>
      </c>
      <c r="E25" s="33">
        <f t="shared" ca="1" si="9"/>
        <v>69165.8566849817</v>
      </c>
      <c r="F25" s="33">
        <f t="shared" ca="1" si="9"/>
        <v>110451.59296482413</v>
      </c>
      <c r="G25" s="33">
        <f t="shared" ca="1" si="9"/>
        <v>79010.245145631096</v>
      </c>
      <c r="H25" s="33">
        <f t="shared" ca="1" si="9"/>
        <v>69949.951283739298</v>
      </c>
      <c r="I25" s="33">
        <f t="shared" ca="1" si="9"/>
        <v>56421.266229029912</v>
      </c>
      <c r="J25" s="33">
        <f t="shared" ca="1" si="9"/>
        <v>89156.025052192068</v>
      </c>
      <c r="K25" s="33">
        <f t="shared" ca="1" si="9"/>
        <v>63521.902553763437</v>
      </c>
      <c r="L25" s="33">
        <f t="shared" ca="1" si="9"/>
        <v>67450.033245844257</v>
      </c>
      <c r="M25" s="33">
        <f t="shared" ca="1" si="9"/>
        <v>104938.67811704834</v>
      </c>
      <c r="N25" s="33">
        <f t="shared" ca="1" si="9"/>
        <v>159913.74311926606</v>
      </c>
      <c r="O25" s="33">
        <f t="shared" ca="1" si="9"/>
        <v>649008.14360770572</v>
      </c>
      <c r="P25" s="33">
        <f t="shared" ca="1" si="9"/>
        <v>109662.67355371901</v>
      </c>
      <c r="Q25" s="33">
        <f t="shared" ca="1" si="9"/>
        <v>73368.05644841271</v>
      </c>
      <c r="R25" s="33">
        <f t="shared" ca="1" si="9"/>
        <v>54052.504854368934</v>
      </c>
      <c r="S25" s="33">
        <f t="shared" ca="1" si="9"/>
        <v>53751.924523859278</v>
      </c>
      <c r="T25" s="33">
        <f t="shared" ca="1" si="9"/>
        <v>66818.803665666754</v>
      </c>
      <c r="U25" s="33">
        <f t="shared" ca="1" si="9"/>
        <v>90364.920647312931</v>
      </c>
      <c r="V25" s="33">
        <f t="shared" ca="1" si="9"/>
        <v>90108.939191053112</v>
      </c>
      <c r="W25" s="33">
        <f t="shared" ca="1" si="9"/>
        <v>110570.56402915074</v>
      </c>
      <c r="X25" s="33">
        <f t="shared" ca="1" si="9"/>
        <v>109862.18615551078</v>
      </c>
      <c r="Y25" s="33">
        <f t="shared" ca="1" si="9"/>
        <v>110336.51445574299</v>
      </c>
      <c r="Z25" s="33">
        <f t="shared" ca="1" si="9"/>
        <v>109462.09055871313</v>
      </c>
      <c r="AA25" s="33">
        <f t="shared" ca="1" si="9"/>
        <v>109936.47849117078</v>
      </c>
      <c r="AB25" s="33">
        <f t="shared" ca="1" si="9"/>
        <v>109202.75467562475</v>
      </c>
      <c r="AC25" s="33">
        <f t="shared" ca="1" si="9"/>
        <v>109686.37657608985</v>
      </c>
      <c r="AD25" s="33">
        <f t="shared" ca="1" si="9"/>
        <v>110173.39695550405</v>
      </c>
      <c r="AE25" s="33">
        <f t="shared" ca="1" si="9"/>
        <v>110661.42340818256</v>
      </c>
      <c r="AF25" s="33">
        <f t="shared" ca="1" si="9"/>
        <v>111130.17364434552</v>
      </c>
      <c r="AG25" s="33">
        <f t="shared" ca="1" si="9"/>
        <v>111598.71637551284</v>
      </c>
      <c r="AH25" s="33">
        <f t="shared" ca="1" si="9"/>
        <v>112049.4693831633</v>
      </c>
      <c r="AI25" s="33">
        <f t="shared" ca="1" si="9"/>
        <v>112498.76324923825</v>
      </c>
      <c r="AJ25" s="33">
        <f t="shared" ca="1" si="9"/>
        <v>112945.574074388</v>
      </c>
      <c r="AK25" s="33">
        <f t="shared" ca="1" si="9"/>
        <v>113375.28400729455</v>
      </c>
      <c r="AL25" s="33">
        <f t="shared" ca="1" si="9"/>
        <v>113801.91966984492</v>
      </c>
    </row>
    <row r="27" spans="1:38" ht="15.75" customHeight="1" x14ac:dyDescent="0.2">
      <c r="A27" s="21" t="s">
        <v>64</v>
      </c>
      <c r="B27" s="71"/>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row>
    <row r="28" spans="1:38" ht="15.75" customHeight="1" x14ac:dyDescent="0.2">
      <c r="A28" s="23" t="s">
        <v>65</v>
      </c>
      <c r="B28" s="71"/>
      <c r="C28" s="71">
        <f t="shared" ref="C28:AL28" ca="1" si="10">C$5/C$20</f>
        <v>13.363734441522507</v>
      </c>
      <c r="D28" s="71">
        <f t="shared" ca="1" si="10"/>
        <v>9.0774253810636942</v>
      </c>
      <c r="E28" s="71">
        <f t="shared" ca="1" si="10"/>
        <v>13.535144188281699</v>
      </c>
      <c r="F28" s="71">
        <f t="shared" ca="1" si="10"/>
        <v>5.8162755057904381</v>
      </c>
      <c r="G28" s="71">
        <f t="shared" ca="1" si="10"/>
        <v>12.112407256840221</v>
      </c>
      <c r="H28" s="71">
        <f t="shared" ca="1" si="10"/>
        <v>8.2843687734338172</v>
      </c>
      <c r="I28" s="71">
        <f t="shared" ca="1" si="10"/>
        <v>7.5886651583498841</v>
      </c>
      <c r="J28" s="71">
        <f t="shared" ca="1" si="10"/>
        <v>8.1741571664336181</v>
      </c>
      <c r="K28" s="71">
        <f t="shared" ca="1" si="10"/>
        <v>9.4845970500131838</v>
      </c>
      <c r="L28" s="71">
        <f t="shared" ca="1" si="10"/>
        <v>10.796979001303338</v>
      </c>
      <c r="M28" s="71">
        <f t="shared" ca="1" si="10"/>
        <v>10.795880456763372</v>
      </c>
      <c r="N28" s="71">
        <f t="shared" ca="1" si="10"/>
        <v>10.114591832133355</v>
      </c>
      <c r="O28" s="71">
        <f t="shared" ca="1" si="10"/>
        <v>10.502899951468448</v>
      </c>
      <c r="P28" s="71">
        <f t="shared" ca="1" si="10"/>
        <v>10.13109402807533</v>
      </c>
      <c r="Q28" s="71">
        <f t="shared" ca="1" si="10"/>
        <v>13.589657004520435</v>
      </c>
      <c r="R28" s="71">
        <f t="shared" ca="1" si="10"/>
        <v>19.304224096144321</v>
      </c>
      <c r="S28" s="71">
        <f t="shared" ca="1" si="10"/>
        <v>15.875517083217805</v>
      </c>
      <c r="T28" s="71">
        <f t="shared" ca="1" si="10"/>
        <v>16.098659765446367</v>
      </c>
      <c r="U28" s="71">
        <f t="shared" ca="1" si="10"/>
        <v>16.194021444340201</v>
      </c>
      <c r="V28" s="71">
        <f t="shared" ca="1" si="10"/>
        <v>18.013447364533114</v>
      </c>
      <c r="W28" s="71">
        <f t="shared" ca="1" si="10"/>
        <v>18.828865614459939</v>
      </c>
      <c r="X28" s="71">
        <f t="shared" ca="1" si="10"/>
        <v>20.48860292968882</v>
      </c>
      <c r="Y28" s="71">
        <f t="shared" ca="1" si="10"/>
        <v>21.245733358128327</v>
      </c>
      <c r="Z28" s="71">
        <f t="shared" ca="1" si="10"/>
        <v>22.762349370277363</v>
      </c>
      <c r="AA28" s="71">
        <f t="shared" ca="1" si="10"/>
        <v>23.472498381175122</v>
      </c>
      <c r="AB28" s="71">
        <f t="shared" ca="1" si="10"/>
        <v>24.815701284486405</v>
      </c>
      <c r="AC28" s="71">
        <f t="shared" ca="1" si="10"/>
        <v>25.480501881406294</v>
      </c>
      <c r="AD28" s="71">
        <f t="shared" ca="1" si="10"/>
        <v>26.403454471971692</v>
      </c>
      <c r="AE28" s="71">
        <f t="shared" ca="1" si="10"/>
        <v>25.850063861327719</v>
      </c>
      <c r="AF28" s="71">
        <f t="shared" ca="1" si="10"/>
        <v>26.443642546571748</v>
      </c>
      <c r="AG28" s="71">
        <f t="shared" ca="1" si="10"/>
        <v>25.908426404636167</v>
      </c>
      <c r="AH28" s="71">
        <f t="shared" ca="1" si="10"/>
        <v>26.474135112870634</v>
      </c>
      <c r="AI28" s="71">
        <f t="shared" ca="1" si="10"/>
        <v>25.956582412392795</v>
      </c>
      <c r="AJ28" s="71">
        <f t="shared" ca="1" si="10"/>
        <v>25.477494207703781</v>
      </c>
      <c r="AK28" s="71">
        <f t="shared" ca="1" si="10"/>
        <v>25.99620738550308</v>
      </c>
      <c r="AL28" s="71">
        <f t="shared" ca="1" si="10"/>
        <v>25.53192567266419</v>
      </c>
    </row>
    <row r="29" spans="1:38" ht="15.75" customHeight="1" x14ac:dyDescent="0.2">
      <c r="A29" s="23" t="s">
        <v>67</v>
      </c>
      <c r="C29" s="71">
        <f t="shared" ref="C29:AL29" ca="1" si="11">C$10/C$20</f>
        <v>14.316381353733783</v>
      </c>
      <c r="D29" s="71">
        <f t="shared" ca="1" si="11"/>
        <v>11.108893337583476</v>
      </c>
      <c r="E29" s="71">
        <f t="shared" ca="1" si="11"/>
        <v>14.953859991177099</v>
      </c>
      <c r="F29" s="71">
        <f t="shared" ca="1" si="11"/>
        <v>6.4420809234196001</v>
      </c>
      <c r="G29" s="71">
        <f t="shared" ca="1" si="11"/>
        <v>14.367616055035588</v>
      </c>
      <c r="H29" s="71">
        <f t="shared" ca="1" si="11"/>
        <v>14.200778602393196</v>
      </c>
      <c r="I29" s="71">
        <f t="shared" ca="1" si="11"/>
        <v>9.4709555353573887</v>
      </c>
      <c r="J29" s="71">
        <f t="shared" ca="1" si="11"/>
        <v>8.443624198673561</v>
      </c>
      <c r="K29" s="71">
        <f t="shared" ca="1" si="11"/>
        <v>10.300484880338832</v>
      </c>
      <c r="L29" s="71">
        <f t="shared" ca="1" si="11"/>
        <v>12.422912582008149</v>
      </c>
      <c r="M29" s="71">
        <f t="shared" ca="1" si="11"/>
        <v>11.956491607822016</v>
      </c>
      <c r="N29" s="71">
        <f t="shared" ca="1" si="11"/>
        <v>11.975284587673546</v>
      </c>
      <c r="O29" s="71">
        <f t="shared" ca="1" si="11"/>
        <v>12.556046222627469</v>
      </c>
      <c r="P29" s="71">
        <f t="shared" ca="1" si="11"/>
        <v>11.514883449775978</v>
      </c>
      <c r="Q29" s="71">
        <f t="shared" ca="1" si="11"/>
        <v>16.104074768525898</v>
      </c>
      <c r="R29" s="71">
        <f t="shared" ca="1" si="11"/>
        <v>22.720612177156767</v>
      </c>
      <c r="S29" s="71">
        <f t="shared" ca="1" si="11"/>
        <v>16.708747499199536</v>
      </c>
      <c r="T29" s="71">
        <f t="shared" ca="1" si="11"/>
        <v>19.081263297036678</v>
      </c>
      <c r="U29" s="71">
        <f t="shared" ca="1" si="11"/>
        <v>19.877926381354872</v>
      </c>
      <c r="V29" s="71">
        <f t="shared" ca="1" si="11"/>
        <v>18.825536411499993</v>
      </c>
      <c r="W29" s="71">
        <f t="shared" ca="1" si="11"/>
        <v>19.251022543814404</v>
      </c>
      <c r="X29" s="71">
        <f t="shared" ca="1" si="11"/>
        <v>19.384459042937433</v>
      </c>
      <c r="Y29" s="71">
        <f t="shared" ca="1" si="11"/>
        <v>19.137204229727217</v>
      </c>
      <c r="Z29" s="71">
        <f t="shared" ca="1" si="11"/>
        <v>19.393349019205079</v>
      </c>
      <c r="AA29" s="71">
        <f t="shared" ca="1" si="11"/>
        <v>19.294436694085451</v>
      </c>
      <c r="AB29" s="71">
        <f t="shared" ca="1" si="11"/>
        <v>19.401414877390337</v>
      </c>
      <c r="AC29" s="71">
        <f t="shared" ca="1" si="11"/>
        <v>19.335285728319235</v>
      </c>
      <c r="AD29" s="71">
        <f t="shared" ca="1" si="11"/>
        <v>19.244355237662738</v>
      </c>
      <c r="AE29" s="71">
        <f t="shared" ca="1" si="11"/>
        <v>19.156921692958434</v>
      </c>
      <c r="AF29" s="71">
        <f t="shared" ca="1" si="11"/>
        <v>19.079496567844323</v>
      </c>
      <c r="AG29" s="71">
        <f t="shared" ca="1" si="11"/>
        <v>18.998008578568708</v>
      </c>
      <c r="AH29" s="71">
        <f t="shared" ca="1" si="11"/>
        <v>18.92141324636534</v>
      </c>
      <c r="AI29" s="71">
        <f t="shared" ca="1" si="11"/>
        <v>18.846394492585581</v>
      </c>
      <c r="AJ29" s="71">
        <f t="shared" ca="1" si="11"/>
        <v>18.77153521838741</v>
      </c>
      <c r="AK29" s="71">
        <f t="shared" ca="1" si="11"/>
        <v>18.700411118799181</v>
      </c>
      <c r="AL29" s="71">
        <f t="shared" ca="1" si="11"/>
        <v>18.63038620422056</v>
      </c>
    </row>
    <row r="30" spans="1:38" ht="15.75" customHeight="1" x14ac:dyDescent="0.2">
      <c r="A30" s="21"/>
      <c r="B30" s="71"/>
      <c r="C30" s="71"/>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row>
    <row r="31" spans="1:38" ht="15.75" customHeight="1" x14ac:dyDescent="0.2">
      <c r="A31" s="21" t="s">
        <v>68</v>
      </c>
      <c r="B31" s="71"/>
      <c r="C31" s="71"/>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row>
    <row r="32" spans="1:38" ht="15.75" customHeight="1" x14ac:dyDescent="0.2">
      <c r="A32" s="23" t="s">
        <v>65</v>
      </c>
      <c r="B32" s="71"/>
      <c r="C32" s="80">
        <f t="shared" ref="C32:AL32" ca="1" si="12">C$25/C$5</f>
        <v>4.8339781280957741</v>
      </c>
      <c r="D32" s="80">
        <f t="shared" ca="1" si="12"/>
        <v>7.3368821228686096</v>
      </c>
      <c r="E32" s="80">
        <f t="shared" ca="1" si="12"/>
        <v>4.3467090202311534</v>
      </c>
      <c r="F32" s="80">
        <f t="shared" ca="1" si="12"/>
        <v>15.645751290392665</v>
      </c>
      <c r="G32" s="80">
        <f t="shared" ca="1" si="12"/>
        <v>5.4764781208849325</v>
      </c>
      <c r="H32" s="80">
        <f t="shared" ca="1" si="12"/>
        <v>7.1046019880096374</v>
      </c>
      <c r="I32" s="80">
        <f t="shared" ca="1" si="12"/>
        <v>6.354506519392654</v>
      </c>
      <c r="J32" s="80">
        <f t="shared" ca="1" si="12"/>
        <v>9.3179841194438584</v>
      </c>
      <c r="K32" s="80">
        <f t="shared" ca="1" si="12"/>
        <v>5.6114373590756017</v>
      </c>
      <c r="L32" s="80">
        <f t="shared" ca="1" si="12"/>
        <v>5.104308446321741</v>
      </c>
      <c r="M32" s="80">
        <f t="shared" ca="1" si="12"/>
        <v>7.8424976087638081</v>
      </c>
      <c r="N32" s="80">
        <f t="shared" ca="1" si="12"/>
        <v>12.951585409884965</v>
      </c>
      <c r="O32" s="80">
        <f t="shared" ca="1" si="12"/>
        <v>51.890430501892155</v>
      </c>
      <c r="P32" s="80">
        <f t="shared" ca="1" si="12"/>
        <v>9.3935231874208647</v>
      </c>
      <c r="Q32" s="80">
        <f t="shared" ca="1" si="12"/>
        <v>4.946572396923747</v>
      </c>
      <c r="R32" s="80">
        <f t="shared" ca="1" si="12"/>
        <v>2.6591762029734345</v>
      </c>
      <c r="S32" s="80">
        <f t="shared" ca="1" si="12"/>
        <v>3.3152670663562755</v>
      </c>
      <c r="T32" s="80">
        <f t="shared" ca="1" si="12"/>
        <v>4.1411314754137356</v>
      </c>
      <c r="U32" s="80">
        <f t="shared" ca="1" si="12"/>
        <v>5.6137440117361068</v>
      </c>
      <c r="V32" s="80">
        <f t="shared" ca="1" si="12"/>
        <v>5.0467347570617092</v>
      </c>
      <c r="W32" s="80">
        <f t="shared" ca="1" si="12"/>
        <v>5.9011048985224832</v>
      </c>
      <c r="X32" s="80">
        <f t="shared" ca="1" si="12"/>
        <v>5.4230691810668352</v>
      </c>
      <c r="Y32" s="80">
        <f t="shared" ca="1" si="12"/>
        <v>5.2298082272882107</v>
      </c>
      <c r="Z32" s="80">
        <f t="shared" ca="1" si="12"/>
        <v>4.8813551406164546</v>
      </c>
      <c r="AA32" s="80">
        <f t="shared" ca="1" si="12"/>
        <v>4.7336721173329348</v>
      </c>
      <c r="AB32" s="80">
        <f t="shared" ca="1" si="12"/>
        <v>4.4774519904691346</v>
      </c>
      <c r="AC32" s="80">
        <f t="shared" ca="1" si="12"/>
        <v>4.3606327547335884</v>
      </c>
      <c r="AD32" s="80">
        <f t="shared" ca="1" si="12"/>
        <v>4.2082035602220138</v>
      </c>
      <c r="AE32" s="80">
        <f t="shared" ca="1" si="12"/>
        <v>4.2982915518957716</v>
      </c>
      <c r="AF32" s="80">
        <f t="shared" ca="1" si="12"/>
        <v>4.201808087347481</v>
      </c>
      <c r="AG32" s="80">
        <f t="shared" ca="1" si="12"/>
        <v>4.2886090176139922</v>
      </c>
      <c r="AH32" s="80">
        <f t="shared" ca="1" si="12"/>
        <v>4.196968499155747</v>
      </c>
      <c r="AI32" s="80">
        <f t="shared" ca="1" si="12"/>
        <v>4.280652566112165</v>
      </c>
      <c r="AJ32" s="80">
        <f t="shared" ca="1" si="12"/>
        <v>4.3611475369313908</v>
      </c>
      <c r="AK32" s="80">
        <f t="shared" ca="1" si="12"/>
        <v>4.274127739613002</v>
      </c>
      <c r="AL32" s="80">
        <f t="shared" ca="1" si="12"/>
        <v>4.3518500145906529</v>
      </c>
    </row>
    <row r="33" spans="1:38" ht="15.75" customHeight="1" x14ac:dyDescent="0.2">
      <c r="A33" s="23" t="s">
        <v>67</v>
      </c>
      <c r="C33" s="80">
        <f t="shared" ref="C33:AL33" ca="1" si="13">C$25/C$10</f>
        <v>4.5123134403759089</v>
      </c>
      <c r="D33" s="80">
        <f t="shared" ca="1" si="13"/>
        <v>5.9951966389558962</v>
      </c>
      <c r="E33" s="80">
        <f t="shared" ca="1" si="13"/>
        <v>3.934324205793386</v>
      </c>
      <c r="F33" s="80">
        <f t="shared" ca="1" si="13"/>
        <v>14.125870364213799</v>
      </c>
      <c r="G33" s="80">
        <f t="shared" ca="1" si="13"/>
        <v>4.6168642786138987</v>
      </c>
      <c r="H33" s="80">
        <f t="shared" ca="1" si="13"/>
        <v>4.144641959788312</v>
      </c>
      <c r="I33" s="80">
        <f t="shared" ca="1" si="13"/>
        <v>5.0915899712755381</v>
      </c>
      <c r="J33" s="80">
        <f t="shared" ca="1" si="13"/>
        <v>9.0206130536496349</v>
      </c>
      <c r="K33" s="80">
        <f t="shared" ca="1" si="13"/>
        <v>5.1669628022862062</v>
      </c>
      <c r="L33" s="80">
        <f t="shared" ca="1" si="13"/>
        <v>4.436247196243448</v>
      </c>
      <c r="M33" s="80">
        <f t="shared" ca="1" si="13"/>
        <v>7.0812299664290466</v>
      </c>
      <c r="N33" s="80">
        <f t="shared" ca="1" si="13"/>
        <v>10.939197230840053</v>
      </c>
      <c r="O33" s="80">
        <f t="shared" ca="1" si="13"/>
        <v>43.405383377599073</v>
      </c>
      <c r="P33" s="80">
        <f t="shared" ca="1" si="13"/>
        <v>8.2646660803603833</v>
      </c>
      <c r="Q33" s="80">
        <f t="shared" ca="1" si="13"/>
        <v>4.174236843063011</v>
      </c>
      <c r="R33" s="80">
        <f t="shared" ca="1" si="13"/>
        <v>2.2593287950640568</v>
      </c>
      <c r="S33" s="80">
        <f t="shared" ca="1" si="13"/>
        <v>3.1499416069271406</v>
      </c>
      <c r="T33" s="80">
        <f t="shared" ca="1" si="13"/>
        <v>3.4938287695563641</v>
      </c>
      <c r="U33" s="80">
        <f t="shared" ca="1" si="13"/>
        <v>4.5733689301899201</v>
      </c>
      <c r="V33" s="80">
        <f t="shared" ca="1" si="13"/>
        <v>4.8290305743190984</v>
      </c>
      <c r="W33" s="80">
        <f t="shared" ca="1" si="13"/>
        <v>5.7716991841980105</v>
      </c>
      <c r="X33" s="80">
        <f t="shared" ca="1" si="13"/>
        <v>5.7319686283220541</v>
      </c>
      <c r="Y33" s="80">
        <f t="shared" ca="1" si="13"/>
        <v>5.8060263023432706</v>
      </c>
      <c r="Z33" s="80">
        <f t="shared" ca="1" si="13"/>
        <v>5.7293410746683655</v>
      </c>
      <c r="AA33" s="80">
        <f t="shared" ca="1" si="13"/>
        <v>5.7587123621583265</v>
      </c>
      <c r="AB33" s="80">
        <f t="shared" ca="1" si="13"/>
        <v>5.7269591838168319</v>
      </c>
      <c r="AC33" s="80">
        <f t="shared" ca="1" si="13"/>
        <v>5.7465461163769254</v>
      </c>
      <c r="AD33" s="80">
        <f t="shared" ca="1" si="13"/>
        <v>5.7736988191559577</v>
      </c>
      <c r="AE33" s="80">
        <f t="shared" ca="1" si="13"/>
        <v>5.8000503886776622</v>
      </c>
      <c r="AF33" s="80">
        <f t="shared" ca="1" si="13"/>
        <v>5.8235871536763977</v>
      </c>
      <c r="AG33" s="80">
        <f t="shared" ca="1" si="13"/>
        <v>5.8485662142743458</v>
      </c>
      <c r="AH33" s="80">
        <f t="shared" ca="1" si="13"/>
        <v>5.872241658928659</v>
      </c>
      <c r="AI33" s="80">
        <f t="shared" ca="1" si="13"/>
        <v>5.8956163288858079</v>
      </c>
      <c r="AJ33" s="80">
        <f t="shared" ca="1" si="13"/>
        <v>5.9191275416980123</v>
      </c>
      <c r="AK33" s="80">
        <f t="shared" ca="1" si="13"/>
        <v>5.9416400209198157</v>
      </c>
      <c r="AL33" s="80">
        <f t="shared" ca="1" si="13"/>
        <v>5.9639725066966029</v>
      </c>
    </row>
    <row r="34" spans="1:38" ht="15.75" customHeight="1" x14ac:dyDescent="0.2">
      <c r="A34" s="23"/>
      <c r="C34" s="81"/>
      <c r="N34" s="82"/>
    </row>
    <row r="35" spans="1:38" ht="15.75" customHeight="1" x14ac:dyDescent="0.2">
      <c r="A35" s="5" t="s">
        <v>69</v>
      </c>
      <c r="B35" s="83">
        <f>EDATE(C35,-3)</f>
        <v>43374</v>
      </c>
      <c r="C35" s="83">
        <v>43466</v>
      </c>
      <c r="D35" s="84">
        <f t="shared" ref="D35:O35" si="14">EDATE(C35,3)</f>
        <v>43556</v>
      </c>
      <c r="E35" s="85">
        <f t="shared" si="14"/>
        <v>43647</v>
      </c>
      <c r="F35" s="86">
        <f t="shared" si="14"/>
        <v>43739</v>
      </c>
      <c r="G35" s="83">
        <f t="shared" si="14"/>
        <v>43831</v>
      </c>
      <c r="H35" s="84">
        <f t="shared" si="14"/>
        <v>43922</v>
      </c>
      <c r="I35" s="85">
        <f t="shared" si="14"/>
        <v>44013</v>
      </c>
      <c r="J35" s="86">
        <f t="shared" si="14"/>
        <v>44105</v>
      </c>
      <c r="K35" s="83">
        <f t="shared" si="14"/>
        <v>44197</v>
      </c>
      <c r="L35" s="84">
        <f t="shared" si="14"/>
        <v>44287</v>
      </c>
      <c r="M35" s="85">
        <f t="shared" si="14"/>
        <v>44378</v>
      </c>
      <c r="N35" s="86">
        <f t="shared" si="14"/>
        <v>44470</v>
      </c>
      <c r="O35" s="83">
        <f t="shared" si="14"/>
        <v>44562</v>
      </c>
      <c r="P35" s="20"/>
      <c r="Q35" s="20"/>
      <c r="R35" s="20"/>
      <c r="S35" s="20"/>
      <c r="T35" s="20"/>
      <c r="U35" s="20"/>
      <c r="V35" s="20"/>
      <c r="W35" s="20"/>
      <c r="X35" s="20"/>
      <c r="Y35" s="20"/>
      <c r="Z35" s="20"/>
      <c r="AA35" s="20"/>
      <c r="AB35" s="20"/>
      <c r="AC35" s="20"/>
      <c r="AD35" s="20"/>
      <c r="AE35" s="20"/>
      <c r="AF35" s="20"/>
      <c r="AG35" s="20"/>
      <c r="AH35" s="20"/>
      <c r="AI35" s="20"/>
      <c r="AJ35" s="20"/>
      <c r="AK35" s="20"/>
      <c r="AL35" s="20"/>
    </row>
    <row r="36" spans="1:38" ht="15.75" customHeight="1" x14ac:dyDescent="0.2">
      <c r="A36" s="21" t="s">
        <v>11</v>
      </c>
      <c r="B36" s="22"/>
      <c r="C36" s="22"/>
    </row>
    <row r="37" spans="1:38" ht="15.75" customHeight="1" x14ac:dyDescent="0.2">
      <c r="A37" s="23" t="s">
        <v>12</v>
      </c>
      <c r="B37" s="25"/>
      <c r="C37" s="25">
        <f t="shared" ref="C37:N37" ca="1" si="15">SUMIFS(Oper_Model_Sales_and_Marketing,Oper_Model_Months,"&gt;="&amp;C$35,Oper_Model_Months,"&lt;"&amp;D$35)</f>
        <v>773417</v>
      </c>
      <c r="D37" s="25">
        <f t="shared" ca="1" si="15"/>
        <v>842332</v>
      </c>
      <c r="E37" s="25">
        <f t="shared" ca="1" si="15"/>
        <v>865493</v>
      </c>
      <c r="F37" s="25">
        <f t="shared" ca="1" si="15"/>
        <v>880554</v>
      </c>
      <c r="G37" s="25">
        <f t="shared" ca="1" si="15"/>
        <v>936204</v>
      </c>
      <c r="H37" s="25">
        <f t="shared" ca="1" si="15"/>
        <v>850640.84977898595</v>
      </c>
      <c r="I37" s="25">
        <f t="shared" ca="1" si="15"/>
        <v>964503.58023797825</v>
      </c>
      <c r="J37" s="25">
        <f t="shared" ca="1" si="15"/>
        <v>1234253.1742689926</v>
      </c>
      <c r="K37" s="25">
        <f t="shared" ca="1" si="15"/>
        <v>1504895.5837458726</v>
      </c>
      <c r="L37" s="25">
        <f t="shared" ca="1" si="15"/>
        <v>1776427.0677321774</v>
      </c>
      <c r="M37" s="25">
        <f t="shared" ca="1" si="15"/>
        <v>1922294.9125214096</v>
      </c>
      <c r="N37" s="25">
        <f t="shared" ca="1" si="15"/>
        <v>2069082.5030254521</v>
      </c>
    </row>
    <row r="38" spans="1:38" ht="15.75" customHeight="1" x14ac:dyDescent="0.2">
      <c r="A38" s="23" t="s">
        <v>70</v>
      </c>
      <c r="B38" s="22"/>
      <c r="C38" s="87">
        <f t="shared" ref="C38:N38" si="16">SUMIFS(Revenue_Model_New_Count_1m,Revenue_Model_Months,"&gt;="&amp;C$35,Revenue_Model_Months,"&lt;"&amp;D$35)+SUMIFS(Revenue_Model_New_Count_12m,Revenue_Model_Months,"&gt;="&amp;C$35,Revenue_Model_Months,"&lt;"&amp;D$35)</f>
        <v>57</v>
      </c>
      <c r="D38" s="87">
        <f t="shared" si="16"/>
        <v>87</v>
      </c>
      <c r="E38" s="87">
        <f t="shared" si="16"/>
        <v>88</v>
      </c>
      <c r="F38" s="87">
        <f t="shared" si="16"/>
        <v>68</v>
      </c>
      <c r="G38" s="87">
        <f t="shared" si="16"/>
        <v>73</v>
      </c>
      <c r="H38" s="87">
        <f t="shared" ca="1" si="16"/>
        <v>49</v>
      </c>
      <c r="I38" s="87">
        <f t="shared" ca="1" si="16"/>
        <v>55</v>
      </c>
      <c r="J38" s="87">
        <f t="shared" ca="1" si="16"/>
        <v>58</v>
      </c>
      <c r="K38" s="87">
        <f t="shared" ca="1" si="16"/>
        <v>62</v>
      </c>
      <c r="L38" s="87">
        <f t="shared" ca="1" si="16"/>
        <v>68</v>
      </c>
      <c r="M38" s="87">
        <f t="shared" ca="1" si="16"/>
        <v>73</v>
      </c>
      <c r="N38" s="87">
        <f t="shared" ca="1" si="16"/>
        <v>79</v>
      </c>
    </row>
    <row r="39" spans="1:38" ht="15.75" customHeight="1" x14ac:dyDescent="0.2">
      <c r="A39" s="23" t="s">
        <v>30</v>
      </c>
      <c r="B39" s="33"/>
      <c r="C39" s="33">
        <f t="shared" ref="C39:N39" ca="1" si="17">C37/C38</f>
        <v>13568.719298245614</v>
      </c>
      <c r="D39" s="33">
        <f t="shared" ca="1" si="17"/>
        <v>9681.977011494253</v>
      </c>
      <c r="E39" s="33">
        <f t="shared" ca="1" si="17"/>
        <v>9835.1477272727279</v>
      </c>
      <c r="F39" s="33">
        <f t="shared" ca="1" si="17"/>
        <v>12949.323529411764</v>
      </c>
      <c r="G39" s="33">
        <f t="shared" ca="1" si="17"/>
        <v>12824.712328767124</v>
      </c>
      <c r="H39" s="33">
        <f t="shared" ca="1" si="17"/>
        <v>17360.017342428284</v>
      </c>
      <c r="I39" s="33">
        <f t="shared" ca="1" si="17"/>
        <v>17536.428731599604</v>
      </c>
      <c r="J39" s="33">
        <f t="shared" ca="1" si="17"/>
        <v>21280.227142568838</v>
      </c>
      <c r="K39" s="33">
        <f t="shared" ca="1" si="17"/>
        <v>24272.509415256009</v>
      </c>
      <c r="L39" s="33">
        <f t="shared" ca="1" si="17"/>
        <v>26123.927466649668</v>
      </c>
      <c r="M39" s="33">
        <f t="shared" ca="1" si="17"/>
        <v>26332.807020841228</v>
      </c>
      <c r="N39" s="33">
        <f t="shared" ca="1" si="17"/>
        <v>26190.917759815849</v>
      </c>
    </row>
    <row r="40" spans="1:38" ht="15.75" customHeight="1" x14ac:dyDescent="0.2">
      <c r="C40" s="88"/>
      <c r="D40" s="88"/>
      <c r="E40" s="88"/>
    </row>
    <row r="41" spans="1:38" ht="15.75" customHeight="1" x14ac:dyDescent="0.2">
      <c r="A41" s="21" t="s">
        <v>31</v>
      </c>
      <c r="D41" s="89"/>
    </row>
    <row r="42" spans="1:38" ht="15.75" customHeight="1" x14ac:dyDescent="0.2">
      <c r="A42" s="23" t="s">
        <v>32</v>
      </c>
      <c r="C42" s="25">
        <f t="shared" ref="C42:N42" ca="1" si="18">SUMIFS(Oper_Model_Advertising,Oper_Model_Months,"&gt;="&amp;C$35,Oper_Model_Months,"&lt;"&amp;D$35)</f>
        <v>449837</v>
      </c>
      <c r="D42" s="25">
        <f t="shared" ca="1" si="18"/>
        <v>496288</v>
      </c>
      <c r="E42" s="25">
        <f t="shared" ca="1" si="18"/>
        <v>506354</v>
      </c>
      <c r="F42" s="25">
        <f t="shared" ca="1" si="18"/>
        <v>490476</v>
      </c>
      <c r="G42" s="25">
        <f t="shared" ca="1" si="18"/>
        <v>540955</v>
      </c>
      <c r="H42" s="25">
        <f t="shared" ca="1" si="18"/>
        <v>482469</v>
      </c>
      <c r="I42" s="25">
        <f t="shared" si="18"/>
        <v>585000</v>
      </c>
      <c r="J42" s="25">
        <f t="shared" si="18"/>
        <v>720000</v>
      </c>
      <c r="K42" s="25">
        <f t="shared" si="18"/>
        <v>855000</v>
      </c>
      <c r="L42" s="25">
        <f t="shared" si="18"/>
        <v>990000</v>
      </c>
      <c r="M42" s="25">
        <f t="shared" si="18"/>
        <v>1125000</v>
      </c>
      <c r="N42" s="25">
        <f t="shared" si="18"/>
        <v>1260000</v>
      </c>
      <c r="O42" s="22"/>
      <c r="P42" s="22"/>
      <c r="Q42" s="22"/>
      <c r="R42" s="22"/>
      <c r="S42" s="22"/>
      <c r="T42" s="22"/>
      <c r="U42" s="22"/>
      <c r="V42" s="22"/>
      <c r="W42" s="22"/>
      <c r="X42" s="22"/>
      <c r="Y42" s="22"/>
      <c r="Z42" s="22"/>
      <c r="AA42" s="22"/>
      <c r="AB42" s="22"/>
      <c r="AC42" s="22"/>
      <c r="AD42" s="22"/>
      <c r="AE42" s="22"/>
      <c r="AF42" s="22"/>
      <c r="AG42" s="22"/>
      <c r="AH42" s="22"/>
      <c r="AI42" s="22"/>
      <c r="AJ42" s="22"/>
      <c r="AK42" s="22"/>
      <c r="AL42" s="22"/>
    </row>
    <row r="43" spans="1:38" ht="15.75" customHeight="1" x14ac:dyDescent="0.2">
      <c r="A43" s="23" t="s">
        <v>71</v>
      </c>
      <c r="C43" s="87">
        <f t="shared" ref="C43:N43" ca="1" si="19">SUMIFS(Marketing_Funnel_New_Customers_AdWords,Marketing_Funnel_Months,"&gt;="&amp;C$35,Marketing_Funnel_Months,"&lt;"&amp;D$35)</f>
        <v>29</v>
      </c>
      <c r="D43" s="87">
        <f t="shared" ca="1" si="19"/>
        <v>40</v>
      </c>
      <c r="E43" s="87">
        <f t="shared" ca="1" si="19"/>
        <v>46</v>
      </c>
      <c r="F43" s="87">
        <f t="shared" ca="1" si="19"/>
        <v>33</v>
      </c>
      <c r="G43" s="87">
        <f t="shared" ca="1" si="19"/>
        <v>36</v>
      </c>
      <c r="H43" s="87">
        <f t="shared" ca="1" si="19"/>
        <v>24.41775767160388</v>
      </c>
      <c r="I43" s="87">
        <f t="shared" ca="1" si="19"/>
        <v>30.521890787990799</v>
      </c>
      <c r="J43" s="87">
        <f t="shared" ca="1" si="19"/>
        <v>37.715169320136098</v>
      </c>
      <c r="K43" s="87">
        <f t="shared" ca="1" si="19"/>
        <v>44.806755775825401</v>
      </c>
      <c r="L43" s="87">
        <f t="shared" ca="1" si="19"/>
        <v>51.883038982714197</v>
      </c>
      <c r="M43" s="87">
        <f t="shared" ca="1" si="19"/>
        <v>58.957763852034702</v>
      </c>
      <c r="N43" s="87">
        <f t="shared" ca="1" si="19"/>
        <v>66.032540644654404</v>
      </c>
      <c r="O43" s="87"/>
      <c r="P43" s="87"/>
      <c r="Q43" s="87"/>
      <c r="R43" s="87"/>
      <c r="S43" s="87"/>
      <c r="T43" s="87"/>
      <c r="U43" s="87"/>
      <c r="V43" s="87"/>
      <c r="W43" s="87"/>
      <c r="X43" s="87"/>
      <c r="Y43" s="87"/>
      <c r="Z43" s="87"/>
      <c r="AA43" s="87"/>
      <c r="AB43" s="87"/>
      <c r="AC43" s="87"/>
      <c r="AD43" s="87"/>
      <c r="AE43" s="87"/>
      <c r="AF43" s="87"/>
      <c r="AG43" s="87"/>
      <c r="AH43" s="87"/>
      <c r="AI43" s="87"/>
      <c r="AJ43" s="87"/>
      <c r="AK43" s="87"/>
      <c r="AL43" s="87"/>
    </row>
    <row r="44" spans="1:38" ht="15.75" customHeight="1" x14ac:dyDescent="0.2">
      <c r="A44" s="23" t="s">
        <v>30</v>
      </c>
      <c r="C44" s="33">
        <f t="shared" ref="C44:N44" ca="1" si="20">C42/C43</f>
        <v>15511.620689655172</v>
      </c>
      <c r="D44" s="33">
        <f t="shared" ca="1" si="20"/>
        <v>12407.2</v>
      </c>
      <c r="E44" s="33">
        <f t="shared" ca="1" si="20"/>
        <v>11007.695652173914</v>
      </c>
      <c r="F44" s="33">
        <f t="shared" ca="1" si="20"/>
        <v>14862.90909090909</v>
      </c>
      <c r="G44" s="33">
        <f t="shared" ca="1" si="20"/>
        <v>15026.527777777777</v>
      </c>
      <c r="H44" s="33">
        <f t="shared" ca="1" si="20"/>
        <v>19758.939640926867</v>
      </c>
      <c r="I44" s="33">
        <f t="shared" ca="1" si="20"/>
        <v>19166.571431091525</v>
      </c>
      <c r="J44" s="33">
        <f t="shared" ca="1" si="20"/>
        <v>19090.46182156718</v>
      </c>
      <c r="K44" s="33">
        <f t="shared" ca="1" si="20"/>
        <v>19081.943898765781</v>
      </c>
      <c r="L44" s="33">
        <f t="shared" ca="1" si="20"/>
        <v>19081.380339533251</v>
      </c>
      <c r="M44" s="33">
        <f t="shared" ca="1" si="20"/>
        <v>19081.45639348523</v>
      </c>
      <c r="N44" s="33">
        <f t="shared" ca="1" si="20"/>
        <v>19081.501146238297</v>
      </c>
      <c r="O44" s="33"/>
      <c r="P44" s="33"/>
      <c r="Q44" s="33"/>
      <c r="R44" s="33"/>
      <c r="S44" s="33"/>
      <c r="T44" s="33"/>
      <c r="U44" s="33"/>
      <c r="V44" s="33"/>
      <c r="W44" s="33"/>
      <c r="X44" s="33"/>
      <c r="Y44" s="33"/>
      <c r="Z44" s="33"/>
      <c r="AA44" s="33"/>
      <c r="AB44" s="33"/>
      <c r="AC44" s="33"/>
      <c r="AD44" s="33"/>
      <c r="AE44" s="33"/>
      <c r="AF44" s="33"/>
      <c r="AG44" s="33"/>
      <c r="AH44" s="33"/>
      <c r="AI44" s="33"/>
      <c r="AJ44" s="33"/>
      <c r="AK44" s="33"/>
      <c r="AL44" s="33"/>
    </row>
    <row r="45" spans="1:38" ht="15.75" customHeight="1" x14ac:dyDescent="0.2">
      <c r="A45" s="21"/>
    </row>
    <row r="46" spans="1:38" ht="15.75" customHeight="1" x14ac:dyDescent="0.2">
      <c r="A46" s="21" t="s">
        <v>73</v>
      </c>
    </row>
    <row r="47" spans="1:38" ht="15.75" customHeight="1" x14ac:dyDescent="0.2">
      <c r="A47" s="23" t="s">
        <v>16</v>
      </c>
      <c r="B47" s="25"/>
      <c r="C47" s="25">
        <f t="shared" ref="C47:N47" ca="1" si="21">SUMIFS(Oper_Model_Gross_Profit,Oper_Model_Months,"&gt;="&amp;C$35,Oper_Model_Months,"&lt;"&amp;D$35)</f>
        <v>1235225</v>
      </c>
      <c r="D47" s="25">
        <f t="shared" ca="1" si="21"/>
        <v>1489607</v>
      </c>
      <c r="E47" s="25">
        <f t="shared" ca="1" si="21"/>
        <v>1687377</v>
      </c>
      <c r="F47" s="25">
        <f t="shared" ca="1" si="21"/>
        <v>1936490</v>
      </c>
      <c r="G47" s="25">
        <f t="shared" ca="1" si="21"/>
        <v>2049443.19</v>
      </c>
      <c r="H47" s="25">
        <f t="shared" ca="1" si="21"/>
        <v>1920612.2039031226</v>
      </c>
      <c r="I47" s="25">
        <f t="shared" ca="1" si="21"/>
        <v>1952949.9874007506</v>
      </c>
      <c r="J47" s="25">
        <f t="shared" ca="1" si="21"/>
        <v>2056497.8966581237</v>
      </c>
      <c r="K47" s="25">
        <f t="shared" ca="1" si="21"/>
        <v>2174369.8629641077</v>
      </c>
      <c r="L47" s="25">
        <f t="shared" ca="1" si="21"/>
        <v>2332016.3950697491</v>
      </c>
      <c r="M47" s="25">
        <f t="shared" ca="1" si="21"/>
        <v>2512108.0064875577</v>
      </c>
      <c r="N47" s="25">
        <f t="shared" ca="1" si="21"/>
        <v>2707440.7711503021</v>
      </c>
    </row>
    <row r="48" spans="1:38" ht="15.75" customHeight="1" x14ac:dyDescent="0.2">
      <c r="A48" s="23" t="s">
        <v>74</v>
      </c>
      <c r="B48" s="25">
        <f t="array" ref="B48">INDEX(Revenue_Model_Total_Customers,MATCH(DATE(YEAR(B$35),MONTH(B$35)+2,DAY(B$35)),Revenue_Model_Months,0))</f>
        <v>323</v>
      </c>
      <c r="C48" s="25">
        <f t="array" ref="C48">INDEX(Revenue_Model_Total_Customers,MATCH(DATE(YEAR(C$35),MONTH(C$35)+2,DAY(C$35)),Revenue_Model_Months,0))</f>
        <v>364</v>
      </c>
      <c r="D48" s="25">
        <f t="array" ref="D48">INDEX(Revenue_Model_Total_Customers,MATCH(DATE(YEAR(D$35),MONTH(D$35)+2,DAY(D$35)),Revenue_Model_Months,0))</f>
        <v>434</v>
      </c>
      <c r="E48" s="25">
        <f t="array" ref="E48">INDEX(Revenue_Model_Total_Customers,MATCH(DATE(YEAR(E$35),MONTH(E$35)+2,DAY(E$35)),Revenue_Model_Months,0))</f>
        <v>496</v>
      </c>
      <c r="F48" s="25">
        <f t="array" ref="F48">INDEX(Revenue_Model_Total_Customers,MATCH(DATE(YEAR(F$35),MONTH(F$35)+2,DAY(F$35)),Revenue_Model_Months,0))</f>
        <v>545</v>
      </c>
      <c r="G48" s="25">
        <f t="array" ref="G48">INDEX(Revenue_Model_Total_Customers,MATCH(DATE(YEAR(G$35),MONTH(G$35)+2,DAY(G$35)),Revenue_Model_Months,0))</f>
        <v>616</v>
      </c>
      <c r="H48" s="25">
        <f t="array" aca="1" ref="H48" ca="1">INDEX(Revenue_Model_Total_Customers,MATCH(DATE(YEAR(H$35),MONTH(H$35)+2,DAY(H$35)),Revenue_Model_Months,0))</f>
        <v>631.90913</v>
      </c>
      <c r="I48" s="25">
        <f t="array" aca="1" ref="I48" ca="1">INDEX(Revenue_Model_Total_Customers,MATCH(DATE(YEAR(I$35),MONTH(I$35)+2,DAY(I$35)),Revenue_Model_Months,0))</f>
        <v>666.98071883342743</v>
      </c>
      <c r="J48" s="25">
        <f t="array" aca="1" ref="J48" ca="1">INDEX(Revenue_Model_Total_Customers,MATCH(DATE(YEAR(J$35),MONTH(J$35)+2,DAY(J$35)),Revenue_Model_Months,0))</f>
        <v>706.62236851065745</v>
      </c>
      <c r="K48" s="25">
        <f t="array" aca="1" ref="K48" ca="1">INDEX(Revenue_Model_Total_Customers,MATCH(DATE(YEAR(K$35),MONTH(K$35)+2,DAY(K$35)),Revenue_Model_Months,0))</f>
        <v>749.16737866871119</v>
      </c>
      <c r="L48" s="25">
        <f t="array" aca="1" ref="L48" ca="1">INDEX(Revenue_Model_Total_Customers,MATCH(DATE(YEAR(L$35),MONTH(L$35)+2,DAY(L$35)),Revenue_Model_Months,0))</f>
        <v>796.52014297465348</v>
      </c>
      <c r="M48" s="25">
        <f t="array" aca="1" ref="M48" ca="1">INDEX(Revenue_Model_Total_Customers,MATCH(DATE(YEAR(M$35),MONTH(M$35)+2,DAY(M$35)),Revenue_Model_Months,0))</f>
        <v>847.56101684589646</v>
      </c>
      <c r="N48" s="25">
        <f t="array" aca="1" ref="N48" ca="1">INDEX(Revenue_Model_Total_Customers,MATCH(DATE(YEAR(N$35),MONTH(N$35)+2,DAY(N$35)),Revenue_Model_Months,0))</f>
        <v>903.18231484616956</v>
      </c>
    </row>
    <row r="49" spans="1:14" ht="15.75" customHeight="1" x14ac:dyDescent="0.2">
      <c r="A49" s="23" t="s">
        <v>75</v>
      </c>
      <c r="B49" s="33"/>
      <c r="C49" s="33">
        <f t="shared" ref="C49:N49" ca="1" si="22">C47/C48</f>
        <v>3393.4752747252746</v>
      </c>
      <c r="D49" s="33">
        <f t="shared" ca="1" si="22"/>
        <v>3432.2741935483873</v>
      </c>
      <c r="E49" s="33">
        <f t="shared" ca="1" si="22"/>
        <v>3401.9697580645161</v>
      </c>
      <c r="F49" s="33">
        <f t="shared" ca="1" si="22"/>
        <v>3553.1926605504586</v>
      </c>
      <c r="G49" s="33">
        <f t="shared" ca="1" si="22"/>
        <v>3327.0181655844153</v>
      </c>
      <c r="H49" s="33">
        <f t="shared" ca="1" si="22"/>
        <v>3039.380367716989</v>
      </c>
      <c r="I49" s="33">
        <f t="shared" ca="1" si="22"/>
        <v>2928.0456424835315</v>
      </c>
      <c r="J49" s="33">
        <f t="shared" ca="1" si="22"/>
        <v>2910.3209695902897</v>
      </c>
      <c r="K49" s="33">
        <f t="shared" ca="1" si="22"/>
        <v>2902.3819307616091</v>
      </c>
      <c r="L49" s="33">
        <f t="shared" ca="1" si="22"/>
        <v>2927.7557079230796</v>
      </c>
      <c r="M49" s="33">
        <f t="shared" ca="1" si="22"/>
        <v>2963.9258490628636</v>
      </c>
      <c r="N49" s="33">
        <f t="shared" ca="1" si="22"/>
        <v>2997.6680528907773</v>
      </c>
    </row>
    <row r="51" spans="1:14" ht="15.75" customHeight="1" x14ac:dyDescent="0.2">
      <c r="A51" s="23" t="s">
        <v>59</v>
      </c>
      <c r="B51" s="90"/>
      <c r="C51" s="90">
        <f t="shared" ref="C51:N51" si="23">SUMIFS(Revenue_Model_Churn_Count_1m,Revenue_Model_Months,"&gt;="&amp;C$35,Revenue_Model_Months,"&lt;"&amp;D$35)+SUMIFS(Revenue_Model_Churn_Count_12m,Revenue_Model_Months,"&gt;="&amp;C$35,Revenue_Model_Months,"&lt;"&amp;D$35)</f>
        <v>16</v>
      </c>
      <c r="D51" s="90">
        <f t="shared" si="23"/>
        <v>17</v>
      </c>
      <c r="E51" s="90">
        <f t="shared" si="23"/>
        <v>24</v>
      </c>
      <c r="F51" s="90">
        <f t="shared" si="23"/>
        <v>19</v>
      </c>
      <c r="G51" s="90">
        <f t="shared" si="23"/>
        <v>16</v>
      </c>
      <c r="H51" s="90">
        <f t="shared" ca="1" si="23"/>
        <v>33.090869999999995</v>
      </c>
      <c r="I51" s="90">
        <f t="shared" ca="1" si="23"/>
        <v>19.92841116657257</v>
      </c>
      <c r="J51" s="90">
        <f t="shared" ca="1" si="23"/>
        <v>18.358350322770047</v>
      </c>
      <c r="K51" s="90">
        <f t="shared" ca="1" si="23"/>
        <v>19.454989841946308</v>
      </c>
      <c r="L51" s="90">
        <f t="shared" ca="1" si="23"/>
        <v>20.647235694057752</v>
      </c>
      <c r="M51" s="90">
        <f t="shared" ca="1" si="23"/>
        <v>21.959126128757031</v>
      </c>
      <c r="N51" s="90">
        <f t="shared" ca="1" si="23"/>
        <v>23.378701999726928</v>
      </c>
    </row>
    <row r="52" spans="1:14" ht="15.75" customHeight="1" x14ac:dyDescent="0.2">
      <c r="A52" s="23" t="s">
        <v>60</v>
      </c>
      <c r="C52" s="58">
        <f t="shared" ref="C52:N52" si="24">C51/B48</f>
        <v>4.9535603715170282E-2</v>
      </c>
      <c r="D52" s="58">
        <f t="shared" si="24"/>
        <v>4.6703296703296704E-2</v>
      </c>
      <c r="E52" s="58">
        <f t="shared" si="24"/>
        <v>5.5299539170506916E-2</v>
      </c>
      <c r="F52" s="58">
        <f t="shared" si="24"/>
        <v>3.8306451612903226E-2</v>
      </c>
      <c r="G52" s="58">
        <f t="shared" si="24"/>
        <v>2.9357798165137616E-2</v>
      </c>
      <c r="H52" s="58">
        <f t="shared" ca="1" si="24"/>
        <v>5.3718944805194797E-2</v>
      </c>
      <c r="I52" s="58">
        <f t="shared" ca="1" si="24"/>
        <v>3.1536830567035122E-2</v>
      </c>
      <c r="J52" s="58">
        <f t="shared" ca="1" si="24"/>
        <v>2.7524559262941579E-2</v>
      </c>
      <c r="K52" s="58">
        <f t="shared" ca="1" si="24"/>
        <v>2.7532371898941498E-2</v>
      </c>
      <c r="L52" s="58">
        <f t="shared" ca="1" si="24"/>
        <v>2.7560243921389633E-2</v>
      </c>
      <c r="M52" s="58">
        <f t="shared" ca="1" si="24"/>
        <v>2.7568827131915739E-2</v>
      </c>
      <c r="N52" s="58">
        <f t="shared" ca="1" si="24"/>
        <v>2.758350317565118E-2</v>
      </c>
    </row>
    <row r="53" spans="1:14" ht="15.75" customHeight="1" x14ac:dyDescent="0.2">
      <c r="A53" s="23" t="s">
        <v>78</v>
      </c>
      <c r="C53" s="71">
        <f t="shared" ref="C53:N53" si="25">1/C52</f>
        <v>20.1875</v>
      </c>
      <c r="D53" s="71">
        <f t="shared" si="25"/>
        <v>21.411764705882351</v>
      </c>
      <c r="E53" s="71">
        <f t="shared" si="25"/>
        <v>18.083333333333332</v>
      </c>
      <c r="F53" s="71">
        <f t="shared" si="25"/>
        <v>26.105263157894736</v>
      </c>
      <c r="G53" s="71">
        <f t="shared" si="25"/>
        <v>34.0625</v>
      </c>
      <c r="H53" s="71">
        <f t="shared" ca="1" si="25"/>
        <v>18.615406606112202</v>
      </c>
      <c r="I53" s="71">
        <f t="shared" ca="1" si="25"/>
        <v>31.708956861545939</v>
      </c>
      <c r="J53" s="71">
        <f t="shared" ca="1" si="25"/>
        <v>36.331190281632466</v>
      </c>
      <c r="K53" s="71">
        <f t="shared" ca="1" si="25"/>
        <v>36.320880876901334</v>
      </c>
      <c r="L53" s="71">
        <f t="shared" ca="1" si="25"/>
        <v>36.284149111753521</v>
      </c>
      <c r="M53" s="71">
        <f t="shared" ca="1" si="25"/>
        <v>36.272852494414792</v>
      </c>
      <c r="N53" s="71">
        <f t="shared" ca="1" si="25"/>
        <v>36.253553206495226</v>
      </c>
    </row>
    <row r="54" spans="1:14" ht="15.75" customHeight="1" x14ac:dyDescent="0.2">
      <c r="A54" s="23" t="s">
        <v>63</v>
      </c>
      <c r="C54" s="33">
        <f t="shared" ref="C54:N54" ca="1" si="26">C49*C53</f>
        <v>68505.782108516476</v>
      </c>
      <c r="D54" s="33">
        <f t="shared" ca="1" si="26"/>
        <v>73491.047438330177</v>
      </c>
      <c r="E54" s="33">
        <f t="shared" ca="1" si="26"/>
        <v>61518.953124999993</v>
      </c>
      <c r="F54" s="33">
        <f t="shared" ca="1" si="26"/>
        <v>92757.029454369869</v>
      </c>
      <c r="G54" s="33">
        <f t="shared" ca="1" si="26"/>
        <v>113326.55626521914</v>
      </c>
      <c r="H54" s="33">
        <f t="shared" ca="1" si="26"/>
        <v>56579.301375686569</v>
      </c>
      <c r="I54" s="33">
        <f t="shared" ca="1" si="26"/>
        <v>92845.272966147866</v>
      </c>
      <c r="J54" s="33">
        <f t="shared" ca="1" si="26"/>
        <v>105735.42492680991</v>
      </c>
      <c r="K54" s="33">
        <f t="shared" ca="1" si="26"/>
        <v>105417.0683664633</v>
      </c>
      <c r="L54" s="33">
        <f t="shared" ca="1" si="26"/>
        <v>106231.12466906851</v>
      </c>
      <c r="M54" s="33">
        <f t="shared" ca="1" si="26"/>
        <v>107510.04512744037</v>
      </c>
      <c r="N54" s="33">
        <f t="shared" ca="1" si="26"/>
        <v>108676.11825088674</v>
      </c>
    </row>
    <row r="56" spans="1:14" ht="12.75" x14ac:dyDescent="0.2">
      <c r="A56" s="21" t="s">
        <v>79</v>
      </c>
      <c r="B56" s="71"/>
      <c r="C56" s="91"/>
      <c r="D56" s="91"/>
      <c r="E56" s="91"/>
      <c r="F56" s="91"/>
      <c r="G56" s="91"/>
      <c r="H56" s="91"/>
      <c r="I56" s="91"/>
      <c r="J56" s="91"/>
      <c r="K56" s="91"/>
      <c r="L56" s="91"/>
      <c r="M56" s="91"/>
      <c r="N56" s="91"/>
    </row>
    <row r="57" spans="1:14" ht="12.75" x14ac:dyDescent="0.2">
      <c r="A57" s="23" t="s">
        <v>65</v>
      </c>
      <c r="B57" s="71"/>
      <c r="C57" s="91">
        <f t="shared" ref="C57:N57" ca="1" si="27">C$39/C$49*3</f>
        <v>11.995419031904479</v>
      </c>
      <c r="D57" s="91">
        <f t="shared" ca="1" si="27"/>
        <v>8.4625905147904898</v>
      </c>
      <c r="E57" s="91">
        <f t="shared" ca="1" si="27"/>
        <v>8.6730468758207682</v>
      </c>
      <c r="F57" s="91">
        <f t="shared" ca="1" si="27"/>
        <v>10.93325757973872</v>
      </c>
      <c r="G57" s="91">
        <f t="shared" ca="1" si="27"/>
        <v>11.564149959951632</v>
      </c>
      <c r="H57" s="91">
        <f t="shared" ca="1" si="27"/>
        <v>17.135088645191338</v>
      </c>
      <c r="I57" s="91">
        <f t="shared" ca="1" si="27"/>
        <v>17.967372308505503</v>
      </c>
      <c r="J57" s="91">
        <f t="shared" ca="1" si="27"/>
        <v>21.93595898692023</v>
      </c>
      <c r="K57" s="91">
        <f t="shared" ca="1" si="27"/>
        <v>25.08888560598918</v>
      </c>
      <c r="L57" s="91">
        <f t="shared" ca="1" si="27"/>
        <v>26.768552508619361</v>
      </c>
      <c r="M57" s="91">
        <f t="shared" ca="1" si="27"/>
        <v>26.653305475743082</v>
      </c>
      <c r="N57" s="91">
        <f t="shared" ca="1" si="27"/>
        <v>26.211292208847652</v>
      </c>
    </row>
    <row r="58" spans="1:14" ht="12.75" x14ac:dyDescent="0.2">
      <c r="A58" s="23" t="s">
        <v>67</v>
      </c>
      <c r="C58" s="91">
        <f t="shared" ref="C58:N58" ca="1" si="28">C$44/C$49*3</f>
        <v>13.713039966891415</v>
      </c>
      <c r="D58" s="91">
        <f t="shared" ca="1" si="28"/>
        <v>10.844588136333947</v>
      </c>
      <c r="E58" s="91">
        <f t="shared" ca="1" si="28"/>
        <v>9.707048946640132</v>
      </c>
      <c r="F58" s="91">
        <f t="shared" ca="1" si="28"/>
        <v>12.548919108095763</v>
      </c>
      <c r="G58" s="91">
        <f t="shared" ca="1" si="28"/>
        <v>13.549545295438676</v>
      </c>
      <c r="H58" s="91">
        <f t="shared" ca="1" si="28"/>
        <v>19.502928804960995</v>
      </c>
      <c r="I58" s="91">
        <f t="shared" ca="1" si="28"/>
        <v>19.637574448635998</v>
      </c>
      <c r="J58" s="91">
        <f t="shared" ca="1" si="28"/>
        <v>19.678717936312061</v>
      </c>
      <c r="K58" s="91">
        <f t="shared" ca="1" si="28"/>
        <v>19.723741761745178</v>
      </c>
      <c r="L58" s="91">
        <f t="shared" ca="1" si="28"/>
        <v>19.552225912731007</v>
      </c>
      <c r="M58" s="91">
        <f t="shared" ca="1" si="28"/>
        <v>19.313698147527969</v>
      </c>
      <c r="N58" s="91">
        <f t="shared" ca="1" si="28"/>
        <v>19.096345035105408</v>
      </c>
    </row>
    <row r="59" spans="1:14" ht="12.75" x14ac:dyDescent="0.2">
      <c r="A59" s="21"/>
      <c r="B59" s="80"/>
      <c r="C59" s="80"/>
      <c r="D59" s="80"/>
      <c r="E59" s="80"/>
      <c r="F59" s="80"/>
      <c r="G59" s="80"/>
      <c r="H59" s="80"/>
      <c r="I59" s="80"/>
      <c r="J59" s="80"/>
      <c r="K59" s="80"/>
      <c r="L59" s="80"/>
      <c r="M59" s="80"/>
      <c r="N59" s="80"/>
    </row>
    <row r="60" spans="1:14" ht="12.75" x14ac:dyDescent="0.2">
      <c r="A60" s="21" t="s">
        <v>68</v>
      </c>
      <c r="B60" s="80"/>
      <c r="C60" s="80"/>
      <c r="D60" s="80"/>
      <c r="E60" s="80"/>
      <c r="F60" s="80"/>
      <c r="G60" s="80"/>
      <c r="H60" s="80"/>
      <c r="I60" s="80"/>
      <c r="J60" s="80"/>
      <c r="K60" s="80"/>
      <c r="L60" s="80"/>
      <c r="M60" s="80"/>
      <c r="N60" s="80"/>
    </row>
    <row r="61" spans="1:14" ht="12.75" x14ac:dyDescent="0.2">
      <c r="A61" s="23" t="s">
        <v>65</v>
      </c>
      <c r="B61" s="80"/>
      <c r="C61" s="80">
        <f ca="1">C$54/C39</f>
        <v>5.0488023668802713</v>
      </c>
      <c r="D61" s="80">
        <f t="shared" ref="D61:N61" ca="1" si="29">D54/D39</f>
        <v>7.5905000963215521</v>
      </c>
      <c r="E61" s="80">
        <f t="shared" ca="1" si="29"/>
        <v>6.2550105835633554</v>
      </c>
      <c r="F61" s="80">
        <f t="shared" ca="1" si="29"/>
        <v>7.1630791557328131</v>
      </c>
      <c r="G61" s="80">
        <f t="shared" ca="1" si="29"/>
        <v>8.8365768650433001</v>
      </c>
      <c r="H61" s="80">
        <f t="shared" ca="1" si="29"/>
        <v>3.2591730906515544</v>
      </c>
      <c r="I61" s="80">
        <f t="shared" ca="1" si="29"/>
        <v>5.2944230770798955</v>
      </c>
      <c r="J61" s="80">
        <f t="shared" ca="1" si="29"/>
        <v>4.9687169323158873</v>
      </c>
      <c r="K61" s="80">
        <f t="shared" ca="1" si="29"/>
        <v>4.3430642692512658</v>
      </c>
      <c r="L61" s="80">
        <f t="shared" ca="1" si="29"/>
        <v>4.0664300880748234</v>
      </c>
      <c r="M61" s="80">
        <f t="shared" ca="1" si="29"/>
        <v>4.0827415414676844</v>
      </c>
      <c r="N61" s="80">
        <f t="shared" ca="1" si="29"/>
        <v>4.1493818295144322</v>
      </c>
    </row>
    <row r="62" spans="1:14" ht="12.75" x14ac:dyDescent="0.2">
      <c r="A62" s="23" t="s">
        <v>67</v>
      </c>
      <c r="C62" s="80">
        <f t="shared" ref="C62:N62" ca="1" si="30">C$54/C$44</f>
        <v>4.4164167935207148</v>
      </c>
      <c r="D62" s="80">
        <f t="shared" ca="1" si="30"/>
        <v>5.9232580629255729</v>
      </c>
      <c r="E62" s="80">
        <f t="shared" ca="1" si="30"/>
        <v>5.5887222057098382</v>
      </c>
      <c r="F62" s="80">
        <f t="shared" ca="1" si="30"/>
        <v>6.2408394539064211</v>
      </c>
      <c r="G62" s="80">
        <f t="shared" ca="1" si="30"/>
        <v>7.5417659981844869</v>
      </c>
      <c r="H62" s="80">
        <f t="shared" ca="1" si="30"/>
        <v>2.8634786280987146</v>
      </c>
      <c r="I62" s="80">
        <f t="shared" ca="1" si="30"/>
        <v>4.8441252677845466</v>
      </c>
      <c r="J62" s="80">
        <f t="shared" ca="1" si="30"/>
        <v>5.5386520197932985</v>
      </c>
      <c r="K62" s="80">
        <f t="shared" ca="1" si="30"/>
        <v>5.5244407449118258</v>
      </c>
      <c r="L62" s="80">
        <f t="shared" ca="1" si="30"/>
        <v>5.5672662448311652</v>
      </c>
      <c r="M62" s="80">
        <f t="shared" ca="1" si="30"/>
        <v>5.6342683131957543</v>
      </c>
      <c r="N62" s="80">
        <f t="shared" ca="1" si="30"/>
        <v>5.6953652345277357</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5089"/>
    <outlinePr summaryBelow="0" summaryRight="0"/>
  </sheetPr>
  <dimension ref="A1:AM989"/>
  <sheetViews>
    <sheetView showGridLines="0" workbookViewId="0"/>
  </sheetViews>
  <sheetFormatPr defaultColWidth="14.42578125" defaultRowHeight="15.75" customHeight="1" x14ac:dyDescent="0.2"/>
  <cols>
    <col min="1" max="1" width="4.28515625" customWidth="1"/>
    <col min="8" max="8" width="4.28515625" customWidth="1"/>
    <col min="15" max="15" width="4.28515625" customWidth="1"/>
  </cols>
  <sheetData>
    <row r="1" spans="1:39" x14ac:dyDescent="0.2">
      <c r="A1" s="4"/>
      <c r="B1" s="5" t="s">
        <v>2</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row>
    <row r="2" spans="1:39" ht="12.75"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row>
    <row r="3" spans="1:39" ht="12.75" x14ac:dyDescent="0.2">
      <c r="A3" s="6"/>
      <c r="B3" s="7" t="s">
        <v>3</v>
      </c>
      <c r="C3" s="8"/>
      <c r="D3" s="9">
        <v>2019</v>
      </c>
      <c r="E3" s="9">
        <v>2020</v>
      </c>
      <c r="F3" s="9" t="s">
        <v>4</v>
      </c>
      <c r="G3" s="9" t="s">
        <v>5</v>
      </c>
      <c r="H3" s="6"/>
      <c r="I3" s="7" t="s">
        <v>6</v>
      </c>
      <c r="J3" s="8"/>
      <c r="K3" s="9">
        <v>2019</v>
      </c>
      <c r="L3" s="9">
        <v>2020</v>
      </c>
      <c r="M3" s="9" t="s">
        <v>4</v>
      </c>
      <c r="N3" s="9" t="s">
        <v>5</v>
      </c>
      <c r="O3" s="6"/>
      <c r="P3" s="10" t="s">
        <v>7</v>
      </c>
      <c r="Q3" s="8"/>
      <c r="R3" s="9">
        <v>2019</v>
      </c>
      <c r="S3" s="9">
        <v>2020</v>
      </c>
      <c r="T3" s="9" t="s">
        <v>4</v>
      </c>
      <c r="U3" s="9" t="s">
        <v>5</v>
      </c>
      <c r="V3" s="6"/>
      <c r="W3" s="6"/>
      <c r="X3" s="6"/>
      <c r="Y3" s="6"/>
      <c r="Z3" s="6"/>
      <c r="AA3" s="6"/>
      <c r="AB3" s="6"/>
      <c r="AC3" s="6"/>
      <c r="AD3" s="6"/>
      <c r="AE3" s="6"/>
      <c r="AF3" s="6"/>
      <c r="AG3" s="6"/>
      <c r="AH3" s="6"/>
      <c r="AI3" s="6"/>
      <c r="AJ3" s="6"/>
      <c r="AK3" s="6"/>
      <c r="AL3" s="6"/>
      <c r="AM3" s="6"/>
    </row>
    <row r="4" spans="1:39" ht="12.75" hidden="1" x14ac:dyDescent="0.2">
      <c r="A4" s="6"/>
      <c r="B4" s="11"/>
      <c r="C4" s="11"/>
      <c r="D4" s="12">
        <v>43466</v>
      </c>
      <c r="E4" s="12">
        <v>43831</v>
      </c>
      <c r="F4" s="11"/>
      <c r="G4" s="11"/>
      <c r="H4" s="6"/>
      <c r="I4" s="13"/>
      <c r="J4" s="13"/>
      <c r="K4" s="12">
        <v>43466</v>
      </c>
      <c r="L4" s="12">
        <v>43831</v>
      </c>
      <c r="M4" s="13"/>
      <c r="N4" s="13"/>
      <c r="O4" s="6"/>
      <c r="P4" s="11"/>
      <c r="Q4" s="11"/>
      <c r="R4" s="12">
        <v>43466</v>
      </c>
      <c r="S4" s="12">
        <v>43831</v>
      </c>
      <c r="T4" s="11"/>
      <c r="U4" s="11"/>
      <c r="V4" s="6"/>
      <c r="W4" s="6"/>
      <c r="X4" s="6"/>
      <c r="Y4" s="6"/>
      <c r="Z4" s="6"/>
      <c r="AA4" s="6"/>
      <c r="AB4" s="6"/>
      <c r="AC4" s="6"/>
      <c r="AD4" s="6"/>
      <c r="AE4" s="6"/>
      <c r="AF4" s="6"/>
      <c r="AG4" s="6"/>
      <c r="AH4" s="6"/>
      <c r="AI4" s="6"/>
      <c r="AJ4" s="6"/>
      <c r="AK4" s="6"/>
      <c r="AL4" s="6"/>
      <c r="AM4" s="6"/>
    </row>
    <row r="5" spans="1:39" ht="12.75" hidden="1" x14ac:dyDescent="0.2">
      <c r="A5" s="6"/>
      <c r="B5" s="6"/>
      <c r="C5" s="6"/>
      <c r="D5" s="14">
        <v>43831</v>
      </c>
      <c r="E5" s="14">
        <v>44197</v>
      </c>
      <c r="F5" s="6"/>
      <c r="G5" s="6"/>
      <c r="H5" s="6"/>
      <c r="I5" s="6"/>
      <c r="J5" s="6"/>
      <c r="K5" s="14">
        <v>43831</v>
      </c>
      <c r="L5" s="14">
        <v>44197</v>
      </c>
      <c r="M5" s="6"/>
      <c r="N5" s="6"/>
      <c r="O5" s="6"/>
      <c r="P5" s="6"/>
      <c r="Q5" s="6"/>
      <c r="R5" s="14">
        <v>43831</v>
      </c>
      <c r="S5" s="14">
        <v>44197</v>
      </c>
      <c r="T5" s="6"/>
      <c r="U5" s="6"/>
      <c r="V5" s="6"/>
      <c r="W5" s="6"/>
      <c r="X5" s="6"/>
      <c r="Y5" s="6"/>
      <c r="Z5" s="6"/>
      <c r="AA5" s="6"/>
      <c r="AB5" s="6"/>
      <c r="AC5" s="6"/>
      <c r="AD5" s="6"/>
      <c r="AE5" s="6"/>
      <c r="AF5" s="6"/>
      <c r="AG5" s="6"/>
      <c r="AH5" s="6"/>
      <c r="AI5" s="6"/>
      <c r="AJ5" s="6"/>
      <c r="AK5" s="6"/>
      <c r="AL5" s="6"/>
      <c r="AM5" s="6"/>
    </row>
    <row r="6" spans="1:39" ht="12.75" x14ac:dyDescent="0.2">
      <c r="A6" s="6"/>
      <c r="B6" s="15" t="s">
        <v>8</v>
      </c>
      <c r="C6" s="6"/>
      <c r="D6" s="16">
        <f t="array" ref="D6">INDEX(Revenue_Model_MRR,MATCH(DATE(YEAR(D4),MONTH(D4)+11,DAY(D4)),Revenue_Model_Months,0))*12</f>
        <v>9315420.7299624402</v>
      </c>
      <c r="E6" s="16">
        <f t="array" aca="1" ref="E6" ca="1">INDEX(Revenue_Model_MRR,MATCH(DATE(YEAR(E4),MONTH(E4)+11,DAY(E4)),Revenue_Model_Months,0))*12</f>
        <v>10374901.356667666</v>
      </c>
      <c r="F6" s="17">
        <f ca="1">E6-D6</f>
        <v>1059480.6267052256</v>
      </c>
      <c r="G6" s="18">
        <f ca="1">E6/D6-1</f>
        <v>0.11373406069545267</v>
      </c>
      <c r="H6" s="6"/>
      <c r="I6" s="15" t="s">
        <v>8</v>
      </c>
      <c r="J6" s="6"/>
      <c r="K6" s="16">
        <f t="array" ref="K6">INDEX(Revenue_Model_MRR_Worst_Case,MATCH(DATE(YEAR(K4),MONTH(K4)+11,DAY(K4)),Revenue_Model_Months_Worst_Case,0))*12</f>
        <v>9315420.7299624402</v>
      </c>
      <c r="L6" s="16">
        <f t="array" aca="1" ref="L6" ca="1">INDEX(Revenue_Model_MRR_Worst_Case,MATCH(DATE(YEAR(L4),MONTH(L4)+11,DAY(L4)),Revenue_Model_Months_Worst_Case,0))*12</f>
        <v>8654797.7473424934</v>
      </c>
      <c r="M6" s="17">
        <f ca="1">L6-K6</f>
        <v>-660622.98261994682</v>
      </c>
      <c r="N6" s="18">
        <f ca="1">L6/K6-1</f>
        <v>-7.0917138556618964E-2</v>
      </c>
      <c r="O6" s="6"/>
      <c r="P6" s="15" t="s">
        <v>8</v>
      </c>
      <c r="Q6" s="6"/>
      <c r="R6" s="16">
        <f t="array" ref="R6">INDEX(Revenue_Model_MRR,MATCH(DATE(YEAR(R4),MONTH(R4)+11,DAY(R4)),Revenue_Model_Months,0))*12</f>
        <v>9315420.7299624402</v>
      </c>
      <c r="S6" s="16">
        <f t="array" ref="S6">INDEX(Oper_Model_Revenue_2020_Target,MATCH(DATE(YEAR(S4),MONTH(S4)+11,DAY(S4)),Oper_Model_Months_2020_Target,0))*12</f>
        <v>12377461.311451823</v>
      </c>
      <c r="T6" s="17">
        <f>S6-R6</f>
        <v>3062040.5814893823</v>
      </c>
      <c r="U6" s="18">
        <f>S6/R6-1</f>
        <v>0.32870663282448742</v>
      </c>
      <c r="V6" s="6"/>
      <c r="W6" s="6"/>
      <c r="X6" s="6"/>
      <c r="Y6" s="6"/>
      <c r="Z6" s="6"/>
      <c r="AA6" s="6"/>
      <c r="AB6" s="6"/>
      <c r="AC6" s="6"/>
      <c r="AD6" s="6"/>
      <c r="AE6" s="6"/>
      <c r="AF6" s="6"/>
      <c r="AG6" s="6"/>
      <c r="AH6" s="6"/>
      <c r="AI6" s="6"/>
      <c r="AJ6" s="6"/>
      <c r="AK6" s="6"/>
      <c r="AL6" s="6"/>
      <c r="AM6" s="6"/>
    </row>
    <row r="7" spans="1:39" ht="12.75" x14ac:dyDescent="0.2">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row>
    <row r="8" spans="1:39" ht="12.75" x14ac:dyDescent="0.2">
      <c r="A8" s="6"/>
      <c r="B8" s="15" t="s">
        <v>9</v>
      </c>
      <c r="C8" s="6"/>
      <c r="D8" s="19">
        <f ca="1">SUMIFS(Oper_Model_Revenue,Oper_Model_Months,"&gt;="&amp;D4,Oper_Model_Months,"&lt;"&amp;D5)</f>
        <v>7835571</v>
      </c>
      <c r="E8" s="19">
        <f ca="1">SUMIFS(Oper_Model_Revenue,Oper_Model_Months,"&gt;="&amp;E4,Oper_Model_Months,"&lt;"&amp;E5)</f>
        <v>9770657.0267076362</v>
      </c>
      <c r="F8" s="19">
        <f ca="1">E8-D8</f>
        <v>1935086.0267076362</v>
      </c>
      <c r="G8" s="18">
        <f ca="1">E8/D8-1</f>
        <v>0.24696171175114556</v>
      </c>
      <c r="H8" s="6"/>
      <c r="I8" s="15" t="s">
        <v>9</v>
      </c>
      <c r="J8" s="6"/>
      <c r="K8" s="19">
        <f ca="1">SUMIFS(Oper_Model_Revenue_Worst_Case,Oper_Model_Months_Worst_Case,"&gt;="&amp;K4,Oper_Model_Months_Worst_Case,"&lt;"&amp;K5)</f>
        <v>7835571</v>
      </c>
      <c r="L8" s="19">
        <f ca="1">SUMIFS(Oper_Model_Revenue_Worst_Case,Oper_Model_Months_Worst_Case,"&gt;="&amp;L4,Oper_Model_Months_Worst_Case,"&lt;"&amp;L5)</f>
        <v>8995226.3642595988</v>
      </c>
      <c r="M8" s="19">
        <f ca="1">L8-K8</f>
        <v>1159655.3642595988</v>
      </c>
      <c r="N8" s="18">
        <f ca="1">L8/K8-1</f>
        <v>0.14799883304734252</v>
      </c>
      <c r="O8" s="6"/>
      <c r="P8" s="15" t="s">
        <v>9</v>
      </c>
      <c r="Q8" s="6"/>
      <c r="R8" s="19">
        <f ca="1">SUMIFS(Oper_Model_Revenue,Oper_Model_Months,"&gt;="&amp;R4,Oper_Model_Months,"&lt;"&amp;R5)</f>
        <v>7835571</v>
      </c>
      <c r="S8" s="19">
        <f>SUMIFS(Oper_Model_Revenue_2020_Target,Oper_Model_Months_2020_Target,"&gt;="&amp;S4,Oper_Model_Months_2020_Target,"&lt;"&amp;S5)</f>
        <v>10986788.274620788</v>
      </c>
      <c r="T8" s="19">
        <f ca="1">S8-R8</f>
        <v>3151217.2746207882</v>
      </c>
      <c r="U8" s="18">
        <f ca="1">S8/R8-1</f>
        <v>0.40216817314536346</v>
      </c>
      <c r="V8" s="6"/>
      <c r="W8" s="6"/>
      <c r="X8" s="6"/>
      <c r="Y8" s="6"/>
      <c r="Z8" s="6"/>
      <c r="AA8" s="6"/>
      <c r="AB8" s="6"/>
      <c r="AC8" s="6"/>
      <c r="AD8" s="6"/>
      <c r="AE8" s="6"/>
      <c r="AF8" s="6"/>
      <c r="AG8" s="6"/>
      <c r="AH8" s="6"/>
      <c r="AI8" s="6"/>
      <c r="AJ8" s="6"/>
      <c r="AK8" s="6"/>
      <c r="AL8" s="6"/>
      <c r="AM8" s="6"/>
    </row>
    <row r="9" spans="1:39" ht="12.75" x14ac:dyDescent="0.2">
      <c r="A9" s="6"/>
      <c r="B9" s="15" t="s">
        <v>13</v>
      </c>
      <c r="C9" s="6"/>
      <c r="D9" s="6"/>
      <c r="E9" s="6"/>
      <c r="F9" s="6"/>
      <c r="G9" s="6"/>
      <c r="H9" s="6"/>
      <c r="I9" s="15" t="s">
        <v>13</v>
      </c>
      <c r="J9" s="6"/>
      <c r="K9" s="6"/>
      <c r="L9" s="6"/>
      <c r="M9" s="6"/>
      <c r="N9" s="6"/>
      <c r="O9" s="6"/>
      <c r="P9" s="15" t="s">
        <v>13</v>
      </c>
      <c r="Q9" s="6"/>
      <c r="R9" s="6"/>
      <c r="S9" s="6"/>
      <c r="T9" s="6"/>
      <c r="U9" s="6"/>
      <c r="V9" s="6"/>
      <c r="W9" s="6"/>
      <c r="X9" s="6"/>
      <c r="Y9" s="6"/>
      <c r="Z9" s="6"/>
      <c r="AA9" s="6"/>
      <c r="AB9" s="6"/>
      <c r="AC9" s="6"/>
      <c r="AD9" s="6"/>
      <c r="AE9" s="6"/>
      <c r="AF9" s="6"/>
      <c r="AG9" s="6"/>
      <c r="AH9" s="6"/>
      <c r="AI9" s="6"/>
      <c r="AJ9" s="6"/>
      <c r="AK9" s="6"/>
      <c r="AL9" s="6"/>
      <c r="AM9" s="6"/>
    </row>
    <row r="10" spans="1:39" ht="12.75" x14ac:dyDescent="0.2">
      <c r="A10" s="6"/>
      <c r="B10" s="15" t="s">
        <v>14</v>
      </c>
      <c r="C10" s="6"/>
      <c r="D10" s="24">
        <f ca="1">SUMIFS(Oper_Model_Support,Oper_Model_Months,"&gt;="&amp;D4,Oper_Model_Months,"&lt;"&amp;D5)</f>
        <v>884451</v>
      </c>
      <c r="E10" s="24">
        <f ca="1">SUMIFS(Oper_Model_Support,Oper_Model_Months,"&gt;="&amp;E4,Oper_Model_Months,"&lt;"&amp;E5)</f>
        <v>946631.93819743406</v>
      </c>
      <c r="F10" s="24">
        <f t="shared" ref="F10:F13" ca="1" si="0">E10-D10</f>
        <v>62180.938197434065</v>
      </c>
      <c r="G10" s="18">
        <f t="shared" ref="G10:G13" ca="1" si="1">E10/D10-1</f>
        <v>7.0304559774859277E-2</v>
      </c>
      <c r="H10" s="6"/>
      <c r="I10" s="15" t="s">
        <v>14</v>
      </c>
      <c r="J10" s="6"/>
      <c r="K10" s="24">
        <f ca="1">SUMIFS(Oper_Model_Support_Worst_Case,Oper_Model_Months_Worst_Case,"&gt;="&amp;K4,Oper_Model_Months_Worst_Case,"&lt;"&amp;K5)</f>
        <v>884451</v>
      </c>
      <c r="L10" s="24">
        <f ca="1">SUMIFS(Oper_Model_Support_Worst_Case,Oper_Model_Months_Worst_Case,"&gt;="&amp;L4,Oper_Model_Months_Worst_Case,"&lt;"&amp;L5)</f>
        <v>793335.68062125938</v>
      </c>
      <c r="M10" s="24">
        <f t="shared" ref="M10:M13" ca="1" si="2">L10-K10</f>
        <v>-91115.31937874062</v>
      </c>
      <c r="N10" s="18">
        <f t="shared" ref="N10:N13" ca="1" si="3">L10/K10-1</f>
        <v>-0.10301906988486709</v>
      </c>
      <c r="O10" s="6"/>
      <c r="P10" s="15" t="s">
        <v>14</v>
      </c>
      <c r="Q10" s="6"/>
      <c r="R10" s="24">
        <f ca="1">SUMIFS(Oper_Model_Support,Oper_Model_Months,"&gt;="&amp;R4,Oper_Model_Months,"&lt;"&amp;R5)</f>
        <v>884451</v>
      </c>
      <c r="S10" s="24">
        <f>SUMIFS(Oper_Model_Support_2020_Target,Oper_Model_Months_2020_Target,"&gt;="&amp;S4,Oper_Model_Months_2020_Target,"&lt;"&amp;S5)</f>
        <v>1286639.530085037</v>
      </c>
      <c r="T10" s="24">
        <f t="shared" ref="T10:T13" ca="1" si="4">S10-R10</f>
        <v>402188.530085037</v>
      </c>
      <c r="U10" s="18">
        <f t="shared" ref="U10:U13" ca="1" si="5">S10/R10-1</f>
        <v>0.45473240471777077</v>
      </c>
      <c r="V10" s="6"/>
      <c r="W10" s="6"/>
      <c r="X10" s="6"/>
      <c r="Y10" s="6"/>
      <c r="Z10" s="6"/>
      <c r="AA10" s="6"/>
      <c r="AB10" s="6"/>
      <c r="AC10" s="6"/>
      <c r="AD10" s="6"/>
      <c r="AE10" s="6"/>
      <c r="AF10" s="6"/>
      <c r="AG10" s="6"/>
      <c r="AH10" s="6"/>
      <c r="AI10" s="6"/>
      <c r="AJ10" s="6"/>
      <c r="AK10" s="6"/>
      <c r="AL10" s="6"/>
      <c r="AM10" s="6"/>
    </row>
    <row r="11" spans="1:39" ht="12.75" x14ac:dyDescent="0.2">
      <c r="A11" s="6"/>
      <c r="B11" s="26" t="s">
        <v>15</v>
      </c>
      <c r="C11" s="6"/>
      <c r="D11" s="24">
        <f ca="1">SUMIFS(Oper_Model_Service_Delivery,Oper_Model_Months,"&gt;="&amp;D4,Oper_Model_Months,"&lt;"&amp;D5)</f>
        <v>602421</v>
      </c>
      <c r="E11" s="24">
        <f ca="1">SUMIFS(Oper_Model_Service_Delivery,Oper_Model_Months,"&gt;="&amp;E4,Oper_Model_Months,"&lt;"&amp;E5)</f>
        <v>844521.81054820539</v>
      </c>
      <c r="F11" s="24">
        <f t="shared" ca="1" si="0"/>
        <v>242100.81054820539</v>
      </c>
      <c r="G11" s="18">
        <f t="shared" ca="1" si="1"/>
        <v>0.4018797660576332</v>
      </c>
      <c r="H11" s="6"/>
      <c r="I11" s="26" t="s">
        <v>15</v>
      </c>
      <c r="J11" s="6"/>
      <c r="K11" s="24">
        <f ca="1">SUMIFS(Oper_Model_Service_Delivery_Worst_Case,Oper_Model_Months_Worst_Case,"&gt;="&amp;K4,Oper_Model_Months_Worst_Case,"&lt;"&amp;K5)</f>
        <v>602421</v>
      </c>
      <c r="L11" s="24">
        <f ca="1">SUMIFS(Oper_Model_Service_Delivery_Worst_Case,Oper_Model_Months_Worst_Case,"&gt;="&amp;L4,Oper_Model_Months_Worst_Case,"&lt;"&amp;L5)</f>
        <v>777174.91282849154</v>
      </c>
      <c r="M11" s="24">
        <f t="shared" ca="1" si="2"/>
        <v>174753.91282849154</v>
      </c>
      <c r="N11" s="18">
        <f t="shared" ca="1" si="3"/>
        <v>0.29008602427287822</v>
      </c>
      <c r="O11" s="6"/>
      <c r="P11" s="26" t="s">
        <v>15</v>
      </c>
      <c r="Q11" s="6"/>
      <c r="R11" s="24">
        <f ca="1">SUMIFS(Oper_Model_Service_Delivery,Oper_Model_Months,"&gt;="&amp;R4,Oper_Model_Months,"&lt;"&amp;R5)</f>
        <v>602421</v>
      </c>
      <c r="S11" s="24">
        <f>SUMIFS(Oper_Model_Service_Delivery_2020_Target,Oper_Model_Months_2020_Target,"&gt;="&amp;S4,Oper_Model_Months_2020_Target,"&lt;"&amp;S5)</f>
        <v>781467.76088734902</v>
      </c>
      <c r="T11" s="24">
        <f t="shared" ca="1" si="4"/>
        <v>179046.76088734902</v>
      </c>
      <c r="U11" s="18">
        <f t="shared" ca="1" si="5"/>
        <v>0.29721201765434646</v>
      </c>
      <c r="V11" s="6"/>
      <c r="W11" s="6"/>
      <c r="X11" s="6"/>
      <c r="Y11" s="6"/>
      <c r="Z11" s="6"/>
      <c r="AA11" s="6"/>
      <c r="AB11" s="6"/>
      <c r="AC11" s="6"/>
      <c r="AD11" s="6"/>
      <c r="AE11" s="6"/>
      <c r="AF11" s="6"/>
      <c r="AG11" s="6"/>
      <c r="AH11" s="6"/>
      <c r="AI11" s="6"/>
      <c r="AJ11" s="6"/>
      <c r="AK11" s="6"/>
      <c r="AL11" s="6"/>
      <c r="AM11" s="6"/>
    </row>
    <row r="12" spans="1:39" ht="12.75" x14ac:dyDescent="0.2">
      <c r="A12" s="6"/>
      <c r="B12" s="27" t="s">
        <v>13</v>
      </c>
      <c r="C12" s="28"/>
      <c r="D12" s="29">
        <f t="shared" ref="D12:E12" ca="1" si="6">SUM(D10:D11)</f>
        <v>1486872</v>
      </c>
      <c r="E12" s="29">
        <f t="shared" ca="1" si="6"/>
        <v>1791153.7487456393</v>
      </c>
      <c r="F12" s="29">
        <f t="shared" ca="1" si="0"/>
        <v>304281.74874563934</v>
      </c>
      <c r="G12" s="30">
        <f t="shared" ca="1" si="1"/>
        <v>0.20464555707931775</v>
      </c>
      <c r="H12" s="6"/>
      <c r="I12" s="27" t="s">
        <v>13</v>
      </c>
      <c r="J12" s="28"/>
      <c r="K12" s="29">
        <f t="shared" ref="K12:L12" ca="1" si="7">SUM(K10:K11)</f>
        <v>1486872</v>
      </c>
      <c r="L12" s="29">
        <f t="shared" ca="1" si="7"/>
        <v>1570510.5934497509</v>
      </c>
      <c r="M12" s="29">
        <f t="shared" ca="1" si="2"/>
        <v>83638.593449750915</v>
      </c>
      <c r="N12" s="30">
        <f t="shared" ca="1" si="3"/>
        <v>5.6251374327952242E-2</v>
      </c>
      <c r="O12" s="6"/>
      <c r="P12" s="27" t="s">
        <v>13</v>
      </c>
      <c r="Q12" s="28"/>
      <c r="R12" s="29">
        <f t="shared" ref="R12:S12" ca="1" si="8">SUM(R10:R11)</f>
        <v>1486872</v>
      </c>
      <c r="S12" s="29">
        <f t="shared" si="8"/>
        <v>2068107.290972386</v>
      </c>
      <c r="T12" s="29">
        <f t="shared" ca="1" si="4"/>
        <v>581235.29097238602</v>
      </c>
      <c r="U12" s="30">
        <f t="shared" ca="1" si="5"/>
        <v>0.3909114510007492</v>
      </c>
      <c r="V12" s="6"/>
      <c r="W12" s="6"/>
      <c r="X12" s="6"/>
      <c r="Y12" s="6"/>
      <c r="Z12" s="6"/>
      <c r="AA12" s="6"/>
      <c r="AB12" s="6"/>
      <c r="AC12" s="6"/>
      <c r="AD12" s="6"/>
      <c r="AE12" s="6"/>
      <c r="AF12" s="6"/>
      <c r="AG12" s="6"/>
      <c r="AH12" s="6"/>
      <c r="AI12" s="6"/>
      <c r="AJ12" s="6"/>
      <c r="AK12" s="6"/>
      <c r="AL12" s="6"/>
      <c r="AM12" s="6"/>
    </row>
    <row r="13" spans="1:39" ht="12.75" x14ac:dyDescent="0.2">
      <c r="A13" s="6"/>
      <c r="B13" s="27" t="s">
        <v>16</v>
      </c>
      <c r="C13" s="28"/>
      <c r="D13" s="29">
        <f t="shared" ref="D13:E13" ca="1" si="9">D8-D12</f>
        <v>6348699</v>
      </c>
      <c r="E13" s="29">
        <f t="shared" ca="1" si="9"/>
        <v>7979503.2779619973</v>
      </c>
      <c r="F13" s="29">
        <f t="shared" ca="1" si="0"/>
        <v>1630804.2779619973</v>
      </c>
      <c r="G13" s="30">
        <f t="shared" ca="1" si="1"/>
        <v>0.25687219979431974</v>
      </c>
      <c r="H13" s="6"/>
      <c r="I13" s="27" t="s">
        <v>16</v>
      </c>
      <c r="J13" s="28"/>
      <c r="K13" s="29">
        <f t="shared" ref="K13:L13" ca="1" si="10">K8-K12</f>
        <v>6348699</v>
      </c>
      <c r="L13" s="29">
        <f t="shared" ca="1" si="10"/>
        <v>7424715.7708098479</v>
      </c>
      <c r="M13" s="29">
        <f t="shared" ca="1" si="2"/>
        <v>1076016.7708098479</v>
      </c>
      <c r="N13" s="30">
        <f t="shared" ca="1" si="3"/>
        <v>0.16948618461984855</v>
      </c>
      <c r="O13" s="6"/>
      <c r="P13" s="27" t="s">
        <v>16</v>
      </c>
      <c r="Q13" s="28"/>
      <c r="R13" s="29">
        <f t="shared" ref="R13:S13" ca="1" si="11">R8-R12</f>
        <v>6348699</v>
      </c>
      <c r="S13" s="29">
        <f t="shared" si="11"/>
        <v>8918680.9836484026</v>
      </c>
      <c r="T13" s="29">
        <f t="shared" ca="1" si="4"/>
        <v>2569981.9836484026</v>
      </c>
      <c r="U13" s="30">
        <f t="shared" ca="1" si="5"/>
        <v>0.40480450934095358</v>
      </c>
      <c r="V13" s="6"/>
      <c r="W13" s="6"/>
      <c r="X13" s="6"/>
      <c r="Y13" s="6"/>
      <c r="Z13" s="6"/>
      <c r="AA13" s="6"/>
      <c r="AB13" s="6"/>
      <c r="AC13" s="6"/>
      <c r="AD13" s="6"/>
      <c r="AE13" s="6"/>
      <c r="AF13" s="6"/>
      <c r="AG13" s="6"/>
      <c r="AH13" s="6"/>
      <c r="AI13" s="6"/>
      <c r="AJ13" s="6"/>
      <c r="AK13" s="6"/>
      <c r="AL13" s="6"/>
      <c r="AM13" s="6"/>
    </row>
    <row r="14" spans="1:39" ht="12.75" x14ac:dyDescent="0.2">
      <c r="A14" s="6"/>
      <c r="B14" s="26" t="s">
        <v>17</v>
      </c>
      <c r="C14" s="6"/>
      <c r="D14" s="18">
        <f t="shared" ref="D14:E14" ca="1" si="12">D13/D8</f>
        <v>0.81024075973531473</v>
      </c>
      <c r="E14" s="18">
        <f t="shared" ca="1" si="12"/>
        <v>0.816680317009429</v>
      </c>
      <c r="F14" s="6"/>
      <c r="G14" s="6"/>
      <c r="H14" s="6"/>
      <c r="I14" s="26" t="s">
        <v>17</v>
      </c>
      <c r="J14" s="6"/>
      <c r="K14" s="18">
        <f t="shared" ref="K14:L14" ca="1" si="13">K13/K8</f>
        <v>0.81024075973531473</v>
      </c>
      <c r="L14" s="18">
        <f t="shared" ca="1" si="13"/>
        <v>0.82540621771456435</v>
      </c>
      <c r="M14" s="6"/>
      <c r="N14" s="6"/>
      <c r="O14" s="6"/>
      <c r="P14" s="26" t="s">
        <v>17</v>
      </c>
      <c r="Q14" s="6"/>
      <c r="R14" s="18">
        <f t="shared" ref="R14:S14" ca="1" si="14">R13/R8</f>
        <v>0.81024075973531473</v>
      </c>
      <c r="S14" s="18">
        <f t="shared" si="14"/>
        <v>0.81176416262160411</v>
      </c>
      <c r="T14" s="6"/>
      <c r="U14" s="6"/>
      <c r="V14" s="6"/>
      <c r="W14" s="6"/>
      <c r="X14" s="6"/>
      <c r="Y14" s="6"/>
      <c r="Z14" s="6"/>
      <c r="AA14" s="6"/>
      <c r="AB14" s="6"/>
      <c r="AC14" s="6"/>
      <c r="AD14" s="6"/>
      <c r="AE14" s="6"/>
      <c r="AF14" s="6"/>
      <c r="AG14" s="6"/>
      <c r="AH14" s="6"/>
      <c r="AI14" s="6"/>
      <c r="AJ14" s="6"/>
      <c r="AK14" s="6"/>
      <c r="AL14" s="6"/>
      <c r="AM14" s="6"/>
    </row>
    <row r="15" spans="1:39" ht="12.75" x14ac:dyDescent="0.2">
      <c r="A15" s="6"/>
      <c r="B15" s="15" t="s">
        <v>18</v>
      </c>
      <c r="C15" s="6"/>
      <c r="D15" s="6"/>
      <c r="E15" s="6"/>
      <c r="F15" s="6"/>
      <c r="G15" s="6"/>
      <c r="H15" s="6"/>
      <c r="I15" s="15" t="s">
        <v>18</v>
      </c>
      <c r="J15" s="6"/>
      <c r="K15" s="6"/>
      <c r="L15" s="6"/>
      <c r="M15" s="6"/>
      <c r="N15" s="6"/>
      <c r="O15" s="6"/>
      <c r="P15" s="15" t="s">
        <v>18</v>
      </c>
      <c r="Q15" s="6"/>
      <c r="R15" s="6"/>
      <c r="S15" s="6"/>
      <c r="T15" s="6"/>
      <c r="U15" s="6"/>
      <c r="V15" s="6"/>
      <c r="W15" s="6"/>
      <c r="X15" s="6"/>
      <c r="Y15" s="6"/>
      <c r="Z15" s="6"/>
      <c r="AA15" s="6"/>
      <c r="AB15" s="6"/>
      <c r="AC15" s="6"/>
      <c r="AD15" s="6"/>
      <c r="AE15" s="6"/>
      <c r="AF15" s="6"/>
      <c r="AG15" s="6"/>
      <c r="AH15" s="6"/>
      <c r="AI15" s="6"/>
      <c r="AJ15" s="6"/>
      <c r="AK15" s="6"/>
      <c r="AL15" s="6"/>
      <c r="AM15" s="6"/>
    </row>
    <row r="16" spans="1:39" ht="12.75" x14ac:dyDescent="0.2">
      <c r="A16" s="6"/>
      <c r="B16" s="15" t="s">
        <v>19</v>
      </c>
      <c r="C16" s="6"/>
      <c r="D16" s="24">
        <f ca="1">SUMIFS(Oper_Model_Engineering,Oper_Model_Months,"&gt;="&amp;D4,Oper_Model_Months,"&lt;"&amp;D5)</f>
        <v>3225585</v>
      </c>
      <c r="E16" s="24">
        <f ca="1">SUMIFS(Oper_Model_Engineering,Oper_Model_Months,"&gt;="&amp;E4,Oper_Model_Months,"&lt;"&amp;E5)</f>
        <v>3011721.5000000005</v>
      </c>
      <c r="F16" s="24">
        <f t="shared" ref="F16:F20" ca="1" si="15">E16-D16</f>
        <v>-213863.49999999953</v>
      </c>
      <c r="G16" s="18">
        <f t="shared" ref="G16:G20" ca="1" si="16">E16/D16-1</f>
        <v>-6.6302236648545732E-2</v>
      </c>
      <c r="H16" s="6"/>
      <c r="I16" s="15" t="s">
        <v>19</v>
      </c>
      <c r="J16" s="6"/>
      <c r="K16" s="24">
        <f ca="1">SUMIFS(Oper_Model_Engineering_Worst_Case,Oper_Model_Months_Worst_Case,"&gt;="&amp;K4,Oper_Model_Months_Worst_Case,"&lt;"&amp;K5)</f>
        <v>3225585</v>
      </c>
      <c r="L16" s="24">
        <f ca="1">SUMIFS(Oper_Model_Engineering_Worst_Case,Oper_Model_Months_Worst_Case,"&gt;="&amp;L4,Oper_Model_Months_Worst_Case,"&lt;"&amp;L5)</f>
        <v>2812709</v>
      </c>
      <c r="M16" s="24">
        <f t="shared" ref="M16:M20" ca="1" si="17">L16-K16</f>
        <v>-412876</v>
      </c>
      <c r="N16" s="18">
        <f t="shared" ref="N16:N20" ca="1" si="18">L16/K16-1</f>
        <v>-0.12800034722383691</v>
      </c>
      <c r="O16" s="6"/>
      <c r="P16" s="15" t="s">
        <v>19</v>
      </c>
      <c r="Q16" s="6"/>
      <c r="R16" s="24">
        <f ca="1">SUMIFS(Oper_Model_Engineering,Oper_Model_Months,"&gt;="&amp;R4,Oper_Model_Months,"&lt;"&amp;R5)</f>
        <v>3225585</v>
      </c>
      <c r="S16" s="24">
        <f>SUMIFS(Oper_Model_Engineering_2020_Target,Oper_Model_Months_2020_Target,"&gt;="&amp;S4,Oper_Model_Months_2020_Target,"&lt;"&amp;S5)</f>
        <v>3394390.0000000014</v>
      </c>
      <c r="T16" s="24">
        <f t="shared" ref="T16:T20" ca="1" si="19">S16-R16</f>
        <v>168805.0000000014</v>
      </c>
      <c r="U16" s="18">
        <f t="shared" ref="U16:U20" ca="1" si="20">S16/R16-1</f>
        <v>5.2333142670244692E-2</v>
      </c>
      <c r="V16" s="6"/>
      <c r="W16" s="6"/>
      <c r="X16" s="6"/>
      <c r="Y16" s="6"/>
      <c r="Z16" s="6"/>
      <c r="AA16" s="6"/>
      <c r="AB16" s="6"/>
      <c r="AC16" s="6"/>
      <c r="AD16" s="6"/>
      <c r="AE16" s="6"/>
      <c r="AF16" s="6"/>
      <c r="AG16" s="6"/>
      <c r="AH16" s="6"/>
      <c r="AI16" s="6"/>
      <c r="AJ16" s="6"/>
      <c r="AK16" s="6"/>
      <c r="AL16" s="6"/>
      <c r="AM16" s="6"/>
    </row>
    <row r="17" spans="1:39" ht="12.75" x14ac:dyDescent="0.2">
      <c r="A17" s="6"/>
      <c r="B17" s="26" t="s">
        <v>21</v>
      </c>
      <c r="C17" s="6"/>
      <c r="D17" s="24">
        <f ca="1">SUMIFS(Oper_Model_General,Oper_Model_Months,"&gt;="&amp;D4,Oper_Model_Months,"&lt;"&amp;D5)</f>
        <v>1030569</v>
      </c>
      <c r="E17" s="24">
        <f ca="1">SUMIFS(Oper_Model_General,Oper_Model_Months,"&gt;="&amp;E4,Oper_Model_Months,"&lt;"&amp;E5)</f>
        <v>1055560</v>
      </c>
      <c r="F17" s="24">
        <f t="shared" ca="1" si="15"/>
        <v>24991</v>
      </c>
      <c r="G17" s="18">
        <f t="shared" ca="1" si="16"/>
        <v>2.4249710596767393E-2</v>
      </c>
      <c r="H17" s="6"/>
      <c r="I17" s="26" t="s">
        <v>21</v>
      </c>
      <c r="J17" s="6"/>
      <c r="K17" s="24">
        <f ca="1">SUMIFS(Oper_Model_General_Worst_Case,Oper_Model_Months_Worst_Case,"&gt;="&amp;K4,Oper_Model_Months_Worst_Case,"&lt;"&amp;K5)</f>
        <v>1030569</v>
      </c>
      <c r="L17" s="24">
        <f ca="1">SUMIFS(Oper_Model_General_Worst_Case,Oper_Model_Months_Worst_Case,"&gt;="&amp;L4,Oper_Model_Months_Worst_Case,"&lt;"&amp;L5)</f>
        <v>1046740.6666666669</v>
      </c>
      <c r="M17" s="24">
        <f t="shared" ca="1" si="17"/>
        <v>16171.666666666861</v>
      </c>
      <c r="N17" s="18">
        <f t="shared" ca="1" si="18"/>
        <v>1.5691978573648901E-2</v>
      </c>
      <c r="O17" s="6"/>
      <c r="P17" s="26" t="s">
        <v>21</v>
      </c>
      <c r="Q17" s="6"/>
      <c r="R17" s="24">
        <f ca="1">SUMIFS(Oper_Model_General,Oper_Model_Months,"&gt;="&amp;R4,Oper_Model_Months,"&lt;"&amp;R5)</f>
        <v>1030569</v>
      </c>
      <c r="S17" s="24">
        <f>SUMIFS(Oper_Model_General_2020_Target,Oper_Model_Months_2020_Target,"&gt;="&amp;S4,Oper_Model_Months_2020_Target,"&lt;"&amp;S5)</f>
        <v>1123732.0000000002</v>
      </c>
      <c r="T17" s="24">
        <f t="shared" ca="1" si="19"/>
        <v>93163.000000000233</v>
      </c>
      <c r="U17" s="18">
        <f t="shared" ca="1" si="20"/>
        <v>9.0399575380202712E-2</v>
      </c>
      <c r="V17" s="6"/>
      <c r="W17" s="6"/>
      <c r="X17" s="6"/>
      <c r="Y17" s="6"/>
      <c r="Z17" s="6"/>
      <c r="AA17" s="6"/>
      <c r="AB17" s="6"/>
      <c r="AC17" s="6"/>
      <c r="AD17" s="6"/>
      <c r="AE17" s="6"/>
      <c r="AF17" s="6"/>
      <c r="AG17" s="6"/>
      <c r="AH17" s="6"/>
      <c r="AI17" s="6"/>
      <c r="AJ17" s="6"/>
      <c r="AK17" s="6"/>
      <c r="AL17" s="6"/>
      <c r="AM17" s="6"/>
    </row>
    <row r="18" spans="1:39" ht="12.75" x14ac:dyDescent="0.2">
      <c r="A18" s="6"/>
      <c r="B18" s="26" t="s">
        <v>22</v>
      </c>
      <c r="C18" s="6"/>
      <c r="D18" s="24">
        <f ca="1">SUMIFS(Oper_Model_Sales_and_Marketing,Oper_Model_Months,"&gt;="&amp;D4,Oper_Model_Months,"&lt;"&amp;D5)</f>
        <v>3361796</v>
      </c>
      <c r="E18" s="24">
        <f ca="1">SUMIFS(Oper_Model_Sales_and_Marketing,Oper_Model_Months,"&gt;="&amp;E4,Oper_Model_Months,"&lt;"&amp;E5)</f>
        <v>3985601.6042859568</v>
      </c>
      <c r="F18" s="24">
        <f t="shared" ca="1" si="15"/>
        <v>623805.60428595683</v>
      </c>
      <c r="G18" s="18">
        <f t="shared" ca="1" si="16"/>
        <v>0.1855572450814853</v>
      </c>
      <c r="H18" s="6"/>
      <c r="I18" s="26" t="s">
        <v>22</v>
      </c>
      <c r="J18" s="6"/>
      <c r="K18" s="24">
        <f ca="1">SUMIFS(Oper_Model_Sales_and_Marketing_Worst_Case,Oper_Model_Months_Worst_Case,"&gt;="&amp;K4,Oper_Model_Months_Worst_Case,"&lt;"&amp;K5)</f>
        <v>3361796</v>
      </c>
      <c r="L18" s="24">
        <f ca="1">SUMIFS(Oper_Model_Sales_and_Marketing_Worst_Case,Oper_Model_Months_Worst_Case,"&gt;="&amp;L4,Oper_Model_Months_Worst_Case,"&lt;"&amp;L5)</f>
        <v>3527674.333333333</v>
      </c>
      <c r="M18" s="24">
        <f t="shared" ca="1" si="17"/>
        <v>165878.33333333302</v>
      </c>
      <c r="N18" s="18">
        <f t="shared" ca="1" si="18"/>
        <v>4.9342177018871114E-2</v>
      </c>
      <c r="O18" s="6"/>
      <c r="P18" s="26" t="s">
        <v>22</v>
      </c>
      <c r="Q18" s="6"/>
      <c r="R18" s="24">
        <f ca="1">SUMIFS(Oper_Model_Sales_and_Marketing,Oper_Model_Months,"&gt;="&amp;R4,Oper_Model_Months,"&lt;"&amp;R5)</f>
        <v>3361796</v>
      </c>
      <c r="S18" s="24">
        <f>SUMIFS(Oper_Model_Sales_and_Marketing_2020_Target,Oper_Model_Months_2020_Target,"&gt;="&amp;S4,Oper_Model_Months_2020_Target,"&lt;"&amp;S5)</f>
        <v>4629529.333333334</v>
      </c>
      <c r="T18" s="24">
        <f t="shared" ca="1" si="19"/>
        <v>1267733.333333334</v>
      </c>
      <c r="U18" s="18">
        <f t="shared" ca="1" si="20"/>
        <v>0.37710001836320051</v>
      </c>
      <c r="V18" s="6"/>
      <c r="W18" s="6"/>
      <c r="X18" s="6"/>
      <c r="Y18" s="6"/>
      <c r="Z18" s="6"/>
      <c r="AA18" s="6"/>
      <c r="AB18" s="6"/>
      <c r="AC18" s="6"/>
      <c r="AD18" s="6"/>
      <c r="AE18" s="6"/>
      <c r="AF18" s="6"/>
      <c r="AG18" s="6"/>
      <c r="AH18" s="6"/>
      <c r="AI18" s="6"/>
      <c r="AJ18" s="6"/>
      <c r="AK18" s="6"/>
      <c r="AL18" s="6"/>
      <c r="AM18" s="6"/>
    </row>
    <row r="19" spans="1:39" ht="12.75" x14ac:dyDescent="0.2">
      <c r="A19" s="6"/>
      <c r="B19" s="27" t="s">
        <v>23</v>
      </c>
      <c r="C19" s="28"/>
      <c r="D19" s="29">
        <f t="shared" ref="D19:E19" ca="1" si="21">SUM(D16:D18)</f>
        <v>7617950</v>
      </c>
      <c r="E19" s="29">
        <f t="shared" ca="1" si="21"/>
        <v>8052883.1042859573</v>
      </c>
      <c r="F19" s="29">
        <f t="shared" ca="1" si="15"/>
        <v>434933.10428595729</v>
      </c>
      <c r="G19" s="30">
        <f t="shared" ca="1" si="16"/>
        <v>5.7093194925925905E-2</v>
      </c>
      <c r="H19" s="6"/>
      <c r="I19" s="27" t="s">
        <v>23</v>
      </c>
      <c r="J19" s="28"/>
      <c r="K19" s="29">
        <f t="shared" ref="K19:L19" ca="1" si="22">SUM(K16:K18)</f>
        <v>7617950</v>
      </c>
      <c r="L19" s="29">
        <f t="shared" ca="1" si="22"/>
        <v>7387124</v>
      </c>
      <c r="M19" s="29">
        <f t="shared" ca="1" si="17"/>
        <v>-230826</v>
      </c>
      <c r="N19" s="30">
        <f t="shared" ca="1" si="18"/>
        <v>-3.0300277633746653E-2</v>
      </c>
      <c r="O19" s="6"/>
      <c r="P19" s="27" t="s">
        <v>23</v>
      </c>
      <c r="Q19" s="28"/>
      <c r="R19" s="29">
        <f t="shared" ref="R19:S19" ca="1" si="23">SUM(R16:R18)</f>
        <v>7617950</v>
      </c>
      <c r="S19" s="29">
        <f t="shared" si="23"/>
        <v>9147651.3333333358</v>
      </c>
      <c r="T19" s="29">
        <f t="shared" ca="1" si="19"/>
        <v>1529701.3333333358</v>
      </c>
      <c r="U19" s="30">
        <f t="shared" ca="1" si="20"/>
        <v>0.2008022280709818</v>
      </c>
      <c r="V19" s="6"/>
      <c r="W19" s="6"/>
      <c r="X19" s="6"/>
      <c r="Y19" s="6"/>
      <c r="Z19" s="6"/>
      <c r="AA19" s="6"/>
      <c r="AB19" s="6"/>
      <c r="AC19" s="6"/>
      <c r="AD19" s="6"/>
      <c r="AE19" s="6"/>
      <c r="AF19" s="6"/>
      <c r="AG19" s="6"/>
      <c r="AH19" s="6"/>
      <c r="AI19" s="6"/>
      <c r="AJ19" s="6"/>
      <c r="AK19" s="6"/>
      <c r="AL19" s="6"/>
      <c r="AM19" s="6"/>
    </row>
    <row r="20" spans="1:39" ht="12.75" x14ac:dyDescent="0.2">
      <c r="A20" s="6"/>
      <c r="B20" s="27" t="s">
        <v>24</v>
      </c>
      <c r="C20" s="31"/>
      <c r="D20" s="29">
        <f t="shared" ref="D20:E20" ca="1" si="24">D13-D19</f>
        <v>-1269251</v>
      </c>
      <c r="E20" s="29">
        <f t="shared" ca="1" si="24"/>
        <v>-73379.826323959976</v>
      </c>
      <c r="F20" s="29">
        <f t="shared" ca="1" si="15"/>
        <v>1195871.17367604</v>
      </c>
      <c r="G20" s="30">
        <f t="shared" ca="1" si="16"/>
        <v>-0.94218651289306843</v>
      </c>
      <c r="H20" s="6"/>
      <c r="I20" s="27" t="s">
        <v>24</v>
      </c>
      <c r="J20" s="31"/>
      <c r="K20" s="29">
        <f t="shared" ref="K20:L20" ca="1" si="25">K13-K19</f>
        <v>-1269251</v>
      </c>
      <c r="L20" s="29">
        <f t="shared" ca="1" si="25"/>
        <v>37591.770809847862</v>
      </c>
      <c r="M20" s="29">
        <f t="shared" ca="1" si="17"/>
        <v>1306842.7708098479</v>
      </c>
      <c r="N20" s="30">
        <f t="shared" ca="1" si="18"/>
        <v>-1.0296172867382793</v>
      </c>
      <c r="O20" s="6"/>
      <c r="P20" s="27" t="s">
        <v>24</v>
      </c>
      <c r="Q20" s="31"/>
      <c r="R20" s="29">
        <f t="shared" ref="R20:S20" ca="1" si="26">R13-R19</f>
        <v>-1269251</v>
      </c>
      <c r="S20" s="29">
        <f t="shared" si="26"/>
        <v>-228970.3496849332</v>
      </c>
      <c r="T20" s="29">
        <f t="shared" ca="1" si="19"/>
        <v>1040280.6503150668</v>
      </c>
      <c r="U20" s="30">
        <f t="shared" ca="1" si="20"/>
        <v>-0.81960199386493826</v>
      </c>
      <c r="V20" s="6"/>
      <c r="W20" s="6"/>
      <c r="X20" s="6"/>
      <c r="Y20" s="6"/>
      <c r="Z20" s="6"/>
      <c r="AA20" s="6"/>
      <c r="AB20" s="6"/>
      <c r="AC20" s="6"/>
      <c r="AD20" s="6"/>
      <c r="AE20" s="6"/>
      <c r="AF20" s="6"/>
      <c r="AG20" s="6"/>
      <c r="AH20" s="6"/>
      <c r="AI20" s="6"/>
      <c r="AJ20" s="6"/>
      <c r="AK20" s="6"/>
      <c r="AL20" s="6"/>
      <c r="AM20" s="6"/>
    </row>
    <row r="21" spans="1:39" ht="12.75" x14ac:dyDescent="0.2">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row>
    <row r="22" spans="1:39" ht="12.75" x14ac:dyDescent="0.2">
      <c r="A22" s="6"/>
      <c r="B22" s="15" t="s">
        <v>25</v>
      </c>
      <c r="C22" s="6"/>
      <c r="D22" s="24">
        <f t="array" aca="1" ref="D22" ca="1">INDEX(Oper_Model_Bank_Accounts,MATCH(DATE(YEAR(D4),MONTH(D4)+11,DAY(D4)),Oper_Model_Months,0))</f>
        <v>295403</v>
      </c>
      <c r="E22" s="24">
        <f t="array" aca="1" ref="E22" ca="1">INDEX(Oper_Model_Bank_Accounts,MATCH(DATE(YEAR(E4),MONTH(E4)+11,DAY(E4)),Oper_Model_Months,0))</f>
        <v>222023.17367604031</v>
      </c>
      <c r="F22" s="24">
        <f ca="1">E22-D22</f>
        <v>-73379.826323959685</v>
      </c>
      <c r="G22" s="18">
        <f ca="1">E22/D22-1</f>
        <v>-0.24840582635910835</v>
      </c>
      <c r="H22" s="6"/>
      <c r="I22" s="15" t="s">
        <v>25</v>
      </c>
      <c r="J22" s="6"/>
      <c r="K22" s="24">
        <f t="array" aca="1" ref="K22" ca="1">INDEX(Oper_Model_Bank_Accounts_Worst_Case,MATCH(DATE(YEAR(K4),MONTH(K4)+11,DAY(K4)),Oper_Model_Months_Worst_Case,0))</f>
        <v>295403</v>
      </c>
      <c r="L22" s="24">
        <f t="array" aca="1" ref="L22" ca="1">INDEX(Oper_Model_Bank_Accounts_Worst_Case,MATCH(DATE(YEAR(L4),MONTH(L4)+11,DAY(L4)),Oper_Model_Months_Worst_Case,0))</f>
        <v>332994.77080984839</v>
      </c>
      <c r="M22" s="24">
        <f ca="1">L22-K22</f>
        <v>37591.770809848385</v>
      </c>
      <c r="N22" s="18">
        <f ca="1">L22/K22-1</f>
        <v>0.12725588707578583</v>
      </c>
      <c r="O22" s="6"/>
      <c r="P22" s="15" t="s">
        <v>25</v>
      </c>
      <c r="Q22" s="6"/>
      <c r="R22" s="24">
        <f t="array" aca="1" ref="R22" ca="1">INDEX(Oper_Model_Bank_Accounts,MATCH(DATE(YEAR(R4),MONTH(R4)+11,DAY(R4)),Oper_Model_Months,0))</f>
        <v>295403</v>
      </c>
      <c r="S22" s="24">
        <f t="array" ref="S22">INDEX(Oper_Model_Bank_Accounts_2020_Target,MATCH(DATE(YEAR(S4),MONTH(S4)+11,DAY(S4)),Oper_Model_Months_2020_Target,0))</f>
        <v>861446.10364382609</v>
      </c>
      <c r="T22" s="24">
        <f ca="1">S22-R22</f>
        <v>566043.10364382609</v>
      </c>
      <c r="U22" s="18">
        <f ca="1">S22/R22-1</f>
        <v>1.9161724953498309</v>
      </c>
      <c r="V22" s="6"/>
      <c r="W22" s="6"/>
      <c r="X22" s="6"/>
      <c r="Y22" s="6"/>
      <c r="Z22" s="6"/>
      <c r="AA22" s="6"/>
      <c r="AB22" s="6"/>
      <c r="AC22" s="6"/>
      <c r="AD22" s="6"/>
      <c r="AE22" s="6"/>
      <c r="AF22" s="6"/>
      <c r="AG22" s="6"/>
      <c r="AH22" s="6"/>
      <c r="AI22" s="6"/>
      <c r="AJ22" s="6"/>
      <c r="AK22" s="6"/>
      <c r="AL22" s="6"/>
      <c r="AM22" s="6"/>
    </row>
    <row r="23" spans="1:39" ht="12.75" x14ac:dyDescent="0.2">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row>
    <row r="24" spans="1:39" ht="12.75" x14ac:dyDescent="0.2">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row>
    <row r="25" spans="1:39" ht="12.75" x14ac:dyDescent="0.2">
      <c r="A25" s="6"/>
      <c r="B25" s="6"/>
      <c r="C25" s="6"/>
      <c r="D25" s="6"/>
      <c r="E25" s="6"/>
      <c r="F25" s="32"/>
      <c r="G25" s="32"/>
      <c r="H25" s="6"/>
      <c r="I25" s="6"/>
      <c r="J25" s="6"/>
      <c r="K25" s="6"/>
      <c r="L25" s="6"/>
      <c r="M25" s="32"/>
      <c r="N25" s="32"/>
      <c r="O25" s="6"/>
      <c r="P25" s="6"/>
      <c r="Q25" s="6"/>
      <c r="R25" s="6"/>
      <c r="S25" s="6"/>
      <c r="T25" s="6"/>
      <c r="U25" s="6"/>
      <c r="V25" s="6"/>
      <c r="W25" s="6"/>
      <c r="X25" s="6"/>
      <c r="Y25" s="6"/>
      <c r="Z25" s="6"/>
      <c r="AA25" s="6"/>
      <c r="AB25" s="6"/>
      <c r="AC25" s="6"/>
      <c r="AD25" s="6"/>
      <c r="AE25" s="6"/>
      <c r="AF25" s="6"/>
      <c r="AG25" s="6"/>
      <c r="AH25" s="6"/>
      <c r="AI25" s="6"/>
      <c r="AJ25" s="6"/>
      <c r="AK25" s="6"/>
      <c r="AL25" s="6"/>
      <c r="AM25" s="6"/>
    </row>
    <row r="26" spans="1:39" ht="12.75" x14ac:dyDescent="0.2">
      <c r="A26" s="6"/>
      <c r="B26" s="7" t="s">
        <v>3</v>
      </c>
      <c r="C26" s="8"/>
      <c r="D26" s="9" t="s">
        <v>26</v>
      </c>
      <c r="E26" s="9" t="s">
        <v>27</v>
      </c>
      <c r="F26" s="9" t="s">
        <v>28</v>
      </c>
      <c r="G26" s="9" t="s">
        <v>29</v>
      </c>
      <c r="H26" s="6"/>
      <c r="I26" s="7" t="s">
        <v>6</v>
      </c>
      <c r="J26" s="8"/>
      <c r="K26" s="9" t="s">
        <v>26</v>
      </c>
      <c r="L26" s="9" t="s">
        <v>27</v>
      </c>
      <c r="M26" s="9" t="s">
        <v>28</v>
      </c>
      <c r="N26" s="9" t="s">
        <v>29</v>
      </c>
      <c r="O26" s="6"/>
      <c r="P26" s="6"/>
      <c r="Q26" s="6"/>
      <c r="R26" s="6"/>
      <c r="S26" s="6"/>
      <c r="T26" s="6"/>
      <c r="U26" s="6"/>
      <c r="V26" s="6"/>
      <c r="W26" s="6"/>
      <c r="X26" s="6"/>
      <c r="Y26" s="6"/>
      <c r="Z26" s="6"/>
      <c r="AA26" s="6"/>
      <c r="AB26" s="6"/>
      <c r="AC26" s="6"/>
      <c r="AD26" s="6"/>
      <c r="AE26" s="6"/>
      <c r="AF26" s="6"/>
      <c r="AG26" s="6"/>
      <c r="AH26" s="6"/>
      <c r="AI26" s="6"/>
      <c r="AJ26" s="6"/>
      <c r="AK26" s="6"/>
      <c r="AL26" s="6"/>
      <c r="AM26" s="6"/>
    </row>
    <row r="27" spans="1:39" ht="12.75" hidden="1" x14ac:dyDescent="0.2">
      <c r="A27" s="6"/>
      <c r="B27" s="6"/>
      <c r="C27" s="6"/>
      <c r="D27" s="14">
        <v>43831</v>
      </c>
      <c r="E27" s="14">
        <v>43922</v>
      </c>
      <c r="F27" s="14">
        <v>44013</v>
      </c>
      <c r="G27" s="14">
        <v>44105</v>
      </c>
      <c r="H27" s="6"/>
      <c r="I27" s="6"/>
      <c r="J27" s="6"/>
      <c r="K27" s="14">
        <v>43831</v>
      </c>
      <c r="L27" s="14">
        <v>43922</v>
      </c>
      <c r="M27" s="14">
        <v>44013</v>
      </c>
      <c r="N27" s="14">
        <v>44105</v>
      </c>
      <c r="O27" s="6"/>
      <c r="P27" s="6"/>
      <c r="Q27" s="6"/>
      <c r="R27" s="6"/>
      <c r="S27" s="6"/>
      <c r="T27" s="6"/>
      <c r="U27" s="6"/>
      <c r="V27" s="6"/>
      <c r="W27" s="6"/>
      <c r="X27" s="6"/>
      <c r="Y27" s="6"/>
      <c r="Z27" s="6"/>
      <c r="AA27" s="6"/>
      <c r="AB27" s="6"/>
      <c r="AC27" s="6"/>
      <c r="AD27" s="6"/>
      <c r="AE27" s="6"/>
      <c r="AF27" s="6"/>
      <c r="AG27" s="6"/>
      <c r="AH27" s="6"/>
      <c r="AI27" s="6"/>
      <c r="AJ27" s="6"/>
      <c r="AK27" s="6"/>
      <c r="AL27" s="6"/>
      <c r="AM27" s="6"/>
    </row>
    <row r="28" spans="1:39" ht="12.75" hidden="1" x14ac:dyDescent="0.2">
      <c r="A28" s="6"/>
      <c r="B28" s="6"/>
      <c r="C28" s="6"/>
      <c r="D28" s="14">
        <v>43922</v>
      </c>
      <c r="E28" s="14">
        <v>44013</v>
      </c>
      <c r="F28" s="14">
        <v>44105</v>
      </c>
      <c r="G28" s="14">
        <v>44197</v>
      </c>
      <c r="H28" s="6"/>
      <c r="I28" s="6"/>
      <c r="J28" s="6"/>
      <c r="K28" s="14">
        <v>43922</v>
      </c>
      <c r="L28" s="14">
        <v>44013</v>
      </c>
      <c r="M28" s="14">
        <v>44105</v>
      </c>
      <c r="N28" s="14">
        <v>44197</v>
      </c>
      <c r="O28" s="6"/>
      <c r="P28" s="6"/>
      <c r="Q28" s="6"/>
      <c r="R28" s="6"/>
      <c r="S28" s="6"/>
      <c r="T28" s="6"/>
      <c r="U28" s="6"/>
      <c r="V28" s="6"/>
      <c r="W28" s="6"/>
      <c r="X28" s="6"/>
      <c r="Y28" s="6"/>
      <c r="Z28" s="6"/>
      <c r="AA28" s="6"/>
      <c r="AB28" s="6"/>
      <c r="AC28" s="6"/>
      <c r="AD28" s="6"/>
      <c r="AE28" s="6"/>
      <c r="AF28" s="6"/>
      <c r="AG28" s="6"/>
      <c r="AH28" s="6"/>
      <c r="AI28" s="6"/>
      <c r="AJ28" s="6"/>
      <c r="AK28" s="6"/>
      <c r="AL28" s="6"/>
      <c r="AM28" s="6"/>
    </row>
    <row r="29" spans="1:39" ht="12.75" x14ac:dyDescent="0.2">
      <c r="A29" s="6"/>
      <c r="B29" s="15" t="s">
        <v>8</v>
      </c>
      <c r="C29" s="6"/>
      <c r="D29" s="16">
        <f t="array" ref="D29">INDEX(Revenue_Model_MRR,MATCH(DATE(YEAR(D27),MONTH(D27)+2,DAY(D27)),Revenue_Model_Months,0))*12</f>
        <v>9841953.13441699</v>
      </c>
      <c r="E29" s="16">
        <f t="array" aca="1" ref="E29" ca="1">INDEX(Revenue_Model_MRR,MATCH(DATE(YEAR(E27),MONTH(E27)+2,DAY(E27)),Revenue_Model_Months,0))*12</f>
        <v>9322066.780099757</v>
      </c>
      <c r="F29" s="16">
        <f t="array" aca="1" ref="F29" ca="1">INDEX(Revenue_Model_MRR,MATCH(DATE(YEAR(F27),MONTH(F27)+2,DAY(F27)),Revenue_Model_Months,0))*12</f>
        <v>9725363.0053106155</v>
      </c>
      <c r="G29" s="16">
        <f t="array" aca="1" ref="G29" ca="1">INDEX(Revenue_Model_MRR,MATCH(DATE(YEAR(G27),MONTH(G27)+2,DAY(G27)),Revenue_Model_Months,0))*12</f>
        <v>10374901.356667666</v>
      </c>
      <c r="H29" s="6"/>
      <c r="I29" s="15" t="s">
        <v>8</v>
      </c>
      <c r="J29" s="6"/>
      <c r="K29" s="16">
        <f t="array" ref="K29">INDEX(Revenue_Model_MRR_Worst_Case,MATCH(DATE(YEAR(K27),MONTH(K27)+2,DAY(K27)),Revenue_Model_Months_Worst_Case,0))*12</f>
        <v>9841953.13441699</v>
      </c>
      <c r="L29" s="16">
        <f t="array" aca="1" ref="L29" ca="1">INDEX(Revenue_Model_MRR_Worst_Case,MATCH(DATE(YEAR(L27),MONTH(L27)+2,DAY(L27)),Revenue_Model_Months_Worst_Case,0))*12</f>
        <v>8631184.6875373349</v>
      </c>
      <c r="M29" s="16">
        <f t="array" aca="1" ref="M29" ca="1">INDEX(Revenue_Model_MRR_Worst_Case,MATCH(DATE(YEAR(M27),MONTH(M27)+2,DAY(M27)),Revenue_Model_Months_Worst_Case,0))*12</f>
        <v>8415286.682410147</v>
      </c>
      <c r="N29" s="16">
        <f t="array" aca="1" ref="N29" ca="1">INDEX(Revenue_Model_MRR_Worst_Case,MATCH(DATE(YEAR(N27),MONTH(N27)+2,DAY(N27)),Revenue_Model_Months_Worst_Case,0))*12</f>
        <v>8654797.7473424934</v>
      </c>
      <c r="O29" s="6"/>
      <c r="P29" s="6"/>
      <c r="Q29" s="6"/>
      <c r="R29" s="6"/>
      <c r="S29" s="6"/>
      <c r="T29" s="6"/>
      <c r="U29" s="6"/>
      <c r="V29" s="6"/>
      <c r="W29" s="6"/>
      <c r="X29" s="6"/>
      <c r="Y29" s="6"/>
      <c r="Z29" s="6"/>
      <c r="AA29" s="6"/>
      <c r="AB29" s="6"/>
      <c r="AC29" s="6"/>
      <c r="AD29" s="6"/>
      <c r="AE29" s="6"/>
      <c r="AF29" s="6"/>
      <c r="AG29" s="6"/>
      <c r="AH29" s="6"/>
      <c r="AI29" s="6"/>
      <c r="AJ29" s="6"/>
      <c r="AK29" s="6"/>
      <c r="AL29" s="6"/>
      <c r="AM29" s="6"/>
    </row>
    <row r="30" spans="1:39" ht="12.75" x14ac:dyDescent="0.2">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row>
    <row r="31" spans="1:39" ht="12.75" x14ac:dyDescent="0.2">
      <c r="A31" s="6"/>
      <c r="B31" s="15" t="s">
        <v>9</v>
      </c>
      <c r="C31" s="6"/>
      <c r="D31" s="19">
        <f ca="1">SUMIFS(Oper_Model_Revenue,Oper_Model_Months,"&gt;="&amp;D27,Oper_Model_Months,"&lt;"&amp;D28)</f>
        <v>2488317.19</v>
      </c>
      <c r="E31" s="19">
        <f ca="1">SUMIFS(Oper_Model_Revenue,Oper_Model_Months,"&gt;="&amp;E27,Oper_Model_Months,"&lt;"&amp;E28)</f>
        <v>2353695.3272292456</v>
      </c>
      <c r="F31" s="19">
        <f ca="1">SUMIFS(Oper_Model_Revenue,Oper_Model_Months,"&gt;="&amp;F27,Oper_Model_Months,"&lt;"&amp;F28)</f>
        <v>2389024.5318967206</v>
      </c>
      <c r="G31" s="19">
        <f ca="1">SUMIFS(Oper_Model_Revenue,Oper_Model_Months,"&gt;="&amp;G27,Oper_Model_Months,"&lt;"&amp;G28)</f>
        <v>2539619.9775816705</v>
      </c>
      <c r="H31" s="6"/>
      <c r="I31" s="15" t="s">
        <v>9</v>
      </c>
      <c r="J31" s="6"/>
      <c r="K31" s="19">
        <f ca="1">SUMIFS(Oper_Model_Revenue_Worst_Case,Oper_Model_Months_Worst_Case,"&gt;="&amp;K27,Oper_Model_Months_Worst_Case,"&lt;"&amp;K28)</f>
        <v>2488317.19</v>
      </c>
      <c r="L31" s="19">
        <f ca="1">SUMIFS(Oper_Model_Revenue_Worst_Case,Oper_Model_Months_Worst_Case,"&gt;="&amp;L27,Oper_Model_Months_Worst_Case,"&lt;"&amp;L28)</f>
        <v>2267123.5594867123</v>
      </c>
      <c r="M31" s="19">
        <f ca="1">SUMIFS(Oper_Model_Revenue_Worst_Case,Oper_Model_Months_Worst_Case,"&gt;="&amp;M27,Oper_Model_Months_Worst_Case,"&lt;"&amp;M28)</f>
        <v>2096159.1087729908</v>
      </c>
      <c r="N31" s="19">
        <f ca="1">SUMIFS(Oper_Model_Revenue_Worst_Case,Oper_Model_Months_Worst_Case,"&gt;="&amp;N27,Oper_Model_Months_Worst_Case,"&lt;"&amp;N28)</f>
        <v>2143626.5059998957</v>
      </c>
      <c r="O31" s="6"/>
      <c r="P31" s="6"/>
      <c r="Q31" s="6"/>
      <c r="R31" s="6"/>
      <c r="S31" s="6"/>
      <c r="T31" s="6"/>
      <c r="U31" s="6"/>
      <c r="V31" s="6"/>
      <c r="W31" s="6"/>
      <c r="X31" s="6"/>
      <c r="Y31" s="6"/>
      <c r="Z31" s="6"/>
      <c r="AA31" s="6"/>
      <c r="AB31" s="6"/>
      <c r="AC31" s="6"/>
      <c r="AD31" s="6"/>
      <c r="AE31" s="6"/>
      <c r="AF31" s="6"/>
      <c r="AG31" s="6"/>
      <c r="AH31" s="6"/>
      <c r="AI31" s="6"/>
      <c r="AJ31" s="6"/>
      <c r="AK31" s="6"/>
      <c r="AL31" s="6"/>
      <c r="AM31" s="6"/>
    </row>
    <row r="32" spans="1:39" ht="12.75" x14ac:dyDescent="0.2">
      <c r="A32" s="6"/>
      <c r="B32" s="15" t="s">
        <v>13</v>
      </c>
      <c r="C32" s="6"/>
      <c r="D32" s="6"/>
      <c r="E32" s="6"/>
      <c r="F32" s="6"/>
      <c r="G32" s="6"/>
      <c r="H32" s="6"/>
      <c r="I32" s="15" t="s">
        <v>13</v>
      </c>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row>
    <row r="33" spans="1:39" ht="12.75" x14ac:dyDescent="0.2">
      <c r="A33" s="6"/>
      <c r="B33" s="15" t="s">
        <v>14</v>
      </c>
      <c r="C33" s="6"/>
      <c r="D33" s="24">
        <f ca="1">SUMIFS(Oper_Model_Support,Oper_Model_Months,"&gt;="&amp;D27,Oper_Model_Months,"&lt;"&amp;D28)</f>
        <v>228409</v>
      </c>
      <c r="E33" s="24">
        <f ca="1">SUMIFS(Oper_Model_Support,Oper_Model_Months,"&gt;="&amp;E27,Oper_Model_Months,"&lt;"&amp;E28)</f>
        <v>227083.82165791246</v>
      </c>
      <c r="F33" s="24">
        <f ca="1">SUMIFS(Oper_Model_Support,Oper_Model_Months,"&gt;="&amp;F27,Oper_Model_Months,"&lt;"&amp;F28)</f>
        <v>228585.46959713259</v>
      </c>
      <c r="G33" s="24">
        <f ca="1">SUMIFS(Oper_Model_Support,Oper_Model_Months,"&gt;="&amp;G27,Oper_Model_Months,"&lt;"&amp;G28)</f>
        <v>262553.64694238914</v>
      </c>
      <c r="H33" s="6"/>
      <c r="I33" s="15" t="s">
        <v>14</v>
      </c>
      <c r="J33" s="6"/>
      <c r="K33" s="24">
        <f ca="1">SUMIFS(Oper_Model_Support_Worst_Case,Oper_Model_Months_Worst_Case,"&gt;="&amp;K27,Oper_Model_Months_Worst_Case,"&lt;"&amp;K28)</f>
        <v>228409</v>
      </c>
      <c r="L33" s="24">
        <f ca="1">SUMIFS(Oper_Model_Support_Worst_Case,Oper_Model_Months_Worst_Case,"&gt;="&amp;L27,Oper_Model_Months_Worst_Case,"&lt;"&amp;L28)</f>
        <v>197882.53555703489</v>
      </c>
      <c r="M33" s="24">
        <f ca="1">SUMIFS(Oper_Model_Support_Worst_Case,Oper_Model_Months_Worst_Case,"&gt;="&amp;M27,Oper_Model_Months_Worst_Case,"&lt;"&amp;M28)</f>
        <v>183307.10575005627</v>
      </c>
      <c r="N33" s="24">
        <f ca="1">SUMIFS(Oper_Model_Support_Worst_Case,Oper_Model_Months_Worst_Case,"&gt;="&amp;N27,Oper_Model_Months_Worst_Case,"&lt;"&amp;N28)</f>
        <v>183737.0393141683</v>
      </c>
      <c r="O33" s="6"/>
      <c r="P33" s="6"/>
      <c r="Q33" s="6"/>
      <c r="R33" s="6"/>
      <c r="S33" s="6"/>
      <c r="T33" s="6"/>
      <c r="U33" s="6"/>
      <c r="V33" s="6"/>
      <c r="W33" s="6"/>
      <c r="X33" s="6"/>
      <c r="Y33" s="6"/>
      <c r="Z33" s="6"/>
      <c r="AA33" s="6"/>
      <c r="AB33" s="6"/>
      <c r="AC33" s="6"/>
      <c r="AD33" s="6"/>
      <c r="AE33" s="6"/>
      <c r="AF33" s="6"/>
      <c r="AG33" s="6"/>
      <c r="AH33" s="6"/>
      <c r="AI33" s="6"/>
      <c r="AJ33" s="6"/>
      <c r="AK33" s="6"/>
      <c r="AL33" s="6"/>
      <c r="AM33" s="6"/>
    </row>
    <row r="34" spans="1:39" ht="12.75" x14ac:dyDescent="0.2">
      <c r="A34" s="6"/>
      <c r="B34" s="26" t="s">
        <v>15</v>
      </c>
      <c r="C34" s="6"/>
      <c r="D34" s="24">
        <f ca="1">SUMIFS(Oper_Model_Service_Delivery,Oper_Model_Months,"&gt;="&amp;D27,Oper_Model_Months,"&lt;"&amp;D28)</f>
        <v>210465</v>
      </c>
      <c r="E34" s="24">
        <f ca="1">SUMIFS(Oper_Model_Service_Delivery,Oper_Model_Months,"&gt;="&amp;E27,Oper_Model_Months,"&lt;"&amp;E28)</f>
        <v>205999.3016682108</v>
      </c>
      <c r="F34" s="24">
        <f ca="1">SUMIFS(Oper_Model_Service_Delivery,Oper_Model_Months,"&gt;="&amp;F27,Oper_Model_Months,"&lt;"&amp;F28)</f>
        <v>207489.07489883743</v>
      </c>
      <c r="G34" s="24">
        <f ca="1">SUMIFS(Oper_Model_Service_Delivery,Oper_Model_Months,"&gt;="&amp;G27,Oper_Model_Months,"&lt;"&amp;G28)</f>
        <v>220568.43398115726</v>
      </c>
      <c r="H34" s="6"/>
      <c r="I34" s="26" t="s">
        <v>15</v>
      </c>
      <c r="J34" s="6"/>
      <c r="K34" s="24">
        <f ca="1">SUMIFS(Oper_Model_Service_Delivery_Worst_Case,Oper_Model_Months_Worst_Case,"&gt;="&amp;K27,Oper_Model_Months_Worst_Case,"&lt;"&amp;K28)</f>
        <v>210465</v>
      </c>
      <c r="L34" s="24">
        <f ca="1">SUMIFS(Oper_Model_Service_Delivery_Worst_Case,Oper_Model_Months_Worst_Case,"&gt;="&amp;L27,Oper_Model_Months_Worst_Case,"&lt;"&amp;L28)</f>
        <v>198480.46050043337</v>
      </c>
      <c r="M34" s="24">
        <f ca="1">SUMIFS(Oper_Model_Service_Delivery_Worst_Case,Oper_Model_Months_Worst_Case,"&gt;="&amp;M27,Oper_Model_Months_Worst_Case,"&lt;"&amp;M28)</f>
        <v>182053.43164675453</v>
      </c>
      <c r="N34" s="24">
        <f ca="1">SUMIFS(Oper_Model_Service_Delivery_Worst_Case,Oper_Model_Months_Worst_Case,"&gt;="&amp;N27,Oper_Model_Months_Worst_Case,"&lt;"&amp;N28)</f>
        <v>186176.02068130363</v>
      </c>
      <c r="O34" s="6"/>
      <c r="P34" s="6"/>
      <c r="Q34" s="6"/>
      <c r="R34" s="6"/>
      <c r="S34" s="6"/>
      <c r="T34" s="6"/>
      <c r="U34" s="6"/>
      <c r="V34" s="6"/>
      <c r="W34" s="6"/>
      <c r="X34" s="6"/>
      <c r="Y34" s="6"/>
      <c r="Z34" s="6"/>
      <c r="AA34" s="6"/>
      <c r="AB34" s="6"/>
      <c r="AC34" s="6"/>
      <c r="AD34" s="6"/>
      <c r="AE34" s="6"/>
      <c r="AF34" s="6"/>
      <c r="AG34" s="6"/>
      <c r="AH34" s="6"/>
      <c r="AI34" s="6"/>
      <c r="AJ34" s="6"/>
      <c r="AK34" s="6"/>
      <c r="AL34" s="6"/>
      <c r="AM34" s="6"/>
    </row>
    <row r="35" spans="1:39" ht="12.75" x14ac:dyDescent="0.2">
      <c r="A35" s="6"/>
      <c r="B35" s="27" t="s">
        <v>13</v>
      </c>
      <c r="C35" s="28"/>
      <c r="D35" s="29">
        <f t="shared" ref="D35:G35" ca="1" si="27">SUM(D33:D34)</f>
        <v>438874</v>
      </c>
      <c r="E35" s="29">
        <f t="shared" ca="1" si="27"/>
        <v>433083.12332612323</v>
      </c>
      <c r="F35" s="29">
        <f t="shared" ca="1" si="27"/>
        <v>436074.54449597001</v>
      </c>
      <c r="G35" s="29">
        <f t="shared" ca="1" si="27"/>
        <v>483122.0809235464</v>
      </c>
      <c r="H35" s="6"/>
      <c r="I35" s="27" t="s">
        <v>13</v>
      </c>
      <c r="J35" s="28"/>
      <c r="K35" s="29">
        <f t="shared" ref="K35:N35" ca="1" si="28">SUM(K33:K34)</f>
        <v>438874</v>
      </c>
      <c r="L35" s="29">
        <f t="shared" ca="1" si="28"/>
        <v>396362.99605746823</v>
      </c>
      <c r="M35" s="29">
        <f t="shared" ca="1" si="28"/>
        <v>365360.53739681083</v>
      </c>
      <c r="N35" s="29">
        <f t="shared" ca="1" si="28"/>
        <v>369913.05999547197</v>
      </c>
      <c r="O35" s="6"/>
      <c r="P35" s="6"/>
      <c r="Q35" s="6"/>
      <c r="R35" s="6"/>
      <c r="S35" s="6"/>
      <c r="T35" s="6"/>
      <c r="U35" s="6"/>
      <c r="V35" s="6"/>
      <c r="W35" s="6"/>
      <c r="X35" s="6"/>
      <c r="Y35" s="6"/>
      <c r="Z35" s="6"/>
      <c r="AA35" s="6"/>
      <c r="AB35" s="6"/>
      <c r="AC35" s="6"/>
      <c r="AD35" s="6"/>
      <c r="AE35" s="6"/>
      <c r="AF35" s="6"/>
      <c r="AG35" s="6"/>
      <c r="AH35" s="6"/>
      <c r="AI35" s="6"/>
      <c r="AJ35" s="6"/>
      <c r="AK35" s="6"/>
      <c r="AL35" s="6"/>
      <c r="AM35" s="6"/>
    </row>
    <row r="36" spans="1:39" ht="12.75" x14ac:dyDescent="0.2">
      <c r="A36" s="6"/>
      <c r="B36" s="27" t="s">
        <v>16</v>
      </c>
      <c r="C36" s="27"/>
      <c r="D36" s="29">
        <f t="shared" ref="D36:G36" ca="1" si="29">D31-D35</f>
        <v>2049443.19</v>
      </c>
      <c r="E36" s="29">
        <f t="shared" ca="1" si="29"/>
        <v>1920612.2039031223</v>
      </c>
      <c r="F36" s="29">
        <f t="shared" ca="1" si="29"/>
        <v>1952949.9874007506</v>
      </c>
      <c r="G36" s="29">
        <f t="shared" ca="1" si="29"/>
        <v>2056497.8966581242</v>
      </c>
      <c r="H36" s="6"/>
      <c r="I36" s="27" t="s">
        <v>16</v>
      </c>
      <c r="J36" s="27"/>
      <c r="K36" s="29">
        <f t="shared" ref="K36:N36" ca="1" si="30">K31-K35</f>
        <v>2049443.19</v>
      </c>
      <c r="L36" s="29">
        <f t="shared" ca="1" si="30"/>
        <v>1870760.5634292441</v>
      </c>
      <c r="M36" s="29">
        <f t="shared" ca="1" si="30"/>
        <v>1730798.5713761798</v>
      </c>
      <c r="N36" s="29">
        <f t="shared" ca="1" si="30"/>
        <v>1773713.4460044238</v>
      </c>
      <c r="O36" s="6"/>
      <c r="P36" s="6"/>
      <c r="Q36" s="6"/>
      <c r="R36" s="6"/>
      <c r="S36" s="6"/>
      <c r="T36" s="6"/>
      <c r="U36" s="6"/>
      <c r="V36" s="6"/>
      <c r="W36" s="6"/>
      <c r="X36" s="6"/>
      <c r="Y36" s="6"/>
      <c r="Z36" s="6"/>
      <c r="AA36" s="6"/>
      <c r="AB36" s="6"/>
      <c r="AC36" s="6"/>
      <c r="AD36" s="6"/>
      <c r="AE36" s="6"/>
      <c r="AF36" s="6"/>
      <c r="AG36" s="6"/>
      <c r="AH36" s="6"/>
      <c r="AI36" s="6"/>
      <c r="AJ36" s="6"/>
      <c r="AK36" s="6"/>
      <c r="AL36" s="6"/>
      <c r="AM36" s="6"/>
    </row>
    <row r="37" spans="1:39" ht="12.75" x14ac:dyDescent="0.2">
      <c r="A37" s="6"/>
      <c r="B37" s="26" t="s">
        <v>17</v>
      </c>
      <c r="C37" s="6"/>
      <c r="D37" s="18">
        <f t="shared" ref="D37:G37" ca="1" si="31">D36/D31</f>
        <v>0.82362618328413351</v>
      </c>
      <c r="E37" s="18">
        <f t="shared" ca="1" si="31"/>
        <v>0.81599864760918495</v>
      </c>
      <c r="F37" s="18">
        <f t="shared" ca="1" si="31"/>
        <v>0.81746753175876474</v>
      </c>
      <c r="G37" s="18">
        <f t="shared" ca="1" si="31"/>
        <v>0.80976599444472996</v>
      </c>
      <c r="H37" s="6"/>
      <c r="I37" s="26" t="s">
        <v>17</v>
      </c>
      <c r="J37" s="6"/>
      <c r="K37" s="18">
        <f t="shared" ref="K37:N37" ca="1" si="32">K36/K31</f>
        <v>0.82362618328413351</v>
      </c>
      <c r="L37" s="18">
        <f t="shared" ca="1" si="32"/>
        <v>0.82516921303256774</v>
      </c>
      <c r="M37" s="18">
        <f t="shared" ca="1" si="32"/>
        <v>0.82569999773982872</v>
      </c>
      <c r="N37" s="18">
        <f t="shared" ca="1" si="32"/>
        <v>0.82743586209626296</v>
      </c>
      <c r="O37" s="6"/>
      <c r="P37" s="6"/>
      <c r="Q37" s="6"/>
      <c r="R37" s="6"/>
      <c r="S37" s="6"/>
      <c r="T37" s="6"/>
      <c r="U37" s="6"/>
      <c r="V37" s="6"/>
      <c r="W37" s="6"/>
      <c r="X37" s="6"/>
      <c r="Y37" s="6"/>
      <c r="Z37" s="6"/>
      <c r="AA37" s="6"/>
      <c r="AB37" s="6"/>
      <c r="AC37" s="6"/>
      <c r="AD37" s="6"/>
      <c r="AE37" s="6"/>
      <c r="AF37" s="6"/>
      <c r="AG37" s="6"/>
      <c r="AH37" s="6"/>
      <c r="AI37" s="6"/>
      <c r="AJ37" s="6"/>
      <c r="AK37" s="6"/>
      <c r="AL37" s="6"/>
      <c r="AM37" s="6"/>
    </row>
    <row r="38" spans="1:39" ht="12.75" x14ac:dyDescent="0.2">
      <c r="A38" s="6"/>
      <c r="B38" s="15" t="s">
        <v>18</v>
      </c>
      <c r="C38" s="6"/>
      <c r="D38" s="6"/>
      <c r="E38" s="6"/>
      <c r="F38" s="6"/>
      <c r="G38" s="6"/>
      <c r="H38" s="6"/>
      <c r="I38" s="15" t="s">
        <v>18</v>
      </c>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row>
    <row r="39" spans="1:39" ht="12.75" x14ac:dyDescent="0.2">
      <c r="A39" s="6"/>
      <c r="B39" s="15" t="s">
        <v>19</v>
      </c>
      <c r="C39" s="6"/>
      <c r="D39" s="24">
        <f ca="1">SUMIFS(Oper_Model_Engineering,Oper_Model_Months,"&gt;="&amp;D27,Oper_Model_Months,"&lt;"&amp;D28)</f>
        <v>844467</v>
      </c>
      <c r="E39" s="24">
        <f ca="1">SUMIFS(Oper_Model_Engineering,Oper_Model_Months,"&gt;="&amp;E27,Oper_Model_Months,"&lt;"&amp;E28)</f>
        <v>737137</v>
      </c>
      <c r="F39" s="24">
        <f>SUMIFS(Oper_Model_Engineering,Oper_Model_Months,"&gt;="&amp;F27,Oper_Model_Months,"&lt;"&amp;F28)</f>
        <v>688177.50000000012</v>
      </c>
      <c r="G39" s="24">
        <f>SUMIFS(Oper_Model_Engineering,Oper_Model_Months,"&gt;="&amp;G27,Oper_Model_Months,"&lt;"&amp;G28)</f>
        <v>741940.00000000012</v>
      </c>
      <c r="H39" s="6"/>
      <c r="I39" s="15" t="s">
        <v>19</v>
      </c>
      <c r="J39" s="6"/>
      <c r="K39" s="24">
        <f ca="1">SUMIFS(Oper_Model_Engineering_Worst_Case,Oper_Model_Months_Worst_Case,"&gt;="&amp;K27,Oper_Model_Months_Worst_Case,"&lt;"&amp;K28)</f>
        <v>844467</v>
      </c>
      <c r="L39" s="24">
        <f ca="1">SUMIFS(Oper_Model_Engineering_Worst_Case,Oper_Model_Months_Worst_Case,"&gt;="&amp;L27,Oper_Model_Months_Worst_Case,"&lt;"&amp;L28)</f>
        <v>700824.5</v>
      </c>
      <c r="M39" s="24">
        <f>SUMIFS(Oper_Model_Engineering_Worst_Case,Oper_Model_Months_Worst_Case,"&gt;="&amp;M27,Oper_Model_Months_Worst_Case,"&lt;"&amp;M28)</f>
        <v>633708.75</v>
      </c>
      <c r="N39" s="24">
        <f>SUMIFS(Oper_Model_Engineering_Worst_Case,Oper_Model_Months_Worst_Case,"&gt;="&amp;N27,Oper_Model_Months_Worst_Case,"&lt;"&amp;N28)</f>
        <v>633708.75</v>
      </c>
      <c r="O39" s="6"/>
      <c r="P39" s="6"/>
      <c r="Q39" s="6"/>
      <c r="R39" s="6"/>
      <c r="S39" s="6"/>
      <c r="T39" s="6"/>
      <c r="U39" s="6"/>
      <c r="V39" s="6"/>
      <c r="W39" s="6"/>
      <c r="X39" s="6"/>
      <c r="Y39" s="6"/>
      <c r="Z39" s="6"/>
      <c r="AA39" s="6"/>
      <c r="AB39" s="6"/>
      <c r="AC39" s="6"/>
      <c r="AD39" s="6"/>
      <c r="AE39" s="6"/>
      <c r="AF39" s="6"/>
      <c r="AG39" s="6"/>
      <c r="AH39" s="6"/>
      <c r="AI39" s="6"/>
      <c r="AJ39" s="6"/>
      <c r="AK39" s="6"/>
      <c r="AL39" s="6"/>
      <c r="AM39" s="6"/>
    </row>
    <row r="40" spans="1:39" ht="12.75" x14ac:dyDescent="0.2">
      <c r="A40" s="6"/>
      <c r="B40" s="26" t="s">
        <v>21</v>
      </c>
      <c r="C40" s="6"/>
      <c r="D40" s="24">
        <f ca="1">SUMIFS(Oper_Model_General,Oper_Model_Months,"&gt;="&amp;D27,Oper_Model_Months,"&lt;"&amp;D28)</f>
        <v>300358</v>
      </c>
      <c r="E40" s="24">
        <f ca="1">SUMIFS(Oper_Model_General,Oper_Model_Months,"&gt;="&amp;E27,Oper_Model_Months,"&lt;"&amp;E28)</f>
        <v>244237.33333333331</v>
      </c>
      <c r="F40" s="24">
        <f ca="1">SUMIFS(Oper_Model_General,Oper_Model_Months,"&gt;="&amp;F27,Oper_Model_Months,"&lt;"&amp;F28)</f>
        <v>244974.66666666663</v>
      </c>
      <c r="G40" s="24">
        <f ca="1">SUMIFS(Oper_Model_General,Oper_Model_Months,"&gt;="&amp;G27,Oper_Model_Months,"&lt;"&amp;G28)</f>
        <v>265990</v>
      </c>
      <c r="H40" s="6"/>
      <c r="I40" s="26" t="s">
        <v>21</v>
      </c>
      <c r="J40" s="6"/>
      <c r="K40" s="24">
        <f ca="1">SUMIFS(Oper_Model_General_Worst_Case,Oper_Model_Months_Worst_Case,"&gt;="&amp;K27,Oper_Model_Months_Worst_Case,"&lt;"&amp;K28)</f>
        <v>300358</v>
      </c>
      <c r="L40" s="24">
        <f ca="1">SUMIFS(Oper_Model_General_Worst_Case,Oper_Model_Months_Worst_Case,"&gt;="&amp;L27,Oper_Model_Months_Worst_Case,"&lt;"&amp;L28)</f>
        <v>252540.16666666663</v>
      </c>
      <c r="M40" s="24">
        <f ca="1">SUMIFS(Oper_Model_General_Worst_Case,Oper_Model_Months_Worst_Case,"&gt;="&amp;M27,Oper_Model_Months_Worst_Case,"&lt;"&amp;M28)</f>
        <v>246921.25</v>
      </c>
      <c r="N40" s="24">
        <f ca="1">SUMIFS(Oper_Model_General_Worst_Case,Oper_Model_Months_Worst_Case,"&gt;="&amp;N27,Oper_Model_Months_Worst_Case,"&lt;"&amp;N28)</f>
        <v>246921.25</v>
      </c>
      <c r="O40" s="6"/>
      <c r="P40" s="6"/>
      <c r="Q40" s="6"/>
      <c r="R40" s="6"/>
      <c r="S40" s="6"/>
      <c r="T40" s="6"/>
      <c r="U40" s="6"/>
      <c r="V40" s="6"/>
      <c r="W40" s="6"/>
      <c r="X40" s="6"/>
      <c r="Y40" s="6"/>
      <c r="Z40" s="6"/>
      <c r="AA40" s="6"/>
      <c r="AB40" s="6"/>
      <c r="AC40" s="6"/>
      <c r="AD40" s="6"/>
      <c r="AE40" s="6"/>
      <c r="AF40" s="6"/>
      <c r="AG40" s="6"/>
      <c r="AH40" s="6"/>
      <c r="AI40" s="6"/>
      <c r="AJ40" s="6"/>
      <c r="AK40" s="6"/>
      <c r="AL40" s="6"/>
      <c r="AM40" s="6"/>
    </row>
    <row r="41" spans="1:39" ht="12.75" x14ac:dyDescent="0.2">
      <c r="A41" s="6"/>
      <c r="B41" s="26" t="s">
        <v>22</v>
      </c>
      <c r="C41" s="6"/>
      <c r="D41" s="24">
        <f ca="1">SUMIFS(Oper_Model_Sales_and_Marketing,Oper_Model_Months,"&gt;="&amp;D27,Oper_Model_Months,"&lt;"&amp;D28)</f>
        <v>936204</v>
      </c>
      <c r="E41" s="24">
        <f ca="1">SUMIFS(Oper_Model_Sales_and_Marketing,Oper_Model_Months,"&gt;="&amp;E27,Oper_Model_Months,"&lt;"&amp;E28)</f>
        <v>850640.84977898595</v>
      </c>
      <c r="F41" s="24">
        <f ca="1">SUMIFS(Oper_Model_Sales_and_Marketing,Oper_Model_Months,"&gt;="&amp;F27,Oper_Model_Months,"&lt;"&amp;F28)</f>
        <v>964503.58023797825</v>
      </c>
      <c r="G41" s="24">
        <f ca="1">SUMIFS(Oper_Model_Sales_and_Marketing,Oper_Model_Months,"&gt;="&amp;G27,Oper_Model_Months,"&lt;"&amp;G28)</f>
        <v>1234253.1742689926</v>
      </c>
      <c r="H41" s="6"/>
      <c r="I41" s="26" t="s">
        <v>22</v>
      </c>
      <c r="J41" s="6"/>
      <c r="K41" s="24">
        <f ca="1">SUMIFS(Oper_Model_Sales_and_Marketing_Worst_Case,Oper_Model_Months_Worst_Case,"&gt;="&amp;K27,Oper_Model_Months_Worst_Case,"&lt;"&amp;K28)</f>
        <v>936204</v>
      </c>
      <c r="L41" s="24">
        <f ca="1">SUMIFS(Oper_Model_Sales_and_Marketing_Worst_Case,Oper_Model_Months_Worst_Case,"&gt;="&amp;L27,Oper_Model_Months_Worst_Case,"&lt;"&amp;L28)</f>
        <v>803798.83333333326</v>
      </c>
      <c r="M41" s="24">
        <f ca="1">SUMIFS(Oper_Model_Sales_and_Marketing_Worst_Case,Oper_Model_Months_Worst_Case,"&gt;="&amp;M27,Oper_Model_Months_Worst_Case,"&lt;"&amp;M28)</f>
        <v>813835.75</v>
      </c>
      <c r="N41" s="24">
        <f ca="1">SUMIFS(Oper_Model_Sales_and_Marketing_Worst_Case,Oper_Model_Months_Worst_Case,"&gt;="&amp;N27,Oper_Model_Months_Worst_Case,"&lt;"&amp;N28)</f>
        <v>973835.74999999988</v>
      </c>
      <c r="O41" s="6"/>
      <c r="P41" s="6"/>
      <c r="Q41" s="6"/>
      <c r="R41" s="6"/>
      <c r="S41" s="6"/>
      <c r="T41" s="6"/>
      <c r="U41" s="6"/>
      <c r="V41" s="6"/>
      <c r="W41" s="6"/>
      <c r="X41" s="6"/>
      <c r="Y41" s="6"/>
      <c r="Z41" s="6"/>
      <c r="AA41" s="6"/>
      <c r="AB41" s="6"/>
      <c r="AC41" s="6"/>
      <c r="AD41" s="6"/>
      <c r="AE41" s="6"/>
      <c r="AF41" s="6"/>
      <c r="AG41" s="6"/>
      <c r="AH41" s="6"/>
      <c r="AI41" s="6"/>
      <c r="AJ41" s="6"/>
      <c r="AK41" s="6"/>
      <c r="AL41" s="6"/>
      <c r="AM41" s="6"/>
    </row>
    <row r="42" spans="1:39" ht="12.75" x14ac:dyDescent="0.2">
      <c r="A42" s="6"/>
      <c r="B42" s="27" t="s">
        <v>23</v>
      </c>
      <c r="C42" s="27"/>
      <c r="D42" s="29">
        <f t="shared" ref="D42:G42" ca="1" si="33">SUM(D39:D41)</f>
        <v>2081029</v>
      </c>
      <c r="E42" s="29">
        <f t="shared" ca="1" si="33"/>
        <v>1832015.1831123191</v>
      </c>
      <c r="F42" s="29">
        <f t="shared" ca="1" si="33"/>
        <v>1897655.7469046451</v>
      </c>
      <c r="G42" s="29">
        <f t="shared" ca="1" si="33"/>
        <v>2242183.1742689926</v>
      </c>
      <c r="H42" s="6"/>
      <c r="I42" s="27" t="s">
        <v>23</v>
      </c>
      <c r="J42" s="27"/>
      <c r="K42" s="29">
        <f t="shared" ref="K42:N42" ca="1" si="34">SUM(K39:K41)</f>
        <v>2081029</v>
      </c>
      <c r="L42" s="29">
        <f t="shared" ca="1" si="34"/>
        <v>1757163.5</v>
      </c>
      <c r="M42" s="29">
        <f t="shared" ca="1" si="34"/>
        <v>1694465.75</v>
      </c>
      <c r="N42" s="29">
        <f t="shared" ca="1" si="34"/>
        <v>1854465.75</v>
      </c>
      <c r="O42" s="6"/>
      <c r="P42" s="6"/>
      <c r="Q42" s="6"/>
      <c r="R42" s="6"/>
      <c r="S42" s="6"/>
      <c r="T42" s="6"/>
      <c r="U42" s="6"/>
      <c r="V42" s="6"/>
      <c r="W42" s="6"/>
      <c r="X42" s="6"/>
      <c r="Y42" s="6"/>
      <c r="Z42" s="6"/>
      <c r="AA42" s="6"/>
      <c r="AB42" s="6"/>
      <c r="AC42" s="6"/>
      <c r="AD42" s="6"/>
      <c r="AE42" s="6"/>
      <c r="AF42" s="6"/>
      <c r="AG42" s="6"/>
      <c r="AH42" s="6"/>
      <c r="AI42" s="6"/>
      <c r="AJ42" s="6"/>
      <c r="AK42" s="6"/>
      <c r="AL42" s="6"/>
      <c r="AM42" s="6"/>
    </row>
    <row r="43" spans="1:39" ht="12.75" x14ac:dyDescent="0.2">
      <c r="A43" s="6"/>
      <c r="B43" s="27" t="s">
        <v>24</v>
      </c>
      <c r="C43" s="27"/>
      <c r="D43" s="29">
        <f t="shared" ref="D43:G43" ca="1" si="35">D36-D42</f>
        <v>-31585.810000000056</v>
      </c>
      <c r="E43" s="29">
        <f t="shared" ca="1" si="35"/>
        <v>88597.020790803246</v>
      </c>
      <c r="F43" s="29">
        <f t="shared" ca="1" si="35"/>
        <v>55294.240496105514</v>
      </c>
      <c r="G43" s="29">
        <f t="shared" ca="1" si="35"/>
        <v>-185685.27761086845</v>
      </c>
      <c r="H43" s="6"/>
      <c r="I43" s="27" t="s">
        <v>24</v>
      </c>
      <c r="J43" s="27"/>
      <c r="K43" s="29">
        <f t="shared" ref="K43:N43" ca="1" si="36">K36-K42</f>
        <v>-31585.810000000056</v>
      </c>
      <c r="L43" s="29">
        <f t="shared" ca="1" si="36"/>
        <v>113597.0634292441</v>
      </c>
      <c r="M43" s="29">
        <f t="shared" ca="1" si="36"/>
        <v>36332.821376179811</v>
      </c>
      <c r="N43" s="29">
        <f t="shared" ca="1" si="36"/>
        <v>-80752.303995576221</v>
      </c>
      <c r="O43" s="6"/>
      <c r="P43" s="6"/>
      <c r="Q43" s="6"/>
      <c r="R43" s="6"/>
      <c r="S43" s="6"/>
      <c r="T43" s="6"/>
      <c r="U43" s="6"/>
      <c r="V43" s="6"/>
      <c r="W43" s="6"/>
      <c r="X43" s="6"/>
      <c r="Y43" s="6"/>
      <c r="Z43" s="6"/>
      <c r="AA43" s="6"/>
      <c r="AB43" s="6"/>
      <c r="AC43" s="6"/>
      <c r="AD43" s="6"/>
      <c r="AE43" s="6"/>
      <c r="AF43" s="6"/>
      <c r="AG43" s="6"/>
      <c r="AH43" s="6"/>
      <c r="AI43" s="6"/>
      <c r="AJ43" s="6"/>
      <c r="AK43" s="6"/>
      <c r="AL43" s="6"/>
      <c r="AM43" s="6"/>
    </row>
    <row r="44" spans="1:39" ht="12.75" x14ac:dyDescent="0.2">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row>
    <row r="45" spans="1:39" ht="12.75" x14ac:dyDescent="0.2">
      <c r="A45" s="6"/>
      <c r="B45" s="15" t="s">
        <v>25</v>
      </c>
      <c r="C45" s="6"/>
      <c r="D45" s="24">
        <f t="array" aca="1" ref="D45" ca="1">INDEX(Oper_Model_Bank_Accounts,MATCH(DATE(YEAR(D27),MONTH(D27)+2,DAY(D27)),Oper_Model_Months,0))</f>
        <v>263817.19</v>
      </c>
      <c r="E45" s="24">
        <f t="array" aca="1" ref="E45" ca="1">INDEX(Oper_Model_Bank_Accounts,MATCH(DATE(YEAR(E27),MONTH(E27)+2,DAY(E27)),Oper_Model_Months,0))</f>
        <v>352414.21079080336</v>
      </c>
      <c r="F45" s="24">
        <f t="array" aca="1" ref="F45" ca="1">INDEX(Oper_Model_Bank_Accounts,MATCH(DATE(YEAR(F27),MONTH(F27)+2,DAY(F27)),Oper_Model_Months,0))</f>
        <v>407708.45128690923</v>
      </c>
      <c r="G45" s="24">
        <f t="array" aca="1" ref="G45" ca="1">INDEX(Oper_Model_Bank_Accounts,MATCH(DATE(YEAR(G27),MONTH(G27)+2,DAY(G27)),Oper_Model_Months,0))</f>
        <v>222023.17367604031</v>
      </c>
      <c r="H45" s="6"/>
      <c r="I45" s="15" t="s">
        <v>25</v>
      </c>
      <c r="J45" s="6"/>
      <c r="K45" s="24">
        <f t="array" aca="1" ref="K45" ca="1">INDEX(Oper_Model_Bank_Accounts_Worst_Case,MATCH(DATE(YEAR(K27),MONTH(K27)+2,DAY(K27)),Oper_Model_Months_Worst_Case,0))</f>
        <v>263817.19</v>
      </c>
      <c r="L45" s="24">
        <f t="array" aca="1" ref="L45" ca="1">INDEX(Oper_Model_Bank_Accounts_Worst_Case,MATCH(DATE(YEAR(L27),MONTH(L27)+2,DAY(L27)),Oper_Model_Months_Worst_Case,0))</f>
        <v>377414.2534292441</v>
      </c>
      <c r="M45" s="24">
        <f t="array" aca="1" ref="M45" ca="1">INDEX(Oper_Model_Bank_Accounts_Worst_Case,MATCH(DATE(YEAR(M27),MONTH(M27)+2,DAY(M27)),Oper_Model_Months_Worst_Case,0))</f>
        <v>413747.07480542426</v>
      </c>
      <c r="N45" s="24">
        <f t="array" aca="1" ref="N45" ca="1">INDEX(Oper_Model_Bank_Accounts_Worst_Case,MATCH(DATE(YEAR(N27),MONTH(N27)+2,DAY(N27)),Oper_Model_Months_Worst_Case,0))</f>
        <v>332994.77080984839</v>
      </c>
      <c r="O45" s="6"/>
      <c r="P45" s="6"/>
      <c r="Q45" s="6"/>
      <c r="R45" s="6"/>
      <c r="S45" s="6"/>
      <c r="T45" s="6"/>
      <c r="U45" s="6"/>
      <c r="V45" s="6"/>
      <c r="W45" s="6"/>
      <c r="X45" s="6"/>
      <c r="Y45" s="6"/>
      <c r="Z45" s="6"/>
      <c r="AA45" s="6"/>
      <c r="AB45" s="6"/>
      <c r="AC45" s="6"/>
      <c r="AD45" s="6"/>
      <c r="AE45" s="6"/>
      <c r="AF45" s="6"/>
      <c r="AG45" s="6"/>
      <c r="AH45" s="6"/>
      <c r="AI45" s="6"/>
      <c r="AJ45" s="6"/>
      <c r="AK45" s="6"/>
      <c r="AL45" s="6"/>
      <c r="AM45" s="6"/>
    </row>
    <row r="46" spans="1:39" ht="12.75" x14ac:dyDescent="0.2">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row>
    <row r="47" spans="1:39" ht="12.75" x14ac:dyDescent="0.2">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row>
    <row r="48" spans="1:39" ht="12.75" x14ac:dyDescent="0.2">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row>
    <row r="49" spans="1:39" ht="12.75" x14ac:dyDescent="0.2">
      <c r="A49" s="6"/>
      <c r="B49" s="10" t="s">
        <v>33</v>
      </c>
      <c r="C49" s="8"/>
      <c r="D49" s="34" t="str">
        <f>D26</f>
        <v>Q1</v>
      </c>
      <c r="E49" s="34" t="s">
        <v>27</v>
      </c>
      <c r="F49" s="34" t="s">
        <v>28</v>
      </c>
      <c r="G49" s="34" t="s">
        <v>29</v>
      </c>
      <c r="H49" s="6"/>
      <c r="I49" s="10" t="s">
        <v>33</v>
      </c>
      <c r="J49" s="8"/>
      <c r="K49" s="34" t="s">
        <v>26</v>
      </c>
      <c r="L49" s="34" t="s">
        <v>27</v>
      </c>
      <c r="M49" s="34" t="s">
        <v>28</v>
      </c>
      <c r="N49" s="34" t="s">
        <v>29</v>
      </c>
      <c r="O49" s="6"/>
      <c r="P49" s="6"/>
      <c r="Q49" s="6"/>
      <c r="R49" s="6"/>
      <c r="S49" s="6"/>
      <c r="T49" s="6"/>
      <c r="U49" s="6"/>
      <c r="V49" s="6"/>
      <c r="W49" s="6"/>
      <c r="X49" s="6"/>
      <c r="Y49" s="6"/>
      <c r="Z49" s="6"/>
      <c r="AA49" s="6"/>
      <c r="AB49" s="6"/>
      <c r="AC49" s="6"/>
      <c r="AD49" s="6"/>
      <c r="AE49" s="6"/>
      <c r="AF49" s="6"/>
      <c r="AG49" s="6"/>
      <c r="AH49" s="6"/>
      <c r="AI49" s="6"/>
      <c r="AJ49" s="6"/>
      <c r="AK49" s="6"/>
      <c r="AL49" s="6"/>
      <c r="AM49" s="6"/>
    </row>
    <row r="50" spans="1:39" ht="12.75" x14ac:dyDescent="0.2">
      <c r="A50" s="6"/>
      <c r="B50" s="15" t="s">
        <v>9</v>
      </c>
      <c r="C50" s="6"/>
      <c r="D50" s="18">
        <v>1</v>
      </c>
      <c r="E50" s="18">
        <v>1</v>
      </c>
      <c r="F50" s="18">
        <v>1</v>
      </c>
      <c r="G50" s="18">
        <v>1</v>
      </c>
      <c r="H50" s="6"/>
      <c r="I50" s="15" t="s">
        <v>9</v>
      </c>
      <c r="J50" s="6"/>
      <c r="K50" s="18">
        <v>1</v>
      </c>
      <c r="L50" s="18">
        <v>1</v>
      </c>
      <c r="M50" s="18">
        <v>1</v>
      </c>
      <c r="N50" s="18">
        <v>1</v>
      </c>
      <c r="O50" s="6"/>
      <c r="P50" s="6"/>
      <c r="Q50" s="6"/>
      <c r="R50" s="6"/>
      <c r="S50" s="6"/>
      <c r="T50" s="6"/>
      <c r="U50" s="6"/>
      <c r="V50" s="6"/>
      <c r="W50" s="6"/>
      <c r="X50" s="6"/>
      <c r="Y50" s="6"/>
      <c r="Z50" s="6"/>
      <c r="AA50" s="6"/>
      <c r="AB50" s="6"/>
      <c r="AC50" s="6"/>
      <c r="AD50" s="6"/>
      <c r="AE50" s="6"/>
      <c r="AF50" s="6"/>
      <c r="AG50" s="6"/>
      <c r="AH50" s="6"/>
      <c r="AI50" s="6"/>
      <c r="AJ50" s="6"/>
      <c r="AK50" s="6"/>
      <c r="AL50" s="6"/>
      <c r="AM50" s="6"/>
    </row>
    <row r="51" spans="1:39" ht="12.75" x14ac:dyDescent="0.2">
      <c r="A51" s="6"/>
      <c r="B51" s="15" t="s">
        <v>13</v>
      </c>
      <c r="C51" s="6"/>
      <c r="D51" s="6"/>
      <c r="E51" s="6"/>
      <c r="F51" s="6"/>
      <c r="G51" s="6"/>
      <c r="H51" s="6"/>
      <c r="I51" s="15" t="s">
        <v>13</v>
      </c>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row>
    <row r="52" spans="1:39" ht="12.75" x14ac:dyDescent="0.2">
      <c r="A52" s="6"/>
      <c r="B52" s="15" t="s">
        <v>14</v>
      </c>
      <c r="C52" s="6"/>
      <c r="D52" s="35">
        <f t="shared" ref="D52:G52" ca="1" si="37">D33/D$31</f>
        <v>9.1792558005838479E-2</v>
      </c>
      <c r="E52" s="35">
        <f t="shared" ca="1" si="37"/>
        <v>9.6479701102705595E-2</v>
      </c>
      <c r="F52" s="35">
        <f t="shared" ca="1" si="37"/>
        <v>9.5681507889603584E-2</v>
      </c>
      <c r="G52" s="35">
        <f t="shared" ca="1" si="37"/>
        <v>0.10338304520363846</v>
      </c>
      <c r="H52" s="6"/>
      <c r="I52" s="15" t="s">
        <v>14</v>
      </c>
      <c r="J52" s="6"/>
      <c r="K52" s="35">
        <f t="shared" ref="K52:N52" ca="1" si="38">K33/K$31</f>
        <v>9.1792558005838479E-2</v>
      </c>
      <c r="L52" s="35">
        <f t="shared" ca="1" si="38"/>
        <v>8.7283524856420464E-2</v>
      </c>
      <c r="M52" s="35">
        <f t="shared" ca="1" si="38"/>
        <v>8.7449041908539596E-2</v>
      </c>
      <c r="N52" s="35">
        <f t="shared" ca="1" si="38"/>
        <v>8.5713177552105363E-2</v>
      </c>
      <c r="O52" s="6"/>
      <c r="P52" s="6"/>
      <c r="Q52" s="6"/>
      <c r="R52" s="6"/>
      <c r="S52" s="6"/>
      <c r="T52" s="6"/>
      <c r="U52" s="6"/>
      <c r="V52" s="6"/>
      <c r="W52" s="6"/>
      <c r="X52" s="6"/>
      <c r="Y52" s="6"/>
      <c r="Z52" s="6"/>
      <c r="AA52" s="6"/>
      <c r="AB52" s="6"/>
      <c r="AC52" s="6"/>
      <c r="AD52" s="6"/>
      <c r="AE52" s="6"/>
      <c r="AF52" s="6"/>
      <c r="AG52" s="6"/>
      <c r="AH52" s="6"/>
      <c r="AI52" s="6"/>
      <c r="AJ52" s="6"/>
      <c r="AK52" s="6"/>
      <c r="AL52" s="6"/>
      <c r="AM52" s="6"/>
    </row>
    <row r="53" spans="1:39" ht="12.75" x14ac:dyDescent="0.2">
      <c r="A53" s="6"/>
      <c r="B53" s="26" t="s">
        <v>15</v>
      </c>
      <c r="C53" s="6"/>
      <c r="D53" s="35">
        <f t="shared" ref="D53:G53" ca="1" si="39">D34/D$31</f>
        <v>8.4581258710028043E-2</v>
      </c>
      <c r="E53" s="35">
        <f t="shared" ca="1" si="39"/>
        <v>8.75216512881095E-2</v>
      </c>
      <c r="F53" s="35">
        <f t="shared" ca="1" si="39"/>
        <v>8.6850960351631645E-2</v>
      </c>
      <c r="G53" s="35">
        <f t="shared" ca="1" si="39"/>
        <v>8.6850960351631618E-2</v>
      </c>
      <c r="H53" s="6"/>
      <c r="I53" s="26" t="s">
        <v>15</v>
      </c>
      <c r="J53" s="6"/>
      <c r="K53" s="35">
        <f t="shared" ref="K53:N53" ca="1" si="40">K34/K$31</f>
        <v>8.4581258710028043E-2</v>
      </c>
      <c r="L53" s="35">
        <f t="shared" ca="1" si="40"/>
        <v>8.7547262111011853E-2</v>
      </c>
      <c r="M53" s="35">
        <f t="shared" ca="1" si="40"/>
        <v>8.6850960351631631E-2</v>
      </c>
      <c r="N53" s="35">
        <f t="shared" ca="1" si="40"/>
        <v>8.6850960351631645E-2</v>
      </c>
      <c r="O53" s="6"/>
      <c r="P53" s="6"/>
      <c r="Q53" s="6"/>
      <c r="R53" s="6"/>
      <c r="S53" s="6"/>
      <c r="T53" s="6"/>
      <c r="U53" s="6"/>
      <c r="V53" s="6"/>
      <c r="W53" s="6"/>
      <c r="X53" s="6"/>
      <c r="Y53" s="6"/>
      <c r="Z53" s="6"/>
      <c r="AA53" s="6"/>
      <c r="AB53" s="6"/>
      <c r="AC53" s="6"/>
      <c r="AD53" s="6"/>
      <c r="AE53" s="6"/>
      <c r="AF53" s="6"/>
      <c r="AG53" s="6"/>
      <c r="AH53" s="6"/>
      <c r="AI53" s="6"/>
      <c r="AJ53" s="6"/>
      <c r="AK53" s="6"/>
      <c r="AL53" s="6"/>
      <c r="AM53" s="6"/>
    </row>
    <row r="54" spans="1:39" ht="12.75" x14ac:dyDescent="0.2">
      <c r="A54" s="6"/>
      <c r="B54" s="27" t="s">
        <v>13</v>
      </c>
      <c r="C54" s="28"/>
      <c r="D54" s="36">
        <f t="shared" ref="D54:G54" ca="1" si="41">D35/D$31</f>
        <v>0.17637381671586652</v>
      </c>
      <c r="E54" s="36">
        <f t="shared" ca="1" si="41"/>
        <v>0.18400135239081508</v>
      </c>
      <c r="F54" s="36">
        <f t="shared" ca="1" si="41"/>
        <v>0.18253246824123523</v>
      </c>
      <c r="G54" s="36">
        <f t="shared" ca="1" si="41"/>
        <v>0.19023400555527009</v>
      </c>
      <c r="H54" s="6"/>
      <c r="I54" s="27" t="s">
        <v>13</v>
      </c>
      <c r="J54" s="28"/>
      <c r="K54" s="36">
        <f t="shared" ref="K54:N54" ca="1" si="42">K35/K$31</f>
        <v>0.17637381671586652</v>
      </c>
      <c r="L54" s="36">
        <f t="shared" ca="1" si="42"/>
        <v>0.17483078696743229</v>
      </c>
      <c r="M54" s="36">
        <f t="shared" ca="1" si="42"/>
        <v>0.17430000226017126</v>
      </c>
      <c r="N54" s="36">
        <f t="shared" ca="1" si="42"/>
        <v>0.17256413790373701</v>
      </c>
      <c r="O54" s="6"/>
      <c r="P54" s="6"/>
      <c r="Q54" s="6"/>
      <c r="R54" s="6"/>
      <c r="S54" s="6"/>
      <c r="T54" s="6"/>
      <c r="U54" s="6"/>
      <c r="V54" s="6"/>
      <c r="W54" s="6"/>
      <c r="X54" s="6"/>
      <c r="Y54" s="6"/>
      <c r="Z54" s="6"/>
      <c r="AA54" s="6"/>
      <c r="AB54" s="6"/>
      <c r="AC54" s="6"/>
      <c r="AD54" s="6"/>
      <c r="AE54" s="6"/>
      <c r="AF54" s="6"/>
      <c r="AG54" s="6"/>
      <c r="AH54" s="6"/>
      <c r="AI54" s="6"/>
      <c r="AJ54" s="6"/>
      <c r="AK54" s="6"/>
      <c r="AL54" s="6"/>
      <c r="AM54" s="6"/>
    </row>
    <row r="55" spans="1:39" ht="12.75" x14ac:dyDescent="0.2">
      <c r="A55" s="6"/>
      <c r="B55" s="27" t="s">
        <v>16</v>
      </c>
      <c r="C55" s="28"/>
      <c r="D55" s="36">
        <f t="shared" ref="D55:G55" ca="1" si="43">D36/D$31</f>
        <v>0.82362618328413351</v>
      </c>
      <c r="E55" s="36">
        <f t="shared" ca="1" si="43"/>
        <v>0.81599864760918495</v>
      </c>
      <c r="F55" s="36">
        <f t="shared" ca="1" si="43"/>
        <v>0.81746753175876474</v>
      </c>
      <c r="G55" s="36">
        <f t="shared" ca="1" si="43"/>
        <v>0.80976599444472996</v>
      </c>
      <c r="H55" s="6"/>
      <c r="I55" s="27" t="s">
        <v>16</v>
      </c>
      <c r="J55" s="28"/>
      <c r="K55" s="36">
        <f t="shared" ref="K55:N55" ca="1" si="44">K36/K$31</f>
        <v>0.82362618328413351</v>
      </c>
      <c r="L55" s="36">
        <f t="shared" ca="1" si="44"/>
        <v>0.82516921303256774</v>
      </c>
      <c r="M55" s="36">
        <f t="shared" ca="1" si="44"/>
        <v>0.82569999773982872</v>
      </c>
      <c r="N55" s="36">
        <f t="shared" ca="1" si="44"/>
        <v>0.82743586209626296</v>
      </c>
      <c r="O55" s="6"/>
      <c r="P55" s="6"/>
      <c r="Q55" s="6"/>
      <c r="R55" s="6"/>
      <c r="S55" s="6"/>
      <c r="T55" s="6"/>
      <c r="U55" s="6"/>
      <c r="V55" s="6"/>
      <c r="W55" s="6"/>
      <c r="X55" s="6"/>
      <c r="Y55" s="6"/>
      <c r="Z55" s="6"/>
      <c r="AA55" s="6"/>
      <c r="AB55" s="6"/>
      <c r="AC55" s="6"/>
      <c r="AD55" s="6"/>
      <c r="AE55" s="6"/>
      <c r="AF55" s="6"/>
      <c r="AG55" s="6"/>
      <c r="AH55" s="6"/>
      <c r="AI55" s="6"/>
      <c r="AJ55" s="6"/>
      <c r="AK55" s="6"/>
      <c r="AL55" s="6"/>
      <c r="AM55" s="6"/>
    </row>
    <row r="56" spans="1:39" ht="12.75" x14ac:dyDescent="0.2">
      <c r="A56" s="6"/>
      <c r="B56" s="26" t="s">
        <v>17</v>
      </c>
      <c r="C56" s="6"/>
      <c r="D56" s="6"/>
      <c r="E56" s="6"/>
      <c r="F56" s="6"/>
      <c r="G56" s="6"/>
      <c r="H56" s="6"/>
      <c r="I56" s="26" t="s">
        <v>17</v>
      </c>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row>
    <row r="57" spans="1:39" ht="12.75" x14ac:dyDescent="0.2">
      <c r="A57" s="6"/>
      <c r="B57" s="15" t="s">
        <v>18</v>
      </c>
      <c r="C57" s="6"/>
      <c r="D57" s="6"/>
      <c r="E57" s="6"/>
      <c r="F57" s="6"/>
      <c r="G57" s="6"/>
      <c r="H57" s="6"/>
      <c r="I57" s="15" t="s">
        <v>18</v>
      </c>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row>
    <row r="58" spans="1:39" ht="12.75" x14ac:dyDescent="0.2">
      <c r="A58" s="6"/>
      <c r="B58" s="15" t="s">
        <v>19</v>
      </c>
      <c r="C58" s="6"/>
      <c r="D58" s="35">
        <f t="shared" ref="D58:G58" ca="1" si="45">D39/D$31</f>
        <v>0.33937273085349701</v>
      </c>
      <c r="E58" s="35">
        <f t="shared" ca="1" si="45"/>
        <v>0.31318284549077674</v>
      </c>
      <c r="F58" s="35">
        <f t="shared" ca="1" si="45"/>
        <v>0.28805794616668701</v>
      </c>
      <c r="G58" s="35">
        <f t="shared" ca="1" si="45"/>
        <v>0.29214607167585188</v>
      </c>
      <c r="H58" s="6"/>
      <c r="I58" s="15" t="s">
        <v>19</v>
      </c>
      <c r="J58" s="6"/>
      <c r="K58" s="35">
        <f t="shared" ref="K58:N58" ca="1" si="46">K39/K$31</f>
        <v>0.33937273085349701</v>
      </c>
      <c r="L58" s="35">
        <f t="shared" ca="1" si="46"/>
        <v>0.30912496897993069</v>
      </c>
      <c r="M58" s="35">
        <f t="shared" ca="1" si="46"/>
        <v>0.30231901163788477</v>
      </c>
      <c r="N58" s="35">
        <f t="shared" ca="1" si="46"/>
        <v>0.29562461008309199</v>
      </c>
      <c r="O58" s="6"/>
      <c r="P58" s="6"/>
      <c r="Q58" s="6"/>
      <c r="R58" s="6"/>
      <c r="S58" s="6"/>
      <c r="T58" s="6"/>
      <c r="U58" s="6"/>
      <c r="V58" s="6"/>
      <c r="W58" s="6"/>
      <c r="X58" s="6"/>
      <c r="Y58" s="6"/>
      <c r="Z58" s="6"/>
      <c r="AA58" s="6"/>
      <c r="AB58" s="6"/>
      <c r="AC58" s="6"/>
      <c r="AD58" s="6"/>
      <c r="AE58" s="6"/>
      <c r="AF58" s="6"/>
      <c r="AG58" s="6"/>
      <c r="AH58" s="6"/>
      <c r="AI58" s="6"/>
      <c r="AJ58" s="6"/>
      <c r="AK58" s="6"/>
      <c r="AL58" s="6"/>
      <c r="AM58" s="6"/>
    </row>
    <row r="59" spans="1:39" ht="12.75" x14ac:dyDescent="0.2">
      <c r="A59" s="6"/>
      <c r="B59" s="26" t="s">
        <v>21</v>
      </c>
      <c r="C59" s="6"/>
      <c r="D59" s="35">
        <f t="shared" ref="D59:G59" ca="1" si="47">D40/D$31</f>
        <v>0.12070728008755187</v>
      </c>
      <c r="E59" s="35">
        <f t="shared" ca="1" si="47"/>
        <v>0.10376760768814028</v>
      </c>
      <c r="F59" s="35">
        <f t="shared" ca="1" si="47"/>
        <v>0.10254171248387041</v>
      </c>
      <c r="G59" s="35">
        <f t="shared" ca="1" si="47"/>
        <v>0.10473614255203903</v>
      </c>
      <c r="H59" s="6"/>
      <c r="I59" s="26" t="s">
        <v>21</v>
      </c>
      <c r="J59" s="6"/>
      <c r="K59" s="35">
        <f t="shared" ref="K59:N59" ca="1" si="48">K40/K$31</f>
        <v>0.12070728008755187</v>
      </c>
      <c r="L59" s="35">
        <f t="shared" ca="1" si="48"/>
        <v>0.11139232602030871</v>
      </c>
      <c r="M59" s="35">
        <f t="shared" ca="1" si="48"/>
        <v>0.11779699783597916</v>
      </c>
      <c r="N59" s="35">
        <f t="shared" ca="1" si="48"/>
        <v>0.11518855981155329</v>
      </c>
      <c r="O59" s="6"/>
      <c r="P59" s="6"/>
      <c r="Q59" s="6"/>
      <c r="R59" s="6"/>
      <c r="S59" s="6"/>
      <c r="T59" s="6"/>
      <c r="U59" s="6"/>
      <c r="V59" s="6"/>
      <c r="W59" s="6"/>
      <c r="X59" s="6"/>
      <c r="Y59" s="6"/>
      <c r="Z59" s="6"/>
      <c r="AA59" s="6"/>
      <c r="AB59" s="6"/>
      <c r="AC59" s="6"/>
      <c r="AD59" s="6"/>
      <c r="AE59" s="6"/>
      <c r="AF59" s="6"/>
      <c r="AG59" s="6"/>
      <c r="AH59" s="6"/>
      <c r="AI59" s="6"/>
      <c r="AJ59" s="6"/>
      <c r="AK59" s="6"/>
      <c r="AL59" s="6"/>
      <c r="AM59" s="6"/>
    </row>
    <row r="60" spans="1:39" ht="12.75" x14ac:dyDescent="0.2">
      <c r="A60" s="6"/>
      <c r="B60" s="26" t="s">
        <v>22</v>
      </c>
      <c r="C60" s="6"/>
      <c r="D60" s="35">
        <f t="shared" ref="D60:G60" ca="1" si="49">D41/D$31</f>
        <v>0.37623981531068396</v>
      </c>
      <c r="E60" s="35">
        <f t="shared" ca="1" si="49"/>
        <v>0.36140652527884937</v>
      </c>
      <c r="F60" s="35">
        <f t="shared" ca="1" si="49"/>
        <v>0.40372276105186283</v>
      </c>
      <c r="G60" s="35">
        <f t="shared" ca="1" si="49"/>
        <v>0.48599915938773591</v>
      </c>
      <c r="H60" s="6"/>
      <c r="I60" s="26" t="s">
        <v>22</v>
      </c>
      <c r="J60" s="6"/>
      <c r="K60" s="35">
        <f t="shared" ref="K60:N60" ca="1" si="50">K41/K$31</f>
        <v>0.37623981531068396</v>
      </c>
      <c r="L60" s="35">
        <f t="shared" ca="1" si="50"/>
        <v>0.3545456664546846</v>
      </c>
      <c r="M60" s="35">
        <f t="shared" ca="1" si="50"/>
        <v>0.38825094268554239</v>
      </c>
      <c r="N60" s="35">
        <f t="shared" ca="1" si="50"/>
        <v>0.45429357552460087</v>
      </c>
      <c r="O60" s="6"/>
      <c r="P60" s="6"/>
      <c r="Q60" s="6"/>
      <c r="R60" s="6"/>
      <c r="S60" s="6"/>
      <c r="T60" s="6"/>
      <c r="U60" s="6"/>
      <c r="V60" s="6"/>
      <c r="W60" s="6"/>
      <c r="X60" s="6"/>
      <c r="Y60" s="6"/>
      <c r="Z60" s="6"/>
      <c r="AA60" s="6"/>
      <c r="AB60" s="6"/>
      <c r="AC60" s="6"/>
      <c r="AD60" s="6"/>
      <c r="AE60" s="6"/>
      <c r="AF60" s="6"/>
      <c r="AG60" s="6"/>
      <c r="AH60" s="6"/>
      <c r="AI60" s="6"/>
      <c r="AJ60" s="6"/>
      <c r="AK60" s="6"/>
      <c r="AL60" s="6"/>
      <c r="AM60" s="6"/>
    </row>
    <row r="61" spans="1:39" ht="12.75" x14ac:dyDescent="0.2">
      <c r="A61" s="6"/>
      <c r="B61" s="27" t="s">
        <v>23</v>
      </c>
      <c r="C61" s="28"/>
      <c r="D61" s="36">
        <f t="shared" ref="D61:G61" ca="1" si="51">D42/D$31</f>
        <v>0.83631982625173285</v>
      </c>
      <c r="E61" s="36">
        <f t="shared" ca="1" si="51"/>
        <v>0.7783569784577663</v>
      </c>
      <c r="F61" s="36">
        <f t="shared" ca="1" si="51"/>
        <v>0.79432241970242035</v>
      </c>
      <c r="G61" s="36">
        <f t="shared" ca="1" si="51"/>
        <v>0.8828813736156268</v>
      </c>
      <c r="H61" s="6"/>
      <c r="I61" s="27" t="s">
        <v>23</v>
      </c>
      <c r="J61" s="28"/>
      <c r="K61" s="36">
        <f t="shared" ref="K61:N61" ca="1" si="52">K42/K$31</f>
        <v>0.83631982625173285</v>
      </c>
      <c r="L61" s="36">
        <f t="shared" ca="1" si="52"/>
        <v>0.77506296145492404</v>
      </c>
      <c r="M61" s="36">
        <f t="shared" ca="1" si="52"/>
        <v>0.80836695215940635</v>
      </c>
      <c r="N61" s="36">
        <f t="shared" ca="1" si="52"/>
        <v>0.86510674541924615</v>
      </c>
      <c r="O61" s="6"/>
      <c r="P61" s="6"/>
      <c r="Q61" s="6"/>
      <c r="R61" s="6"/>
      <c r="S61" s="6"/>
      <c r="T61" s="6"/>
      <c r="U61" s="6"/>
      <c r="V61" s="6"/>
      <c r="W61" s="6"/>
      <c r="X61" s="6"/>
      <c r="Y61" s="6"/>
      <c r="Z61" s="6"/>
      <c r="AA61" s="6"/>
      <c r="AB61" s="6"/>
      <c r="AC61" s="6"/>
      <c r="AD61" s="6"/>
      <c r="AE61" s="6"/>
      <c r="AF61" s="6"/>
      <c r="AG61" s="6"/>
      <c r="AH61" s="6"/>
      <c r="AI61" s="6"/>
      <c r="AJ61" s="6"/>
      <c r="AK61" s="6"/>
      <c r="AL61" s="6"/>
      <c r="AM61" s="6"/>
    </row>
    <row r="62" spans="1:39" ht="12.75" x14ac:dyDescent="0.2">
      <c r="A62" s="6"/>
      <c r="B62" s="27" t="s">
        <v>24</v>
      </c>
      <c r="C62" s="28"/>
      <c r="D62" s="36">
        <f t="shared" ref="D62:G62" ca="1" si="53">D43/D$31</f>
        <v>-1.2693642967599342E-2</v>
      </c>
      <c r="E62" s="36">
        <f t="shared" ca="1" si="53"/>
        <v>3.7641669151418616E-2</v>
      </c>
      <c r="F62" s="36">
        <f t="shared" ca="1" si="53"/>
        <v>2.314511205634448E-2</v>
      </c>
      <c r="G62" s="36">
        <f t="shared" ca="1" si="53"/>
        <v>-7.3115379170896874E-2</v>
      </c>
      <c r="H62" s="6"/>
      <c r="I62" s="27" t="s">
        <v>24</v>
      </c>
      <c r="J62" s="28"/>
      <c r="K62" s="36">
        <f t="shared" ref="K62:N62" ca="1" si="54">K43/K$31</f>
        <v>-1.2693642967599342E-2</v>
      </c>
      <c r="L62" s="36">
        <f t="shared" ca="1" si="54"/>
        <v>5.0106251577643618E-2</v>
      </c>
      <c r="M62" s="36">
        <f t="shared" ca="1" si="54"/>
        <v>1.7333045580422386E-2</v>
      </c>
      <c r="N62" s="36">
        <f t="shared" ca="1" si="54"/>
        <v>-3.7670883322983198E-2</v>
      </c>
      <c r="O62" s="6"/>
      <c r="P62" s="6"/>
      <c r="Q62" s="6"/>
      <c r="R62" s="6"/>
      <c r="S62" s="6"/>
      <c r="T62" s="6"/>
      <c r="U62" s="6"/>
      <c r="V62" s="6"/>
      <c r="W62" s="6"/>
      <c r="X62" s="6"/>
      <c r="Y62" s="6"/>
      <c r="Z62" s="6"/>
      <c r="AA62" s="6"/>
      <c r="AB62" s="6"/>
      <c r="AC62" s="6"/>
      <c r="AD62" s="6"/>
      <c r="AE62" s="6"/>
      <c r="AF62" s="6"/>
      <c r="AG62" s="6"/>
      <c r="AH62" s="6"/>
      <c r="AI62" s="6"/>
      <c r="AJ62" s="6"/>
      <c r="AK62" s="6"/>
      <c r="AL62" s="6"/>
      <c r="AM62" s="6"/>
    </row>
    <row r="63" spans="1:39" ht="12.75" x14ac:dyDescent="0.2">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row>
    <row r="64" spans="1:39" ht="12.75" x14ac:dyDescent="0.2">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row>
    <row r="65" spans="1:39" ht="12.75" x14ac:dyDescent="0.2">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row>
    <row r="66" spans="1:39" ht="12.75" x14ac:dyDescent="0.2">
      <c r="A66" s="6"/>
      <c r="B66" s="7" t="s">
        <v>3</v>
      </c>
      <c r="C66" s="8"/>
      <c r="D66" s="9" t="s">
        <v>35</v>
      </c>
      <c r="E66" s="9" t="s">
        <v>36</v>
      </c>
      <c r="F66" s="9" t="s">
        <v>4</v>
      </c>
      <c r="G66" s="9" t="s">
        <v>5</v>
      </c>
      <c r="H66" s="6"/>
      <c r="I66" s="7" t="s">
        <v>6</v>
      </c>
      <c r="J66" s="8"/>
      <c r="K66" s="9" t="s">
        <v>35</v>
      </c>
      <c r="L66" s="9" t="s">
        <v>36</v>
      </c>
      <c r="M66" s="9" t="s">
        <v>4</v>
      </c>
      <c r="N66" s="9" t="s">
        <v>5</v>
      </c>
      <c r="O66" s="6"/>
      <c r="P66" s="6"/>
      <c r="Q66" s="6"/>
      <c r="R66" s="6"/>
      <c r="S66" s="6"/>
      <c r="T66" s="6"/>
      <c r="U66" s="6"/>
      <c r="V66" s="6"/>
      <c r="W66" s="6"/>
      <c r="X66" s="6"/>
      <c r="Y66" s="6"/>
      <c r="Z66" s="6"/>
      <c r="AA66" s="6"/>
      <c r="AB66" s="6"/>
      <c r="AC66" s="6"/>
      <c r="AD66" s="6"/>
      <c r="AE66" s="6"/>
      <c r="AF66" s="6"/>
      <c r="AG66" s="6"/>
      <c r="AH66" s="6"/>
      <c r="AI66" s="6"/>
      <c r="AJ66" s="6"/>
      <c r="AK66" s="6"/>
      <c r="AL66" s="6"/>
      <c r="AM66" s="6"/>
    </row>
    <row r="67" spans="1:39" ht="12.75" hidden="1" x14ac:dyDescent="0.2">
      <c r="A67" s="6"/>
      <c r="B67" s="37" t="s">
        <v>37</v>
      </c>
      <c r="C67" s="37"/>
      <c r="D67" s="38">
        <v>43586</v>
      </c>
      <c r="E67" s="14">
        <f>EDATE(D67,12)</f>
        <v>43952</v>
      </c>
      <c r="F67" s="6"/>
      <c r="G67" s="6"/>
      <c r="H67" s="6"/>
      <c r="I67" s="6"/>
      <c r="J67" s="6"/>
      <c r="K67" s="14">
        <v>43525</v>
      </c>
      <c r="L67" s="14">
        <v>43922</v>
      </c>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row>
    <row r="68" spans="1:39" ht="12.75" hidden="1" x14ac:dyDescent="0.2">
      <c r="A68" s="6"/>
      <c r="B68" s="37" t="s">
        <v>38</v>
      </c>
      <c r="C68" s="37"/>
      <c r="D68" s="38">
        <f t="shared" ref="D68:E68" si="55">EDATE(D67,12)</f>
        <v>43952</v>
      </c>
      <c r="E68" s="38">
        <f t="shared" si="55"/>
        <v>44317</v>
      </c>
      <c r="F68" s="6"/>
      <c r="G68" s="6"/>
      <c r="H68" s="6"/>
      <c r="I68" s="6"/>
      <c r="J68" s="6"/>
      <c r="K68" s="14">
        <v>43891</v>
      </c>
      <c r="L68" s="14">
        <v>44287</v>
      </c>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row>
    <row r="69" spans="1:39" ht="12.75" x14ac:dyDescent="0.2">
      <c r="A69" s="6"/>
      <c r="B69" s="15" t="s">
        <v>8</v>
      </c>
      <c r="C69" s="6"/>
      <c r="D69" s="16">
        <f t="array" ref="D69">INDEX(Revenue_Model_MRR,MATCH(DATE(YEAR(D67),MONTH(D67)+11,DAY(D67)),Revenue_Model_Months,0))*12</f>
        <v>9536481.13441699</v>
      </c>
      <c r="E69" s="16">
        <f t="array" aca="1" ref="E69" ca="1">INDEX(Revenue_Model_MRR,MATCH(DATE(YEAR(E67),MONTH(E67)+11,DAY(E67)),Revenue_Model_Months,0))*12</f>
        <v>11302307.069884544</v>
      </c>
      <c r="F69" s="16">
        <f ca="1">E69-D69</f>
        <v>1765825.9354675543</v>
      </c>
      <c r="G69" s="18">
        <f ca="1">E69/D69-1</f>
        <v>0.18516535717715832</v>
      </c>
      <c r="H69" s="6"/>
      <c r="I69" s="15" t="s">
        <v>8</v>
      </c>
      <c r="J69" s="6"/>
      <c r="K69" s="16">
        <f t="array" ref="K69">INDEX(Revenue_Model_MRR_Worst_Case,MATCH(DATE(YEAR(K67),MONTH(K67)+11,DAY(K67)),Revenue_Model_Months_Worst_Case,0))*12</f>
        <v>9891693.13441699</v>
      </c>
      <c r="L69" s="16">
        <f t="array" aca="1" ref="L69" ca="1">INDEX(Revenue_Model_MRR_Worst_Case,MATCH(DATE(YEAR(L67),MONTH(L67)+11,DAY(L67)),Revenue_Model_Months_Worst_Case,0))*12</f>
        <v>8911472.4257314205</v>
      </c>
      <c r="M69" s="17">
        <f ca="1">L69-K69</f>
        <v>-980220.70868556947</v>
      </c>
      <c r="N69" s="18">
        <f ca="1">L69/K69-1</f>
        <v>-9.909534145120269E-2</v>
      </c>
      <c r="O69" s="6"/>
      <c r="P69" s="6"/>
      <c r="Q69" s="6"/>
      <c r="R69" s="6"/>
      <c r="S69" s="6"/>
      <c r="T69" s="6"/>
      <c r="U69" s="6"/>
      <c r="V69" s="6"/>
      <c r="W69" s="6"/>
      <c r="X69" s="6"/>
      <c r="Y69" s="6"/>
      <c r="Z69" s="6"/>
      <c r="AA69" s="6"/>
      <c r="AB69" s="6"/>
      <c r="AC69" s="6"/>
      <c r="AD69" s="6"/>
      <c r="AE69" s="6"/>
      <c r="AF69" s="6"/>
      <c r="AG69" s="6"/>
      <c r="AH69" s="6"/>
      <c r="AI69" s="6"/>
      <c r="AJ69" s="6"/>
      <c r="AK69" s="6"/>
      <c r="AL69" s="6"/>
      <c r="AM69" s="6"/>
    </row>
    <row r="70" spans="1:39" ht="12.75" x14ac:dyDescent="0.2">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row>
    <row r="71" spans="1:39" ht="12.75" x14ac:dyDescent="0.2">
      <c r="A71" s="6"/>
      <c r="B71" s="15" t="s">
        <v>9</v>
      </c>
      <c r="C71" s="6"/>
      <c r="D71" s="19">
        <f ca="1">SUMIFS(Oper_Model_Revenue,Oper_Model_Months,"&gt;="&amp;D67,Oper_Model_Months,"&lt;"&amp;D68)</f>
        <v>8948280.1899999995</v>
      </c>
      <c r="E71" s="19">
        <f ca="1">SUMIFS(Oper_Model_Revenue,Oper_Model_Months,"&gt;="&amp;E67,Oper_Model_Months,"&lt;"&amp;E68)</f>
        <v>10134271.553670932</v>
      </c>
      <c r="F71" s="19">
        <f ca="1">E71-D71</f>
        <v>1185991.3636709321</v>
      </c>
      <c r="G71" s="18">
        <f ca="1">E71/D71-1</f>
        <v>0.13253846979404127</v>
      </c>
      <c r="H71" s="6"/>
      <c r="I71" s="15" t="s">
        <v>9</v>
      </c>
      <c r="J71" s="6"/>
      <c r="K71" s="19">
        <f ca="1">SUMIFS(Oper_Model_Revenue_Worst_Case,Oper_Model_Months_Worst_Case,"&gt;="&amp;K67,Oper_Model_Months_Worst_Case,"&lt;"&amp;K68)</f>
        <v>8474231</v>
      </c>
      <c r="L71" s="19">
        <f ca="1">SUMIFS(Oper_Model_Revenue_Worst_Case,Oper_Model_Months_Worst_Case,"&gt;="&amp;L67,Oper_Model_Months_Worst_Case,"&lt;"&amp;L68)</f>
        <v>8712851.0004657004</v>
      </c>
      <c r="M71" s="19">
        <f ca="1">L71-K71</f>
        <v>238620.0004657004</v>
      </c>
      <c r="N71" s="18">
        <f ca="1">L71/K71-1</f>
        <v>2.8158307280707895E-2</v>
      </c>
      <c r="O71" s="6"/>
      <c r="P71" s="6"/>
      <c r="Q71" s="6"/>
      <c r="R71" s="6"/>
      <c r="S71" s="6"/>
      <c r="T71" s="6"/>
      <c r="U71" s="6"/>
      <c r="V71" s="6"/>
      <c r="W71" s="6"/>
      <c r="X71" s="6"/>
      <c r="Y71" s="6"/>
      <c r="Z71" s="6"/>
      <c r="AA71" s="6"/>
      <c r="AB71" s="6"/>
      <c r="AC71" s="6"/>
      <c r="AD71" s="6"/>
      <c r="AE71" s="6"/>
      <c r="AF71" s="6"/>
      <c r="AG71" s="6"/>
      <c r="AH71" s="6"/>
      <c r="AI71" s="6"/>
      <c r="AJ71" s="6"/>
      <c r="AK71" s="6"/>
      <c r="AL71" s="6"/>
      <c r="AM71" s="6"/>
    </row>
    <row r="72" spans="1:39" ht="12.75" x14ac:dyDescent="0.2">
      <c r="A72" s="6"/>
      <c r="B72" s="15" t="s">
        <v>13</v>
      </c>
      <c r="C72" s="6"/>
      <c r="D72" s="6"/>
      <c r="E72" s="6"/>
      <c r="F72" s="6"/>
      <c r="G72" s="6"/>
      <c r="H72" s="6"/>
      <c r="I72" s="15" t="s">
        <v>13</v>
      </c>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row>
    <row r="73" spans="1:39" ht="12.75" x14ac:dyDescent="0.2">
      <c r="A73" s="6"/>
      <c r="B73" s="15" t="s">
        <v>14</v>
      </c>
      <c r="C73" s="6"/>
      <c r="D73" s="24">
        <f ca="1">SUMIFS(Oper_Model_Support,Oper_Model_Months,"&gt;="&amp;D67,Oper_Model_Months,"&lt;"&amp;D68)</f>
        <v>908833</v>
      </c>
      <c r="E73" s="24">
        <f ca="1">SUMIFS(Oper_Model_Support,Oper_Model_Months,"&gt;="&amp;E67,Oper_Model_Months,"&lt;"&amp;E68)</f>
        <v>1042432.8217961445</v>
      </c>
      <c r="F73" s="24">
        <f t="shared" ref="F73:F76" ca="1" si="56">E73-D73</f>
        <v>133599.82179614448</v>
      </c>
      <c r="G73" s="18">
        <f t="shared" ref="G73:G76" ca="1" si="57">E73/D73-1</f>
        <v>0.14700150830366465</v>
      </c>
      <c r="H73" s="6"/>
      <c r="I73" s="15" t="s">
        <v>14</v>
      </c>
      <c r="J73" s="6"/>
      <c r="K73" s="24">
        <f ca="1">SUMIFS(Oper_Model_Support_Worst_Case,Oper_Model_Months_Worst_Case,"&gt;="&amp;K67,Oper_Model_Months_Worst_Case,"&lt;"&amp;K68)</f>
        <v>899878</v>
      </c>
      <c r="L73" s="24">
        <f ca="1">SUMIFS(Oper_Model_Support_Worst_Case,Oper_Model_Months_Worst_Case,"&gt;="&amp;L67,Oper_Model_Months_Worst_Case,"&lt;"&amp;L68)</f>
        <v>749228.13781549339</v>
      </c>
      <c r="M73" s="24">
        <f t="shared" ref="M73:M76" ca="1" si="58">L73-K73</f>
        <v>-150649.86218450661</v>
      </c>
      <c r="N73" s="18">
        <f t="shared" ref="N73:N76" ca="1" si="59">L73/K73-1</f>
        <v>-0.1674114293098693</v>
      </c>
      <c r="O73" s="6"/>
      <c r="P73" s="6"/>
      <c r="Q73" s="6"/>
      <c r="R73" s="6"/>
      <c r="S73" s="6"/>
      <c r="T73" s="6"/>
      <c r="U73" s="6"/>
      <c r="V73" s="6"/>
      <c r="W73" s="6"/>
      <c r="X73" s="6"/>
      <c r="Y73" s="6"/>
      <c r="Z73" s="6"/>
      <c r="AA73" s="6"/>
      <c r="AB73" s="6"/>
      <c r="AC73" s="6"/>
      <c r="AD73" s="6"/>
      <c r="AE73" s="6"/>
      <c r="AF73" s="6"/>
      <c r="AG73" s="6"/>
      <c r="AH73" s="6"/>
      <c r="AI73" s="6"/>
      <c r="AJ73" s="6"/>
      <c r="AK73" s="6"/>
      <c r="AL73" s="6"/>
      <c r="AM73" s="6"/>
    </row>
    <row r="74" spans="1:39" ht="12.75" x14ac:dyDescent="0.2">
      <c r="A74" s="6"/>
      <c r="B74" s="26" t="s">
        <v>15</v>
      </c>
      <c r="C74" s="6"/>
      <c r="D74" s="24">
        <f ca="1">SUMIFS(Oper_Model_Service_Delivery,Oper_Model_Months,"&gt;="&amp;D67,Oper_Model_Months,"&lt;"&amp;D68)</f>
        <v>708868</v>
      </c>
      <c r="E74" s="24">
        <f ca="1">SUMIFS(Oper_Model_Service_Delivery,Oper_Model_Months,"&gt;="&amp;E67,Oper_Model_Months,"&lt;"&amp;E68)</f>
        <v>880171.21690054249</v>
      </c>
      <c r="F74" s="24">
        <f t="shared" ca="1" si="56"/>
        <v>171303.21690054249</v>
      </c>
      <c r="G74" s="18">
        <f t="shared" ca="1" si="57"/>
        <v>0.24165742691240477</v>
      </c>
      <c r="H74" s="6"/>
      <c r="I74" s="26" t="s">
        <v>15</v>
      </c>
      <c r="J74" s="6"/>
      <c r="K74" s="24">
        <f ca="1">SUMIFS(Oper_Model_Service_Delivery_Worst_Case,Oper_Model_Months_Worst_Case,"&gt;="&amp;K67,Oper_Model_Months_Worst_Case,"&lt;"&amp;K68)</f>
        <v>655827</v>
      </c>
      <c r="L74" s="24">
        <f ca="1">SUMIFS(Oper_Model_Service_Delivery_Worst_Case,Oper_Model_Months_Worst_Case,"&gt;="&amp;L67,Oper_Model_Months_Worst_Case,"&lt;"&amp;L68)</f>
        <v>758298.07891432347</v>
      </c>
      <c r="M74" s="24">
        <f t="shared" ca="1" si="58"/>
        <v>102471.07891432347</v>
      </c>
      <c r="N74" s="18">
        <f t="shared" ca="1" si="59"/>
        <v>0.1562471183929961</v>
      </c>
      <c r="O74" s="6"/>
      <c r="P74" s="6"/>
      <c r="Q74" s="6"/>
      <c r="R74" s="6"/>
      <c r="S74" s="6"/>
      <c r="T74" s="6"/>
      <c r="U74" s="6"/>
      <c r="V74" s="6"/>
      <c r="W74" s="6"/>
      <c r="X74" s="6"/>
      <c r="Y74" s="6"/>
      <c r="Z74" s="6"/>
      <c r="AA74" s="6"/>
      <c r="AB74" s="6"/>
      <c r="AC74" s="6"/>
      <c r="AD74" s="6"/>
      <c r="AE74" s="6"/>
      <c r="AF74" s="6"/>
      <c r="AG74" s="6"/>
      <c r="AH74" s="6"/>
      <c r="AI74" s="6"/>
      <c r="AJ74" s="6"/>
      <c r="AK74" s="6"/>
      <c r="AL74" s="6"/>
      <c r="AM74" s="6"/>
    </row>
    <row r="75" spans="1:39" ht="12.75" x14ac:dyDescent="0.2">
      <c r="A75" s="6"/>
      <c r="B75" s="27" t="s">
        <v>13</v>
      </c>
      <c r="C75" s="28"/>
      <c r="D75" s="29">
        <f t="shared" ref="D75:E75" ca="1" si="60">SUM(D73:D74)</f>
        <v>1617701</v>
      </c>
      <c r="E75" s="29">
        <f t="shared" ca="1" si="60"/>
        <v>1922604.038696687</v>
      </c>
      <c r="F75" s="29">
        <f t="shared" ca="1" si="56"/>
        <v>304903.03869668697</v>
      </c>
      <c r="G75" s="30">
        <f t="shared" ca="1" si="57"/>
        <v>0.1884792299050857</v>
      </c>
      <c r="H75" s="6"/>
      <c r="I75" s="27" t="s">
        <v>13</v>
      </c>
      <c r="J75" s="28"/>
      <c r="K75" s="29">
        <f t="shared" ref="K75:L75" ca="1" si="61">SUM(K73:K74)</f>
        <v>1555705</v>
      </c>
      <c r="L75" s="29">
        <f t="shared" ca="1" si="61"/>
        <v>1507526.216729817</v>
      </c>
      <c r="M75" s="29">
        <f t="shared" ca="1" si="58"/>
        <v>-48178.783270183019</v>
      </c>
      <c r="N75" s="30">
        <f t="shared" ca="1" si="59"/>
        <v>-3.0969099713752279E-2</v>
      </c>
      <c r="O75" s="6"/>
      <c r="P75" s="6"/>
      <c r="Q75" s="6"/>
      <c r="R75" s="6"/>
      <c r="S75" s="6"/>
      <c r="T75" s="6"/>
      <c r="U75" s="6"/>
      <c r="V75" s="6"/>
      <c r="W75" s="6"/>
      <c r="X75" s="6"/>
      <c r="Y75" s="6"/>
      <c r="Z75" s="6"/>
      <c r="AA75" s="6"/>
      <c r="AB75" s="6"/>
      <c r="AC75" s="6"/>
      <c r="AD75" s="6"/>
      <c r="AE75" s="6"/>
      <c r="AF75" s="6"/>
      <c r="AG75" s="6"/>
      <c r="AH75" s="6"/>
      <c r="AI75" s="6"/>
      <c r="AJ75" s="6"/>
      <c r="AK75" s="6"/>
      <c r="AL75" s="6"/>
      <c r="AM75" s="6"/>
    </row>
    <row r="76" spans="1:39" ht="12.75" x14ac:dyDescent="0.2">
      <c r="A76" s="6"/>
      <c r="B76" s="27" t="s">
        <v>16</v>
      </c>
      <c r="C76" s="27"/>
      <c r="D76" s="29">
        <f t="shared" ref="D76:E76" ca="1" si="62">D71-D75</f>
        <v>7330579.1899999995</v>
      </c>
      <c r="E76" s="29">
        <f t="shared" ca="1" si="62"/>
        <v>8211667.5149742449</v>
      </c>
      <c r="F76" s="29">
        <f t="shared" ca="1" si="56"/>
        <v>881088.32497424539</v>
      </c>
      <c r="G76" s="30">
        <f t="shared" ca="1" si="57"/>
        <v>0.12019354844105368</v>
      </c>
      <c r="H76" s="6"/>
      <c r="I76" s="27" t="s">
        <v>16</v>
      </c>
      <c r="J76" s="27"/>
      <c r="K76" s="29">
        <f t="shared" ref="K76:L76" ca="1" si="63">K71-K75</f>
        <v>6918526</v>
      </c>
      <c r="L76" s="29">
        <f t="shared" ca="1" si="63"/>
        <v>7205324.7837358834</v>
      </c>
      <c r="M76" s="29">
        <f t="shared" ca="1" si="58"/>
        <v>286798.78373588342</v>
      </c>
      <c r="N76" s="30">
        <f t="shared" ca="1" si="59"/>
        <v>4.1453740830905916E-2</v>
      </c>
      <c r="O76" s="6"/>
      <c r="P76" s="6"/>
      <c r="Q76" s="6"/>
      <c r="R76" s="6"/>
      <c r="S76" s="6"/>
      <c r="T76" s="6"/>
      <c r="U76" s="6"/>
      <c r="V76" s="6"/>
      <c r="W76" s="6"/>
      <c r="X76" s="6"/>
      <c r="Y76" s="6"/>
      <c r="Z76" s="6"/>
      <c r="AA76" s="6"/>
      <c r="AB76" s="6"/>
      <c r="AC76" s="6"/>
      <c r="AD76" s="6"/>
      <c r="AE76" s="6"/>
      <c r="AF76" s="6"/>
      <c r="AG76" s="6"/>
      <c r="AH76" s="6"/>
      <c r="AI76" s="6"/>
      <c r="AJ76" s="6"/>
      <c r="AK76" s="6"/>
      <c r="AL76" s="6"/>
      <c r="AM76" s="6"/>
    </row>
    <row r="77" spans="1:39" ht="12.75" x14ac:dyDescent="0.2">
      <c r="A77" s="6"/>
      <c r="B77" s="26" t="s">
        <v>17</v>
      </c>
      <c r="C77" s="6"/>
      <c r="D77" s="18">
        <f t="shared" ref="D77:E77" ca="1" si="64">D76/D71</f>
        <v>0.81921654601206673</v>
      </c>
      <c r="E77" s="18">
        <f t="shared" ca="1" si="64"/>
        <v>0.81028690335416731</v>
      </c>
      <c r="F77" s="18"/>
      <c r="G77" s="6"/>
      <c r="H77" s="6"/>
      <c r="I77" s="26" t="s">
        <v>17</v>
      </c>
      <c r="J77" s="6"/>
      <c r="K77" s="18">
        <f t="shared" ref="K77:L77" ca="1" si="65">K76/K71</f>
        <v>0.81641933055636551</v>
      </c>
      <c r="L77" s="18">
        <f t="shared" ca="1" si="65"/>
        <v>0.82697670181101002</v>
      </c>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row>
    <row r="78" spans="1:39" ht="12.75" x14ac:dyDescent="0.2">
      <c r="A78" s="6"/>
      <c r="B78" s="15" t="s">
        <v>18</v>
      </c>
      <c r="C78" s="6"/>
      <c r="D78" s="6"/>
      <c r="E78" s="6"/>
      <c r="F78" s="6"/>
      <c r="G78" s="6"/>
      <c r="H78" s="6"/>
      <c r="I78" s="15" t="s">
        <v>18</v>
      </c>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row>
    <row r="79" spans="1:39" ht="12.75" x14ac:dyDescent="0.2">
      <c r="A79" s="6"/>
      <c r="B79" s="15" t="s">
        <v>19</v>
      </c>
      <c r="C79" s="6"/>
      <c r="D79" s="24">
        <f ca="1">SUMIFS(Oper_Model_Engineering,Oper_Model_Months,"&gt;="&amp;D67,Oper_Model_Months,"&lt;"&amp;D68)</f>
        <v>3300593</v>
      </c>
      <c r="E79" s="24">
        <f>SUMIFS(Oper_Model_Engineering,Oper_Model_Months,"&gt;="&amp;E67,Oper_Model_Months,"&lt;"&amp;E68)</f>
        <v>2963051.666666667</v>
      </c>
      <c r="F79" s="24">
        <f t="shared" ref="F79:F83" ca="1" si="66">E79-D79</f>
        <v>-337541.33333333302</v>
      </c>
      <c r="G79" s="18">
        <f t="shared" ref="G79:G83" ca="1" si="67">E79/D79-1</f>
        <v>-0.10226687547762869</v>
      </c>
      <c r="H79" s="6"/>
      <c r="I79" s="15" t="s">
        <v>19</v>
      </c>
      <c r="J79" s="6"/>
      <c r="K79" s="24">
        <f ca="1">SUMIFS(Oper_Model_Engineering_Worst_Case,Oper_Model_Months_Worst_Case,"&gt;="&amp;K67,Oper_Model_Months_Worst_Case,"&lt;"&amp;K68)</f>
        <v>3266675</v>
      </c>
      <c r="L79" s="24">
        <f ca="1">SUMIFS(Oper_Model_Engineering_Worst_Case,Oper_Model_Months_Worst_Case,"&gt;="&amp;L67,Oper_Model_Months_Worst_Case,"&lt;"&amp;L68)</f>
        <v>2601950.75</v>
      </c>
      <c r="M79" s="24">
        <f t="shared" ref="M79:M83" ca="1" si="68">L79-K79</f>
        <v>-664724.25</v>
      </c>
      <c r="N79" s="18">
        <f t="shared" ref="N79:N83" ca="1" si="69">L79/K79-1</f>
        <v>-0.20348649620791781</v>
      </c>
      <c r="O79" s="6"/>
      <c r="P79" s="6"/>
      <c r="Q79" s="6"/>
      <c r="R79" s="6"/>
      <c r="S79" s="6"/>
      <c r="T79" s="6"/>
      <c r="U79" s="6"/>
      <c r="V79" s="6"/>
      <c r="W79" s="6"/>
      <c r="X79" s="6"/>
      <c r="Y79" s="6"/>
      <c r="Z79" s="6"/>
      <c r="AA79" s="6"/>
      <c r="AB79" s="6"/>
      <c r="AC79" s="6"/>
      <c r="AD79" s="6"/>
      <c r="AE79" s="6"/>
      <c r="AF79" s="6"/>
      <c r="AG79" s="6"/>
      <c r="AH79" s="6"/>
      <c r="AI79" s="6"/>
      <c r="AJ79" s="6"/>
      <c r="AK79" s="6"/>
      <c r="AL79" s="6"/>
      <c r="AM79" s="6"/>
    </row>
    <row r="80" spans="1:39" ht="12.75" x14ac:dyDescent="0.2">
      <c r="A80" s="6"/>
      <c r="B80" s="26" t="s">
        <v>21</v>
      </c>
      <c r="C80" s="6"/>
      <c r="D80" s="24">
        <f ca="1">SUMIFS(Oper_Model_General,Oper_Model_Months,"&gt;="&amp;D67,Oper_Model_Months,"&lt;"&amp;D68)</f>
        <v>1110273</v>
      </c>
      <c r="E80" s="24">
        <f ca="1">SUMIFS(Oper_Model_General,Oper_Model_Months,"&gt;="&amp;E67,Oper_Model_Months,"&lt;"&amp;E68)</f>
        <v>1021929.3333333335</v>
      </c>
      <c r="F80" s="24">
        <f t="shared" ca="1" si="66"/>
        <v>-88343.666666666511</v>
      </c>
      <c r="G80" s="18">
        <f t="shared" ca="1" si="67"/>
        <v>-7.9569319137425265E-2</v>
      </c>
      <c r="H80" s="6"/>
      <c r="I80" s="26" t="s">
        <v>21</v>
      </c>
      <c r="J80" s="6"/>
      <c r="K80" s="24">
        <f ca="1">SUMIFS(Oper_Model_General_Worst_Case,Oper_Model_Months_Worst_Case,"&gt;="&amp;K67,Oper_Model_Months_Worst_Case,"&lt;"&amp;K68)</f>
        <v>1095947</v>
      </c>
      <c r="L80" s="24">
        <f ca="1">SUMIFS(Oper_Model_General_Worst_Case,Oper_Model_Months_Worst_Case,"&gt;="&amp;L67,Oper_Model_Months_Worst_Case,"&lt;"&amp;L68)</f>
        <v>993303.91666666674</v>
      </c>
      <c r="M80" s="24">
        <f t="shared" ca="1" si="68"/>
        <v>-102643.08333333326</v>
      </c>
      <c r="N80" s="18">
        <f t="shared" ca="1" si="69"/>
        <v>-9.3656977329499735E-2</v>
      </c>
      <c r="O80" s="6"/>
      <c r="P80" s="6"/>
      <c r="Q80" s="6"/>
      <c r="R80" s="6"/>
      <c r="S80" s="6"/>
      <c r="T80" s="6"/>
      <c r="U80" s="6"/>
      <c r="V80" s="6"/>
      <c r="W80" s="6"/>
      <c r="X80" s="6"/>
      <c r="Y80" s="6"/>
      <c r="Z80" s="6"/>
      <c r="AA80" s="6"/>
      <c r="AB80" s="6"/>
      <c r="AC80" s="6"/>
      <c r="AD80" s="6"/>
      <c r="AE80" s="6"/>
      <c r="AF80" s="6"/>
      <c r="AG80" s="6"/>
      <c r="AH80" s="6"/>
      <c r="AI80" s="6"/>
      <c r="AJ80" s="6"/>
      <c r="AK80" s="6"/>
      <c r="AL80" s="6"/>
      <c r="AM80" s="6"/>
    </row>
    <row r="81" spans="1:39" ht="12.75" x14ac:dyDescent="0.2">
      <c r="A81" s="6"/>
      <c r="B81" s="26" t="s">
        <v>22</v>
      </c>
      <c r="C81" s="6"/>
      <c r="D81" s="24">
        <f ca="1">SUMIFS(Oper_Model_Sales_and_Marketing,Oper_Model_Months,"&gt;="&amp;D67,Oper_Model_Months,"&lt;"&amp;D68)</f>
        <v>3540896</v>
      </c>
      <c r="E81" s="24">
        <f ca="1">SUMIFS(Oper_Model_Sales_and_Marketing,Oper_Model_Months,"&gt;="&amp;E67,Oper_Model_Months,"&lt;"&amp;E68)</f>
        <v>4845691.925598179</v>
      </c>
      <c r="F81" s="24">
        <f t="shared" ca="1" si="66"/>
        <v>1304795.925598179</v>
      </c>
      <c r="G81" s="18">
        <f t="shared" ca="1" si="67"/>
        <v>0.36849315133745209</v>
      </c>
      <c r="H81" s="6"/>
      <c r="I81" s="26" t="s">
        <v>22</v>
      </c>
      <c r="J81" s="6"/>
      <c r="K81" s="24">
        <f ca="1">SUMIFS(Oper_Model_Sales_and_Marketing_Worst_Case,Oper_Model_Months_Worst_Case,"&gt;="&amp;K67,Oper_Model_Months_Worst_Case,"&lt;"&amp;K68)</f>
        <v>3498449</v>
      </c>
      <c r="L81" s="24">
        <f ca="1">SUMIFS(Oper_Model_Sales_and_Marketing_Worst_Case,Oper_Model_Months_Worst_Case,"&gt;="&amp;L67,Oper_Model_Months_Worst_Case,"&lt;"&amp;L68)</f>
        <v>3700306.0833333326</v>
      </c>
      <c r="M81" s="24">
        <f t="shared" ca="1" si="68"/>
        <v>201857.08333333256</v>
      </c>
      <c r="N81" s="18">
        <f t="shared" ca="1" si="69"/>
        <v>5.769902129010096E-2</v>
      </c>
      <c r="O81" s="6"/>
      <c r="P81" s="6"/>
      <c r="Q81" s="6"/>
      <c r="R81" s="6"/>
      <c r="S81" s="6"/>
      <c r="T81" s="6"/>
      <c r="U81" s="6"/>
      <c r="V81" s="6"/>
      <c r="W81" s="6"/>
      <c r="X81" s="6"/>
      <c r="Y81" s="6"/>
      <c r="Z81" s="6"/>
      <c r="AA81" s="6"/>
      <c r="AB81" s="6"/>
      <c r="AC81" s="6"/>
      <c r="AD81" s="6"/>
      <c r="AE81" s="6"/>
      <c r="AF81" s="6"/>
      <c r="AG81" s="6"/>
      <c r="AH81" s="6"/>
      <c r="AI81" s="6"/>
      <c r="AJ81" s="6"/>
      <c r="AK81" s="6"/>
      <c r="AL81" s="6"/>
      <c r="AM81" s="6"/>
    </row>
    <row r="82" spans="1:39" ht="12.75" x14ac:dyDescent="0.2">
      <c r="A82" s="6"/>
      <c r="B82" s="27" t="s">
        <v>23</v>
      </c>
      <c r="C82" s="27"/>
      <c r="D82" s="29">
        <f t="shared" ref="D82:E82" ca="1" si="70">SUM(D79:D81)</f>
        <v>7951762</v>
      </c>
      <c r="E82" s="29">
        <f t="shared" ca="1" si="70"/>
        <v>8830672.9255981799</v>
      </c>
      <c r="F82" s="29">
        <f t="shared" ca="1" si="66"/>
        <v>878910.92559817992</v>
      </c>
      <c r="G82" s="30">
        <f t="shared" ca="1" si="67"/>
        <v>0.1105303359932277</v>
      </c>
      <c r="H82" s="6"/>
      <c r="I82" s="27" t="s">
        <v>23</v>
      </c>
      <c r="J82" s="27"/>
      <c r="K82" s="29">
        <f t="shared" ref="K82:L82" ca="1" si="71">SUM(K79:K81)</f>
        <v>7861071</v>
      </c>
      <c r="L82" s="29">
        <f t="shared" ca="1" si="71"/>
        <v>7295560.75</v>
      </c>
      <c r="M82" s="29">
        <f t="shared" ca="1" si="68"/>
        <v>-565510.25</v>
      </c>
      <c r="N82" s="30">
        <f t="shared" ca="1" si="69"/>
        <v>-7.1938066708722048E-2</v>
      </c>
      <c r="O82" s="6"/>
      <c r="P82" s="6"/>
      <c r="Q82" s="6"/>
      <c r="R82" s="6"/>
      <c r="S82" s="6"/>
      <c r="T82" s="6"/>
      <c r="U82" s="6"/>
      <c r="V82" s="6"/>
      <c r="W82" s="6"/>
      <c r="X82" s="6"/>
      <c r="Y82" s="6"/>
      <c r="Z82" s="6"/>
      <c r="AA82" s="6"/>
      <c r="AB82" s="6"/>
      <c r="AC82" s="6"/>
      <c r="AD82" s="6"/>
      <c r="AE82" s="6"/>
      <c r="AF82" s="6"/>
      <c r="AG82" s="6"/>
      <c r="AH82" s="6"/>
      <c r="AI82" s="6"/>
      <c r="AJ82" s="6"/>
      <c r="AK82" s="6"/>
      <c r="AL82" s="6"/>
      <c r="AM82" s="6"/>
    </row>
    <row r="83" spans="1:39" ht="12.75" x14ac:dyDescent="0.2">
      <c r="A83" s="6"/>
      <c r="B83" s="27" t="s">
        <v>24</v>
      </c>
      <c r="C83" s="27"/>
      <c r="D83" s="29">
        <f t="shared" ref="D83:E83" ca="1" si="72">D76-D82</f>
        <v>-621182.81000000052</v>
      </c>
      <c r="E83" s="29">
        <f t="shared" ca="1" si="72"/>
        <v>-619005.41062393505</v>
      </c>
      <c r="F83" s="29">
        <f t="shared" ca="1" si="66"/>
        <v>2177.3993760654703</v>
      </c>
      <c r="G83" s="30">
        <f t="shared" ca="1" si="67"/>
        <v>-3.5052473136941709E-3</v>
      </c>
      <c r="H83" s="6"/>
      <c r="I83" s="27" t="s">
        <v>24</v>
      </c>
      <c r="J83" s="27"/>
      <c r="K83" s="29">
        <f t="shared" ref="K83:L83" ca="1" si="73">K76-K82</f>
        <v>-942545</v>
      </c>
      <c r="L83" s="29">
        <f t="shared" ca="1" si="73"/>
        <v>-90235.966264116578</v>
      </c>
      <c r="M83" s="29">
        <f t="shared" ca="1" si="68"/>
        <v>852309.03373588342</v>
      </c>
      <c r="N83" s="30">
        <f t="shared" ca="1" si="69"/>
        <v>-0.90426349270950823</v>
      </c>
      <c r="O83" s="6"/>
      <c r="P83" s="6"/>
      <c r="Q83" s="6"/>
      <c r="R83" s="6"/>
      <c r="S83" s="6"/>
      <c r="T83" s="6"/>
      <c r="U83" s="6"/>
      <c r="V83" s="6"/>
      <c r="W83" s="6"/>
      <c r="X83" s="6"/>
      <c r="Y83" s="6"/>
      <c r="Z83" s="6"/>
      <c r="AA83" s="6"/>
      <c r="AB83" s="6"/>
      <c r="AC83" s="6"/>
      <c r="AD83" s="6"/>
      <c r="AE83" s="6"/>
      <c r="AF83" s="6"/>
      <c r="AG83" s="6"/>
      <c r="AH83" s="6"/>
      <c r="AI83" s="6"/>
      <c r="AJ83" s="6"/>
      <c r="AK83" s="6"/>
      <c r="AL83" s="6"/>
      <c r="AM83" s="6"/>
    </row>
    <row r="84" spans="1:39" ht="12.75" x14ac:dyDescent="0.2">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row>
    <row r="85" spans="1:39" ht="12.75" x14ac:dyDescent="0.2">
      <c r="A85" s="6"/>
      <c r="B85" s="15" t="s">
        <v>25</v>
      </c>
      <c r="C85" s="6"/>
      <c r="D85" s="24">
        <f t="array" aca="1" ref="D85" ca="1">INDEX(Oper_Model_Bank_Accounts,MATCH(DATE(YEAR(D67),MONTH(D67)+11,DAY(D67)),Oper_Model_Months,0))</f>
        <v>263700.19</v>
      </c>
      <c r="E85" s="24">
        <f t="array" aca="1" ref="E85" ca="1">INDEX(Oper_Model_Bank_Accounts,MATCH(DATE(YEAR(E67),MONTH(E67)+11,DAY(E67)),Oper_Model_Months,0))</f>
        <v>-355305.22062393388</v>
      </c>
      <c r="F85" s="24">
        <f ca="1">E85-D85</f>
        <v>-619005.41062393389</v>
      </c>
      <c r="G85" s="18">
        <f ca="1">E85/D85-1</f>
        <v>-2.347383256052769</v>
      </c>
      <c r="H85" s="6"/>
      <c r="I85" s="15" t="s">
        <v>25</v>
      </c>
      <c r="J85" s="6"/>
      <c r="K85" s="24">
        <f t="array" aca="1" ref="K85" ca="1">INDEX(Oper_Model_Bank_Accounts_Worst_Case,MATCH(DATE(YEAR(K67),MONTH(K67)+11,DAY(K67)),Oper_Model_Months_Worst_Case,0))</f>
        <v>255410</v>
      </c>
      <c r="L85" s="24">
        <f t="array" aca="1" ref="L85" ca="1">INDEX(Oper_Model_Bank_Accounts_Worst_Case,MATCH(DATE(YEAR(L67),MONTH(L67)+11,DAY(L67)),Oper_Model_Months_Worst_Case,0))</f>
        <v>173581.22373588389</v>
      </c>
      <c r="M85" s="24">
        <f ca="1">L85-K85</f>
        <v>-81828.77626411611</v>
      </c>
      <c r="N85" s="18">
        <f ca="1">L85/K85-1</f>
        <v>-0.32038203775935203</v>
      </c>
      <c r="O85" s="6"/>
      <c r="P85" s="6"/>
      <c r="Q85" s="6"/>
      <c r="R85" s="6"/>
      <c r="S85" s="6"/>
      <c r="T85" s="6"/>
      <c r="U85" s="6"/>
      <c r="V85" s="6"/>
      <c r="W85" s="6"/>
      <c r="X85" s="6"/>
      <c r="Y85" s="6"/>
      <c r="Z85" s="6"/>
      <c r="AA85" s="6"/>
      <c r="AB85" s="6"/>
      <c r="AC85" s="6"/>
      <c r="AD85" s="6"/>
      <c r="AE85" s="6"/>
      <c r="AF85" s="6"/>
      <c r="AG85" s="6"/>
      <c r="AH85" s="6"/>
      <c r="AI85" s="6"/>
      <c r="AJ85" s="6"/>
      <c r="AK85" s="6"/>
      <c r="AL85" s="6"/>
      <c r="AM85" s="6"/>
    </row>
    <row r="86" spans="1:39" ht="12.75" x14ac:dyDescent="0.2">
      <c r="A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row>
    <row r="87" spans="1:39" ht="12.75" x14ac:dyDescent="0.2">
      <c r="A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row>
    <row r="88" spans="1:39" ht="12.75" x14ac:dyDescent="0.2">
      <c r="A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row>
    <row r="89" spans="1:39" ht="12.75" x14ac:dyDescent="0.2">
      <c r="A89" s="6"/>
      <c r="B89" s="7" t="s">
        <v>54</v>
      </c>
      <c r="C89" s="8"/>
      <c r="D89" s="9" t="s">
        <v>55</v>
      </c>
      <c r="E89" s="9" t="s">
        <v>56</v>
      </c>
      <c r="F89" s="9" t="s">
        <v>4</v>
      </c>
      <c r="G89" s="9" t="s">
        <v>5</v>
      </c>
      <c r="H89" s="6"/>
      <c r="I89" s="7" t="s">
        <v>57</v>
      </c>
      <c r="J89" s="8"/>
      <c r="K89" s="9" t="s">
        <v>55</v>
      </c>
      <c r="L89" s="9" t="s">
        <v>58</v>
      </c>
      <c r="M89" s="9" t="s">
        <v>4</v>
      </c>
      <c r="N89" s="9" t="s">
        <v>5</v>
      </c>
      <c r="O89" s="6"/>
      <c r="P89" s="6"/>
      <c r="Q89" s="6"/>
      <c r="R89" s="6"/>
      <c r="S89" s="6"/>
      <c r="T89" s="6"/>
      <c r="U89" s="6"/>
      <c r="V89" s="6"/>
      <c r="W89" s="6"/>
      <c r="X89" s="6"/>
      <c r="Y89" s="6"/>
      <c r="Z89" s="6"/>
      <c r="AA89" s="6"/>
      <c r="AB89" s="6"/>
      <c r="AC89" s="6"/>
      <c r="AD89" s="6"/>
      <c r="AE89" s="6"/>
      <c r="AF89" s="6"/>
      <c r="AG89" s="6"/>
      <c r="AH89" s="6"/>
      <c r="AI89" s="6"/>
      <c r="AJ89" s="6"/>
      <c r="AK89" s="6"/>
      <c r="AL89" s="6"/>
      <c r="AM89" s="6"/>
    </row>
    <row r="90" spans="1:39" ht="12.75" hidden="1" x14ac:dyDescent="0.2">
      <c r="A90" s="6"/>
      <c r="B90" s="6"/>
      <c r="C90" s="6"/>
      <c r="D90" s="14">
        <v>43831</v>
      </c>
      <c r="E90" s="14">
        <v>43831</v>
      </c>
      <c r="F90" s="6"/>
      <c r="G90" s="6"/>
      <c r="H90" s="6"/>
      <c r="I90" s="6"/>
      <c r="J90" s="6"/>
      <c r="K90" s="14">
        <v>43831</v>
      </c>
      <c r="L90" s="14">
        <v>43831</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row>
    <row r="91" spans="1:39" ht="12.75" hidden="1" x14ac:dyDescent="0.2">
      <c r="A91" s="6"/>
      <c r="B91" s="6"/>
      <c r="C91" s="6"/>
      <c r="D91" s="14">
        <v>44197</v>
      </c>
      <c r="E91" s="14">
        <v>44197</v>
      </c>
      <c r="F91" s="6"/>
      <c r="G91" s="6"/>
      <c r="H91" s="6"/>
      <c r="I91" s="6"/>
      <c r="J91" s="6"/>
      <c r="K91" s="14">
        <v>44197</v>
      </c>
      <c r="L91" s="14">
        <v>44197</v>
      </c>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row>
    <row r="92" spans="1:39" ht="12.75" x14ac:dyDescent="0.2">
      <c r="A92" s="6"/>
      <c r="B92" s="15" t="s">
        <v>8</v>
      </c>
      <c r="C92" s="6"/>
      <c r="D92" s="16">
        <f t="array" ref="D92">INDEX(Oper_Model_Revenue_2020_Target,MATCH(DATE(YEAR(D90),MONTH(D90)+11,DAY(D90)),Oper_Model_Months_2020_Target,0))*12</f>
        <v>12377461.311451823</v>
      </c>
      <c r="E92" s="16">
        <f t="array" aca="1" ref="E92" ca="1">INDEX(Revenue_Model_MRR,MATCH(DATE(YEAR(E90),MONTH(E90)+11,DAY(E90)),Revenue_Model_Months,0))*12</f>
        <v>10374901.356667666</v>
      </c>
      <c r="F92" s="17">
        <f ca="1">E92-D92</f>
        <v>-2002559.9547841568</v>
      </c>
      <c r="G92" s="18">
        <f ca="1">E92/D92-1</f>
        <v>-0.16179084744392269</v>
      </c>
      <c r="H92" s="6"/>
      <c r="I92" s="15" t="s">
        <v>8</v>
      </c>
      <c r="J92" s="6"/>
      <c r="K92" s="16">
        <f t="array" ref="K92">INDEX(Oper_Model_Revenue_2020_Target,MATCH(DATE(YEAR(K90),MONTH(K90)+11,DAY(K90)),Oper_Model_Months_2020_Target,0))*12</f>
        <v>12377461.311451823</v>
      </c>
      <c r="L92" s="16">
        <f t="array" aca="1" ref="L92" ca="1">INDEX(Revenue_Model_MRR_Worst_Case,MATCH(DATE(YEAR(L90),MONTH(L90)+11,DAY(L90)),Revenue_Model_Months_Worst_Case,0))*12</f>
        <v>8654797.7473424934</v>
      </c>
      <c r="M92" s="17">
        <f ca="1">L92-K92</f>
        <v>-3722663.5641093291</v>
      </c>
      <c r="N92" s="18">
        <f ca="1">L92/K92-1</f>
        <v>-0.30076147850004287</v>
      </c>
      <c r="O92" s="6"/>
      <c r="P92" s="6"/>
      <c r="Q92" s="6"/>
      <c r="R92" s="6"/>
      <c r="S92" s="6"/>
      <c r="T92" s="6"/>
      <c r="U92" s="6"/>
      <c r="V92" s="6"/>
      <c r="W92" s="6"/>
      <c r="X92" s="6"/>
      <c r="Y92" s="6"/>
      <c r="Z92" s="6"/>
      <c r="AA92" s="6"/>
      <c r="AB92" s="6"/>
      <c r="AC92" s="6"/>
      <c r="AD92" s="6"/>
      <c r="AE92" s="6"/>
      <c r="AF92" s="6"/>
      <c r="AG92" s="6"/>
      <c r="AH92" s="6"/>
      <c r="AI92" s="6"/>
      <c r="AJ92" s="6"/>
      <c r="AK92" s="6"/>
      <c r="AL92" s="6"/>
      <c r="AM92" s="6"/>
    </row>
    <row r="93" spans="1:39" ht="12.75" x14ac:dyDescent="0.2">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row>
    <row r="94" spans="1:39" ht="12.75" x14ac:dyDescent="0.2">
      <c r="A94" s="6"/>
      <c r="B94" s="15" t="s">
        <v>9</v>
      </c>
      <c r="C94" s="6"/>
      <c r="D94" s="19">
        <f>SUMIFS(Oper_Model_Revenue_2020_Target,Oper_Model_Months_2020_Target,"&gt;="&amp;D90,Oper_Model_Months_2020_Target,"&lt;"&amp;D91)</f>
        <v>10986788.274620788</v>
      </c>
      <c r="E94" s="19">
        <f ca="1">SUMIFS(Oper_Model_Revenue,Oper_Model_Months,"&gt;="&amp;E90,Oper_Model_Months,"&lt;"&amp;E91)</f>
        <v>9770657.0267076362</v>
      </c>
      <c r="F94" s="19">
        <f ca="1">E94-D94</f>
        <v>-1216131.247913152</v>
      </c>
      <c r="G94" s="18">
        <f ca="1">E94/D94-1</f>
        <v>-0.11069033256264571</v>
      </c>
      <c r="H94" s="6"/>
      <c r="I94" s="15" t="s">
        <v>9</v>
      </c>
      <c r="J94" s="6"/>
      <c r="K94" s="19">
        <f>SUMIFS(Oper_Model_Revenue_2020_Target,Oper_Model_Months_2020_Target,"&gt;="&amp;K90,Oper_Model_Months_2020_Target,"&lt;"&amp;K91)</f>
        <v>10986788.274620788</v>
      </c>
      <c r="L94" s="19">
        <f ca="1">SUMIFS(Oper_Model_Revenue_Worst_Case,Oper_Model_Months_Worst_Case,"&gt;="&amp;L90,Oper_Model_Months_Worst_Case,"&lt;"&amp;L91)</f>
        <v>8995226.3642595988</v>
      </c>
      <c r="M94" s="19">
        <f ca="1">L94-K94</f>
        <v>-1991561.9103611894</v>
      </c>
      <c r="N94" s="18">
        <f ca="1">L94/K94-1</f>
        <v>-0.18126879854066624</v>
      </c>
      <c r="O94" s="6"/>
      <c r="P94" s="6"/>
      <c r="Q94" s="6"/>
      <c r="R94" s="6"/>
      <c r="S94" s="6"/>
      <c r="T94" s="6"/>
      <c r="U94" s="6"/>
      <c r="V94" s="6"/>
      <c r="W94" s="6"/>
      <c r="X94" s="6"/>
      <c r="Y94" s="6"/>
      <c r="Z94" s="6"/>
      <c r="AA94" s="6"/>
      <c r="AB94" s="6"/>
      <c r="AC94" s="6"/>
      <c r="AD94" s="6"/>
      <c r="AE94" s="6"/>
      <c r="AF94" s="6"/>
      <c r="AG94" s="6"/>
      <c r="AH94" s="6"/>
      <c r="AI94" s="6"/>
      <c r="AJ94" s="6"/>
      <c r="AK94" s="6"/>
      <c r="AL94" s="6"/>
      <c r="AM94" s="6"/>
    </row>
    <row r="95" spans="1:39" ht="12.75" x14ac:dyDescent="0.2">
      <c r="A95" s="6"/>
      <c r="B95" s="15" t="s">
        <v>13</v>
      </c>
      <c r="C95" s="6"/>
      <c r="D95" s="6"/>
      <c r="E95" s="6"/>
      <c r="F95" s="6"/>
      <c r="G95" s="6"/>
      <c r="H95" s="6"/>
      <c r="I95" s="15" t="s">
        <v>13</v>
      </c>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row>
    <row r="96" spans="1:39" ht="12.75" x14ac:dyDescent="0.2">
      <c r="A96" s="6"/>
      <c r="B96" s="15" t="s">
        <v>14</v>
      </c>
      <c r="C96" s="6"/>
      <c r="D96" s="24">
        <f>SUMIFS(Oper_Model_Support_2020_Target,Oper_Model_Months_2020_Target,"&gt;="&amp;D90,Oper_Model_Months_2020_Target,"&lt;"&amp;D91)</f>
        <v>1286639.530085037</v>
      </c>
      <c r="E96" s="24">
        <f ca="1">SUMIFS(Oper_Model_Support,Oper_Model_Months,"&gt;="&amp;E90,Oper_Model_Months,"&lt;"&amp;E91)</f>
        <v>946631.93819743406</v>
      </c>
      <c r="F96" s="24">
        <f t="shared" ref="F96:F99" ca="1" si="74">E96-D96</f>
        <v>-340007.59188760293</v>
      </c>
      <c r="G96" s="18">
        <f t="shared" ref="G96:G99" ca="1" si="75">E96/D96-1</f>
        <v>-0.26426017850169037</v>
      </c>
      <c r="H96" s="6"/>
      <c r="I96" s="15" t="s">
        <v>14</v>
      </c>
      <c r="J96" s="6"/>
      <c r="K96" s="24">
        <f>SUMIFS(Oper_Model_Support_2020_Target,Oper_Model_Months_2020_Target,"&gt;="&amp;K90,Oper_Model_Months_2020_Target,"&lt;"&amp;K91)</f>
        <v>1286639.530085037</v>
      </c>
      <c r="L96" s="24">
        <f ca="1">SUMIFS(Oper_Model_Support_Worst_Case,Oper_Model_Months_Worst_Case,"&gt;="&amp;L90,Oper_Model_Months_Worst_Case,"&lt;"&amp;L91)</f>
        <v>793335.68062125938</v>
      </c>
      <c r="M96" s="24">
        <f t="shared" ref="M96:M99" ca="1" si="76">L96-K96</f>
        <v>-493303.84946377762</v>
      </c>
      <c r="N96" s="18">
        <f t="shared" ref="N96:N99" ca="1" si="77">L96/K96-1</f>
        <v>-0.38340486043606481</v>
      </c>
      <c r="O96" s="6"/>
      <c r="P96" s="6"/>
      <c r="Q96" s="6"/>
      <c r="R96" s="6"/>
      <c r="S96" s="6"/>
      <c r="T96" s="6"/>
      <c r="U96" s="6"/>
      <c r="V96" s="6"/>
      <c r="W96" s="6"/>
      <c r="X96" s="6"/>
      <c r="Y96" s="6"/>
      <c r="Z96" s="6"/>
      <c r="AA96" s="6"/>
      <c r="AB96" s="6"/>
      <c r="AC96" s="6"/>
      <c r="AD96" s="6"/>
      <c r="AE96" s="6"/>
      <c r="AF96" s="6"/>
      <c r="AG96" s="6"/>
      <c r="AH96" s="6"/>
      <c r="AI96" s="6"/>
      <c r="AJ96" s="6"/>
      <c r="AK96" s="6"/>
      <c r="AL96" s="6"/>
      <c r="AM96" s="6"/>
    </row>
    <row r="97" spans="1:39" ht="12.75" x14ac:dyDescent="0.2">
      <c r="A97" s="6"/>
      <c r="B97" s="26" t="s">
        <v>15</v>
      </c>
      <c r="C97" s="6"/>
      <c r="D97" s="24">
        <f>SUMIFS(Oper_Model_Service_Delivery_2020_Target,Oper_Model_Months_2020_Target,"&gt;="&amp;D90,Oper_Model_Months_2020_Target,"&lt;"&amp;D91)</f>
        <v>781467.76088734902</v>
      </c>
      <c r="E97" s="24">
        <f ca="1">SUMIFS(Oper_Model_Service_Delivery,Oper_Model_Months,"&gt;="&amp;E90,Oper_Model_Months,"&lt;"&amp;E91)</f>
        <v>844521.81054820539</v>
      </c>
      <c r="F97" s="24">
        <f t="shared" ca="1" si="74"/>
        <v>63054.04966085637</v>
      </c>
      <c r="G97" s="18">
        <f t="shared" ca="1" si="75"/>
        <v>8.0686693446264668E-2</v>
      </c>
      <c r="H97" s="6"/>
      <c r="I97" s="26" t="s">
        <v>15</v>
      </c>
      <c r="J97" s="6"/>
      <c r="K97" s="24">
        <f>SUMIFS(Oper_Model_Service_Delivery_2020_Target,Oper_Model_Months_2020_Target,"&gt;="&amp;K90,Oper_Model_Months_2020_Target,"&lt;"&amp;K91)</f>
        <v>781467.76088734902</v>
      </c>
      <c r="L97" s="24">
        <f ca="1">SUMIFS(Oper_Model_Service_Delivery_Worst_Case,Oper_Model_Months_Worst_Case,"&gt;="&amp;L90,Oper_Model_Months_Worst_Case,"&lt;"&amp;L91)</f>
        <v>777174.91282849154</v>
      </c>
      <c r="M97" s="24">
        <f t="shared" ca="1" si="76"/>
        <v>-4292.8480588574894</v>
      </c>
      <c r="N97" s="18">
        <f t="shared" ca="1" si="77"/>
        <v>-5.4933143422103425E-3</v>
      </c>
      <c r="O97" s="6"/>
      <c r="P97" s="6"/>
      <c r="Q97" s="6"/>
      <c r="R97" s="6"/>
      <c r="S97" s="6"/>
      <c r="T97" s="6"/>
      <c r="U97" s="6"/>
      <c r="V97" s="6"/>
      <c r="W97" s="6"/>
      <c r="X97" s="6"/>
      <c r="Y97" s="6"/>
      <c r="Z97" s="6"/>
      <c r="AA97" s="6"/>
      <c r="AB97" s="6"/>
      <c r="AC97" s="6"/>
      <c r="AD97" s="6"/>
      <c r="AE97" s="6"/>
      <c r="AF97" s="6"/>
      <c r="AG97" s="6"/>
      <c r="AH97" s="6"/>
      <c r="AI97" s="6"/>
      <c r="AJ97" s="6"/>
      <c r="AK97" s="6"/>
      <c r="AL97" s="6"/>
      <c r="AM97" s="6"/>
    </row>
    <row r="98" spans="1:39" ht="12.75" x14ac:dyDescent="0.2">
      <c r="A98" s="6"/>
      <c r="B98" s="27" t="s">
        <v>13</v>
      </c>
      <c r="C98" s="28"/>
      <c r="D98" s="29">
        <f t="shared" ref="D98:E98" si="78">SUM(D96:D97)</f>
        <v>2068107.290972386</v>
      </c>
      <c r="E98" s="29">
        <f t="shared" ca="1" si="78"/>
        <v>1791153.7487456393</v>
      </c>
      <c r="F98" s="29">
        <f t="shared" ca="1" si="74"/>
        <v>-276953.54222674668</v>
      </c>
      <c r="G98" s="30">
        <f t="shared" ca="1" si="75"/>
        <v>-0.1339164285313883</v>
      </c>
      <c r="H98" s="6"/>
      <c r="I98" s="27" t="s">
        <v>13</v>
      </c>
      <c r="J98" s="28"/>
      <c r="K98" s="29">
        <f t="shared" ref="K98:L98" si="79">SUM(K96:K97)</f>
        <v>2068107.290972386</v>
      </c>
      <c r="L98" s="29">
        <f t="shared" ca="1" si="79"/>
        <v>1570510.5934497509</v>
      </c>
      <c r="M98" s="29">
        <f t="shared" ca="1" si="76"/>
        <v>-497596.69752263511</v>
      </c>
      <c r="N98" s="30">
        <f t="shared" ca="1" si="77"/>
        <v>-0.24060487562454957</v>
      </c>
      <c r="O98" s="6"/>
      <c r="P98" s="6"/>
      <c r="Q98" s="6"/>
      <c r="R98" s="6"/>
      <c r="S98" s="6"/>
      <c r="T98" s="6"/>
      <c r="U98" s="6"/>
      <c r="V98" s="6"/>
      <c r="W98" s="6"/>
      <c r="X98" s="6"/>
      <c r="Y98" s="6"/>
      <c r="Z98" s="6"/>
      <c r="AA98" s="6"/>
      <c r="AB98" s="6"/>
      <c r="AC98" s="6"/>
      <c r="AD98" s="6"/>
      <c r="AE98" s="6"/>
      <c r="AF98" s="6"/>
      <c r="AG98" s="6"/>
      <c r="AH98" s="6"/>
      <c r="AI98" s="6"/>
      <c r="AJ98" s="6"/>
      <c r="AK98" s="6"/>
      <c r="AL98" s="6"/>
      <c r="AM98" s="6"/>
    </row>
    <row r="99" spans="1:39" ht="12.75" x14ac:dyDescent="0.2">
      <c r="A99" s="6"/>
      <c r="B99" s="27" t="s">
        <v>16</v>
      </c>
      <c r="C99" s="28"/>
      <c r="D99" s="29">
        <f t="shared" ref="D99:E99" si="80">D94-D98</f>
        <v>8918680.9836484026</v>
      </c>
      <c r="E99" s="29">
        <f t="shared" ca="1" si="80"/>
        <v>7979503.2779619973</v>
      </c>
      <c r="F99" s="29">
        <f t="shared" ca="1" si="74"/>
        <v>-939177.7056864053</v>
      </c>
      <c r="G99" s="30">
        <f t="shared" ca="1" si="75"/>
        <v>-0.10530455203054156</v>
      </c>
      <c r="H99" s="6"/>
      <c r="I99" s="27" t="s">
        <v>16</v>
      </c>
      <c r="J99" s="28"/>
      <c r="K99" s="29">
        <f t="shared" ref="K99:L99" si="81">K94-K98</f>
        <v>8918680.9836484026</v>
      </c>
      <c r="L99" s="29">
        <f t="shared" ca="1" si="81"/>
        <v>7424715.7708098479</v>
      </c>
      <c r="M99" s="29">
        <f t="shared" ca="1" si="76"/>
        <v>-1493965.2128385548</v>
      </c>
      <c r="N99" s="30">
        <f t="shared" ca="1" si="77"/>
        <v>-0.16750965928455175</v>
      </c>
      <c r="O99" s="6"/>
      <c r="P99" s="6"/>
      <c r="Q99" s="6"/>
      <c r="R99" s="6"/>
      <c r="S99" s="6"/>
      <c r="T99" s="6"/>
      <c r="U99" s="6"/>
      <c r="V99" s="6"/>
      <c r="W99" s="6"/>
      <c r="X99" s="6"/>
      <c r="Y99" s="6"/>
      <c r="Z99" s="6"/>
      <c r="AA99" s="6"/>
      <c r="AB99" s="6"/>
      <c r="AC99" s="6"/>
      <c r="AD99" s="6"/>
      <c r="AE99" s="6"/>
      <c r="AF99" s="6"/>
      <c r="AG99" s="6"/>
      <c r="AH99" s="6"/>
      <c r="AI99" s="6"/>
      <c r="AJ99" s="6"/>
      <c r="AK99" s="6"/>
      <c r="AL99" s="6"/>
      <c r="AM99" s="6"/>
    </row>
    <row r="100" spans="1:39" ht="12.75" x14ac:dyDescent="0.2">
      <c r="A100" s="6"/>
      <c r="B100" s="26" t="s">
        <v>17</v>
      </c>
      <c r="C100" s="6"/>
      <c r="D100" s="18">
        <f t="shared" ref="D100:E100" si="82">D99/D94</f>
        <v>0.81176416262160411</v>
      </c>
      <c r="E100" s="18">
        <f t="shared" ca="1" si="82"/>
        <v>0.816680317009429</v>
      </c>
      <c r="F100" s="6"/>
      <c r="G100" s="6"/>
      <c r="H100" s="6"/>
      <c r="I100" s="26" t="s">
        <v>17</v>
      </c>
      <c r="J100" s="6"/>
      <c r="K100" s="18">
        <f t="shared" ref="K100:L100" si="83">K99/K94</f>
        <v>0.81176416262160411</v>
      </c>
      <c r="L100" s="18">
        <f t="shared" ca="1" si="83"/>
        <v>0.82540621771456435</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row>
    <row r="101" spans="1:39" ht="12.75" x14ac:dyDescent="0.2">
      <c r="A101" s="6"/>
      <c r="B101" s="15" t="s">
        <v>18</v>
      </c>
      <c r="C101" s="6"/>
      <c r="D101" s="6"/>
      <c r="E101" s="6"/>
      <c r="F101" s="6"/>
      <c r="G101" s="6"/>
      <c r="H101" s="6"/>
      <c r="I101" s="15" t="s">
        <v>18</v>
      </c>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row>
    <row r="102" spans="1:39" ht="12.75" x14ac:dyDescent="0.2">
      <c r="A102" s="6"/>
      <c r="B102" s="15" t="s">
        <v>19</v>
      </c>
      <c r="C102" s="6"/>
      <c r="D102" s="24">
        <f>SUMIFS(Oper_Model_Engineering_2020_Target,Oper_Model_Months_2020_Target,"&gt;="&amp;D90,Oper_Model_Months_2020_Target,"&lt;"&amp;D91)</f>
        <v>3394390.0000000014</v>
      </c>
      <c r="E102" s="24">
        <f ca="1">SUMIFS(Oper_Model_Engineering,Oper_Model_Months,"&gt;="&amp;E90,Oper_Model_Months,"&lt;"&amp;E91)</f>
        <v>3011721.5000000005</v>
      </c>
      <c r="F102" s="24">
        <f t="shared" ref="F102:F106" ca="1" si="84">E102-D102</f>
        <v>-382668.50000000093</v>
      </c>
      <c r="G102" s="18">
        <f t="shared" ref="G102:G106" ca="1" si="85">E102/D102-1</f>
        <v>-0.11273557251818467</v>
      </c>
      <c r="H102" s="6"/>
      <c r="I102" s="15" t="s">
        <v>19</v>
      </c>
      <c r="J102" s="6"/>
      <c r="K102" s="24">
        <f>SUMIFS(Oper_Model_Engineering_2020_Target,Oper_Model_Months_2020_Target,"&gt;="&amp;K90,Oper_Model_Months_2020_Target,"&lt;"&amp;K91)</f>
        <v>3394390.0000000014</v>
      </c>
      <c r="L102" s="24">
        <f ca="1">SUMIFS(Oper_Model_Engineering_Worst_Case,Oper_Model_Months_Worst_Case,"&gt;="&amp;L90,Oper_Model_Months_Worst_Case,"&lt;"&amp;L91)</f>
        <v>2812709</v>
      </c>
      <c r="M102" s="24">
        <f t="shared" ref="M102:M106" ca="1" si="86">L102-K102</f>
        <v>-581681.0000000014</v>
      </c>
      <c r="N102" s="18">
        <f t="shared" ref="N102:N106" ca="1" si="87">L102/K102-1</f>
        <v>-0.17136539996877231</v>
      </c>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row>
    <row r="103" spans="1:39" ht="12.75" x14ac:dyDescent="0.2">
      <c r="A103" s="6"/>
      <c r="B103" s="26" t="s">
        <v>21</v>
      </c>
      <c r="C103" s="6"/>
      <c r="D103" s="24">
        <f>SUMIFS(Oper_Model_General_2020_Target,Oper_Model_Months_2020_Target,"&gt;="&amp;D90,Oper_Model_Months_2020_Target,"&lt;"&amp;D91)</f>
        <v>1123732.0000000002</v>
      </c>
      <c r="E103" s="24">
        <f ca="1">SUMIFS(Oper_Model_General,Oper_Model_Months,"&gt;="&amp;E90,Oper_Model_Months,"&lt;"&amp;E91)</f>
        <v>1055560</v>
      </c>
      <c r="F103" s="24">
        <f t="shared" ca="1" si="84"/>
        <v>-68172.000000000233</v>
      </c>
      <c r="G103" s="18">
        <f t="shared" ca="1" si="85"/>
        <v>-6.0665710329509404E-2</v>
      </c>
      <c r="H103" s="6"/>
      <c r="I103" s="26" t="s">
        <v>21</v>
      </c>
      <c r="J103" s="6"/>
      <c r="K103" s="24">
        <f>SUMIFS(Oper_Model_General_2020_Target,Oper_Model_Months_2020_Target,"&gt;="&amp;K90,Oper_Model_Months_2020_Target,"&lt;"&amp;K91)</f>
        <v>1123732.0000000002</v>
      </c>
      <c r="L103" s="24">
        <f ca="1">SUMIFS(Oper_Model_General_Worst_Case,Oper_Model_Months_Worst_Case,"&gt;="&amp;L90,Oper_Model_Months_Worst_Case,"&lt;"&amp;L91)</f>
        <v>1046740.6666666669</v>
      </c>
      <c r="M103" s="24">
        <f t="shared" ca="1" si="86"/>
        <v>-76991.333333333372</v>
      </c>
      <c r="N103" s="18">
        <f t="shared" ca="1" si="87"/>
        <v>-6.8513963590369764E-2</v>
      </c>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row>
    <row r="104" spans="1:39" ht="12.75" x14ac:dyDescent="0.2">
      <c r="A104" s="6"/>
      <c r="B104" s="26" t="s">
        <v>22</v>
      </c>
      <c r="C104" s="6"/>
      <c r="D104" s="24">
        <f>SUMIFS(Oper_Model_Sales_and_Marketing_2020_Target,Oper_Model_Months_2020_Target,"&gt;="&amp;D90,Oper_Model_Months_2020_Target,"&lt;"&amp;D91)</f>
        <v>4629529.333333334</v>
      </c>
      <c r="E104" s="24">
        <f ca="1">SUMIFS(Oper_Model_Sales_and_Marketing,Oper_Model_Months,"&gt;="&amp;E90,Oper_Model_Months,"&lt;"&amp;E91)</f>
        <v>3985601.6042859568</v>
      </c>
      <c r="F104" s="24">
        <f t="shared" ca="1" si="84"/>
        <v>-643927.72904737713</v>
      </c>
      <c r="G104" s="18">
        <f t="shared" ca="1" si="85"/>
        <v>-0.13909140275038268</v>
      </c>
      <c r="H104" s="6"/>
      <c r="I104" s="26" t="s">
        <v>22</v>
      </c>
      <c r="J104" s="6"/>
      <c r="K104" s="24">
        <f>SUMIFS(Oper_Model_Sales_and_Marketing_2020_Target,Oper_Model_Months_2020_Target,"&gt;="&amp;K90,Oper_Model_Months_2020_Target,"&lt;"&amp;K91)</f>
        <v>4629529.333333334</v>
      </c>
      <c r="L104" s="24">
        <f ca="1">SUMIFS(Oper_Model_Sales_and_Marketing_Worst_Case,Oper_Model_Months_Worst_Case,"&gt;="&amp;L90,Oper_Model_Months_Worst_Case,"&lt;"&amp;L91)</f>
        <v>3527674.333333333</v>
      </c>
      <c r="M104" s="24">
        <f t="shared" ca="1" si="86"/>
        <v>-1101855.0000000009</v>
      </c>
      <c r="N104" s="18">
        <f t="shared" ca="1" si="87"/>
        <v>-0.23800583615843474</v>
      </c>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row>
    <row r="105" spans="1:39" ht="12.75" x14ac:dyDescent="0.2">
      <c r="A105" s="6"/>
      <c r="B105" s="27" t="s">
        <v>23</v>
      </c>
      <c r="C105" s="28"/>
      <c r="D105" s="29">
        <f t="shared" ref="D105:E105" si="88">SUM(D102:D104)</f>
        <v>9147651.3333333358</v>
      </c>
      <c r="E105" s="29">
        <f t="shared" ca="1" si="88"/>
        <v>8052883.1042859573</v>
      </c>
      <c r="F105" s="29">
        <f t="shared" ca="1" si="84"/>
        <v>-1094768.2290473785</v>
      </c>
      <c r="G105" s="30">
        <f t="shared" ca="1" si="85"/>
        <v>-0.11967752039893864</v>
      </c>
      <c r="H105" s="6"/>
      <c r="I105" s="27" t="s">
        <v>23</v>
      </c>
      <c r="J105" s="28"/>
      <c r="K105" s="29">
        <f t="shared" ref="K105:L105" si="89">SUM(K102:K104)</f>
        <v>9147651.3333333358</v>
      </c>
      <c r="L105" s="29">
        <f t="shared" ca="1" si="89"/>
        <v>7387124</v>
      </c>
      <c r="M105" s="29">
        <f t="shared" ca="1" si="86"/>
        <v>-1760527.3333333358</v>
      </c>
      <c r="N105" s="30">
        <f t="shared" ca="1" si="87"/>
        <v>-0.19245675957478947</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row>
    <row r="106" spans="1:39" ht="12.75" x14ac:dyDescent="0.2">
      <c r="A106" s="6"/>
      <c r="B106" s="27" t="s">
        <v>24</v>
      </c>
      <c r="C106" s="31"/>
      <c r="D106" s="29">
        <f t="shared" ref="D106:E106" si="90">D99-D105</f>
        <v>-228970.3496849332</v>
      </c>
      <c r="E106" s="29">
        <f t="shared" ca="1" si="90"/>
        <v>-73379.826323959976</v>
      </c>
      <c r="F106" s="29">
        <f t="shared" ca="1" si="84"/>
        <v>155590.52336097322</v>
      </c>
      <c r="G106" s="30">
        <f t="shared" ca="1" si="85"/>
        <v>-0.67952258261852783</v>
      </c>
      <c r="H106" s="6"/>
      <c r="I106" s="27" t="s">
        <v>24</v>
      </c>
      <c r="J106" s="31"/>
      <c r="K106" s="29">
        <f t="shared" ref="K106:L106" si="91">K99-K105</f>
        <v>-228970.3496849332</v>
      </c>
      <c r="L106" s="29">
        <f t="shared" ca="1" si="91"/>
        <v>37591.770809847862</v>
      </c>
      <c r="M106" s="29">
        <f t="shared" ca="1" si="86"/>
        <v>266562.12049478106</v>
      </c>
      <c r="N106" s="30">
        <f t="shared" ca="1" si="87"/>
        <v>-1.1641774616738574</v>
      </c>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row>
    <row r="107" spans="1:39" ht="12.75"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row>
    <row r="108" spans="1:39" ht="12.75" x14ac:dyDescent="0.2">
      <c r="A108" s="6"/>
      <c r="B108" s="15" t="s">
        <v>25</v>
      </c>
      <c r="C108" s="6"/>
      <c r="D108" s="24">
        <f t="array" ref="D108">INDEX(Oper_Model_Bank_Accounts_2020_Target,MATCH(DATE(YEAR(D90),MONTH(D90)+11,DAY(D90)),Oper_Model_Months_2020_Target,0))</f>
        <v>861446.10364382609</v>
      </c>
      <c r="E108" s="24">
        <f t="array" aca="1" ref="E108" ca="1">INDEX(Oper_Model_Bank_Accounts,MATCH(DATE(YEAR(E90),MONTH(E90)+11,DAY(E90)),Oper_Model_Months,0))</f>
        <v>222023.17367604031</v>
      </c>
      <c r="F108" s="24">
        <f ca="1">E108-D108</f>
        <v>-639422.92996778572</v>
      </c>
      <c r="G108" s="18">
        <f ca="1">E108/D108-1</f>
        <v>-0.74226690127576678</v>
      </c>
      <c r="H108" s="6"/>
      <c r="I108" s="15" t="s">
        <v>25</v>
      </c>
      <c r="J108" s="6"/>
      <c r="K108" s="24">
        <f t="array" ref="K108">INDEX(Oper_Model_Bank_Accounts_2020_Target,MATCH(DATE(YEAR(K90),MONTH(K90)+11,DAY(K90)),Oper_Model_Months_2020_Target,0))</f>
        <v>861446.10364382609</v>
      </c>
      <c r="L108" s="24">
        <f t="array" aca="1" ref="L108" ca="1">INDEX(Oper_Model_Bank_Accounts_Worst_Case,MATCH(DATE(YEAR(L90),MONTH(L90)+11,DAY(L90)),Oper_Model_Months_Worst_Case,0))</f>
        <v>332994.77080984839</v>
      </c>
      <c r="M108" s="24">
        <f ca="1">L108-K108</f>
        <v>-528451.33283397765</v>
      </c>
      <c r="N108" s="18">
        <f ca="1">L108/K108-1</f>
        <v>-0.61344677351105814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row>
    <row r="109" spans="1:39" ht="12.75" x14ac:dyDescent="0.2">
      <c r="A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row>
    <row r="110" spans="1:39" ht="12.75" x14ac:dyDescent="0.2">
      <c r="A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row>
    <row r="111" spans="1:39" ht="12.75" x14ac:dyDescent="0.2">
      <c r="A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row>
    <row r="112" spans="1:39" ht="12.75" x14ac:dyDescent="0.2">
      <c r="A112" s="6"/>
      <c r="B112" s="7" t="s">
        <v>3</v>
      </c>
      <c r="C112" s="8"/>
      <c r="D112" s="9">
        <v>2019</v>
      </c>
      <c r="E112" s="9">
        <v>2020</v>
      </c>
      <c r="F112" s="79">
        <v>2021</v>
      </c>
      <c r="G112" s="79">
        <v>2022</v>
      </c>
      <c r="H112" s="6"/>
      <c r="I112" s="7" t="s">
        <v>6</v>
      </c>
      <c r="J112" s="8"/>
      <c r="K112" s="9">
        <v>2019</v>
      </c>
      <c r="L112" s="9">
        <v>2020</v>
      </c>
      <c r="M112" s="79">
        <v>2021</v>
      </c>
      <c r="N112" s="79">
        <v>2022</v>
      </c>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row>
    <row r="113" spans="1:39" ht="12.75" hidden="1" x14ac:dyDescent="0.2">
      <c r="A113" s="6"/>
      <c r="B113" s="11"/>
      <c r="C113" s="11"/>
      <c r="D113" s="12">
        <v>43466</v>
      </c>
      <c r="E113" s="12">
        <f t="shared" ref="E113:G113" si="92">EDATE(D113,12)</f>
        <v>43831</v>
      </c>
      <c r="F113" s="12">
        <f t="shared" si="92"/>
        <v>44197</v>
      </c>
      <c r="G113" s="12">
        <f t="shared" si="92"/>
        <v>44562</v>
      </c>
      <c r="H113" s="6"/>
      <c r="I113" s="13"/>
      <c r="J113" s="13"/>
      <c r="K113" s="12">
        <v>43466</v>
      </c>
      <c r="L113" s="12">
        <f t="shared" ref="L113:N113" si="93">EDATE(K113,12)</f>
        <v>43831</v>
      </c>
      <c r="M113" s="12">
        <f t="shared" si="93"/>
        <v>44197</v>
      </c>
      <c r="N113" s="12">
        <f t="shared" si="93"/>
        <v>44562</v>
      </c>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row>
    <row r="114" spans="1:39" ht="12.75" hidden="1" x14ac:dyDescent="0.2">
      <c r="A114" s="6"/>
      <c r="B114" s="6"/>
      <c r="C114" s="6"/>
      <c r="D114" s="14">
        <f t="shared" ref="D114:G114" si="94">EDATE(D113,12)</f>
        <v>43831</v>
      </c>
      <c r="E114" s="14">
        <f t="shared" si="94"/>
        <v>44197</v>
      </c>
      <c r="F114" s="14">
        <f t="shared" si="94"/>
        <v>44562</v>
      </c>
      <c r="G114" s="14">
        <f t="shared" si="94"/>
        <v>44927</v>
      </c>
      <c r="H114" s="6"/>
      <c r="I114" s="6"/>
      <c r="J114" s="6"/>
      <c r="K114" s="14">
        <f t="shared" ref="K114:N114" si="95">EDATE(K113,12)</f>
        <v>43831</v>
      </c>
      <c r="L114" s="14">
        <f t="shared" si="95"/>
        <v>44197</v>
      </c>
      <c r="M114" s="14">
        <f t="shared" si="95"/>
        <v>44562</v>
      </c>
      <c r="N114" s="14">
        <f t="shared" si="95"/>
        <v>44927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row>
    <row r="115" spans="1:39" ht="12.75" x14ac:dyDescent="0.2">
      <c r="A115" s="6"/>
      <c r="B115" s="15" t="s">
        <v>8</v>
      </c>
      <c r="C115" s="6"/>
      <c r="D115" s="16">
        <f t="array" ref="D115">INDEX(Revenue_Model_MRR,MATCH(DATE(YEAR(D113),MONTH(D113)+11,DAY(D113)),Revenue_Model_Months,0))*12</f>
        <v>9315420.7299624402</v>
      </c>
      <c r="E115" s="16">
        <f t="array" aca="1" ref="E115" ca="1">INDEX(Revenue_Model_MRR,MATCH(DATE(YEAR(E113),MONTH(E113)+11,DAY(E113)),Revenue_Model_Months,0))*12</f>
        <v>10374901.356667666</v>
      </c>
      <c r="F115" s="16">
        <f t="array" aca="1" ref="F115" ca="1">INDEX(Revenue_Model_MRR,MATCH(DATE(YEAR(F113),MONTH(F113)+11,DAY(F113)),Revenue_Model_Months,0))*12</f>
        <v>13519976.63770457</v>
      </c>
      <c r="G115" s="16">
        <f t="array" aca="1" ref="G115" ca="1">INDEX(Revenue_Model_MRR,MATCH(DATE(YEAR(G113),MONTH(G113)+11,DAY(G113)),Revenue_Model_Months,0))*12</f>
        <v>19276253.881113291</v>
      </c>
      <c r="H115" s="6"/>
      <c r="I115" s="15" t="s">
        <v>8</v>
      </c>
      <c r="J115" s="6"/>
      <c r="K115" s="16">
        <f t="array" ref="K115">INDEX(Revenue_Model_MRR_Worst_Case,MATCH(DATE(YEAR(K113),MONTH(K113)+11,DAY(K113)),Revenue_Model_Months_Worst_Case,0))*12</f>
        <v>9315420.7299624402</v>
      </c>
      <c r="L115" s="16">
        <f t="array" aca="1" ref="L115" ca="1">INDEX(Revenue_Model_MRR_Worst_Case,MATCH(DATE(YEAR(L113),MONTH(L113)+11,DAY(L113)),Revenue_Model_Months_Worst_Case,0))*12</f>
        <v>8654797.7473424934</v>
      </c>
      <c r="M115" s="16">
        <f t="array" aca="1" ref="M115" ca="1">INDEX(Revenue_Model_MRR_Worst_Case,MATCH(DATE(YEAR(M113),MONTH(M113)+11,DAY(M113)),Revenue_Model_Months_Worst_Case,0))*12</f>
        <v>9933734.6622891091</v>
      </c>
      <c r="N115" s="16">
        <f t="array" aca="1" ref="N115" ca="1">INDEX(Revenue_Model_MRR_Worst_Case,MATCH(DATE(YEAR(N113),MONTH(N113)+11,DAY(N113)),Revenue_Model_Months_Worst_Case,0))*12</f>
        <v>14163130.341799952</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row>
    <row r="116" spans="1:39" ht="12.75"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row>
    <row r="117" spans="1:39" ht="12.75" x14ac:dyDescent="0.2">
      <c r="A117" s="6"/>
      <c r="B117" s="15" t="s">
        <v>9</v>
      </c>
      <c r="C117" s="6"/>
      <c r="D117" s="19">
        <f ca="1">SUMIFS(Oper_Model_Revenue,Oper_Model_Months,"&gt;="&amp;D113,Oper_Model_Months,"&lt;"&amp;D114)</f>
        <v>7835571</v>
      </c>
      <c r="E117" s="19">
        <f ca="1">SUMIFS(Oper_Model_Revenue,Oper_Model_Months,"&gt;="&amp;E113,Oper_Model_Months,"&lt;"&amp;E114)</f>
        <v>9770657.0267076362</v>
      </c>
      <c r="F117" s="19">
        <f ca="1">SUMIFS(Oper_Model_Revenue,Oper_Model_Months,"&gt;="&amp;F113,Oper_Model_Months,"&lt;"&amp;F114)</f>
        <v>11990532.622138223</v>
      </c>
      <c r="G117" s="19">
        <f ca="1">SUMIFS(Oper_Model_Revenue,Oper_Model_Months,"&gt;="&amp;G113,Oper_Model_Months,"&lt;"&amp;G114)</f>
        <v>16469348.779752724</v>
      </c>
      <c r="H117" s="6"/>
      <c r="I117" s="15" t="s">
        <v>9</v>
      </c>
      <c r="J117" s="6"/>
      <c r="K117" s="19">
        <f ca="1">SUMIFS(Oper_Model_Revenue_Worst_Case,Oper_Model_Months_Worst_Case,"&gt;="&amp;K113,Oper_Model_Months_Worst_Case,"&lt;"&amp;K114)</f>
        <v>7835571</v>
      </c>
      <c r="L117" s="19">
        <f ca="1">SUMIFS(Oper_Model_Revenue_Worst_Case,Oper_Model_Months_Worst_Case,"&gt;="&amp;L113,Oper_Model_Months_Worst_Case,"&lt;"&amp;L114)</f>
        <v>8995226.3642595988</v>
      </c>
      <c r="M117" s="19">
        <f ca="1">SUMIFS(Oper_Model_Revenue_Worst_Case,Oper_Model_Months_Worst_Case,"&gt;="&amp;M113,Oper_Model_Months_Worst_Case,"&lt;"&amp;M114)</f>
        <v>9296214.0223614536</v>
      </c>
      <c r="N117" s="19">
        <f ca="1">SUMIFS(Oper_Model_Revenue_Worst_Case,Oper_Model_Months_Worst_Case,"&gt;="&amp;N113,Oper_Model_Months_Worst_Case,"&lt;"&amp;N114)</f>
        <v>12100770.971933793</v>
      </c>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row>
    <row r="118" spans="1:39" ht="12.75" x14ac:dyDescent="0.2">
      <c r="A118" s="6"/>
      <c r="B118" s="15" t="s">
        <v>13</v>
      </c>
      <c r="C118" s="6"/>
      <c r="D118" s="6"/>
      <c r="E118" s="6"/>
      <c r="F118" s="6"/>
      <c r="G118" s="6"/>
      <c r="H118" s="6"/>
      <c r="I118" s="15" t="s">
        <v>13</v>
      </c>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row>
    <row r="119" spans="1:39" ht="12.75" x14ac:dyDescent="0.2">
      <c r="A119" s="6"/>
      <c r="B119" s="15" t="s">
        <v>14</v>
      </c>
      <c r="C119" s="6"/>
      <c r="D119" s="24">
        <f ca="1">SUMIFS(Oper_Model_Support,Oper_Model_Months,"&gt;="&amp;D113,Oper_Model_Months,"&lt;"&amp;D114)</f>
        <v>884451</v>
      </c>
      <c r="E119" s="24">
        <f ca="1">SUMIFS(Oper_Model_Support,Oper_Model_Months,"&gt;="&amp;E113,Oper_Model_Months,"&lt;"&amp;E114)</f>
        <v>946631.93819743406</v>
      </c>
      <c r="F119" s="24">
        <f ca="1">SUMIFS(Oper_Model_Support,Oper_Model_Months,"&gt;="&amp;F113,Oper_Model_Months,"&lt;"&amp;F114)</f>
        <v>1223208.3131062342</v>
      </c>
      <c r="G119" s="24">
        <f ca="1">SUMIFS(Oper_Model_Support,Oper_Model_Months,"&gt;="&amp;G113,Oper_Model_Months,"&lt;"&amp;G114)</f>
        <v>1271808.2986290883</v>
      </c>
      <c r="H119" s="6"/>
      <c r="I119" s="15" t="s">
        <v>14</v>
      </c>
      <c r="J119" s="6"/>
      <c r="K119" s="24">
        <f ca="1">SUMIFS(Oper_Model_Support_Worst_Case,Oper_Model_Months_Worst_Case,"&gt;="&amp;K113,Oper_Model_Months_Worst_Case,"&lt;"&amp;K114)</f>
        <v>884451</v>
      </c>
      <c r="L119" s="24">
        <f ca="1">SUMIFS(Oper_Model_Support_Worst_Case,Oper_Model_Months_Worst_Case,"&gt;="&amp;L113,Oper_Model_Months_Worst_Case,"&lt;"&amp;L114)</f>
        <v>793335.68062125938</v>
      </c>
      <c r="M119" s="24">
        <f ca="1">SUMIFS(Oper_Model_Support_Worst_Case,Oper_Model_Months_Worst_Case,"&gt;="&amp;M113,Oper_Model_Months_Worst_Case,"&lt;"&amp;M114)</f>
        <v>741484.99117028841</v>
      </c>
      <c r="N119" s="24">
        <f ca="1">SUMIFS(Oper_Model_Support_Worst_Case,Oper_Model_Months_Worst_Case,"&gt;="&amp;N113,Oper_Model_Months_Worst_Case,"&lt;"&amp;N114)</f>
        <v>766887.12475096248</v>
      </c>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row>
    <row r="120" spans="1:39" ht="12.75" x14ac:dyDescent="0.2">
      <c r="A120" s="6"/>
      <c r="B120" s="26" t="s">
        <v>15</v>
      </c>
      <c r="C120" s="6"/>
      <c r="D120" s="24">
        <f ca="1">SUMIFS(Oper_Model_Service_Delivery,Oper_Model_Months,"&gt;="&amp;D113,Oper_Model_Months,"&lt;"&amp;D114)</f>
        <v>602421</v>
      </c>
      <c r="E120" s="24">
        <f ca="1">SUMIFS(Oper_Model_Service_Delivery,Oper_Model_Months,"&gt;="&amp;E113,Oper_Model_Months,"&lt;"&amp;E114)</f>
        <v>844521.81054820539</v>
      </c>
      <c r="F120" s="24">
        <f ca="1">SUMIFS(Oper_Model_Service_Delivery,Oper_Model_Months,"&gt;="&amp;F113,Oper_Model_Months,"&lt;"&amp;F114)</f>
        <v>1041389.2733602724</v>
      </c>
      <c r="G120" s="24">
        <f ca="1">SUMIFS(Oper_Model_Service_Delivery,Oper_Model_Months,"&gt;="&amp;G113,Oper_Model_Months,"&lt;"&amp;G114)</f>
        <v>1430378.7578874964</v>
      </c>
      <c r="H120" s="6"/>
      <c r="I120" s="26" t="s">
        <v>15</v>
      </c>
      <c r="J120" s="6"/>
      <c r="K120" s="24">
        <f ca="1">SUMIFS(Oper_Model_Service_Delivery_Worst_Case,Oper_Model_Months_Worst_Case,"&gt;="&amp;K113,Oper_Model_Months_Worst_Case,"&lt;"&amp;K114)</f>
        <v>602421</v>
      </c>
      <c r="L120" s="24">
        <f ca="1">SUMIFS(Oper_Model_Service_Delivery_Worst_Case,Oper_Model_Months_Worst_Case,"&gt;="&amp;L113,Oper_Model_Months_Worst_Case,"&lt;"&amp;L114)</f>
        <v>777174.91282849154</v>
      </c>
      <c r="M120" s="24">
        <f ca="1">SUMIFS(Oper_Model_Service_Delivery_Worst_Case,Oper_Model_Months_Worst_Case,"&gt;="&amp;M113,Oper_Model_Months_Worst_Case,"&lt;"&amp;M114)</f>
        <v>807385.1154763964</v>
      </c>
      <c r="N120" s="24">
        <f ca="1">SUMIFS(Oper_Model_Service_Delivery_Worst_Case,Oper_Model_Months_Worst_Case,"&gt;="&amp;N113,Oper_Model_Months_Worst_Case,"&lt;"&amp;N114)</f>
        <v>1050963.5799075966</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row>
    <row r="121" spans="1:39" ht="12.75" x14ac:dyDescent="0.2">
      <c r="A121" s="6"/>
      <c r="B121" s="27" t="s">
        <v>13</v>
      </c>
      <c r="C121" s="28"/>
      <c r="D121" s="29">
        <f t="shared" ref="D121:G121" ca="1" si="96">SUM(D119:D120)</f>
        <v>1486872</v>
      </c>
      <c r="E121" s="29">
        <f t="shared" ca="1" si="96"/>
        <v>1791153.7487456393</v>
      </c>
      <c r="F121" s="29">
        <f t="shared" ca="1" si="96"/>
        <v>2264597.5864665066</v>
      </c>
      <c r="G121" s="29">
        <f t="shared" ca="1" si="96"/>
        <v>2702187.0565165849</v>
      </c>
      <c r="H121" s="6"/>
      <c r="I121" s="27" t="s">
        <v>13</v>
      </c>
      <c r="J121" s="28"/>
      <c r="K121" s="29">
        <f t="shared" ref="K121:N121" ca="1" si="97">SUM(K119:K120)</f>
        <v>1486872</v>
      </c>
      <c r="L121" s="29">
        <f t="shared" ca="1" si="97"/>
        <v>1570510.5934497509</v>
      </c>
      <c r="M121" s="29">
        <f t="shared" ca="1" si="97"/>
        <v>1548870.1066466849</v>
      </c>
      <c r="N121" s="29">
        <f t="shared" ca="1" si="97"/>
        <v>1817850.7046585591</v>
      </c>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row>
    <row r="122" spans="1:39" ht="12.75" x14ac:dyDescent="0.2">
      <c r="A122" s="6"/>
      <c r="B122" s="27" t="s">
        <v>16</v>
      </c>
      <c r="C122" s="28"/>
      <c r="D122" s="29">
        <f t="shared" ref="D122:G122" ca="1" si="98">D117-D121</f>
        <v>6348699</v>
      </c>
      <c r="E122" s="29">
        <f t="shared" ca="1" si="98"/>
        <v>7979503.2779619973</v>
      </c>
      <c r="F122" s="29">
        <f t="shared" ca="1" si="98"/>
        <v>9725935.0356717166</v>
      </c>
      <c r="G122" s="29">
        <f t="shared" ca="1" si="98"/>
        <v>13767161.72323614</v>
      </c>
      <c r="H122" s="6"/>
      <c r="I122" s="27" t="s">
        <v>16</v>
      </c>
      <c r="J122" s="28"/>
      <c r="K122" s="29">
        <f t="shared" ref="K122:N122" ca="1" si="99">K117-K121</f>
        <v>6348699</v>
      </c>
      <c r="L122" s="29">
        <f t="shared" ca="1" si="99"/>
        <v>7424715.7708098479</v>
      </c>
      <c r="M122" s="29">
        <f t="shared" ca="1" si="99"/>
        <v>7747343.9157147687</v>
      </c>
      <c r="N122" s="29">
        <f t="shared" ca="1" si="99"/>
        <v>10282920.267275235</v>
      </c>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row>
    <row r="123" spans="1:39" ht="12.75" x14ac:dyDescent="0.2">
      <c r="A123" s="6"/>
      <c r="B123" s="26" t="s">
        <v>17</v>
      </c>
      <c r="C123" s="6"/>
      <c r="D123" s="18">
        <f t="shared" ref="D123:G123" ca="1" si="100">D122/D117</f>
        <v>0.81024075973531473</v>
      </c>
      <c r="E123" s="18">
        <f t="shared" ca="1" si="100"/>
        <v>0.816680317009429</v>
      </c>
      <c r="F123" s="18">
        <f t="shared" ca="1" si="100"/>
        <v>0.81113452939652064</v>
      </c>
      <c r="G123" s="18">
        <f t="shared" ca="1" si="100"/>
        <v>0.83592629601489588</v>
      </c>
      <c r="H123" s="6"/>
      <c r="I123" s="26" t="s">
        <v>17</v>
      </c>
      <c r="J123" s="6"/>
      <c r="K123" s="18">
        <f t="shared" ref="K123:N123" ca="1" si="101">K122/K117</f>
        <v>0.81024075973531473</v>
      </c>
      <c r="L123" s="18">
        <f t="shared" ca="1" si="101"/>
        <v>0.82540621771456435</v>
      </c>
      <c r="M123" s="18">
        <f t="shared" ca="1" si="101"/>
        <v>0.83338700002807853</v>
      </c>
      <c r="N123" s="18">
        <f t="shared" ca="1" si="101"/>
        <v>0.84977397647845465</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row>
    <row r="124" spans="1:39" ht="12.75" x14ac:dyDescent="0.2">
      <c r="A124" s="6"/>
      <c r="B124" s="15" t="s">
        <v>18</v>
      </c>
      <c r="C124" s="6"/>
      <c r="D124" s="6"/>
      <c r="E124" s="6"/>
      <c r="F124" s="6"/>
      <c r="G124" s="6"/>
      <c r="H124" s="6"/>
      <c r="I124" s="15" t="s">
        <v>18</v>
      </c>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row>
    <row r="125" spans="1:39" ht="12.75" x14ac:dyDescent="0.2">
      <c r="A125" s="6"/>
      <c r="B125" s="15" t="s">
        <v>19</v>
      </c>
      <c r="C125" s="6"/>
      <c r="D125" s="24">
        <f ca="1">SUMIFS(Oper_Model_Engineering,Oper_Model_Months,"&gt;="&amp;D113,Oper_Model_Months,"&lt;"&amp;D114)</f>
        <v>3225585</v>
      </c>
      <c r="E125" s="24">
        <f ca="1">SUMIFS(Oper_Model_Engineering,Oper_Model_Months,"&gt;="&amp;E113,Oper_Model_Months,"&lt;"&amp;E114)</f>
        <v>3011721.5000000005</v>
      </c>
      <c r="F125" s="24">
        <f>SUMIFS(Oper_Model_Engineering,Oper_Model_Months,"&gt;="&amp;F113,Oper_Model_Months,"&lt;"&amp;F114)</f>
        <v>3478265</v>
      </c>
      <c r="G125" s="24">
        <f>SUMIFS(Oper_Model_Engineering,Oper_Model_Months,"&gt;="&amp;G113,Oper_Model_Months,"&lt;"&amp;G114)</f>
        <v>4260495</v>
      </c>
      <c r="H125" s="6"/>
      <c r="I125" s="15" t="s">
        <v>19</v>
      </c>
      <c r="J125" s="6"/>
      <c r="K125" s="24">
        <f ca="1">SUMIFS(Oper_Model_Engineering_Worst_Case,Oper_Model_Months_Worst_Case,"&gt;="&amp;K113,Oper_Model_Months_Worst_Case,"&lt;"&amp;K114)</f>
        <v>3225585</v>
      </c>
      <c r="L125" s="24">
        <f ca="1">SUMIFS(Oper_Model_Engineering_Worst_Case,Oper_Model_Months_Worst_Case,"&gt;="&amp;L113,Oper_Model_Months_Worst_Case,"&lt;"&amp;L114)</f>
        <v>2812709</v>
      </c>
      <c r="M125" s="24">
        <f>SUMIFS(Oper_Model_Engineering_Worst_Case,Oper_Model_Months_Worst_Case,"&gt;="&amp;M113,Oper_Model_Months_Worst_Case,"&lt;"&amp;M114)</f>
        <v>2534835</v>
      </c>
      <c r="N125" s="24">
        <f>SUMIFS(Oper_Model_Engineering_Worst_Case,Oper_Model_Months_Worst_Case,"&gt;="&amp;N113,Oper_Model_Months_Worst_Case,"&lt;"&amp;N114)</f>
        <v>2534835</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row>
    <row r="126" spans="1:39" ht="12.75" x14ac:dyDescent="0.2">
      <c r="A126" s="6"/>
      <c r="B126" s="26" t="s">
        <v>21</v>
      </c>
      <c r="C126" s="6"/>
      <c r="D126" s="24">
        <f ca="1">SUMIFS(Oper_Model_General,Oper_Model_Months,"&gt;="&amp;D113,Oper_Model_Months,"&lt;"&amp;D114)</f>
        <v>1030569</v>
      </c>
      <c r="E126" s="24">
        <f ca="1">SUMIFS(Oper_Model_General,Oper_Model_Months,"&gt;="&amp;E113,Oper_Model_Months,"&lt;"&amp;E114)</f>
        <v>1055560</v>
      </c>
      <c r="F126" s="24">
        <f ca="1">SUMIFS(Oper_Model_General,Oper_Model_Months,"&gt;="&amp;F113,Oper_Model_Months,"&lt;"&amp;F114)</f>
        <v>1063960.0000000002</v>
      </c>
      <c r="G126" s="24">
        <f ca="1">SUMIFS(Oper_Model_General,Oper_Model_Months,"&gt;="&amp;G113,Oper_Model_Months,"&lt;"&amp;G114)</f>
        <v>1063960.0000000002</v>
      </c>
      <c r="H126" s="6"/>
      <c r="I126" s="26" t="s">
        <v>21</v>
      </c>
      <c r="J126" s="6"/>
      <c r="K126" s="24">
        <f ca="1">SUMIFS(Oper_Model_General_Worst_Case,Oper_Model_Months_Worst_Case,"&gt;="&amp;K113,Oper_Model_Months_Worst_Case,"&lt;"&amp;K114)</f>
        <v>1030569</v>
      </c>
      <c r="L126" s="24">
        <f ca="1">SUMIFS(Oper_Model_General_Worst_Case,Oper_Model_Months_Worst_Case,"&gt;="&amp;L113,Oper_Model_Months_Worst_Case,"&lt;"&amp;L114)</f>
        <v>1046740.6666666669</v>
      </c>
      <c r="M126" s="24">
        <f ca="1">SUMIFS(Oper_Model_General_Worst_Case,Oper_Model_Months_Worst_Case,"&gt;="&amp;M113,Oper_Model_Months_Worst_Case,"&lt;"&amp;M114)</f>
        <v>987685.00000000012</v>
      </c>
      <c r="N126" s="24">
        <f ca="1">SUMIFS(Oper_Model_General_Worst_Case,Oper_Model_Months_Worst_Case,"&gt;="&amp;N113,Oper_Model_Months_Worst_Case,"&lt;"&amp;N114)</f>
        <v>987685.00000000012</v>
      </c>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row>
    <row r="127" spans="1:39" ht="12.75" x14ac:dyDescent="0.2">
      <c r="A127" s="6"/>
      <c r="B127" s="26" t="s">
        <v>22</v>
      </c>
      <c r="C127" s="6"/>
      <c r="D127" s="24">
        <f ca="1">SUMIFS(Oper_Model_Sales_and_Marketing,Oper_Model_Months,"&gt;="&amp;D113,Oper_Model_Months,"&lt;"&amp;D114)</f>
        <v>3361796</v>
      </c>
      <c r="E127" s="24">
        <f ca="1">SUMIFS(Oper_Model_Sales_and_Marketing,Oper_Model_Months,"&gt;="&amp;E113,Oper_Model_Months,"&lt;"&amp;E114)</f>
        <v>3985601.6042859568</v>
      </c>
      <c r="F127" s="24">
        <f ca="1">SUMIFS(Oper_Model_Sales_and_Marketing,Oper_Model_Months,"&gt;="&amp;F113,Oper_Model_Months,"&lt;"&amp;F114)</f>
        <v>7272700.0670249108</v>
      </c>
      <c r="G127" s="24">
        <f ca="1">SUMIFS(Oper_Model_Sales_and_Marketing,Oper_Model_Months,"&gt;="&amp;G113,Oper_Model_Months,"&lt;"&amp;G114)</f>
        <v>9129162.5051188432</v>
      </c>
      <c r="H127" s="6"/>
      <c r="I127" s="26" t="s">
        <v>22</v>
      </c>
      <c r="J127" s="6"/>
      <c r="K127" s="24">
        <f ca="1">SUMIFS(Oper_Model_Sales_and_Marketing_Worst_Case,Oper_Model_Months_Worst_Case,"&gt;="&amp;K113,Oper_Model_Months_Worst_Case,"&lt;"&amp;K114)</f>
        <v>3361796</v>
      </c>
      <c r="L127" s="24">
        <f ca="1">SUMIFS(Oper_Model_Sales_and_Marketing_Worst_Case,Oper_Model_Months_Worst_Case,"&gt;="&amp;L113,Oper_Model_Months_Worst_Case,"&lt;"&amp;L114)</f>
        <v>3527674.333333333</v>
      </c>
      <c r="M127" s="24">
        <f ca="1">SUMIFS(Oper_Model_Sales_and_Marketing_Worst_Case,Oper_Model_Months_Worst_Case,"&gt;="&amp;M113,Oper_Model_Months_Worst_Case,"&lt;"&amp;M114)</f>
        <v>5245343</v>
      </c>
      <c r="N127" s="24">
        <f ca="1">SUMIFS(Oper_Model_Sales_and_Marketing_Worst_Case,Oper_Model_Months_Worst_Case,"&gt;="&amp;N113,Oper_Model_Months_Worst_Case,"&lt;"&amp;N114)</f>
        <v>6638002.6950573931</v>
      </c>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row>
    <row r="128" spans="1:39" ht="12.75" x14ac:dyDescent="0.2">
      <c r="A128" s="6"/>
      <c r="B128" s="27" t="s">
        <v>23</v>
      </c>
      <c r="C128" s="28"/>
      <c r="D128" s="29">
        <f t="shared" ref="D128:G128" ca="1" si="102">SUM(D125:D127)</f>
        <v>7617950</v>
      </c>
      <c r="E128" s="29">
        <f t="shared" ca="1" si="102"/>
        <v>8052883.1042859573</v>
      </c>
      <c r="F128" s="29">
        <f t="shared" ca="1" si="102"/>
        <v>11814925.067024911</v>
      </c>
      <c r="G128" s="29">
        <f t="shared" ca="1" si="102"/>
        <v>14453617.505118843</v>
      </c>
      <c r="H128" s="6"/>
      <c r="I128" s="27" t="s">
        <v>23</v>
      </c>
      <c r="J128" s="28"/>
      <c r="K128" s="29">
        <f t="shared" ref="K128:N128" ca="1" si="103">SUM(K125:K127)</f>
        <v>7617950</v>
      </c>
      <c r="L128" s="29">
        <f t="shared" ca="1" si="103"/>
        <v>7387124</v>
      </c>
      <c r="M128" s="29">
        <f t="shared" ca="1" si="103"/>
        <v>8767863</v>
      </c>
      <c r="N128" s="29">
        <f t="shared" ca="1" si="103"/>
        <v>10160522.695057392</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12.75" x14ac:dyDescent="0.2">
      <c r="A129" s="6"/>
      <c r="B129" s="27" t="s">
        <v>24</v>
      </c>
      <c r="C129" s="31"/>
      <c r="D129" s="29">
        <f t="shared" ref="D129:G129" ca="1" si="104">D122-D128</f>
        <v>-1269251</v>
      </c>
      <c r="E129" s="29">
        <f t="shared" ca="1" si="104"/>
        <v>-73379.826323959976</v>
      </c>
      <c r="F129" s="29">
        <f t="shared" ca="1" si="104"/>
        <v>-2088990.0313531943</v>
      </c>
      <c r="G129" s="29">
        <f t="shared" ca="1" si="104"/>
        <v>-686455.7818827033</v>
      </c>
      <c r="H129" s="6"/>
      <c r="I129" s="27" t="s">
        <v>24</v>
      </c>
      <c r="J129" s="31"/>
      <c r="K129" s="29">
        <f t="shared" ref="K129:N129" ca="1" si="105">K122-K128</f>
        <v>-1269251</v>
      </c>
      <c r="L129" s="29">
        <f t="shared" ca="1" si="105"/>
        <v>37591.770809847862</v>
      </c>
      <c r="M129" s="29">
        <f t="shared" ca="1" si="105"/>
        <v>-1020519.0842852313</v>
      </c>
      <c r="N129" s="29">
        <f t="shared" ca="1" si="105"/>
        <v>122397.57221784256</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row>
    <row r="130" spans="1:39" ht="12.75"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row>
    <row r="131" spans="1:39" ht="12.75" x14ac:dyDescent="0.2">
      <c r="A131" s="6"/>
      <c r="B131" s="15" t="s">
        <v>25</v>
      </c>
      <c r="C131" s="6"/>
      <c r="D131" s="24">
        <f t="array" aca="1" ref="D131" ca="1">INDEX(Oper_Model_Bank_Accounts,MATCH(DATE(YEAR(D113),MONTH(D113)+11,DAY(D113)),Oper_Model_Months,0))</f>
        <v>295403</v>
      </c>
      <c r="E131" s="24">
        <f t="array" aca="1" ref="E131" ca="1">INDEX(Oper_Model_Bank_Accounts,MATCH(DATE(YEAR(E113),MONTH(E113)+11,DAY(E113)),Oper_Model_Months,0))</f>
        <v>222023.17367604031</v>
      </c>
      <c r="F131" s="24">
        <f t="array" aca="1" ref="F131" ca="1">INDEX(Oper_Model_Bank_Accounts,MATCH(DATE(YEAR(F113),MONTH(F113)+11,DAY(F113)),Oper_Model_Months,0))</f>
        <v>-1866966.8576771556</v>
      </c>
      <c r="G131" s="24">
        <f t="array" aca="1" ref="G131" ca="1">INDEX(Oper_Model_Bank_Accounts,MATCH(DATE(YEAR(G113),MONTH(G113)+11,DAY(G113)),Oper_Model_Months,0))</f>
        <v>-2553422.6395598594</v>
      </c>
      <c r="H131" s="6"/>
      <c r="I131" s="15" t="s">
        <v>25</v>
      </c>
      <c r="J131" s="6"/>
      <c r="K131" s="24">
        <f t="array" aca="1" ref="K131" ca="1">INDEX(Oper_Model_Bank_Accounts_Worst_Case,MATCH(DATE(YEAR(K113),MONTH(K113)+11,DAY(K113)),Oper_Model_Months_Worst_Case,0))</f>
        <v>295403</v>
      </c>
      <c r="L131" s="24">
        <f t="array" aca="1" ref="L131" ca="1">INDEX(Oper_Model_Bank_Accounts_Worst_Case,MATCH(DATE(YEAR(L113),MONTH(L113)+11,DAY(L113)),Oper_Model_Months_Worst_Case,0))</f>
        <v>332994.77080984839</v>
      </c>
      <c r="M131" s="24">
        <f t="array" aca="1" ref="M131" ca="1">INDEX(Oper_Model_Bank_Accounts_Worst_Case,MATCH(DATE(YEAR(M113),MONTH(M113)+11,DAY(M113)),Oper_Model_Months_Worst_Case,0))</f>
        <v>-687524.31347538321</v>
      </c>
      <c r="N131" s="24">
        <f t="array" aca="1" ref="N131" ca="1">INDEX(Oper_Model_Bank_Accounts_Worst_Case,MATCH(DATE(YEAR(N113),MONTH(N113)+11,DAY(N113)),Oper_Model_Months_Worst_Case,0))</f>
        <v>-565126.74125754531</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12.75"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row>
    <row r="133" spans="1:39" ht="12.75"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row>
    <row r="134" spans="1:39" ht="12.75"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row>
    <row r="135" spans="1:39" ht="12.75" x14ac:dyDescent="0.2">
      <c r="A135" s="6"/>
      <c r="B135" s="10" t="s">
        <v>33</v>
      </c>
      <c r="C135" s="8"/>
      <c r="D135" s="9">
        <v>2019</v>
      </c>
      <c r="E135" s="9">
        <v>2020</v>
      </c>
      <c r="F135" s="79">
        <v>2021</v>
      </c>
      <c r="G135" s="79">
        <v>2022</v>
      </c>
      <c r="H135" s="6"/>
      <c r="I135" s="10" t="s">
        <v>77</v>
      </c>
      <c r="J135" s="8"/>
      <c r="K135" s="9">
        <v>2019</v>
      </c>
      <c r="L135" s="9">
        <v>2020</v>
      </c>
      <c r="M135" s="79">
        <v>2021</v>
      </c>
      <c r="N135" s="79">
        <v>2022</v>
      </c>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row>
    <row r="136" spans="1:39" ht="12.75" x14ac:dyDescent="0.2">
      <c r="A136" s="6"/>
      <c r="B136" s="15" t="s">
        <v>9</v>
      </c>
      <c r="C136" s="6"/>
      <c r="D136" s="18">
        <v>1</v>
      </c>
      <c r="E136" s="18">
        <v>1</v>
      </c>
      <c r="F136" s="18">
        <v>1</v>
      </c>
      <c r="G136" s="18">
        <v>1</v>
      </c>
      <c r="H136" s="6"/>
      <c r="I136" s="15" t="s">
        <v>9</v>
      </c>
      <c r="J136" s="6"/>
      <c r="K136" s="18">
        <v>1</v>
      </c>
      <c r="L136" s="18">
        <v>1</v>
      </c>
      <c r="M136" s="18">
        <v>1</v>
      </c>
      <c r="N136" s="18">
        <v>1</v>
      </c>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row>
    <row r="137" spans="1:39" ht="12.75" x14ac:dyDescent="0.2">
      <c r="A137" s="6"/>
      <c r="B137" s="15" t="s">
        <v>13</v>
      </c>
      <c r="C137" s="6"/>
      <c r="D137" s="6"/>
      <c r="E137" s="6"/>
      <c r="F137" s="6"/>
      <c r="G137" s="6"/>
      <c r="H137" s="6"/>
      <c r="I137" s="15" t="s">
        <v>13</v>
      </c>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row>
    <row r="138" spans="1:39" ht="12.75" x14ac:dyDescent="0.2">
      <c r="A138" s="6"/>
      <c r="B138" s="15" t="s">
        <v>14</v>
      </c>
      <c r="C138" s="6"/>
      <c r="D138" s="35">
        <f t="shared" ref="D138:G138" ca="1" si="106">D119/D$117</f>
        <v>0.11287639407517333</v>
      </c>
      <c r="E138" s="35">
        <f t="shared" ca="1" si="106"/>
        <v>9.6885187517058449E-2</v>
      </c>
      <c r="F138" s="35">
        <f t="shared" ca="1" si="106"/>
        <v>0.10201451025184771</v>
      </c>
      <c r="G138" s="35">
        <f t="shared" ca="1" si="106"/>
        <v>7.7222743633472535E-2</v>
      </c>
      <c r="H138" s="6"/>
      <c r="I138" s="15" t="s">
        <v>14</v>
      </c>
      <c r="J138" s="6"/>
      <c r="K138" s="35">
        <f t="shared" ref="K138:N138" ca="1" si="107">K119/K$117</f>
        <v>0.11287639407517333</v>
      </c>
      <c r="L138" s="35">
        <f t="shared" ca="1" si="107"/>
        <v>8.8195188035888772E-2</v>
      </c>
      <c r="M138" s="35">
        <f t="shared" ca="1" si="107"/>
        <v>7.9762039620289854E-2</v>
      </c>
      <c r="N138" s="35">
        <f t="shared" ca="1" si="107"/>
        <v>6.3375063169913731E-2</v>
      </c>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row>
    <row r="139" spans="1:39" ht="12.75" x14ac:dyDescent="0.2">
      <c r="A139" s="6"/>
      <c r="B139" s="26" t="s">
        <v>15</v>
      </c>
      <c r="C139" s="6"/>
      <c r="D139" s="35">
        <f t="shared" ref="D139:G139" ca="1" si="108">D120/D$117</f>
        <v>7.6882846189511911E-2</v>
      </c>
      <c r="E139" s="35">
        <f t="shared" ca="1" si="108"/>
        <v>8.6434495473512618E-2</v>
      </c>
      <c r="F139" s="35">
        <f t="shared" ca="1" si="108"/>
        <v>8.6850960351631631E-2</v>
      </c>
      <c r="G139" s="35">
        <f t="shared" ca="1" si="108"/>
        <v>8.6850960351631618E-2</v>
      </c>
      <c r="H139" s="6"/>
      <c r="I139" s="26" t="s">
        <v>15</v>
      </c>
      <c r="J139" s="6"/>
      <c r="K139" s="35">
        <f t="shared" ref="K139:N139" ca="1" si="109">K120/K$117</f>
        <v>7.6882846189511911E-2</v>
      </c>
      <c r="L139" s="35">
        <f t="shared" ca="1" si="109"/>
        <v>8.6398594249546851E-2</v>
      </c>
      <c r="M139" s="35">
        <f t="shared" ca="1" si="109"/>
        <v>8.6850960351631604E-2</v>
      </c>
      <c r="N139" s="35">
        <f t="shared" ca="1" si="109"/>
        <v>8.6850960351631604E-2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row>
    <row r="140" spans="1:39" ht="12.75" x14ac:dyDescent="0.2">
      <c r="A140" s="6"/>
      <c r="B140" s="27" t="s">
        <v>13</v>
      </c>
      <c r="C140" s="28"/>
      <c r="D140" s="36">
        <f t="shared" ref="D140:G140" ca="1" si="110">D121/D$117</f>
        <v>0.18975924026468524</v>
      </c>
      <c r="E140" s="36">
        <f t="shared" ca="1" si="110"/>
        <v>0.18331968299057105</v>
      </c>
      <c r="F140" s="36">
        <f t="shared" ca="1" si="110"/>
        <v>0.18886547060347936</v>
      </c>
      <c r="G140" s="36">
        <f t="shared" ca="1" si="110"/>
        <v>0.16407370398510418</v>
      </c>
      <c r="H140" s="6"/>
      <c r="I140" s="27" t="s">
        <v>13</v>
      </c>
      <c r="J140" s="28"/>
      <c r="K140" s="36">
        <f t="shared" ref="K140:N140" ca="1" si="111">K121/K$117</f>
        <v>0.18975924026468524</v>
      </c>
      <c r="L140" s="36">
        <f t="shared" ca="1" si="111"/>
        <v>0.17459378228543562</v>
      </c>
      <c r="M140" s="36">
        <f t="shared" ca="1" si="111"/>
        <v>0.16661299997192147</v>
      </c>
      <c r="N140" s="36">
        <f t="shared" ca="1" si="111"/>
        <v>0.15022602352154535</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row>
    <row r="141" spans="1:39" ht="12.75" x14ac:dyDescent="0.2">
      <c r="A141" s="6"/>
      <c r="B141" s="27" t="s">
        <v>16</v>
      </c>
      <c r="C141" s="28"/>
      <c r="D141" s="36">
        <f t="shared" ref="D141:G141" ca="1" si="112">D122/D$117</f>
        <v>0.81024075973531473</v>
      </c>
      <c r="E141" s="36">
        <f t="shared" ca="1" si="112"/>
        <v>0.816680317009429</v>
      </c>
      <c r="F141" s="36">
        <f t="shared" ca="1" si="112"/>
        <v>0.81113452939652064</v>
      </c>
      <c r="G141" s="36">
        <f t="shared" ca="1" si="112"/>
        <v>0.83592629601489588</v>
      </c>
      <c r="H141" s="6"/>
      <c r="I141" s="27" t="s">
        <v>16</v>
      </c>
      <c r="J141" s="28"/>
      <c r="K141" s="36">
        <f t="shared" ref="K141:N141" ca="1" si="113">K122/K$117</f>
        <v>0.81024075973531473</v>
      </c>
      <c r="L141" s="36">
        <f t="shared" ca="1" si="113"/>
        <v>0.82540621771456435</v>
      </c>
      <c r="M141" s="36">
        <f t="shared" ca="1" si="113"/>
        <v>0.83338700002807853</v>
      </c>
      <c r="N141" s="36">
        <f t="shared" ca="1" si="113"/>
        <v>0.84977397647845465</v>
      </c>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row>
    <row r="142" spans="1:39" ht="12.75" x14ac:dyDescent="0.2">
      <c r="A142" s="6"/>
      <c r="B142" s="26" t="s">
        <v>17</v>
      </c>
      <c r="C142" s="6"/>
      <c r="D142" s="6"/>
      <c r="E142" s="6"/>
      <c r="F142" s="6"/>
      <c r="G142" s="6"/>
      <c r="H142" s="6"/>
      <c r="I142" s="26" t="s">
        <v>17</v>
      </c>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row>
    <row r="143" spans="1:39" ht="12.75" x14ac:dyDescent="0.2">
      <c r="A143" s="6"/>
      <c r="B143" s="15" t="s">
        <v>18</v>
      </c>
      <c r="C143" s="6"/>
      <c r="D143" s="6"/>
      <c r="E143" s="6"/>
      <c r="F143" s="6"/>
      <c r="G143" s="6"/>
      <c r="H143" s="6"/>
      <c r="I143" s="15" t="s">
        <v>18</v>
      </c>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12.75" x14ac:dyDescent="0.2">
      <c r="A144" s="6"/>
      <c r="B144" s="15" t="s">
        <v>19</v>
      </c>
      <c r="C144" s="6"/>
      <c r="D144" s="35">
        <f t="shared" ref="D144:G144" ca="1" si="114">D125/D$117</f>
        <v>0.4116592141147084</v>
      </c>
      <c r="E144" s="35">
        <f t="shared" ca="1" si="114"/>
        <v>0.30824145108845802</v>
      </c>
      <c r="F144" s="35">
        <f t="shared" ca="1" si="114"/>
        <v>0.29008427812272908</v>
      </c>
      <c r="G144" s="35">
        <f t="shared" ca="1" si="114"/>
        <v>0.25869237800330125</v>
      </c>
      <c r="H144" s="6"/>
      <c r="I144" s="15" t="s">
        <v>19</v>
      </c>
      <c r="J144" s="6"/>
      <c r="K144" s="35">
        <f t="shared" ref="K144:N144" ca="1" si="115">K125/K$117</f>
        <v>0.4116592141147084</v>
      </c>
      <c r="L144" s="35">
        <f t="shared" ca="1" si="115"/>
        <v>0.31268907374867549</v>
      </c>
      <c r="M144" s="35">
        <f t="shared" ca="1" si="115"/>
        <v>0.27267390723821711</v>
      </c>
      <c r="N144" s="35">
        <f t="shared" ca="1" si="115"/>
        <v>0.20947714867748748</v>
      </c>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row>
    <row r="145" spans="1:39" ht="12.75" x14ac:dyDescent="0.2">
      <c r="A145" s="6"/>
      <c r="B145" s="26" t="s">
        <v>21</v>
      </c>
      <c r="C145" s="6"/>
      <c r="D145" s="35">
        <f t="shared" ref="D145:G145" ca="1" si="116">D126/D$117</f>
        <v>0.13152442878764037</v>
      </c>
      <c r="E145" s="35">
        <f t="shared" ca="1" si="116"/>
        <v>0.10803367645744558</v>
      </c>
      <c r="F145" s="35">
        <f t="shared" ca="1" si="116"/>
        <v>8.873333933770397E-2</v>
      </c>
      <c r="G145" s="35">
        <f t="shared" ca="1" si="116"/>
        <v>6.4602432933354562E-2</v>
      </c>
      <c r="H145" s="6"/>
      <c r="I145" s="26" t="s">
        <v>21</v>
      </c>
      <c r="J145" s="6"/>
      <c r="K145" s="35">
        <f t="shared" ref="K145:N145" ca="1" si="117">K126/K$117</f>
        <v>0.13152442878764037</v>
      </c>
      <c r="L145" s="35">
        <f t="shared" ca="1" si="117"/>
        <v>0.11636623963412894</v>
      </c>
      <c r="M145" s="35">
        <f t="shared" ca="1" si="117"/>
        <v>0.10624594029614491</v>
      </c>
      <c r="N145" s="35">
        <f t="shared" ca="1" si="117"/>
        <v>8.1621658842301076E-2</v>
      </c>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row>
    <row r="146" spans="1:39" ht="12.75" x14ac:dyDescent="0.2">
      <c r="A146" s="6"/>
      <c r="B146" s="26" t="s">
        <v>22</v>
      </c>
      <c r="C146" s="6"/>
      <c r="D146" s="35">
        <f t="shared" ref="D146:G146" ca="1" si="118">D127/D$117</f>
        <v>0.42904288660009587</v>
      </c>
      <c r="E146" s="35">
        <f t="shared" ca="1" si="118"/>
        <v>0.40791541381418878</v>
      </c>
      <c r="F146" s="35">
        <f t="shared" ca="1" si="118"/>
        <v>0.60653686505946058</v>
      </c>
      <c r="G146" s="35">
        <f t="shared" ca="1" si="118"/>
        <v>0.55431229414135408</v>
      </c>
      <c r="H146" s="6"/>
      <c r="I146" s="26" t="s">
        <v>22</v>
      </c>
      <c r="J146" s="6"/>
      <c r="K146" s="35">
        <f t="shared" ref="K146:N146" ca="1" si="119">K127/K$117</f>
        <v>0.42904288660009587</v>
      </c>
      <c r="L146" s="35">
        <f t="shared" ca="1" si="119"/>
        <v>0.39217182430780301</v>
      </c>
      <c r="M146" s="35">
        <f t="shared" ca="1" si="119"/>
        <v>0.56424507733822171</v>
      </c>
      <c r="N146" s="35">
        <f t="shared" ca="1" si="119"/>
        <v>0.54856031160769836</v>
      </c>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row>
    <row r="147" spans="1:39" ht="12.75" x14ac:dyDescent="0.2">
      <c r="A147" s="6"/>
      <c r="B147" s="27" t="s">
        <v>23</v>
      </c>
      <c r="C147" s="28"/>
      <c r="D147" s="36">
        <f t="shared" ref="D147:G147" ca="1" si="120">D128/D$117</f>
        <v>0.9722265295024447</v>
      </c>
      <c r="E147" s="36">
        <f t="shared" ca="1" si="120"/>
        <v>0.8241905413600924</v>
      </c>
      <c r="F147" s="36">
        <f t="shared" ca="1" si="120"/>
        <v>0.98535448251989355</v>
      </c>
      <c r="G147" s="36">
        <f t="shared" ca="1" si="120"/>
        <v>0.87760710507800987</v>
      </c>
      <c r="H147" s="6"/>
      <c r="I147" s="27" t="s">
        <v>23</v>
      </c>
      <c r="J147" s="28"/>
      <c r="K147" s="36">
        <f t="shared" ref="K147:N147" ca="1" si="121">K128/K$117</f>
        <v>0.9722265295024447</v>
      </c>
      <c r="L147" s="36">
        <f t="shared" ca="1" si="121"/>
        <v>0.82122713769060751</v>
      </c>
      <c r="M147" s="36">
        <f t="shared" ca="1" si="121"/>
        <v>0.94316492487258374</v>
      </c>
      <c r="N147" s="36">
        <f t="shared" ca="1" si="121"/>
        <v>0.83965911912748692</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row>
    <row r="148" spans="1:39" ht="12.75" x14ac:dyDescent="0.2">
      <c r="A148" s="6"/>
      <c r="B148" s="27" t="s">
        <v>24</v>
      </c>
      <c r="C148" s="28"/>
      <c r="D148" s="36">
        <f t="shared" ref="D148:G148" ca="1" si="122">D129/D$117</f>
        <v>-0.16198576976712992</v>
      </c>
      <c r="E148" s="36">
        <f t="shared" ca="1" si="122"/>
        <v>-7.5102243506633831E-3</v>
      </c>
      <c r="F148" s="36">
        <f t="shared" ca="1" si="122"/>
        <v>-0.17421995312337285</v>
      </c>
      <c r="G148" s="36">
        <f t="shared" ca="1" si="122"/>
        <v>-4.1680809063114027E-2</v>
      </c>
      <c r="H148" s="6"/>
      <c r="I148" s="27" t="s">
        <v>24</v>
      </c>
      <c r="J148" s="28"/>
      <c r="K148" s="36">
        <f t="shared" ref="K148:N148" ca="1" si="123">K129/K$117</f>
        <v>-0.16198576976712992</v>
      </c>
      <c r="L148" s="36">
        <f t="shared" ca="1" si="123"/>
        <v>4.1790800239569137E-3</v>
      </c>
      <c r="M148" s="36">
        <f t="shared" ca="1" si="123"/>
        <v>-0.10977792484450523</v>
      </c>
      <c r="N148" s="36">
        <f t="shared" ca="1" si="123"/>
        <v>1.0114857350967822E-2</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row>
    <row r="149" spans="1:39" ht="12.75"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row>
    <row r="150" spans="1:39" ht="12.75"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12.75"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row>
    <row r="152" spans="1:39" ht="12.75"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row>
    <row r="153" spans="1:39" ht="12.75"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12.75"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row>
    <row r="155" spans="1:39" ht="12.75"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row>
    <row r="156" spans="1:39" ht="12.75"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row>
    <row r="157" spans="1:39" ht="12.75"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row>
    <row r="158" spans="1:39" ht="12.75"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row>
    <row r="159" spans="1:39" ht="12.75"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row>
    <row r="160" spans="1:39" ht="12.75"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row>
    <row r="161" spans="1:39" ht="12.75"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row>
    <row r="162" spans="1:39" ht="12.75"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row>
    <row r="163" spans="1:39" ht="12.75"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row>
    <row r="164" spans="1:39" ht="12.75"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row>
    <row r="165" spans="1:39" ht="12.75"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row>
    <row r="166" spans="1:39" ht="12.75"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row>
    <row r="167" spans="1:39" ht="12.75"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row>
    <row r="168" spans="1:39" ht="12.75"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row>
    <row r="169" spans="1:39" ht="12.75"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row>
    <row r="170" spans="1:39" ht="12.75"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row>
    <row r="171" spans="1:39" ht="12.75"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row>
    <row r="172" spans="1:39" ht="12.75"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row>
    <row r="173" spans="1:39" ht="12.75"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row>
    <row r="174" spans="1:39" ht="12.75"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row>
    <row r="175" spans="1:39" ht="12.75"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row>
    <row r="176" spans="1:39" ht="12.75"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row>
    <row r="177" spans="1:39" ht="12.75"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row>
    <row r="178" spans="1:39" ht="12.75"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row>
    <row r="179" spans="1:39" ht="12.75"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row>
    <row r="180" spans="1:39" ht="12.75"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row>
    <row r="181" spans="1:39" ht="12.75"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row>
    <row r="182" spans="1:39" ht="12.75"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row>
    <row r="183" spans="1:39" ht="12.75"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row>
    <row r="184" spans="1:39" ht="12.75"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row>
    <row r="185" spans="1:39" ht="12.75"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row>
    <row r="186" spans="1:39" ht="12.75"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row>
    <row r="187" spans="1:39" ht="12.75"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row>
    <row r="188" spans="1:39" ht="12.75"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row>
    <row r="189" spans="1:39" ht="12.75"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row>
    <row r="190" spans="1:39" ht="12.75"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row>
    <row r="191" spans="1:39" ht="12.75"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row>
    <row r="192" spans="1:39" ht="12.75"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row>
    <row r="193" spans="1:39" ht="12.75"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row>
    <row r="194" spans="1:39" ht="12.75"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row>
    <row r="195" spans="1:39" ht="12.75"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row>
    <row r="196" spans="1:39" ht="12.75"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row>
    <row r="197" spans="1:39" ht="12.75"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row>
    <row r="198" spans="1:39" ht="12.75"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row>
    <row r="199" spans="1:39" ht="12.75"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row>
    <row r="200" spans="1:39" ht="12.75"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row>
    <row r="201" spans="1:39" ht="12.75"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row>
    <row r="202" spans="1:39" ht="12.75"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row>
    <row r="203" spans="1:39" ht="12.75"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row>
    <row r="204" spans="1:39" ht="12.75"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row>
    <row r="205" spans="1:39" ht="12.75"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row>
    <row r="206" spans="1:39" ht="12.75"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row>
    <row r="207" spans="1:39" ht="12.75"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row>
    <row r="208" spans="1:39" ht="12.75"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row>
    <row r="209" spans="1:39" ht="12.75"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row>
    <row r="210" spans="1:39" ht="12.75"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row>
    <row r="211" spans="1:39" ht="12.75"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row>
    <row r="212" spans="1:39" ht="12.75"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row>
    <row r="213" spans="1:39" ht="12.75"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row>
    <row r="214" spans="1:39" ht="12.75"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row>
    <row r="215" spans="1:39" ht="12.75"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row>
    <row r="216" spans="1:39" ht="12.75"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row>
    <row r="217" spans="1:39" ht="12.75"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row>
    <row r="218" spans="1:39" ht="12.75"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row>
    <row r="219" spans="1:39" ht="12.75"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row>
    <row r="220" spans="1:39" ht="12.75"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row>
    <row r="221" spans="1:39" ht="12.75"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row>
    <row r="222" spans="1:39" ht="12.75"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row>
    <row r="223" spans="1:39" ht="12.75"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row>
    <row r="224" spans="1:39" ht="12.75"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row>
    <row r="225" spans="1:39" ht="12.75"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row>
    <row r="226" spans="1:39" ht="12.75"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row>
    <row r="227" spans="1:39" ht="12.75"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row>
    <row r="228" spans="1:39" ht="12.75"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row>
    <row r="229" spans="1:39" ht="12.75"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row>
    <row r="230" spans="1:39" ht="12.75"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row>
    <row r="231" spans="1:39" ht="12.75"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row>
    <row r="232" spans="1:39" ht="12.75"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row>
    <row r="233" spans="1:39" ht="12.75"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row>
    <row r="234" spans="1:39" ht="12.75"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row>
    <row r="235" spans="1:39" ht="12.75"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row>
    <row r="236" spans="1:39" ht="12.75"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row>
    <row r="237" spans="1:39" ht="12.75"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row>
    <row r="238" spans="1:39" ht="12.75"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row>
    <row r="239" spans="1:39" ht="12.75"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row>
    <row r="240" spans="1:39" ht="12.75"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row>
    <row r="241" spans="1:39" ht="12.75"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row>
    <row r="242" spans="1:39" ht="12.75"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row>
    <row r="243" spans="1:39" ht="12.75"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row>
    <row r="244" spans="1:39" ht="12.75"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row>
    <row r="245" spans="1:39" ht="12.75"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row>
    <row r="246" spans="1:39" ht="12.75"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row>
    <row r="247" spans="1:39" ht="12.75"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row>
    <row r="248" spans="1:39" ht="12.75"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row>
    <row r="249" spans="1:39" ht="12.75"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row>
    <row r="250" spans="1:39" ht="12.75"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row>
    <row r="251" spans="1:39" ht="12.75"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row>
    <row r="252" spans="1:39" ht="12.75"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row>
    <row r="253" spans="1:39" ht="12.75"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row>
    <row r="254" spans="1:39" ht="12.75"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row>
    <row r="255" spans="1:39" ht="12.75"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row>
    <row r="256" spans="1:39" ht="12.75"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row>
    <row r="257" spans="1:39" ht="12.75"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row>
    <row r="258" spans="1:39" ht="12.75"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row>
    <row r="259" spans="1:39" ht="12.75"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row>
    <row r="260" spans="1:39" ht="12.75"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row>
    <row r="261" spans="1:39" ht="12.75"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row>
    <row r="262" spans="1:39" ht="12.75"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row>
    <row r="263" spans="1:39" ht="12.75"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row>
    <row r="264" spans="1:39" ht="12.75"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row>
    <row r="265" spans="1:39" ht="12.75"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row>
    <row r="266" spans="1:39" ht="12.75"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row>
    <row r="267" spans="1:39" ht="12.75"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row>
    <row r="268" spans="1:39" ht="12.75"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row>
    <row r="269" spans="1:39" ht="12.75"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row>
    <row r="270" spans="1:39" ht="12.75"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row>
    <row r="271" spans="1:39" ht="12.75"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row>
    <row r="272" spans="1:39" ht="12.75"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row>
    <row r="273" spans="1:39" ht="12.75"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row>
    <row r="274" spans="1:39" ht="12.75"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row>
    <row r="275" spans="1:39" ht="12.75"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row>
    <row r="276" spans="1:39" ht="12.75"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row>
    <row r="277" spans="1:39" ht="12.75"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row>
    <row r="278" spans="1:39" ht="12.75"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row>
    <row r="279" spans="1:39" ht="12.75"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row>
    <row r="280" spans="1:39" ht="12.75"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row>
    <row r="281" spans="1:39" ht="12.75"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row>
    <row r="282" spans="1:39" ht="12.75"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row>
    <row r="283" spans="1:39" ht="12.75"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row>
    <row r="284" spans="1:39" ht="12.75"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row>
    <row r="285" spans="1:39" ht="12.75"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row>
    <row r="286" spans="1:39" ht="12.75"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row>
    <row r="287" spans="1:39" ht="12.75"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row>
    <row r="288" spans="1:39" ht="12.75"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row>
    <row r="289" spans="1:39" ht="12.75"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row>
    <row r="290" spans="1:39" ht="12.75"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row>
    <row r="291" spans="1:39" ht="12.75"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row>
    <row r="292" spans="1:39" ht="12.75"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row>
    <row r="293" spans="1:39" ht="12.75"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row>
    <row r="294" spans="1:39" ht="12.75"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row>
    <row r="295" spans="1:39" ht="12.75"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row>
    <row r="296" spans="1:39" ht="12.75"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row>
    <row r="297" spans="1:39" ht="12.75"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row>
    <row r="298" spans="1:39" ht="12.75"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row>
    <row r="299" spans="1:39" ht="12.75"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row>
    <row r="300" spans="1:39" ht="12.75"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row>
    <row r="301" spans="1:39" ht="12.75"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row>
    <row r="302" spans="1:39" ht="12.75"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row>
    <row r="303" spans="1:39" ht="12.75"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row>
    <row r="304" spans="1:39" ht="12.75"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row>
    <row r="305" spans="1:39" ht="12.75"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row>
    <row r="306" spans="1:39" ht="12.75"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row>
    <row r="307" spans="1:39" ht="12.75"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row>
    <row r="308" spans="1:39" ht="12.75"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row>
    <row r="309" spans="1:39" ht="12.75"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row>
    <row r="310" spans="1:39" ht="12.75"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row>
    <row r="311" spans="1:39" ht="12.75"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row>
    <row r="312" spans="1:39" ht="12.75"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row>
    <row r="313" spans="1:39" ht="12.75"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row>
    <row r="314" spans="1:39" ht="12.75"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row>
    <row r="315" spans="1:39" ht="12.75"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row>
    <row r="316" spans="1:39" ht="12.75"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row>
    <row r="317" spans="1:39" ht="12.75"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row>
    <row r="318" spans="1:39" ht="12.75"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row>
    <row r="319" spans="1:39" ht="12.75"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row>
    <row r="320" spans="1:39" ht="12.75"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row>
    <row r="321" spans="1:39" ht="12.75"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row>
    <row r="322" spans="1:39" ht="12.75"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row>
    <row r="323" spans="1:39" ht="12.75"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row>
    <row r="324" spans="1:39" ht="12.75"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row>
    <row r="325" spans="1:39" ht="12.75"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row>
    <row r="326" spans="1:39" ht="12.75"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row>
    <row r="327" spans="1:39" ht="12.75"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row>
    <row r="328" spans="1:39" ht="12.75"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row>
    <row r="329" spans="1:39" ht="12.75"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row>
    <row r="330" spans="1:39" ht="12.75"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row>
    <row r="331" spans="1:39" ht="12.75"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row>
    <row r="332" spans="1:39" ht="12.75"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row>
    <row r="333" spans="1:39" ht="12.75"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row>
    <row r="334" spans="1:39" ht="12.75"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row>
    <row r="335" spans="1:39" ht="12.75"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row>
    <row r="336" spans="1:39" ht="12.75"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row>
    <row r="337" spans="1:39" ht="12.75"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row>
    <row r="338" spans="1:39" ht="12.75"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row>
    <row r="339" spans="1:39" ht="12.75"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row>
    <row r="340" spans="1:39" ht="12.75"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row>
    <row r="341" spans="1:39" ht="12.75"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row>
    <row r="342" spans="1:39" ht="12.75"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row>
    <row r="343" spans="1:39" ht="12.75"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row>
    <row r="344" spans="1:39" ht="12.75"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row>
    <row r="345" spans="1:39" ht="12.75"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row>
    <row r="346" spans="1:39" ht="12.75"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row>
    <row r="347" spans="1:39" ht="12.75"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row>
    <row r="348" spans="1:39" ht="12.75"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row>
    <row r="349" spans="1:39" ht="12.75"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row>
    <row r="350" spans="1:39" ht="12.75"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row>
    <row r="351" spans="1:39" ht="12.75"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row>
    <row r="352" spans="1:39" ht="12.75"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row>
    <row r="353" spans="1:39" ht="12.75"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row>
    <row r="354" spans="1:39" ht="12.75"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row>
    <row r="355" spans="1:39" ht="12.75"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row>
    <row r="356" spans="1:39" ht="12.75"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row>
    <row r="357" spans="1:39" ht="12.75"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row>
    <row r="358" spans="1:39" ht="12.75"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row>
    <row r="359" spans="1:39" ht="12.75"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row>
    <row r="360" spans="1:39" ht="12.75"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row>
    <row r="361" spans="1:39" ht="12.75"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row>
    <row r="362" spans="1:39" ht="12.75"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row>
    <row r="363" spans="1:39" ht="12.75"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row>
    <row r="364" spans="1:39" ht="12.75"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row>
    <row r="365" spans="1:39" ht="12.75"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row>
    <row r="366" spans="1:39" ht="12.75"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row>
    <row r="367" spans="1:39" ht="12.75"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row>
    <row r="368" spans="1:39" ht="12.75"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row>
    <row r="369" spans="1:39" ht="12.75"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row>
    <row r="370" spans="1:39" ht="12.75"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row>
    <row r="371" spans="1:39" ht="12.75"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row>
    <row r="372" spans="1:39" ht="12.75"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row>
    <row r="373" spans="1:39" ht="12.75"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row>
    <row r="374" spans="1:39" ht="12.75"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row>
    <row r="375" spans="1:39" ht="12.75"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row>
    <row r="376" spans="1:39" ht="12.75"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row>
    <row r="377" spans="1:39" ht="12.75"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row>
    <row r="378" spans="1:39" ht="12.75"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row>
    <row r="379" spans="1:39" ht="12.75"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row>
    <row r="380" spans="1:39" ht="12.75"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row>
    <row r="381" spans="1:39" ht="12.75"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row>
    <row r="382" spans="1:39" ht="12.75"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row>
    <row r="383" spans="1:39" ht="12.75"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row>
    <row r="384" spans="1:39" ht="12.75"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row>
    <row r="385" spans="1:39" ht="12.75"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row>
    <row r="386" spans="1:39" ht="12.75"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row>
    <row r="387" spans="1:39" ht="12.75"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row>
    <row r="388" spans="1:39" ht="12.75"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row>
    <row r="389" spans="1:39" ht="12.75"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row>
    <row r="390" spans="1:39" ht="12.75"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row>
    <row r="391" spans="1:39" ht="12.75"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row>
    <row r="392" spans="1:39" ht="12.75"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row>
    <row r="393" spans="1:39" ht="12.75"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row>
    <row r="394" spans="1:39" ht="12.75"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row>
    <row r="395" spans="1:39" ht="12.75"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row>
    <row r="396" spans="1:39" ht="12.75"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row>
    <row r="397" spans="1:39" ht="12.75"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row>
    <row r="398" spans="1:39" ht="12.75"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row>
    <row r="399" spans="1:39" ht="12.75"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row>
    <row r="400" spans="1:39" ht="12.75"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row>
    <row r="401" spans="1:39" ht="12.75"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row>
    <row r="402" spans="1:39" ht="12.75"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row>
    <row r="403" spans="1:39" ht="12.75"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row>
    <row r="404" spans="1:39" ht="12.75"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row>
    <row r="405" spans="1:39" ht="12.75"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row>
    <row r="406" spans="1:39" ht="12.75"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row>
    <row r="407" spans="1:39" ht="12.75"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row>
    <row r="408" spans="1:39" ht="12.75"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row>
    <row r="409" spans="1:39" ht="12.75"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row>
    <row r="410" spans="1:39" ht="12.75"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row>
    <row r="411" spans="1:39" ht="12.75"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row>
    <row r="412" spans="1:39" ht="12.75"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row>
    <row r="413" spans="1:39" ht="12.75"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row>
    <row r="414" spans="1:39" ht="12.75"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row>
    <row r="415" spans="1:39" ht="12.75"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row>
    <row r="416" spans="1:39" ht="12.75"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row>
    <row r="417" spans="1:39" ht="12.75"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row>
    <row r="418" spans="1:39" ht="12.75"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row>
    <row r="419" spans="1:39" ht="12.75"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row>
    <row r="420" spans="1:39" ht="12.75"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row>
    <row r="421" spans="1:39" ht="12.75"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row>
    <row r="422" spans="1:39" ht="12.75"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row>
    <row r="423" spans="1:39" ht="12.75"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row>
    <row r="424" spans="1:39" ht="12.75"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row>
    <row r="425" spans="1:39" ht="12.75"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row>
    <row r="426" spans="1:39" ht="12.75"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row>
    <row r="427" spans="1:39" ht="12.75"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row>
    <row r="428" spans="1:39" ht="12.75"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row>
    <row r="429" spans="1:39" ht="12.75"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row>
    <row r="430" spans="1:39" ht="12.75"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row>
    <row r="431" spans="1:39" ht="12.75"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row>
    <row r="432" spans="1:39" ht="12.75"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row>
    <row r="433" spans="1:39" ht="12.75"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row>
    <row r="434" spans="1:39" ht="12.75"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row>
    <row r="435" spans="1:39" ht="12.75"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row>
    <row r="436" spans="1:39" ht="12.75"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row>
    <row r="437" spans="1:39" ht="12.75"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row>
    <row r="438" spans="1:39" ht="12.75"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row>
    <row r="439" spans="1:39" ht="12.75"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row>
    <row r="440" spans="1:39" ht="12.75"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row>
    <row r="441" spans="1:39" ht="12.75"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row>
    <row r="442" spans="1:39" ht="12.75"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row>
    <row r="443" spans="1:39" ht="12.75"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row>
    <row r="444" spans="1:39" ht="12.75"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row>
    <row r="445" spans="1:39" ht="12.75"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row>
    <row r="446" spans="1:39" ht="12.75"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row>
    <row r="447" spans="1:39" ht="12.75"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row>
    <row r="448" spans="1:39" ht="12.75"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row>
    <row r="449" spans="1:39" ht="12.75"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row>
    <row r="450" spans="1:39" ht="12.75"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row>
    <row r="451" spans="1:39" ht="12.75"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row>
    <row r="452" spans="1:39" ht="12.75"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row>
    <row r="453" spans="1:39" ht="12.75"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row>
    <row r="454" spans="1:39" ht="12.75"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row>
    <row r="455" spans="1:39" ht="12.75"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row>
    <row r="456" spans="1:39" ht="12.75"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row>
    <row r="457" spans="1:39" ht="12.75"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row>
    <row r="458" spans="1:39" ht="12.75"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row>
    <row r="459" spans="1:39" ht="12.75"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row>
    <row r="460" spans="1:39" ht="12.75"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row>
    <row r="461" spans="1:39" ht="12.75"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row>
    <row r="462" spans="1:39" ht="12.75"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row>
    <row r="463" spans="1:39" ht="12.75"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row>
    <row r="464" spans="1:39" ht="12.75"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row>
    <row r="465" spans="1:39" ht="12.75"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row>
    <row r="466" spans="1:39" ht="12.75"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row>
    <row r="467" spans="1:39" ht="12.75"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row>
    <row r="468" spans="1:39" ht="12.75"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row>
    <row r="469" spans="1:39" ht="12.75"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row>
    <row r="470" spans="1:39" ht="12.75"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row>
    <row r="471" spans="1:39" ht="12.75"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row>
    <row r="472" spans="1:39" ht="12.75"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row>
    <row r="473" spans="1:39" ht="12.75"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row>
    <row r="474" spans="1:39" ht="12.75"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row>
    <row r="475" spans="1:39" ht="12.75"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row>
    <row r="476" spans="1:39" ht="12.75"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row>
    <row r="477" spans="1:39" ht="12.75"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row>
    <row r="478" spans="1:39" ht="12.75"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row>
    <row r="479" spans="1:39" ht="12.75"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row>
    <row r="480" spans="1:39" ht="12.75"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row>
    <row r="481" spans="1:39" ht="12.75"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row>
    <row r="482" spans="1:39" ht="12.75"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row>
    <row r="483" spans="1:39" ht="12.75"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row>
    <row r="484" spans="1:39" ht="12.75"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row>
    <row r="485" spans="1:39" ht="12.75"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row>
    <row r="486" spans="1:39" ht="12.75"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row>
    <row r="487" spans="1:39" ht="12.75"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row>
    <row r="488" spans="1:39" ht="12.75"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row>
    <row r="489" spans="1:39" ht="12.75"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row>
    <row r="490" spans="1:39" ht="12.75"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row>
    <row r="491" spans="1:39" ht="12.75"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row>
    <row r="492" spans="1:39" ht="12.75"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row>
    <row r="493" spans="1:39" ht="12.75"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row>
    <row r="494" spans="1:39" ht="12.75"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row>
    <row r="495" spans="1:39" ht="12.75"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row>
    <row r="496" spans="1:39" ht="12.75"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row>
    <row r="497" spans="1:39" ht="12.75"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row>
    <row r="498" spans="1:39" ht="12.75"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row>
    <row r="499" spans="1:39" ht="12.75"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row>
    <row r="500" spans="1:39" ht="12.75"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row>
    <row r="501" spans="1:39" ht="12.75"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row>
    <row r="502" spans="1:39" ht="12.75"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row>
    <row r="503" spans="1:39" ht="12.75"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row>
    <row r="504" spans="1:39" ht="12.75"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row>
    <row r="505" spans="1:39" ht="12.75"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row>
    <row r="506" spans="1:39" ht="12.75"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row>
    <row r="507" spans="1:39" ht="12.75"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row>
    <row r="508" spans="1:39" ht="12.75"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row>
    <row r="509" spans="1:39" ht="12.75"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row>
    <row r="510" spans="1:39" ht="12.75"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row>
    <row r="511" spans="1:39" ht="12.75"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row>
    <row r="512" spans="1:39" ht="12.75"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row>
    <row r="513" spans="1:39" ht="12.75"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row>
    <row r="514" spans="1:39" ht="12.75"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row>
    <row r="515" spans="1:39" ht="12.75"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row>
    <row r="516" spans="1:39" ht="12.75"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row>
    <row r="517" spans="1:39" ht="12.75"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row>
    <row r="518" spans="1:39" ht="12.75"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row>
    <row r="519" spans="1:39" ht="12.75"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row>
    <row r="520" spans="1:39" ht="12.75"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row>
    <row r="521" spans="1:39" ht="12.75"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row>
    <row r="522" spans="1:39" ht="12.75"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row>
    <row r="523" spans="1:39" ht="12.75"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row>
    <row r="524" spans="1:39" ht="12.75"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row>
    <row r="525" spans="1:39" ht="12.75"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row>
    <row r="526" spans="1:39" ht="12.75"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row>
    <row r="527" spans="1:39" ht="12.75"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row>
    <row r="528" spans="1:39" ht="12.75"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row>
    <row r="529" spans="1:39" ht="12.75"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row>
    <row r="530" spans="1:39" ht="12.75"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row>
    <row r="531" spans="1:39" ht="12.75"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row>
    <row r="532" spans="1:39" ht="12.75"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row>
    <row r="533" spans="1:39" ht="12.75"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row>
    <row r="534" spans="1:39" ht="12.75"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row>
    <row r="535" spans="1:39" ht="12.75"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row>
    <row r="536" spans="1:39" ht="12.75"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row>
    <row r="537" spans="1:39" ht="12.75"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row>
    <row r="538" spans="1:39" ht="12.75"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row>
    <row r="539" spans="1:39" ht="12.75"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row>
    <row r="540" spans="1:39" ht="12.75"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row>
    <row r="541" spans="1:39" ht="12.75"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row>
    <row r="542" spans="1:39" ht="12.75"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row>
    <row r="543" spans="1:39" ht="12.75"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row>
    <row r="544" spans="1:39" ht="12.75"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row>
    <row r="545" spans="1:39" ht="12.75"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row>
    <row r="546" spans="1:39" ht="12.75"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row>
    <row r="547" spans="1:39" ht="12.75"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row>
    <row r="548" spans="1:39" ht="12.75"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row>
    <row r="549" spans="1:39" ht="12.75"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row>
    <row r="550" spans="1:39" ht="12.75"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row>
    <row r="551" spans="1:39" ht="12.75"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row>
    <row r="552" spans="1:39" ht="12.75"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row>
    <row r="553" spans="1:39" ht="12.75"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row>
    <row r="554" spans="1:39" ht="12.75"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row>
    <row r="555" spans="1:39" ht="12.75"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row>
    <row r="556" spans="1:39" ht="12.75"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row>
    <row r="557" spans="1:39" ht="12.75"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row>
    <row r="558" spans="1:39" ht="12.75"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row>
    <row r="559" spans="1:39" ht="12.75"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row>
    <row r="560" spans="1:39" ht="12.75"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row>
    <row r="561" spans="1:39" ht="12.75"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row>
    <row r="562" spans="1:39" ht="12.75"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row>
    <row r="563" spans="1:39" ht="12.75"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row>
    <row r="564" spans="1:39" ht="12.75"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row>
    <row r="565" spans="1:39" ht="12.75"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row>
    <row r="566" spans="1:39" ht="12.75"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row>
    <row r="567" spans="1:39" ht="12.75"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row>
    <row r="568" spans="1:39" ht="12.75"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row>
    <row r="569" spans="1:39" ht="12.75"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row>
    <row r="570" spans="1:39" ht="12.75"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row>
    <row r="571" spans="1:39" ht="12.75"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row>
    <row r="572" spans="1:39" ht="12.75"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row>
    <row r="573" spans="1:39" ht="12.75"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row>
    <row r="574" spans="1:39" ht="12.75"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row>
    <row r="575" spans="1:39" ht="12.75"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row>
    <row r="576" spans="1:39" ht="12.75"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row>
    <row r="577" spans="1:39" ht="12.75"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row>
    <row r="578" spans="1:39" ht="12.75"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row>
    <row r="579" spans="1:39" ht="12.75"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row>
    <row r="580" spans="1:39" ht="12.75"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row>
    <row r="581" spans="1:39" ht="12.75"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row>
    <row r="582" spans="1:39" ht="12.75"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row>
    <row r="583" spans="1:39" ht="12.75"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row>
    <row r="584" spans="1:39" ht="12.75"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row>
    <row r="585" spans="1:39" ht="12.75"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row>
    <row r="586" spans="1:39" ht="12.75"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row>
    <row r="587" spans="1:39" ht="12.75"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row>
    <row r="588" spans="1:39" ht="12.75"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row>
    <row r="589" spans="1:39" ht="12.75"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row>
    <row r="590" spans="1:39" ht="12.75"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row>
    <row r="591" spans="1:39" ht="12.75"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row>
    <row r="592" spans="1:39" ht="12.75"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row>
    <row r="593" spans="1:39" ht="12.75"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row>
    <row r="594" spans="1:39" ht="12.75"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row>
    <row r="595" spans="1:39" ht="12.75"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row>
    <row r="596" spans="1:39" ht="12.75"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row>
    <row r="597" spans="1:39" ht="12.75"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row>
    <row r="598" spans="1:39" ht="12.75"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row>
    <row r="599" spans="1:39" ht="12.75"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row>
    <row r="600" spans="1:39" ht="12.75"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row>
    <row r="601" spans="1:39" ht="12.75"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row>
    <row r="602" spans="1:39" ht="12.75"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row>
    <row r="603" spans="1:39" ht="12.75"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row>
    <row r="604" spans="1:39" ht="12.75"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row>
    <row r="605" spans="1:39" ht="12.75"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row>
    <row r="606" spans="1:39" ht="12.75"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row>
    <row r="607" spans="1:39" ht="12.75"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row>
    <row r="608" spans="1:39" ht="12.75"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row>
    <row r="609" spans="1:39" ht="12.75"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row>
    <row r="610" spans="1:39" ht="12.75"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row>
    <row r="611" spans="1:39" ht="12.75"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row>
    <row r="612" spans="1:39" ht="12.75"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row>
    <row r="613" spans="1:39" ht="12.75"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row>
    <row r="614" spans="1:39" ht="12.75"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row>
    <row r="615" spans="1:39" ht="12.75"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row>
    <row r="616" spans="1:39" ht="12.75"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row>
    <row r="617" spans="1:39" ht="12.75"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row>
    <row r="618" spans="1:39" ht="12.75"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row>
    <row r="619" spans="1:39" ht="12.75"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row>
    <row r="620" spans="1:39" ht="12.75"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row>
    <row r="621" spans="1:39" ht="12.75"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row>
    <row r="622" spans="1:39" ht="12.75"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row>
    <row r="623" spans="1:39" ht="12.75"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row>
    <row r="624" spans="1:39" ht="12.75"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row>
    <row r="625" spans="1:39" ht="12.75"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row>
    <row r="626" spans="1:39" ht="12.75"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row>
    <row r="627" spans="1:39" ht="12.75"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row>
    <row r="628" spans="1:39" ht="12.75"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row>
    <row r="629" spans="1:39" ht="12.75"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row>
    <row r="630" spans="1:39" ht="12.75"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row>
    <row r="631" spans="1:39" ht="12.75"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row>
    <row r="632" spans="1:39" ht="12.75"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row>
    <row r="633" spans="1:39" ht="12.75"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row>
    <row r="634" spans="1:39" ht="12.75"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row>
    <row r="635" spans="1:39" ht="12.75"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row>
    <row r="636" spans="1:39" ht="12.75"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row>
    <row r="637" spans="1:39" ht="12.75"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row>
    <row r="638" spans="1:39" ht="12.75"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row>
    <row r="639" spans="1:39" ht="12.75"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row>
    <row r="640" spans="1:39" ht="12.75"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row>
    <row r="641" spans="1:39" ht="12.75"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row>
    <row r="642" spans="1:39" ht="12.75"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row>
    <row r="643" spans="1:39" ht="12.75"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row>
    <row r="644" spans="1:39" ht="12.75"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row>
    <row r="645" spans="1:39" ht="12.75"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row>
    <row r="646" spans="1:39" ht="12.75"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row>
    <row r="647" spans="1:39" ht="12.75"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row>
    <row r="648" spans="1:39" ht="12.75"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row>
    <row r="649" spans="1:39" ht="12.75"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row>
    <row r="650" spans="1:39" ht="12.75"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row>
    <row r="651" spans="1:39" ht="12.75"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row>
    <row r="652" spans="1:39" ht="12.75"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row>
    <row r="653" spans="1:39" ht="12.75"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row>
    <row r="654" spans="1:39" ht="12.75"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row>
    <row r="655" spans="1:39" ht="12.75"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row>
    <row r="656" spans="1:39" ht="12.75"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row>
    <row r="657" spans="1:39" ht="12.75"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row>
    <row r="658" spans="1:39" ht="12.75"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row>
    <row r="659" spans="1:39" ht="12.75"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row>
    <row r="660" spans="1:39" ht="12.75"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row>
    <row r="661" spans="1:39" ht="12.75"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row>
    <row r="662" spans="1:39" ht="12.75"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row>
    <row r="663" spans="1:39" ht="12.75"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row>
    <row r="664" spans="1:39" ht="12.75"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row>
    <row r="665" spans="1:39" ht="12.75"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row>
    <row r="666" spans="1:39" ht="12.75"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row>
    <row r="667" spans="1:39" ht="12.75"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row>
    <row r="668" spans="1:39" ht="12.75"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row>
    <row r="669" spans="1:39" ht="12.75"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row>
    <row r="670" spans="1:39" ht="12.75"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row>
    <row r="671" spans="1:39" ht="12.75"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row>
    <row r="672" spans="1:39" ht="12.75"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row>
    <row r="673" spans="1:39" ht="12.75"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row>
    <row r="674" spans="1:39" ht="12.75"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row>
    <row r="675" spans="1:39" ht="12.75"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row>
    <row r="676" spans="1:39" ht="12.75"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row>
    <row r="677" spans="1:39" ht="12.75"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row>
    <row r="678" spans="1:39" ht="12.75"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row>
    <row r="679" spans="1:39" ht="12.75"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row>
    <row r="680" spans="1:39" ht="12.75"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row>
    <row r="681" spans="1:39" ht="12.75"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row>
    <row r="682" spans="1:39" ht="12.75"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row>
    <row r="683" spans="1:39" ht="12.75"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row>
    <row r="684" spans="1:39" ht="12.75"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row>
    <row r="685" spans="1:39" ht="12.75"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row>
    <row r="686" spans="1:39" ht="12.75"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row>
    <row r="687" spans="1:39" ht="12.75"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row>
    <row r="688" spans="1:39" ht="12.75"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row>
    <row r="689" spans="1:39" ht="12.75"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row>
    <row r="690" spans="1:39" ht="12.75"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row>
    <row r="691" spans="1:39" ht="12.75"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row>
    <row r="692" spans="1:39" ht="12.75"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row>
    <row r="693" spans="1:39" ht="12.75"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row>
    <row r="694" spans="1:39" ht="12.75"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row>
    <row r="695" spans="1:39" ht="12.75"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row>
    <row r="696" spans="1:39" ht="12.75"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row>
    <row r="697" spans="1:39" ht="12.75"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row>
    <row r="698" spans="1:39" ht="12.75"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row>
    <row r="699" spans="1:39" ht="12.75"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row>
    <row r="700" spans="1:39" ht="12.75"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row>
    <row r="701" spans="1:39" ht="12.75"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row>
    <row r="702" spans="1:39" ht="12.75"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row>
    <row r="703" spans="1:39" ht="12.75"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row>
    <row r="704" spans="1:39" ht="12.75"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row>
    <row r="705" spans="1:39" ht="12.75"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row>
    <row r="706" spans="1:39" ht="12.75"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row>
    <row r="707" spans="1:39" ht="12.75"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row>
    <row r="708" spans="1:39" ht="12.75"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row>
    <row r="709" spans="1:39" ht="12.75"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row>
    <row r="710" spans="1:39" ht="12.75"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row>
    <row r="711" spans="1:39" ht="12.75"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row>
    <row r="712" spans="1:39" ht="12.75"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row>
    <row r="713" spans="1:39" ht="12.75"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row>
    <row r="714" spans="1:39" ht="12.75"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row>
    <row r="715" spans="1:39" ht="12.75"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row>
    <row r="716" spans="1:39" ht="12.75"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row>
    <row r="717" spans="1:39" ht="12.75"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row>
    <row r="718" spans="1:39" ht="12.75"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row>
    <row r="719" spans="1:39" ht="12.75"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row>
    <row r="720" spans="1:39" ht="12.75"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row>
    <row r="721" spans="1:39" ht="12.75"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row>
    <row r="722" spans="1:39" ht="12.75"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row>
    <row r="723" spans="1:39" ht="12.75"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row>
    <row r="724" spans="1:39" ht="12.75"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row>
    <row r="725" spans="1:39" ht="12.75"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row>
    <row r="726" spans="1:39" ht="12.75"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row>
    <row r="727" spans="1:39" ht="12.75"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row>
    <row r="728" spans="1:39" ht="12.75"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row>
    <row r="729" spans="1:39" ht="12.75"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row>
    <row r="730" spans="1:39" ht="12.75"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row>
    <row r="731" spans="1:39" ht="12.75"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row>
    <row r="732" spans="1:39" ht="12.75"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row>
    <row r="733" spans="1:39" ht="12.75"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row>
    <row r="734" spans="1:39" ht="12.75"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row>
    <row r="735" spans="1:39" ht="12.75"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row>
    <row r="736" spans="1:39" ht="12.75"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row>
    <row r="737" spans="1:39" ht="12.75"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row>
    <row r="738" spans="1:39" ht="12.75"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row>
    <row r="739" spans="1:39" ht="12.75"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row>
    <row r="740" spans="1:39" ht="12.75"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row>
    <row r="741" spans="1:39" ht="12.75"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row>
    <row r="742" spans="1:39" ht="12.75"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row>
    <row r="743" spans="1:39" ht="12.75"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row>
    <row r="744" spans="1:39" ht="12.75"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row>
    <row r="745" spans="1:39" ht="12.75"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row>
    <row r="746" spans="1:39" ht="12.75"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row>
    <row r="747" spans="1:39" ht="12.75"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row>
    <row r="748" spans="1:39" ht="12.75"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row>
    <row r="749" spans="1:39" ht="12.75"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row>
    <row r="750" spans="1:39" ht="12.75"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row>
    <row r="751" spans="1:39" ht="12.75"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row>
    <row r="752" spans="1:39" ht="12.75"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row>
    <row r="753" spans="1:39" ht="12.75"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row>
    <row r="754" spans="1:39" ht="12.75"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row>
    <row r="755" spans="1:39" ht="12.75"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row>
    <row r="756" spans="1:39" ht="12.75"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row>
    <row r="757" spans="1:39" ht="12.75"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row>
    <row r="758" spans="1:39" ht="12.75"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row>
    <row r="759" spans="1:39" ht="12.75"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row>
    <row r="760" spans="1:39" ht="12.75"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row>
    <row r="761" spans="1:39" ht="12.75"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row>
    <row r="762" spans="1:39" ht="12.75"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row>
    <row r="763" spans="1:39" ht="12.75"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row>
    <row r="764" spans="1:39" ht="12.75"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row>
    <row r="765" spans="1:39" ht="12.75"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row>
    <row r="766" spans="1:39" ht="12.75"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row>
    <row r="767" spans="1:39" ht="12.75"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row>
    <row r="768" spans="1:39" ht="12.75"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row>
    <row r="769" spans="1:39" ht="12.75"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row>
    <row r="770" spans="1:39" ht="12.75"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row>
    <row r="771" spans="1:39" ht="12.75"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row>
    <row r="772" spans="1:39" ht="12.75"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row>
    <row r="773" spans="1:39" ht="12.75"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row>
    <row r="774" spans="1:39" ht="12.75"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row>
    <row r="775" spans="1:39" ht="12.75"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row>
    <row r="776" spans="1:39" ht="12.75"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row>
    <row r="777" spans="1:39" ht="12.75"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row>
    <row r="778" spans="1:39" ht="12.75"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row>
    <row r="779" spans="1:39" ht="12.75"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row>
    <row r="780" spans="1:39" ht="12.75"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row>
    <row r="781" spans="1:39" ht="12.75"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row>
    <row r="782" spans="1:39" ht="12.75"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row>
    <row r="783" spans="1:39" ht="12.75"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row>
    <row r="784" spans="1:39" ht="12.75"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row>
    <row r="785" spans="1:39" ht="12.75"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row>
    <row r="786" spans="1:39" ht="12.75"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row>
    <row r="787" spans="1:39" ht="12.75"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row>
    <row r="788" spans="1:39" ht="12.75"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row>
    <row r="789" spans="1:39" ht="12.75"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row>
    <row r="790" spans="1:39" ht="12.75"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row>
    <row r="791" spans="1:39" ht="12.75"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row>
    <row r="792" spans="1:39" ht="12.75"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row>
    <row r="793" spans="1:39" ht="12.75"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row>
    <row r="794" spans="1:39" ht="12.75"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row>
    <row r="795" spans="1:39" ht="12.75"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row>
    <row r="796" spans="1:39" ht="12.75"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row>
    <row r="797" spans="1:39" ht="12.75"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row>
    <row r="798" spans="1:39" ht="12.75"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row>
    <row r="799" spans="1:39" ht="12.75"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row>
    <row r="800" spans="1:39" ht="12.75"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row>
    <row r="801" spans="1:39" ht="12.75"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row>
    <row r="802" spans="1:39" ht="12.75"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row>
    <row r="803" spans="1:39" ht="12.75"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row>
    <row r="804" spans="1:39" ht="12.75"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row>
    <row r="805" spans="1:39" ht="12.75"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row>
    <row r="806" spans="1:39" ht="12.75"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row>
    <row r="807" spans="1:39" ht="12.75"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row>
    <row r="808" spans="1:39" ht="12.75"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row>
    <row r="809" spans="1:39" ht="12.75"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row>
    <row r="810" spans="1:39" ht="12.75"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row>
    <row r="811" spans="1:39" ht="12.75"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row>
    <row r="812" spans="1:39" ht="12.75"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row>
    <row r="813" spans="1:39" ht="12.75"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row>
    <row r="814" spans="1:39" ht="12.75"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row>
    <row r="815" spans="1:39" ht="12.75"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row>
    <row r="816" spans="1:39" ht="12.75"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row>
    <row r="817" spans="1:39" ht="12.75"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row>
    <row r="818" spans="1:39" ht="12.75"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row>
    <row r="819" spans="1:39" ht="12.75"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row>
    <row r="820" spans="1:39" ht="12.75"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row>
    <row r="821" spans="1:39" ht="12.75"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row>
    <row r="822" spans="1:39" ht="12.75"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row>
    <row r="823" spans="1:39" ht="12.75"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row>
    <row r="824" spans="1:39" ht="12.75"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row>
    <row r="825" spans="1:39" ht="12.75"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row>
    <row r="826" spans="1:39" ht="12.75"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row>
    <row r="827" spans="1:39" ht="12.75"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row>
    <row r="828" spans="1:39" ht="12.75"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row>
    <row r="829" spans="1:39" ht="12.75"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row>
    <row r="830" spans="1:39" ht="12.75"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row>
    <row r="831" spans="1:39" ht="12.75"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row>
    <row r="832" spans="1:39" ht="12.75"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row>
    <row r="833" spans="1:39" ht="12.75"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row>
    <row r="834" spans="1:39" ht="12.75"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row>
    <row r="835" spans="1:39" ht="12.75"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row>
    <row r="836" spans="1:39" ht="12.75"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row>
    <row r="837" spans="1:39" ht="12.75"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row>
    <row r="838" spans="1:39" ht="12.75"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row>
    <row r="839" spans="1:39" ht="12.75"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row>
    <row r="840" spans="1:39" ht="12.75"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row>
    <row r="841" spans="1:39" ht="12.75"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row>
    <row r="842" spans="1:39" ht="12.75"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row>
    <row r="843" spans="1:39" ht="12.75"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row>
    <row r="844" spans="1:39" ht="12.75"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row>
    <row r="845" spans="1:39" ht="12.75"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row>
    <row r="846" spans="1:39" ht="12.75"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row>
    <row r="847" spans="1:39" ht="12.75"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row>
    <row r="848" spans="1:39" ht="12.75"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row>
    <row r="849" spans="1:39" ht="12.75"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row>
    <row r="850" spans="1:39" ht="12.75"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row>
    <row r="851" spans="1:39" ht="12.75"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row>
    <row r="852" spans="1:39" ht="12.75"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row>
    <row r="853" spans="1:39" ht="12.75"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row>
    <row r="854" spans="1:39" ht="12.75"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row>
    <row r="855" spans="1:39" ht="12.75"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row>
    <row r="856" spans="1:39" ht="12.75"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row>
    <row r="857" spans="1:39" ht="12.75"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row>
    <row r="858" spans="1:39" ht="12.75"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row>
    <row r="859" spans="1:39" ht="12.75"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row>
    <row r="860" spans="1:39" ht="12.75"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row>
    <row r="861" spans="1:39" ht="12.75"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row>
    <row r="862" spans="1:39" ht="12.75"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row>
    <row r="863" spans="1:39" ht="12.75"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row>
    <row r="864" spans="1:39" ht="12.75"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row>
    <row r="865" spans="1:39" ht="12.75"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row>
    <row r="866" spans="1:39" ht="12.75"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row>
    <row r="867" spans="1:39" ht="12.75"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row>
    <row r="868" spans="1:39" ht="12.75"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row>
    <row r="869" spans="1:39" ht="12.75"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row>
    <row r="870" spans="1:39" ht="12.75"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row>
    <row r="871" spans="1:39" ht="12.75"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row>
    <row r="872" spans="1:39" ht="12.75"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row>
    <row r="873" spans="1:39" ht="12.75"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row>
    <row r="874" spans="1:39" ht="12.75"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row>
    <row r="875" spans="1:39" ht="12.75"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row>
    <row r="876" spans="1:39" ht="12.75"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row>
    <row r="877" spans="1:39" ht="12.75"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row>
    <row r="878" spans="1:39" ht="12.75"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row>
    <row r="879" spans="1:39" ht="12.75"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row>
    <row r="880" spans="1:39" ht="12.75"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row>
    <row r="881" spans="1:39" ht="12.75"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row>
    <row r="882" spans="1:39" ht="12.75"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row>
    <row r="883" spans="1:39" ht="12.75"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row>
    <row r="884" spans="1:39" ht="12.75"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row>
    <row r="885" spans="1:39" ht="12.75"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row>
    <row r="886" spans="1:39" ht="12.75"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row>
    <row r="887" spans="1:39" ht="12.75"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row>
    <row r="888" spans="1:39" ht="12.75"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row>
    <row r="889" spans="1:39" ht="12.75"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row>
    <row r="890" spans="1:39" ht="12.75"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row>
    <row r="891" spans="1:39" ht="12.75"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row>
    <row r="892" spans="1:39" ht="12.75"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row>
    <row r="893" spans="1:39" ht="12.75"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row>
    <row r="894" spans="1:39" ht="12.75"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row>
    <row r="895" spans="1:39" ht="12.75"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row>
    <row r="896" spans="1:39" ht="12.75"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row>
    <row r="897" spans="1:39" ht="12.75"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row>
    <row r="898" spans="1:39" ht="12.75"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row>
    <row r="899" spans="1:39" ht="12.75"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row>
    <row r="900" spans="1:39" ht="12.75"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row>
    <row r="901" spans="1:39" ht="12.75"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row>
    <row r="902" spans="1:39" ht="12.75"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row>
    <row r="903" spans="1:39" ht="12.75"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row>
    <row r="904" spans="1:39" ht="12.75"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row>
    <row r="905" spans="1:39" ht="12.75"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row>
    <row r="906" spans="1:39" ht="12.75"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row>
    <row r="907" spans="1:39" ht="12.75"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row>
    <row r="908" spans="1:39" ht="12.75"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row>
    <row r="909" spans="1:39" ht="12.75"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row>
    <row r="910" spans="1:39" ht="12.75"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row>
    <row r="911" spans="1:39" ht="12.75"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row>
    <row r="912" spans="1:39" ht="12.75"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row>
    <row r="913" spans="1:39" ht="12.75"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row>
    <row r="914" spans="1:39" ht="12.75"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row>
    <row r="915" spans="1:39" ht="12.75"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row>
    <row r="916" spans="1:39" ht="12.75"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row>
    <row r="917" spans="1:39" ht="12.75"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row>
    <row r="918" spans="1:39" ht="12.75"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row>
    <row r="919" spans="1:39" ht="12.75"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row>
    <row r="920" spans="1:39" ht="12.75"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row>
    <row r="921" spans="1:39" ht="12.75"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row>
    <row r="922" spans="1:39" ht="12.75"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row>
    <row r="923" spans="1:39" ht="12.75"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row>
    <row r="924" spans="1:39" ht="12.75"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row>
    <row r="925" spans="1:39" ht="12.75"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row>
    <row r="926" spans="1:39" ht="12.75"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row>
    <row r="927" spans="1:39" ht="12.75"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row>
    <row r="928" spans="1:39" ht="12.75"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row>
    <row r="929" spans="1:39" ht="12.75"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row>
    <row r="930" spans="1:39" ht="12.75"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row>
    <row r="931" spans="1:39" ht="12.75"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row>
    <row r="932" spans="1:39" ht="12.75"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row>
    <row r="933" spans="1:39" ht="12.75"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row>
    <row r="934" spans="1:39" ht="12.75"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row>
    <row r="935" spans="1:39" ht="12.75"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row>
    <row r="936" spans="1:39" ht="12.75"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row>
    <row r="937" spans="1:39" ht="12.75"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row>
    <row r="938" spans="1:39" ht="12.75"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row>
    <row r="939" spans="1:39" ht="12.75"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row>
    <row r="940" spans="1:39" ht="12.75"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row>
    <row r="941" spans="1:39" ht="12.75"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row>
    <row r="942" spans="1:39" ht="12.75"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row>
    <row r="943" spans="1:39" ht="12.75"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row>
    <row r="944" spans="1:39" ht="12.75"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row>
    <row r="945" spans="1:39" ht="12.75"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row>
    <row r="946" spans="1:39" ht="12.75"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row>
    <row r="947" spans="1:39" ht="12.75"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row>
    <row r="948" spans="1:39" ht="12.75"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row>
    <row r="949" spans="1:39" ht="12.75"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row>
    <row r="950" spans="1:39" ht="12.75"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row>
    <row r="951" spans="1:39" ht="12.75"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row>
    <row r="952" spans="1:39" ht="12.75"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row>
    <row r="953" spans="1:39" ht="12.75"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row>
    <row r="954" spans="1:39" ht="12.75"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row>
    <row r="955" spans="1:39" ht="12.75"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row>
    <row r="956" spans="1:39" ht="12.75"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row>
    <row r="957" spans="1:39" ht="12.75"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row>
    <row r="958" spans="1:39" ht="12.75"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row>
    <row r="959" spans="1:39" ht="12.75"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row>
    <row r="960" spans="1:39" ht="12.75"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row>
    <row r="961" spans="1:39" ht="12.75"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row>
    <row r="962" spans="1:39" ht="12.75"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row>
    <row r="963" spans="1:39" ht="12.75"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row>
    <row r="964" spans="1:39" ht="12.75"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row>
    <row r="965" spans="1:39" ht="12.75"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row>
    <row r="966" spans="1:39" ht="12.75"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row>
    <row r="967" spans="1:39" ht="12.75"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row>
    <row r="968" spans="1:39" ht="12.75"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row>
    <row r="969" spans="1:39" ht="12.75"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row>
    <row r="970" spans="1:39" ht="12.75"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row>
    <row r="971" spans="1:39" ht="12.75"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row>
    <row r="972" spans="1:39" ht="12.75"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row>
    <row r="973" spans="1:39" ht="12.75"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row>
    <row r="974" spans="1:39" ht="12.75"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row>
    <row r="975" spans="1:39" ht="12.75"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row>
    <row r="976" spans="1:39" ht="12.75"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row>
    <row r="977" spans="1:39" ht="12.75"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row>
    <row r="978" spans="1:39" ht="12.75"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row>
    <row r="979" spans="1:39" ht="12.75"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row>
    <row r="980" spans="1:39" ht="12.75"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row>
    <row r="981" spans="1:39" ht="12.75"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row>
    <row r="982" spans="1:39" ht="12.75"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row>
    <row r="983" spans="1:39" ht="12.75"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row>
    <row r="984" spans="1:39" ht="12.75"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row>
    <row r="985" spans="1:39" ht="12.75"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row>
    <row r="986" spans="1:39" ht="12.75"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row>
    <row r="987" spans="1:39" ht="12.75"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row>
    <row r="988" spans="1:39" ht="12.75"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row>
    <row r="989" spans="1:39" ht="12.75"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row>
  </sheetData>
  <pageMargins left="0.7" right="0.7" top="0.75" bottom="0.75" header="0.3" footer="0.3"/>
  <pageSetup scale="85" orientation="landscape"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5089"/>
    <outlinePr summaryBelow="0" summaryRight="0"/>
  </sheetPr>
  <dimension ref="A1:Z45"/>
  <sheetViews>
    <sheetView showGridLines="0" topLeftCell="B1" workbookViewId="0">
      <pane ySplit="1" topLeftCell="A2" activePane="bottomLeft" state="frozen"/>
      <selection pane="bottomLeft" activeCell="B12" sqref="B12:N15"/>
    </sheetView>
  </sheetViews>
  <sheetFormatPr defaultColWidth="14.42578125" defaultRowHeight="15.75" customHeight="1" x14ac:dyDescent="0.2"/>
  <cols>
    <col min="1" max="1" width="20.85546875" customWidth="1"/>
  </cols>
  <sheetData>
    <row r="1" spans="1:26" ht="22.5" customHeight="1" x14ac:dyDescent="0.2">
      <c r="A1" s="5" t="s">
        <v>66</v>
      </c>
      <c r="B1" s="20"/>
      <c r="C1" s="20">
        <v>43831</v>
      </c>
      <c r="D1" s="20">
        <f t="shared" ref="D1:Z1" si="0">EDATE(C1,1)</f>
        <v>43862</v>
      </c>
      <c r="E1" s="20">
        <f t="shared" si="0"/>
        <v>43891</v>
      </c>
      <c r="F1" s="20">
        <f t="shared" si="0"/>
        <v>43922</v>
      </c>
      <c r="G1" s="20">
        <f t="shared" si="0"/>
        <v>43952</v>
      </c>
      <c r="H1" s="20">
        <f t="shared" si="0"/>
        <v>43983</v>
      </c>
      <c r="I1" s="20">
        <f t="shared" si="0"/>
        <v>44013</v>
      </c>
      <c r="J1" s="20">
        <f t="shared" si="0"/>
        <v>44044</v>
      </c>
      <c r="K1" s="20">
        <f t="shared" si="0"/>
        <v>44075</v>
      </c>
      <c r="L1" s="20">
        <f t="shared" si="0"/>
        <v>44105</v>
      </c>
      <c r="M1" s="20">
        <f t="shared" si="0"/>
        <v>44136</v>
      </c>
      <c r="N1" s="20">
        <f t="shared" si="0"/>
        <v>44166</v>
      </c>
      <c r="O1" s="20">
        <f t="shared" si="0"/>
        <v>44197</v>
      </c>
      <c r="P1" s="20">
        <f t="shared" si="0"/>
        <v>44228</v>
      </c>
      <c r="Q1" s="20">
        <f t="shared" si="0"/>
        <v>44256</v>
      </c>
      <c r="R1" s="20">
        <f t="shared" si="0"/>
        <v>44287</v>
      </c>
      <c r="S1" s="20">
        <f t="shared" si="0"/>
        <v>44317</v>
      </c>
      <c r="T1" s="20">
        <f t="shared" si="0"/>
        <v>44348</v>
      </c>
      <c r="U1" s="20">
        <f t="shared" si="0"/>
        <v>44378</v>
      </c>
      <c r="V1" s="20">
        <f t="shared" si="0"/>
        <v>44409</v>
      </c>
      <c r="W1" s="20">
        <f t="shared" si="0"/>
        <v>44440</v>
      </c>
      <c r="X1" s="20">
        <f t="shared" si="0"/>
        <v>44470</v>
      </c>
      <c r="Y1" s="20">
        <f t="shared" si="0"/>
        <v>44501</v>
      </c>
      <c r="Z1" s="20">
        <f t="shared" si="0"/>
        <v>44531</v>
      </c>
    </row>
    <row r="2" spans="1:26" ht="12.75" x14ac:dyDescent="0.2">
      <c r="B2" s="23" t="s">
        <v>41</v>
      </c>
      <c r="C2" s="25">
        <f t="array" aca="1" ref="C2" ca="1">INDEX(Oper_Model_Revenue,MATCH(C$1,Oper_Model_Months,0))</f>
        <v>824529</v>
      </c>
      <c r="D2" s="25">
        <f t="array" aca="1" ref="D2" ca="1">INDEX(Oper_Model_Revenue,MATCH(D$1,Oper_Model_Months,0))</f>
        <v>844626</v>
      </c>
      <c r="E2" s="25">
        <f t="array" aca="1" ref="E2" ca="1">INDEX(Oper_Model_Revenue,MATCH(E$1,Oper_Model_Months,0))</f>
        <v>819162.19</v>
      </c>
      <c r="F2" s="25">
        <f t="array" aca="1" ref="F2" ca="1">INDEX(Oper_Model_Revenue,MATCH(F$1,Oper_Model_Months,0))</f>
        <v>796507</v>
      </c>
      <c r="G2" s="22"/>
      <c r="H2" s="22"/>
      <c r="I2" s="22"/>
      <c r="J2" s="22"/>
      <c r="K2" s="22"/>
      <c r="L2" s="22"/>
      <c r="M2" s="22"/>
      <c r="N2" s="22"/>
      <c r="O2" s="22"/>
      <c r="P2" s="22"/>
      <c r="Q2" s="22"/>
      <c r="R2" s="22"/>
      <c r="S2" s="22"/>
      <c r="T2" s="22"/>
      <c r="U2" s="22"/>
      <c r="V2" s="22"/>
      <c r="W2" s="22"/>
      <c r="X2" s="22"/>
      <c r="Y2" s="22"/>
      <c r="Z2" s="22"/>
    </row>
    <row r="3" spans="1:26" ht="12.75" x14ac:dyDescent="0.2">
      <c r="B3" s="23" t="s">
        <v>56</v>
      </c>
      <c r="C3" s="22"/>
      <c r="D3" s="22"/>
      <c r="E3" s="22"/>
      <c r="F3" s="25">
        <f t="array" aca="1" ref="F3" ca="1">INDEX(Oper_Model_Revenue,MATCH(F$1,Oper_Model_Months,0))</f>
        <v>796507</v>
      </c>
      <c r="G3" s="25">
        <f t="array" aca="1" ref="G3" ca="1">INDEX(Oper_Model_Revenue,MATCH(G$1,Oper_Model_Months,0))</f>
        <v>780349.42888759938</v>
      </c>
      <c r="H3" s="25">
        <f t="array" aca="1" ref="H3" ca="1">INDEX(Oper_Model_Revenue,MATCH(H$1,Oper_Model_Months,0))</f>
        <v>776838.89834164642</v>
      </c>
      <c r="I3" s="25">
        <f t="array" aca="1" ref="I3" ca="1">INDEX(Oper_Model_Revenue,MATCH(I$1,Oper_Model_Months,0))</f>
        <v>784307.49639270024</v>
      </c>
      <c r="J3" s="25">
        <f t="array" aca="1" ref="J3" ca="1">INDEX(Oper_Model_Revenue,MATCH(J$1,Oper_Model_Months,0))</f>
        <v>794270.11839480256</v>
      </c>
      <c r="K3" s="25">
        <f t="array" aca="1" ref="K3" ca="1">INDEX(Oper_Model_Revenue,MATCH(K$1,Oper_Model_Months,0))</f>
        <v>810446.91710921796</v>
      </c>
      <c r="L3" s="25">
        <f t="array" aca="1" ref="L3" ca="1">INDEX(Oper_Model_Revenue,MATCH(L$1,Oper_Model_Months,0))</f>
        <v>828843.4436886058</v>
      </c>
      <c r="M3" s="25">
        <f t="array" aca="1" ref="M3" ca="1">INDEX(Oper_Model_Revenue,MATCH(M$1,Oper_Model_Months,0))</f>
        <v>846201.42083742563</v>
      </c>
      <c r="N3" s="25">
        <f t="array" aca="1" ref="N3" ca="1">INDEX(Oper_Model_Revenue,MATCH(N$1,Oper_Model_Months,0))</f>
        <v>864575.11305563885</v>
      </c>
      <c r="O3" s="25">
        <f t="array" aca="1" ref="O3" ca="1">INDEX(Oper_Model_Revenue,MATCH(O$1,Oper_Model_Months,0))</f>
        <v>882839.9823146424</v>
      </c>
      <c r="P3" s="25">
        <f t="array" aca="1" ref="P3" ca="1">INDEX(Oper_Model_Revenue,MATCH(P$1,Oper_Model_Months,0))</f>
        <v>902246.59964331996</v>
      </c>
      <c r="Q3" s="25">
        <f t="array" aca="1" ref="Q3" ca="1">INDEX(Oper_Model_Revenue,MATCH(Q$1,Oper_Model_Months,0))</f>
        <v>921493.21251495357</v>
      </c>
      <c r="R3" s="25">
        <f t="array" aca="1" ref="R3" ca="1">INDEX(Oper_Model_Revenue,MATCH(R$1,Oper_Model_Months,0))</f>
        <v>941858.92249037873</v>
      </c>
      <c r="S3" s="25">
        <f t="array" aca="1" ref="S3" ca="1">INDEX(Oper_Model_Revenue,MATCH(S$1,Oper_Model_Months,0))</f>
        <v>963330.71914236806</v>
      </c>
      <c r="T3" s="25">
        <f t="array" aca="1" ref="T3" ca="1">INDEX(Oper_Model_Revenue,MATCH(T$1,Oper_Model_Months,0))</f>
        <v>984645.77349427529</v>
      </c>
      <c r="U3" s="25">
        <f t="array" aca="1" ref="U3" ca="1">INDEX(Oper_Model_Revenue,MATCH(U$1,Oper_Model_Months,0))</f>
        <v>1007059.4490605886</v>
      </c>
      <c r="V3" s="25">
        <f t="array" aca="1" ref="V3" ca="1">INDEX(Oper_Model_Revenue,MATCH(V$1,Oper_Model_Months,0))</f>
        <v>1029314.1493517382</v>
      </c>
      <c r="W3" s="25">
        <f t="array" aca="1" ref="W3" ca="1">INDEX(Oper_Model_Revenue,MATCH(W$1,Oper_Model_Months,0))</f>
        <v>1052658.0192075358</v>
      </c>
      <c r="X3" s="25">
        <f t="array" aca="1" ref="X3" ca="1">INDEX(Oper_Model_Revenue,MATCH(X$1,Oper_Model_Months,0))</f>
        <v>1077084.2720350875</v>
      </c>
      <c r="Y3" s="25">
        <f t="array" aca="1" ref="Y3" ca="1">INDEX(Oper_Model_Revenue,MATCH(Y$1,Oper_Model_Months,0))</f>
        <v>1101336.8030746204</v>
      </c>
      <c r="Z3" s="25">
        <f t="array" aca="1" ref="Z3" ca="1">INDEX(Oper_Model_Revenue,MATCH(Z$1,Oper_Model_Months,0))</f>
        <v>1126664.7198087142</v>
      </c>
    </row>
    <row r="4" spans="1:26" ht="12.75" x14ac:dyDescent="0.2">
      <c r="B4" s="23" t="s">
        <v>58</v>
      </c>
      <c r="C4" s="22"/>
      <c r="D4" s="22"/>
      <c r="E4" s="22"/>
      <c r="F4" s="25">
        <f t="array" aca="1" ref="F4" ca="1">INDEX(Oper_Model_Revenue_Worst_Case,MATCH(F$1,Oper_Model_Months_Worst_Case,0))</f>
        <v>796507</v>
      </c>
      <c r="G4" s="25">
        <f t="array" aca="1" ref="G4" ca="1">INDEX(Oper_Model_Revenue_Worst_Case,MATCH(G$1,Oper_Model_Months_Worst_Case,0))</f>
        <v>751351.16885860101</v>
      </c>
      <c r="H4" s="25">
        <f t="array" aca="1" ref="H4" ca="1">INDEX(Oper_Model_Revenue_Worst_Case,MATCH(H$1,Oper_Model_Months_Worst_Case,0))</f>
        <v>719265.39062811132</v>
      </c>
      <c r="I4" s="25">
        <f t="array" aca="1" ref="I4" ca="1">INDEX(Oper_Model_Revenue_Worst_Case,MATCH(I$1,Oper_Model_Months_Worst_Case,0))</f>
        <v>698975.91400852578</v>
      </c>
      <c r="J4" s="25">
        <f t="array" aca="1" ref="J4" ca="1">INDEX(Oper_Model_Revenue_Worst_Case,MATCH(J$1,Oper_Model_Months_Worst_Case,0))</f>
        <v>695909.30456361966</v>
      </c>
      <c r="K4" s="25">
        <f t="array" aca="1" ref="K4" ca="1">INDEX(Oper_Model_Revenue_Worst_Case,MATCH(K$1,Oper_Model_Months_Worst_Case,0))</f>
        <v>701273.89020084555</v>
      </c>
      <c r="L4" s="25">
        <f t="array" aca="1" ref="L4" ca="1">INDEX(Oper_Model_Revenue_Worst_Case,MATCH(L$1,Oper_Model_Months_Worst_Case,0))</f>
        <v>708129.55985148565</v>
      </c>
      <c r="M4" s="25">
        <f t="array" aca="1" ref="M4" ca="1">INDEX(Oper_Model_Revenue_Worst_Case,MATCH(M$1,Oper_Model_Months_Worst_Case,0))</f>
        <v>714263.80053653591</v>
      </c>
      <c r="N4" s="25">
        <f t="array" aca="1" ref="N4" ca="1">INDEX(Oper_Model_Revenue_Worst_Case,MATCH(N$1,Oper_Model_Months_Worst_Case,0))</f>
        <v>721233.14561187453</v>
      </c>
      <c r="O4" s="25">
        <f t="array" aca="1" ref="O4" ca="1">INDEX(Oper_Model_Revenue_Worst_Case,MATCH(O$1,Oper_Model_Months_Worst_Case,0))</f>
        <v>727877.02338234847</v>
      </c>
      <c r="P4" s="25">
        <f t="array" aca="1" ref="P4" ca="1">INDEX(Oper_Model_Revenue_Worst_Case,MATCH(P$1,Oper_Model_Months_Worst_Case,0))</f>
        <v>735442.10067946767</v>
      </c>
      <c r="Q4" s="25">
        <f t="array" aca="1" ref="Q4" ca="1">INDEX(Oper_Model_Revenue_Worst_Case,MATCH(Q$1,Oper_Model_Months_Worst_Case,0))</f>
        <v>742622.70214428508</v>
      </c>
      <c r="R4" s="25">
        <f t="array" aca="1" ref="R4" ca="1">INDEX(Oper_Model_Revenue_Worst_Case,MATCH(R$1,Oper_Model_Months_Worst_Case,0))</f>
        <v>750695.62397888908</v>
      </c>
      <c r="S4" s="25">
        <f t="array" aca="1" ref="S4" ca="1">INDEX(Oper_Model_Revenue_Worst_Case,MATCH(S$1,Oper_Model_Months_Worst_Case,0))</f>
        <v>759632.58809963847</v>
      </c>
      <c r="T4" s="25">
        <f t="array" aca="1" ref="T4" ca="1">INDEX(Oper_Model_Revenue_Worst_Case,MATCH(T$1,Oper_Model_Months_Worst_Case,0))</f>
        <v>768157.62047631107</v>
      </c>
      <c r="U4" s="25">
        <f t="array" aca="1" ref="U4" ca="1">INDEX(Oper_Model_Revenue_Worst_Case,MATCH(U$1,Oper_Model_Months_Worst_Case,0))</f>
        <v>777528.285152831</v>
      </c>
      <c r="V4" s="25">
        <f t="array" aca="1" ref="V4" ca="1">INDEX(Oper_Model_Revenue_Worst_Case,MATCH(V$1,Oper_Model_Months_Worst_Case,0))</f>
        <v>786472.11503278383</v>
      </c>
      <c r="W4" s="25">
        <f t="array" aca="1" ref="W4" ca="1">INDEX(Oper_Model_Revenue_Worst_Case,MATCH(W$1,Oper_Model_Months_Worst_Case,0))</f>
        <v>796241.2033009585</v>
      </c>
      <c r="X4" s="25">
        <f t="array" aca="1" ref="X4" ca="1">INDEX(Oper_Model_Revenue_Worst_Case,MATCH(X$1,Oper_Model_Months_Worst_Case,0))</f>
        <v>806813.94729227631</v>
      </c>
      <c r="Y4" s="25">
        <f t="array" aca="1" ref="Y4" ca="1">INDEX(Oper_Model_Revenue_Worst_Case,MATCH(Y$1,Oper_Model_Months_Worst_Case,0))</f>
        <v>816919.59096423793</v>
      </c>
      <c r="Z4" s="25">
        <f t="array" aca="1" ref="Z4" ca="1">INDEX(Oper_Model_Revenue_Worst_Case,MATCH(Z$1,Oper_Model_Months_Worst_Case,0))</f>
        <v>827811.22185742576</v>
      </c>
    </row>
    <row r="5" spans="1:26" ht="12.75" x14ac:dyDescent="0.2">
      <c r="B5" s="23" t="s">
        <v>40</v>
      </c>
      <c r="C5" s="25">
        <f t="array" ref="C5">INDEX(Oper_Model_Revenue_2020_Target,MATCH(C$1,Oper_Model_Months_2020_Target,0))</f>
        <v>798842.74764285074</v>
      </c>
      <c r="D5" s="25">
        <f t="array" ref="D5">INDEX(Oper_Model_Revenue_2020_Target,MATCH(D$1,Oper_Model_Months_2020_Target,0))</f>
        <v>820160.99294899986</v>
      </c>
      <c r="E5" s="25">
        <f t="array" ref="E5">INDEX(Oper_Model_Revenue_2020_Target,MATCH(E$1,Oper_Model_Months_2020_Target,0))</f>
        <v>841306.60327318718</v>
      </c>
      <c r="F5" s="25">
        <f t="array" ref="F5">INDEX(Oper_Model_Revenue_2020_Target,MATCH(F$1,Oper_Model_Months_2020_Target,0))</f>
        <v>862039.19919513853</v>
      </c>
      <c r="G5" s="25">
        <f t="array" ref="G5">INDEX(Oper_Model_Revenue_2020_Target,MATCH(G$1,Oper_Model_Months_2020_Target,0))</f>
        <v>882494.27705282357</v>
      </c>
      <c r="H5" s="25">
        <f t="array" ref="H5">INDEX(Oper_Model_Revenue_2020_Target,MATCH(H$1,Oper_Model_Months_2020_Target,0))</f>
        <v>904725.08850157424</v>
      </c>
      <c r="I5" s="25">
        <f t="array" ref="I5">INDEX(Oper_Model_Revenue_2020_Target,MATCH(I$1,Oper_Model_Months_2020_Target,0))</f>
        <v>926611.53405971685</v>
      </c>
      <c r="J5" s="25">
        <f t="array" ref="J5">INDEX(Oper_Model_Revenue_2020_Target,MATCH(J$1,Oper_Model_Months_2020_Target,0))</f>
        <v>948189.38694579178</v>
      </c>
      <c r="K5" s="25">
        <f t="array" ref="K5">INDEX(Oper_Model_Revenue_2020_Target,MATCH(K$1,Oper_Model_Months_2020_Target,0))</f>
        <v>969459.11163982737</v>
      </c>
      <c r="L5" s="25">
        <f t="array" ref="L5">INDEX(Oper_Model_Revenue_2020_Target,MATCH(L$1,Oper_Model_Months_2020_Target,0))</f>
        <v>990420.05015114299</v>
      </c>
      <c r="M5" s="25">
        <f t="array" ref="M5">INDEX(Oper_Model_Revenue_2020_Target,MATCH(M$1,Oper_Model_Months_2020_Target,0))</f>
        <v>1011084.1739220829</v>
      </c>
      <c r="N5" s="25">
        <f t="array" ref="N5">INDEX(Oper_Model_Revenue_2020_Target,MATCH(N$1,Oper_Model_Months_2020_Target,0))</f>
        <v>1031455.1092876518</v>
      </c>
      <c r="O5" s="25">
        <f t="array" ref="O5">INDEX(Oper_Model_Revenue_2020_Target,MATCH(O$1,Oper_Model_Months_2020_Target,0))</f>
        <v>1053588.1505530975</v>
      </c>
      <c r="P5" s="25">
        <f t="array" ref="P5">INDEX(Oper_Model_Revenue_2020_Target,MATCH(P$1,Oper_Model_Months_2020_Target,0))</f>
        <v>1075406.7487353184</v>
      </c>
      <c r="Q5" s="25">
        <f t="array" ref="Q5">INDEX(Oper_Model_Revenue_2020_Target,MATCH(Q$1,Oper_Model_Months_2020_Target,0))</f>
        <v>1096916.2734738451</v>
      </c>
      <c r="R5" s="25">
        <f t="array" ref="R5">INDEX(Oper_Model_Revenue_2020_Target,MATCH(R$1,Oper_Model_Months_2020_Target,0))</f>
        <v>1118122.4848676606</v>
      </c>
      <c r="S5" s="25">
        <f t="array" ref="S5">INDEX(Oper_Model_Revenue_2020_Target,MATCH(S$1,Oper_Model_Months_2020_Target,0))</f>
        <v>1139031.2972662568</v>
      </c>
      <c r="T5" s="25">
        <f t="array" ref="T5">INDEX(Oper_Model_Revenue_2020_Target,MATCH(T$1,Oper_Model_Months_2020_Target,0))</f>
        <v>1159648.1697537834</v>
      </c>
      <c r="U5" s="25">
        <f t="array" ref="U5">INDEX(Oper_Model_Revenue_2020_Target,MATCH(U$1,Oper_Model_Months_2020_Target,0))</f>
        <v>1182029.1804724927</v>
      </c>
      <c r="V5" s="25">
        <f t="array" ref="V5">INDEX(Oper_Model_Revenue_2020_Target,MATCH(V$1,Oper_Model_Months_2020_Target,0))</f>
        <v>1204096.5761548781</v>
      </c>
      <c r="W5" s="25">
        <f t="array" ref="W5">INDEX(Oper_Model_Revenue_2020_Target,MATCH(W$1,Oper_Model_Months_2020_Target,0))</f>
        <v>1225856.2213891607</v>
      </c>
      <c r="X5" s="25">
        <f t="array" ref="X5">INDEX(Oper_Model_Revenue_2020_Target,MATCH(X$1,Oper_Model_Months_2020_Target,0))</f>
        <v>1247313.9055127318</v>
      </c>
      <c r="Y5" s="25">
        <f t="array" ref="Y5">INDEX(Oper_Model_Revenue_2020_Target,MATCH(Y$1,Oper_Model_Months_2020_Target,0))</f>
        <v>1268475.3069442825</v>
      </c>
      <c r="Z5" s="25">
        <f t="array" ref="Z5">INDEX(Oper_Model_Revenue_2020_Target,MATCH(Z$1,Oper_Model_Months_2020_Target,0))</f>
        <v>1291396.5664590835</v>
      </c>
    </row>
    <row r="6" spans="1:26" ht="12.75" x14ac:dyDescent="0.2">
      <c r="A6" s="23"/>
      <c r="B6" s="22"/>
      <c r="C6" s="22"/>
      <c r="D6" s="22"/>
      <c r="E6" s="22"/>
      <c r="F6" s="22"/>
      <c r="G6" s="22"/>
      <c r="H6" s="22"/>
      <c r="I6" s="22"/>
      <c r="J6" s="22"/>
      <c r="K6" s="22"/>
      <c r="L6" s="22"/>
      <c r="M6" s="22"/>
      <c r="N6" s="22"/>
      <c r="O6" s="22"/>
      <c r="P6" s="22"/>
      <c r="Q6" s="22"/>
      <c r="R6" s="22"/>
      <c r="S6" s="22"/>
      <c r="T6" s="22"/>
      <c r="U6" s="22"/>
      <c r="V6" s="22"/>
      <c r="W6" s="22"/>
      <c r="X6" s="22"/>
      <c r="Y6" s="22"/>
      <c r="Z6" s="22"/>
    </row>
    <row r="7" spans="1:26" ht="12.75" x14ac:dyDescent="0.2">
      <c r="B7" s="68" t="s">
        <v>72</v>
      </c>
      <c r="C7" s="25">
        <f t="array" aca="1" ref="C7" ca="1">INDEX(Oper_Model_General,MATCH(C$1,Oper_Model_Months,0))</f>
        <v>102338</v>
      </c>
      <c r="D7" s="25">
        <f t="array" aca="1" ref="D7" ca="1">INDEX(Oper_Model_General,MATCH(D$1,Oper_Model_Months,0))</f>
        <v>111703</v>
      </c>
      <c r="E7" s="25">
        <f t="array" aca="1" ref="E7" ca="1">INDEX(Oper_Model_General,MATCH(E$1,Oper_Model_Months,0))</f>
        <v>86317</v>
      </c>
      <c r="F7" s="25">
        <f t="array" aca="1" ref="F7" ca="1">INDEX(Oper_Model_General,MATCH(F$1,Oper_Model_Months,0))</f>
        <v>87926</v>
      </c>
      <c r="G7" s="25">
        <f t="array" aca="1" ref="G7" ca="1">INDEX(Oper_Model_General,MATCH(G$1,Oper_Model_Months,0))</f>
        <v>78155.666666666657</v>
      </c>
      <c r="H7" s="25">
        <f t="array" aca="1" ref="H7" ca="1">INDEX(Oper_Model_General,MATCH(H$1,Oper_Model_Months,0))</f>
        <v>78155.666666666657</v>
      </c>
      <c r="I7" s="25">
        <f t="array" aca="1" ref="I7" ca="1">INDEX(Oper_Model_General,MATCH(I$1,Oper_Model_Months,0))</f>
        <v>78155.666666666657</v>
      </c>
      <c r="J7" s="25">
        <f t="array" aca="1" ref="J7" ca="1">INDEX(Oper_Model_General,MATCH(J$1,Oper_Model_Months,0))</f>
        <v>83409.499999999985</v>
      </c>
      <c r="K7" s="25">
        <f t="array" aca="1" ref="K7" ca="1">INDEX(Oper_Model_General,MATCH(K$1,Oper_Model_Months,0))</f>
        <v>83409.499999999985</v>
      </c>
      <c r="L7" s="25">
        <f t="array" aca="1" ref="L7" ca="1">INDEX(Oper_Model_General,MATCH(L$1,Oper_Model_Months,0))</f>
        <v>88663.333333333328</v>
      </c>
      <c r="M7" s="25">
        <f t="array" aca="1" ref="M7" ca="1">INDEX(Oper_Model_General,MATCH(M$1,Oper_Model_Months,0))</f>
        <v>88663.333333333328</v>
      </c>
      <c r="N7" s="25">
        <f t="array" aca="1" ref="N7" ca="1">INDEX(Oper_Model_General,MATCH(N$1,Oper_Model_Months,0))</f>
        <v>88663.333333333328</v>
      </c>
      <c r="O7" s="25">
        <f t="array" aca="1" ref="O7" ca="1">INDEX(Oper_Model_General,MATCH(O$1,Oper_Model_Months,0))</f>
        <v>88663.333333333328</v>
      </c>
      <c r="P7" s="25">
        <f t="array" aca="1" ref="P7" ca="1">INDEX(Oper_Model_General,MATCH(P$1,Oper_Model_Months,0))</f>
        <v>88663.333333333328</v>
      </c>
      <c r="Q7" s="25">
        <f t="array" aca="1" ref="Q7" ca="1">INDEX(Oper_Model_General,MATCH(Q$1,Oper_Model_Months,0))</f>
        <v>88663.333333333328</v>
      </c>
      <c r="R7" s="25">
        <f t="array" aca="1" ref="R7" ca="1">INDEX(Oper_Model_General,MATCH(R$1,Oper_Model_Months,0))</f>
        <v>88663.333333333328</v>
      </c>
      <c r="S7" s="25">
        <f t="array" aca="1" ref="S7" ca="1">INDEX(Oper_Model_General,MATCH(S$1,Oper_Model_Months,0))</f>
        <v>88663.333333333328</v>
      </c>
      <c r="T7" s="25">
        <f t="array" aca="1" ref="T7" ca="1">INDEX(Oper_Model_General,MATCH(T$1,Oper_Model_Months,0))</f>
        <v>88663.333333333328</v>
      </c>
      <c r="U7" s="25">
        <f t="array" aca="1" ref="U7" ca="1">INDEX(Oper_Model_General,MATCH(U$1,Oper_Model_Months,0))</f>
        <v>88663.333333333328</v>
      </c>
      <c r="V7" s="25">
        <f t="array" aca="1" ref="V7" ca="1">INDEX(Oper_Model_General,MATCH(V$1,Oper_Model_Months,0))</f>
        <v>88663.333333333328</v>
      </c>
      <c r="W7" s="25">
        <f t="array" aca="1" ref="W7" ca="1">INDEX(Oper_Model_General,MATCH(W$1,Oper_Model_Months,0))</f>
        <v>88663.333333333328</v>
      </c>
      <c r="X7" s="25">
        <f t="array" aca="1" ref="X7" ca="1">INDEX(Oper_Model_General,MATCH(X$1,Oper_Model_Months,0))</f>
        <v>88663.333333333328</v>
      </c>
      <c r="Y7" s="25">
        <f t="array" aca="1" ref="Y7" ca="1">INDEX(Oper_Model_General,MATCH(Y$1,Oper_Model_Months,0))</f>
        <v>88663.333333333328</v>
      </c>
      <c r="Z7" s="25">
        <f t="array" aca="1" ref="Z7" ca="1">INDEX(Oper_Model_General,MATCH(Z$1,Oper_Model_Months,0))</f>
        <v>88663.333333333328</v>
      </c>
    </row>
    <row r="8" spans="1:26" ht="12.75" x14ac:dyDescent="0.2">
      <c r="B8" s="68" t="s">
        <v>12</v>
      </c>
      <c r="C8" s="25">
        <f t="array" aca="1" ref="C8" ca="1">INDEX(Oper_Model_Sales_and_Marketing,MATCH(C$1,Oper_Model_Months,0))</f>
        <v>312682</v>
      </c>
      <c r="D8" s="25">
        <f t="array" aca="1" ref="D8" ca="1">INDEX(Oper_Model_Sales_and_Marketing,MATCH(D$1,Oper_Model_Months,0))</f>
        <v>326880</v>
      </c>
      <c r="E8" s="25">
        <f t="array" aca="1" ref="E8" ca="1">INDEX(Oper_Model_Sales_and_Marketing,MATCH(E$1,Oper_Model_Months,0))</f>
        <v>296642</v>
      </c>
      <c r="F8" s="25">
        <f t="array" aca="1" ref="F8" ca="1">INDEX(Oper_Model_Sales_and_Marketing,MATCH(F$1,Oper_Model_Months,0))</f>
        <v>284575</v>
      </c>
      <c r="G8" s="25">
        <f t="array" aca="1" ref="G8" ca="1">INDEX(Oper_Model_Sales_and_Marketing,MATCH(G$1,Oper_Model_Months,0))</f>
        <v>275628.6895190989</v>
      </c>
      <c r="H8" s="25">
        <f t="array" aca="1" ref="H8" ca="1">INDEX(Oper_Model_Sales_and_Marketing,MATCH(H$1,Oper_Model_Months,0))</f>
        <v>290437.16025988699</v>
      </c>
      <c r="I8" s="25">
        <f t="array" aca="1" ref="I8" ca="1">INDEX(Oper_Model_Sales_and_Marketing,MATCH(I$1,Oper_Model_Months,0))</f>
        <v>305844.63572074543</v>
      </c>
      <c r="J8" s="25">
        <f t="array" aca="1" ref="J8" ca="1">INDEX(Oper_Model_Sales_and_Marketing,MATCH(J$1,Oper_Model_Months,0))</f>
        <v>321388.18137200613</v>
      </c>
      <c r="K8" s="25">
        <f t="array" aca="1" ref="K8" ca="1">INDEX(Oper_Model_Sales_and_Marketing,MATCH(K$1,Oper_Model_Months,0))</f>
        <v>337270.76314522664</v>
      </c>
      <c r="L8" s="25">
        <f t="array" aca="1" ref="L8" ca="1">INDEX(Oper_Model_Sales_and_Marketing,MATCH(L$1,Oper_Model_Months,0))</f>
        <v>384907.78326085664</v>
      </c>
      <c r="M8" s="25">
        <f t="array" aca="1" ref="M8" ca="1">INDEX(Oper_Model_Sales_and_Marketing,MATCH(M$1,Oper_Model_Months,0))</f>
        <v>400854.80835042981</v>
      </c>
      <c r="N8" s="25">
        <f t="array" aca="1" ref="N8" ca="1">INDEX(Oper_Model_Sales_and_Marketing,MATCH(N$1,Oper_Model_Months,0))</f>
        <v>448490.58265770611</v>
      </c>
      <c r="O8" s="25">
        <f t="array" aca="1" ref="O8" ca="1">INDEX(Oper_Model_Sales_and_Marketing,MATCH(O$1,Oper_Model_Months,0))</f>
        <v>464487.08641489793</v>
      </c>
      <c r="P8" s="25">
        <f t="array" aca="1" ref="P8" ca="1">INDEX(Oper_Model_Sales_and_Marketing,MATCH(P$1,Oper_Model_Months,0))</f>
        <v>512179.21556046407</v>
      </c>
      <c r="Q8" s="25">
        <f t="array" aca="1" ref="Q8" ca="1">INDEX(Oper_Model_Sales_and_Marketing,MATCH(Q$1,Oper_Model_Months,0))</f>
        <v>528229.28177051072</v>
      </c>
      <c r="R8" s="25">
        <f t="array" aca="1" ref="R8" ca="1">INDEX(Oper_Model_Sales_and_Marketing,MATCH(R$1,Oper_Model_Months,0))</f>
        <v>575973.73756634886</v>
      </c>
      <c r="S8" s="25">
        <f t="array" aca="1" ref="S8" ca="1">INDEX(Oper_Model_Sales_and_Marketing,MATCH(S$1,Oper_Model_Months,0))</f>
        <v>592145.20645199763</v>
      </c>
      <c r="T8" s="25">
        <f t="array" aca="1" ref="T8" ca="1">INDEX(Oper_Model_Sales_and_Marketing,MATCH(T$1,Oper_Model_Months,0))</f>
        <v>608308.12371383095</v>
      </c>
      <c r="U8" s="25">
        <f t="array" aca="1" ref="U8" ca="1">INDEX(Oper_Model_Sales_and_Marketing,MATCH(U$1,Oper_Model_Months,0))</f>
        <v>624530.98009443725</v>
      </c>
      <c r="V8" s="25">
        <f t="array" aca="1" ref="V8" ca="1">INDEX(Oper_Model_Sales_and_Marketing,MATCH(V$1,Oper_Model_Months,0))</f>
        <v>640745.16302347055</v>
      </c>
      <c r="W8" s="25">
        <f t="array" aca="1" ref="W8" ca="1">INDEX(Oper_Model_Sales_and_Marketing,MATCH(W$1,Oper_Model_Months,0))</f>
        <v>657018.76940350165</v>
      </c>
      <c r="X8" s="25">
        <f t="array" aca="1" ref="X8" ca="1">INDEX(Oper_Model_Sales_and_Marketing,MATCH(X$1,Oper_Model_Months,0))</f>
        <v>673351.42896824365</v>
      </c>
      <c r="Y8" s="25">
        <f t="array" aca="1" ref="Y8" ca="1">INDEX(Oper_Model_Sales_and_Marketing,MATCH(Y$1,Oper_Model_Months,0))</f>
        <v>689674.61053388193</v>
      </c>
      <c r="Z8" s="25">
        <f t="array" aca="1" ref="Z8" ca="1">INDEX(Oper_Model_Sales_and_Marketing,MATCH(Z$1,Oper_Model_Months,0))</f>
        <v>706056.46352332644</v>
      </c>
    </row>
    <row r="9" spans="1:26" ht="12.75" x14ac:dyDescent="0.2">
      <c r="B9" s="68" t="s">
        <v>76</v>
      </c>
      <c r="C9" s="25">
        <f t="array" aca="1" ref="C9" ca="1">INDEX(Oper_Model_Engineering,MATCH(C$1,Oper_Model_Months,0))</f>
        <v>278774</v>
      </c>
      <c r="D9" s="25">
        <f t="array" aca="1" ref="D9" ca="1">INDEX(Oper_Model_Engineering,MATCH(D$1,Oper_Model_Months,0))</f>
        <v>284741</v>
      </c>
      <c r="E9" s="25">
        <f t="array" aca="1" ref="E9" ca="1">INDEX(Oper_Model_Engineering,MATCH(E$1,Oper_Model_Months,0))</f>
        <v>280952</v>
      </c>
      <c r="F9" s="25">
        <f t="array" aca="1" ref="F9" ca="1">INDEX(Oper_Model_Engineering,MATCH(F$1,Oper_Model_Months,0))</f>
        <v>278352</v>
      </c>
      <c r="G9" s="25">
        <f t="array" ref="G9">INDEX(Oper_Model_Engineering,MATCH(G$1,Oper_Model_Months,0))</f>
        <v>229392.50000000003</v>
      </c>
      <c r="H9" s="25">
        <f t="array" ref="H9">INDEX(Oper_Model_Engineering,MATCH(H$1,Oper_Model_Months,0))</f>
        <v>229392.50000000003</v>
      </c>
      <c r="I9" s="25">
        <f t="array" ref="I9">INDEX(Oper_Model_Engineering,MATCH(I$1,Oper_Model_Months,0))</f>
        <v>229392.50000000003</v>
      </c>
      <c r="J9" s="25">
        <f t="array" ref="J9">INDEX(Oper_Model_Engineering,MATCH(J$1,Oper_Model_Months,0))</f>
        <v>229392.50000000003</v>
      </c>
      <c r="K9" s="25">
        <f t="array" ref="K9">INDEX(Oper_Model_Engineering,MATCH(K$1,Oper_Model_Months,0))</f>
        <v>229392.50000000003</v>
      </c>
      <c r="L9" s="25">
        <f t="array" ref="L9">INDEX(Oper_Model_Engineering,MATCH(L$1,Oper_Model_Months,0))</f>
        <v>247313.33333333337</v>
      </c>
      <c r="M9" s="25">
        <f t="array" ref="M9">INDEX(Oper_Model_Engineering,MATCH(M$1,Oper_Model_Months,0))</f>
        <v>247313.33333333337</v>
      </c>
      <c r="N9" s="25">
        <f t="array" ref="N9">INDEX(Oper_Model_Engineering,MATCH(N$1,Oper_Model_Months,0))</f>
        <v>247313.33333333337</v>
      </c>
      <c r="O9" s="25">
        <f t="array" ref="O9">INDEX(Oper_Model_Engineering,MATCH(O$1,Oper_Model_Months,0))</f>
        <v>264292.5</v>
      </c>
      <c r="P9" s="25">
        <f t="array" ref="P9">INDEX(Oper_Model_Engineering,MATCH(P$1,Oper_Model_Months,0))</f>
        <v>264292.5</v>
      </c>
      <c r="Q9" s="25">
        <f t="array" ref="Q9">INDEX(Oper_Model_Engineering,MATCH(Q$1,Oper_Model_Months,0))</f>
        <v>264292.5</v>
      </c>
      <c r="R9" s="25">
        <f t="array" ref="R9">INDEX(Oper_Model_Engineering,MATCH(R$1,Oper_Model_Months,0))</f>
        <v>281271.66666666669</v>
      </c>
      <c r="S9" s="25">
        <f t="array" ref="S9">INDEX(Oper_Model_Engineering,MATCH(S$1,Oper_Model_Months,0))</f>
        <v>281271.66666666669</v>
      </c>
      <c r="T9" s="25">
        <f t="array" ref="T9">INDEX(Oper_Model_Engineering,MATCH(T$1,Oper_Model_Months,0))</f>
        <v>281271.66666666669</v>
      </c>
      <c r="U9" s="25">
        <f t="array" ref="U9">INDEX(Oper_Model_Engineering,MATCH(U$1,Oper_Model_Months,0))</f>
        <v>298910</v>
      </c>
      <c r="V9" s="25">
        <f t="array" ref="V9">INDEX(Oper_Model_Engineering,MATCH(V$1,Oper_Model_Months,0))</f>
        <v>298910</v>
      </c>
      <c r="W9" s="25">
        <f t="array" ref="W9">INDEX(Oper_Model_Engineering,MATCH(W$1,Oper_Model_Months,0))</f>
        <v>298910</v>
      </c>
      <c r="X9" s="25">
        <f t="array" ref="X9">INDEX(Oper_Model_Engineering,MATCH(X$1,Oper_Model_Months,0))</f>
        <v>314947.5</v>
      </c>
      <c r="Y9" s="25">
        <f t="array" ref="Y9">INDEX(Oper_Model_Engineering,MATCH(Y$1,Oper_Model_Months,0))</f>
        <v>314947.5</v>
      </c>
      <c r="Z9" s="25">
        <f t="array" ref="Z9">INDEX(Oper_Model_Engineering,MATCH(Z$1,Oper_Model_Months,0))</f>
        <v>314947.5</v>
      </c>
    </row>
    <row r="10" spans="1:26" ht="12.75" x14ac:dyDescent="0.2">
      <c r="B10" s="68" t="s">
        <v>13</v>
      </c>
      <c r="C10" s="25">
        <f t="array" aca="1" ref="C10" ca="1">INDEX(Oper_Model_Cost_of_Revenue,MATCH(C$1,Oper_Model_Months,0))</f>
        <v>144559</v>
      </c>
      <c r="D10" s="25">
        <f t="array" aca="1" ref="D10" ca="1">INDEX(Oper_Model_Cost_of_Revenue,MATCH(D$1,Oper_Model_Months,0))</f>
        <v>147471</v>
      </c>
      <c r="E10" s="25">
        <f t="array" aca="1" ref="E10" ca="1">INDEX(Oper_Model_Cost_of_Revenue,MATCH(E$1,Oper_Model_Months,0))</f>
        <v>146844</v>
      </c>
      <c r="F10" s="25">
        <f t="array" aca="1" ref="F10" ca="1">INDEX(Oper_Model_Cost_of_Revenue,MATCH(F$1,Oper_Model_Months,0))</f>
        <v>145771</v>
      </c>
      <c r="G10" s="25">
        <f t="array" aca="1" ref="G10" ca="1">INDEX(Oper_Model_Cost_of_Revenue,MATCH(G$1,Oper_Model_Months,0))</f>
        <v>143824.40636466118</v>
      </c>
      <c r="H10" s="25">
        <f t="array" aca="1" ref="H10" ca="1">INDEX(Oper_Model_Cost_of_Revenue,MATCH(H$1,Oper_Model_Months,0))</f>
        <v>143487.71696146208</v>
      </c>
      <c r="I10" s="25">
        <f t="array" aca="1" ref="I10" ca="1">INDEX(Oper_Model_Cost_of_Revenue,MATCH(I$1,Oper_Model_Months,0))</f>
        <v>144204.01832606411</v>
      </c>
      <c r="J10" s="25">
        <f t="array" aca="1" ref="J10" ca="1">INDEX(Oper_Model_Cost_of_Revenue,MATCH(J$1,Oper_Model_Months,0))</f>
        <v>145159.51756251228</v>
      </c>
      <c r="K10" s="25">
        <f t="array" aca="1" ref="K10" ca="1">INDEX(Oper_Model_Cost_of_Revenue,MATCH(K$1,Oper_Model_Months,0))</f>
        <v>146711.0086073936</v>
      </c>
      <c r="L10" s="25">
        <f t="array" aca="1" ref="L10" ca="1">INDEX(Oper_Model_Cost_of_Revenue,MATCH(L$1,Oper_Model_Months,0))</f>
        <v>156508.72355594771</v>
      </c>
      <c r="M10" s="25">
        <f t="array" aca="1" ref="M10" ca="1">INDEX(Oper_Model_Cost_of_Revenue,MATCH(M$1,Oper_Model_Months,0))</f>
        <v>158173.49954649335</v>
      </c>
      <c r="N10" s="25">
        <f t="array" aca="1" ref="N10" ca="1">INDEX(Oper_Model_Cost_of_Revenue,MATCH(N$1,Oper_Model_Months,0))</f>
        <v>168439.85782110534</v>
      </c>
      <c r="O10" s="25">
        <f t="array" aca="1" ref="O10" ca="1">INDEX(Oper_Model_Cost_of_Revenue,MATCH(O$1,Oper_Model_Months,0))</f>
        <v>170191.61239205269</v>
      </c>
      <c r="P10" s="25">
        <f t="array" aca="1" ref="P10" ca="1">INDEX(Oper_Model_Cost_of_Revenue,MATCH(P$1,Oper_Model_Months,0))</f>
        <v>180086.20353840754</v>
      </c>
      <c r="Q10" s="25">
        <f t="array" aca="1" ref="Q10" ca="1">INDEX(Oper_Model_Cost_of_Revenue,MATCH(Q$1,Oper_Model_Months,0))</f>
        <v>181932.11557834828</v>
      </c>
      <c r="R10" s="25">
        <f t="array" aca="1" ref="R10" ca="1">INDEX(Oper_Model_Cost_of_Revenue,MATCH(R$1,Oper_Model_Months,0))</f>
        <v>183885.35844223859</v>
      </c>
      <c r="S10" s="25">
        <f t="array" aca="1" ref="S10" ca="1">INDEX(Oper_Model_Cost_of_Revenue,MATCH(S$1,Oper_Model_Months,0))</f>
        <v>185944.68432068874</v>
      </c>
      <c r="T10" s="25">
        <f t="array" aca="1" ref="T10" ca="1">INDEX(Oper_Model_Cost_of_Revenue,MATCH(T$1,Oper_Model_Months,0))</f>
        <v>187988.97729434574</v>
      </c>
      <c r="U10" s="25">
        <f t="array" aca="1" ref="U10" ca="1">INDEX(Oper_Model_Cost_of_Revenue,MATCH(U$1,Oper_Model_Months,0))</f>
        <v>190138.63728195638</v>
      </c>
      <c r="V10" s="25">
        <f t="array" aca="1" ref="V10" ca="1">INDEX(Oper_Model_Cost_of_Revenue,MATCH(V$1,Oper_Model_Months,0))</f>
        <v>192273.05020368411</v>
      </c>
      <c r="W10" s="25">
        <f t="array" aca="1" ref="W10" ca="1">INDEX(Oper_Model_Cost_of_Revenue,MATCH(W$1,Oper_Model_Months,0))</f>
        <v>194511.92364666454</v>
      </c>
      <c r="X10" s="25">
        <f t="array" aca="1" ref="X10" ca="1">INDEX(Oper_Model_Cost_of_Revenue,MATCH(X$1,Oper_Model_Months,0))</f>
        <v>196854.60671956345</v>
      </c>
      <c r="Y10" s="25">
        <f t="array" aca="1" ref="Y10" ca="1">INDEX(Oper_Model_Cost_of_Revenue,MATCH(Y$1,Oper_Model_Months,0))</f>
        <v>199180.62841197726</v>
      </c>
      <c r="Z10" s="25">
        <f t="array" aca="1" ref="Z10" ca="1">INDEX(Oper_Model_Cost_of_Revenue,MATCH(Z$1,Oper_Model_Months,0))</f>
        <v>201609.788636579</v>
      </c>
    </row>
    <row r="12" spans="1:26" ht="12.75" x14ac:dyDescent="0.2">
      <c r="B12" s="23" t="s">
        <v>41</v>
      </c>
      <c r="C12" s="25">
        <f t="array" aca="1" ref="C12" ca="1">INDEX(Oper_Model_Bank_Accounts,MATCH(C$1,Oper_Model_Months,0))</f>
        <v>281579</v>
      </c>
      <c r="D12" s="25">
        <f t="array" aca="1" ref="D12" ca="1">INDEX(Oper_Model_Bank_Accounts,MATCH(D$1,Oper_Model_Months,0))</f>
        <v>255410</v>
      </c>
      <c r="E12" s="25">
        <f t="array" aca="1" ref="E12" ca="1">INDEX(Oper_Model_Bank_Accounts,MATCH(E$1,Oper_Model_Months,0))</f>
        <v>263817.19</v>
      </c>
      <c r="F12" s="25">
        <f t="array" aca="1" ref="F12" ca="1">INDEX(Oper_Model_Bank_Accounts,MATCH(F$1,Oper_Model_Months,0))</f>
        <v>263700.19</v>
      </c>
      <c r="G12" s="22"/>
      <c r="H12" s="22"/>
      <c r="I12" s="22"/>
      <c r="J12" s="22"/>
      <c r="K12" s="22"/>
      <c r="L12" s="22"/>
      <c r="M12" s="22"/>
      <c r="N12" s="22"/>
      <c r="O12" s="22"/>
      <c r="P12" s="22"/>
      <c r="Q12" s="22"/>
      <c r="R12" s="22"/>
      <c r="S12" s="22"/>
      <c r="T12" s="22"/>
      <c r="U12" s="22"/>
      <c r="V12" s="22"/>
      <c r="W12" s="22"/>
      <c r="X12" s="22"/>
      <c r="Y12" s="22"/>
      <c r="Z12" s="22"/>
    </row>
    <row r="13" spans="1:26" ht="12.75" x14ac:dyDescent="0.2">
      <c r="B13" s="23" t="s">
        <v>56</v>
      </c>
      <c r="C13" s="22"/>
      <c r="D13" s="22"/>
      <c r="E13" s="22"/>
      <c r="F13" s="25">
        <f t="shared" ref="F13:Z13" ca="1" si="1">INDEX(Oper_Model_Bank_Accounts,MATCH(F$1,Oper_Model_Months,0))</f>
        <v>263700.19</v>
      </c>
      <c r="G13" s="25">
        <f t="shared" ca="1" si="1"/>
        <v>317048.35633717262</v>
      </c>
      <c r="H13" s="25">
        <f t="shared" ca="1" si="1"/>
        <v>352414.21079080336</v>
      </c>
      <c r="I13" s="25">
        <f t="shared" ca="1" si="1"/>
        <v>379124.88647002744</v>
      </c>
      <c r="J13" s="25">
        <f t="shared" ca="1" si="1"/>
        <v>394045.3059303115</v>
      </c>
      <c r="K13" s="25">
        <f t="shared" ca="1" si="1"/>
        <v>407708.45128690923</v>
      </c>
      <c r="L13" s="25">
        <f t="shared" ca="1" si="1"/>
        <v>359158.72149204399</v>
      </c>
      <c r="M13" s="25">
        <f t="shared" ca="1" si="1"/>
        <v>310355.16776587971</v>
      </c>
      <c r="N13" s="25">
        <f t="shared" ca="1" si="1"/>
        <v>222023.17367604031</v>
      </c>
      <c r="O13" s="25">
        <f t="shared" ca="1" si="1"/>
        <v>117228.62385039876</v>
      </c>
      <c r="P13" s="25">
        <f t="shared" ca="1" si="1"/>
        <v>-25746.028938486299</v>
      </c>
      <c r="Q13" s="25">
        <f t="shared" ca="1" si="1"/>
        <v>-167370.0471057251</v>
      </c>
      <c r="R13" s="25">
        <f t="shared" ca="1" si="1"/>
        <v>-355305.22062393388</v>
      </c>
      <c r="S13" s="25">
        <f t="shared" ca="1" si="1"/>
        <v>-539999.39225425222</v>
      </c>
      <c r="T13" s="25">
        <f t="shared" ca="1" si="1"/>
        <v>-721585.71976815362</v>
      </c>
      <c r="U13" s="25">
        <f t="shared" ca="1" si="1"/>
        <v>-916769.22141729202</v>
      </c>
      <c r="V13" s="25">
        <f t="shared" ca="1" si="1"/>
        <v>-1108046.6186260418</v>
      </c>
      <c r="W13" s="25">
        <f t="shared" ca="1" si="1"/>
        <v>-1294492.6258020056</v>
      </c>
      <c r="X13" s="25">
        <f t="shared" ca="1" si="1"/>
        <v>-1491225.2227880587</v>
      </c>
      <c r="Y13" s="25">
        <f t="shared" ca="1" si="1"/>
        <v>-1682354.491992631</v>
      </c>
      <c r="Z13" s="25">
        <f t="shared" ca="1" si="1"/>
        <v>-1866966.8576771556</v>
      </c>
    </row>
    <row r="14" spans="1:26" ht="12.75" x14ac:dyDescent="0.2">
      <c r="B14" s="23" t="s">
        <v>58</v>
      </c>
      <c r="C14" s="22"/>
      <c r="D14" s="22"/>
      <c r="E14" s="22"/>
      <c r="F14" s="25">
        <f t="array" aca="1" ref="F14" ca="1">INDEX(Oper_Model_Bank_Accounts_Worst_Case,MATCH(F$1,Oper_Model_Months_Worst_Case,0))</f>
        <v>263700.19</v>
      </c>
      <c r="G14" s="25">
        <f t="array" aca="1" ref="G14" ca="1">INDEX(Oper_Model_Bank_Accounts_Worst_Case,MATCH(G$1,Oper_Model_Months_Worst_Case,0))</f>
        <v>335061.46284173644</v>
      </c>
      <c r="H14" s="25">
        <f t="array" aca="1" ref="H14" ca="1">INDEX(Oper_Model_Bank_Accounts_Worst_Case,MATCH(H$1,Oper_Model_Months_Worst_Case,0))</f>
        <v>377414.2534292441</v>
      </c>
      <c r="I14" s="25">
        <f t="array" aca="1" ref="I14" ca="1">INDEX(Oper_Model_Bank_Accounts_Worst_Case,MATCH(I$1,Oper_Model_Months_Worst_Case,0))</f>
        <v>401423.49884110288</v>
      </c>
      <c r="J14" s="25">
        <f t="array" aca="1" ref="J14" ca="1">INDEX(Oper_Model_Bank_Accounts_Worst_Case,MATCH(J$1,Oper_Model_Months_Worst_Case,0))</f>
        <v>422660.24844425236</v>
      </c>
      <c r="K14" s="25">
        <f t="array" aca="1" ref="K14" ca="1">INDEX(Oper_Model_Bank_Accounts_Worst_Case,MATCH(K$1,Oper_Model_Months_Worst_Case,0))</f>
        <v>413747.07480542426</v>
      </c>
      <c r="L14" s="25">
        <f t="array" aca="1" ref="L14" ca="1">INDEX(Oper_Model_Bank_Accounts_Worst_Case,MATCH(L$1,Oper_Model_Months_Worst_Case,0))</f>
        <v>396032.05444101064</v>
      </c>
      <c r="M14" s="25">
        <f t="array" aca="1" ref="M14" ca="1">INDEX(Oper_Model_Bank_Accounts_Worst_Case,MATCH(M$1,Oper_Model_Months_Worst_Case,0))</f>
        <v>368862.94949049695</v>
      </c>
      <c r="N14" s="25">
        <f t="array" aca="1" ref="N14" ca="1">INDEX(Oper_Model_Bank_Accounts_Worst_Case,MATCH(N$1,Oper_Model_Months_Worst_Case,0))</f>
        <v>332994.77080984839</v>
      </c>
      <c r="O14" s="25">
        <f t="array" aca="1" ref="O14" ca="1">INDEX(Oper_Model_Bank_Accounts_Worst_Case,MATCH(O$1,Oper_Model_Months_Worst_Case,0))</f>
        <v>288133.26614594279</v>
      </c>
      <c r="P14" s="25">
        <f t="array" aca="1" ref="P14" ca="1">INDEX(Oper_Model_Bank_Accounts_Worst_Case,MATCH(P$1,Oper_Model_Months_Worst_Case,0))</f>
        <v>235111.28424345847</v>
      </c>
      <c r="Q14" s="25">
        <f t="array" aca="1" ref="Q14" ca="1">INDEX(Oper_Model_Bank_Accounts_Worst_Case,MATCH(Q$1,Oper_Model_Months_Worst_Case,0))</f>
        <v>173581.22373588389</v>
      </c>
      <c r="R14" s="25">
        <f t="array" aca="1" ref="R14" ca="1">INDEX(Oper_Model_Bank_Accounts_Worst_Case,MATCH(R$1,Oper_Model_Months_Worst_Case,0))</f>
        <v>104349.82396505756</v>
      </c>
      <c r="S14" s="25">
        <f t="array" aca="1" ref="S14" ca="1">INDEX(Oper_Model_Bank_Accounts_Worst_Case,MATCH(S$1,Oper_Model_Months_Worst_Case,0))</f>
        <v>28198.258295218868</v>
      </c>
      <c r="T14" s="25">
        <f t="array" aca="1" ref="T14" ca="1">INDEX(Oper_Model_Bank_Accounts_Worst_Case,MATCH(T$1,Oper_Model_Months_Worst_Case,0))</f>
        <v>-55245.897299073113</v>
      </c>
      <c r="U14" s="25">
        <f t="array" aca="1" ref="U14" ca="1">INDEX(Oper_Model_Bank_Accounts_Worst_Case,MATCH(U$1,Oper_Model_Months_Worst_Case,0))</f>
        <v>-145218.11376736156</v>
      </c>
      <c r="V14" s="25">
        <f t="array" aca="1" ref="V14" ca="1">INDEX(Oper_Model_Bank_Accounts_Worst_Case,MATCH(V$1,Oper_Model_Months_Worst_Case,0))</f>
        <v>-242104.28885950817</v>
      </c>
      <c r="W14" s="25">
        <f t="array" aca="1" ref="W14" ca="1">INDEX(Oper_Model_Bank_Accounts_Worst_Case,MATCH(W$1,Oper_Model_Months_Worst_Case,0))</f>
        <v>-345158.31340721046</v>
      </c>
      <c r="X14" s="25">
        <f t="array" aca="1" ref="X14" ca="1">INDEX(Oper_Model_Bank_Accounts_Worst_Case,MATCH(X$1,Oper_Model_Months_Worst_Case,0))</f>
        <v>-453653.60902998346</v>
      </c>
      <c r="Y14" s="25">
        <f t="array" aca="1" ref="Y14" ca="1">INDEX(Oper_Model_Bank_Accounts_Worst_Case,MATCH(Y$1,Oper_Model_Months_Worst_Case,0))</f>
        <v>-568012.47719820612</v>
      </c>
      <c r="Z14" s="25">
        <f t="array" aca="1" ref="Z14" ca="1">INDEX(Oper_Model_Bank_Accounts_Worst_Case,MATCH(Z$1,Oper_Model_Months_Worst_Case,0))</f>
        <v>-687524.31347538321</v>
      </c>
    </row>
    <row r="15" spans="1:26" ht="12.75" x14ac:dyDescent="0.2">
      <c r="B15" s="23" t="s">
        <v>40</v>
      </c>
      <c r="C15" s="25">
        <f t="array" ref="C15">INDEX(Oper_Model_Bank_Accounts_2020_Target,MATCH(C$1,Oper_Model_Months_2020_Target,0))</f>
        <v>181284.25013877556</v>
      </c>
      <c r="D15" s="25">
        <f t="array" ref="D15">INDEX(Oper_Model_Bank_Accounts_2020_Target,MATCH(D$1,Oper_Model_Months_2020_Target,0))</f>
        <v>258722.64503569505</v>
      </c>
      <c r="E15" s="25">
        <f t="array" ref="E15">INDEX(Oper_Model_Bank_Accounts_2020_Target,MATCH(E$1,Oper_Model_Months_2020_Target,0))</f>
        <v>220739.82213758782</v>
      </c>
      <c r="F15" s="25">
        <f t="array" ref="F15">INDEX(Oper_Model_Bank_Accounts_2020_Target,MATCH(F$1,Oper_Model_Months_2020_Target,0))</f>
        <v>243356.62552640424</v>
      </c>
      <c r="G15" s="25">
        <f t="array" ref="G15">INDEX(Oper_Model_Bank_Accounts_2020_Target,MATCH(G$1,Oper_Model_Months_2020_Target,0))</f>
        <v>269751.62110881496</v>
      </c>
      <c r="H15" s="25">
        <f t="array" ref="H15">INDEX(Oper_Model_Bank_Accounts_2020_Target,MATCH(H$1,Oper_Model_Months_2020_Target,0))</f>
        <v>312554.96971283772</v>
      </c>
      <c r="I15" s="25">
        <f t="array" ref="I15">INDEX(Oper_Model_Bank_Accounts_2020_Target,MATCH(I$1,Oper_Model_Months_2020_Target,0))</f>
        <v>359450.53619962116</v>
      </c>
      <c r="J15" s="25">
        <f t="array" ref="J15">INDEX(Oper_Model_Bank_Accounts_2020_Target,MATCH(J$1,Oper_Model_Months_2020_Target,0))</f>
        <v>410155.02599820634</v>
      </c>
      <c r="K15" s="25">
        <f t="array" ref="K15">INDEX(Oper_Model_Bank_Accounts_2020_Target,MATCH(K$1,Oper_Model_Months_2020_Target,0))</f>
        <v>464385.57094008103</v>
      </c>
      <c r="L15" s="25">
        <f t="array" ref="L15">INDEX(Oper_Model_Bank_Accounts_2020_Target,MATCH(L$1,Oper_Model_Months_2020_Target,0))</f>
        <v>557858.69880743301</v>
      </c>
      <c r="M15" s="25">
        <f t="array" ref="M15">INDEX(Oper_Model_Bank_Accounts_2020_Target,MATCH(M$1,Oper_Model_Months_2020_Target,0))</f>
        <v>690301.9274186031</v>
      </c>
      <c r="N15" s="25">
        <f t="array" ref="N15">INDEX(Oper_Model_Bank_Accounts_2020_Target,MATCH(N$1,Oper_Model_Months_2020_Target,0))</f>
        <v>861446.10364382609</v>
      </c>
      <c r="O15" s="25">
        <f t="array" ref="O15">INDEX(Oper_Model_Bank_Accounts_2020_Target,MATCH(O$1,Oper_Model_Months_2020_Target,0))</f>
        <v>1083908.8778036516</v>
      </c>
      <c r="P15" s="25">
        <f t="array" ref="P15">INDEX(Oper_Model_Bank_Accounts_2020_Target,MATCH(P$1,Oper_Model_Months_2020_Target,0))</f>
        <v>1345401.5845264872</v>
      </c>
      <c r="Q15" s="25">
        <f t="array" ref="Q15">INDEX(Oper_Model_Bank_Accounts_2020_Target,MATCH(Q$1,Oper_Model_Months_2020_Target,0))</f>
        <v>1609640.4878828973</v>
      </c>
      <c r="R15" s="25">
        <f t="array" ref="R15">INDEX(Oper_Model_Bank_Accounts_2020_Target,MATCH(R$1,Oper_Model_Months_2020_Target,0))</f>
        <v>1876347.1398356026</v>
      </c>
      <c r="S15" s="25">
        <f t="array" ref="S15">INDEX(Oper_Model_Bank_Accounts_2020_Target,MATCH(S$1,Oper_Model_Months_2020_Target,0))</f>
        <v>2145248.5218446953</v>
      </c>
      <c r="T15" s="25">
        <f t="array" ref="T15">INDEX(Oper_Model_Bank_Accounts_2020_Target,MATCH(T$1,Oper_Model_Months_2020_Target,0))</f>
        <v>2428076.6269244677</v>
      </c>
      <c r="U15" s="25">
        <f t="array" ref="U15">INDEX(Oper_Model_Bank_Accounts_2020_Target,MATCH(U$1,Oper_Model_Months_2020_Target,0))</f>
        <v>2725450.9711184031</v>
      </c>
      <c r="V15" s="25">
        <f t="array" ref="V15">INDEX(Oper_Model_Bank_Accounts_2020_Target,MATCH(V$1,Oper_Model_Months_2020_Target,0))</f>
        <v>3025083.6492194002</v>
      </c>
      <c r="W15" s="25">
        <f t="array" ref="W15">INDEX(Oper_Model_Bank_Accounts_2020_Target,MATCH(W$1,Oper_Model_Months_2020_Target,0))</f>
        <v>3326692.1398358345</v>
      </c>
      <c r="X15" s="25">
        <f t="array" ref="X15">INDEX(Oper_Model_Bank_Accounts_2020_Target,MATCH(X$1,Oper_Model_Months_2020_Target,0))</f>
        <v>3665999.2363097118</v>
      </c>
      <c r="Y15" s="25">
        <f t="array" ref="Y15">INDEX(Oper_Model_Bank_Accounts_2020_Target,MATCH(Y$1,Oper_Model_Months_2020_Target,0))</f>
        <v>4042732.9448909671</v>
      </c>
      <c r="Z15" s="25">
        <f t="array" ref="Z15">INDEX(Oper_Model_Bank_Accounts_2020_Target,MATCH(Z$1,Oper_Model_Months_2020_Target,0))</f>
        <v>4469508.8523571547</v>
      </c>
    </row>
    <row r="16" spans="1:26" ht="12.75" x14ac:dyDescent="0.2">
      <c r="B16" s="22"/>
      <c r="C16" s="22"/>
      <c r="D16" s="22"/>
      <c r="E16" s="22"/>
      <c r="F16" s="22"/>
      <c r="G16" s="22"/>
      <c r="H16" s="22"/>
      <c r="I16" s="22"/>
      <c r="J16" s="22"/>
      <c r="K16" s="22"/>
      <c r="L16" s="22"/>
      <c r="M16" s="22"/>
      <c r="N16" s="22"/>
      <c r="O16" s="22"/>
      <c r="P16" s="22"/>
      <c r="Q16" s="22"/>
      <c r="R16" s="22"/>
      <c r="S16" s="22"/>
      <c r="T16" s="22"/>
      <c r="U16" s="22"/>
      <c r="V16" s="22"/>
      <c r="W16" s="22"/>
      <c r="X16" s="22"/>
      <c r="Y16" s="22"/>
      <c r="Z16" s="22"/>
    </row>
    <row r="17" spans="2:26" ht="12.75" x14ac:dyDescent="0.2">
      <c r="B17" s="22"/>
      <c r="C17" s="22"/>
      <c r="D17" s="22"/>
      <c r="E17" s="22"/>
      <c r="F17" s="22"/>
      <c r="G17" s="22"/>
      <c r="H17" s="22"/>
      <c r="I17" s="22"/>
      <c r="J17" s="22"/>
      <c r="K17" s="22"/>
      <c r="L17" s="22"/>
      <c r="M17" s="22"/>
      <c r="N17" s="22"/>
      <c r="O17" s="22"/>
      <c r="P17" s="22"/>
      <c r="Q17" s="22"/>
      <c r="R17" s="22"/>
      <c r="S17" s="22"/>
      <c r="T17" s="22"/>
      <c r="U17" s="22"/>
      <c r="V17" s="22"/>
      <c r="W17" s="22"/>
      <c r="X17" s="22"/>
      <c r="Y17" s="22"/>
      <c r="Z17" s="22"/>
    </row>
    <row r="21" spans="2:26" ht="12.75" x14ac:dyDescent="0.2">
      <c r="B21" s="68" t="s">
        <v>84</v>
      </c>
      <c r="C21" s="25">
        <f t="array" aca="1" ref="C21" ca="1">INDEX(Oper_Model_Financing_Activities,MATCH(C$1,Oper_Model_Months,0))</f>
        <v>0</v>
      </c>
      <c r="D21" s="25">
        <f t="array" aca="1" ref="D21" ca="1">INDEX(Oper_Model_Financing_Activities,MATCH(D$1,Oper_Model_Months,0))</f>
        <v>0</v>
      </c>
      <c r="E21" s="25">
        <f t="array" aca="1" ref="E21" ca="1">INDEX(Oper_Model_Financing_Activities,MATCH(E$1,Oper_Model_Months,0))</f>
        <v>0</v>
      </c>
      <c r="F21" s="25">
        <f t="array" aca="1" ref="F21" ca="1">INDEX(Oper_Model_Financing_Activities,MATCH(F$1,Oper_Model_Months,0))</f>
        <v>0</v>
      </c>
      <c r="G21" s="25">
        <f t="array" aca="1" ref="G21" ca="1">INDEX(Oper_Model_Financing_Activities,MATCH(G$1,Oper_Model_Months,0))</f>
        <v>0</v>
      </c>
      <c r="H21" s="25">
        <f t="array" aca="1" ref="H21" ca="1">INDEX(Oper_Model_Financing_Activities,MATCH(H$1,Oper_Model_Months,0))</f>
        <v>0</v>
      </c>
      <c r="I21" s="25">
        <f t="array" aca="1" ref="I21" ca="1">INDEX(Oper_Model_Financing_Activities,MATCH(I$1,Oper_Model_Months,0))</f>
        <v>0</v>
      </c>
      <c r="J21" s="25">
        <f t="array" aca="1" ref="J21" ca="1">INDEX(Oper_Model_Financing_Activities,MATCH(J$1,Oper_Model_Months,0))</f>
        <v>0</v>
      </c>
      <c r="K21" s="25">
        <f t="array" aca="1" ref="K21" ca="1">INDEX(Oper_Model_Financing_Activities,MATCH(K$1,Oper_Model_Months,0))</f>
        <v>0</v>
      </c>
      <c r="L21" s="25">
        <f t="array" aca="1" ref="L21" ca="1">INDEX(Oper_Model_Financing_Activities,MATCH(L$1,Oper_Model_Months,0))</f>
        <v>0</v>
      </c>
      <c r="M21" s="25">
        <f t="array" aca="1" ref="M21" ca="1">INDEX(Oper_Model_Financing_Activities,MATCH(M$1,Oper_Model_Months,0))</f>
        <v>0</v>
      </c>
      <c r="N21" s="25">
        <f t="array" aca="1" ref="N21" ca="1">INDEX(Oper_Model_Financing_Activities,MATCH(N$1,Oper_Model_Months,0))</f>
        <v>0</v>
      </c>
      <c r="O21" s="25">
        <f t="array" aca="1" ref="O21" ca="1">INDEX(Oper_Model_Financing_Activities,MATCH(O$1,Oper_Model_Months,0))</f>
        <v>0</v>
      </c>
      <c r="P21" s="25">
        <f t="array" aca="1" ref="P21" ca="1">INDEX(Oper_Model_Financing_Activities,MATCH(P$1,Oper_Model_Months,0))</f>
        <v>0</v>
      </c>
      <c r="Q21" s="25">
        <f t="array" aca="1" ref="Q21" ca="1">INDEX(Oper_Model_Financing_Activities,MATCH(Q$1,Oper_Model_Months,0))</f>
        <v>0</v>
      </c>
      <c r="R21" s="25">
        <f t="array" aca="1" ref="R21" ca="1">INDEX(Oper_Model_Financing_Activities,MATCH(R$1,Oper_Model_Months,0))</f>
        <v>0</v>
      </c>
      <c r="S21" s="25">
        <f t="array" aca="1" ref="S21" ca="1">INDEX(Oper_Model_Financing_Activities,MATCH(S$1,Oper_Model_Months,0))</f>
        <v>0</v>
      </c>
      <c r="T21" s="25">
        <f t="array" aca="1" ref="T21" ca="1">INDEX(Oper_Model_Financing_Activities,MATCH(T$1,Oper_Model_Months,0))</f>
        <v>0</v>
      </c>
      <c r="U21" s="25">
        <f t="array" aca="1" ref="U21" ca="1">INDEX(Oper_Model_Financing_Activities,MATCH(U$1,Oper_Model_Months,0))</f>
        <v>0</v>
      </c>
      <c r="V21" s="25">
        <f t="array" aca="1" ref="V21" ca="1">INDEX(Oper_Model_Financing_Activities,MATCH(V$1,Oper_Model_Months,0))</f>
        <v>0</v>
      </c>
      <c r="W21" s="25">
        <f t="array" aca="1" ref="W21" ca="1">INDEX(Oper_Model_Financing_Activities,MATCH(W$1,Oper_Model_Months,0))</f>
        <v>0</v>
      </c>
      <c r="X21" s="25">
        <f t="array" aca="1" ref="X21" ca="1">INDEX(Oper_Model_Financing_Activities,MATCH(X$1,Oper_Model_Months,0))</f>
        <v>0</v>
      </c>
      <c r="Y21" s="25">
        <f t="array" aca="1" ref="Y21" ca="1">INDEX(Oper_Model_Financing_Activities,MATCH(Y$1,Oper_Model_Months,0))</f>
        <v>0</v>
      </c>
      <c r="Z21" s="25">
        <f t="array" aca="1" ref="Z21" ca="1">INDEX(Oper_Model_Financing_Activities,MATCH(Z$1,Oper_Model_Months,0))</f>
        <v>0</v>
      </c>
    </row>
    <row r="22" spans="2:26" ht="12.75" x14ac:dyDescent="0.2">
      <c r="B22" s="68" t="s">
        <v>86</v>
      </c>
      <c r="C22" s="25">
        <f t="array" aca="1" ref="C22" ca="1">INDEX(Oper_Model_Investing_Activities,MATCH(C$1,Oper_Model_Months,0))</f>
        <v>0</v>
      </c>
      <c r="D22" s="25">
        <f t="array" aca="1" ref="D22" ca="1">INDEX(Oper_Model_Investing_Activities,MATCH(D$1,Oper_Model_Months,0))</f>
        <v>0</v>
      </c>
      <c r="E22" s="25">
        <f t="array" aca="1" ref="E22" ca="1">INDEX(Oper_Model_Investing_Activities,MATCH(E$1,Oper_Model_Months,0))</f>
        <v>0</v>
      </c>
      <c r="F22" s="25">
        <f t="array" aca="1" ref="F22" ca="1">INDEX(Oper_Model_Investing_Activities,MATCH(F$1,Oper_Model_Months,0))</f>
        <v>0</v>
      </c>
      <c r="G22" s="25">
        <f t="array" aca="1" ref="G22" ca="1">INDEX(Oper_Model_Investing_Activities,MATCH(G$1,Oper_Model_Months,0))</f>
        <v>0</v>
      </c>
      <c r="H22" s="25">
        <f t="array" aca="1" ref="H22" ca="1">INDEX(Oper_Model_Investing_Activities,MATCH(H$1,Oper_Model_Months,0))</f>
        <v>0</v>
      </c>
      <c r="I22" s="25">
        <f t="array" aca="1" ref="I22" ca="1">INDEX(Oper_Model_Investing_Activities,MATCH(I$1,Oper_Model_Months,0))</f>
        <v>0</v>
      </c>
      <c r="J22" s="25">
        <f t="array" aca="1" ref="J22" ca="1">INDEX(Oper_Model_Investing_Activities,MATCH(J$1,Oper_Model_Months,0))</f>
        <v>0</v>
      </c>
      <c r="K22" s="25">
        <f t="array" aca="1" ref="K22" ca="1">INDEX(Oper_Model_Investing_Activities,MATCH(K$1,Oper_Model_Months,0))</f>
        <v>0</v>
      </c>
      <c r="L22" s="25">
        <f t="array" aca="1" ref="L22" ca="1">INDEX(Oper_Model_Investing_Activities,MATCH(L$1,Oper_Model_Months,0))</f>
        <v>0</v>
      </c>
      <c r="M22" s="25">
        <f t="array" aca="1" ref="M22" ca="1">INDEX(Oper_Model_Investing_Activities,MATCH(M$1,Oper_Model_Months,0))</f>
        <v>0</v>
      </c>
      <c r="N22" s="25">
        <f t="array" aca="1" ref="N22" ca="1">INDEX(Oper_Model_Investing_Activities,MATCH(N$1,Oper_Model_Months,0))</f>
        <v>0</v>
      </c>
      <c r="O22" s="25">
        <f t="array" aca="1" ref="O22" ca="1">INDEX(Oper_Model_Investing_Activities,MATCH(O$1,Oper_Model_Months,0))</f>
        <v>0</v>
      </c>
      <c r="P22" s="25">
        <f t="array" aca="1" ref="P22" ca="1">INDEX(Oper_Model_Investing_Activities,MATCH(P$1,Oper_Model_Months,0))</f>
        <v>0</v>
      </c>
      <c r="Q22" s="25">
        <f t="array" aca="1" ref="Q22" ca="1">INDEX(Oper_Model_Investing_Activities,MATCH(Q$1,Oper_Model_Months,0))</f>
        <v>0</v>
      </c>
      <c r="R22" s="25">
        <f t="array" aca="1" ref="R22" ca="1">INDEX(Oper_Model_Investing_Activities,MATCH(R$1,Oper_Model_Months,0))</f>
        <v>0</v>
      </c>
      <c r="S22" s="25">
        <f t="array" aca="1" ref="S22" ca="1">INDEX(Oper_Model_Investing_Activities,MATCH(S$1,Oper_Model_Months,0))</f>
        <v>0</v>
      </c>
      <c r="T22" s="25">
        <f t="array" aca="1" ref="T22" ca="1">INDEX(Oper_Model_Investing_Activities,MATCH(T$1,Oper_Model_Months,0))</f>
        <v>0</v>
      </c>
      <c r="U22" s="25">
        <f t="array" aca="1" ref="U22" ca="1">INDEX(Oper_Model_Investing_Activities,MATCH(U$1,Oper_Model_Months,0))</f>
        <v>0</v>
      </c>
      <c r="V22" s="25">
        <f t="array" aca="1" ref="V22" ca="1">INDEX(Oper_Model_Investing_Activities,MATCH(V$1,Oper_Model_Months,0))</f>
        <v>0</v>
      </c>
      <c r="W22" s="25">
        <f t="array" aca="1" ref="W22" ca="1">INDEX(Oper_Model_Investing_Activities,MATCH(W$1,Oper_Model_Months,0))</f>
        <v>0</v>
      </c>
      <c r="X22" s="25">
        <f t="array" aca="1" ref="X22" ca="1">INDEX(Oper_Model_Investing_Activities,MATCH(X$1,Oper_Model_Months,0))</f>
        <v>0</v>
      </c>
      <c r="Y22" s="25">
        <f t="array" aca="1" ref="Y22" ca="1">INDEX(Oper_Model_Investing_Activities,MATCH(Y$1,Oper_Model_Months,0))</f>
        <v>0</v>
      </c>
      <c r="Z22" s="25">
        <f t="array" aca="1" ref="Z22" ca="1">INDEX(Oper_Model_Investing_Activities,MATCH(Z$1,Oper_Model_Months,0))</f>
        <v>0</v>
      </c>
    </row>
    <row r="23" spans="2:26" ht="12.75" x14ac:dyDescent="0.2">
      <c r="B23" s="68" t="s">
        <v>89</v>
      </c>
      <c r="C23" s="25">
        <f t="array" aca="1" ref="C23" ca="1">INDEX(Oper_Model_Operating_Activities,MATCH(C$1,Oper_Model_Months,0))</f>
        <v>-13824</v>
      </c>
      <c r="D23" s="25">
        <f t="array" aca="1" ref="D23" ca="1">INDEX(Oper_Model_Operating_Activities,MATCH(D$1,Oper_Model_Months,0))</f>
        <v>-26169</v>
      </c>
      <c r="E23" s="25">
        <f t="array" aca="1" ref="E23" ca="1">INDEX(Oper_Model_Operating_Activities,MATCH(E$1,Oper_Model_Months,0))</f>
        <v>8407.1899999999441</v>
      </c>
      <c r="F23" s="25">
        <f t="array" aca="1" ref="F23" ca="1">INDEX(Oper_Model_Operating_Activities,MATCH(F$1,Oper_Model_Months,0))</f>
        <v>-117</v>
      </c>
      <c r="G23" s="25">
        <f t="array" aca="1" ref="G23" ca="1">INDEX(Oper_Model_Operating_Activities,MATCH(G$1,Oper_Model_Months,0))</f>
        <v>53348.166337172617</v>
      </c>
      <c r="H23" s="25">
        <f t="array" aca="1" ref="H23" ca="1">INDEX(Oper_Model_Operating_Activities,MATCH(H$1,Oper_Model_Months,0))</f>
        <v>35365.854453630745</v>
      </c>
      <c r="I23" s="25">
        <f t="array" aca="1" ref="I23" ca="1">INDEX(Oper_Model_Operating_Activities,MATCH(I$1,Oper_Model_Months,0))</f>
        <v>26710.675679224078</v>
      </c>
      <c r="J23" s="25">
        <f t="array" aca="1" ref="J23" ca="1">INDEX(Oper_Model_Operating_Activities,MATCH(J$1,Oper_Model_Months,0))</f>
        <v>14920.419460284058</v>
      </c>
      <c r="K23" s="25">
        <f t="array" aca="1" ref="K23" ca="1">INDEX(Oper_Model_Operating_Activities,MATCH(K$1,Oper_Model_Months,0))</f>
        <v>13663.145356597728</v>
      </c>
      <c r="L23" s="25">
        <f t="array" aca="1" ref="L23" ca="1">INDEX(Oper_Model_Operating_Activities,MATCH(L$1,Oper_Model_Months,0))</f>
        <v>-48549.729794865241</v>
      </c>
      <c r="M23" s="25">
        <f t="array" aca="1" ref="M23" ca="1">INDEX(Oper_Model_Operating_Activities,MATCH(M$1,Oper_Model_Months,0))</f>
        <v>-48803.553726164275</v>
      </c>
      <c r="N23" s="25">
        <f t="array" aca="1" ref="N23" ca="1">INDEX(Oper_Model_Operating_Activities,MATCH(N$1,Oper_Model_Months,0))</f>
        <v>-88331.994089839398</v>
      </c>
      <c r="O23" s="25">
        <f t="array" aca="1" ref="O23" ca="1">INDEX(Oper_Model_Operating_Activities,MATCH(O$1,Oper_Model_Months,0))</f>
        <v>-104794.54982564156</v>
      </c>
      <c r="P23" s="25">
        <f t="array" aca="1" ref="P23" ca="1">INDEX(Oper_Model_Operating_Activities,MATCH(P$1,Oper_Model_Months,0))</f>
        <v>-142974.65278888505</v>
      </c>
      <c r="Q23" s="25">
        <f t="array" aca="1" ref="Q23" ca="1">INDEX(Oper_Model_Operating_Activities,MATCH(Q$1,Oper_Model_Months,0))</f>
        <v>-141624.0181672388</v>
      </c>
      <c r="R23" s="25">
        <f t="array" aca="1" ref="R23" ca="1">INDEX(Oper_Model_Operating_Activities,MATCH(R$1,Oper_Model_Months,0))</f>
        <v>-187935.17351820879</v>
      </c>
      <c r="S23" s="25">
        <f t="array" aca="1" ref="S23" ca="1">INDEX(Oper_Model_Operating_Activities,MATCH(S$1,Oper_Model_Months,0))</f>
        <v>-184694.17163031828</v>
      </c>
      <c r="T23" s="25">
        <f t="array" aca="1" ref="T23" ca="1">INDEX(Oper_Model_Operating_Activities,MATCH(T$1,Oper_Model_Months,0))</f>
        <v>-181586.3275139014</v>
      </c>
      <c r="U23" s="25">
        <f t="array" aca="1" ref="U23" ca="1">INDEX(Oper_Model_Operating_Activities,MATCH(U$1,Oper_Model_Months,0))</f>
        <v>-195183.5016491384</v>
      </c>
      <c r="V23" s="25">
        <f t="array" aca="1" ref="V23" ca="1">INDEX(Oper_Model_Operating_Activities,MATCH(V$1,Oper_Model_Months,0))</f>
        <v>-191277.3972087499</v>
      </c>
      <c r="W23" s="25">
        <f t="array" aca="1" ref="W23" ca="1">INDEX(Oper_Model_Operating_Activities,MATCH(W$1,Oper_Model_Months,0))</f>
        <v>-186446.00717596372</v>
      </c>
      <c r="X23" s="25">
        <f t="array" aca="1" ref="X23" ca="1">INDEX(Oper_Model_Operating_Activities,MATCH(X$1,Oper_Model_Months,0))</f>
        <v>-196732.59698605305</v>
      </c>
      <c r="Y23" s="25">
        <f t="array" aca="1" ref="Y23" ca="1">INDEX(Oper_Model_Operating_Activities,MATCH(Y$1,Oper_Model_Months,0))</f>
        <v>-191129.26920457231</v>
      </c>
      <c r="Z23" s="25">
        <f t="array" aca="1" ref="Z23" ca="1">INDEX(Oper_Model_Operating_Activities,MATCH(Z$1,Oper_Model_Months,0))</f>
        <v>-184612.36568452464</v>
      </c>
    </row>
    <row r="24" spans="2:26" ht="12.75" x14ac:dyDescent="0.2">
      <c r="B24" s="68" t="s">
        <v>90</v>
      </c>
      <c r="C24" s="25">
        <f t="array" aca="1" ref="C24" ca="1">INDEX(Oper_Model_Net_Cash_Increase,MATCH(C$1,Oper_Model_Months,0))</f>
        <v>-13824</v>
      </c>
      <c r="D24" s="25">
        <f t="array" aca="1" ref="D24" ca="1">INDEX(Oper_Model_Net_Cash_Increase,MATCH(D$1,Oper_Model_Months,0))</f>
        <v>-26169</v>
      </c>
      <c r="E24" s="25">
        <f t="array" aca="1" ref="E24" ca="1">INDEX(Oper_Model_Net_Cash_Increase,MATCH(E$1,Oper_Model_Months,0))</f>
        <v>8407.1899999999441</v>
      </c>
      <c r="F24" s="25">
        <f t="array" aca="1" ref="F24" ca="1">INDEX(Oper_Model_Net_Cash_Increase,MATCH(F$1,Oper_Model_Months,0))</f>
        <v>-117</v>
      </c>
      <c r="G24" s="25">
        <f t="array" aca="1" ref="G24" ca="1">INDEX(Oper_Model_Net_Cash_Increase,MATCH(G$1,Oper_Model_Months,0))</f>
        <v>53348.166337172617</v>
      </c>
      <c r="H24" s="25">
        <f t="array" aca="1" ref="H24" ca="1">INDEX(Oper_Model_Net_Cash_Increase,MATCH(H$1,Oper_Model_Months,0))</f>
        <v>35365.854453630745</v>
      </c>
      <c r="I24" s="25">
        <f t="array" aca="1" ref="I24" ca="1">INDEX(Oper_Model_Net_Cash_Increase,MATCH(I$1,Oper_Model_Months,0))</f>
        <v>26710.675679224078</v>
      </c>
      <c r="J24" s="25">
        <f t="array" aca="1" ref="J24" ca="1">INDEX(Oper_Model_Net_Cash_Increase,MATCH(J$1,Oper_Model_Months,0))</f>
        <v>14920.419460284058</v>
      </c>
      <c r="K24" s="25">
        <f t="array" aca="1" ref="K24" ca="1">INDEX(Oper_Model_Net_Cash_Increase,MATCH(K$1,Oper_Model_Months,0))</f>
        <v>13663.145356597728</v>
      </c>
      <c r="L24" s="25">
        <f t="array" aca="1" ref="L24" ca="1">INDEX(Oper_Model_Net_Cash_Increase,MATCH(L$1,Oper_Model_Months,0))</f>
        <v>-48549.729794865241</v>
      </c>
      <c r="M24" s="25">
        <f t="array" aca="1" ref="M24" ca="1">INDEX(Oper_Model_Net_Cash_Increase,MATCH(M$1,Oper_Model_Months,0))</f>
        <v>-48803.553726164275</v>
      </c>
      <c r="N24" s="25">
        <f t="array" aca="1" ref="N24" ca="1">INDEX(Oper_Model_Net_Cash_Increase,MATCH(N$1,Oper_Model_Months,0))</f>
        <v>-88331.994089839398</v>
      </c>
      <c r="O24" s="25">
        <f t="array" aca="1" ref="O24" ca="1">INDEX(Oper_Model_Net_Cash_Increase,MATCH(O$1,Oper_Model_Months,0))</f>
        <v>-104794.54982564156</v>
      </c>
      <c r="P24" s="25">
        <f t="array" aca="1" ref="P24" ca="1">INDEX(Oper_Model_Net_Cash_Increase,MATCH(P$1,Oper_Model_Months,0))</f>
        <v>-142974.65278888505</v>
      </c>
      <c r="Q24" s="25">
        <f t="array" aca="1" ref="Q24" ca="1">INDEX(Oper_Model_Net_Cash_Increase,MATCH(Q$1,Oper_Model_Months,0))</f>
        <v>-141624.0181672388</v>
      </c>
      <c r="R24" s="25">
        <f t="array" aca="1" ref="R24" ca="1">INDEX(Oper_Model_Net_Cash_Increase,MATCH(R$1,Oper_Model_Months,0))</f>
        <v>-187935.17351820879</v>
      </c>
      <c r="S24" s="25">
        <f t="array" aca="1" ref="S24" ca="1">INDEX(Oper_Model_Net_Cash_Increase,MATCH(S$1,Oper_Model_Months,0))</f>
        <v>-184694.17163031828</v>
      </c>
      <c r="T24" s="25">
        <f t="array" aca="1" ref="T24" ca="1">INDEX(Oper_Model_Net_Cash_Increase,MATCH(T$1,Oper_Model_Months,0))</f>
        <v>-181586.3275139014</v>
      </c>
      <c r="U24" s="25">
        <f t="array" aca="1" ref="U24" ca="1">INDEX(Oper_Model_Net_Cash_Increase,MATCH(U$1,Oper_Model_Months,0))</f>
        <v>-195183.5016491384</v>
      </c>
      <c r="V24" s="25">
        <f t="array" aca="1" ref="V24" ca="1">INDEX(Oper_Model_Net_Cash_Increase,MATCH(V$1,Oper_Model_Months,0))</f>
        <v>-191277.3972087499</v>
      </c>
      <c r="W24" s="25">
        <f t="array" aca="1" ref="W24" ca="1">INDEX(Oper_Model_Net_Cash_Increase,MATCH(W$1,Oper_Model_Months,0))</f>
        <v>-186446.00717596372</v>
      </c>
      <c r="X24" s="25">
        <f t="array" aca="1" ref="X24" ca="1">INDEX(Oper_Model_Net_Cash_Increase,MATCH(X$1,Oper_Model_Months,0))</f>
        <v>-196732.59698605305</v>
      </c>
      <c r="Y24" s="25">
        <f t="array" aca="1" ref="Y24" ca="1">INDEX(Oper_Model_Net_Cash_Increase,MATCH(Y$1,Oper_Model_Months,0))</f>
        <v>-191129.26920457231</v>
      </c>
      <c r="Z24" s="25">
        <f t="array" aca="1" ref="Z24" ca="1">INDEX(Oper_Model_Net_Cash_Increase,MATCH(Z$1,Oper_Model_Months,0))</f>
        <v>-184612.36568452464</v>
      </c>
    </row>
    <row r="25" spans="2:26" ht="12.75" x14ac:dyDescent="0.2">
      <c r="B25" s="68" t="s">
        <v>24</v>
      </c>
      <c r="C25" s="25">
        <f t="array" aca="1" ref="C25" ca="1">INDEX(Oper_Model_Net_Income,MATCH(C$1,Oper_Model_Months,0))</f>
        <v>-13824</v>
      </c>
      <c r="D25" s="25">
        <f t="array" aca="1" ref="D25" ca="1">INDEX(Oper_Model_Net_Income,MATCH(D$1,Oper_Model_Months,0))</f>
        <v>-26169</v>
      </c>
      <c r="E25" s="25">
        <f t="array" aca="1" ref="E25" ca="1">INDEX(Oper_Model_Net_Income,MATCH(E$1,Oper_Model_Months,0))</f>
        <v>8407.1899999999441</v>
      </c>
      <c r="F25" s="25">
        <f t="array" aca="1" ref="F25" ca="1">INDEX(Oper_Model_Net_Income,MATCH(F$1,Oper_Model_Months,0))</f>
        <v>-117</v>
      </c>
      <c r="G25" s="25">
        <f t="array" aca="1" ref="G25" ca="1">INDEX(Oper_Model_Net_Income,MATCH(G$1,Oper_Model_Months,0))</f>
        <v>53348.166337172617</v>
      </c>
      <c r="H25" s="25">
        <f t="array" aca="1" ref="H25" ca="1">INDEX(Oper_Model_Net_Income,MATCH(H$1,Oper_Model_Months,0))</f>
        <v>35365.854453630745</v>
      </c>
      <c r="I25" s="25">
        <f t="array" aca="1" ref="I25" ca="1">INDEX(Oper_Model_Net_Income,MATCH(I$1,Oper_Model_Months,0))</f>
        <v>26710.675679224078</v>
      </c>
      <c r="J25" s="25">
        <f t="array" aca="1" ref="J25" ca="1">INDEX(Oper_Model_Net_Income,MATCH(J$1,Oper_Model_Months,0))</f>
        <v>14920.419460284058</v>
      </c>
      <c r="K25" s="25">
        <f t="array" aca="1" ref="K25" ca="1">INDEX(Oper_Model_Net_Income,MATCH(K$1,Oper_Model_Months,0))</f>
        <v>13663.145356597728</v>
      </c>
      <c r="L25" s="25">
        <f t="array" aca="1" ref="L25" ca="1">INDEX(Oper_Model_Net_Income,MATCH(L$1,Oper_Model_Months,0))</f>
        <v>-48549.729794865241</v>
      </c>
      <c r="M25" s="25">
        <f t="array" aca="1" ref="M25" ca="1">INDEX(Oper_Model_Net_Income,MATCH(M$1,Oper_Model_Months,0))</f>
        <v>-48803.553726164275</v>
      </c>
      <c r="N25" s="25">
        <f t="array" aca="1" ref="N25" ca="1">INDEX(Oper_Model_Net_Income,MATCH(N$1,Oper_Model_Months,0))</f>
        <v>-88331.994089839398</v>
      </c>
      <c r="O25" s="25">
        <f t="array" aca="1" ref="O25" ca="1">INDEX(Oper_Model_Net_Income,MATCH(O$1,Oper_Model_Months,0))</f>
        <v>-104794.54982564156</v>
      </c>
      <c r="P25" s="25">
        <f t="array" aca="1" ref="P25" ca="1">INDEX(Oper_Model_Net_Income,MATCH(P$1,Oper_Model_Months,0))</f>
        <v>-142974.65278888505</v>
      </c>
      <c r="Q25" s="25">
        <f t="array" aca="1" ref="Q25" ca="1">INDEX(Oper_Model_Net_Income,MATCH(Q$1,Oper_Model_Months,0))</f>
        <v>-141624.0181672388</v>
      </c>
      <c r="R25" s="25">
        <f t="array" aca="1" ref="R25" ca="1">INDEX(Oper_Model_Net_Income,MATCH(R$1,Oper_Model_Months,0))</f>
        <v>-187935.17351820879</v>
      </c>
      <c r="S25" s="25">
        <f t="array" aca="1" ref="S25" ca="1">INDEX(Oper_Model_Net_Income,MATCH(S$1,Oper_Model_Months,0))</f>
        <v>-184694.17163031828</v>
      </c>
      <c r="T25" s="25">
        <f t="array" aca="1" ref="T25" ca="1">INDEX(Oper_Model_Net_Income,MATCH(T$1,Oper_Model_Months,0))</f>
        <v>-181586.3275139014</v>
      </c>
      <c r="U25" s="25">
        <f t="array" aca="1" ref="U25" ca="1">INDEX(Oper_Model_Net_Income,MATCH(U$1,Oper_Model_Months,0))</f>
        <v>-195183.5016491384</v>
      </c>
      <c r="V25" s="25">
        <f t="array" aca="1" ref="V25" ca="1">INDEX(Oper_Model_Net_Income,MATCH(V$1,Oper_Model_Months,0))</f>
        <v>-191277.3972087499</v>
      </c>
      <c r="W25" s="25">
        <f t="array" aca="1" ref="W25" ca="1">INDEX(Oper_Model_Net_Income,MATCH(W$1,Oper_Model_Months,0))</f>
        <v>-186446.00717596372</v>
      </c>
      <c r="X25" s="25">
        <f t="array" aca="1" ref="X25" ca="1">INDEX(Oper_Model_Net_Income,MATCH(X$1,Oper_Model_Months,0))</f>
        <v>-196732.59698605305</v>
      </c>
      <c r="Y25" s="25">
        <f t="array" aca="1" ref="Y25" ca="1">INDEX(Oper_Model_Net_Income,MATCH(Y$1,Oper_Model_Months,0))</f>
        <v>-191129.26920457231</v>
      </c>
      <c r="Z25" s="25">
        <f t="array" aca="1" ref="Z25" ca="1">INDEX(Oper_Model_Net_Income,MATCH(Z$1,Oper_Model_Months,0))</f>
        <v>-184612.36568452464</v>
      </c>
    </row>
    <row r="27" spans="2:26" ht="12.75" x14ac:dyDescent="0.2">
      <c r="B27" s="68" t="s">
        <v>9</v>
      </c>
      <c r="C27" s="25">
        <f t="array" aca="1" ref="C27" ca="1">INDEX(Oper_Model_Revenue,MATCH(C$1,Oper_Model_Months,0))</f>
        <v>824529</v>
      </c>
      <c r="D27" s="25">
        <f t="array" aca="1" ref="D27" ca="1">INDEX(Oper_Model_Revenue,MATCH(D$1,Oper_Model_Months,0))</f>
        <v>844626</v>
      </c>
      <c r="E27" s="25">
        <f t="array" aca="1" ref="E27" ca="1">INDEX(Oper_Model_Revenue,MATCH(E$1,Oper_Model_Months,0))</f>
        <v>819162.19</v>
      </c>
      <c r="F27" s="25">
        <f t="array" aca="1" ref="F27" ca="1">INDEX(Oper_Model_Revenue,MATCH(F$1,Oper_Model_Months,0))</f>
        <v>796507</v>
      </c>
      <c r="G27" s="25">
        <f t="array" aca="1" ref="G27" ca="1">INDEX(Oper_Model_Revenue,MATCH(G$1,Oper_Model_Months,0))</f>
        <v>780349.42888759938</v>
      </c>
      <c r="H27" s="25">
        <f t="array" aca="1" ref="H27" ca="1">INDEX(Oper_Model_Revenue,MATCH(H$1,Oper_Model_Months,0))</f>
        <v>776838.89834164642</v>
      </c>
      <c r="I27" s="25">
        <f t="array" aca="1" ref="I27" ca="1">INDEX(Oper_Model_Revenue,MATCH(I$1,Oper_Model_Months,0))</f>
        <v>784307.49639270024</v>
      </c>
      <c r="J27" s="25">
        <f t="array" aca="1" ref="J27" ca="1">INDEX(Oper_Model_Revenue,MATCH(J$1,Oper_Model_Months,0))</f>
        <v>794270.11839480256</v>
      </c>
      <c r="K27" s="25">
        <f t="array" aca="1" ref="K27" ca="1">INDEX(Oper_Model_Revenue,MATCH(K$1,Oper_Model_Months,0))</f>
        <v>810446.91710921796</v>
      </c>
      <c r="L27" s="25">
        <f t="array" aca="1" ref="L27" ca="1">INDEX(Oper_Model_Revenue,MATCH(L$1,Oper_Model_Months,0))</f>
        <v>828843.4436886058</v>
      </c>
      <c r="M27" s="25">
        <f t="array" aca="1" ref="M27" ca="1">INDEX(Oper_Model_Revenue,MATCH(M$1,Oper_Model_Months,0))</f>
        <v>846201.42083742563</v>
      </c>
      <c r="N27" s="25">
        <f t="array" aca="1" ref="N27" ca="1">INDEX(Oper_Model_Revenue,MATCH(N$1,Oper_Model_Months,0))</f>
        <v>864575.11305563885</v>
      </c>
      <c r="O27" s="25">
        <f t="array" aca="1" ref="O27" ca="1">INDEX(Oper_Model_Revenue,MATCH(O$1,Oper_Model_Months,0))</f>
        <v>882839.9823146424</v>
      </c>
      <c r="P27" s="25">
        <f t="array" aca="1" ref="P27" ca="1">INDEX(Oper_Model_Revenue,MATCH(P$1,Oper_Model_Months,0))</f>
        <v>902246.59964331996</v>
      </c>
      <c r="Q27" s="25">
        <f t="array" aca="1" ref="Q27" ca="1">INDEX(Oper_Model_Revenue,MATCH(Q$1,Oper_Model_Months,0))</f>
        <v>921493.21251495357</v>
      </c>
      <c r="R27" s="25">
        <f t="array" aca="1" ref="R27" ca="1">INDEX(Oper_Model_Revenue,MATCH(R$1,Oper_Model_Months,0))</f>
        <v>941858.92249037873</v>
      </c>
      <c r="S27" s="25">
        <f t="array" aca="1" ref="S27" ca="1">INDEX(Oper_Model_Revenue,MATCH(S$1,Oper_Model_Months,0))</f>
        <v>963330.71914236806</v>
      </c>
      <c r="T27" s="25">
        <f t="array" aca="1" ref="T27" ca="1">INDEX(Oper_Model_Revenue,MATCH(T$1,Oper_Model_Months,0))</f>
        <v>984645.77349427529</v>
      </c>
      <c r="U27" s="25">
        <f t="array" aca="1" ref="U27" ca="1">INDEX(Oper_Model_Revenue,MATCH(U$1,Oper_Model_Months,0))</f>
        <v>1007059.4490605886</v>
      </c>
      <c r="V27" s="25">
        <f t="array" aca="1" ref="V27" ca="1">INDEX(Oper_Model_Revenue,MATCH(V$1,Oper_Model_Months,0))</f>
        <v>1029314.1493517382</v>
      </c>
      <c r="W27" s="25">
        <f t="array" aca="1" ref="W27" ca="1">INDEX(Oper_Model_Revenue,MATCH(W$1,Oper_Model_Months,0))</f>
        <v>1052658.0192075358</v>
      </c>
      <c r="X27" s="25">
        <f t="array" aca="1" ref="X27" ca="1">INDEX(Oper_Model_Revenue,MATCH(X$1,Oper_Model_Months,0))</f>
        <v>1077084.2720350875</v>
      </c>
      <c r="Y27" s="25">
        <f t="array" aca="1" ref="Y27" ca="1">INDEX(Oper_Model_Revenue,MATCH(Y$1,Oper_Model_Months,0))</f>
        <v>1101336.8030746204</v>
      </c>
      <c r="Z27" s="25">
        <f t="array" aca="1" ref="Z27" ca="1">INDEX(Oper_Model_Revenue,MATCH(Z$1,Oper_Model_Months,0))</f>
        <v>1126664.7198087142</v>
      </c>
    </row>
    <row r="28" spans="2:26" ht="12.75" x14ac:dyDescent="0.2">
      <c r="B28" s="68" t="s">
        <v>93</v>
      </c>
      <c r="C28" s="25">
        <f t="array" ref="C28">INDEX(Oper_Model_Deferred_Revenue_CFS,MATCH(C$1,Oper_Model_Months,0))</f>
        <v>0</v>
      </c>
      <c r="D28" s="25">
        <f t="array" ref="D28">INDEX(Oper_Model_Deferred_Revenue_CFS,MATCH(D$1,Oper_Model_Months,0))</f>
        <v>0</v>
      </c>
      <c r="E28" s="25">
        <f t="array" ref="E28">INDEX(Oper_Model_Deferred_Revenue_CFS,MATCH(E$1,Oper_Model_Months,0))</f>
        <v>0</v>
      </c>
      <c r="F28" s="25">
        <f t="array" ref="F28">INDEX(Oper_Model_Deferred_Revenue_CFS,MATCH(F$1,Oper_Model_Months,0))</f>
        <v>0</v>
      </c>
      <c r="G28" s="25">
        <f t="array" aca="1" ref="G28" ca="1">INDEX(Oper_Model_Deferred_Revenue_CFS,MATCH(G$1,Oper_Model_Months,0))</f>
        <v>0</v>
      </c>
      <c r="H28" s="25">
        <f t="array" aca="1" ref="H28" ca="1">INDEX(Oper_Model_Deferred_Revenue_CFS,MATCH(H$1,Oper_Model_Months,0))</f>
        <v>0</v>
      </c>
      <c r="I28" s="25">
        <f t="array" aca="1" ref="I28" ca="1">INDEX(Oper_Model_Deferred_Revenue_CFS,MATCH(I$1,Oper_Model_Months,0))</f>
        <v>0</v>
      </c>
      <c r="J28" s="25">
        <f t="array" aca="1" ref="J28" ca="1">INDEX(Oper_Model_Deferred_Revenue_CFS,MATCH(J$1,Oper_Model_Months,0))</f>
        <v>0</v>
      </c>
      <c r="K28" s="25">
        <f t="array" aca="1" ref="K28" ca="1">INDEX(Oper_Model_Deferred_Revenue_CFS,MATCH(K$1,Oper_Model_Months,0))</f>
        <v>0</v>
      </c>
      <c r="L28" s="25">
        <f t="array" aca="1" ref="L28" ca="1">INDEX(Oper_Model_Deferred_Revenue_CFS,MATCH(L$1,Oper_Model_Months,0))</f>
        <v>0</v>
      </c>
      <c r="M28" s="25">
        <f t="array" aca="1" ref="M28" ca="1">INDEX(Oper_Model_Deferred_Revenue_CFS,MATCH(M$1,Oper_Model_Months,0))</f>
        <v>0</v>
      </c>
      <c r="N28" s="25">
        <f t="array" aca="1" ref="N28" ca="1">INDEX(Oper_Model_Deferred_Revenue_CFS,MATCH(N$1,Oper_Model_Months,0))</f>
        <v>0</v>
      </c>
      <c r="O28" s="25">
        <f t="array" aca="1" ref="O28" ca="1">INDEX(Oper_Model_Deferred_Revenue_CFS,MATCH(O$1,Oper_Model_Months,0))</f>
        <v>0</v>
      </c>
      <c r="P28" s="25">
        <f t="array" aca="1" ref="P28" ca="1">INDEX(Oper_Model_Deferred_Revenue_CFS,MATCH(P$1,Oper_Model_Months,0))</f>
        <v>0</v>
      </c>
      <c r="Q28" s="25">
        <f t="array" aca="1" ref="Q28" ca="1">INDEX(Oper_Model_Deferred_Revenue_CFS,MATCH(Q$1,Oper_Model_Months,0))</f>
        <v>0</v>
      </c>
      <c r="R28" s="25">
        <f t="array" aca="1" ref="R28" ca="1">INDEX(Oper_Model_Deferred_Revenue_CFS,MATCH(R$1,Oper_Model_Months,0))</f>
        <v>0</v>
      </c>
      <c r="S28" s="25">
        <f t="array" aca="1" ref="S28" ca="1">INDEX(Oper_Model_Deferred_Revenue_CFS,MATCH(S$1,Oper_Model_Months,0))</f>
        <v>0</v>
      </c>
      <c r="T28" s="25">
        <f t="array" aca="1" ref="T28" ca="1">INDEX(Oper_Model_Deferred_Revenue_CFS,MATCH(T$1,Oper_Model_Months,0))</f>
        <v>0</v>
      </c>
      <c r="U28" s="25">
        <f t="array" aca="1" ref="U28" ca="1">INDEX(Oper_Model_Deferred_Revenue_CFS,MATCH(U$1,Oper_Model_Months,0))</f>
        <v>0</v>
      </c>
      <c r="V28" s="25">
        <f t="array" aca="1" ref="V28" ca="1">INDEX(Oper_Model_Deferred_Revenue_CFS,MATCH(V$1,Oper_Model_Months,0))</f>
        <v>0</v>
      </c>
      <c r="W28" s="25">
        <f t="array" aca="1" ref="W28" ca="1">INDEX(Oper_Model_Deferred_Revenue_CFS,MATCH(W$1,Oper_Model_Months,0))</f>
        <v>0</v>
      </c>
      <c r="X28" s="25">
        <f t="array" aca="1" ref="X28" ca="1">INDEX(Oper_Model_Deferred_Revenue_CFS,MATCH(X$1,Oper_Model_Months,0))</f>
        <v>0</v>
      </c>
      <c r="Y28" s="25">
        <f t="array" aca="1" ref="Y28" ca="1">INDEX(Oper_Model_Deferred_Revenue_CFS,MATCH(Y$1,Oper_Model_Months,0))</f>
        <v>0</v>
      </c>
      <c r="Z28" s="25">
        <f t="array" aca="1" ref="Z28" ca="1">INDEX(Oper_Model_Deferred_Revenue_CFS,MATCH(Z$1,Oper_Model_Months,0))</f>
        <v>0</v>
      </c>
    </row>
    <row r="29" spans="2:26" ht="12.75" x14ac:dyDescent="0.2">
      <c r="B29" s="68" t="s">
        <v>94</v>
      </c>
      <c r="C29" s="54">
        <f t="shared" ref="C29:Z29" ca="1" si="2">SUM(C27:C28)</f>
        <v>824529</v>
      </c>
      <c r="D29" s="54">
        <f t="shared" ca="1" si="2"/>
        <v>844626</v>
      </c>
      <c r="E29" s="54">
        <f t="shared" ca="1" si="2"/>
        <v>819162.19</v>
      </c>
      <c r="F29" s="54">
        <f t="shared" ca="1" si="2"/>
        <v>796507</v>
      </c>
      <c r="G29" s="54">
        <f t="shared" ca="1" si="2"/>
        <v>780349.42888759938</v>
      </c>
      <c r="H29" s="54">
        <f t="shared" ca="1" si="2"/>
        <v>776838.89834164642</v>
      </c>
      <c r="I29" s="54">
        <f t="shared" ca="1" si="2"/>
        <v>784307.49639270024</v>
      </c>
      <c r="J29" s="54">
        <f t="shared" ca="1" si="2"/>
        <v>794270.11839480256</v>
      </c>
      <c r="K29" s="54">
        <f t="shared" ca="1" si="2"/>
        <v>810446.91710921796</v>
      </c>
      <c r="L29" s="54">
        <f t="shared" ca="1" si="2"/>
        <v>828843.4436886058</v>
      </c>
      <c r="M29" s="54">
        <f t="shared" ca="1" si="2"/>
        <v>846201.42083742563</v>
      </c>
      <c r="N29" s="54">
        <f t="shared" ca="1" si="2"/>
        <v>864575.11305563885</v>
      </c>
      <c r="O29" s="54">
        <f t="shared" ca="1" si="2"/>
        <v>882839.9823146424</v>
      </c>
      <c r="P29" s="54">
        <f t="shared" ca="1" si="2"/>
        <v>902246.59964331996</v>
      </c>
      <c r="Q29" s="54">
        <f t="shared" ca="1" si="2"/>
        <v>921493.21251495357</v>
      </c>
      <c r="R29" s="54">
        <f t="shared" ca="1" si="2"/>
        <v>941858.92249037873</v>
      </c>
      <c r="S29" s="54">
        <f t="shared" ca="1" si="2"/>
        <v>963330.71914236806</v>
      </c>
      <c r="T29" s="54">
        <f t="shared" ca="1" si="2"/>
        <v>984645.77349427529</v>
      </c>
      <c r="U29" s="54">
        <f t="shared" ca="1" si="2"/>
        <v>1007059.4490605886</v>
      </c>
      <c r="V29" s="54">
        <f t="shared" ca="1" si="2"/>
        <v>1029314.1493517382</v>
      </c>
      <c r="W29" s="54">
        <f t="shared" ca="1" si="2"/>
        <v>1052658.0192075358</v>
      </c>
      <c r="X29" s="54">
        <f t="shared" ca="1" si="2"/>
        <v>1077084.2720350875</v>
      </c>
      <c r="Y29" s="54">
        <f t="shared" ca="1" si="2"/>
        <v>1101336.8030746204</v>
      </c>
      <c r="Z29" s="54">
        <f t="shared" ca="1" si="2"/>
        <v>1126664.7198087142</v>
      </c>
    </row>
    <row r="31" spans="2:26" ht="12.75" x14ac:dyDescent="0.2">
      <c r="B31" s="68" t="s">
        <v>9</v>
      </c>
      <c r="C31" s="25">
        <f t="array" aca="1" ref="C31" ca="1">INDEX(Oper_Model_Revenue,MATCH(C$1,Oper_Model_Months,0))</f>
        <v>824529</v>
      </c>
      <c r="D31" s="25">
        <f t="array" aca="1" ref="D31" ca="1">INDEX(Oper_Model_Revenue,MATCH(D$1,Oper_Model_Months,0))</f>
        <v>844626</v>
      </c>
      <c r="E31" s="25">
        <f t="array" aca="1" ref="E31" ca="1">INDEX(Oper_Model_Revenue,MATCH(E$1,Oper_Model_Months,0))</f>
        <v>819162.19</v>
      </c>
      <c r="F31" s="25">
        <f t="array" aca="1" ref="F31" ca="1">INDEX(Oper_Model_Revenue,MATCH(F$1,Oper_Model_Months,0))</f>
        <v>796507</v>
      </c>
      <c r="G31" s="25">
        <f t="array" aca="1" ref="G31" ca="1">INDEX(Oper_Model_Revenue,MATCH(G$1,Oper_Model_Months,0))</f>
        <v>780349.42888759938</v>
      </c>
      <c r="H31" s="25">
        <f t="array" aca="1" ref="H31" ca="1">INDEX(Oper_Model_Revenue,MATCH(H$1,Oper_Model_Months,0))</f>
        <v>776838.89834164642</v>
      </c>
      <c r="I31" s="25">
        <f t="array" aca="1" ref="I31" ca="1">INDEX(Oper_Model_Revenue,MATCH(I$1,Oper_Model_Months,0))</f>
        <v>784307.49639270024</v>
      </c>
      <c r="J31" s="25">
        <f t="array" aca="1" ref="J31" ca="1">INDEX(Oper_Model_Revenue,MATCH(J$1,Oper_Model_Months,0))</f>
        <v>794270.11839480256</v>
      </c>
      <c r="K31" s="25">
        <f t="array" aca="1" ref="K31" ca="1">INDEX(Oper_Model_Revenue,MATCH(K$1,Oper_Model_Months,0))</f>
        <v>810446.91710921796</v>
      </c>
      <c r="L31" s="25">
        <f t="array" aca="1" ref="L31" ca="1">INDEX(Oper_Model_Revenue,MATCH(L$1,Oper_Model_Months,0))</f>
        <v>828843.4436886058</v>
      </c>
      <c r="M31" s="25">
        <f t="array" aca="1" ref="M31" ca="1">INDEX(Oper_Model_Revenue,MATCH(M$1,Oper_Model_Months,0))</f>
        <v>846201.42083742563</v>
      </c>
      <c r="N31" s="25">
        <f t="array" aca="1" ref="N31" ca="1">INDEX(Oper_Model_Revenue,MATCH(N$1,Oper_Model_Months,0))</f>
        <v>864575.11305563885</v>
      </c>
      <c r="O31" s="25">
        <f t="array" aca="1" ref="O31" ca="1">INDEX(Oper_Model_Revenue,MATCH(O$1,Oper_Model_Months,0))</f>
        <v>882839.9823146424</v>
      </c>
      <c r="P31" s="25">
        <f t="array" aca="1" ref="P31" ca="1">INDEX(Oper_Model_Revenue,MATCH(P$1,Oper_Model_Months,0))</f>
        <v>902246.59964331996</v>
      </c>
      <c r="Q31" s="25">
        <f t="array" aca="1" ref="Q31" ca="1">INDEX(Oper_Model_Revenue,MATCH(Q$1,Oper_Model_Months,0))</f>
        <v>921493.21251495357</v>
      </c>
      <c r="R31" s="25">
        <f t="array" aca="1" ref="R31" ca="1">INDEX(Oper_Model_Revenue,MATCH(R$1,Oper_Model_Months,0))</f>
        <v>941858.92249037873</v>
      </c>
      <c r="S31" s="25">
        <f t="array" aca="1" ref="S31" ca="1">INDEX(Oper_Model_Revenue,MATCH(S$1,Oper_Model_Months,0))</f>
        <v>963330.71914236806</v>
      </c>
      <c r="T31" s="25">
        <f t="array" aca="1" ref="T31" ca="1">INDEX(Oper_Model_Revenue,MATCH(T$1,Oper_Model_Months,0))</f>
        <v>984645.77349427529</v>
      </c>
      <c r="U31" s="25">
        <f t="array" aca="1" ref="U31" ca="1">INDEX(Oper_Model_Revenue,MATCH(U$1,Oper_Model_Months,0))</f>
        <v>1007059.4490605886</v>
      </c>
      <c r="V31" s="25">
        <f t="array" aca="1" ref="V31" ca="1">INDEX(Oper_Model_Revenue,MATCH(V$1,Oper_Model_Months,0))</f>
        <v>1029314.1493517382</v>
      </c>
      <c r="W31" s="25">
        <f t="array" aca="1" ref="W31" ca="1">INDEX(Oper_Model_Revenue,MATCH(W$1,Oper_Model_Months,0))</f>
        <v>1052658.0192075358</v>
      </c>
      <c r="X31" s="25">
        <f t="array" aca="1" ref="X31" ca="1">INDEX(Oper_Model_Revenue,MATCH(X$1,Oper_Model_Months,0))</f>
        <v>1077084.2720350875</v>
      </c>
      <c r="Y31" s="25">
        <f t="array" aca="1" ref="Y31" ca="1">INDEX(Oper_Model_Revenue,MATCH(Y$1,Oper_Model_Months,0))</f>
        <v>1101336.8030746204</v>
      </c>
      <c r="Z31" s="25">
        <f t="array" aca="1" ref="Z31" ca="1">INDEX(Oper_Model_Revenue,MATCH(Z$1,Oper_Model_Months,0))</f>
        <v>1126664.7198087142</v>
      </c>
    </row>
    <row r="32" spans="2:26" ht="12.75" x14ac:dyDescent="0.2">
      <c r="B32" s="68" t="s">
        <v>98</v>
      </c>
      <c r="C32" s="25">
        <f t="array" aca="1" ref="C32" ca="1">INDEX(Oper_Model_Cost_of_Revenue,MATCH(C$1,Oper_Model_Months,0))+INDEX(Oper_Model_Total_Expenses,MATCH(C$1,Oper_Model_Months,0))</f>
        <v>838353</v>
      </c>
      <c r="D32" s="25">
        <f t="array" aca="1" ref="D32" ca="1">INDEX(Oper_Model_Cost_of_Revenue,MATCH(D$1,Oper_Model_Months,0))+INDEX(Oper_Model_Total_Expenses,MATCH(D$1,Oper_Model_Months,0))</f>
        <v>870795</v>
      </c>
      <c r="E32" s="25">
        <f t="array" aca="1" ref="E32" ca="1">INDEX(Oper_Model_Cost_of_Revenue,MATCH(E$1,Oper_Model_Months,0))+INDEX(Oper_Model_Total_Expenses,MATCH(E$1,Oper_Model_Months,0))</f>
        <v>810755</v>
      </c>
      <c r="F32" s="25">
        <f t="array" aca="1" ref="F32" ca="1">INDEX(Oper_Model_Cost_of_Revenue,MATCH(F$1,Oper_Model_Months,0))+INDEX(Oper_Model_Total_Expenses,MATCH(F$1,Oper_Model_Months,0))</f>
        <v>796624</v>
      </c>
      <c r="G32" s="25">
        <f t="array" aca="1" ref="G32" ca="1">INDEX(Oper_Model_Cost_of_Revenue,MATCH(G$1,Oper_Model_Months,0))+INDEX(Oper_Model_Total_Expenses,MATCH(G$1,Oper_Model_Months,0))</f>
        <v>727001.26255042676</v>
      </c>
      <c r="H32" s="25">
        <f t="array" aca="1" ref="H32" ca="1">INDEX(Oper_Model_Cost_of_Revenue,MATCH(H$1,Oper_Model_Months,0))+INDEX(Oper_Model_Total_Expenses,MATCH(H$1,Oper_Model_Months,0))</f>
        <v>741473.04388801567</v>
      </c>
      <c r="I32" s="25">
        <f t="array" aca="1" ref="I32" ca="1">INDEX(Oper_Model_Cost_of_Revenue,MATCH(I$1,Oper_Model_Months,0))+INDEX(Oper_Model_Total_Expenses,MATCH(I$1,Oper_Model_Months,0))</f>
        <v>757596.82071347616</v>
      </c>
      <c r="J32" s="25">
        <f t="array" aca="1" ref="J32" ca="1">INDEX(Oper_Model_Cost_of_Revenue,MATCH(J$1,Oper_Model_Months,0))+INDEX(Oper_Model_Total_Expenses,MATCH(J$1,Oper_Model_Months,0))</f>
        <v>779349.6989345185</v>
      </c>
      <c r="K32" s="25">
        <f t="array" aca="1" ref="K32" ca="1">INDEX(Oper_Model_Cost_of_Revenue,MATCH(K$1,Oper_Model_Months,0))+INDEX(Oper_Model_Total_Expenses,MATCH(K$1,Oper_Model_Months,0))</f>
        <v>796783.77175262023</v>
      </c>
      <c r="L32" s="25">
        <f t="array" aca="1" ref="L32" ca="1">INDEX(Oper_Model_Cost_of_Revenue,MATCH(L$1,Oper_Model_Months,0))+INDEX(Oper_Model_Total_Expenses,MATCH(L$1,Oper_Model_Months,0))</f>
        <v>877393.17348347092</v>
      </c>
      <c r="M32" s="25">
        <f t="array" aca="1" ref="M32" ca="1">INDEX(Oper_Model_Cost_of_Revenue,MATCH(M$1,Oper_Model_Months,0))+INDEX(Oper_Model_Total_Expenses,MATCH(M$1,Oper_Model_Months,0))</f>
        <v>895004.97456358979</v>
      </c>
      <c r="N32" s="25">
        <f t="array" aca="1" ref="N32" ca="1">INDEX(Oper_Model_Cost_of_Revenue,MATCH(N$1,Oper_Model_Months,0))+INDEX(Oper_Model_Total_Expenses,MATCH(N$1,Oper_Model_Months,0))</f>
        <v>952907.10714547825</v>
      </c>
      <c r="O32" s="25">
        <f t="array" aca="1" ref="O32" ca="1">INDEX(Oper_Model_Cost_of_Revenue,MATCH(O$1,Oper_Model_Months,0))+INDEX(Oper_Model_Total_Expenses,MATCH(O$1,Oper_Model_Months,0))</f>
        <v>987634.53214028396</v>
      </c>
      <c r="P32" s="25">
        <f t="array" aca="1" ref="P32" ca="1">INDEX(Oper_Model_Cost_of_Revenue,MATCH(P$1,Oper_Model_Months,0))+INDEX(Oper_Model_Total_Expenses,MATCH(P$1,Oper_Model_Months,0))</f>
        <v>1045221.252432205</v>
      </c>
      <c r="Q32" s="25">
        <f t="array" aca="1" ref="Q32" ca="1">INDEX(Oper_Model_Cost_of_Revenue,MATCH(Q$1,Oper_Model_Months,0))+INDEX(Oper_Model_Total_Expenses,MATCH(Q$1,Oper_Model_Months,0))</f>
        <v>1063117.2306821924</v>
      </c>
      <c r="R32" s="25">
        <f t="array" aca="1" ref="R32" ca="1">INDEX(Oper_Model_Cost_of_Revenue,MATCH(R$1,Oper_Model_Months,0))+INDEX(Oper_Model_Total_Expenses,MATCH(R$1,Oper_Model_Months,0))</f>
        <v>1129794.0960085874</v>
      </c>
      <c r="S32" s="25">
        <f t="array" aca="1" ref="S32" ca="1">INDEX(Oper_Model_Cost_of_Revenue,MATCH(S$1,Oper_Model_Months,0))+INDEX(Oper_Model_Total_Expenses,MATCH(S$1,Oper_Model_Months,0))</f>
        <v>1148024.8907726863</v>
      </c>
      <c r="T32" s="25">
        <f t="array" aca="1" ref="T32" ca="1">INDEX(Oper_Model_Cost_of_Revenue,MATCH(T$1,Oper_Model_Months,0))+INDEX(Oper_Model_Total_Expenses,MATCH(T$1,Oper_Model_Months,0))</f>
        <v>1166232.1010081768</v>
      </c>
      <c r="U32" s="25">
        <f t="array" aca="1" ref="U32" ca="1">INDEX(Oper_Model_Cost_of_Revenue,MATCH(U$1,Oper_Model_Months,0))+INDEX(Oper_Model_Total_Expenses,MATCH(U$1,Oper_Model_Months,0))</f>
        <v>1202242.9507097271</v>
      </c>
      <c r="V32" s="25">
        <f t="array" aca="1" ref="V32" ca="1">INDEX(Oper_Model_Cost_of_Revenue,MATCH(V$1,Oper_Model_Months,0))+INDEX(Oper_Model_Total_Expenses,MATCH(V$1,Oper_Model_Months,0))</f>
        <v>1220591.5465604879</v>
      </c>
      <c r="W32" s="25">
        <f t="array" aca="1" ref="W32" ca="1">INDEX(Oper_Model_Cost_of_Revenue,MATCH(W$1,Oper_Model_Months,0))+INDEX(Oper_Model_Total_Expenses,MATCH(W$1,Oper_Model_Months,0))</f>
        <v>1239104.0263834996</v>
      </c>
      <c r="X32" s="25">
        <f t="array" aca="1" ref="X32" ca="1">INDEX(Oper_Model_Cost_of_Revenue,MATCH(X$1,Oper_Model_Months,0))+INDEX(Oper_Model_Total_Expenses,MATCH(X$1,Oper_Model_Months,0))</f>
        <v>1273816.8690211405</v>
      </c>
      <c r="Y32" s="25">
        <f t="array" aca="1" ref="Y32" ca="1">INDEX(Oper_Model_Cost_of_Revenue,MATCH(Y$1,Oper_Model_Months,0))+INDEX(Oper_Model_Total_Expenses,MATCH(Y$1,Oper_Model_Months,0))</f>
        <v>1292466.0722791927</v>
      </c>
      <c r="Z32" s="25">
        <f t="array" aca="1" ref="Z32" ca="1">INDEX(Oper_Model_Cost_of_Revenue,MATCH(Z$1,Oper_Model_Months,0))+INDEX(Oper_Model_Total_Expenses,MATCH(Z$1,Oper_Model_Months,0))</f>
        <v>1311277.0854932389</v>
      </c>
    </row>
    <row r="33" spans="2:26" ht="12.75" x14ac:dyDescent="0.2">
      <c r="B33" s="68" t="s">
        <v>24</v>
      </c>
      <c r="C33" s="131">
        <f t="array" aca="1" ref="C33" ca="1">INDEX(Oper_Model_Net_Income,MATCH(C$1,Oper_Model_Months,0))</f>
        <v>-13824</v>
      </c>
      <c r="D33" s="131">
        <f t="array" aca="1" ref="D33" ca="1">INDEX(Oper_Model_Net_Income,MATCH(D$1,Oper_Model_Months,0))</f>
        <v>-26169</v>
      </c>
      <c r="E33" s="131">
        <f t="array" aca="1" ref="E33" ca="1">INDEX(Oper_Model_Net_Income,MATCH(E$1,Oper_Model_Months,0))</f>
        <v>8407.1899999999441</v>
      </c>
      <c r="F33" s="131">
        <f t="array" aca="1" ref="F33" ca="1">INDEX(Oper_Model_Net_Income,MATCH(F$1,Oper_Model_Months,0))</f>
        <v>-117</v>
      </c>
      <c r="G33" s="131">
        <f t="array" aca="1" ref="G33" ca="1">INDEX(Oper_Model_Net_Income,MATCH(G$1,Oper_Model_Months,0))</f>
        <v>53348.166337172617</v>
      </c>
      <c r="H33" s="131">
        <f t="array" aca="1" ref="H33" ca="1">INDEX(Oper_Model_Net_Income,MATCH(H$1,Oper_Model_Months,0))</f>
        <v>35365.854453630745</v>
      </c>
      <c r="I33" s="131">
        <f t="array" aca="1" ref="I33" ca="1">INDEX(Oper_Model_Net_Income,MATCH(I$1,Oper_Model_Months,0))</f>
        <v>26710.675679224078</v>
      </c>
      <c r="J33" s="131">
        <f t="array" aca="1" ref="J33" ca="1">INDEX(Oper_Model_Net_Income,MATCH(J$1,Oper_Model_Months,0))</f>
        <v>14920.419460284058</v>
      </c>
      <c r="K33" s="131">
        <f t="array" aca="1" ref="K33" ca="1">INDEX(Oper_Model_Net_Income,MATCH(K$1,Oper_Model_Months,0))</f>
        <v>13663.145356597728</v>
      </c>
      <c r="L33" s="131">
        <f t="array" aca="1" ref="L33" ca="1">INDEX(Oper_Model_Net_Income,MATCH(L$1,Oper_Model_Months,0))</f>
        <v>-48549.729794865241</v>
      </c>
      <c r="M33" s="131">
        <f t="array" aca="1" ref="M33" ca="1">INDEX(Oper_Model_Net_Income,MATCH(M$1,Oper_Model_Months,0))</f>
        <v>-48803.553726164275</v>
      </c>
      <c r="N33" s="131">
        <f t="array" aca="1" ref="N33" ca="1">INDEX(Oper_Model_Net_Income,MATCH(N$1,Oper_Model_Months,0))</f>
        <v>-88331.994089839398</v>
      </c>
      <c r="O33" s="131">
        <f t="array" aca="1" ref="O33" ca="1">INDEX(Oper_Model_Net_Income,MATCH(O$1,Oper_Model_Months,0))</f>
        <v>-104794.54982564156</v>
      </c>
      <c r="P33" s="131">
        <f t="array" aca="1" ref="P33" ca="1">INDEX(Oper_Model_Net_Income,MATCH(P$1,Oper_Model_Months,0))</f>
        <v>-142974.65278888505</v>
      </c>
      <c r="Q33" s="131">
        <f t="array" aca="1" ref="Q33" ca="1">INDEX(Oper_Model_Net_Income,MATCH(Q$1,Oper_Model_Months,0))</f>
        <v>-141624.0181672388</v>
      </c>
      <c r="R33" s="131">
        <f t="array" aca="1" ref="R33" ca="1">INDEX(Oper_Model_Net_Income,MATCH(R$1,Oper_Model_Months,0))</f>
        <v>-187935.17351820879</v>
      </c>
      <c r="S33" s="131">
        <f t="array" aca="1" ref="S33" ca="1">INDEX(Oper_Model_Net_Income,MATCH(S$1,Oper_Model_Months,0))</f>
        <v>-184694.17163031828</v>
      </c>
      <c r="T33" s="131">
        <f t="array" aca="1" ref="T33" ca="1">INDEX(Oper_Model_Net_Income,MATCH(T$1,Oper_Model_Months,0))</f>
        <v>-181586.3275139014</v>
      </c>
      <c r="U33" s="131">
        <f t="array" aca="1" ref="U33" ca="1">INDEX(Oper_Model_Net_Income,MATCH(U$1,Oper_Model_Months,0))</f>
        <v>-195183.5016491384</v>
      </c>
      <c r="V33" s="131">
        <f t="array" aca="1" ref="V33" ca="1">INDEX(Oper_Model_Net_Income,MATCH(V$1,Oper_Model_Months,0))</f>
        <v>-191277.3972087499</v>
      </c>
      <c r="W33" s="131">
        <f t="array" aca="1" ref="W33" ca="1">INDEX(Oper_Model_Net_Income,MATCH(W$1,Oper_Model_Months,0))</f>
        <v>-186446.00717596372</v>
      </c>
      <c r="X33" s="131">
        <f t="array" aca="1" ref="X33" ca="1">INDEX(Oper_Model_Net_Income,MATCH(X$1,Oper_Model_Months,0))</f>
        <v>-196732.59698605305</v>
      </c>
      <c r="Y33" s="131">
        <f t="array" aca="1" ref="Y33" ca="1">INDEX(Oper_Model_Net_Income,MATCH(Y$1,Oper_Model_Months,0))</f>
        <v>-191129.26920457231</v>
      </c>
      <c r="Z33" s="131">
        <f t="array" aca="1" ref="Z33" ca="1">INDEX(Oper_Model_Net_Income,MATCH(Z$1,Oper_Model_Months,0))</f>
        <v>-184612.36568452464</v>
      </c>
    </row>
    <row r="34" spans="2:26" ht="12.75" x14ac:dyDescent="0.2">
      <c r="B34" s="68" t="s">
        <v>100</v>
      </c>
      <c r="C34" s="25">
        <f t="array" ref="C34">INDEX(Oper_Model_Deferred_Revenue_CFS,MATCH(C$1,Oper_Model_Months,0))</f>
        <v>0</v>
      </c>
      <c r="D34" s="25">
        <f t="array" ref="D34">INDEX(Oper_Model_Deferred_Revenue_CFS,MATCH(D$1,Oper_Model_Months,0))</f>
        <v>0</v>
      </c>
      <c r="E34" s="25">
        <f t="array" ref="E34">INDEX(Oper_Model_Deferred_Revenue_CFS,MATCH(E$1,Oper_Model_Months,0))</f>
        <v>0</v>
      </c>
      <c r="F34" s="25">
        <f t="array" ref="F34">INDEX(Oper_Model_Deferred_Revenue_CFS,MATCH(F$1,Oper_Model_Months,0))</f>
        <v>0</v>
      </c>
      <c r="G34" s="25">
        <f t="array" aca="1" ref="G34" ca="1">INDEX(Oper_Model_Deferred_Revenue_CFS,MATCH(G$1,Oper_Model_Months,0))</f>
        <v>0</v>
      </c>
      <c r="H34" s="25">
        <f t="array" aca="1" ref="H34" ca="1">INDEX(Oper_Model_Deferred_Revenue_CFS,MATCH(H$1,Oper_Model_Months,0))</f>
        <v>0</v>
      </c>
      <c r="I34" s="25">
        <f t="array" aca="1" ref="I34" ca="1">INDEX(Oper_Model_Deferred_Revenue_CFS,MATCH(I$1,Oper_Model_Months,0))</f>
        <v>0</v>
      </c>
      <c r="J34" s="25">
        <f t="array" aca="1" ref="J34" ca="1">INDEX(Oper_Model_Deferred_Revenue_CFS,MATCH(J$1,Oper_Model_Months,0))</f>
        <v>0</v>
      </c>
      <c r="K34" s="25">
        <f t="array" aca="1" ref="K34" ca="1">INDEX(Oper_Model_Deferred_Revenue_CFS,MATCH(K$1,Oper_Model_Months,0))</f>
        <v>0</v>
      </c>
      <c r="L34" s="25">
        <f t="array" aca="1" ref="L34" ca="1">INDEX(Oper_Model_Deferred_Revenue_CFS,MATCH(L$1,Oper_Model_Months,0))</f>
        <v>0</v>
      </c>
      <c r="M34" s="25">
        <f t="array" aca="1" ref="M34" ca="1">INDEX(Oper_Model_Deferred_Revenue_CFS,MATCH(M$1,Oper_Model_Months,0))</f>
        <v>0</v>
      </c>
      <c r="N34" s="25">
        <f t="array" aca="1" ref="N34" ca="1">INDEX(Oper_Model_Deferred_Revenue_CFS,MATCH(N$1,Oper_Model_Months,0))</f>
        <v>0</v>
      </c>
      <c r="O34" s="25">
        <f t="array" aca="1" ref="O34" ca="1">INDEX(Oper_Model_Deferred_Revenue_CFS,MATCH(O$1,Oper_Model_Months,0))</f>
        <v>0</v>
      </c>
      <c r="P34" s="25">
        <f t="array" aca="1" ref="P34" ca="1">INDEX(Oper_Model_Deferred_Revenue_CFS,MATCH(P$1,Oper_Model_Months,0))</f>
        <v>0</v>
      </c>
      <c r="Q34" s="25">
        <f t="array" aca="1" ref="Q34" ca="1">INDEX(Oper_Model_Deferred_Revenue_CFS,MATCH(Q$1,Oper_Model_Months,0))</f>
        <v>0</v>
      </c>
      <c r="R34" s="25">
        <f t="array" aca="1" ref="R34" ca="1">INDEX(Oper_Model_Deferred_Revenue_CFS,MATCH(R$1,Oper_Model_Months,0))</f>
        <v>0</v>
      </c>
      <c r="S34" s="25">
        <f t="array" aca="1" ref="S34" ca="1">INDEX(Oper_Model_Deferred_Revenue_CFS,MATCH(S$1,Oper_Model_Months,0))</f>
        <v>0</v>
      </c>
      <c r="T34" s="25">
        <f t="array" aca="1" ref="T34" ca="1">INDEX(Oper_Model_Deferred_Revenue_CFS,MATCH(T$1,Oper_Model_Months,0))</f>
        <v>0</v>
      </c>
      <c r="U34" s="25">
        <f t="array" aca="1" ref="U34" ca="1">INDEX(Oper_Model_Deferred_Revenue_CFS,MATCH(U$1,Oper_Model_Months,0))</f>
        <v>0</v>
      </c>
      <c r="V34" s="25">
        <f t="array" aca="1" ref="V34" ca="1">INDEX(Oper_Model_Deferred_Revenue_CFS,MATCH(V$1,Oper_Model_Months,0))</f>
        <v>0</v>
      </c>
      <c r="W34" s="25">
        <f t="array" aca="1" ref="W34" ca="1">INDEX(Oper_Model_Deferred_Revenue_CFS,MATCH(W$1,Oper_Model_Months,0))</f>
        <v>0</v>
      </c>
      <c r="X34" s="25">
        <f t="array" aca="1" ref="X34" ca="1">INDEX(Oper_Model_Deferred_Revenue_CFS,MATCH(X$1,Oper_Model_Months,0))</f>
        <v>0</v>
      </c>
      <c r="Y34" s="25">
        <f t="array" aca="1" ref="Y34" ca="1">INDEX(Oper_Model_Deferred_Revenue_CFS,MATCH(Y$1,Oper_Model_Months,0))</f>
        <v>0</v>
      </c>
      <c r="Z34" s="25">
        <f t="array" aca="1" ref="Z34" ca="1">INDEX(Oper_Model_Deferred_Revenue_CFS,MATCH(Z$1,Oper_Model_Months,0))</f>
        <v>0</v>
      </c>
    </row>
    <row r="35" spans="2:26" ht="12.75" x14ac:dyDescent="0.2">
      <c r="B35" s="68" t="s">
        <v>101</v>
      </c>
      <c r="C35" s="138">
        <f t="array" aca="1" ref="C35" ca="1">INDEX(Oper_Model_Adjustments_to_Net_Income,MATCH(C$1,Oper_Model_Months,0))-INDEX(Oper_Model_Deferred_Revenue_CFS,MATCH(C$1,Oper_Model_Months,0))+INDEX(Oper_Model_Investing_Activities,MATCH(C$1,Oper_Model_Months,0))+INDEX(Oper_Model_Financing_Activities,MATCH(C$1,Oper_Model_Months,0))</f>
        <v>0</v>
      </c>
      <c r="D35" s="138">
        <f t="array" aca="1" ref="D35" ca="1">INDEX(Oper_Model_Adjustments_to_Net_Income,MATCH(D$1,Oper_Model_Months,0))-INDEX(Oper_Model_Deferred_Revenue_CFS,MATCH(D$1,Oper_Model_Months,0))+INDEX(Oper_Model_Investing_Activities,MATCH(D$1,Oper_Model_Months,0))+INDEX(Oper_Model_Financing_Activities,MATCH(D$1,Oper_Model_Months,0))</f>
        <v>0</v>
      </c>
      <c r="E35" s="138">
        <f t="array" aca="1" ref="E35" ca="1">INDEX(Oper_Model_Adjustments_to_Net_Income,MATCH(E$1,Oper_Model_Months,0))-INDEX(Oper_Model_Deferred_Revenue_CFS,MATCH(E$1,Oper_Model_Months,0))+INDEX(Oper_Model_Investing_Activities,MATCH(E$1,Oper_Model_Months,0))+INDEX(Oper_Model_Financing_Activities,MATCH(E$1,Oper_Model_Months,0))</f>
        <v>0</v>
      </c>
      <c r="F35" s="138">
        <f t="array" aca="1" ref="F35" ca="1">INDEX(Oper_Model_Adjustments_to_Net_Income,MATCH(F$1,Oper_Model_Months,0))-INDEX(Oper_Model_Deferred_Revenue_CFS,MATCH(F$1,Oper_Model_Months,0))+INDEX(Oper_Model_Investing_Activities,MATCH(F$1,Oper_Model_Months,0))+INDEX(Oper_Model_Financing_Activities,MATCH(F$1,Oper_Model_Months,0))</f>
        <v>0</v>
      </c>
      <c r="G35" s="138">
        <f t="array" aca="1" ref="G35" ca="1">INDEX(Oper_Model_Adjustments_to_Net_Income,MATCH(G$1,Oper_Model_Months,0))-INDEX(Oper_Model_Deferred_Revenue_CFS,MATCH(G$1,Oper_Model_Months,0))+INDEX(Oper_Model_Investing_Activities,MATCH(G$1,Oper_Model_Months,0))+INDEX(Oper_Model_Financing_Activities,MATCH(G$1,Oper_Model_Months,0))</f>
        <v>0</v>
      </c>
      <c r="H35" s="138">
        <f t="array" aca="1" ref="H35" ca="1">INDEX(Oper_Model_Adjustments_to_Net_Income,MATCH(H$1,Oper_Model_Months,0))-INDEX(Oper_Model_Deferred_Revenue_CFS,MATCH(H$1,Oper_Model_Months,0))+INDEX(Oper_Model_Investing_Activities,MATCH(H$1,Oper_Model_Months,0))+INDEX(Oper_Model_Financing_Activities,MATCH(H$1,Oper_Model_Months,0))</f>
        <v>0</v>
      </c>
      <c r="I35" s="138">
        <f t="array" aca="1" ref="I35" ca="1">INDEX(Oper_Model_Adjustments_to_Net_Income,MATCH(I$1,Oper_Model_Months,0))-INDEX(Oper_Model_Deferred_Revenue_CFS,MATCH(I$1,Oper_Model_Months,0))+INDEX(Oper_Model_Investing_Activities,MATCH(I$1,Oper_Model_Months,0))+INDEX(Oper_Model_Financing_Activities,MATCH(I$1,Oper_Model_Months,0))</f>
        <v>0</v>
      </c>
      <c r="J35" s="138">
        <f t="array" aca="1" ref="J35" ca="1">INDEX(Oper_Model_Adjustments_to_Net_Income,MATCH(J$1,Oper_Model_Months,0))-INDEX(Oper_Model_Deferred_Revenue_CFS,MATCH(J$1,Oper_Model_Months,0))+INDEX(Oper_Model_Investing_Activities,MATCH(J$1,Oper_Model_Months,0))+INDEX(Oper_Model_Financing_Activities,MATCH(J$1,Oper_Model_Months,0))</f>
        <v>0</v>
      </c>
      <c r="K35" s="138">
        <f t="array" aca="1" ref="K35" ca="1">INDEX(Oper_Model_Adjustments_to_Net_Income,MATCH(K$1,Oper_Model_Months,0))-INDEX(Oper_Model_Deferred_Revenue_CFS,MATCH(K$1,Oper_Model_Months,0))+INDEX(Oper_Model_Investing_Activities,MATCH(K$1,Oper_Model_Months,0))+INDEX(Oper_Model_Financing_Activities,MATCH(K$1,Oper_Model_Months,0))</f>
        <v>0</v>
      </c>
      <c r="L35" s="138">
        <f t="array" aca="1" ref="L35" ca="1">INDEX(Oper_Model_Adjustments_to_Net_Income,MATCH(L$1,Oper_Model_Months,0))-INDEX(Oper_Model_Deferred_Revenue_CFS,MATCH(L$1,Oper_Model_Months,0))+INDEX(Oper_Model_Investing_Activities,MATCH(L$1,Oper_Model_Months,0))+INDEX(Oper_Model_Financing_Activities,MATCH(L$1,Oper_Model_Months,0))</f>
        <v>0</v>
      </c>
      <c r="M35" s="138">
        <f t="array" aca="1" ref="M35" ca="1">INDEX(Oper_Model_Adjustments_to_Net_Income,MATCH(M$1,Oper_Model_Months,0))-INDEX(Oper_Model_Deferred_Revenue_CFS,MATCH(M$1,Oper_Model_Months,0))+INDEX(Oper_Model_Investing_Activities,MATCH(M$1,Oper_Model_Months,0))+INDEX(Oper_Model_Financing_Activities,MATCH(M$1,Oper_Model_Months,0))</f>
        <v>0</v>
      </c>
      <c r="N35" s="138">
        <f t="array" aca="1" ref="N35" ca="1">INDEX(Oper_Model_Adjustments_to_Net_Income,MATCH(N$1,Oper_Model_Months,0))-INDEX(Oper_Model_Deferred_Revenue_CFS,MATCH(N$1,Oper_Model_Months,0))+INDEX(Oper_Model_Investing_Activities,MATCH(N$1,Oper_Model_Months,0))+INDEX(Oper_Model_Financing_Activities,MATCH(N$1,Oper_Model_Months,0))</f>
        <v>0</v>
      </c>
      <c r="O35" s="138">
        <f t="array" aca="1" ref="O35" ca="1">INDEX(Oper_Model_Adjustments_to_Net_Income,MATCH(O$1,Oper_Model_Months,0))-INDEX(Oper_Model_Deferred_Revenue_CFS,MATCH(O$1,Oper_Model_Months,0))+INDEX(Oper_Model_Investing_Activities,MATCH(O$1,Oper_Model_Months,0))+INDEX(Oper_Model_Financing_Activities,MATCH(O$1,Oper_Model_Months,0))</f>
        <v>0</v>
      </c>
      <c r="P35" s="138">
        <f t="array" aca="1" ref="P35" ca="1">INDEX(Oper_Model_Adjustments_to_Net_Income,MATCH(P$1,Oper_Model_Months,0))-INDEX(Oper_Model_Deferred_Revenue_CFS,MATCH(P$1,Oper_Model_Months,0))+INDEX(Oper_Model_Investing_Activities,MATCH(P$1,Oper_Model_Months,0))+INDEX(Oper_Model_Financing_Activities,MATCH(P$1,Oper_Model_Months,0))</f>
        <v>0</v>
      </c>
      <c r="Q35" s="138">
        <f t="array" aca="1" ref="Q35" ca="1">INDEX(Oper_Model_Adjustments_to_Net_Income,MATCH(Q$1,Oper_Model_Months,0))-INDEX(Oper_Model_Deferred_Revenue_CFS,MATCH(Q$1,Oper_Model_Months,0))+INDEX(Oper_Model_Investing_Activities,MATCH(Q$1,Oper_Model_Months,0))+INDEX(Oper_Model_Financing_Activities,MATCH(Q$1,Oper_Model_Months,0))</f>
        <v>0</v>
      </c>
      <c r="R35" s="138">
        <f t="array" aca="1" ref="R35" ca="1">INDEX(Oper_Model_Adjustments_to_Net_Income,MATCH(R$1,Oper_Model_Months,0))-INDEX(Oper_Model_Deferred_Revenue_CFS,MATCH(R$1,Oper_Model_Months,0))+INDEX(Oper_Model_Investing_Activities,MATCH(R$1,Oper_Model_Months,0))+INDEX(Oper_Model_Financing_Activities,MATCH(R$1,Oper_Model_Months,0))</f>
        <v>0</v>
      </c>
      <c r="S35" s="138">
        <f t="array" aca="1" ref="S35" ca="1">INDEX(Oper_Model_Adjustments_to_Net_Income,MATCH(S$1,Oper_Model_Months,0))-INDEX(Oper_Model_Deferred_Revenue_CFS,MATCH(S$1,Oper_Model_Months,0))+INDEX(Oper_Model_Investing_Activities,MATCH(S$1,Oper_Model_Months,0))+INDEX(Oper_Model_Financing_Activities,MATCH(S$1,Oper_Model_Months,0))</f>
        <v>0</v>
      </c>
      <c r="T35" s="138">
        <f t="array" aca="1" ref="T35" ca="1">INDEX(Oper_Model_Adjustments_to_Net_Income,MATCH(T$1,Oper_Model_Months,0))-INDEX(Oper_Model_Deferred_Revenue_CFS,MATCH(T$1,Oper_Model_Months,0))+INDEX(Oper_Model_Investing_Activities,MATCH(T$1,Oper_Model_Months,0))+INDEX(Oper_Model_Financing_Activities,MATCH(T$1,Oper_Model_Months,0))</f>
        <v>0</v>
      </c>
      <c r="U35" s="138">
        <f t="array" aca="1" ref="U35" ca="1">INDEX(Oper_Model_Adjustments_to_Net_Income,MATCH(U$1,Oper_Model_Months,0))-INDEX(Oper_Model_Deferred_Revenue_CFS,MATCH(U$1,Oper_Model_Months,0))+INDEX(Oper_Model_Investing_Activities,MATCH(U$1,Oper_Model_Months,0))+INDEX(Oper_Model_Financing_Activities,MATCH(U$1,Oper_Model_Months,0))</f>
        <v>0</v>
      </c>
      <c r="V35" s="138">
        <f t="array" aca="1" ref="V35" ca="1">INDEX(Oper_Model_Adjustments_to_Net_Income,MATCH(V$1,Oper_Model_Months,0))-INDEX(Oper_Model_Deferred_Revenue_CFS,MATCH(V$1,Oper_Model_Months,0))+INDEX(Oper_Model_Investing_Activities,MATCH(V$1,Oper_Model_Months,0))+INDEX(Oper_Model_Financing_Activities,MATCH(V$1,Oper_Model_Months,0))</f>
        <v>0</v>
      </c>
      <c r="W35" s="138">
        <f t="array" aca="1" ref="W35" ca="1">INDEX(Oper_Model_Adjustments_to_Net_Income,MATCH(W$1,Oper_Model_Months,0))-INDEX(Oper_Model_Deferred_Revenue_CFS,MATCH(W$1,Oper_Model_Months,0))+INDEX(Oper_Model_Investing_Activities,MATCH(W$1,Oper_Model_Months,0))+INDEX(Oper_Model_Financing_Activities,MATCH(W$1,Oper_Model_Months,0))</f>
        <v>0</v>
      </c>
      <c r="X35" s="138">
        <f t="array" aca="1" ref="X35" ca="1">INDEX(Oper_Model_Adjustments_to_Net_Income,MATCH(X$1,Oper_Model_Months,0))-INDEX(Oper_Model_Deferred_Revenue_CFS,MATCH(X$1,Oper_Model_Months,0))+INDEX(Oper_Model_Investing_Activities,MATCH(X$1,Oper_Model_Months,0))+INDEX(Oper_Model_Financing_Activities,MATCH(X$1,Oper_Model_Months,0))</f>
        <v>0</v>
      </c>
      <c r="Y35" s="138">
        <f t="array" aca="1" ref="Y35" ca="1">INDEX(Oper_Model_Adjustments_to_Net_Income,MATCH(Y$1,Oper_Model_Months,0))-INDEX(Oper_Model_Deferred_Revenue_CFS,MATCH(Y$1,Oper_Model_Months,0))+INDEX(Oper_Model_Investing_Activities,MATCH(Y$1,Oper_Model_Months,0))+INDEX(Oper_Model_Financing_Activities,MATCH(Y$1,Oper_Model_Months,0))</f>
        <v>0</v>
      </c>
      <c r="Z35" s="138">
        <f t="array" aca="1" ref="Z35" ca="1">INDEX(Oper_Model_Adjustments_to_Net_Income,MATCH(Z$1,Oper_Model_Months,0))-INDEX(Oper_Model_Deferred_Revenue_CFS,MATCH(Z$1,Oper_Model_Months,0))+INDEX(Oper_Model_Investing_Activities,MATCH(Z$1,Oper_Model_Months,0))+INDEX(Oper_Model_Financing_Activities,MATCH(Z$1,Oper_Model_Months,0))</f>
        <v>0</v>
      </c>
    </row>
    <row r="36" spans="2:26" ht="12.75" x14ac:dyDescent="0.2">
      <c r="B36" s="68" t="s">
        <v>90</v>
      </c>
      <c r="C36" s="54">
        <f t="shared" ref="C36:Z36" ca="1" si="3">SUM(C33:C35)</f>
        <v>-13824</v>
      </c>
      <c r="D36" s="54">
        <f t="shared" ca="1" si="3"/>
        <v>-26169</v>
      </c>
      <c r="E36" s="54">
        <f t="shared" ca="1" si="3"/>
        <v>8407.1899999999441</v>
      </c>
      <c r="F36" s="54">
        <f t="shared" ca="1" si="3"/>
        <v>-117</v>
      </c>
      <c r="G36" s="54">
        <f t="shared" ca="1" si="3"/>
        <v>53348.166337172617</v>
      </c>
      <c r="H36" s="54">
        <f t="shared" ca="1" si="3"/>
        <v>35365.854453630745</v>
      </c>
      <c r="I36" s="54">
        <f t="shared" ca="1" si="3"/>
        <v>26710.675679224078</v>
      </c>
      <c r="J36" s="54">
        <f t="shared" ca="1" si="3"/>
        <v>14920.419460284058</v>
      </c>
      <c r="K36" s="54">
        <f t="shared" ca="1" si="3"/>
        <v>13663.145356597728</v>
      </c>
      <c r="L36" s="54">
        <f t="shared" ca="1" si="3"/>
        <v>-48549.729794865241</v>
      </c>
      <c r="M36" s="54">
        <f t="shared" ca="1" si="3"/>
        <v>-48803.553726164275</v>
      </c>
      <c r="N36" s="54">
        <f t="shared" ca="1" si="3"/>
        <v>-88331.994089839398</v>
      </c>
      <c r="O36" s="54">
        <f t="shared" ca="1" si="3"/>
        <v>-104794.54982564156</v>
      </c>
      <c r="P36" s="54">
        <f t="shared" ca="1" si="3"/>
        <v>-142974.65278888505</v>
      </c>
      <c r="Q36" s="54">
        <f t="shared" ca="1" si="3"/>
        <v>-141624.0181672388</v>
      </c>
      <c r="R36" s="54">
        <f t="shared" ca="1" si="3"/>
        <v>-187935.17351820879</v>
      </c>
      <c r="S36" s="54">
        <f t="shared" ca="1" si="3"/>
        <v>-184694.17163031828</v>
      </c>
      <c r="T36" s="54">
        <f t="shared" ca="1" si="3"/>
        <v>-181586.3275139014</v>
      </c>
      <c r="U36" s="54">
        <f t="shared" ca="1" si="3"/>
        <v>-195183.5016491384</v>
      </c>
      <c r="V36" s="54">
        <f t="shared" ca="1" si="3"/>
        <v>-191277.3972087499</v>
      </c>
      <c r="W36" s="54">
        <f t="shared" ca="1" si="3"/>
        <v>-186446.00717596372</v>
      </c>
      <c r="X36" s="54">
        <f t="shared" ca="1" si="3"/>
        <v>-196732.59698605305</v>
      </c>
      <c r="Y36" s="54">
        <f t="shared" ca="1" si="3"/>
        <v>-191129.26920457231</v>
      </c>
      <c r="Z36" s="54">
        <f t="shared" ca="1" si="3"/>
        <v>-184612.36568452464</v>
      </c>
    </row>
    <row r="38" spans="2:26" ht="12.75" x14ac:dyDescent="0.2">
      <c r="B38" s="69"/>
      <c r="C38" s="115">
        <f t="shared" ref="C38:Z38" ca="1" si="4">C36-C24</f>
        <v>0</v>
      </c>
      <c r="D38" s="115">
        <f t="shared" ca="1" si="4"/>
        <v>0</v>
      </c>
      <c r="E38" s="115">
        <f t="shared" ca="1" si="4"/>
        <v>0</v>
      </c>
      <c r="F38" s="115">
        <f t="shared" ca="1" si="4"/>
        <v>0</v>
      </c>
      <c r="G38" s="115">
        <f t="shared" ca="1" si="4"/>
        <v>0</v>
      </c>
      <c r="H38" s="115">
        <f t="shared" ca="1" si="4"/>
        <v>0</v>
      </c>
      <c r="I38" s="115">
        <f t="shared" ca="1" si="4"/>
        <v>0</v>
      </c>
      <c r="J38" s="115">
        <f t="shared" ca="1" si="4"/>
        <v>0</v>
      </c>
      <c r="K38" s="115">
        <f t="shared" ca="1" si="4"/>
        <v>0</v>
      </c>
      <c r="L38" s="115">
        <f t="shared" ca="1" si="4"/>
        <v>0</v>
      </c>
      <c r="M38" s="115">
        <f t="shared" ca="1" si="4"/>
        <v>0</v>
      </c>
      <c r="N38" s="115">
        <f t="shared" ca="1" si="4"/>
        <v>0</v>
      </c>
      <c r="O38" s="115">
        <f t="shared" ca="1" si="4"/>
        <v>0</v>
      </c>
      <c r="P38" s="115">
        <f t="shared" ca="1" si="4"/>
        <v>0</v>
      </c>
      <c r="Q38" s="115">
        <f t="shared" ca="1" si="4"/>
        <v>0</v>
      </c>
      <c r="R38" s="115">
        <f t="shared" ca="1" si="4"/>
        <v>0</v>
      </c>
      <c r="S38" s="115">
        <f t="shared" ca="1" si="4"/>
        <v>0</v>
      </c>
      <c r="T38" s="115">
        <f t="shared" ca="1" si="4"/>
        <v>0</v>
      </c>
      <c r="U38" s="115">
        <f t="shared" ca="1" si="4"/>
        <v>0</v>
      </c>
      <c r="V38" s="115">
        <f t="shared" ca="1" si="4"/>
        <v>0</v>
      </c>
      <c r="W38" s="115">
        <f t="shared" ca="1" si="4"/>
        <v>0</v>
      </c>
      <c r="X38" s="115">
        <f t="shared" ca="1" si="4"/>
        <v>0</v>
      </c>
      <c r="Y38" s="115">
        <f t="shared" ca="1" si="4"/>
        <v>0</v>
      </c>
      <c r="Z38" s="115">
        <f t="shared" ca="1" si="4"/>
        <v>0</v>
      </c>
    </row>
    <row r="41" spans="2:26" ht="12.75" x14ac:dyDescent="0.2">
      <c r="B41" s="23" t="s">
        <v>104</v>
      </c>
      <c r="C41" s="141">
        <f t="array" ref="C41">INDEX(Revenue_Model_Net_New_MRR,MATCH(C$1,Revenue_Model_Months,0))</f>
        <v>22458.850185606236</v>
      </c>
      <c r="D41" s="141">
        <f t="array" ref="D41">INDEX(Revenue_Model_Net_New_MRR,MATCH(D$1,Revenue_Model_Months,0))</f>
        <v>25563.850185606236</v>
      </c>
      <c r="E41" s="141">
        <f t="array" ref="E41">INDEX(Revenue_Model_Net_New_MRR,MATCH(E$1,Revenue_Model_Months,0))</f>
        <v>-4145</v>
      </c>
      <c r="F41" s="141">
        <f t="array" ref="F41">INDEX(Revenue_Model_Net_New_MRR,MATCH(F$1,Revenue_Model_Months,0))</f>
        <v>-25456</v>
      </c>
      <c r="G41" s="141">
        <f t="array" aca="1" ref="G41" ca="1">INDEX(Revenue_Model_Net_New_MRR,MATCH(G$1,Revenue_Model_Months,0))</f>
        <v>-14357.332313816551</v>
      </c>
      <c r="H41" s="141">
        <f t="array" aca="1" ref="H41" ca="1">INDEX(Revenue_Model_Net_New_MRR,MATCH(H$1,Revenue_Model_Months,0))</f>
        <v>-3510.5305459529518</v>
      </c>
      <c r="I41" s="141">
        <f t="array" aca="1" ref="I41" ca="1">INDEX(Revenue_Model_Net_New_MRR,MATCH(I$1,Revenue_Model_Months,0))</f>
        <v>7468.5980510538393</v>
      </c>
      <c r="J41" s="141">
        <f t="array" aca="1" ref="J41" ca="1">INDEX(Revenue_Model_Net_New_MRR,MATCH(J$1,Revenue_Model_Months,0))</f>
        <v>9962.622002102331</v>
      </c>
      <c r="K41" s="141">
        <f t="array" aca="1" ref="K41" ca="1">INDEX(Revenue_Model_Net_New_MRR,MATCH(K$1,Revenue_Model_Months,0))</f>
        <v>16176.798714415394</v>
      </c>
      <c r="L41" s="141">
        <f t="array" aca="1" ref="L41" ca="1">INDEX(Revenue_Model_Net_New_MRR,MATCH(L$1,Revenue_Model_Months,0))</f>
        <v>18396.526579387886</v>
      </c>
      <c r="M41" s="141">
        <f t="array" aca="1" ref="M41" ca="1">INDEX(Revenue_Model_Net_New_MRR,MATCH(M$1,Revenue_Model_Months,0))</f>
        <v>17357.97714881978</v>
      </c>
      <c r="N41" s="141">
        <f t="array" aca="1" ref="N41" ca="1">INDEX(Revenue_Model_Net_New_MRR,MATCH(N$1,Revenue_Model_Months,0))</f>
        <v>18373.692218213175</v>
      </c>
      <c r="O41" s="141">
        <f t="array" aca="1" ref="O41" ca="1">INDEX(Revenue_Model_Net_New_MRR,MATCH(O$1,Revenue_Model_Months,0))</f>
        <v>18264.869259003546</v>
      </c>
      <c r="P41" s="141">
        <f t="array" aca="1" ref="P41" ca="1">INDEX(Revenue_Model_Net_New_MRR,MATCH(P$1,Revenue_Model_Months,0))</f>
        <v>19406.61732867753</v>
      </c>
      <c r="Q41" s="141">
        <f t="array" aca="1" ref="Q41" ca="1">INDEX(Revenue_Model_Net_New_MRR,MATCH(Q$1,Revenue_Model_Months,0))</f>
        <v>19246.612871633595</v>
      </c>
      <c r="R41" s="141">
        <f t="array" aca="1" ref="R41" ca="1">INDEX(Revenue_Model_Net_New_MRR,MATCH(R$1,Revenue_Model_Months,0))</f>
        <v>20365.709975425205</v>
      </c>
      <c r="S41" s="141">
        <f t="array" aca="1" ref="S41" ca="1">INDEX(Revenue_Model_Net_New_MRR,MATCH(S$1,Revenue_Model_Months,0))</f>
        <v>21471.796651989385</v>
      </c>
      <c r="T41" s="141">
        <f t="array" aca="1" ref="T41" ca="1">INDEX(Revenue_Model_Net_New_MRR,MATCH(T$1,Revenue_Model_Months,0))</f>
        <v>21315.054351907231</v>
      </c>
      <c r="U41" s="141">
        <f t="array" aca="1" ref="U41" ca="1">INDEX(Revenue_Model_Net_New_MRR,MATCH(U$1,Revenue_Model_Months,0))</f>
        <v>22413.675566313337</v>
      </c>
      <c r="V41" s="141">
        <f t="array" aca="1" ref="V41" ca="1">INDEX(Revenue_Model_Net_New_MRR,MATCH(V$1,Revenue_Model_Months,0))</f>
        <v>22254.700291149533</v>
      </c>
      <c r="W41" s="141">
        <f t="array" aca="1" ref="W41" ca="1">INDEX(Revenue_Model_Net_New_MRR,MATCH(W$1,Revenue_Model_Months,0))</f>
        <v>23343.869855797668</v>
      </c>
      <c r="X41" s="141">
        <f t="array" aca="1" ref="X41" ca="1">INDEX(Revenue_Model_Net_New_MRR,MATCH(X$1,Revenue_Model_Months,0))</f>
        <v>24426.252827551725</v>
      </c>
      <c r="Y41" s="141">
        <f t="array" aca="1" ref="Y41" ca="1">INDEX(Revenue_Model_Net_New_MRR,MATCH(Y$1,Revenue_Model_Months,0))</f>
        <v>24252.53103953298</v>
      </c>
      <c r="Z41" s="141">
        <f t="array" aca="1" ref="Z41" ca="1">INDEX(Revenue_Model_Net_New_MRR,MATCH(Z$1,Revenue_Model_Months,0))</f>
        <v>25327.916734093877</v>
      </c>
    </row>
    <row r="42" spans="2:26" ht="12.75" x14ac:dyDescent="0.2">
      <c r="B42" s="23" t="s">
        <v>107</v>
      </c>
      <c r="C42" s="141">
        <f t="array" ref="C42">INDEX(Revenue_Model_Contraction_MRR_1m,MATCH(C$1,Revenue_Model_Months,0))+INDEX(Revenue_Model_Contraction_MRR_12m,MATCH(C$1,Revenue_Model_Months,0))</f>
        <v>-14719.340740740699</v>
      </c>
      <c r="D42" s="141">
        <f t="array" ref="D42">INDEX(Revenue_Model_Contraction_MRR_1m,MATCH(D$1,Revenue_Model_Months,0))+INDEX(Revenue_Model_Contraction_MRR_12m,MATCH(D$1,Revenue_Model_Months,0))</f>
        <v>-12226.340740740699</v>
      </c>
      <c r="E42" s="141">
        <f t="array" ref="E42">INDEX(Revenue_Model_Contraction_MRR_1m,MATCH(E$1,Revenue_Model_Months,0))+INDEX(Revenue_Model_Contraction_MRR_12m,MATCH(E$1,Revenue_Model_Months,0))</f>
        <v>-15131</v>
      </c>
      <c r="F42" s="141">
        <f t="array" ref="F42">INDEX(Revenue_Model_Contraction_MRR_1m,MATCH(F$1,Revenue_Model_Months,0))+INDEX(Revenue_Model_Contraction_MRR_12m,MATCH(F$1,Revenue_Model_Months,0))</f>
        <v>-14756</v>
      </c>
      <c r="G42" s="141">
        <f t="array" ref="G42">INDEX(Revenue_Model_Contraction_MRR_1m,MATCH(G$1,Revenue_Model_Months,0))+INDEX(Revenue_Model_Contraction_MRR_12m,MATCH(G$1,Revenue_Model_Months,0))</f>
        <v>-13258.551011320742</v>
      </c>
      <c r="H42" s="141">
        <f t="array" aca="1" ref="H42" ca="1">INDEX(Revenue_Model_Contraction_MRR_1m,MATCH(H$1,Revenue_Model_Months,0))+INDEX(Revenue_Model_Contraction_MRR_12m,MATCH(H$1,Revenue_Model_Months,0))</f>
        <v>-12759.940891419803</v>
      </c>
      <c r="I42" s="141">
        <f t="array" aca="1" ref="I42" ca="1">INDEX(Revenue_Model_Contraction_MRR_1m,MATCH(I$1,Revenue_Model_Months,0))+INDEX(Revenue_Model_Contraction_MRR_12m,MATCH(I$1,Revenue_Model_Months,0))</f>
        <v>-11056.665028160402</v>
      </c>
      <c r="J42" s="141">
        <f t="array" aca="1" ref="J42" ca="1">INDEX(Revenue_Model_Contraction_MRR_1m,MATCH(J$1,Revenue_Model_Months,0))+INDEX(Revenue_Model_Contraction_MRR_12m,MATCH(J$1,Revenue_Model_Months,0))</f>
        <v>-10859.384584100751</v>
      </c>
      <c r="K42" s="141">
        <f t="array" aca="1" ref="K42" ca="1">INDEX(Revenue_Model_Contraction_MRR_1m,MATCH(K$1,Revenue_Model_Months,0))+INDEX(Revenue_Model_Contraction_MRR_12m,MATCH(K$1,Revenue_Model_Months,0))</f>
        <v>-10560.444245692384</v>
      </c>
      <c r="L42" s="141">
        <f t="array" aca="1" ref="L42" ca="1">INDEX(Revenue_Model_Contraction_MRR_1m,MATCH(L$1,Revenue_Model_Months,0))+INDEX(Revenue_Model_Contraction_MRR_12m,MATCH(L$1,Revenue_Model_Months,0))</f>
        <v>-9621.8254790413503</v>
      </c>
      <c r="M42" s="141">
        <f t="array" aca="1" ref="M42" ca="1">INDEX(Revenue_Model_Contraction_MRR_1m,MATCH(M$1,Revenue_Model_Months,0))+INDEX(Revenue_Model_Contraction_MRR_12m,MATCH(M$1,Revenue_Model_Months,0))</f>
        <v>-10929.163572752272</v>
      </c>
      <c r="N42" s="141">
        <f t="array" aca="1" ref="N42" ca="1">INDEX(Revenue_Model_Contraction_MRR_1m,MATCH(N$1,Revenue_Model_Months,0))+INDEX(Revenue_Model_Contraction_MRR_12m,MATCH(N$1,Revenue_Model_Months,0))</f>
        <v>-11139.174709286801</v>
      </c>
      <c r="O42" s="141">
        <f t="array" aca="1" ref="O42" ca="1">INDEX(Revenue_Model_Contraction_MRR_1m,MATCH(O$1,Revenue_Model_Months,0))+INDEX(Revenue_Model_Contraction_MRR_12m,MATCH(O$1,Revenue_Model_Months,0))</f>
        <v>-11349.027994331118</v>
      </c>
      <c r="P42" s="141">
        <f t="array" aca="1" ref="P42" ca="1">INDEX(Revenue_Model_Contraction_MRR_1m,MATCH(P$1,Revenue_Model_Months,0))+INDEX(Revenue_Model_Contraction_MRR_12m,MATCH(P$1,Revenue_Model_Months,0))</f>
        <v>-11574.785655604801</v>
      </c>
      <c r="Q42" s="141">
        <f t="array" aca="1" ref="Q42" ca="1">INDEX(Revenue_Model_Contraction_MRR_1m,MATCH(Q$1,Revenue_Model_Months,0))+INDEX(Revenue_Model_Contraction_MRR_12m,MATCH(Q$1,Revenue_Model_Months,0))</f>
        <v>-11807.475533131956</v>
      </c>
      <c r="R42" s="141">
        <f t="array" aca="1" ref="R42" ca="1">INDEX(Revenue_Model_Contraction_MRR_1m,MATCH(R$1,Revenue_Model_Months,0))+INDEX(Revenue_Model_Contraction_MRR_12m,MATCH(R$1,Revenue_Model_Months,0))</f>
        <v>-12036.806072788368</v>
      </c>
      <c r="S42" s="141">
        <f t="array" aca="1" ref="S42" ca="1">INDEX(Revenue_Model_Contraction_MRR_1m,MATCH(S$1,Revenue_Model_Months,0))+INDEX(Revenue_Model_Contraction_MRR_12m,MATCH(S$1,Revenue_Model_Months,0))</f>
        <v>-12283.407313191059</v>
      </c>
      <c r="T42" s="141">
        <f t="array" aca="1" ref="T42" ca="1">INDEX(Revenue_Model_Contraction_MRR_1m,MATCH(T$1,Revenue_Model_Months,0))+INDEX(Revenue_Model_Contraction_MRR_12m,MATCH(T$1,Revenue_Model_Months,0))</f>
        <v>-12542.088454933075</v>
      </c>
      <c r="U42" s="141">
        <f t="array" aca="1" ref="U42" ca="1">INDEX(Revenue_Model_Contraction_MRR_1m,MATCH(U$1,Revenue_Model_Months,0))+INDEX(Revenue_Model_Contraction_MRR_12m,MATCH(U$1,Revenue_Model_Months,0))</f>
        <v>-12798.521667011242</v>
      </c>
      <c r="V42" s="141">
        <f t="array" aca="1" ref="V42" ca="1">INDEX(Revenue_Model_Contraction_MRR_1m,MATCH(V$1,Revenue_Model_Months,0))+INDEX(Revenue_Model_Contraction_MRR_12m,MATCH(V$1,Revenue_Model_Months,0))</f>
        <v>-13069.263052003382</v>
      </c>
      <c r="W42" s="141">
        <f t="array" aca="1" ref="W42" ca="1">INDEX(Revenue_Model_Contraction_MRR_1m,MATCH(W$1,Revenue_Model_Months,0))+INDEX(Revenue_Model_Contraction_MRR_12m,MATCH(W$1,Revenue_Model_Months,0))</f>
        <v>-13337.171520313927</v>
      </c>
      <c r="X42" s="141">
        <f t="array" aca="1" ref="X42" ca="1">INDEX(Revenue_Model_Contraction_MRR_1m,MATCH(X$1,Revenue_Model_Months,0))+INDEX(Revenue_Model_Contraction_MRR_12m,MATCH(X$1,Revenue_Model_Months,0))</f>
        <v>-13618.817589867607</v>
      </c>
      <c r="Y42" s="141">
        <f t="array" aca="1" ref="Y42" ca="1">INDEX(Revenue_Model_Contraction_MRR_1m,MATCH(Y$1,Revenue_Model_Months,0))+INDEX(Revenue_Model_Contraction_MRR_12m,MATCH(Y$1,Revenue_Model_Months,0))</f>
        <v>-13914.077751016202</v>
      </c>
      <c r="Z42" s="141">
        <f t="array" aca="1" ref="Z42" ca="1">INDEX(Revenue_Model_Contraction_MRR_1m,MATCH(Z$1,Revenue_Model_Months,0))+INDEX(Revenue_Model_Contraction_MRR_12m,MATCH(Z$1,Revenue_Model_Months,0))</f>
        <v>-14206.598857603658</v>
      </c>
    </row>
    <row r="43" spans="2:26" ht="12.75" x14ac:dyDescent="0.2">
      <c r="B43" s="23" t="s">
        <v>109</v>
      </c>
      <c r="C43" s="141">
        <f t="array" ref="C43">INDEX(Revenue_Model_Churn_MRR_1m,MATCH(C$1,Revenue_Model_Months,0))+INDEX(Revenue_Model_Churn_MRR_12m,MATCH(C$1,Revenue_Model_Months,0))</f>
        <v>-19092.463306457299</v>
      </c>
      <c r="D43" s="141">
        <f t="array" ref="D43">INDEX(Revenue_Model_Churn_MRR_1m,MATCH(D$1,Revenue_Model_Months,0))+INDEX(Revenue_Model_Churn_MRR_12m,MATCH(D$1,Revenue_Model_Months,0))</f>
        <v>-21654.463306457299</v>
      </c>
      <c r="E43" s="141">
        <f t="array" ref="E43">INDEX(Revenue_Model_Churn_MRR_1m,MATCH(E$1,Revenue_Model_Months,0))+INDEX(Revenue_Model_Churn_MRR_12m,MATCH(E$1,Revenue_Model_Months,0))</f>
        <v>-34418</v>
      </c>
      <c r="F43" s="141">
        <f t="array" ref="F43">INDEX(Revenue_Model_Churn_MRR_1m,MATCH(F$1,Revenue_Model_Months,0))+INDEX(Revenue_Model_Churn_MRR_12m,MATCH(F$1,Revenue_Model_Months,0))</f>
        <v>-38975</v>
      </c>
      <c r="G43" s="141">
        <f t="array" ref="G43">INDEX(Revenue_Model_Churn_MRR_1m,MATCH(G$1,Revenue_Model_Months,0))+INDEX(Revenue_Model_Churn_MRR_12m,MATCH(G$1,Revenue_Model_Months,0))</f>
        <v>-41335.085709052648</v>
      </c>
      <c r="H43" s="141">
        <f t="array" aca="1" ref="H43" ca="1">INDEX(Revenue_Model_Churn_MRR_1m,MATCH(H$1,Revenue_Model_Months,0))+INDEX(Revenue_Model_Churn_MRR_12m,MATCH(H$1,Revenue_Model_Months,0))</f>
        <v>-32758.474089633841</v>
      </c>
      <c r="I43" s="141">
        <f t="array" aca="1" ref="I43" ca="1">INDEX(Revenue_Model_Churn_MRR_1m,MATCH(I$1,Revenue_Model_Months,0))+INDEX(Revenue_Model_Churn_MRR_12m,MATCH(I$1,Revenue_Model_Months,0))</f>
        <v>-23750.950270577672</v>
      </c>
      <c r="J43" s="141">
        <f t="array" aca="1" ref="J43" ca="1">INDEX(Revenue_Model_Churn_MRR_1m,MATCH(J$1,Revenue_Model_Months,0))+INDEX(Revenue_Model_Churn_MRR_12m,MATCH(J$1,Revenue_Model_Months,0))</f>
        <v>-24716.091829608391</v>
      </c>
      <c r="K43" s="141">
        <f t="array" aca="1" ref="K43" ca="1">INDEX(Revenue_Model_Churn_MRR_1m,MATCH(K$1,Revenue_Model_Months,0))+INDEX(Revenue_Model_Churn_MRR_12m,MATCH(K$1,Revenue_Model_Months,0))</f>
        <v>-20473.179171900298</v>
      </c>
      <c r="L43" s="141">
        <f t="array" aca="1" ref="L43" ca="1">INDEX(Revenue_Model_Churn_MRR_1m,MATCH(L$1,Revenue_Model_Months,0))+INDEX(Revenue_Model_Churn_MRR_12m,MATCH(L$1,Revenue_Model_Months,0))</f>
        <v>-20766.140441716903</v>
      </c>
      <c r="M43" s="141">
        <f t="array" aca="1" ref="M43" ca="1">INDEX(Revenue_Model_Churn_MRR_1m,MATCH(M$1,Revenue_Model_Months,0))+INDEX(Revenue_Model_Churn_MRR_12m,MATCH(M$1,Revenue_Model_Months,0))</f>
        <v>-21266.014253988564</v>
      </c>
      <c r="N43" s="141">
        <f t="array" aca="1" ref="N43" ca="1">INDEX(Revenue_Model_Churn_MRR_1m,MATCH(N$1,Revenue_Model_Months,0))+INDEX(Revenue_Model_Churn_MRR_12m,MATCH(N$1,Revenue_Model_Months,0))</f>
        <v>-21633.833574438187</v>
      </c>
      <c r="O43" s="141">
        <f t="array" aca="1" ref="O43" ca="1">INDEX(Revenue_Model_Churn_MRR_1m,MATCH(O$1,Revenue_Model_Months,0))+INDEX(Revenue_Model_Churn_MRR_12m,MATCH(O$1,Revenue_Model_Months,0))</f>
        <v>-22054.830401781594</v>
      </c>
      <c r="P43" s="141">
        <f t="array" aca="1" ref="P43" ca="1">INDEX(Revenue_Model_Churn_MRR_1m,MATCH(P$1,Revenue_Model_Months,0))+INDEX(Revenue_Model_Churn_MRR_12m,MATCH(P$1,Revenue_Model_Months,0))</f>
        <v>-22498.376192353422</v>
      </c>
      <c r="Q43" s="141">
        <f t="array" aca="1" ref="Q43" ca="1">INDEX(Revenue_Model_Churn_MRR_1m,MATCH(Q$1,Revenue_Model_Months,0))+INDEX(Revenue_Model_Churn_MRR_12m,MATCH(Q$1,Revenue_Model_Months,0))</f>
        <v>-22942.844860211881</v>
      </c>
      <c r="R43" s="141">
        <f t="array" aca="1" ref="R43" ca="1">INDEX(Revenue_Model_Churn_MRR_1m,MATCH(R$1,Revenue_Model_Months,0))+INDEX(Revenue_Model_Churn_MRR_12m,MATCH(R$1,Revenue_Model_Months,0))</f>
        <v>-23392.073866091796</v>
      </c>
      <c r="S43" s="141">
        <f t="array" aca="1" ref="S43" ca="1">INDEX(Revenue_Model_Churn_MRR_1m,MATCH(S$1,Revenue_Model_Months,0))+INDEX(Revenue_Model_Churn_MRR_12m,MATCH(S$1,Revenue_Model_Months,0))</f>
        <v>-23871.532018386155</v>
      </c>
      <c r="T43" s="141">
        <f t="array" aca="1" ref="T43" ca="1">INDEX(Revenue_Model_Churn_MRR_1m,MATCH(T$1,Revenue_Model_Months,0))+INDEX(Revenue_Model_Churn_MRR_12m,MATCH(T$1,Revenue_Model_Months,0))</f>
        <v>-24372.871381789446</v>
      </c>
      <c r="U43" s="141">
        <f t="array" aca="1" ref="U43" ca="1">INDEX(Revenue_Model_Churn_MRR_1m,MATCH(U$1,Revenue_Model_Months,0))+INDEX(Revenue_Model_Churn_MRR_12m,MATCH(U$1,Revenue_Model_Months,0))</f>
        <v>-24872.04978130541</v>
      </c>
      <c r="V43" s="141">
        <f t="array" aca="1" ref="V43" ca="1">INDEX(Revenue_Model_Churn_MRR_1m,MATCH(V$1,Revenue_Model_Months,0))+INDEX(Revenue_Model_Churn_MRR_12m,MATCH(V$1,Revenue_Model_Months,0))</f>
        <v>-25398.089443949</v>
      </c>
      <c r="W43" s="141">
        <f t="array" aca="1" ref="W43" ca="1">INDEX(Revenue_Model_Churn_MRR_1m,MATCH(W$1,Revenue_Model_Months,0))+INDEX(Revenue_Model_Churn_MRR_12m,MATCH(W$1,Revenue_Model_Months,0))</f>
        <v>-25918.508784194386</v>
      </c>
      <c r="X43" s="141">
        <f t="array" aca="1" ref="X43" ca="1">INDEX(Revenue_Model_Churn_MRR_1m,MATCH(X$1,Revenue_Model_Months,0))+INDEX(Revenue_Model_Churn_MRR_12m,MATCH(X$1,Revenue_Model_Months,0))</f>
        <v>-26466.023666121131</v>
      </c>
      <c r="Y43" s="141">
        <f t="array" aca="1" ref="Y43" ca="1">INDEX(Revenue_Model_Churn_MRR_1m,MATCH(Y$1,Revenue_Model_Months,0))+INDEX(Revenue_Model_Churn_MRR_12m,MATCH(Y$1,Revenue_Model_Months,0))</f>
        <v>-27039.765904016029</v>
      </c>
      <c r="Z43" s="141">
        <f t="array" aca="1" ref="Z43" ca="1">INDEX(Revenue_Model_Churn_MRR_1m,MATCH(Z$1,Revenue_Model_Months,0))+INDEX(Revenue_Model_Churn_MRR_12m,MATCH(Z$1,Revenue_Model_Months,0))</f>
        <v>-27608.204070198848</v>
      </c>
    </row>
    <row r="44" spans="2:26" ht="12.75" x14ac:dyDescent="0.2">
      <c r="B44" s="23" t="s">
        <v>112</v>
      </c>
      <c r="C44" s="141">
        <f t="array" ref="C44">INDEX(Revenue_Model_Expansion_MRR_1m,MATCH(C$1,Revenue_Model_Months,0))+INDEX(Revenue_Model_Expansion_MRR_12m,MATCH(C$1,Revenue_Model_Months,0))</f>
        <v>23189.701851851853</v>
      </c>
      <c r="D44" s="141">
        <f t="array" ref="D44">INDEX(Revenue_Model_Expansion_MRR_1m,MATCH(D$1,Revenue_Model_Months,0))+INDEX(Revenue_Model_Expansion_MRR_12m,MATCH(D$1,Revenue_Model_Months,0))</f>
        <v>25376.701851851853</v>
      </c>
      <c r="E44" s="141">
        <f t="array" ref="E44">INDEX(Revenue_Model_Expansion_MRR_1m,MATCH(E$1,Revenue_Model_Months,0))+INDEX(Revenue_Model_Expansion_MRR_12m,MATCH(E$1,Revenue_Model_Months,0))</f>
        <v>20276</v>
      </c>
      <c r="F44" s="141">
        <f t="array" ref="F44">INDEX(Revenue_Model_Expansion_MRR_1m,MATCH(F$1,Revenue_Model_Months,0))+INDEX(Revenue_Model_Expansion_MRR_12m,MATCH(F$1,Revenue_Model_Months,0))</f>
        <v>10675</v>
      </c>
      <c r="G44" s="141">
        <f t="array" ref="G44">INDEX(Revenue_Model_Expansion_MRR_1m,MATCH(G$1,Revenue_Model_Months,0))+INDEX(Revenue_Model_Expansion_MRR_12m,MATCH(G$1,Revenue_Model_Months,0))</f>
        <v>19179.349721456998</v>
      </c>
      <c r="H44" s="141">
        <f t="array" aca="1" ref="H44" ca="1">INDEX(Revenue_Model_Expansion_MRR_1m,MATCH(H$1,Revenue_Model_Months,0))+INDEX(Revenue_Model_Expansion_MRR_12m,MATCH(H$1,Revenue_Model_Months,0))</f>
        <v>19495.547487418393</v>
      </c>
      <c r="I44" s="141">
        <f t="array" aca="1" ref="I44" ca="1">INDEX(Revenue_Model_Expansion_MRR_1m,MATCH(I$1,Revenue_Model_Months,0))+INDEX(Revenue_Model_Expansion_MRR_12m,MATCH(I$1,Revenue_Model_Months,0))</f>
        <v>18557.508430958016</v>
      </c>
      <c r="J44" s="141">
        <f t="array" aca="1" ref="J44" ca="1">INDEX(Revenue_Model_Expansion_MRR_1m,MATCH(J$1,Revenue_Model_Months,0))+INDEX(Revenue_Model_Expansion_MRR_12m,MATCH(J$1,Revenue_Model_Months,0))</f>
        <v>23108.766231939459</v>
      </c>
      <c r="K44" s="141">
        <f t="array" aca="1" ref="K44" ca="1">INDEX(Revenue_Model_Expansion_MRR_1m,MATCH(K$1,Revenue_Model_Months,0))+INDEX(Revenue_Model_Expansion_MRR_12m,MATCH(K$1,Revenue_Model_Months,0))</f>
        <v>24739.754260971938</v>
      </c>
      <c r="L44" s="141">
        <f t="array" aca="1" ref="L44" ca="1">INDEX(Revenue_Model_Expansion_MRR_1m,MATCH(L$1,Revenue_Model_Months,0))+INDEX(Revenue_Model_Expansion_MRR_12m,MATCH(L$1,Revenue_Model_Months,0))</f>
        <v>25079.848963762524</v>
      </c>
      <c r="M44" s="141">
        <f t="array" aca="1" ref="M44" ca="1">INDEX(Revenue_Model_Expansion_MRR_1m,MATCH(M$1,Revenue_Model_Months,0))+INDEX(Revenue_Model_Expansion_MRR_12m,MATCH(M$1,Revenue_Model_Months,0))</f>
        <v>25853.369007659825</v>
      </c>
      <c r="N44" s="141">
        <f t="array" aca="1" ref="N44" ca="1">INDEX(Revenue_Model_Expansion_MRR_1m,MATCH(N$1,Revenue_Model_Months,0))+INDEX(Revenue_Model_Expansion_MRR_12m,MATCH(N$1,Revenue_Model_Months,0))</f>
        <v>26191.308582180816</v>
      </c>
      <c r="O44" s="141">
        <f t="array" aca="1" ref="O44" ca="1">INDEX(Revenue_Model_Expansion_MRR_1m,MATCH(O$1,Revenue_Model_Months,0))+INDEX(Revenue_Model_Expansion_MRR_12m,MATCH(O$1,Revenue_Model_Months,0))</f>
        <v>26717.065095101854</v>
      </c>
      <c r="P44" s="141">
        <f t="array" aca="1" ref="P44" ca="1">INDEX(Revenue_Model_Expansion_MRR_1m,MATCH(P$1,Revenue_Model_Months,0))+INDEX(Revenue_Model_Expansion_MRR_12m,MATCH(P$1,Revenue_Model_Months,0))</f>
        <v>27280.734271531965</v>
      </c>
      <c r="Q44" s="141">
        <f t="array" aca="1" ref="Q44" ca="1">INDEX(Revenue_Model_Expansion_MRR_1m,MATCH(Q$1,Revenue_Model_Months,0))+INDEX(Revenue_Model_Expansion_MRR_12m,MATCH(Q$1,Revenue_Model_Months,0))</f>
        <v>27796.472821003885</v>
      </c>
      <c r="R44" s="141">
        <f t="array" aca="1" ref="R44" ca="1">INDEX(Revenue_Model_Expansion_MRR_1m,MATCH(R$1,Revenue_Model_Months,0))+INDEX(Revenue_Model_Expansion_MRR_12m,MATCH(R$1,Revenue_Model_Months,0))</f>
        <v>28347.401301401849</v>
      </c>
      <c r="S44" s="141">
        <f t="array" aca="1" ref="S44" ca="1">INDEX(Revenue_Model_Expansion_MRR_1m,MATCH(S$1,Revenue_Model_Months,0))+INDEX(Revenue_Model_Expansion_MRR_12m,MATCH(S$1,Revenue_Model_Months,0))</f>
        <v>28931.830340979734</v>
      </c>
      <c r="T44" s="141">
        <f t="array" aca="1" ref="T44" ca="1">INDEX(Revenue_Model_Expansion_MRR_1m,MATCH(T$1,Revenue_Model_Months,0))+INDEX(Revenue_Model_Expansion_MRR_12m,MATCH(T$1,Revenue_Model_Months,0))</f>
        <v>29534.881490331711</v>
      </c>
      <c r="U44" s="141">
        <f t="array" aca="1" ref="U44" ca="1">INDEX(Revenue_Model_Expansion_MRR_1m,MATCH(U$1,Revenue_Model_Months,0))+INDEX(Revenue_Model_Expansion_MRR_12m,MATCH(U$1,Revenue_Model_Months,0))</f>
        <v>30141.696325057601</v>
      </c>
      <c r="V44" s="141">
        <f t="array" aca="1" ref="V44" ca="1">INDEX(Revenue_Model_Expansion_MRR_1m,MATCH(V$1,Revenue_Model_Months,0))+INDEX(Revenue_Model_Expansion_MRR_12m,MATCH(V$1,Revenue_Model_Months,0))</f>
        <v>30779.450833802282</v>
      </c>
      <c r="W44" s="141">
        <f t="array" aca="1" ref="W44" ca="1">INDEX(Revenue_Model_Expansion_MRR_1m,MATCH(W$1,Revenue_Model_Months,0))+INDEX(Revenue_Model_Expansion_MRR_12m,MATCH(W$1,Revenue_Model_Months,0))</f>
        <v>31409.308842992574</v>
      </c>
      <c r="X44" s="141">
        <f t="array" aca="1" ref="X44" ca="1">INDEX(Revenue_Model_Expansion_MRR_1m,MATCH(X$1,Revenue_Model_Months,0))+INDEX(Revenue_Model_Expansion_MRR_12m,MATCH(X$1,Revenue_Model_Months,0))</f>
        <v>32073.282536077153</v>
      </c>
      <c r="Y44" s="141">
        <f t="array" aca="1" ref="Y44" ca="1">INDEX(Revenue_Model_Expansion_MRR_1m,MATCH(Y$1,Revenue_Model_Months,0))+INDEX(Revenue_Model_Expansion_MRR_12m,MATCH(Y$1,Revenue_Model_Months,0))</f>
        <v>32768.547690965403</v>
      </c>
      <c r="Z44" s="141">
        <f t="array" aca="1" ref="Z44" ca="1">INDEX(Revenue_Model_Expansion_MRR_1m,MATCH(Z$1,Revenue_Model_Months,0))+INDEX(Revenue_Model_Expansion_MRR_12m,MATCH(Z$1,Revenue_Model_Months,0))</f>
        <v>33457.281266491635</v>
      </c>
    </row>
    <row r="45" spans="2:26" ht="12.75" x14ac:dyDescent="0.2">
      <c r="B45" s="23" t="s">
        <v>114</v>
      </c>
      <c r="C45" s="141">
        <f t="array" ref="C45">INDEX(Revenue_Model_New_MRR_1m,MATCH(C$1,Revenue_Model_Months,0))+INDEX(Revenue_Model_New_MRR_12m,MATCH(C$1,Revenue_Model_Months,0))+INDEX(Revenue_Model_Reactivation_MRR_1m,MATCH(C$1,Revenue_Model_Months,0))</f>
        <v>33080.952380952382</v>
      </c>
      <c r="D45" s="141">
        <f t="array" ref="D45">INDEX(Revenue_Model_New_MRR_1m,MATCH(D$1,Revenue_Model_Months,0))+INDEX(Revenue_Model_New_MRR_12m,MATCH(D$1,Revenue_Model_Months,0))+INDEX(Revenue_Model_Reactivation_MRR_1m,MATCH(D$1,Revenue_Model_Months,0))</f>
        <v>34067.952380952382</v>
      </c>
      <c r="E45" s="141">
        <f t="array" ref="E45">INDEX(Revenue_Model_New_MRR_1m,MATCH(E$1,Revenue_Model_Months,0))+INDEX(Revenue_Model_New_MRR_12m,MATCH(E$1,Revenue_Model_Months,0))+INDEX(Revenue_Model_Reactivation_MRR_1m,MATCH(E$1,Revenue_Model_Months,0))</f>
        <v>25128</v>
      </c>
      <c r="F45" s="141">
        <f t="array" ref="F45">INDEX(Revenue_Model_New_MRR_1m,MATCH(F$1,Revenue_Model_Months,0))+INDEX(Revenue_Model_New_MRR_12m,MATCH(F$1,Revenue_Model_Months,0))+INDEX(Revenue_Model_Reactivation_MRR_1m,MATCH(F$1,Revenue_Model_Months,0))</f>
        <v>17600</v>
      </c>
      <c r="G45" s="141">
        <f t="array" aca="1" ref="G45" ca="1">INDEX(Revenue_Model_New_MRR_1m,MATCH(G$1,Revenue_Model_Months,0))+INDEX(Revenue_Model_New_MRR_12m,MATCH(G$1,Revenue_Model_Months,0))+INDEX(Revenue_Model_Reactivation_MRR_1m,MATCH(G$1,Revenue_Model_Months,0))</f>
        <v>21056.954685099845</v>
      </c>
      <c r="H45" s="141">
        <f t="array" aca="1" ref="H45" ca="1">INDEX(Revenue_Model_New_MRR_1m,MATCH(H$1,Revenue_Model_Months,0))+INDEX(Revenue_Model_New_MRR_12m,MATCH(H$1,Revenue_Model_Months,0))+INDEX(Revenue_Model_Reactivation_MRR_1m,MATCH(H$1,Revenue_Model_Months,0))</f>
        <v>22512.336947682299</v>
      </c>
      <c r="I45" s="141">
        <f t="array" aca="1" ref="I45" ca="1">INDEX(Revenue_Model_New_MRR_1m,MATCH(I$1,Revenue_Model_Months,0))+INDEX(Revenue_Model_New_MRR_12m,MATCH(I$1,Revenue_Model_Months,0))+INDEX(Revenue_Model_Reactivation_MRR_1m,MATCH(I$1,Revenue_Model_Months,0))</f>
        <v>23718.704918833893</v>
      </c>
      <c r="J45" s="141">
        <f t="array" aca="1" ref="J45" ca="1">INDEX(Revenue_Model_New_MRR_1m,MATCH(J$1,Revenue_Model_Months,0))+INDEX(Revenue_Model_New_MRR_12m,MATCH(J$1,Revenue_Model_Months,0))+INDEX(Revenue_Model_Reactivation_MRR_1m,MATCH(J$1,Revenue_Model_Months,0))</f>
        <v>22429.332183872011</v>
      </c>
      <c r="K45" s="141">
        <f t="array" aca="1" ref="K45" ca="1">INDEX(Revenue_Model_New_MRR_1m,MATCH(K$1,Revenue_Model_Months,0))+INDEX(Revenue_Model_New_MRR_12m,MATCH(K$1,Revenue_Model_Months,0))+INDEX(Revenue_Model_Reactivation_MRR_1m,MATCH(K$1,Revenue_Model_Months,0))</f>
        <v>22470.667871036138</v>
      </c>
      <c r="L45" s="141">
        <f t="array" aca="1" ref="L45" ca="1">INDEX(Revenue_Model_New_MRR_1m,MATCH(L$1,Revenue_Model_Months,0))+INDEX(Revenue_Model_New_MRR_12m,MATCH(L$1,Revenue_Model_Months,0))+INDEX(Revenue_Model_Reactivation_MRR_1m,MATCH(L$1,Revenue_Model_Months,0))</f>
        <v>23704.643536383617</v>
      </c>
      <c r="M45" s="141">
        <f t="array" aca="1" ref="M45" ca="1">INDEX(Revenue_Model_New_MRR_1m,MATCH(M$1,Revenue_Model_Months,0))+INDEX(Revenue_Model_New_MRR_12m,MATCH(M$1,Revenue_Model_Months,0))+INDEX(Revenue_Model_Reactivation_MRR_1m,MATCH(M$1,Revenue_Model_Months,0))</f>
        <v>23699.785967900792</v>
      </c>
      <c r="N45" s="141">
        <f t="array" aca="1" ref="N45" ca="1">INDEX(Revenue_Model_New_MRR_1m,MATCH(N$1,Revenue_Model_Months,0))+INDEX(Revenue_Model_New_MRR_12m,MATCH(N$1,Revenue_Model_Months,0))+INDEX(Revenue_Model_Reactivation_MRR_1m,MATCH(N$1,Revenue_Model_Months,0))</f>
        <v>24955.391919757341</v>
      </c>
      <c r="O45" s="141">
        <f t="array" aca="1" ref="O45" ca="1">INDEX(Revenue_Model_New_MRR_1m,MATCH(O$1,Revenue_Model_Months,0))+INDEX(Revenue_Model_New_MRR_12m,MATCH(O$1,Revenue_Model_Months,0))+INDEX(Revenue_Model_Reactivation_MRR_1m,MATCH(O$1,Revenue_Model_Months,0))</f>
        <v>24951.662560014403</v>
      </c>
      <c r="P45" s="141">
        <f t="array" aca="1" ref="P45" ca="1">INDEX(Revenue_Model_New_MRR_1m,MATCH(P$1,Revenue_Model_Months,0))+INDEX(Revenue_Model_New_MRR_12m,MATCH(P$1,Revenue_Model_Months,0))+INDEX(Revenue_Model_Reactivation_MRR_1m,MATCH(P$1,Revenue_Model_Months,0))</f>
        <v>26199.044905103787</v>
      </c>
      <c r="Q45" s="141">
        <f t="array" aca="1" ref="Q45" ca="1">INDEX(Revenue_Model_New_MRR_1m,MATCH(Q$1,Revenue_Model_Months,0))+INDEX(Revenue_Model_New_MRR_12m,MATCH(Q$1,Revenue_Model_Months,0))+INDEX(Revenue_Model_Reactivation_MRR_1m,MATCH(Q$1,Revenue_Model_Months,0))</f>
        <v>26200.460443973545</v>
      </c>
      <c r="R45" s="141">
        <f t="array" aca="1" ref="R45" ca="1">INDEX(Revenue_Model_New_MRR_1m,MATCH(R$1,Revenue_Model_Months,0))+INDEX(Revenue_Model_New_MRR_12m,MATCH(R$1,Revenue_Model_Months,0))+INDEX(Revenue_Model_Reactivation_MRR_1m,MATCH(R$1,Revenue_Model_Months,0))</f>
        <v>27447.188612903519</v>
      </c>
      <c r="S45" s="141">
        <f t="array" aca="1" ref="S45" ca="1">INDEX(Revenue_Model_New_MRR_1m,MATCH(S$1,Revenue_Model_Months,0))+INDEX(Revenue_Model_New_MRR_12m,MATCH(S$1,Revenue_Model_Months,0))+INDEX(Revenue_Model_Reactivation_MRR_1m,MATCH(S$1,Revenue_Model_Months,0))</f>
        <v>28694.905642586866</v>
      </c>
      <c r="T45" s="141">
        <f t="array" aca="1" ref="T45" ca="1">INDEX(Revenue_Model_New_MRR_1m,MATCH(T$1,Revenue_Model_Months,0))+INDEX(Revenue_Model_New_MRR_12m,MATCH(T$1,Revenue_Model_Months,0))+INDEX(Revenue_Model_Reactivation_MRR_1m,MATCH(T$1,Revenue_Model_Months,0))</f>
        <v>28695.132698298035</v>
      </c>
      <c r="U45" s="141">
        <f t="array" aca="1" ref="U45" ca="1">INDEX(Revenue_Model_New_MRR_1m,MATCH(U$1,Revenue_Model_Months,0))+INDEX(Revenue_Model_New_MRR_12m,MATCH(U$1,Revenue_Model_Months,0))+INDEX(Revenue_Model_Reactivation_MRR_1m,MATCH(U$1,Revenue_Model_Months,0))</f>
        <v>29942.550689572388</v>
      </c>
      <c r="V45" s="141">
        <f t="array" aca="1" ref="V45" ca="1">INDEX(Revenue_Model_New_MRR_1m,MATCH(V$1,Revenue_Model_Months,0))+INDEX(Revenue_Model_New_MRR_12m,MATCH(V$1,Revenue_Model_Months,0))+INDEX(Revenue_Model_Reactivation_MRR_1m,MATCH(V$1,Revenue_Model_Months,0))</f>
        <v>29942.601953299636</v>
      </c>
      <c r="W45" s="141">
        <f t="array" aca="1" ref="W45" ca="1">INDEX(Revenue_Model_New_MRR_1m,MATCH(W$1,Revenue_Model_Months,0))+INDEX(Revenue_Model_New_MRR_12m,MATCH(W$1,Revenue_Model_Months,0))+INDEX(Revenue_Model_Reactivation_MRR_1m,MATCH(W$1,Revenue_Model_Months,0))</f>
        <v>31190.241317313405</v>
      </c>
      <c r="X45" s="141">
        <f t="array" aca="1" ref="X45" ca="1">INDEX(Revenue_Model_New_MRR_1m,MATCH(X$1,Revenue_Model_Months,0))+INDEX(Revenue_Model_New_MRR_12m,MATCH(X$1,Revenue_Model_Months,0))+INDEX(Revenue_Model_Reactivation_MRR_1m,MATCH(X$1,Revenue_Model_Months,0))</f>
        <v>32437.811547463309</v>
      </c>
      <c r="Y45" s="141">
        <f t="array" aca="1" ref="Y45" ca="1">INDEX(Revenue_Model_New_MRR_1m,MATCH(Y$1,Revenue_Model_Months,0))+INDEX(Revenue_Model_New_MRR_12m,MATCH(Y$1,Revenue_Model_Months,0))+INDEX(Revenue_Model_Reactivation_MRR_1m,MATCH(Y$1,Revenue_Model_Months,0))</f>
        <v>32437.827003599803</v>
      </c>
      <c r="Z45" s="141">
        <f t="array" aca="1" ref="Z45" ca="1">INDEX(Revenue_Model_New_MRR_1m,MATCH(Z$1,Revenue_Model_Months,0))+INDEX(Revenue_Model_New_MRR_12m,MATCH(Z$1,Revenue_Model_Months,0))+INDEX(Revenue_Model_Reactivation_MRR_1m,MATCH(Z$1,Revenue_Model_Months,0))</f>
        <v>33685.438395404752</v>
      </c>
    </row>
  </sheetData>
  <conditionalFormatting sqref="C38:Z38">
    <cfRule type="cellIs" dxfId="11" priority="1" operator="equal">
      <formula>0</formula>
    </cfRule>
  </conditionalFormatting>
  <conditionalFormatting sqref="C38:Z38">
    <cfRule type="cellIs" dxfId="10" priority="2" operator="not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8B888"/>
    <outlinePr summaryBelow="0" summaryRight="0"/>
  </sheetPr>
  <dimension ref="A1:BV69"/>
  <sheetViews>
    <sheetView showGridLines="0" tabSelected="1"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48.7109375" customWidth="1"/>
  </cols>
  <sheetData>
    <row r="1" spans="1:74" ht="18" x14ac:dyDescent="0.25">
      <c r="A1" s="92" t="s">
        <v>80</v>
      </c>
      <c r="B1" s="93"/>
      <c r="C1" s="94">
        <v>43101</v>
      </c>
      <c r="D1" s="93">
        <f t="shared" ref="D1:BV1" si="0">EDATE(C1,1)</f>
        <v>43132</v>
      </c>
      <c r="E1" s="93">
        <f t="shared" si="0"/>
        <v>43160</v>
      </c>
      <c r="F1" s="93">
        <f t="shared" si="0"/>
        <v>43191</v>
      </c>
      <c r="G1" s="93">
        <f t="shared" si="0"/>
        <v>43221</v>
      </c>
      <c r="H1" s="93">
        <f t="shared" si="0"/>
        <v>43252</v>
      </c>
      <c r="I1" s="93">
        <f t="shared" si="0"/>
        <v>43282</v>
      </c>
      <c r="J1" s="93">
        <f t="shared" si="0"/>
        <v>43313</v>
      </c>
      <c r="K1" s="93">
        <f t="shared" si="0"/>
        <v>43344</v>
      </c>
      <c r="L1" s="93">
        <f t="shared" si="0"/>
        <v>43374</v>
      </c>
      <c r="M1" s="93">
        <f t="shared" si="0"/>
        <v>43405</v>
      </c>
      <c r="N1" s="93">
        <f t="shared" si="0"/>
        <v>43435</v>
      </c>
      <c r="O1" s="93">
        <f t="shared" si="0"/>
        <v>43466</v>
      </c>
      <c r="P1" s="93">
        <f t="shared" si="0"/>
        <v>43497</v>
      </c>
      <c r="Q1" s="93">
        <f t="shared" si="0"/>
        <v>43525</v>
      </c>
      <c r="R1" s="93">
        <f t="shared" si="0"/>
        <v>43556</v>
      </c>
      <c r="S1" s="93">
        <f t="shared" si="0"/>
        <v>43586</v>
      </c>
      <c r="T1" s="93">
        <f t="shared" si="0"/>
        <v>43617</v>
      </c>
      <c r="U1" s="93">
        <f t="shared" si="0"/>
        <v>43647</v>
      </c>
      <c r="V1" s="93">
        <f t="shared" si="0"/>
        <v>43678</v>
      </c>
      <c r="W1" s="93">
        <f t="shared" si="0"/>
        <v>43709</v>
      </c>
      <c r="X1" s="93">
        <f t="shared" si="0"/>
        <v>43739</v>
      </c>
      <c r="Y1" s="93">
        <f t="shared" si="0"/>
        <v>43770</v>
      </c>
      <c r="Z1" s="93">
        <f t="shared" si="0"/>
        <v>43800</v>
      </c>
      <c r="AA1" s="93">
        <f t="shared" si="0"/>
        <v>43831</v>
      </c>
      <c r="AB1" s="93">
        <f t="shared" si="0"/>
        <v>43862</v>
      </c>
      <c r="AC1" s="93">
        <f t="shared" si="0"/>
        <v>43891</v>
      </c>
      <c r="AD1" s="93">
        <f t="shared" si="0"/>
        <v>43922</v>
      </c>
      <c r="AE1" s="93">
        <f t="shared" si="0"/>
        <v>43952</v>
      </c>
      <c r="AF1" s="93">
        <f t="shared" si="0"/>
        <v>43983</v>
      </c>
      <c r="AG1" s="93">
        <f t="shared" si="0"/>
        <v>44013</v>
      </c>
      <c r="AH1" s="93">
        <f t="shared" si="0"/>
        <v>44044</v>
      </c>
      <c r="AI1" s="93">
        <f t="shared" si="0"/>
        <v>44075</v>
      </c>
      <c r="AJ1" s="93">
        <f t="shared" si="0"/>
        <v>44105</v>
      </c>
      <c r="AK1" s="93">
        <f t="shared" si="0"/>
        <v>44136</v>
      </c>
      <c r="AL1" s="93">
        <f t="shared" si="0"/>
        <v>44166</v>
      </c>
      <c r="AM1" s="93">
        <f t="shared" si="0"/>
        <v>44197</v>
      </c>
      <c r="AN1" s="93">
        <f t="shared" si="0"/>
        <v>44228</v>
      </c>
      <c r="AO1" s="93">
        <f t="shared" si="0"/>
        <v>44256</v>
      </c>
      <c r="AP1" s="93">
        <f t="shared" si="0"/>
        <v>44287</v>
      </c>
      <c r="AQ1" s="93">
        <f t="shared" si="0"/>
        <v>44317</v>
      </c>
      <c r="AR1" s="93">
        <f t="shared" si="0"/>
        <v>44348</v>
      </c>
      <c r="AS1" s="93">
        <f t="shared" si="0"/>
        <v>44378</v>
      </c>
      <c r="AT1" s="93">
        <f t="shared" si="0"/>
        <v>44409</v>
      </c>
      <c r="AU1" s="93">
        <f t="shared" si="0"/>
        <v>44440</v>
      </c>
      <c r="AV1" s="93">
        <f t="shared" si="0"/>
        <v>44470</v>
      </c>
      <c r="AW1" s="93">
        <f t="shared" si="0"/>
        <v>44501</v>
      </c>
      <c r="AX1" s="93">
        <f t="shared" si="0"/>
        <v>44531</v>
      </c>
      <c r="AY1" s="93">
        <f t="shared" si="0"/>
        <v>44562</v>
      </c>
      <c r="AZ1" s="93">
        <f t="shared" si="0"/>
        <v>44593</v>
      </c>
      <c r="BA1" s="93">
        <f t="shared" si="0"/>
        <v>44621</v>
      </c>
      <c r="BB1" s="93">
        <f t="shared" si="0"/>
        <v>44652</v>
      </c>
      <c r="BC1" s="93">
        <f t="shared" si="0"/>
        <v>44682</v>
      </c>
      <c r="BD1" s="93">
        <f t="shared" si="0"/>
        <v>44713</v>
      </c>
      <c r="BE1" s="93">
        <f t="shared" si="0"/>
        <v>44743</v>
      </c>
      <c r="BF1" s="93">
        <f t="shared" si="0"/>
        <v>44774</v>
      </c>
      <c r="BG1" s="93">
        <f t="shared" si="0"/>
        <v>44805</v>
      </c>
      <c r="BH1" s="93">
        <f t="shared" si="0"/>
        <v>44835</v>
      </c>
      <c r="BI1" s="93">
        <f t="shared" si="0"/>
        <v>44866</v>
      </c>
      <c r="BJ1" s="93">
        <f t="shared" si="0"/>
        <v>44896</v>
      </c>
      <c r="BK1" s="93">
        <f t="shared" si="0"/>
        <v>44927</v>
      </c>
      <c r="BL1" s="93">
        <f t="shared" si="0"/>
        <v>44958</v>
      </c>
      <c r="BM1" s="93">
        <f t="shared" si="0"/>
        <v>44986</v>
      </c>
      <c r="BN1" s="93">
        <f t="shared" si="0"/>
        <v>45017</v>
      </c>
      <c r="BO1" s="93">
        <f t="shared" si="0"/>
        <v>45047</v>
      </c>
      <c r="BP1" s="93">
        <f t="shared" si="0"/>
        <v>45078</v>
      </c>
      <c r="BQ1" s="93">
        <f t="shared" si="0"/>
        <v>45108</v>
      </c>
      <c r="BR1" s="93">
        <f t="shared" si="0"/>
        <v>45139</v>
      </c>
      <c r="BS1" s="93">
        <f t="shared" si="0"/>
        <v>45170</v>
      </c>
      <c r="BT1" s="93">
        <f t="shared" si="0"/>
        <v>45200</v>
      </c>
      <c r="BU1" s="93">
        <f t="shared" si="0"/>
        <v>45231</v>
      </c>
      <c r="BV1" s="93">
        <f t="shared" si="0"/>
        <v>45261</v>
      </c>
    </row>
    <row r="2" spans="1:74" x14ac:dyDescent="0.25">
      <c r="A2" s="95" t="s">
        <v>81</v>
      </c>
      <c r="B2" s="96"/>
      <c r="C2" s="97"/>
      <c r="D2" s="97"/>
      <c r="E2" s="97"/>
      <c r="F2" s="97"/>
      <c r="G2" s="97"/>
      <c r="H2" s="97"/>
      <c r="I2" s="97"/>
      <c r="J2" s="97"/>
      <c r="K2" s="97"/>
      <c r="L2" s="97"/>
      <c r="M2" s="97"/>
      <c r="N2" s="97"/>
      <c r="O2" s="97"/>
      <c r="P2" s="97"/>
      <c r="Q2" s="97"/>
      <c r="R2" s="98"/>
      <c r="S2" s="98"/>
      <c r="T2" s="98"/>
      <c r="U2" s="98"/>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9" t="s">
        <v>82</v>
      </c>
      <c r="AZ2" s="100"/>
      <c r="BA2" s="100"/>
      <c r="BB2" s="100"/>
      <c r="BC2" s="100"/>
      <c r="BD2" s="100"/>
      <c r="BE2" s="100"/>
      <c r="BF2" s="100"/>
      <c r="BG2" s="100"/>
      <c r="BH2" s="100"/>
      <c r="BI2" s="100"/>
      <c r="BJ2" s="100"/>
      <c r="BK2" s="100"/>
      <c r="BL2" s="100"/>
      <c r="BM2" s="100"/>
      <c r="BN2" s="100"/>
      <c r="BO2" s="100"/>
      <c r="BP2" s="100"/>
      <c r="BQ2" s="100"/>
      <c r="BR2" s="100"/>
      <c r="BS2" s="100"/>
      <c r="BT2" s="100"/>
      <c r="BU2" s="100"/>
      <c r="BV2" s="100"/>
    </row>
    <row r="3" spans="1:74" ht="12.75" x14ac:dyDescent="0.2">
      <c r="A3" s="101" t="s">
        <v>83</v>
      </c>
      <c r="B3" s="102"/>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4">
        <f t="array" aca="1" ref="AE3" ca="1">INDEX(Marketing_Funnel_Total_New_Customers,MATCH(AE$1,Marketing_Funnel_Months,0))</f>
        <v>18.277637537361802</v>
      </c>
      <c r="AF3" s="104">
        <f t="array" aca="1" ref="AF3" ca="1">INDEX(Marketing_Funnel_Total_New_Customers,MATCH(AF$1,Marketing_Funnel_Months,0))</f>
        <v>16.773829343558099</v>
      </c>
      <c r="AG3" s="104">
        <f t="array" aca="1" ref="AG3" ca="1">INDEX(Marketing_Funnel_Total_New_Customers,MATCH(AG$1,Marketing_Funnel_Months,0))</f>
        <v>16.685978197016201</v>
      </c>
      <c r="AH3" s="104">
        <f t="array" aca="1" ref="AH3" ca="1">INDEX(Marketing_Funnel_Total_New_Customers,MATCH(AH$1,Marketing_Funnel_Months,0))</f>
        <v>18.203633133389701</v>
      </c>
      <c r="AI3" s="104">
        <f t="array" aca="1" ref="AI3" ca="1">INDEX(Marketing_Funnel_Total_New_Customers,MATCH(AI$1,Marketing_Funnel_Months,0))</f>
        <v>18.181914872044601</v>
      </c>
      <c r="AJ3" s="104">
        <f t="array" aca="1" ref="AJ3" ca="1">INDEX(Marketing_Funnel_Total_New_Customers,MATCH(AJ$1,Marketing_Funnel_Months,0))</f>
        <v>18.674402679019298</v>
      </c>
      <c r="AK3" s="104">
        <f t="array" aca="1" ref="AK3" ca="1">INDEX(Marketing_Funnel_Total_New_Customers,MATCH(AK$1,Marketing_Funnel_Months,0))</f>
        <v>19.3671420927414</v>
      </c>
      <c r="AL3" s="104">
        <f t="array" aca="1" ref="AL3" ca="1">INDEX(Marketing_Funnel_Total_New_Customers,MATCH(AL$1,Marketing_Funnel_Months,0))</f>
        <v>19.772746680595802</v>
      </c>
      <c r="AM3" s="104">
        <f t="array" aca="1" ref="AM3" ca="1">INDEX(Marketing_Funnel_Total_New_Customers,MATCH(AM$1,Marketing_Funnel_Months,0))</f>
        <v>20.324739057476801</v>
      </c>
      <c r="AN3" s="104">
        <f t="array" aca="1" ref="AN3" ca="1">INDEX(Marketing_Funnel_Total_New_Customers,MATCH(AN$1,Marketing_Funnel_Months,0))</f>
        <v>20.896116037822399</v>
      </c>
      <c r="AO3" s="104">
        <f t="array" aca="1" ref="AO3" ca="1">INDEX(Marketing_Funnel_Total_New_Customers,MATCH(AO$1,Marketing_Funnel_Months,0))</f>
        <v>21.4245173531205</v>
      </c>
      <c r="AP3" s="104">
        <f t="array" aca="1" ref="AP3" ca="1">INDEX(Marketing_Funnel_Total_New_Customers,MATCH(AP$1,Marketing_Funnel_Months,0))</f>
        <v>21.994076863910198</v>
      </c>
      <c r="AQ3" s="104">
        <f t="array" aca="1" ref="AQ3" ca="1">INDEX(Marketing_Funnel_Total_New_Customers,MATCH(AQ$1,Marketing_Funnel_Months,0))</f>
        <v>22.5686562155215</v>
      </c>
      <c r="AR3" s="104">
        <f t="array" aca="1" ref="AR3" ca="1">INDEX(Marketing_Funnel_Total_New_Customers,MATCH(AR$1,Marketing_Funnel_Months,0))</f>
        <v>23.143350747869601</v>
      </c>
      <c r="AS3" s="104">
        <f t="array" aca="1" ref="AS3" ca="1">INDEX(Marketing_Funnel_Total_New_Customers,MATCH(AS$1,Marketing_Funnel_Months,0))</f>
        <v>23.732988676824501</v>
      </c>
      <c r="AT3" s="104">
        <f t="array" aca="1" ref="AT3" ca="1">INDEX(Marketing_Funnel_Total_New_Customers,MATCH(AT$1,Marketing_Funnel_Months,0))</f>
        <v>24.328621035111599</v>
      </c>
      <c r="AU3" s="104">
        <f t="array" aca="1" ref="AU3" ca="1">INDEX(Marketing_Funnel_Total_New_Customers,MATCH(AU$1,Marketing_Funnel_Months,0))</f>
        <v>24.930613860542</v>
      </c>
      <c r="AV3" s="104">
        <f t="array" aca="1" ref="AV3" ca="1">INDEX(Marketing_Funnel_Total_New_Customers,MATCH(AV$1,Marketing_Funnel_Months,0))</f>
        <v>25.541138845311998</v>
      </c>
      <c r="AW3" s="104">
        <f t="array" aca="1" ref="AW3" ca="1">INDEX(Marketing_Funnel_Total_New_Customers,MATCH(AW$1,Marketing_Funnel_Months,0))</f>
        <v>26.158034875739201</v>
      </c>
      <c r="AX3" s="104">
        <f t="array" aca="1" ref="AX3" ca="1">INDEX(Marketing_Funnel_Total_New_Customers,MATCH(AX$1,Marketing_Funnel_Months,0))</f>
        <v>26.7814603244701</v>
      </c>
      <c r="AY3" s="105">
        <f t="array" aca="1" ref="AY3" ca="1">INDEX(Marketing_Funnel_Total_New_Customers,MATCH(AY$1,Marketing_Funnel_Months,0))</f>
        <v>26.1849822235435</v>
      </c>
      <c r="AZ3" s="105">
        <f t="array" aca="1" ref="AZ3" ca="1">INDEX(Marketing_Funnel_Total_New_Customers,MATCH(AZ$1,Marketing_Funnel_Months,0))</f>
        <v>26.6480906602402</v>
      </c>
      <c r="BA3" s="105">
        <f t="array" aca="1" ref="BA3" ca="1">INDEX(Marketing_Funnel_Total_New_Customers,MATCH(BA$1,Marketing_Funnel_Months,0))</f>
        <v>27.037967269743</v>
      </c>
      <c r="BB3" s="105">
        <f t="array" aca="1" ref="BB3" ca="1">INDEX(Marketing_Funnel_Total_New_Customers,MATCH(BB$1,Marketing_Funnel_Months,0))</f>
        <v>27.327867889694701</v>
      </c>
      <c r="BC3" s="105">
        <f t="array" aca="1" ref="BC3" ca="1">INDEX(Marketing_Funnel_Total_New_Customers,MATCH(BC$1,Marketing_Funnel_Months,0))</f>
        <v>27.491282806605501</v>
      </c>
      <c r="BD3" s="105">
        <f t="array" aca="1" ref="BD3" ca="1">INDEX(Marketing_Funnel_Total_New_Customers,MATCH(BD$1,Marketing_Funnel_Months,0))</f>
        <v>27.852397819689301</v>
      </c>
      <c r="BE3" s="105">
        <f t="array" aca="1" ref="BE3" ca="1">INDEX(Marketing_Funnel_Total_New_Customers,MATCH(BE$1,Marketing_Funnel_Months,0))</f>
        <v>28.1860926025306</v>
      </c>
      <c r="BF3" s="105">
        <f t="array" aca="1" ref="BF3" ca="1">INDEX(Marketing_Funnel_Total_New_Customers,MATCH(BF$1,Marketing_Funnel_Months,0))</f>
        <v>28.5043515341114</v>
      </c>
      <c r="BG3" s="105">
        <f t="array" aca="1" ref="BG3" ca="1">INDEX(Marketing_Funnel_Total_New_Customers,MATCH(BG$1,Marketing_Funnel_Months,0))</f>
        <v>28.8293046874258</v>
      </c>
      <c r="BH3" s="105">
        <f t="array" aca="1" ref="BH3" ca="1">INDEX(Marketing_Funnel_Total_New_Customers,MATCH(BH$1,Marketing_Funnel_Months,0))</f>
        <v>29.1957566455605</v>
      </c>
      <c r="BI3" s="105">
        <f t="array" aca="1" ref="BI3" ca="1">INDEX(Marketing_Funnel_Total_New_Customers,MATCH(BI$1,Marketing_Funnel_Months,0))</f>
        <v>29.562935663758498</v>
      </c>
      <c r="BJ3" s="105">
        <f t="array" aca="1" ref="BJ3" ca="1">INDEX(Marketing_Funnel_Total_New_Customers,MATCH(BJ$1,Marketing_Funnel_Months,0))</f>
        <v>29.938222982313999</v>
      </c>
      <c r="BK3" s="105">
        <f t="array" aca="1" ref="BK3" ca="1">INDEX(Marketing_Funnel_Total_New_Customers,MATCH(BK$1,Marketing_Funnel_Months,0))</f>
        <v>30.327791098113501</v>
      </c>
      <c r="BL3" s="105">
        <f t="array" aca="1" ref="BL3" ca="1">INDEX(Marketing_Funnel_Total_New_Customers,MATCH(BL$1,Marketing_Funnel_Months,0))</f>
        <v>30.7336458932722</v>
      </c>
      <c r="BM3" s="105">
        <f t="array" aca="1" ref="BM3" ca="1">INDEX(Marketing_Funnel_Total_New_Customers,MATCH(BM$1,Marketing_Funnel_Months,0))</f>
        <v>31.149225817723899</v>
      </c>
      <c r="BN3" s="105">
        <f t="array" aca="1" ref="BN3" ca="1">INDEX(Marketing_Funnel_Total_New_Customers,MATCH(BN$1,Marketing_Funnel_Months,0))</f>
        <v>31.5769028711128</v>
      </c>
      <c r="BO3" s="105">
        <f t="array" aca="1" ref="BO3" ca="1">INDEX(Marketing_Funnel_Total_New_Customers,MATCH(BO$1,Marketing_Funnel_Months,0))</f>
        <v>32.0177403635929</v>
      </c>
      <c r="BP3" s="105">
        <f t="array" aca="1" ref="BP3" ca="1">INDEX(Marketing_Funnel_Total_New_Customers,MATCH(BP$1,Marketing_Funnel_Months,0))</f>
        <v>32.471466243271202</v>
      </c>
      <c r="BQ3" s="105">
        <f t="array" aca="1" ref="BQ3" ca="1">INDEX(Marketing_Funnel_Total_New_Customers,MATCH(BQ$1,Marketing_Funnel_Months,0))</f>
        <v>32.937212526935198</v>
      </c>
      <c r="BR3" s="105">
        <f t="array" aca="1" ref="BR3" ca="1">INDEX(Marketing_Funnel_Total_New_Customers,MATCH(BR$1,Marketing_Funnel_Months,0))</f>
        <v>33.4155976869135</v>
      </c>
      <c r="BS3" s="105">
        <f t="array" aca="1" ref="BS3" ca="1">INDEX(Marketing_Funnel_Total_New_Customers,MATCH(BS$1,Marketing_Funnel_Months,0))</f>
        <v>33.906781419396701</v>
      </c>
      <c r="BT3" s="105">
        <f t="array" aca="1" ref="BT3" ca="1">INDEX(Marketing_Funnel_Total_New_Customers,MATCH(BT$1,Marketing_Funnel_Months,0))</f>
        <v>34.410686670820297</v>
      </c>
      <c r="BU3" s="105">
        <f t="array" aca="1" ref="BU3" ca="1">INDEX(Marketing_Funnel_Total_New_Customers,MATCH(BU$1,Marketing_Funnel_Months,0))</f>
        <v>34.927286657714703</v>
      </c>
      <c r="BV3" s="105">
        <f t="array" aca="1" ref="BV3" ca="1">INDEX(Marketing_Funnel_Total_New_Customers,MATCH(BV$1,Marketing_Funnel_Months,0))</f>
        <v>35.456773643938298</v>
      </c>
    </row>
    <row r="4" spans="1:74" ht="12.75" x14ac:dyDescent="0.2">
      <c r="A4" s="101" t="s">
        <v>85</v>
      </c>
      <c r="B4" s="102"/>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6">
        <f t="shared" ref="AE4:BV4" si="1">1-AE5</f>
        <v>1</v>
      </c>
      <c r="AF4" s="106">
        <f t="shared" si="1"/>
        <v>1</v>
      </c>
      <c r="AG4" s="106">
        <f t="shared" si="1"/>
        <v>1</v>
      </c>
      <c r="AH4" s="106">
        <f t="shared" si="1"/>
        <v>1</v>
      </c>
      <c r="AI4" s="106">
        <f t="shared" si="1"/>
        <v>1</v>
      </c>
      <c r="AJ4" s="106">
        <f t="shared" si="1"/>
        <v>1</v>
      </c>
      <c r="AK4" s="106">
        <f t="shared" si="1"/>
        <v>1</v>
      </c>
      <c r="AL4" s="106">
        <f t="shared" si="1"/>
        <v>1</v>
      </c>
      <c r="AM4" s="106">
        <f t="shared" si="1"/>
        <v>1</v>
      </c>
      <c r="AN4" s="106">
        <f t="shared" si="1"/>
        <v>1</v>
      </c>
      <c r="AO4" s="106">
        <f t="shared" si="1"/>
        <v>1</v>
      </c>
      <c r="AP4" s="106">
        <f t="shared" si="1"/>
        <v>1</v>
      </c>
      <c r="AQ4" s="106">
        <f t="shared" si="1"/>
        <v>1</v>
      </c>
      <c r="AR4" s="106">
        <f t="shared" si="1"/>
        <v>1</v>
      </c>
      <c r="AS4" s="106">
        <f t="shared" si="1"/>
        <v>1</v>
      </c>
      <c r="AT4" s="106">
        <f t="shared" si="1"/>
        <v>1</v>
      </c>
      <c r="AU4" s="106">
        <f t="shared" si="1"/>
        <v>1</v>
      </c>
      <c r="AV4" s="106">
        <f t="shared" si="1"/>
        <v>1</v>
      </c>
      <c r="AW4" s="106">
        <f t="shared" si="1"/>
        <v>1</v>
      </c>
      <c r="AX4" s="106">
        <f t="shared" si="1"/>
        <v>1</v>
      </c>
      <c r="AY4" s="107">
        <f t="shared" si="1"/>
        <v>1</v>
      </c>
      <c r="AZ4" s="107">
        <f t="shared" si="1"/>
        <v>1</v>
      </c>
      <c r="BA4" s="107">
        <f t="shared" si="1"/>
        <v>1</v>
      </c>
      <c r="BB4" s="107">
        <f t="shared" si="1"/>
        <v>1</v>
      </c>
      <c r="BC4" s="107">
        <f t="shared" si="1"/>
        <v>1</v>
      </c>
      <c r="BD4" s="107">
        <f t="shared" si="1"/>
        <v>1</v>
      </c>
      <c r="BE4" s="107">
        <f t="shared" si="1"/>
        <v>1</v>
      </c>
      <c r="BF4" s="107">
        <f t="shared" si="1"/>
        <v>1</v>
      </c>
      <c r="BG4" s="107">
        <f t="shared" si="1"/>
        <v>1</v>
      </c>
      <c r="BH4" s="107">
        <f t="shared" si="1"/>
        <v>1</v>
      </c>
      <c r="BI4" s="107">
        <f t="shared" si="1"/>
        <v>1</v>
      </c>
      <c r="BJ4" s="107">
        <f t="shared" si="1"/>
        <v>1</v>
      </c>
      <c r="BK4" s="107">
        <f t="shared" si="1"/>
        <v>1</v>
      </c>
      <c r="BL4" s="107">
        <f t="shared" si="1"/>
        <v>1</v>
      </c>
      <c r="BM4" s="107">
        <f t="shared" si="1"/>
        <v>1</v>
      </c>
      <c r="BN4" s="107">
        <f t="shared" si="1"/>
        <v>1</v>
      </c>
      <c r="BO4" s="107">
        <f t="shared" si="1"/>
        <v>1</v>
      </c>
      <c r="BP4" s="107">
        <f t="shared" si="1"/>
        <v>1</v>
      </c>
      <c r="BQ4" s="107">
        <f t="shared" si="1"/>
        <v>1</v>
      </c>
      <c r="BR4" s="107">
        <f t="shared" si="1"/>
        <v>1</v>
      </c>
      <c r="BS4" s="107">
        <f t="shared" si="1"/>
        <v>1</v>
      </c>
      <c r="BT4" s="107">
        <f t="shared" si="1"/>
        <v>1</v>
      </c>
      <c r="BU4" s="107">
        <f t="shared" si="1"/>
        <v>1</v>
      </c>
      <c r="BV4" s="107">
        <f t="shared" si="1"/>
        <v>1</v>
      </c>
    </row>
    <row r="5" spans="1:74" ht="12.75" x14ac:dyDescent="0.2">
      <c r="A5" s="101" t="s">
        <v>87</v>
      </c>
      <c r="B5" s="102"/>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8">
        <f t="shared" ref="AE5:BV5" si="2">AD5</f>
        <v>0</v>
      </c>
      <c r="AF5" s="108">
        <f t="shared" si="2"/>
        <v>0</v>
      </c>
      <c r="AG5" s="108">
        <f t="shared" si="2"/>
        <v>0</v>
      </c>
      <c r="AH5" s="108">
        <f t="shared" si="2"/>
        <v>0</v>
      </c>
      <c r="AI5" s="108">
        <f t="shared" si="2"/>
        <v>0</v>
      </c>
      <c r="AJ5" s="108">
        <f t="shared" si="2"/>
        <v>0</v>
      </c>
      <c r="AK5" s="108">
        <f t="shared" si="2"/>
        <v>0</v>
      </c>
      <c r="AL5" s="108">
        <f t="shared" si="2"/>
        <v>0</v>
      </c>
      <c r="AM5" s="108">
        <f t="shared" si="2"/>
        <v>0</v>
      </c>
      <c r="AN5" s="108">
        <f t="shared" si="2"/>
        <v>0</v>
      </c>
      <c r="AO5" s="108">
        <f t="shared" si="2"/>
        <v>0</v>
      </c>
      <c r="AP5" s="108">
        <f t="shared" si="2"/>
        <v>0</v>
      </c>
      <c r="AQ5" s="108">
        <f t="shared" si="2"/>
        <v>0</v>
      </c>
      <c r="AR5" s="108">
        <f t="shared" si="2"/>
        <v>0</v>
      </c>
      <c r="AS5" s="108">
        <f t="shared" si="2"/>
        <v>0</v>
      </c>
      <c r="AT5" s="108">
        <f t="shared" si="2"/>
        <v>0</v>
      </c>
      <c r="AU5" s="108">
        <f t="shared" si="2"/>
        <v>0</v>
      </c>
      <c r="AV5" s="108">
        <f t="shared" si="2"/>
        <v>0</v>
      </c>
      <c r="AW5" s="108">
        <f t="shared" si="2"/>
        <v>0</v>
      </c>
      <c r="AX5" s="108">
        <f t="shared" si="2"/>
        <v>0</v>
      </c>
      <c r="AY5" s="109">
        <f t="shared" si="2"/>
        <v>0</v>
      </c>
      <c r="AZ5" s="109">
        <f t="shared" si="2"/>
        <v>0</v>
      </c>
      <c r="BA5" s="109">
        <f t="shared" si="2"/>
        <v>0</v>
      </c>
      <c r="BB5" s="109">
        <f t="shared" si="2"/>
        <v>0</v>
      </c>
      <c r="BC5" s="109">
        <f t="shared" si="2"/>
        <v>0</v>
      </c>
      <c r="BD5" s="109">
        <f t="shared" si="2"/>
        <v>0</v>
      </c>
      <c r="BE5" s="109">
        <f t="shared" si="2"/>
        <v>0</v>
      </c>
      <c r="BF5" s="109">
        <f t="shared" si="2"/>
        <v>0</v>
      </c>
      <c r="BG5" s="109">
        <f t="shared" si="2"/>
        <v>0</v>
      </c>
      <c r="BH5" s="109">
        <f t="shared" si="2"/>
        <v>0</v>
      </c>
      <c r="BI5" s="109">
        <f t="shared" si="2"/>
        <v>0</v>
      </c>
      <c r="BJ5" s="109">
        <f t="shared" si="2"/>
        <v>0</v>
      </c>
      <c r="BK5" s="109">
        <f t="shared" si="2"/>
        <v>0</v>
      </c>
      <c r="BL5" s="109">
        <f t="shared" si="2"/>
        <v>0</v>
      </c>
      <c r="BM5" s="109">
        <f t="shared" si="2"/>
        <v>0</v>
      </c>
      <c r="BN5" s="109">
        <f t="shared" si="2"/>
        <v>0</v>
      </c>
      <c r="BO5" s="109">
        <f t="shared" si="2"/>
        <v>0</v>
      </c>
      <c r="BP5" s="109">
        <f t="shared" si="2"/>
        <v>0</v>
      </c>
      <c r="BQ5" s="109">
        <f t="shared" si="2"/>
        <v>0</v>
      </c>
      <c r="BR5" s="109">
        <f t="shared" si="2"/>
        <v>0</v>
      </c>
      <c r="BS5" s="109">
        <f t="shared" si="2"/>
        <v>0</v>
      </c>
      <c r="BT5" s="109">
        <f t="shared" si="2"/>
        <v>0</v>
      </c>
      <c r="BU5" s="109">
        <f t="shared" si="2"/>
        <v>0</v>
      </c>
      <c r="BV5" s="109">
        <f t="shared" si="2"/>
        <v>0</v>
      </c>
    </row>
    <row r="6" spans="1:74" ht="15" x14ac:dyDescent="0.25">
      <c r="A6" s="110" t="s">
        <v>88</v>
      </c>
      <c r="B6" s="102"/>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row>
    <row r="7" spans="1:74" ht="12.75" x14ac:dyDescent="0.2">
      <c r="A7" s="101" t="s">
        <v>20</v>
      </c>
      <c r="B7" s="112"/>
      <c r="C7" s="113">
        <f t="shared" ref="C7:AD7" si="3">SUMIFS(MRR_Export_New_Count,MRR_Export_Months,"&gt;="&amp;C$1,MRR_Export_Months,"&lt;"&amp;D$1)</f>
        <v>10</v>
      </c>
      <c r="D7" s="113">
        <f t="shared" si="3"/>
        <v>11</v>
      </c>
      <c r="E7" s="113">
        <f t="shared" si="3"/>
        <v>12</v>
      </c>
      <c r="F7" s="113">
        <f t="shared" si="3"/>
        <v>13</v>
      </c>
      <c r="G7" s="113">
        <f t="shared" si="3"/>
        <v>14</v>
      </c>
      <c r="H7" s="113">
        <f t="shared" si="3"/>
        <v>10</v>
      </c>
      <c r="I7" s="113">
        <f t="shared" si="3"/>
        <v>21</v>
      </c>
      <c r="J7" s="113">
        <f t="shared" si="3"/>
        <v>14</v>
      </c>
      <c r="K7" s="113">
        <f t="shared" si="3"/>
        <v>14</v>
      </c>
      <c r="L7" s="113">
        <f t="shared" si="3"/>
        <v>14</v>
      </c>
      <c r="M7" s="113">
        <f t="shared" si="3"/>
        <v>14</v>
      </c>
      <c r="N7" s="113">
        <f t="shared" si="3"/>
        <v>16</v>
      </c>
      <c r="O7" s="113">
        <f t="shared" si="3"/>
        <v>15</v>
      </c>
      <c r="P7" s="113">
        <f t="shared" si="3"/>
        <v>25</v>
      </c>
      <c r="Q7" s="113">
        <f t="shared" si="3"/>
        <v>17</v>
      </c>
      <c r="R7" s="113">
        <f t="shared" si="3"/>
        <v>38</v>
      </c>
      <c r="S7" s="113">
        <f t="shared" si="3"/>
        <v>20</v>
      </c>
      <c r="T7" s="113">
        <f t="shared" si="3"/>
        <v>29</v>
      </c>
      <c r="U7" s="113">
        <f t="shared" si="3"/>
        <v>32</v>
      </c>
      <c r="V7" s="113">
        <f t="shared" si="3"/>
        <v>30</v>
      </c>
      <c r="W7" s="113">
        <f t="shared" si="3"/>
        <v>26</v>
      </c>
      <c r="X7" s="113">
        <f t="shared" si="3"/>
        <v>21</v>
      </c>
      <c r="Y7" s="113">
        <f t="shared" si="3"/>
        <v>22</v>
      </c>
      <c r="Z7" s="113">
        <f t="shared" si="3"/>
        <v>25</v>
      </c>
      <c r="AA7" s="113">
        <f t="shared" si="3"/>
        <v>25</v>
      </c>
      <c r="AB7" s="113">
        <f t="shared" si="3"/>
        <v>28</v>
      </c>
      <c r="AC7" s="113">
        <f t="shared" si="3"/>
        <v>20</v>
      </c>
      <c r="AD7" s="113">
        <f t="shared" si="3"/>
        <v>14</v>
      </c>
      <c r="AE7" s="114">
        <v>17</v>
      </c>
      <c r="AF7" s="114">
        <v>18</v>
      </c>
      <c r="AG7" s="114">
        <v>19</v>
      </c>
      <c r="AH7" s="115">
        <f t="shared" ref="AH7:BV7" ca="1" si="4">ROUND(AH$3*AH$4,0)</f>
        <v>18</v>
      </c>
      <c r="AI7" s="115">
        <f t="shared" ca="1" si="4"/>
        <v>18</v>
      </c>
      <c r="AJ7" s="115">
        <f t="shared" ca="1" si="4"/>
        <v>19</v>
      </c>
      <c r="AK7" s="115">
        <f t="shared" ca="1" si="4"/>
        <v>19</v>
      </c>
      <c r="AL7" s="115">
        <f t="shared" ca="1" si="4"/>
        <v>20</v>
      </c>
      <c r="AM7" s="115">
        <f t="shared" ca="1" si="4"/>
        <v>20</v>
      </c>
      <c r="AN7" s="115">
        <f t="shared" ca="1" si="4"/>
        <v>21</v>
      </c>
      <c r="AO7" s="115">
        <f t="shared" ca="1" si="4"/>
        <v>21</v>
      </c>
      <c r="AP7" s="115">
        <f t="shared" ca="1" si="4"/>
        <v>22</v>
      </c>
      <c r="AQ7" s="115">
        <f t="shared" ca="1" si="4"/>
        <v>23</v>
      </c>
      <c r="AR7" s="115">
        <f t="shared" ca="1" si="4"/>
        <v>23</v>
      </c>
      <c r="AS7" s="115">
        <f t="shared" ca="1" si="4"/>
        <v>24</v>
      </c>
      <c r="AT7" s="115">
        <f t="shared" ca="1" si="4"/>
        <v>24</v>
      </c>
      <c r="AU7" s="115">
        <f t="shared" ca="1" si="4"/>
        <v>25</v>
      </c>
      <c r="AV7" s="115">
        <f t="shared" ca="1" si="4"/>
        <v>26</v>
      </c>
      <c r="AW7" s="115">
        <f t="shared" ca="1" si="4"/>
        <v>26</v>
      </c>
      <c r="AX7" s="115">
        <f t="shared" ca="1" si="4"/>
        <v>27</v>
      </c>
      <c r="AY7" s="116">
        <f t="shared" ca="1" si="4"/>
        <v>26</v>
      </c>
      <c r="AZ7" s="116">
        <f t="shared" ca="1" si="4"/>
        <v>27</v>
      </c>
      <c r="BA7" s="116">
        <f t="shared" ca="1" si="4"/>
        <v>27</v>
      </c>
      <c r="BB7" s="116">
        <f t="shared" ca="1" si="4"/>
        <v>27</v>
      </c>
      <c r="BC7" s="116">
        <f t="shared" ca="1" si="4"/>
        <v>27</v>
      </c>
      <c r="BD7" s="116">
        <f t="shared" ca="1" si="4"/>
        <v>28</v>
      </c>
      <c r="BE7" s="116">
        <f t="shared" ca="1" si="4"/>
        <v>28</v>
      </c>
      <c r="BF7" s="116">
        <f t="shared" ca="1" si="4"/>
        <v>29</v>
      </c>
      <c r="BG7" s="116">
        <f t="shared" ca="1" si="4"/>
        <v>29</v>
      </c>
      <c r="BH7" s="116">
        <f t="shared" ca="1" si="4"/>
        <v>29</v>
      </c>
      <c r="BI7" s="116">
        <f t="shared" ca="1" si="4"/>
        <v>30</v>
      </c>
      <c r="BJ7" s="116">
        <f t="shared" ca="1" si="4"/>
        <v>30</v>
      </c>
      <c r="BK7" s="116">
        <f t="shared" ca="1" si="4"/>
        <v>30</v>
      </c>
      <c r="BL7" s="116">
        <f t="shared" ca="1" si="4"/>
        <v>31</v>
      </c>
      <c r="BM7" s="116">
        <f t="shared" ca="1" si="4"/>
        <v>31</v>
      </c>
      <c r="BN7" s="116">
        <f t="shared" ca="1" si="4"/>
        <v>32</v>
      </c>
      <c r="BO7" s="116">
        <f t="shared" ca="1" si="4"/>
        <v>32</v>
      </c>
      <c r="BP7" s="116">
        <f t="shared" ca="1" si="4"/>
        <v>32</v>
      </c>
      <c r="BQ7" s="116">
        <f t="shared" ca="1" si="4"/>
        <v>33</v>
      </c>
      <c r="BR7" s="116">
        <f t="shared" ca="1" si="4"/>
        <v>33</v>
      </c>
      <c r="BS7" s="116">
        <f t="shared" ca="1" si="4"/>
        <v>34</v>
      </c>
      <c r="BT7" s="116">
        <f t="shared" ca="1" si="4"/>
        <v>34</v>
      </c>
      <c r="BU7" s="116">
        <f t="shared" ca="1" si="4"/>
        <v>35</v>
      </c>
      <c r="BV7" s="116">
        <f t="shared" ca="1" si="4"/>
        <v>35</v>
      </c>
    </row>
    <row r="8" spans="1:74" ht="12.75" x14ac:dyDescent="0.2">
      <c r="A8" s="101" t="s">
        <v>91</v>
      </c>
      <c r="B8" s="117"/>
      <c r="C8" s="115">
        <f t="shared" ref="C8:AD8" si="5">IFERROR(C9/C7," ")</f>
        <v>1066.4000000000001</v>
      </c>
      <c r="D8" s="115">
        <f t="shared" si="5"/>
        <v>1125.5454545454545</v>
      </c>
      <c r="E8" s="115">
        <f t="shared" si="5"/>
        <v>1135.4166666666667</v>
      </c>
      <c r="F8" s="115">
        <f t="shared" si="5"/>
        <v>1090.3076923076924</v>
      </c>
      <c r="G8" s="115">
        <f t="shared" si="5"/>
        <v>1262.7142857142858</v>
      </c>
      <c r="H8" s="115">
        <f t="shared" si="5"/>
        <v>1080.9000000000001</v>
      </c>
      <c r="I8" s="115">
        <f t="shared" si="5"/>
        <v>1153</v>
      </c>
      <c r="J8" s="115">
        <f t="shared" si="5"/>
        <v>1171.0714285714287</v>
      </c>
      <c r="K8" s="115">
        <f t="shared" si="5"/>
        <v>1142.5714285714287</v>
      </c>
      <c r="L8" s="115">
        <f t="shared" si="5"/>
        <v>1155.2142857142858</v>
      </c>
      <c r="M8" s="115">
        <f t="shared" si="5"/>
        <v>1151.3571428571429</v>
      </c>
      <c r="N8" s="115">
        <f t="shared" si="5"/>
        <v>1011.75</v>
      </c>
      <c r="O8" s="115">
        <f t="shared" si="5"/>
        <v>1154.2666666666667</v>
      </c>
      <c r="P8" s="115">
        <f t="shared" si="5"/>
        <v>1102.68</v>
      </c>
      <c r="Q8" s="115">
        <f t="shared" si="5"/>
        <v>1090.5294117647059</v>
      </c>
      <c r="R8" s="115">
        <f t="shared" si="5"/>
        <v>1112.6315789473683</v>
      </c>
      <c r="S8" s="115">
        <f t="shared" si="5"/>
        <v>1104.8499999999999</v>
      </c>
      <c r="T8" s="115">
        <f t="shared" si="5"/>
        <v>1105.5517241379309</v>
      </c>
      <c r="U8" s="115">
        <f t="shared" si="5"/>
        <v>1005.3125</v>
      </c>
      <c r="V8" s="115">
        <f t="shared" si="5"/>
        <v>1065.7777777777778</v>
      </c>
      <c r="W8" s="115">
        <f t="shared" si="5"/>
        <v>1057.1904761904764</v>
      </c>
      <c r="X8" s="115">
        <f t="shared" si="5"/>
        <v>1367.854875283447</v>
      </c>
      <c r="Y8" s="115">
        <f t="shared" si="5"/>
        <v>1279.361471861472</v>
      </c>
      <c r="Z8" s="115">
        <f t="shared" si="5"/>
        <v>1234.0380952380954</v>
      </c>
      <c r="AA8" s="115">
        <f t="shared" si="5"/>
        <v>1323.2380952380952</v>
      </c>
      <c r="AB8" s="115">
        <f t="shared" si="5"/>
        <v>1216.7125850340137</v>
      </c>
      <c r="AC8" s="115">
        <f t="shared" si="5"/>
        <v>1256.4000000000001</v>
      </c>
      <c r="AD8" s="115">
        <f t="shared" si="5"/>
        <v>1257.1428571428571</v>
      </c>
      <c r="AE8" s="115">
        <f t="shared" ref="AE8:BV8" si="6">IFERROR(SUM(AB9:AD9)/SUM(AB7:AD7),0)</f>
        <v>1238.6443932411673</v>
      </c>
      <c r="AF8" s="115">
        <f t="shared" si="6"/>
        <v>1250.68538598235</v>
      </c>
      <c r="AG8" s="115">
        <f t="shared" si="6"/>
        <v>1248.3528904649418</v>
      </c>
      <c r="AH8" s="115">
        <f t="shared" si="6"/>
        <v>1246.0740102151117</v>
      </c>
      <c r="AI8" s="115">
        <f t="shared" ca="1" si="6"/>
        <v>1248.3704372797854</v>
      </c>
      <c r="AJ8" s="115">
        <f t="shared" ca="1" si="6"/>
        <v>1247.6128177044009</v>
      </c>
      <c r="AK8" s="115">
        <f t="shared" ca="1" si="6"/>
        <v>1247.3571562053048</v>
      </c>
      <c r="AL8" s="115">
        <f t="shared" ca="1" si="6"/>
        <v>1247.769595987867</v>
      </c>
      <c r="AM8" s="115">
        <f t="shared" ca="1" si="6"/>
        <v>1247.5831280007201</v>
      </c>
      <c r="AN8" s="115">
        <f t="shared" ca="1" si="6"/>
        <v>1247.5735669097041</v>
      </c>
      <c r="AO8" s="115">
        <f t="shared" ca="1" si="6"/>
        <v>1247.6409735225498</v>
      </c>
      <c r="AP8" s="115">
        <f t="shared" ca="1" si="6"/>
        <v>1247.5994824047054</v>
      </c>
      <c r="AQ8" s="115">
        <f t="shared" ca="1" si="6"/>
        <v>1247.6045931559506</v>
      </c>
      <c r="AR8" s="115">
        <f t="shared" ca="1" si="6"/>
        <v>1247.6144651433929</v>
      </c>
      <c r="AS8" s="115">
        <f t="shared" ca="1" si="6"/>
        <v>1247.6062787321828</v>
      </c>
      <c r="AT8" s="115">
        <f t="shared" ca="1" si="6"/>
        <v>1247.6084147208182</v>
      </c>
      <c r="AU8" s="115">
        <f t="shared" ca="1" si="6"/>
        <v>1247.6096526925362</v>
      </c>
      <c r="AV8" s="115">
        <f t="shared" ca="1" si="6"/>
        <v>1247.6081364408965</v>
      </c>
      <c r="AW8" s="115">
        <f t="shared" ca="1" si="6"/>
        <v>1247.6087309076847</v>
      </c>
      <c r="AX8" s="115">
        <f t="shared" ca="1" si="6"/>
        <v>1247.6088294594354</v>
      </c>
      <c r="AY8" s="116">
        <f t="shared" ca="1" si="6"/>
        <v>1247.6085689426311</v>
      </c>
      <c r="AZ8" s="116">
        <f t="shared" ca="1" si="6"/>
        <v>1247.6087112849741</v>
      </c>
      <c r="BA8" s="116">
        <f t="shared" ca="1" si="6"/>
        <v>1247.6087049075934</v>
      </c>
      <c r="BB8" s="116">
        <f t="shared" ca="1" si="6"/>
        <v>1247.6086628713467</v>
      </c>
      <c r="BC8" s="116">
        <f t="shared" ca="1" si="6"/>
        <v>1247.6086930213046</v>
      </c>
      <c r="BD8" s="116">
        <f t="shared" ca="1" si="6"/>
        <v>1247.6086869334147</v>
      </c>
      <c r="BE8" s="116">
        <f t="shared" ca="1" si="6"/>
        <v>1247.6086810150878</v>
      </c>
      <c r="BF8" s="116">
        <f t="shared" ca="1" si="6"/>
        <v>1247.6086869172686</v>
      </c>
      <c r="BG8" s="116">
        <f t="shared" ca="1" si="6"/>
        <v>1247.6086849783396</v>
      </c>
      <c r="BH8" s="116">
        <f t="shared" ca="1" si="6"/>
        <v>1247.6086843418036</v>
      </c>
      <c r="BI8" s="116">
        <f t="shared" ca="1" si="6"/>
        <v>1247.6086854124705</v>
      </c>
      <c r="BJ8" s="116">
        <f t="shared" ca="1" si="6"/>
        <v>1247.6086849165711</v>
      </c>
      <c r="BK8" s="116">
        <f t="shared" ca="1" si="6"/>
        <v>1247.6086848964444</v>
      </c>
      <c r="BL8" s="116">
        <f t="shared" ca="1" si="6"/>
        <v>1247.6086850751619</v>
      </c>
      <c r="BM8" s="116">
        <f t="shared" ca="1" si="6"/>
        <v>1247.6086849639614</v>
      </c>
      <c r="BN8" s="116">
        <f t="shared" ca="1" si="6"/>
        <v>1247.6086849794149</v>
      </c>
      <c r="BO8" s="116">
        <f t="shared" ca="1" si="6"/>
        <v>1247.6086850058946</v>
      </c>
      <c r="BP8" s="116">
        <f t="shared" ca="1" si="6"/>
        <v>1247.6086849832916</v>
      </c>
      <c r="BQ8" s="116">
        <f t="shared" ca="1" si="6"/>
        <v>1247.6086849895337</v>
      </c>
      <c r="BR8" s="116">
        <f t="shared" ca="1" si="6"/>
        <v>1247.608684992872</v>
      </c>
      <c r="BS8" s="116">
        <f t="shared" ca="1" si="6"/>
        <v>1247.6086849886196</v>
      </c>
      <c r="BT8" s="116">
        <f t="shared" ca="1" si="6"/>
        <v>1247.6086849903245</v>
      </c>
      <c r="BU8" s="116">
        <f t="shared" ca="1" si="6"/>
        <v>1247.608684990583</v>
      </c>
      <c r="BV8" s="116">
        <f t="shared" ca="1" si="6"/>
        <v>1247.6086849898497</v>
      </c>
    </row>
    <row r="9" spans="1:74" ht="12.75" x14ac:dyDescent="0.2">
      <c r="A9" s="101" t="s">
        <v>92</v>
      </c>
      <c r="B9" s="118"/>
      <c r="C9" s="119">
        <f t="shared" ref="C9:AD9" si="7">SUMIFS(MRR_Export_New_MRR,MRR_Export_Months,"&gt;="&amp;C$1,MRR_Export_Months,"&lt;"&amp;D$1)</f>
        <v>10664</v>
      </c>
      <c r="D9" s="119">
        <f t="shared" si="7"/>
        <v>12381</v>
      </c>
      <c r="E9" s="119">
        <f t="shared" si="7"/>
        <v>13625</v>
      </c>
      <c r="F9" s="119">
        <f t="shared" si="7"/>
        <v>14174</v>
      </c>
      <c r="G9" s="119">
        <f t="shared" si="7"/>
        <v>17678</v>
      </c>
      <c r="H9" s="119">
        <f t="shared" si="7"/>
        <v>10809</v>
      </c>
      <c r="I9" s="119">
        <f t="shared" si="7"/>
        <v>24213</v>
      </c>
      <c r="J9" s="119">
        <f t="shared" si="7"/>
        <v>16395</v>
      </c>
      <c r="K9" s="119">
        <f t="shared" si="7"/>
        <v>15996</v>
      </c>
      <c r="L9" s="119">
        <f t="shared" si="7"/>
        <v>16173</v>
      </c>
      <c r="M9" s="119">
        <f t="shared" si="7"/>
        <v>16119</v>
      </c>
      <c r="N9" s="119">
        <f t="shared" si="7"/>
        <v>16188</v>
      </c>
      <c r="O9" s="119">
        <f t="shared" si="7"/>
        <v>17314</v>
      </c>
      <c r="P9" s="119">
        <f t="shared" si="7"/>
        <v>27567</v>
      </c>
      <c r="Q9" s="119">
        <f t="shared" si="7"/>
        <v>18539</v>
      </c>
      <c r="R9" s="119">
        <f t="shared" si="7"/>
        <v>42280</v>
      </c>
      <c r="S9" s="119">
        <f t="shared" si="7"/>
        <v>22097</v>
      </c>
      <c r="T9" s="119">
        <f t="shared" si="7"/>
        <v>32061</v>
      </c>
      <c r="U9" s="119">
        <f t="shared" si="7"/>
        <v>32170</v>
      </c>
      <c r="V9" s="119">
        <f t="shared" si="7"/>
        <v>31973.333333333336</v>
      </c>
      <c r="W9" s="119">
        <f t="shared" si="7"/>
        <v>27486.952380952385</v>
      </c>
      <c r="X9" s="119">
        <f t="shared" si="7"/>
        <v>28724.952380952385</v>
      </c>
      <c r="Y9" s="119">
        <f t="shared" si="7"/>
        <v>28145.952380952385</v>
      </c>
      <c r="Z9" s="119">
        <f t="shared" si="7"/>
        <v>30850.952380952385</v>
      </c>
      <c r="AA9" s="119">
        <f t="shared" si="7"/>
        <v>33080.952380952382</v>
      </c>
      <c r="AB9" s="119">
        <f t="shared" si="7"/>
        <v>34067.952380952382</v>
      </c>
      <c r="AC9" s="119">
        <f t="shared" si="7"/>
        <v>25128</v>
      </c>
      <c r="AD9" s="119">
        <f t="shared" si="7"/>
        <v>17600</v>
      </c>
      <c r="AE9" s="120">
        <f t="shared" ref="AE9:BV9" si="8">AE7*AE8</f>
        <v>21056.954685099845</v>
      </c>
      <c r="AF9" s="120">
        <f t="shared" si="8"/>
        <v>22512.336947682299</v>
      </c>
      <c r="AG9" s="120">
        <f t="shared" si="8"/>
        <v>23718.704918833893</v>
      </c>
      <c r="AH9" s="120">
        <f t="shared" ca="1" si="8"/>
        <v>22429.332183872011</v>
      </c>
      <c r="AI9" s="120">
        <f t="shared" ca="1" si="8"/>
        <v>22470.667871036138</v>
      </c>
      <c r="AJ9" s="120">
        <f t="shared" ca="1" si="8"/>
        <v>23704.643536383617</v>
      </c>
      <c r="AK9" s="120">
        <f t="shared" ca="1" si="8"/>
        <v>23699.785967900792</v>
      </c>
      <c r="AL9" s="120">
        <f t="shared" ca="1" si="8"/>
        <v>24955.391919757341</v>
      </c>
      <c r="AM9" s="120">
        <f t="shared" ca="1" si="8"/>
        <v>24951.662560014403</v>
      </c>
      <c r="AN9" s="120">
        <f t="shared" ca="1" si="8"/>
        <v>26199.044905103787</v>
      </c>
      <c r="AO9" s="120">
        <f t="shared" ca="1" si="8"/>
        <v>26200.460443973545</v>
      </c>
      <c r="AP9" s="120">
        <f t="shared" ca="1" si="8"/>
        <v>27447.188612903519</v>
      </c>
      <c r="AQ9" s="120">
        <f t="shared" ca="1" si="8"/>
        <v>28694.905642586866</v>
      </c>
      <c r="AR9" s="120">
        <f t="shared" ca="1" si="8"/>
        <v>28695.132698298035</v>
      </c>
      <c r="AS9" s="120">
        <f t="shared" ca="1" si="8"/>
        <v>29942.550689572388</v>
      </c>
      <c r="AT9" s="120">
        <f t="shared" ca="1" si="8"/>
        <v>29942.601953299636</v>
      </c>
      <c r="AU9" s="120">
        <f t="shared" ca="1" si="8"/>
        <v>31190.241317313405</v>
      </c>
      <c r="AV9" s="120">
        <f t="shared" ca="1" si="8"/>
        <v>32437.811547463309</v>
      </c>
      <c r="AW9" s="120">
        <f t="shared" ca="1" si="8"/>
        <v>32437.827003599803</v>
      </c>
      <c r="AX9" s="120">
        <f t="shared" ca="1" si="8"/>
        <v>33685.438395404752</v>
      </c>
      <c r="AY9" s="121">
        <f t="shared" ca="1" si="8"/>
        <v>32437.82279250841</v>
      </c>
      <c r="AZ9" s="121">
        <f t="shared" ca="1" si="8"/>
        <v>33685.435204694302</v>
      </c>
      <c r="BA9" s="121">
        <f t="shared" ca="1" si="8"/>
        <v>33685.435032505018</v>
      </c>
      <c r="BB9" s="121">
        <f t="shared" ca="1" si="8"/>
        <v>33685.43389752636</v>
      </c>
      <c r="BC9" s="121">
        <f t="shared" ca="1" si="8"/>
        <v>33685.434711575224</v>
      </c>
      <c r="BD9" s="121">
        <f t="shared" ca="1" si="8"/>
        <v>34933.043234135614</v>
      </c>
      <c r="BE9" s="121">
        <f t="shared" ca="1" si="8"/>
        <v>34933.043068422456</v>
      </c>
      <c r="BF9" s="121">
        <f t="shared" ca="1" si="8"/>
        <v>36180.651920600794</v>
      </c>
      <c r="BG9" s="121">
        <f t="shared" ca="1" si="8"/>
        <v>36180.651864371852</v>
      </c>
      <c r="BH9" s="121">
        <f t="shared" ca="1" si="8"/>
        <v>36180.651845912304</v>
      </c>
      <c r="BI9" s="121">
        <f t="shared" ca="1" si="8"/>
        <v>37428.260562374118</v>
      </c>
      <c r="BJ9" s="121">
        <f t="shared" ca="1" si="8"/>
        <v>37428.260547497135</v>
      </c>
      <c r="BK9" s="121">
        <f t="shared" ca="1" si="8"/>
        <v>37428.260546893333</v>
      </c>
      <c r="BL9" s="121">
        <f t="shared" ca="1" si="8"/>
        <v>38675.869237330022</v>
      </c>
      <c r="BM9" s="121">
        <f t="shared" ca="1" si="8"/>
        <v>38675.869233882804</v>
      </c>
      <c r="BN9" s="121">
        <f t="shared" ca="1" si="8"/>
        <v>39923.477919341276</v>
      </c>
      <c r="BO9" s="121">
        <f t="shared" ca="1" si="8"/>
        <v>39923.477920188627</v>
      </c>
      <c r="BP9" s="121">
        <f t="shared" ca="1" si="8"/>
        <v>39923.477919465331</v>
      </c>
      <c r="BQ9" s="121">
        <f t="shared" ca="1" si="8"/>
        <v>41171.086604654614</v>
      </c>
      <c r="BR9" s="121">
        <f t="shared" ca="1" si="8"/>
        <v>41171.086604764772</v>
      </c>
      <c r="BS9" s="121">
        <f t="shared" ca="1" si="8"/>
        <v>42418.695289613068</v>
      </c>
      <c r="BT9" s="121">
        <f t="shared" ca="1" si="8"/>
        <v>42418.695289671035</v>
      </c>
      <c r="BU9" s="121">
        <f t="shared" ca="1" si="8"/>
        <v>43666.303974670409</v>
      </c>
      <c r="BV9" s="121">
        <f t="shared" ca="1" si="8"/>
        <v>43666.303974644739</v>
      </c>
    </row>
    <row r="10" spans="1:74" ht="15" x14ac:dyDescent="0.25">
      <c r="A10" s="122"/>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row>
    <row r="11" spans="1:74" ht="15" x14ac:dyDescent="0.25">
      <c r="A11" s="110" t="s">
        <v>95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row>
    <row r="12" spans="1:74" ht="12.75" x14ac:dyDescent="0.2">
      <c r="A12" s="101" t="s">
        <v>20</v>
      </c>
      <c r="B12" s="10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15">
        <f t="shared" ref="AE12:BV12" ca="1" si="9">ROUND(AE$3*AE$5,0)</f>
        <v>0</v>
      </c>
      <c r="AF12" s="115">
        <f t="shared" ca="1" si="9"/>
        <v>0</v>
      </c>
      <c r="AG12" s="115">
        <f t="shared" ca="1" si="9"/>
        <v>0</v>
      </c>
      <c r="AH12" s="115">
        <f t="shared" ca="1" si="9"/>
        <v>0</v>
      </c>
      <c r="AI12" s="115">
        <f t="shared" ca="1" si="9"/>
        <v>0</v>
      </c>
      <c r="AJ12" s="115">
        <f t="shared" ca="1" si="9"/>
        <v>0</v>
      </c>
      <c r="AK12" s="115">
        <f t="shared" ca="1" si="9"/>
        <v>0</v>
      </c>
      <c r="AL12" s="115">
        <f t="shared" ca="1" si="9"/>
        <v>0</v>
      </c>
      <c r="AM12" s="115">
        <f t="shared" ca="1" si="9"/>
        <v>0</v>
      </c>
      <c r="AN12" s="115">
        <f t="shared" ca="1" si="9"/>
        <v>0</v>
      </c>
      <c r="AO12" s="115">
        <f t="shared" ca="1" si="9"/>
        <v>0</v>
      </c>
      <c r="AP12" s="115">
        <f t="shared" ca="1" si="9"/>
        <v>0</v>
      </c>
      <c r="AQ12" s="115">
        <f t="shared" ca="1" si="9"/>
        <v>0</v>
      </c>
      <c r="AR12" s="115">
        <f t="shared" ca="1" si="9"/>
        <v>0</v>
      </c>
      <c r="AS12" s="115">
        <f t="shared" ca="1" si="9"/>
        <v>0</v>
      </c>
      <c r="AT12" s="115">
        <f t="shared" ca="1" si="9"/>
        <v>0</v>
      </c>
      <c r="AU12" s="115">
        <f t="shared" ca="1" si="9"/>
        <v>0</v>
      </c>
      <c r="AV12" s="115">
        <f t="shared" ca="1" si="9"/>
        <v>0</v>
      </c>
      <c r="AW12" s="115">
        <f t="shared" ca="1" si="9"/>
        <v>0</v>
      </c>
      <c r="AX12" s="115">
        <f t="shared" ca="1" si="9"/>
        <v>0</v>
      </c>
      <c r="AY12" s="116">
        <f t="shared" ca="1" si="9"/>
        <v>0</v>
      </c>
      <c r="AZ12" s="116">
        <f t="shared" ca="1" si="9"/>
        <v>0</v>
      </c>
      <c r="BA12" s="116">
        <f t="shared" ca="1" si="9"/>
        <v>0</v>
      </c>
      <c r="BB12" s="116">
        <f t="shared" ca="1" si="9"/>
        <v>0</v>
      </c>
      <c r="BC12" s="116">
        <f t="shared" ca="1" si="9"/>
        <v>0</v>
      </c>
      <c r="BD12" s="116">
        <f t="shared" ca="1" si="9"/>
        <v>0</v>
      </c>
      <c r="BE12" s="116">
        <f t="shared" ca="1" si="9"/>
        <v>0</v>
      </c>
      <c r="BF12" s="116">
        <f t="shared" ca="1" si="9"/>
        <v>0</v>
      </c>
      <c r="BG12" s="116">
        <f t="shared" ca="1" si="9"/>
        <v>0</v>
      </c>
      <c r="BH12" s="116">
        <f t="shared" ca="1" si="9"/>
        <v>0</v>
      </c>
      <c r="BI12" s="116">
        <f t="shared" ca="1" si="9"/>
        <v>0</v>
      </c>
      <c r="BJ12" s="116">
        <f t="shared" ca="1" si="9"/>
        <v>0</v>
      </c>
      <c r="BK12" s="116">
        <f t="shared" ca="1" si="9"/>
        <v>0</v>
      </c>
      <c r="BL12" s="116">
        <f t="shared" ca="1" si="9"/>
        <v>0</v>
      </c>
      <c r="BM12" s="116">
        <f t="shared" ca="1" si="9"/>
        <v>0</v>
      </c>
      <c r="BN12" s="116">
        <f t="shared" ca="1" si="9"/>
        <v>0</v>
      </c>
      <c r="BO12" s="116">
        <f t="shared" ca="1" si="9"/>
        <v>0</v>
      </c>
      <c r="BP12" s="116">
        <f t="shared" ca="1" si="9"/>
        <v>0</v>
      </c>
      <c r="BQ12" s="116">
        <f t="shared" ca="1" si="9"/>
        <v>0</v>
      </c>
      <c r="BR12" s="116">
        <f t="shared" ca="1" si="9"/>
        <v>0</v>
      </c>
      <c r="BS12" s="116">
        <f t="shared" ca="1" si="9"/>
        <v>0</v>
      </c>
      <c r="BT12" s="116">
        <f t="shared" ca="1" si="9"/>
        <v>0</v>
      </c>
      <c r="BU12" s="116">
        <f t="shared" ca="1" si="9"/>
        <v>0</v>
      </c>
      <c r="BV12" s="116">
        <f t="shared" ca="1" si="9"/>
        <v>0</v>
      </c>
    </row>
    <row r="13" spans="1:74" ht="12.75" x14ac:dyDescent="0.2">
      <c r="A13" s="101" t="s">
        <v>91</v>
      </c>
      <c r="B13" s="10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5">
        <v>1000</v>
      </c>
      <c r="AF13" s="125">
        <v>1000</v>
      </c>
      <c r="AG13" s="125">
        <v>1000</v>
      </c>
      <c r="AH13" s="125">
        <v>1000</v>
      </c>
      <c r="AI13" s="125">
        <v>1000</v>
      </c>
      <c r="AJ13" s="125">
        <v>1000</v>
      </c>
      <c r="AK13" s="125">
        <v>1000</v>
      </c>
      <c r="AL13" s="125">
        <v>1000</v>
      </c>
      <c r="AM13" s="125">
        <v>1000</v>
      </c>
      <c r="AN13" s="125">
        <v>1000</v>
      </c>
      <c r="AO13" s="125">
        <v>1000</v>
      </c>
      <c r="AP13" s="125">
        <v>1000</v>
      </c>
      <c r="AQ13" s="125">
        <v>1000</v>
      </c>
      <c r="AR13" s="125">
        <v>1000</v>
      </c>
      <c r="AS13" s="125">
        <v>1000</v>
      </c>
      <c r="AT13" s="125">
        <v>1000</v>
      </c>
      <c r="AU13" s="125">
        <v>1000</v>
      </c>
      <c r="AV13" s="125">
        <v>1000</v>
      </c>
      <c r="AW13" s="125">
        <v>1000</v>
      </c>
      <c r="AX13" s="125">
        <v>1000</v>
      </c>
      <c r="AY13" s="126">
        <v>1000</v>
      </c>
      <c r="AZ13" s="126">
        <v>1000</v>
      </c>
      <c r="BA13" s="126">
        <v>1000</v>
      </c>
      <c r="BB13" s="126">
        <v>1000</v>
      </c>
      <c r="BC13" s="126">
        <v>1000</v>
      </c>
      <c r="BD13" s="126">
        <v>1000</v>
      </c>
      <c r="BE13" s="126">
        <v>1000</v>
      </c>
      <c r="BF13" s="126">
        <v>1000</v>
      </c>
      <c r="BG13" s="126">
        <v>1000</v>
      </c>
      <c r="BH13" s="126">
        <v>1000</v>
      </c>
      <c r="BI13" s="126">
        <v>1000</v>
      </c>
      <c r="BJ13" s="126">
        <v>1000</v>
      </c>
      <c r="BK13" s="126">
        <v>1000</v>
      </c>
      <c r="BL13" s="126">
        <v>1000</v>
      </c>
      <c r="BM13" s="126">
        <v>1000</v>
      </c>
      <c r="BN13" s="126">
        <v>1000</v>
      </c>
      <c r="BO13" s="126">
        <v>1000</v>
      </c>
      <c r="BP13" s="126">
        <v>1000</v>
      </c>
      <c r="BQ13" s="126">
        <v>1000</v>
      </c>
      <c r="BR13" s="126">
        <v>1000</v>
      </c>
      <c r="BS13" s="126">
        <v>1000</v>
      </c>
      <c r="BT13" s="126">
        <v>1000</v>
      </c>
      <c r="BU13" s="126">
        <v>1000</v>
      </c>
      <c r="BV13" s="126">
        <v>1000</v>
      </c>
    </row>
    <row r="14" spans="1:74" ht="12.75" x14ac:dyDescent="0.2">
      <c r="A14" s="101" t="s">
        <v>92</v>
      </c>
      <c r="B14" s="10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0">
        <f t="shared" ref="AE14:BV14" ca="1" si="10">AE12*AE13</f>
        <v>0</v>
      </c>
      <c r="AF14" s="120">
        <f t="shared" ca="1" si="10"/>
        <v>0</v>
      </c>
      <c r="AG14" s="120">
        <f t="shared" ca="1" si="10"/>
        <v>0</v>
      </c>
      <c r="AH14" s="120">
        <f t="shared" ca="1" si="10"/>
        <v>0</v>
      </c>
      <c r="AI14" s="120">
        <f t="shared" ca="1" si="10"/>
        <v>0</v>
      </c>
      <c r="AJ14" s="120">
        <f t="shared" ca="1" si="10"/>
        <v>0</v>
      </c>
      <c r="AK14" s="120">
        <f t="shared" ca="1" si="10"/>
        <v>0</v>
      </c>
      <c r="AL14" s="120">
        <f t="shared" ca="1" si="10"/>
        <v>0</v>
      </c>
      <c r="AM14" s="120">
        <f t="shared" ca="1" si="10"/>
        <v>0</v>
      </c>
      <c r="AN14" s="120">
        <f t="shared" ca="1" si="10"/>
        <v>0</v>
      </c>
      <c r="AO14" s="120">
        <f t="shared" ca="1" si="10"/>
        <v>0</v>
      </c>
      <c r="AP14" s="120">
        <f t="shared" ca="1" si="10"/>
        <v>0</v>
      </c>
      <c r="AQ14" s="120">
        <f t="shared" ca="1" si="10"/>
        <v>0</v>
      </c>
      <c r="AR14" s="120">
        <f t="shared" ca="1" si="10"/>
        <v>0</v>
      </c>
      <c r="AS14" s="120">
        <f t="shared" ca="1" si="10"/>
        <v>0</v>
      </c>
      <c r="AT14" s="120">
        <f t="shared" ca="1" si="10"/>
        <v>0</v>
      </c>
      <c r="AU14" s="120">
        <f t="shared" ca="1" si="10"/>
        <v>0</v>
      </c>
      <c r="AV14" s="120">
        <f t="shared" ca="1" si="10"/>
        <v>0</v>
      </c>
      <c r="AW14" s="120">
        <f t="shared" ca="1" si="10"/>
        <v>0</v>
      </c>
      <c r="AX14" s="120">
        <f t="shared" ca="1" si="10"/>
        <v>0</v>
      </c>
      <c r="AY14" s="121">
        <f t="shared" ca="1" si="10"/>
        <v>0</v>
      </c>
      <c r="AZ14" s="121">
        <f t="shared" ca="1" si="10"/>
        <v>0</v>
      </c>
      <c r="BA14" s="121">
        <f t="shared" ca="1" si="10"/>
        <v>0</v>
      </c>
      <c r="BB14" s="121">
        <f t="shared" ca="1" si="10"/>
        <v>0</v>
      </c>
      <c r="BC14" s="121">
        <f t="shared" ca="1" si="10"/>
        <v>0</v>
      </c>
      <c r="BD14" s="121">
        <f t="shared" ca="1" si="10"/>
        <v>0</v>
      </c>
      <c r="BE14" s="121">
        <f t="shared" ca="1" si="10"/>
        <v>0</v>
      </c>
      <c r="BF14" s="121">
        <f t="shared" ca="1" si="10"/>
        <v>0</v>
      </c>
      <c r="BG14" s="121">
        <f t="shared" ca="1" si="10"/>
        <v>0</v>
      </c>
      <c r="BH14" s="121">
        <f t="shared" ca="1" si="10"/>
        <v>0</v>
      </c>
      <c r="BI14" s="121">
        <f t="shared" ca="1" si="10"/>
        <v>0</v>
      </c>
      <c r="BJ14" s="121">
        <f t="shared" ca="1" si="10"/>
        <v>0</v>
      </c>
      <c r="BK14" s="121">
        <f t="shared" ca="1" si="10"/>
        <v>0</v>
      </c>
      <c r="BL14" s="121">
        <f t="shared" ca="1" si="10"/>
        <v>0</v>
      </c>
      <c r="BM14" s="121">
        <f t="shared" ca="1" si="10"/>
        <v>0</v>
      </c>
      <c r="BN14" s="121">
        <f t="shared" ca="1" si="10"/>
        <v>0</v>
      </c>
      <c r="BO14" s="121">
        <f t="shared" ca="1" si="10"/>
        <v>0</v>
      </c>
      <c r="BP14" s="121">
        <f t="shared" ca="1" si="10"/>
        <v>0</v>
      </c>
      <c r="BQ14" s="121">
        <f t="shared" ca="1" si="10"/>
        <v>0</v>
      </c>
      <c r="BR14" s="121">
        <f t="shared" ca="1" si="10"/>
        <v>0</v>
      </c>
      <c r="BS14" s="121">
        <f t="shared" ca="1" si="10"/>
        <v>0</v>
      </c>
      <c r="BT14" s="121">
        <f t="shared" ca="1" si="10"/>
        <v>0</v>
      </c>
      <c r="BU14" s="121">
        <f t="shared" ca="1" si="10"/>
        <v>0</v>
      </c>
      <c r="BV14" s="121">
        <f t="shared" ca="1" si="10"/>
        <v>0</v>
      </c>
    </row>
    <row r="15" spans="1:74" ht="15" x14ac:dyDescent="0.25">
      <c r="A15" s="127"/>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row>
    <row r="16" spans="1:74" x14ac:dyDescent="0.25">
      <c r="A16" s="129" t="s">
        <v>96</v>
      </c>
      <c r="B16" s="96"/>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row>
    <row r="17" spans="1:74" ht="15" x14ac:dyDescent="0.25">
      <c r="A17" s="130" t="s">
        <v>88</v>
      </c>
      <c r="B17" s="102"/>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row>
    <row r="18" spans="1:74" ht="12.75" x14ac:dyDescent="0.2">
      <c r="A18" s="101" t="s">
        <v>97</v>
      </c>
      <c r="B18" s="112"/>
      <c r="C18" s="119">
        <f t="shared" ref="C18:AD18" si="11">SUMIFS(MRR_Export_Expansion_Count,MRR_Export_Months,"&gt;="&amp;C$1,MRR_Export_Months,"&lt;"&amp;D$1)</f>
        <v>3</v>
      </c>
      <c r="D18" s="119">
        <f t="shared" si="11"/>
        <v>4</v>
      </c>
      <c r="E18" s="119">
        <f t="shared" si="11"/>
        <v>3</v>
      </c>
      <c r="F18" s="119">
        <f t="shared" si="11"/>
        <v>5</v>
      </c>
      <c r="G18" s="119">
        <f t="shared" si="11"/>
        <v>7</v>
      </c>
      <c r="H18" s="119">
        <f t="shared" si="11"/>
        <v>5</v>
      </c>
      <c r="I18" s="119">
        <f t="shared" si="11"/>
        <v>5</v>
      </c>
      <c r="J18" s="119">
        <f t="shared" si="11"/>
        <v>5</v>
      </c>
      <c r="K18" s="119">
        <f t="shared" si="11"/>
        <v>5</v>
      </c>
      <c r="L18" s="119">
        <f t="shared" si="11"/>
        <v>5</v>
      </c>
      <c r="M18" s="119">
        <f t="shared" si="11"/>
        <v>5</v>
      </c>
      <c r="N18" s="119">
        <f t="shared" si="11"/>
        <v>5</v>
      </c>
      <c r="O18" s="119">
        <f t="shared" si="11"/>
        <v>5</v>
      </c>
      <c r="P18" s="119">
        <f t="shared" si="11"/>
        <v>5</v>
      </c>
      <c r="Q18" s="119">
        <f t="shared" si="11"/>
        <v>5</v>
      </c>
      <c r="R18" s="119">
        <f t="shared" si="11"/>
        <v>10</v>
      </c>
      <c r="S18" s="119">
        <f t="shared" si="11"/>
        <v>5</v>
      </c>
      <c r="T18" s="119">
        <f t="shared" si="11"/>
        <v>5</v>
      </c>
      <c r="U18" s="119">
        <f t="shared" si="11"/>
        <v>5</v>
      </c>
      <c r="V18" s="119">
        <f t="shared" si="11"/>
        <v>8</v>
      </c>
      <c r="W18" s="119">
        <f t="shared" si="11"/>
        <v>11</v>
      </c>
      <c r="X18" s="119">
        <f t="shared" si="11"/>
        <v>11</v>
      </c>
      <c r="Y18" s="119">
        <f t="shared" si="11"/>
        <v>11</v>
      </c>
      <c r="Z18" s="119">
        <f t="shared" si="11"/>
        <v>14</v>
      </c>
      <c r="AA18" s="119">
        <f t="shared" si="11"/>
        <v>14</v>
      </c>
      <c r="AB18" s="119">
        <f t="shared" si="11"/>
        <v>13</v>
      </c>
      <c r="AC18" s="119">
        <f t="shared" si="11"/>
        <v>12</v>
      </c>
      <c r="AD18" s="119">
        <f t="shared" si="11"/>
        <v>11</v>
      </c>
      <c r="AE18" s="120">
        <f t="shared" ref="AE18:BV18" si="12">AE19*AD$65</f>
        <v>12.257851239669423</v>
      </c>
      <c r="AF18" s="120">
        <f t="shared" ca="1" si="12"/>
        <v>13.711676000000001</v>
      </c>
      <c r="AG18" s="120">
        <f t="shared" ca="1" si="12"/>
        <v>13.902000859999999</v>
      </c>
      <c r="AH18" s="120">
        <f t="shared" ca="1" si="12"/>
        <v>16.098953239250001</v>
      </c>
      <c r="AI18" s="120">
        <f t="shared" ca="1" si="12"/>
        <v>17.681613933907709</v>
      </c>
      <c r="AJ18" s="120">
        <f t="shared" ca="1" si="12"/>
        <v>18.008479408502541</v>
      </c>
      <c r="AK18" s="120">
        <f t="shared" ca="1" si="12"/>
        <v>18.359403093826018</v>
      </c>
      <c r="AL18" s="120">
        <f t="shared" ca="1" si="12"/>
        <v>18.707168465981585</v>
      </c>
      <c r="AM18" s="120">
        <f t="shared" ca="1" si="12"/>
        <v>19.078803949787751</v>
      </c>
      <c r="AN18" s="120">
        <f t="shared" ca="1" si="12"/>
        <v>19.447094714239661</v>
      </c>
      <c r="AO18" s="120">
        <f t="shared" ca="1" si="12"/>
        <v>19.839070861811507</v>
      </c>
      <c r="AP18" s="120">
        <f t="shared" ca="1" si="12"/>
        <v>20.227519224055204</v>
      </c>
      <c r="AQ18" s="120">
        <f t="shared" ca="1" si="12"/>
        <v>20.639471551038707</v>
      </c>
      <c r="AR18" s="120">
        <f t="shared" ca="1" si="12"/>
        <v>21.074716307079356</v>
      </c>
      <c r="AS18" s="120">
        <f t="shared" ca="1" si="12"/>
        <v>21.506043860315643</v>
      </c>
      <c r="AT18" s="120">
        <f t="shared" ca="1" si="12"/>
        <v>21.960489465572802</v>
      </c>
      <c r="AU18" s="120">
        <f t="shared" ca="1" si="12"/>
        <v>22.410845060382648</v>
      </c>
      <c r="AV18" s="120">
        <f t="shared" ca="1" si="12"/>
        <v>22.884147454839205</v>
      </c>
      <c r="AW18" s="120">
        <f t="shared" ca="1" si="12"/>
        <v>23.380190127745653</v>
      </c>
      <c r="AX18" s="120">
        <f t="shared" ca="1" si="12"/>
        <v>23.871768416595941</v>
      </c>
      <c r="AY18" s="121">
        <f t="shared" ca="1" si="12"/>
        <v>24.385922500846579</v>
      </c>
      <c r="AZ18" s="121">
        <f t="shared" ca="1" si="12"/>
        <v>24.868449198338958</v>
      </c>
      <c r="BA18" s="121">
        <f t="shared" ca="1" si="12"/>
        <v>25.373633155553907</v>
      </c>
      <c r="BB18" s="121">
        <f t="shared" ca="1" si="12"/>
        <v>25.874270457153923</v>
      </c>
      <c r="BC18" s="121">
        <f t="shared" ca="1" si="12"/>
        <v>26.370402023039539</v>
      </c>
      <c r="BD18" s="121">
        <f t="shared" ca="1" si="12"/>
        <v>26.862068404832183</v>
      </c>
      <c r="BE18" s="121">
        <f t="shared" ca="1" si="12"/>
        <v>27.376309789188692</v>
      </c>
      <c r="BF18" s="121">
        <f t="shared" ca="1" si="12"/>
        <v>27.885923001085992</v>
      </c>
      <c r="BG18" s="121">
        <f t="shared" ca="1" si="12"/>
        <v>28.417949694076217</v>
      </c>
      <c r="BH18" s="121">
        <f t="shared" ca="1" si="12"/>
        <v>28.945188146829533</v>
      </c>
      <c r="BI18" s="121">
        <f t="shared" ca="1" si="12"/>
        <v>29.467681453508067</v>
      </c>
      <c r="BJ18" s="121">
        <f t="shared" ca="1" si="12"/>
        <v>30.012472320426497</v>
      </c>
      <c r="BK18" s="121">
        <f t="shared" ca="1" si="12"/>
        <v>30.552360069542658</v>
      </c>
      <c r="BL18" s="121">
        <f t="shared" ca="1" si="12"/>
        <v>31.087388828916776</v>
      </c>
      <c r="BM18" s="121">
        <f t="shared" ca="1" si="12"/>
        <v>31.644602329456522</v>
      </c>
      <c r="BN18" s="121">
        <f t="shared" ca="1" si="12"/>
        <v>32.196800908491412</v>
      </c>
      <c r="BO18" s="121">
        <f t="shared" ca="1" si="12"/>
        <v>32.771029700314983</v>
      </c>
      <c r="BP18" s="121">
        <f t="shared" ca="1" si="12"/>
        <v>33.340090433012151</v>
      </c>
      <c r="BQ18" s="121">
        <f t="shared" ca="1" si="12"/>
        <v>33.904029619115043</v>
      </c>
      <c r="BR18" s="121">
        <f t="shared" ca="1" si="12"/>
        <v>34.489893352543007</v>
      </c>
      <c r="BS18" s="121">
        <f t="shared" ca="1" si="12"/>
        <v>35.07048431237012</v>
      </c>
      <c r="BT18" s="121">
        <f t="shared" ca="1" si="12"/>
        <v>35.672849953558782</v>
      </c>
      <c r="BU18" s="121">
        <f t="shared" ca="1" si="12"/>
        <v>36.269794303976752</v>
      </c>
      <c r="BV18" s="121">
        <f t="shared" ca="1" si="12"/>
        <v>36.888366155240966</v>
      </c>
    </row>
    <row r="19" spans="1:74" ht="12.75" x14ac:dyDescent="0.2">
      <c r="A19" s="132" t="s">
        <v>99</v>
      </c>
      <c r="B19" s="117"/>
      <c r="C19" s="133" t="str">
        <f t="shared" ref="C19:AD19" si="13">IFERROR(C18/B$65," ")</f>
        <v xml:space="preserve"> </v>
      </c>
      <c r="D19" s="133">
        <f t="shared" si="13"/>
        <v>1.6877637130801686E-2</v>
      </c>
      <c r="E19" s="133">
        <f t="shared" si="13"/>
        <v>1.3761467889908258E-2</v>
      </c>
      <c r="F19" s="133">
        <f t="shared" si="13"/>
        <v>2.1929824561403508E-2</v>
      </c>
      <c r="G19" s="133">
        <f t="shared" si="13"/>
        <v>2.9411764705882353E-2</v>
      </c>
      <c r="H19" s="133">
        <f t="shared" si="13"/>
        <v>1.9920318725099601E-2</v>
      </c>
      <c r="I19" s="133">
        <f t="shared" si="13"/>
        <v>1.9305019305019305E-2</v>
      </c>
      <c r="J19" s="133">
        <f t="shared" si="13"/>
        <v>1.8115942028985508E-2</v>
      </c>
      <c r="K19" s="133">
        <f t="shared" si="13"/>
        <v>1.7543859649122806E-2</v>
      </c>
      <c r="L19" s="133">
        <f t="shared" si="13"/>
        <v>1.7006802721088437E-2</v>
      </c>
      <c r="M19" s="133">
        <f t="shared" si="13"/>
        <v>1.65016501650165E-2</v>
      </c>
      <c r="N19" s="133">
        <f t="shared" si="13"/>
        <v>1.6025641025641024E-2</v>
      </c>
      <c r="O19" s="133">
        <f t="shared" si="13"/>
        <v>1.5479876160990712E-2</v>
      </c>
      <c r="P19" s="133">
        <f t="shared" si="13"/>
        <v>1.5015015015015015E-2</v>
      </c>
      <c r="Q19" s="133">
        <f t="shared" si="13"/>
        <v>1.4164305949008499E-2</v>
      </c>
      <c r="R19" s="133">
        <f t="shared" si="13"/>
        <v>2.7472527472527472E-2</v>
      </c>
      <c r="S19" s="133">
        <f t="shared" si="13"/>
        <v>1.2562814070351759E-2</v>
      </c>
      <c r="T19" s="133">
        <f t="shared" si="13"/>
        <v>1.2135922330097087E-2</v>
      </c>
      <c r="U19" s="133">
        <f t="shared" si="13"/>
        <v>1.1520737327188941E-2</v>
      </c>
      <c r="V19" s="133">
        <f t="shared" si="13"/>
        <v>1.7505470459518599E-2</v>
      </c>
      <c r="W19" s="133">
        <f t="shared" si="13"/>
        <v>2.2964509394572025E-2</v>
      </c>
      <c r="X19" s="133">
        <f t="shared" si="13"/>
        <v>2.2177419354838711E-2</v>
      </c>
      <c r="Y19" s="133">
        <f t="shared" si="13"/>
        <v>2.1653543307086614E-2</v>
      </c>
      <c r="Z19" s="133">
        <f t="shared" si="13"/>
        <v>2.6717557251908396E-2</v>
      </c>
      <c r="AA19" s="133">
        <f t="shared" si="13"/>
        <v>2.5688073394495414E-2</v>
      </c>
      <c r="AB19" s="133">
        <f t="shared" si="13"/>
        <v>2.276707530647986E-2</v>
      </c>
      <c r="AC19" s="133">
        <f t="shared" si="13"/>
        <v>1.9834710743801654E-2</v>
      </c>
      <c r="AD19" s="133">
        <f t="shared" si="13"/>
        <v>1.7857142857142856E-2</v>
      </c>
      <c r="AE19" s="134">
        <f>IFERROR(MEDIAN(AB19:AD19),0)</f>
        <v>1.9834710743801654E-2</v>
      </c>
      <c r="AF19" s="134">
        <v>2.1999999999999999E-2</v>
      </c>
      <c r="AG19" s="134">
        <v>2.1999999999999999E-2</v>
      </c>
      <c r="AH19" s="134">
        <v>2.5000000000000001E-2</v>
      </c>
      <c r="AI19" s="134">
        <v>2.7E-2</v>
      </c>
      <c r="AJ19" s="134">
        <v>2.7E-2</v>
      </c>
      <c r="AK19" s="135">
        <f t="shared" ref="AK19:BV19" si="14">IFERROR(MEDIAN(AH19:AJ19),0)</f>
        <v>2.7E-2</v>
      </c>
      <c r="AL19" s="135">
        <f t="shared" si="14"/>
        <v>2.7E-2</v>
      </c>
      <c r="AM19" s="135">
        <f t="shared" si="14"/>
        <v>2.7E-2</v>
      </c>
      <c r="AN19" s="135">
        <f t="shared" si="14"/>
        <v>2.7E-2</v>
      </c>
      <c r="AO19" s="135">
        <f t="shared" si="14"/>
        <v>2.7E-2</v>
      </c>
      <c r="AP19" s="135">
        <f t="shared" si="14"/>
        <v>2.7E-2</v>
      </c>
      <c r="AQ19" s="135">
        <f t="shared" si="14"/>
        <v>2.7E-2</v>
      </c>
      <c r="AR19" s="135">
        <f t="shared" si="14"/>
        <v>2.7E-2</v>
      </c>
      <c r="AS19" s="135">
        <f t="shared" si="14"/>
        <v>2.7E-2</v>
      </c>
      <c r="AT19" s="135">
        <f t="shared" si="14"/>
        <v>2.7E-2</v>
      </c>
      <c r="AU19" s="135">
        <f t="shared" si="14"/>
        <v>2.7E-2</v>
      </c>
      <c r="AV19" s="135">
        <f t="shared" si="14"/>
        <v>2.7E-2</v>
      </c>
      <c r="AW19" s="135">
        <f t="shared" si="14"/>
        <v>2.7E-2</v>
      </c>
      <c r="AX19" s="135">
        <f t="shared" si="14"/>
        <v>2.7E-2</v>
      </c>
      <c r="AY19" s="136">
        <f t="shared" si="14"/>
        <v>2.7E-2</v>
      </c>
      <c r="AZ19" s="136">
        <f t="shared" si="14"/>
        <v>2.7E-2</v>
      </c>
      <c r="BA19" s="136">
        <f t="shared" si="14"/>
        <v>2.7E-2</v>
      </c>
      <c r="BB19" s="136">
        <f t="shared" si="14"/>
        <v>2.7E-2</v>
      </c>
      <c r="BC19" s="136">
        <f t="shared" si="14"/>
        <v>2.7E-2</v>
      </c>
      <c r="BD19" s="136">
        <f t="shared" si="14"/>
        <v>2.7E-2</v>
      </c>
      <c r="BE19" s="136">
        <f t="shared" si="14"/>
        <v>2.7E-2</v>
      </c>
      <c r="BF19" s="136">
        <f t="shared" si="14"/>
        <v>2.7E-2</v>
      </c>
      <c r="BG19" s="136">
        <f t="shared" si="14"/>
        <v>2.7E-2</v>
      </c>
      <c r="BH19" s="136">
        <f t="shared" si="14"/>
        <v>2.7E-2</v>
      </c>
      <c r="BI19" s="136">
        <f t="shared" si="14"/>
        <v>2.7E-2</v>
      </c>
      <c r="BJ19" s="136">
        <f t="shared" si="14"/>
        <v>2.7E-2</v>
      </c>
      <c r="BK19" s="136">
        <f t="shared" si="14"/>
        <v>2.7E-2</v>
      </c>
      <c r="BL19" s="136">
        <f t="shared" si="14"/>
        <v>2.7E-2</v>
      </c>
      <c r="BM19" s="136">
        <f t="shared" si="14"/>
        <v>2.7E-2</v>
      </c>
      <c r="BN19" s="136">
        <f t="shared" si="14"/>
        <v>2.7E-2</v>
      </c>
      <c r="BO19" s="136">
        <f t="shared" si="14"/>
        <v>2.7E-2</v>
      </c>
      <c r="BP19" s="136">
        <f t="shared" si="14"/>
        <v>2.7E-2</v>
      </c>
      <c r="BQ19" s="136">
        <f t="shared" si="14"/>
        <v>2.7E-2</v>
      </c>
      <c r="BR19" s="136">
        <f t="shared" si="14"/>
        <v>2.7E-2</v>
      </c>
      <c r="BS19" s="136">
        <f t="shared" si="14"/>
        <v>2.7E-2</v>
      </c>
      <c r="BT19" s="136">
        <f t="shared" si="14"/>
        <v>2.7E-2</v>
      </c>
      <c r="BU19" s="136">
        <f t="shared" si="14"/>
        <v>2.7E-2</v>
      </c>
      <c r="BV19" s="136">
        <f t="shared" si="14"/>
        <v>2.7E-2</v>
      </c>
    </row>
    <row r="20" spans="1:74" ht="12.75" x14ac:dyDescent="0.2">
      <c r="A20" s="132" t="s">
        <v>91</v>
      </c>
      <c r="B20" s="117"/>
      <c r="C20" s="115">
        <f t="shared" ref="C20:AD20" si="15">IFERROR(C21/C18," ")</f>
        <v>2128.6666666666665</v>
      </c>
      <c r="D20" s="115">
        <f t="shared" si="15"/>
        <v>2442.75</v>
      </c>
      <c r="E20" s="115">
        <f t="shared" si="15"/>
        <v>3609.6666666666665</v>
      </c>
      <c r="F20" s="115">
        <f t="shared" si="15"/>
        <v>2859.2</v>
      </c>
      <c r="G20" s="115">
        <f t="shared" si="15"/>
        <v>1525</v>
      </c>
      <c r="H20" s="115">
        <f t="shared" si="15"/>
        <v>1586</v>
      </c>
      <c r="I20" s="115">
        <f t="shared" si="15"/>
        <v>1935.4</v>
      </c>
      <c r="J20" s="115">
        <f t="shared" si="15"/>
        <v>1663.6</v>
      </c>
      <c r="K20" s="115">
        <f t="shared" si="15"/>
        <v>1728.4</v>
      </c>
      <c r="L20" s="115">
        <f t="shared" si="15"/>
        <v>1775.8</v>
      </c>
      <c r="M20" s="115">
        <f t="shared" si="15"/>
        <v>1722.6</v>
      </c>
      <c r="N20" s="115">
        <f t="shared" si="15"/>
        <v>1742.2</v>
      </c>
      <c r="O20" s="115">
        <f t="shared" si="15"/>
        <v>1746.8</v>
      </c>
      <c r="P20" s="115">
        <f t="shared" si="15"/>
        <v>1737.2</v>
      </c>
      <c r="Q20" s="115">
        <f t="shared" si="15"/>
        <v>1742.2</v>
      </c>
      <c r="R20" s="115">
        <f t="shared" si="15"/>
        <v>1742.1</v>
      </c>
      <c r="S20" s="115">
        <f t="shared" si="15"/>
        <v>1740.8</v>
      </c>
      <c r="T20" s="115">
        <f t="shared" si="15"/>
        <v>1741.8</v>
      </c>
      <c r="U20" s="115">
        <f t="shared" si="15"/>
        <v>1741.7</v>
      </c>
      <c r="V20" s="115">
        <f t="shared" si="15"/>
        <v>1741.4333333333334</v>
      </c>
      <c r="W20" s="115">
        <f t="shared" si="15"/>
        <v>1741.6092592592593</v>
      </c>
      <c r="X20" s="115">
        <f t="shared" si="15"/>
        <v>1838.245622895623</v>
      </c>
      <c r="Y20" s="115">
        <f t="shared" si="15"/>
        <v>1819.336531986532</v>
      </c>
      <c r="Z20" s="115">
        <f t="shared" si="15"/>
        <v>1438.4072751322751</v>
      </c>
      <c r="AA20" s="115">
        <f t="shared" si="15"/>
        <v>1656.4072751322751</v>
      </c>
      <c r="AB20" s="115">
        <f t="shared" si="15"/>
        <v>1952.0539886039887</v>
      </c>
      <c r="AC20" s="115">
        <f t="shared" si="15"/>
        <v>1689.6666666666667</v>
      </c>
      <c r="AD20" s="115">
        <f t="shared" si="15"/>
        <v>970.4545454545455</v>
      </c>
      <c r="AE20" s="115">
        <f t="shared" ref="AE20:BV20" si="16">IFERROR(SUM(AB21:AD21)/SUM(AB18:AD18),0)</f>
        <v>1564.6583847736626</v>
      </c>
      <c r="AF20" s="115">
        <f t="shared" si="16"/>
        <v>1421.8208982926953</v>
      </c>
      <c r="AG20" s="115">
        <f t="shared" ca="1" si="16"/>
        <v>1334.8803972781525</v>
      </c>
      <c r="AH20" s="115">
        <f t="shared" ca="1" si="16"/>
        <v>1435.4204207264361</v>
      </c>
      <c r="AI20" s="115">
        <f t="shared" ca="1" si="16"/>
        <v>1399.179642392766</v>
      </c>
      <c r="AJ20" s="115">
        <f t="shared" ca="1" si="16"/>
        <v>1392.6688864092157</v>
      </c>
      <c r="AK20" s="115">
        <f t="shared" ca="1" si="16"/>
        <v>1408.1813485730324</v>
      </c>
      <c r="AL20" s="115">
        <f t="shared" ca="1" si="16"/>
        <v>1400.0680343371532</v>
      </c>
      <c r="AM20" s="115">
        <f t="shared" ca="1" si="16"/>
        <v>1400.3532488418425</v>
      </c>
      <c r="AN20" s="115">
        <f t="shared" ca="1" si="16"/>
        <v>1402.8179875915507</v>
      </c>
      <c r="AO20" s="115">
        <f t="shared" ca="1" si="16"/>
        <v>1401.0975118048339</v>
      </c>
      <c r="AP20" s="115">
        <f t="shared" ca="1" si="16"/>
        <v>1401.4274804243037</v>
      </c>
      <c r="AQ20" s="115">
        <f t="shared" ca="1" si="16"/>
        <v>1401.7718559041161</v>
      </c>
      <c r="AR20" s="115">
        <f t="shared" ca="1" si="16"/>
        <v>1401.4367292057184</v>
      </c>
      <c r="AS20" s="115">
        <f t="shared" ca="1" si="16"/>
        <v>1401.5453758409294</v>
      </c>
      <c r="AT20" s="115">
        <f t="shared" ca="1" si="16"/>
        <v>1401.5830968637954</v>
      </c>
      <c r="AU20" s="115">
        <f t="shared" ca="1" si="16"/>
        <v>1401.5227341211328</v>
      </c>
      <c r="AV20" s="115">
        <f t="shared" ca="1" si="16"/>
        <v>1401.5502478024264</v>
      </c>
      <c r="AW20" s="115">
        <f t="shared" ca="1" si="16"/>
        <v>1401.5518056920519</v>
      </c>
      <c r="AX20" s="115">
        <f t="shared" ca="1" si="16"/>
        <v>1401.5417996109468</v>
      </c>
      <c r="AY20" s="116">
        <f t="shared" ca="1" si="16"/>
        <v>1401.5478916762549</v>
      </c>
      <c r="AZ20" s="116">
        <f t="shared" ca="1" si="16"/>
        <v>1401.5471390306166</v>
      </c>
      <c r="BA20" s="116">
        <f t="shared" ca="1" si="16"/>
        <v>1401.5456469864387</v>
      </c>
      <c r="BB20" s="116">
        <f t="shared" ca="1" si="16"/>
        <v>1401.5468776726525</v>
      </c>
      <c r="BC20" s="116">
        <f t="shared" ca="1" si="16"/>
        <v>1401.5465528093036</v>
      </c>
      <c r="BD20" s="116">
        <f t="shared" ca="1" si="16"/>
        <v>1401.5463649874387</v>
      </c>
      <c r="BE20" s="116">
        <f t="shared" ca="1" si="16"/>
        <v>1401.5465952875845</v>
      </c>
      <c r="BF20" s="116">
        <f t="shared" ca="1" si="16"/>
        <v>1401.5465046459994</v>
      </c>
      <c r="BG20" s="116">
        <f t="shared" ca="1" si="16"/>
        <v>1401.546489180593</v>
      </c>
      <c r="BH20" s="116">
        <f t="shared" ca="1" si="16"/>
        <v>1401.5465290476786</v>
      </c>
      <c r="BI20" s="116">
        <f t="shared" ca="1" si="16"/>
        <v>1401.5465077758408</v>
      </c>
      <c r="BJ20" s="116">
        <f t="shared" ca="1" si="16"/>
        <v>1401.5465087809971</v>
      </c>
      <c r="BK20" s="116">
        <f t="shared" ca="1" si="16"/>
        <v>1401.5465150801335</v>
      </c>
      <c r="BL20" s="116">
        <f t="shared" ca="1" si="16"/>
        <v>1401.5465105896087</v>
      </c>
      <c r="BM20" s="116">
        <f t="shared" ca="1" si="16"/>
        <v>1401.546511494281</v>
      </c>
      <c r="BN20" s="116">
        <f t="shared" ca="1" si="16"/>
        <v>1401.5465123672288</v>
      </c>
      <c r="BO20" s="116">
        <f t="shared" ca="1" si="16"/>
        <v>1401.5465114940939</v>
      </c>
      <c r="BP20" s="116">
        <f t="shared" ca="1" si="16"/>
        <v>1401.546511785134</v>
      </c>
      <c r="BQ20" s="116">
        <f t="shared" ca="1" si="16"/>
        <v>1401.5465118787572</v>
      </c>
      <c r="BR20" s="116">
        <f t="shared" ca="1" si="16"/>
        <v>1401.5465117215092</v>
      </c>
      <c r="BS20" s="116">
        <f t="shared" ca="1" si="16"/>
        <v>1401.5465117947649</v>
      </c>
      <c r="BT20" s="116">
        <f t="shared" ca="1" si="16"/>
        <v>1401.5465117978683</v>
      </c>
      <c r="BU20" s="116">
        <f t="shared" ca="1" si="16"/>
        <v>1401.5465117718077</v>
      </c>
      <c r="BV20" s="116">
        <f t="shared" ca="1" si="16"/>
        <v>1401.5465117880187</v>
      </c>
    </row>
    <row r="21" spans="1:74" ht="12.75" x14ac:dyDescent="0.2">
      <c r="A21" s="137" t="s">
        <v>102</v>
      </c>
      <c r="B21" s="118"/>
      <c r="C21" s="119">
        <f t="shared" ref="C21:AD21" si="17">SUMIFS(MRR_Export_Expansion_MRR,MRR_Export_Months,"&gt;="&amp;C$1,MRR_Export_Months,"&lt;"&amp;D$1)</f>
        <v>6386</v>
      </c>
      <c r="D21" s="119">
        <f t="shared" si="17"/>
        <v>9771</v>
      </c>
      <c r="E21" s="119">
        <f t="shared" si="17"/>
        <v>10829</v>
      </c>
      <c r="F21" s="119">
        <f t="shared" si="17"/>
        <v>14296</v>
      </c>
      <c r="G21" s="119">
        <f t="shared" si="17"/>
        <v>10675</v>
      </c>
      <c r="H21" s="119">
        <f t="shared" si="17"/>
        <v>7930</v>
      </c>
      <c r="I21" s="119">
        <f t="shared" si="17"/>
        <v>9677</v>
      </c>
      <c r="J21" s="119">
        <f t="shared" si="17"/>
        <v>8318</v>
      </c>
      <c r="K21" s="119">
        <f t="shared" si="17"/>
        <v>8642</v>
      </c>
      <c r="L21" s="119">
        <f t="shared" si="17"/>
        <v>8879</v>
      </c>
      <c r="M21" s="119">
        <f t="shared" si="17"/>
        <v>8613</v>
      </c>
      <c r="N21" s="119">
        <f t="shared" si="17"/>
        <v>8711</v>
      </c>
      <c r="O21" s="119">
        <f t="shared" si="17"/>
        <v>8734</v>
      </c>
      <c r="P21" s="119">
        <f t="shared" si="17"/>
        <v>8686</v>
      </c>
      <c r="Q21" s="119">
        <f t="shared" si="17"/>
        <v>8711</v>
      </c>
      <c r="R21" s="119">
        <f t="shared" si="17"/>
        <v>17421</v>
      </c>
      <c r="S21" s="119">
        <f t="shared" si="17"/>
        <v>8704</v>
      </c>
      <c r="T21" s="119">
        <f t="shared" si="17"/>
        <v>8709</v>
      </c>
      <c r="U21" s="119">
        <f t="shared" si="17"/>
        <v>8708.5</v>
      </c>
      <c r="V21" s="119">
        <f t="shared" si="17"/>
        <v>13931.466666666667</v>
      </c>
      <c r="W21" s="119">
        <f t="shared" si="17"/>
        <v>19157.701851851853</v>
      </c>
      <c r="X21" s="119">
        <f t="shared" si="17"/>
        <v>20220.701851851853</v>
      </c>
      <c r="Y21" s="119">
        <f t="shared" si="17"/>
        <v>20012.701851851853</v>
      </c>
      <c r="Z21" s="119">
        <f t="shared" si="17"/>
        <v>20137.701851851853</v>
      </c>
      <c r="AA21" s="119">
        <f t="shared" si="17"/>
        <v>23189.701851851853</v>
      </c>
      <c r="AB21" s="119">
        <f t="shared" si="17"/>
        <v>25376.701851851853</v>
      </c>
      <c r="AC21" s="119">
        <f t="shared" si="17"/>
        <v>20276</v>
      </c>
      <c r="AD21" s="119">
        <f t="shared" si="17"/>
        <v>10675</v>
      </c>
      <c r="AE21" s="120">
        <f t="shared" ref="AE21:BV21" si="18">AE18*AE20</f>
        <v>19179.349721456998</v>
      </c>
      <c r="AF21" s="120">
        <f t="shared" ca="1" si="18"/>
        <v>19495.547487418393</v>
      </c>
      <c r="AG21" s="120">
        <f t="shared" ca="1" si="18"/>
        <v>18557.508430958016</v>
      </c>
      <c r="AH21" s="120">
        <f t="shared" ca="1" si="18"/>
        <v>23108.766231939459</v>
      </c>
      <c r="AI21" s="120">
        <f t="shared" ca="1" si="18"/>
        <v>24739.754260971938</v>
      </c>
      <c r="AJ21" s="120">
        <f t="shared" ca="1" si="18"/>
        <v>25079.848963762524</v>
      </c>
      <c r="AK21" s="120">
        <f t="shared" ca="1" si="18"/>
        <v>25853.369007659825</v>
      </c>
      <c r="AL21" s="120">
        <f t="shared" ca="1" si="18"/>
        <v>26191.308582180816</v>
      </c>
      <c r="AM21" s="120">
        <f t="shared" ca="1" si="18"/>
        <v>26717.065095101854</v>
      </c>
      <c r="AN21" s="120">
        <f t="shared" ca="1" si="18"/>
        <v>27280.734271531965</v>
      </c>
      <c r="AO21" s="120">
        <f t="shared" ca="1" si="18"/>
        <v>27796.472821003885</v>
      </c>
      <c r="AP21" s="120">
        <f t="shared" ca="1" si="18"/>
        <v>28347.401301401849</v>
      </c>
      <c r="AQ21" s="120">
        <f t="shared" ca="1" si="18"/>
        <v>28931.830340979734</v>
      </c>
      <c r="AR21" s="120">
        <f t="shared" ca="1" si="18"/>
        <v>29534.881490331711</v>
      </c>
      <c r="AS21" s="120">
        <f t="shared" ca="1" si="18"/>
        <v>30141.696325057601</v>
      </c>
      <c r="AT21" s="120">
        <f t="shared" ca="1" si="18"/>
        <v>30779.450833802282</v>
      </c>
      <c r="AU21" s="120">
        <f t="shared" ca="1" si="18"/>
        <v>31409.308842992574</v>
      </c>
      <c r="AV21" s="120">
        <f t="shared" ca="1" si="18"/>
        <v>32073.282536077153</v>
      </c>
      <c r="AW21" s="120">
        <f t="shared" ca="1" si="18"/>
        <v>32768.547690965403</v>
      </c>
      <c r="AX21" s="120">
        <f t="shared" ca="1" si="18"/>
        <v>33457.281266491635</v>
      </c>
      <c r="AY21" s="121">
        <f t="shared" ca="1" si="18"/>
        <v>34178.03826764207</v>
      </c>
      <c r="AZ21" s="121">
        <f t="shared" ca="1" si="18"/>
        <v>34854.303826060197</v>
      </c>
      <c r="BA21" s="121">
        <f t="shared" ca="1" si="18"/>
        <v>35562.305097397351</v>
      </c>
      <c r="BB21" s="121">
        <f t="shared" ca="1" si="18"/>
        <v>36264.002971281836</v>
      </c>
      <c r="BC21" s="121">
        <f t="shared" ca="1" si="18"/>
        <v>36959.346051586552</v>
      </c>
      <c r="BD21" s="121">
        <f t="shared" ca="1" si="18"/>
        <v>37648.434328836469</v>
      </c>
      <c r="BE21" s="121">
        <f t="shared" ca="1" si="18"/>
        <v>38369.173776575582</v>
      </c>
      <c r="BF21" s="121">
        <f t="shared" ca="1" si="18"/>
        <v>39083.417910999553</v>
      </c>
      <c r="BG21" s="121">
        <f t="shared" ca="1" si="18"/>
        <v>39829.077623443227</v>
      </c>
      <c r="BH21" s="121">
        <f t="shared" ca="1" si="18"/>
        <v>40568.027979820945</v>
      </c>
      <c r="BI21" s="121">
        <f t="shared" ca="1" si="18"/>
        <v>41300.326033415142</v>
      </c>
      <c r="BJ21" s="121">
        <f t="shared" ca="1" si="18"/>
        <v>42063.87580058007</v>
      </c>
      <c r="BK21" s="121">
        <f t="shared" ca="1" si="18"/>
        <v>42820.553782940937</v>
      </c>
      <c r="BL21" s="121">
        <f t="shared" ca="1" si="18"/>
        <v>43570.421336510692</v>
      </c>
      <c r="BM21" s="121">
        <f t="shared" ca="1" si="18"/>
        <v>44351.382002473591</v>
      </c>
      <c r="BN21" s="121">
        <f t="shared" ca="1" si="18"/>
        <v>45125.314022678162</v>
      </c>
      <c r="BO21" s="121">
        <f t="shared" ca="1" si="18"/>
        <v>45930.122354545805</v>
      </c>
      <c r="BP21" s="121">
        <f t="shared" ca="1" si="18"/>
        <v>46727.687448989098</v>
      </c>
      <c r="BQ21" s="121">
        <f t="shared" ca="1" si="18"/>
        <v>47518.074451304761</v>
      </c>
      <c r="BR21" s="121">
        <f t="shared" ca="1" si="18"/>
        <v>48339.189717903522</v>
      </c>
      <c r="BS21" s="121">
        <f t="shared" ca="1" si="18"/>
        <v>49152.914954955362</v>
      </c>
      <c r="BT21" s="121">
        <f t="shared" ca="1" si="18"/>
        <v>49997.158418299063</v>
      </c>
      <c r="BU21" s="121">
        <f t="shared" ca="1" si="18"/>
        <v>50833.803689419598</v>
      </c>
      <c r="BV21" s="121">
        <f t="shared" ca="1" si="18"/>
        <v>51700.760910437188</v>
      </c>
    </row>
    <row r="22" spans="1:74" ht="12.75" hidden="1" x14ac:dyDescent="0.2">
      <c r="A22" s="10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row>
    <row r="23" spans="1:74" ht="15" hidden="1" x14ac:dyDescent="0.25">
      <c r="A23" s="130" t="s">
        <v>103</v>
      </c>
      <c r="B23" s="102"/>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row>
    <row r="24" spans="1:74" ht="12.75" hidden="1" x14ac:dyDescent="0.2">
      <c r="A24" s="101" t="s">
        <v>97</v>
      </c>
      <c r="B24" s="11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39">
        <v>0</v>
      </c>
      <c r="AF24" s="139">
        <v>0</v>
      </c>
      <c r="AG24" s="139">
        <v>0</v>
      </c>
      <c r="AH24" s="139">
        <v>0</v>
      </c>
      <c r="AI24" s="139">
        <v>0</v>
      </c>
      <c r="AJ24" s="139">
        <v>0</v>
      </c>
      <c r="AK24" s="139">
        <v>0</v>
      </c>
      <c r="AL24" s="139">
        <v>0</v>
      </c>
      <c r="AM24" s="139">
        <v>0</v>
      </c>
      <c r="AN24" s="139">
        <v>0</v>
      </c>
      <c r="AO24" s="139">
        <v>0</v>
      </c>
      <c r="AP24" s="139">
        <v>0</v>
      </c>
      <c r="AQ24" s="139">
        <v>0</v>
      </c>
      <c r="AR24" s="139">
        <v>0</v>
      </c>
      <c r="AS24" s="139">
        <v>0</v>
      </c>
      <c r="AT24" s="139">
        <v>0</v>
      </c>
      <c r="AU24" s="139">
        <v>0</v>
      </c>
      <c r="AV24" s="139">
        <v>0</v>
      </c>
      <c r="AW24" s="139">
        <v>0</v>
      </c>
      <c r="AX24" s="139">
        <v>0</v>
      </c>
      <c r="AY24" s="140">
        <v>0</v>
      </c>
      <c r="AZ24" s="140">
        <v>0</v>
      </c>
      <c r="BA24" s="140">
        <v>0</v>
      </c>
      <c r="BB24" s="140">
        <v>0</v>
      </c>
      <c r="BC24" s="140">
        <v>0</v>
      </c>
      <c r="BD24" s="140">
        <v>0</v>
      </c>
      <c r="BE24" s="140">
        <v>0</v>
      </c>
      <c r="BF24" s="140">
        <v>0</v>
      </c>
      <c r="BG24" s="140">
        <v>0</v>
      </c>
      <c r="BH24" s="140">
        <v>0</v>
      </c>
      <c r="BI24" s="140">
        <v>0</v>
      </c>
      <c r="BJ24" s="140">
        <v>0</v>
      </c>
      <c r="BK24" s="140">
        <v>0</v>
      </c>
      <c r="BL24" s="140">
        <v>0</v>
      </c>
      <c r="BM24" s="140">
        <v>0</v>
      </c>
      <c r="BN24" s="140">
        <v>0</v>
      </c>
      <c r="BO24" s="140">
        <v>0</v>
      </c>
      <c r="BP24" s="140">
        <v>0</v>
      </c>
      <c r="BQ24" s="140">
        <v>0</v>
      </c>
      <c r="BR24" s="140">
        <v>0</v>
      </c>
      <c r="BS24" s="140">
        <v>0</v>
      </c>
      <c r="BT24" s="140">
        <v>0</v>
      </c>
      <c r="BU24" s="140">
        <v>0</v>
      </c>
      <c r="BV24" s="140">
        <v>0</v>
      </c>
    </row>
    <row r="25" spans="1:74" ht="12.75" hidden="1" x14ac:dyDescent="0.2">
      <c r="A25" s="132" t="s">
        <v>99</v>
      </c>
      <c r="B25" s="117"/>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15"/>
      <c r="AF25" s="115"/>
      <c r="AG25" s="115"/>
      <c r="AH25" s="115"/>
      <c r="AI25" s="115"/>
      <c r="AJ25" s="115"/>
      <c r="AK25" s="115"/>
      <c r="AL25" s="115"/>
      <c r="AM25" s="115"/>
      <c r="AN25" s="115"/>
      <c r="AO25" s="115"/>
      <c r="AP25" s="115"/>
      <c r="AQ25" s="115"/>
      <c r="AR25" s="115"/>
      <c r="AS25" s="115"/>
      <c r="AT25" s="115"/>
      <c r="AU25" s="115"/>
      <c r="AV25" s="115"/>
      <c r="AW25" s="115"/>
      <c r="AX25" s="115"/>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row>
    <row r="26" spans="1:74" ht="12.75" hidden="1" x14ac:dyDescent="0.2">
      <c r="A26" s="132" t="s">
        <v>91</v>
      </c>
      <c r="B26" s="117"/>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15">
        <f t="shared" ref="AE26:BV26" si="19">IFERROR(IF(AE24&gt;0,SUM(AB27:AD27)/SUM(AB24:AD24),0),0)</f>
        <v>0</v>
      </c>
      <c r="AF26" s="115">
        <f t="shared" si="19"/>
        <v>0</v>
      </c>
      <c r="AG26" s="115">
        <f t="shared" si="19"/>
        <v>0</v>
      </c>
      <c r="AH26" s="115">
        <f t="shared" si="19"/>
        <v>0</v>
      </c>
      <c r="AI26" s="115">
        <f t="shared" si="19"/>
        <v>0</v>
      </c>
      <c r="AJ26" s="115">
        <f t="shared" si="19"/>
        <v>0</v>
      </c>
      <c r="AK26" s="115">
        <f t="shared" si="19"/>
        <v>0</v>
      </c>
      <c r="AL26" s="115">
        <f t="shared" si="19"/>
        <v>0</v>
      </c>
      <c r="AM26" s="115">
        <f t="shared" si="19"/>
        <v>0</v>
      </c>
      <c r="AN26" s="115">
        <f t="shared" si="19"/>
        <v>0</v>
      </c>
      <c r="AO26" s="115">
        <f t="shared" si="19"/>
        <v>0</v>
      </c>
      <c r="AP26" s="115">
        <f t="shared" si="19"/>
        <v>0</v>
      </c>
      <c r="AQ26" s="115">
        <f t="shared" si="19"/>
        <v>0</v>
      </c>
      <c r="AR26" s="115">
        <f t="shared" si="19"/>
        <v>0</v>
      </c>
      <c r="AS26" s="115">
        <f t="shared" si="19"/>
        <v>0</v>
      </c>
      <c r="AT26" s="115">
        <f t="shared" si="19"/>
        <v>0</v>
      </c>
      <c r="AU26" s="115">
        <f t="shared" si="19"/>
        <v>0</v>
      </c>
      <c r="AV26" s="115">
        <f t="shared" si="19"/>
        <v>0</v>
      </c>
      <c r="AW26" s="115">
        <f t="shared" si="19"/>
        <v>0</v>
      </c>
      <c r="AX26" s="115">
        <f t="shared" si="19"/>
        <v>0</v>
      </c>
      <c r="AY26" s="116">
        <f t="shared" si="19"/>
        <v>0</v>
      </c>
      <c r="AZ26" s="116">
        <f t="shared" si="19"/>
        <v>0</v>
      </c>
      <c r="BA26" s="116">
        <f t="shared" si="19"/>
        <v>0</v>
      </c>
      <c r="BB26" s="116">
        <f t="shared" si="19"/>
        <v>0</v>
      </c>
      <c r="BC26" s="116">
        <f t="shared" si="19"/>
        <v>0</v>
      </c>
      <c r="BD26" s="116">
        <f t="shared" si="19"/>
        <v>0</v>
      </c>
      <c r="BE26" s="116">
        <f t="shared" si="19"/>
        <v>0</v>
      </c>
      <c r="BF26" s="116">
        <f t="shared" si="19"/>
        <v>0</v>
      </c>
      <c r="BG26" s="116">
        <f t="shared" si="19"/>
        <v>0</v>
      </c>
      <c r="BH26" s="116">
        <f t="shared" si="19"/>
        <v>0</v>
      </c>
      <c r="BI26" s="116">
        <f t="shared" si="19"/>
        <v>0</v>
      </c>
      <c r="BJ26" s="116">
        <f t="shared" si="19"/>
        <v>0</v>
      </c>
      <c r="BK26" s="116">
        <f t="shared" si="19"/>
        <v>0</v>
      </c>
      <c r="BL26" s="116">
        <f t="shared" si="19"/>
        <v>0</v>
      </c>
      <c r="BM26" s="116">
        <f t="shared" si="19"/>
        <v>0</v>
      </c>
      <c r="BN26" s="116">
        <f t="shared" si="19"/>
        <v>0</v>
      </c>
      <c r="BO26" s="116">
        <f t="shared" si="19"/>
        <v>0</v>
      </c>
      <c r="BP26" s="116">
        <f t="shared" si="19"/>
        <v>0</v>
      </c>
      <c r="BQ26" s="116">
        <f t="shared" si="19"/>
        <v>0</v>
      </c>
      <c r="BR26" s="116">
        <f t="shared" si="19"/>
        <v>0</v>
      </c>
      <c r="BS26" s="116">
        <f t="shared" si="19"/>
        <v>0</v>
      </c>
      <c r="BT26" s="116">
        <f t="shared" si="19"/>
        <v>0</v>
      </c>
      <c r="BU26" s="116">
        <f t="shared" si="19"/>
        <v>0</v>
      </c>
      <c r="BV26" s="116">
        <f t="shared" si="19"/>
        <v>0</v>
      </c>
    </row>
    <row r="27" spans="1:74" ht="12.75" hidden="1" x14ac:dyDescent="0.2">
      <c r="A27" s="137" t="s">
        <v>102</v>
      </c>
      <c r="B27" s="118"/>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0">
        <f t="shared" ref="AE27:BV27" si="20">AE24*AE26</f>
        <v>0</v>
      </c>
      <c r="AF27" s="120">
        <f t="shared" si="20"/>
        <v>0</v>
      </c>
      <c r="AG27" s="120">
        <f t="shared" si="20"/>
        <v>0</v>
      </c>
      <c r="AH27" s="120">
        <f t="shared" si="20"/>
        <v>0</v>
      </c>
      <c r="AI27" s="120">
        <f t="shared" si="20"/>
        <v>0</v>
      </c>
      <c r="AJ27" s="120">
        <f t="shared" si="20"/>
        <v>0</v>
      </c>
      <c r="AK27" s="120">
        <f t="shared" si="20"/>
        <v>0</v>
      </c>
      <c r="AL27" s="120">
        <f t="shared" si="20"/>
        <v>0</v>
      </c>
      <c r="AM27" s="120">
        <f t="shared" si="20"/>
        <v>0</v>
      </c>
      <c r="AN27" s="120">
        <f t="shared" si="20"/>
        <v>0</v>
      </c>
      <c r="AO27" s="120">
        <f t="shared" si="20"/>
        <v>0</v>
      </c>
      <c r="AP27" s="120">
        <f t="shared" si="20"/>
        <v>0</v>
      </c>
      <c r="AQ27" s="120">
        <f t="shared" si="20"/>
        <v>0</v>
      </c>
      <c r="AR27" s="120">
        <f t="shared" si="20"/>
        <v>0</v>
      </c>
      <c r="AS27" s="120">
        <f t="shared" si="20"/>
        <v>0</v>
      </c>
      <c r="AT27" s="120">
        <f t="shared" si="20"/>
        <v>0</v>
      </c>
      <c r="AU27" s="120">
        <f t="shared" si="20"/>
        <v>0</v>
      </c>
      <c r="AV27" s="120">
        <f t="shared" si="20"/>
        <v>0</v>
      </c>
      <c r="AW27" s="120">
        <f t="shared" si="20"/>
        <v>0</v>
      </c>
      <c r="AX27" s="120">
        <f t="shared" si="20"/>
        <v>0</v>
      </c>
      <c r="AY27" s="121">
        <f t="shared" si="20"/>
        <v>0</v>
      </c>
      <c r="AZ27" s="121">
        <f t="shared" si="20"/>
        <v>0</v>
      </c>
      <c r="BA27" s="121">
        <f t="shared" si="20"/>
        <v>0</v>
      </c>
      <c r="BB27" s="121">
        <f t="shared" si="20"/>
        <v>0</v>
      </c>
      <c r="BC27" s="121">
        <f t="shared" si="20"/>
        <v>0</v>
      </c>
      <c r="BD27" s="121">
        <f t="shared" si="20"/>
        <v>0</v>
      </c>
      <c r="BE27" s="121">
        <f t="shared" si="20"/>
        <v>0</v>
      </c>
      <c r="BF27" s="121">
        <f t="shared" si="20"/>
        <v>0</v>
      </c>
      <c r="BG27" s="121">
        <f t="shared" si="20"/>
        <v>0</v>
      </c>
      <c r="BH27" s="121">
        <f t="shared" si="20"/>
        <v>0</v>
      </c>
      <c r="BI27" s="121">
        <f t="shared" si="20"/>
        <v>0</v>
      </c>
      <c r="BJ27" s="121">
        <f t="shared" si="20"/>
        <v>0</v>
      </c>
      <c r="BK27" s="121">
        <f t="shared" si="20"/>
        <v>0</v>
      </c>
      <c r="BL27" s="121">
        <f t="shared" si="20"/>
        <v>0</v>
      </c>
      <c r="BM27" s="121">
        <f t="shared" si="20"/>
        <v>0</v>
      </c>
      <c r="BN27" s="121">
        <f t="shared" si="20"/>
        <v>0</v>
      </c>
      <c r="BO27" s="121">
        <f t="shared" si="20"/>
        <v>0</v>
      </c>
      <c r="BP27" s="121">
        <f t="shared" si="20"/>
        <v>0</v>
      </c>
      <c r="BQ27" s="121">
        <f t="shared" si="20"/>
        <v>0</v>
      </c>
      <c r="BR27" s="121">
        <f t="shared" si="20"/>
        <v>0</v>
      </c>
      <c r="BS27" s="121">
        <f t="shared" si="20"/>
        <v>0</v>
      </c>
      <c r="BT27" s="121">
        <f t="shared" si="20"/>
        <v>0</v>
      </c>
      <c r="BU27" s="121">
        <f t="shared" si="20"/>
        <v>0</v>
      </c>
      <c r="BV27" s="121">
        <f t="shared" si="20"/>
        <v>0</v>
      </c>
    </row>
    <row r="28" spans="1:74" ht="12.75" x14ac:dyDescent="0.2">
      <c r="A28" s="102"/>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row>
    <row r="29" spans="1:74" x14ac:dyDescent="0.25">
      <c r="A29" s="129" t="s">
        <v>105</v>
      </c>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row>
    <row r="30" spans="1:74" ht="15" hidden="1" x14ac:dyDescent="0.25">
      <c r="A30" s="130" t="s">
        <v>88</v>
      </c>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row>
    <row r="31" spans="1:74" ht="12.75" x14ac:dyDescent="0.2">
      <c r="A31" s="142" t="s">
        <v>106</v>
      </c>
      <c r="B31" s="112"/>
      <c r="C31" s="119">
        <f t="shared" ref="C31:AD31" si="21">SUMIFS(MRR_Export_Reactivation_Count,MRR_Export_Months,"&gt;="&amp;C$1,MRR_Export_Months,"&lt;"&amp;D$1)</f>
        <v>0</v>
      </c>
      <c r="D31" s="119">
        <f t="shared" si="21"/>
        <v>0</v>
      </c>
      <c r="E31" s="119">
        <f t="shared" si="21"/>
        <v>0</v>
      </c>
      <c r="F31" s="119">
        <f t="shared" si="21"/>
        <v>0</v>
      </c>
      <c r="G31" s="119">
        <f t="shared" si="21"/>
        <v>0</v>
      </c>
      <c r="H31" s="119">
        <f t="shared" si="21"/>
        <v>0</v>
      </c>
      <c r="I31" s="119">
        <f t="shared" si="21"/>
        <v>0</v>
      </c>
      <c r="J31" s="119">
        <f t="shared" si="21"/>
        <v>0</v>
      </c>
      <c r="K31" s="119">
        <f t="shared" si="21"/>
        <v>0</v>
      </c>
      <c r="L31" s="119">
        <f t="shared" si="21"/>
        <v>0</v>
      </c>
      <c r="M31" s="119">
        <f t="shared" si="21"/>
        <v>0</v>
      </c>
      <c r="N31" s="119">
        <f t="shared" si="21"/>
        <v>0</v>
      </c>
      <c r="O31" s="119">
        <f t="shared" si="21"/>
        <v>0</v>
      </c>
      <c r="P31" s="119">
        <f t="shared" si="21"/>
        <v>0</v>
      </c>
      <c r="Q31" s="119">
        <f t="shared" si="21"/>
        <v>0</v>
      </c>
      <c r="R31" s="119">
        <f t="shared" si="21"/>
        <v>0</v>
      </c>
      <c r="S31" s="119">
        <f t="shared" si="21"/>
        <v>0</v>
      </c>
      <c r="T31" s="119">
        <f t="shared" si="21"/>
        <v>0</v>
      </c>
      <c r="U31" s="119">
        <f t="shared" si="21"/>
        <v>0</v>
      </c>
      <c r="V31" s="119">
        <f t="shared" si="21"/>
        <v>0</v>
      </c>
      <c r="W31" s="119">
        <f t="shared" si="21"/>
        <v>0</v>
      </c>
      <c r="X31" s="119">
        <f t="shared" si="21"/>
        <v>0</v>
      </c>
      <c r="Y31" s="119">
        <f t="shared" si="21"/>
        <v>0</v>
      </c>
      <c r="Z31" s="119">
        <f t="shared" si="21"/>
        <v>0</v>
      </c>
      <c r="AA31" s="119">
        <f t="shared" si="21"/>
        <v>0</v>
      </c>
      <c r="AB31" s="119">
        <f t="shared" si="21"/>
        <v>0</v>
      </c>
      <c r="AC31" s="119">
        <f t="shared" si="21"/>
        <v>0</v>
      </c>
      <c r="AD31" s="119">
        <f t="shared" si="21"/>
        <v>0</v>
      </c>
      <c r="AE31" s="103"/>
      <c r="AF31" s="103"/>
      <c r="AG31" s="103"/>
      <c r="AH31" s="103"/>
      <c r="AI31" s="103"/>
      <c r="AJ31" s="103"/>
      <c r="AK31" s="103"/>
      <c r="AL31" s="103"/>
      <c r="AM31" s="103"/>
      <c r="AN31" s="103"/>
      <c r="AO31" s="103"/>
      <c r="AP31" s="103"/>
      <c r="AQ31" s="103"/>
      <c r="AR31" s="103"/>
      <c r="AS31" s="103"/>
      <c r="AT31" s="103"/>
      <c r="AU31" s="103"/>
      <c r="AV31" s="103"/>
      <c r="AW31" s="103"/>
      <c r="AX31" s="103"/>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row>
    <row r="32" spans="1:74" ht="12.75" x14ac:dyDescent="0.2">
      <c r="A32" s="132" t="s">
        <v>91</v>
      </c>
      <c r="B32" s="117"/>
      <c r="C32" s="115" t="str">
        <f t="shared" ref="C32:AD32" si="22">IFERROR(C33/C31," ")</f>
        <v xml:space="preserve"> </v>
      </c>
      <c r="D32" s="115" t="str">
        <f t="shared" si="22"/>
        <v xml:space="preserve"> </v>
      </c>
      <c r="E32" s="115" t="str">
        <f t="shared" si="22"/>
        <v xml:space="preserve"> </v>
      </c>
      <c r="F32" s="115" t="str">
        <f t="shared" si="22"/>
        <v xml:space="preserve"> </v>
      </c>
      <c r="G32" s="115" t="str">
        <f t="shared" si="22"/>
        <v xml:space="preserve"> </v>
      </c>
      <c r="H32" s="115" t="str">
        <f t="shared" si="22"/>
        <v xml:space="preserve"> </v>
      </c>
      <c r="I32" s="115" t="str">
        <f t="shared" si="22"/>
        <v xml:space="preserve"> </v>
      </c>
      <c r="J32" s="115" t="str">
        <f t="shared" si="22"/>
        <v xml:space="preserve"> </v>
      </c>
      <c r="K32" s="115" t="str">
        <f t="shared" si="22"/>
        <v xml:space="preserve"> </v>
      </c>
      <c r="L32" s="115" t="str">
        <f t="shared" si="22"/>
        <v xml:space="preserve"> </v>
      </c>
      <c r="M32" s="115" t="str">
        <f t="shared" si="22"/>
        <v xml:space="preserve"> </v>
      </c>
      <c r="N32" s="115" t="str">
        <f t="shared" si="22"/>
        <v xml:space="preserve"> </v>
      </c>
      <c r="O32" s="115" t="str">
        <f t="shared" si="22"/>
        <v xml:space="preserve"> </v>
      </c>
      <c r="P32" s="115" t="str">
        <f t="shared" si="22"/>
        <v xml:space="preserve"> </v>
      </c>
      <c r="Q32" s="115" t="str">
        <f t="shared" si="22"/>
        <v xml:space="preserve"> </v>
      </c>
      <c r="R32" s="115" t="str">
        <f t="shared" si="22"/>
        <v xml:space="preserve"> </v>
      </c>
      <c r="S32" s="115" t="str">
        <f t="shared" si="22"/>
        <v xml:space="preserve"> </v>
      </c>
      <c r="T32" s="115" t="str">
        <f t="shared" si="22"/>
        <v xml:space="preserve"> </v>
      </c>
      <c r="U32" s="115" t="str">
        <f t="shared" si="22"/>
        <v xml:space="preserve"> </v>
      </c>
      <c r="V32" s="115" t="str">
        <f t="shared" si="22"/>
        <v xml:space="preserve"> </v>
      </c>
      <c r="W32" s="115" t="str">
        <f t="shared" si="22"/>
        <v xml:space="preserve"> </v>
      </c>
      <c r="X32" s="115" t="str">
        <f t="shared" si="22"/>
        <v xml:space="preserve"> </v>
      </c>
      <c r="Y32" s="115" t="str">
        <f t="shared" si="22"/>
        <v xml:space="preserve"> </v>
      </c>
      <c r="Z32" s="115" t="str">
        <f t="shared" si="22"/>
        <v xml:space="preserve"> </v>
      </c>
      <c r="AA32" s="115" t="str">
        <f t="shared" si="22"/>
        <v xml:space="preserve"> </v>
      </c>
      <c r="AB32" s="115" t="str">
        <f t="shared" si="22"/>
        <v xml:space="preserve"> </v>
      </c>
      <c r="AC32" s="115" t="str">
        <f t="shared" si="22"/>
        <v xml:space="preserve"> </v>
      </c>
      <c r="AD32" s="115" t="str">
        <f t="shared" si="22"/>
        <v xml:space="preserve"> </v>
      </c>
      <c r="AE32" s="120"/>
      <c r="AF32" s="120"/>
      <c r="AG32" s="120"/>
      <c r="AH32" s="120"/>
      <c r="AI32" s="120"/>
      <c r="AJ32" s="120"/>
      <c r="AK32" s="120"/>
      <c r="AL32" s="120"/>
      <c r="AM32" s="120"/>
      <c r="AN32" s="120"/>
      <c r="AO32" s="120"/>
      <c r="AP32" s="120"/>
      <c r="AQ32" s="120"/>
      <c r="AR32" s="120"/>
      <c r="AS32" s="120"/>
      <c r="AT32" s="120"/>
      <c r="AU32" s="120"/>
      <c r="AV32" s="120"/>
      <c r="AW32" s="120"/>
      <c r="AX32" s="120"/>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2.75" x14ac:dyDescent="0.2">
      <c r="A33" s="143" t="s">
        <v>108</v>
      </c>
      <c r="B33" s="118"/>
      <c r="C33" s="119">
        <f t="shared" ref="C33:AD33" si="23">SUMIFS(MRR_Export_Reactivation_MRR,MRR_Export_Months,"&gt;="&amp;C$1,MRR_Export_Months,"&lt;"&amp;D$1)</f>
        <v>0</v>
      </c>
      <c r="D33" s="119">
        <f t="shared" si="23"/>
        <v>0</v>
      </c>
      <c r="E33" s="119">
        <f t="shared" si="23"/>
        <v>0</v>
      </c>
      <c r="F33" s="119">
        <f t="shared" si="23"/>
        <v>0</v>
      </c>
      <c r="G33" s="119">
        <f t="shared" si="23"/>
        <v>0</v>
      </c>
      <c r="H33" s="119">
        <f t="shared" si="23"/>
        <v>0</v>
      </c>
      <c r="I33" s="119">
        <f t="shared" si="23"/>
        <v>0</v>
      </c>
      <c r="J33" s="119">
        <f t="shared" si="23"/>
        <v>0</v>
      </c>
      <c r="K33" s="119">
        <f t="shared" si="23"/>
        <v>0</v>
      </c>
      <c r="L33" s="119">
        <f t="shared" si="23"/>
        <v>0</v>
      </c>
      <c r="M33" s="119">
        <f t="shared" si="23"/>
        <v>0</v>
      </c>
      <c r="N33" s="119">
        <f t="shared" si="23"/>
        <v>0</v>
      </c>
      <c r="O33" s="119">
        <f t="shared" si="23"/>
        <v>0</v>
      </c>
      <c r="P33" s="119">
        <f t="shared" si="23"/>
        <v>0</v>
      </c>
      <c r="Q33" s="119">
        <f t="shared" si="23"/>
        <v>0</v>
      </c>
      <c r="R33" s="119">
        <f t="shared" si="23"/>
        <v>0</v>
      </c>
      <c r="S33" s="119">
        <f t="shared" si="23"/>
        <v>0</v>
      </c>
      <c r="T33" s="119">
        <f t="shared" si="23"/>
        <v>0</v>
      </c>
      <c r="U33" s="119">
        <f t="shared" si="23"/>
        <v>0</v>
      </c>
      <c r="V33" s="119">
        <f t="shared" si="23"/>
        <v>0</v>
      </c>
      <c r="W33" s="119">
        <f t="shared" si="23"/>
        <v>0</v>
      </c>
      <c r="X33" s="119">
        <f t="shared" si="23"/>
        <v>0</v>
      </c>
      <c r="Y33" s="119">
        <f t="shared" si="23"/>
        <v>0</v>
      </c>
      <c r="Z33" s="119">
        <f t="shared" si="23"/>
        <v>0</v>
      </c>
      <c r="AA33" s="119">
        <f t="shared" si="23"/>
        <v>0</v>
      </c>
      <c r="AB33" s="119">
        <f t="shared" si="23"/>
        <v>0</v>
      </c>
      <c r="AC33" s="119">
        <f t="shared" si="23"/>
        <v>0</v>
      </c>
      <c r="AD33" s="119">
        <f t="shared" si="23"/>
        <v>0</v>
      </c>
      <c r="AE33" s="103"/>
      <c r="AF33" s="103"/>
      <c r="AG33" s="103"/>
      <c r="AH33" s="103"/>
      <c r="AI33" s="103"/>
      <c r="AJ33" s="103"/>
      <c r="AK33" s="103"/>
      <c r="AL33" s="103"/>
      <c r="AM33" s="103"/>
      <c r="AN33" s="103"/>
      <c r="AO33" s="103"/>
      <c r="AP33" s="103"/>
      <c r="AQ33" s="103"/>
      <c r="AR33" s="103"/>
      <c r="AS33" s="103"/>
      <c r="AT33" s="103"/>
      <c r="AU33" s="103"/>
      <c r="AV33" s="103"/>
      <c r="AW33" s="103"/>
      <c r="AX33" s="103"/>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row>
    <row r="34" spans="1:74" ht="12.75" x14ac:dyDescent="0.2">
      <c r="A34" s="137"/>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row>
    <row r="35" spans="1:74" x14ac:dyDescent="0.25">
      <c r="A35" s="129" t="s">
        <v>110</v>
      </c>
      <c r="B35" s="96"/>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row>
    <row r="36" spans="1:74" ht="15" x14ac:dyDescent="0.25">
      <c r="A36" s="130" t="s">
        <v>88</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row>
    <row r="37" spans="1:74" ht="12.75" x14ac:dyDescent="0.2">
      <c r="A37" s="101" t="s">
        <v>111</v>
      </c>
      <c r="B37" s="112"/>
      <c r="C37" s="119">
        <f t="shared" ref="C37:AD37" si="24">SUMIFS(MRR_Export_Churn_Count,MRR_Export_Months,"&gt;="&amp;C$1,MRR_Export_Months,"&lt;"&amp;D$1)</f>
        <v>1</v>
      </c>
      <c r="D37" s="119">
        <f t="shared" si="24"/>
        <v>2</v>
      </c>
      <c r="E37" s="119">
        <f t="shared" si="24"/>
        <v>2</v>
      </c>
      <c r="F37" s="119">
        <f t="shared" si="24"/>
        <v>3</v>
      </c>
      <c r="G37" s="119">
        <f t="shared" si="24"/>
        <v>1</v>
      </c>
      <c r="H37" s="119">
        <f t="shared" si="24"/>
        <v>2</v>
      </c>
      <c r="I37" s="119">
        <f t="shared" si="24"/>
        <v>4</v>
      </c>
      <c r="J37" s="119">
        <f t="shared" si="24"/>
        <v>5</v>
      </c>
      <c r="K37" s="119">
        <f t="shared" si="24"/>
        <v>5</v>
      </c>
      <c r="L37" s="119">
        <f t="shared" si="24"/>
        <v>5</v>
      </c>
      <c r="M37" s="119">
        <f t="shared" si="24"/>
        <v>5</v>
      </c>
      <c r="N37" s="119">
        <f t="shared" si="24"/>
        <v>5</v>
      </c>
      <c r="O37" s="119">
        <f t="shared" si="24"/>
        <v>5</v>
      </c>
      <c r="P37" s="119">
        <f t="shared" si="24"/>
        <v>5</v>
      </c>
      <c r="Q37" s="119">
        <f t="shared" si="24"/>
        <v>6</v>
      </c>
      <c r="R37" s="119">
        <f t="shared" si="24"/>
        <v>4</v>
      </c>
      <c r="S37" s="119">
        <f t="shared" si="24"/>
        <v>6</v>
      </c>
      <c r="T37" s="119">
        <f t="shared" si="24"/>
        <v>7</v>
      </c>
      <c r="U37" s="119">
        <f t="shared" si="24"/>
        <v>9</v>
      </c>
      <c r="V37" s="119">
        <f t="shared" si="24"/>
        <v>6</v>
      </c>
      <c r="W37" s="119">
        <f t="shared" si="24"/>
        <v>9</v>
      </c>
      <c r="X37" s="119">
        <f t="shared" si="24"/>
        <v>9</v>
      </c>
      <c r="Y37" s="119">
        <f t="shared" si="24"/>
        <v>6</v>
      </c>
      <c r="Z37" s="119">
        <f t="shared" si="24"/>
        <v>4</v>
      </c>
      <c r="AA37" s="119">
        <f t="shared" si="24"/>
        <v>1</v>
      </c>
      <c r="AB37" s="119">
        <f t="shared" si="24"/>
        <v>6</v>
      </c>
      <c r="AC37" s="119">
        <f t="shared" si="24"/>
        <v>9</v>
      </c>
      <c r="AD37" s="119">
        <f t="shared" si="24"/>
        <v>12</v>
      </c>
      <c r="AE37" s="120">
        <f t="shared" ref="AE37:BV37" si="25">AE38*AD$65</f>
        <v>11.741999999999999</v>
      </c>
      <c r="AF37" s="120">
        <f t="shared" ca="1" si="25"/>
        <v>9.3488699999999998</v>
      </c>
      <c r="AG37" s="120">
        <f t="shared" ca="1" si="25"/>
        <v>6.9510004299999997</v>
      </c>
      <c r="AH37" s="120">
        <f t="shared" ca="1" si="25"/>
        <v>7.0835394252699997</v>
      </c>
      <c r="AI37" s="120">
        <f t="shared" ca="1" si="25"/>
        <v>5.8938713113025694</v>
      </c>
      <c r="AJ37" s="120">
        <f t="shared" ca="1" si="25"/>
        <v>6.0028264695008469</v>
      </c>
      <c r="AK37" s="120">
        <f t="shared" ca="1" si="25"/>
        <v>6.1198010312753386</v>
      </c>
      <c r="AL37" s="120">
        <f t="shared" ca="1" si="25"/>
        <v>6.2357228219938605</v>
      </c>
      <c r="AM37" s="120">
        <f t="shared" ca="1" si="25"/>
        <v>6.3596013165959162</v>
      </c>
      <c r="AN37" s="120">
        <f t="shared" ca="1" si="25"/>
        <v>6.4823649047465537</v>
      </c>
      <c r="AO37" s="120">
        <f t="shared" ca="1" si="25"/>
        <v>6.6130236206038351</v>
      </c>
      <c r="AP37" s="120">
        <f t="shared" ca="1" si="25"/>
        <v>6.7425064080184001</v>
      </c>
      <c r="AQ37" s="120">
        <f t="shared" ca="1" si="25"/>
        <v>6.8798238503462352</v>
      </c>
      <c r="AR37" s="120">
        <f t="shared" ca="1" si="25"/>
        <v>7.0249054356931184</v>
      </c>
      <c r="AS37" s="120">
        <f t="shared" ca="1" si="25"/>
        <v>7.1686812867718812</v>
      </c>
      <c r="AT37" s="120">
        <f t="shared" ca="1" si="25"/>
        <v>7.3201631551909339</v>
      </c>
      <c r="AU37" s="120">
        <f t="shared" ca="1" si="25"/>
        <v>7.4702816867942161</v>
      </c>
      <c r="AV37" s="120">
        <f t="shared" ca="1" si="25"/>
        <v>7.6280491516130677</v>
      </c>
      <c r="AW37" s="120">
        <f t="shared" ca="1" si="25"/>
        <v>7.7933967092485501</v>
      </c>
      <c r="AX37" s="120">
        <f t="shared" ca="1" si="25"/>
        <v>7.9572561388653131</v>
      </c>
      <c r="AY37" s="121">
        <f t="shared" ca="1" si="25"/>
        <v>8.1286408336155258</v>
      </c>
      <c r="AZ37" s="121">
        <f t="shared" ca="1" si="25"/>
        <v>8.2894830661129859</v>
      </c>
      <c r="BA37" s="121">
        <f t="shared" ca="1" si="25"/>
        <v>8.4578777185179685</v>
      </c>
      <c r="BB37" s="121">
        <f t="shared" ca="1" si="25"/>
        <v>8.6247568190513064</v>
      </c>
      <c r="BC37" s="121">
        <f t="shared" ca="1" si="25"/>
        <v>8.7901340076798444</v>
      </c>
      <c r="BD37" s="121">
        <f t="shared" ca="1" si="25"/>
        <v>8.9540228016107264</v>
      </c>
      <c r="BE37" s="121">
        <f t="shared" ca="1" si="25"/>
        <v>9.1254365963962307</v>
      </c>
      <c r="BF37" s="121">
        <f t="shared" ca="1" si="25"/>
        <v>9.2953076670286645</v>
      </c>
      <c r="BG37" s="121">
        <f t="shared" ca="1" si="25"/>
        <v>9.4726498980254057</v>
      </c>
      <c r="BH37" s="121">
        <f t="shared" ca="1" si="25"/>
        <v>9.6483960489431766</v>
      </c>
      <c r="BI37" s="121">
        <f t="shared" ca="1" si="25"/>
        <v>9.8225604845026879</v>
      </c>
      <c r="BJ37" s="121">
        <f t="shared" ca="1" si="25"/>
        <v>10.004157440142164</v>
      </c>
      <c r="BK37" s="121">
        <f t="shared" ca="1" si="25"/>
        <v>10.184120023180887</v>
      </c>
      <c r="BL37" s="121">
        <f t="shared" ca="1" si="25"/>
        <v>10.362462942972257</v>
      </c>
      <c r="BM37" s="121">
        <f t="shared" ca="1" si="25"/>
        <v>10.548200776485507</v>
      </c>
      <c r="BN37" s="121">
        <f t="shared" ca="1" si="25"/>
        <v>10.732266969497136</v>
      </c>
      <c r="BO37" s="121">
        <f t="shared" ca="1" si="25"/>
        <v>10.923676566771661</v>
      </c>
      <c r="BP37" s="121">
        <f t="shared" ca="1" si="25"/>
        <v>11.113363477670715</v>
      </c>
      <c r="BQ37" s="121">
        <f t="shared" ca="1" si="25"/>
        <v>11.30134320637168</v>
      </c>
      <c r="BR37" s="121">
        <f t="shared" ca="1" si="25"/>
        <v>11.496631117514335</v>
      </c>
      <c r="BS37" s="121">
        <f t="shared" ca="1" si="25"/>
        <v>11.690161437456705</v>
      </c>
      <c r="BT37" s="121">
        <f t="shared" ca="1" si="25"/>
        <v>11.890949984519594</v>
      </c>
      <c r="BU37" s="121">
        <f t="shared" ca="1" si="25"/>
        <v>12.089931434658917</v>
      </c>
      <c r="BV37" s="121">
        <f t="shared" ca="1" si="25"/>
        <v>12.296122051746988</v>
      </c>
    </row>
    <row r="38" spans="1:74" ht="12.75" x14ac:dyDescent="0.2">
      <c r="A38" s="137" t="s">
        <v>113</v>
      </c>
      <c r="B38" s="133"/>
      <c r="C38" s="133" t="str">
        <f t="shared" ref="C38:AD38" si="26">IFERROR(C37/B$65," ")</f>
        <v xml:space="preserve"> </v>
      </c>
      <c r="D38" s="133">
        <f t="shared" si="26"/>
        <v>8.4388185654008432E-3</v>
      </c>
      <c r="E38" s="133">
        <f t="shared" si="26"/>
        <v>9.1743119266055051E-3</v>
      </c>
      <c r="F38" s="133">
        <f t="shared" si="26"/>
        <v>1.3157894736842105E-2</v>
      </c>
      <c r="G38" s="133">
        <f t="shared" si="26"/>
        <v>4.2016806722689074E-3</v>
      </c>
      <c r="H38" s="133">
        <f t="shared" si="26"/>
        <v>7.9681274900398405E-3</v>
      </c>
      <c r="I38" s="133">
        <f t="shared" si="26"/>
        <v>1.5444015444015444E-2</v>
      </c>
      <c r="J38" s="133">
        <f t="shared" si="26"/>
        <v>1.8115942028985508E-2</v>
      </c>
      <c r="K38" s="133">
        <f t="shared" si="26"/>
        <v>1.7543859649122806E-2</v>
      </c>
      <c r="L38" s="133">
        <f t="shared" si="26"/>
        <v>1.7006802721088437E-2</v>
      </c>
      <c r="M38" s="133">
        <f t="shared" si="26"/>
        <v>1.65016501650165E-2</v>
      </c>
      <c r="N38" s="133">
        <f t="shared" si="26"/>
        <v>1.6025641025641024E-2</v>
      </c>
      <c r="O38" s="133">
        <f t="shared" si="26"/>
        <v>1.5479876160990712E-2</v>
      </c>
      <c r="P38" s="133">
        <f t="shared" si="26"/>
        <v>1.5015015015015015E-2</v>
      </c>
      <c r="Q38" s="133">
        <f t="shared" si="26"/>
        <v>1.69971671388102E-2</v>
      </c>
      <c r="R38" s="133">
        <f t="shared" si="26"/>
        <v>1.098901098901099E-2</v>
      </c>
      <c r="S38" s="133">
        <f t="shared" si="26"/>
        <v>1.507537688442211E-2</v>
      </c>
      <c r="T38" s="133">
        <f t="shared" si="26"/>
        <v>1.6990291262135922E-2</v>
      </c>
      <c r="U38" s="133">
        <f t="shared" si="26"/>
        <v>2.0737327188940093E-2</v>
      </c>
      <c r="V38" s="133">
        <f t="shared" si="26"/>
        <v>1.3129102844638949E-2</v>
      </c>
      <c r="W38" s="133">
        <f t="shared" si="26"/>
        <v>1.8789144050104383E-2</v>
      </c>
      <c r="X38" s="133">
        <f t="shared" si="26"/>
        <v>1.8145161290322582E-2</v>
      </c>
      <c r="Y38" s="133">
        <f t="shared" si="26"/>
        <v>1.1811023622047244E-2</v>
      </c>
      <c r="Z38" s="133">
        <f t="shared" si="26"/>
        <v>7.6335877862595417E-3</v>
      </c>
      <c r="AA38" s="133">
        <f t="shared" si="26"/>
        <v>1.834862385321101E-3</v>
      </c>
      <c r="AB38" s="133">
        <f t="shared" si="26"/>
        <v>1.0507880910683012E-2</v>
      </c>
      <c r="AC38" s="133">
        <f t="shared" si="26"/>
        <v>1.487603305785124E-2</v>
      </c>
      <c r="AD38" s="133">
        <f t="shared" si="26"/>
        <v>1.948051948051948E-2</v>
      </c>
      <c r="AE38" s="134">
        <v>1.9E-2</v>
      </c>
      <c r="AF38" s="134">
        <v>1.4999999999999999E-2</v>
      </c>
      <c r="AG38" s="134">
        <v>1.0999999999999999E-2</v>
      </c>
      <c r="AH38" s="134">
        <v>1.0999999999999999E-2</v>
      </c>
      <c r="AI38" s="134">
        <v>8.9999999999999993E-3</v>
      </c>
      <c r="AJ38" s="134">
        <v>8.9999999999999993E-3</v>
      </c>
      <c r="AK38" s="135">
        <f t="shared" ref="AK38:BV38" si="27">IFERROR(MEDIAN(AH38:AJ38),0)</f>
        <v>8.9999999999999993E-3</v>
      </c>
      <c r="AL38" s="135">
        <f t="shared" si="27"/>
        <v>8.9999999999999993E-3</v>
      </c>
      <c r="AM38" s="135">
        <f t="shared" si="27"/>
        <v>8.9999999999999993E-3</v>
      </c>
      <c r="AN38" s="135">
        <f t="shared" si="27"/>
        <v>8.9999999999999993E-3</v>
      </c>
      <c r="AO38" s="135">
        <f t="shared" si="27"/>
        <v>8.9999999999999993E-3</v>
      </c>
      <c r="AP38" s="135">
        <f t="shared" si="27"/>
        <v>8.9999999999999993E-3</v>
      </c>
      <c r="AQ38" s="135">
        <f t="shared" si="27"/>
        <v>8.9999999999999993E-3</v>
      </c>
      <c r="AR38" s="135">
        <f t="shared" si="27"/>
        <v>8.9999999999999993E-3</v>
      </c>
      <c r="AS38" s="135">
        <f t="shared" si="27"/>
        <v>8.9999999999999993E-3</v>
      </c>
      <c r="AT38" s="135">
        <f t="shared" si="27"/>
        <v>8.9999999999999993E-3</v>
      </c>
      <c r="AU38" s="135">
        <f t="shared" si="27"/>
        <v>8.9999999999999993E-3</v>
      </c>
      <c r="AV38" s="135">
        <f t="shared" si="27"/>
        <v>8.9999999999999993E-3</v>
      </c>
      <c r="AW38" s="135">
        <f t="shared" si="27"/>
        <v>8.9999999999999993E-3</v>
      </c>
      <c r="AX38" s="135">
        <f t="shared" si="27"/>
        <v>8.9999999999999993E-3</v>
      </c>
      <c r="AY38" s="136">
        <f t="shared" si="27"/>
        <v>8.9999999999999993E-3</v>
      </c>
      <c r="AZ38" s="136">
        <f t="shared" si="27"/>
        <v>8.9999999999999993E-3</v>
      </c>
      <c r="BA38" s="136">
        <f t="shared" si="27"/>
        <v>8.9999999999999993E-3</v>
      </c>
      <c r="BB38" s="136">
        <f t="shared" si="27"/>
        <v>8.9999999999999993E-3</v>
      </c>
      <c r="BC38" s="136">
        <f t="shared" si="27"/>
        <v>8.9999999999999993E-3</v>
      </c>
      <c r="BD38" s="136">
        <f t="shared" si="27"/>
        <v>8.9999999999999993E-3</v>
      </c>
      <c r="BE38" s="136">
        <f t="shared" si="27"/>
        <v>8.9999999999999993E-3</v>
      </c>
      <c r="BF38" s="136">
        <f t="shared" si="27"/>
        <v>8.9999999999999993E-3</v>
      </c>
      <c r="BG38" s="136">
        <f t="shared" si="27"/>
        <v>8.9999999999999993E-3</v>
      </c>
      <c r="BH38" s="136">
        <f t="shared" si="27"/>
        <v>8.9999999999999993E-3</v>
      </c>
      <c r="BI38" s="136">
        <f t="shared" si="27"/>
        <v>8.9999999999999993E-3</v>
      </c>
      <c r="BJ38" s="136">
        <f t="shared" si="27"/>
        <v>8.9999999999999993E-3</v>
      </c>
      <c r="BK38" s="136">
        <f t="shared" si="27"/>
        <v>8.9999999999999993E-3</v>
      </c>
      <c r="BL38" s="136">
        <f t="shared" si="27"/>
        <v>8.9999999999999993E-3</v>
      </c>
      <c r="BM38" s="136">
        <f t="shared" si="27"/>
        <v>8.9999999999999993E-3</v>
      </c>
      <c r="BN38" s="136">
        <f t="shared" si="27"/>
        <v>8.9999999999999993E-3</v>
      </c>
      <c r="BO38" s="136">
        <f t="shared" si="27"/>
        <v>8.9999999999999993E-3</v>
      </c>
      <c r="BP38" s="136">
        <f t="shared" si="27"/>
        <v>8.9999999999999993E-3</v>
      </c>
      <c r="BQ38" s="136">
        <f t="shared" si="27"/>
        <v>8.9999999999999993E-3</v>
      </c>
      <c r="BR38" s="136">
        <f t="shared" si="27"/>
        <v>8.9999999999999993E-3</v>
      </c>
      <c r="BS38" s="136">
        <f t="shared" si="27"/>
        <v>8.9999999999999993E-3</v>
      </c>
      <c r="BT38" s="136">
        <f t="shared" si="27"/>
        <v>8.9999999999999993E-3</v>
      </c>
      <c r="BU38" s="136">
        <f t="shared" si="27"/>
        <v>8.9999999999999993E-3</v>
      </c>
      <c r="BV38" s="136">
        <f t="shared" si="27"/>
        <v>8.9999999999999993E-3</v>
      </c>
    </row>
    <row r="39" spans="1:74" ht="12.75" x14ac:dyDescent="0.2">
      <c r="A39" s="132" t="s">
        <v>91</v>
      </c>
      <c r="B39" s="117"/>
      <c r="C39" s="115">
        <f t="shared" ref="C39:AD39" si="28">IFERROR(C40/C37," ")</f>
        <v>-1016</v>
      </c>
      <c r="D39" s="115">
        <f t="shared" si="28"/>
        <v>-1522.5</v>
      </c>
      <c r="E39" s="115">
        <f t="shared" si="28"/>
        <v>-2000</v>
      </c>
      <c r="F39" s="115">
        <f t="shared" si="28"/>
        <v>-2607</v>
      </c>
      <c r="G39" s="115">
        <f t="shared" si="28"/>
        <v>-1299</v>
      </c>
      <c r="H39" s="115">
        <f t="shared" si="28"/>
        <v>-1299</v>
      </c>
      <c r="I39" s="115">
        <f t="shared" si="28"/>
        <v>-1953</v>
      </c>
      <c r="J39" s="115">
        <f t="shared" si="28"/>
        <v>-1672.8</v>
      </c>
      <c r="K39" s="115">
        <f t="shared" si="28"/>
        <v>-1706.6</v>
      </c>
      <c r="L39" s="115">
        <f t="shared" si="28"/>
        <v>-1765</v>
      </c>
      <c r="M39" s="115">
        <f t="shared" si="28"/>
        <v>-1714.8</v>
      </c>
      <c r="N39" s="115">
        <f t="shared" si="28"/>
        <v>-1728.8</v>
      </c>
      <c r="O39" s="115">
        <f t="shared" si="28"/>
        <v>-1736.2</v>
      </c>
      <c r="P39" s="115">
        <f t="shared" si="28"/>
        <v>-1726.6</v>
      </c>
      <c r="Q39" s="115">
        <f t="shared" si="28"/>
        <v>-1730.5</v>
      </c>
      <c r="R39" s="115">
        <f t="shared" si="28"/>
        <v>-587.5</v>
      </c>
      <c r="S39" s="115">
        <f t="shared" si="28"/>
        <v>-1729</v>
      </c>
      <c r="T39" s="115">
        <f t="shared" si="28"/>
        <v>-1729.8571428571429</v>
      </c>
      <c r="U39" s="115">
        <f t="shared" si="28"/>
        <v>-1740.547989729225</v>
      </c>
      <c r="V39" s="115">
        <f t="shared" si="28"/>
        <v>-2364.6142970727142</v>
      </c>
      <c r="W39" s="115">
        <f t="shared" si="28"/>
        <v>-1708.7181451619269</v>
      </c>
      <c r="X39" s="115">
        <f t="shared" si="28"/>
        <v>-1851.1625896063665</v>
      </c>
      <c r="Y39" s="115">
        <f t="shared" si="28"/>
        <v>-2532.5772177428835</v>
      </c>
      <c r="Z39" s="115">
        <f t="shared" si="28"/>
        <v>-4701.8658266143248</v>
      </c>
      <c r="AA39" s="115">
        <f t="shared" si="28"/>
        <v>-19092.463306457299</v>
      </c>
      <c r="AB39" s="115">
        <f t="shared" si="28"/>
        <v>-3609.077217742883</v>
      </c>
      <c r="AC39" s="115">
        <f t="shared" si="28"/>
        <v>-3824.2222222222222</v>
      </c>
      <c r="AD39" s="115">
        <f t="shared" si="28"/>
        <v>-3247.9166666666665</v>
      </c>
      <c r="AE39" s="115">
        <f t="shared" ref="AE39:BV39" si="29">IFERROR(SUM(AB40:AD40)/SUM(AB37:AD37),0)</f>
        <v>-3520.2764187576777</v>
      </c>
      <c r="AF39" s="115">
        <f t="shared" si="29"/>
        <v>-3504.0035950477268</v>
      </c>
      <c r="AG39" s="115">
        <f t="shared" ca="1" si="29"/>
        <v>-3416.9110633442551</v>
      </c>
      <c r="AH39" s="115">
        <f t="shared" ca="1" si="29"/>
        <v>-3489.2290909591852</v>
      </c>
      <c r="AI39" s="115">
        <f t="shared" ca="1" si="29"/>
        <v>-3473.6386477660712</v>
      </c>
      <c r="AJ39" s="115">
        <f t="shared" ca="1" si="29"/>
        <v>-3459.3937617929623</v>
      </c>
      <c r="AK39" s="115">
        <f t="shared" ca="1" si="29"/>
        <v>-3474.9519053492536</v>
      </c>
      <c r="AL39" s="115">
        <f t="shared" ca="1" si="29"/>
        <v>-3469.3385501571747</v>
      </c>
      <c r="AM39" s="115">
        <f t="shared" ca="1" si="29"/>
        <v>-3467.9580218696497</v>
      </c>
      <c r="AN39" s="115">
        <f t="shared" ca="1" si="29"/>
        <v>-3470.7049854412753</v>
      </c>
      <c r="AO39" s="115">
        <f t="shared" ca="1" si="29"/>
        <v>-3469.3426451298492</v>
      </c>
      <c r="AP39" s="115">
        <f t="shared" ca="1" si="29"/>
        <v>-3469.3439576524847</v>
      </c>
      <c r="AQ39" s="115">
        <f t="shared" ca="1" si="29"/>
        <v>-3469.7882587771187</v>
      </c>
      <c r="AR39" s="115">
        <f t="shared" ca="1" si="29"/>
        <v>-3469.4945867815336</v>
      </c>
      <c r="AS39" s="115">
        <f t="shared" ca="1" si="29"/>
        <v>-3469.5432515881184</v>
      </c>
      <c r="AT39" s="115">
        <f t="shared" ca="1" si="29"/>
        <v>-3469.6070163324844</v>
      </c>
      <c r="AU39" s="115">
        <f t="shared" ca="1" si="29"/>
        <v>-3469.5490573016145</v>
      </c>
      <c r="AV39" s="115">
        <f t="shared" ca="1" si="29"/>
        <v>-3469.5664828699337</v>
      </c>
      <c r="AW39" s="115">
        <f t="shared" ca="1" si="29"/>
        <v>-3469.5739114534617</v>
      </c>
      <c r="AX39" s="115">
        <f t="shared" ca="1" si="29"/>
        <v>-3469.5633253972037</v>
      </c>
      <c r="AY39" s="116">
        <f t="shared" ca="1" si="29"/>
        <v>-3469.5678845336856</v>
      </c>
      <c r="AZ39" s="116">
        <f t="shared" ca="1" si="29"/>
        <v>-3469.5683322839482</v>
      </c>
      <c r="BA39" s="116">
        <f t="shared" ca="1" si="29"/>
        <v>-3469.5665484889355</v>
      </c>
      <c r="BB39" s="116">
        <f t="shared" ca="1" si="29"/>
        <v>-3469.5675794812487</v>
      </c>
      <c r="BC39" s="116">
        <f t="shared" ca="1" si="29"/>
        <v>-3469.5674817494896</v>
      </c>
      <c r="BD39" s="116">
        <f t="shared" ca="1" si="29"/>
        <v>-3469.5672092432446</v>
      </c>
      <c r="BE39" s="116">
        <f t="shared" ca="1" si="29"/>
        <v>-3469.5674211814094</v>
      </c>
      <c r="BF39" s="116">
        <f t="shared" ca="1" si="29"/>
        <v>-3469.5673703694151</v>
      </c>
      <c r="BG39" s="116">
        <f t="shared" ca="1" si="29"/>
        <v>-3469.5673346048816</v>
      </c>
      <c r="BH39" s="116">
        <f t="shared" ca="1" si="29"/>
        <v>-3469.5673748470608</v>
      </c>
      <c r="BI39" s="116">
        <f t="shared" ca="1" si="29"/>
        <v>-3469.5673599675597</v>
      </c>
      <c r="BJ39" s="116">
        <f t="shared" ca="1" si="29"/>
        <v>-3469.5673566269788</v>
      </c>
      <c r="BK39" s="116">
        <f t="shared" ca="1" si="29"/>
        <v>-3469.5673637043933</v>
      </c>
      <c r="BL39" s="116">
        <f t="shared" ca="1" si="29"/>
        <v>-3469.5673601220587</v>
      </c>
      <c r="BM39" s="116">
        <f t="shared" ca="1" si="29"/>
        <v>-3469.5673601717331</v>
      </c>
      <c r="BN39" s="116">
        <f t="shared" ca="1" si="29"/>
        <v>-3469.5673613121908</v>
      </c>
      <c r="BO39" s="116">
        <f t="shared" ca="1" si="29"/>
        <v>-3469.5673605422721</v>
      </c>
      <c r="BP39" s="116">
        <f t="shared" ca="1" si="29"/>
        <v>-3469.5673606774862</v>
      </c>
      <c r="BQ39" s="116">
        <f t="shared" ca="1" si="29"/>
        <v>-3469.5673608402849</v>
      </c>
      <c r="BR39" s="116">
        <f t="shared" ca="1" si="29"/>
        <v>-3469.5673606883684</v>
      </c>
      <c r="BS39" s="116">
        <f t="shared" ca="1" si="29"/>
        <v>-3469.5673607354306</v>
      </c>
      <c r="BT39" s="116">
        <f t="shared" ca="1" si="29"/>
        <v>-3469.5673607541016</v>
      </c>
      <c r="BU39" s="116">
        <f t="shared" ca="1" si="29"/>
        <v>-3469.5673607263348</v>
      </c>
      <c r="BV39" s="116">
        <f t="shared" ca="1" si="29"/>
        <v>-3469.567360738572</v>
      </c>
    </row>
    <row r="40" spans="1:74" ht="12.75" x14ac:dyDescent="0.2">
      <c r="A40" s="137" t="s">
        <v>115</v>
      </c>
      <c r="B40" s="118"/>
      <c r="C40" s="119">
        <f t="shared" ref="C40:AD40" si="30">SUMIFS(MRR_Export_Churned_MRR,MRR_Export_Months,"&gt;="&amp;C$1,MRR_Export_Months,"&lt;"&amp;D$1)</f>
        <v>-1016</v>
      </c>
      <c r="D40" s="119">
        <f t="shared" si="30"/>
        <v>-3045</v>
      </c>
      <c r="E40" s="119">
        <f t="shared" si="30"/>
        <v>-4000</v>
      </c>
      <c r="F40" s="119">
        <f t="shared" si="30"/>
        <v>-7821</v>
      </c>
      <c r="G40" s="119">
        <f t="shared" si="30"/>
        <v>-1299</v>
      </c>
      <c r="H40" s="119">
        <f t="shared" si="30"/>
        <v>-2598</v>
      </c>
      <c r="I40" s="119">
        <f t="shared" si="30"/>
        <v>-7812</v>
      </c>
      <c r="J40" s="119">
        <f t="shared" si="30"/>
        <v>-8364</v>
      </c>
      <c r="K40" s="119">
        <f t="shared" si="30"/>
        <v>-8533</v>
      </c>
      <c r="L40" s="119">
        <f t="shared" si="30"/>
        <v>-8825</v>
      </c>
      <c r="M40" s="119">
        <f t="shared" si="30"/>
        <v>-8574</v>
      </c>
      <c r="N40" s="119">
        <f t="shared" si="30"/>
        <v>-8644</v>
      </c>
      <c r="O40" s="119">
        <f t="shared" si="30"/>
        <v>-8681</v>
      </c>
      <c r="P40" s="119">
        <f t="shared" si="30"/>
        <v>-8633</v>
      </c>
      <c r="Q40" s="119">
        <f t="shared" si="30"/>
        <v>-10383</v>
      </c>
      <c r="R40" s="119">
        <f t="shared" si="30"/>
        <v>-2350</v>
      </c>
      <c r="S40" s="119">
        <f t="shared" si="30"/>
        <v>-10374</v>
      </c>
      <c r="T40" s="119">
        <f t="shared" si="30"/>
        <v>-12109</v>
      </c>
      <c r="U40" s="119">
        <f t="shared" si="30"/>
        <v>-15664.931907563025</v>
      </c>
      <c r="V40" s="119">
        <f t="shared" si="30"/>
        <v>-14187.685782436285</v>
      </c>
      <c r="W40" s="119">
        <f t="shared" si="30"/>
        <v>-15378.463306457343</v>
      </c>
      <c r="X40" s="119">
        <f t="shared" si="30"/>
        <v>-16660.463306457299</v>
      </c>
      <c r="Y40" s="119">
        <f t="shared" si="30"/>
        <v>-15195.463306457301</v>
      </c>
      <c r="Z40" s="119">
        <f t="shared" si="30"/>
        <v>-18807.463306457299</v>
      </c>
      <c r="AA40" s="119">
        <f t="shared" si="30"/>
        <v>-19092.463306457299</v>
      </c>
      <c r="AB40" s="119">
        <f t="shared" si="30"/>
        <v>-21654.463306457299</v>
      </c>
      <c r="AC40" s="119">
        <f t="shared" si="30"/>
        <v>-34418</v>
      </c>
      <c r="AD40" s="119">
        <f t="shared" si="30"/>
        <v>-38975</v>
      </c>
      <c r="AE40" s="120">
        <f t="shared" ref="AE40:BV40" si="31">AE37*AE39</f>
        <v>-41335.085709052648</v>
      </c>
      <c r="AF40" s="120">
        <f t="shared" ca="1" si="31"/>
        <v>-32758.474089633841</v>
      </c>
      <c r="AG40" s="120">
        <f t="shared" ca="1" si="31"/>
        <v>-23750.950270577672</v>
      </c>
      <c r="AH40" s="120">
        <f t="shared" ca="1" si="31"/>
        <v>-24716.091829608391</v>
      </c>
      <c r="AI40" s="120">
        <f t="shared" ca="1" si="31"/>
        <v>-20473.179171900298</v>
      </c>
      <c r="AJ40" s="120">
        <f t="shared" ca="1" si="31"/>
        <v>-20766.140441716903</v>
      </c>
      <c r="AK40" s="120">
        <f t="shared" ca="1" si="31"/>
        <v>-21266.014253988564</v>
      </c>
      <c r="AL40" s="120">
        <f t="shared" ca="1" si="31"/>
        <v>-21633.833574438187</v>
      </c>
      <c r="AM40" s="120">
        <f t="shared" ca="1" si="31"/>
        <v>-22054.830401781594</v>
      </c>
      <c r="AN40" s="120">
        <f t="shared" ca="1" si="31"/>
        <v>-22498.376192353422</v>
      </c>
      <c r="AO40" s="120">
        <f t="shared" ca="1" si="31"/>
        <v>-22942.844860211881</v>
      </c>
      <c r="AP40" s="120">
        <f t="shared" ca="1" si="31"/>
        <v>-23392.073866091796</v>
      </c>
      <c r="AQ40" s="120">
        <f t="shared" ca="1" si="31"/>
        <v>-23871.532018386155</v>
      </c>
      <c r="AR40" s="120">
        <f t="shared" ca="1" si="31"/>
        <v>-24372.871381789446</v>
      </c>
      <c r="AS40" s="120">
        <f t="shared" ca="1" si="31"/>
        <v>-24872.04978130541</v>
      </c>
      <c r="AT40" s="120">
        <f t="shared" ca="1" si="31"/>
        <v>-25398.089443949</v>
      </c>
      <c r="AU40" s="120">
        <f t="shared" ca="1" si="31"/>
        <v>-25918.508784194386</v>
      </c>
      <c r="AV40" s="120">
        <f t="shared" ca="1" si="31"/>
        <v>-26466.023666121131</v>
      </c>
      <c r="AW40" s="120">
        <f t="shared" ca="1" si="31"/>
        <v>-27039.765904016029</v>
      </c>
      <c r="AX40" s="120">
        <f t="shared" ca="1" si="31"/>
        <v>-27608.204070198848</v>
      </c>
      <c r="AY40" s="121">
        <f t="shared" ca="1" si="31"/>
        <v>-28202.871181221555</v>
      </c>
      <c r="AZ40" s="121">
        <f t="shared" ca="1" si="31"/>
        <v>-28760.927937189663</v>
      </c>
      <c r="BA40" s="121">
        <f t="shared" ca="1" si="31"/>
        <v>-29345.169603379862</v>
      </c>
      <c r="BB40" s="121">
        <f t="shared" ca="1" si="31"/>
        <v>-29924.176640290236</v>
      </c>
      <c r="BC40" s="121">
        <f t="shared" ca="1" si="31"/>
        <v>-30497.963113266305</v>
      </c>
      <c r="BD40" s="121">
        <f t="shared" ca="1" si="31"/>
        <v>-31066.583903284907</v>
      </c>
      <c r="BE40" s="121">
        <f t="shared" ca="1" si="31"/>
        <v>-31661.317518912929</v>
      </c>
      <c r="BF40" s="121">
        <f t="shared" ca="1" si="31"/>
        <v>-32250.696179067305</v>
      </c>
      <c r="BG40" s="121">
        <f t="shared" ca="1" si="31"/>
        <v>-32865.996658337208</v>
      </c>
      <c r="BH40" s="121">
        <f t="shared" ca="1" si="31"/>
        <v>-33475.760151016533</v>
      </c>
      <c r="BI40" s="121">
        <f t="shared" ca="1" si="31"/>
        <v>-34080.035248337663</v>
      </c>
      <c r="BJ40" s="121">
        <f t="shared" ca="1" si="31"/>
        <v>-34710.098084874167</v>
      </c>
      <c r="BK40" s="121">
        <f t="shared" ca="1" si="31"/>
        <v>-35334.490460476831</v>
      </c>
      <c r="BL40" s="121">
        <f t="shared" ca="1" si="31"/>
        <v>-35953.263197410917</v>
      </c>
      <c r="BM40" s="121">
        <f t="shared" ca="1" si="31"/>
        <v>-36597.693122632241</v>
      </c>
      <c r="BN40" s="121">
        <f t="shared" ca="1" si="31"/>
        <v>-37236.32319025616</v>
      </c>
      <c r="BO40" s="121">
        <f t="shared" ca="1" si="31"/>
        <v>-37900.431673191422</v>
      </c>
      <c r="BP40" s="121">
        <f t="shared" ca="1" si="31"/>
        <v>-38558.563189471555</v>
      </c>
      <c r="BQ40" s="121">
        <f t="shared" ca="1" si="31"/>
        <v>-39210.771522481271</v>
      </c>
      <c r="BR40" s="121">
        <f t="shared" ca="1" si="31"/>
        <v>-39888.336083201975</v>
      </c>
      <c r="BS40" s="121">
        <f t="shared" ca="1" si="31"/>
        <v>-40559.802565127771</v>
      </c>
      <c r="BT40" s="121">
        <f t="shared" ca="1" si="31"/>
        <v>-41256.45195464867</v>
      </c>
      <c r="BU40" s="121">
        <f t="shared" ca="1" si="31"/>
        <v>-41946.83149911189</v>
      </c>
      <c r="BV40" s="121">
        <f t="shared" ca="1" si="31"/>
        <v>-42662.223734399151</v>
      </c>
    </row>
    <row r="41" spans="1:74" ht="15" x14ac:dyDescent="0.25">
      <c r="A41" s="130"/>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row>
    <row r="42" spans="1:74" ht="15" x14ac:dyDescent="0.25">
      <c r="A42" s="130" t="s">
        <v>95</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row>
    <row r="43" spans="1:74" ht="12.75" hidden="1" x14ac:dyDescent="0.2">
      <c r="A43" s="144" t="s">
        <v>116</v>
      </c>
      <c r="B43" s="145"/>
      <c r="C43" s="146">
        <v>0</v>
      </c>
      <c r="D43" s="146">
        <v>0</v>
      </c>
      <c r="E43" s="146">
        <v>0</v>
      </c>
      <c r="F43" s="146">
        <v>0</v>
      </c>
      <c r="G43" s="146">
        <v>0</v>
      </c>
      <c r="H43" s="146">
        <v>0</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39">
        <f t="shared" ref="AE43:BV43" si="32">S43-S45+S12</f>
        <v>0</v>
      </c>
      <c r="AF43" s="139">
        <f t="shared" si="32"/>
        <v>0</v>
      </c>
      <c r="AG43" s="139">
        <f t="shared" si="32"/>
        <v>0</v>
      </c>
      <c r="AH43" s="139">
        <f t="shared" si="32"/>
        <v>0</v>
      </c>
      <c r="AI43" s="139">
        <f t="shared" si="32"/>
        <v>0</v>
      </c>
      <c r="AJ43" s="139">
        <f t="shared" si="32"/>
        <v>0</v>
      </c>
      <c r="AK43" s="139">
        <f t="shared" si="32"/>
        <v>0</v>
      </c>
      <c r="AL43" s="139">
        <f t="shared" si="32"/>
        <v>0</v>
      </c>
      <c r="AM43" s="139">
        <f t="shared" si="32"/>
        <v>0</v>
      </c>
      <c r="AN43" s="139">
        <f t="shared" si="32"/>
        <v>0</v>
      </c>
      <c r="AO43" s="139">
        <f t="shared" si="32"/>
        <v>0</v>
      </c>
      <c r="AP43" s="139">
        <f t="shared" si="32"/>
        <v>0</v>
      </c>
      <c r="AQ43" s="139">
        <f t="shared" ca="1" si="32"/>
        <v>0</v>
      </c>
      <c r="AR43" s="139">
        <f t="shared" ca="1" si="32"/>
        <v>0</v>
      </c>
      <c r="AS43" s="139">
        <f t="shared" ca="1" si="32"/>
        <v>0</v>
      </c>
      <c r="AT43" s="139">
        <f t="shared" ca="1" si="32"/>
        <v>0</v>
      </c>
      <c r="AU43" s="139">
        <f t="shared" ca="1" si="32"/>
        <v>0</v>
      </c>
      <c r="AV43" s="139">
        <f t="shared" ca="1" si="32"/>
        <v>0</v>
      </c>
      <c r="AW43" s="139">
        <f t="shared" ca="1" si="32"/>
        <v>0</v>
      </c>
      <c r="AX43" s="139">
        <f t="shared" ca="1" si="32"/>
        <v>0</v>
      </c>
      <c r="AY43" s="140">
        <f t="shared" ca="1" si="32"/>
        <v>0</v>
      </c>
      <c r="AZ43" s="140">
        <f t="shared" ca="1" si="32"/>
        <v>0</v>
      </c>
      <c r="BA43" s="140">
        <f t="shared" ca="1" si="32"/>
        <v>0</v>
      </c>
      <c r="BB43" s="140">
        <f t="shared" ca="1" si="32"/>
        <v>0</v>
      </c>
      <c r="BC43" s="140">
        <f t="shared" ca="1" si="32"/>
        <v>0</v>
      </c>
      <c r="BD43" s="140">
        <f t="shared" ca="1" si="32"/>
        <v>0</v>
      </c>
      <c r="BE43" s="140">
        <f t="shared" ca="1" si="32"/>
        <v>0</v>
      </c>
      <c r="BF43" s="140">
        <f t="shared" ca="1" si="32"/>
        <v>0</v>
      </c>
      <c r="BG43" s="140">
        <f t="shared" ca="1" si="32"/>
        <v>0</v>
      </c>
      <c r="BH43" s="140">
        <f t="shared" ca="1" si="32"/>
        <v>0</v>
      </c>
      <c r="BI43" s="140">
        <f t="shared" ca="1" si="32"/>
        <v>0</v>
      </c>
      <c r="BJ43" s="140">
        <f t="shared" ca="1" si="32"/>
        <v>0</v>
      </c>
      <c r="BK43" s="140">
        <f t="shared" ca="1" si="32"/>
        <v>0</v>
      </c>
      <c r="BL43" s="140">
        <f t="shared" ca="1" si="32"/>
        <v>0</v>
      </c>
      <c r="BM43" s="140">
        <f t="shared" ca="1" si="32"/>
        <v>0</v>
      </c>
      <c r="BN43" s="140">
        <f t="shared" ca="1" si="32"/>
        <v>0</v>
      </c>
      <c r="BO43" s="140">
        <f t="shared" ca="1" si="32"/>
        <v>0</v>
      </c>
      <c r="BP43" s="140">
        <f t="shared" ca="1" si="32"/>
        <v>0</v>
      </c>
      <c r="BQ43" s="140">
        <f t="shared" ca="1" si="32"/>
        <v>0</v>
      </c>
      <c r="BR43" s="140">
        <f t="shared" ca="1" si="32"/>
        <v>0</v>
      </c>
      <c r="BS43" s="140">
        <f t="shared" ca="1" si="32"/>
        <v>0</v>
      </c>
      <c r="BT43" s="140">
        <f t="shared" ca="1" si="32"/>
        <v>0</v>
      </c>
      <c r="BU43" s="140">
        <f t="shared" ca="1" si="32"/>
        <v>0</v>
      </c>
      <c r="BV43" s="140">
        <f t="shared" ca="1" si="32"/>
        <v>0</v>
      </c>
    </row>
    <row r="44" spans="1:74" ht="12.75" hidden="1" x14ac:dyDescent="0.2">
      <c r="A44" s="132" t="s">
        <v>117</v>
      </c>
      <c r="B44" s="102"/>
      <c r="C44" s="147">
        <f t="shared" ref="C44:AD44" si="33">IFERROR(C45/C43,0)</f>
        <v>0</v>
      </c>
      <c r="D44" s="147">
        <f t="shared" si="33"/>
        <v>0</v>
      </c>
      <c r="E44" s="147">
        <f t="shared" si="33"/>
        <v>0</v>
      </c>
      <c r="F44" s="147">
        <f t="shared" si="33"/>
        <v>0</v>
      </c>
      <c r="G44" s="147">
        <f t="shared" si="33"/>
        <v>0</v>
      </c>
      <c r="H44" s="147">
        <f t="shared" si="33"/>
        <v>0</v>
      </c>
      <c r="I44" s="147">
        <f t="shared" si="33"/>
        <v>0</v>
      </c>
      <c r="J44" s="147">
        <f t="shared" si="33"/>
        <v>0</v>
      </c>
      <c r="K44" s="147">
        <f t="shared" si="33"/>
        <v>0</v>
      </c>
      <c r="L44" s="147">
        <f t="shared" si="33"/>
        <v>0</v>
      </c>
      <c r="M44" s="147">
        <f t="shared" si="33"/>
        <v>0</v>
      </c>
      <c r="N44" s="147">
        <f t="shared" si="33"/>
        <v>0</v>
      </c>
      <c r="O44" s="147">
        <f t="shared" si="33"/>
        <v>0</v>
      </c>
      <c r="P44" s="147">
        <f t="shared" si="33"/>
        <v>0</v>
      </c>
      <c r="Q44" s="147">
        <f t="shared" si="33"/>
        <v>0</v>
      </c>
      <c r="R44" s="147">
        <f t="shared" si="33"/>
        <v>0</v>
      </c>
      <c r="S44" s="147">
        <f t="shared" si="33"/>
        <v>0</v>
      </c>
      <c r="T44" s="147">
        <f t="shared" si="33"/>
        <v>0</v>
      </c>
      <c r="U44" s="147">
        <f t="shared" si="33"/>
        <v>0</v>
      </c>
      <c r="V44" s="147">
        <f t="shared" si="33"/>
        <v>0</v>
      </c>
      <c r="W44" s="147">
        <f t="shared" si="33"/>
        <v>0</v>
      </c>
      <c r="X44" s="147">
        <f t="shared" si="33"/>
        <v>0</v>
      </c>
      <c r="Y44" s="147">
        <f t="shared" si="33"/>
        <v>0</v>
      </c>
      <c r="Z44" s="147">
        <f t="shared" si="33"/>
        <v>0</v>
      </c>
      <c r="AA44" s="147">
        <f t="shared" si="33"/>
        <v>0</v>
      </c>
      <c r="AB44" s="147">
        <f t="shared" si="33"/>
        <v>0</v>
      </c>
      <c r="AC44" s="147">
        <f t="shared" si="33"/>
        <v>0</v>
      </c>
      <c r="AD44" s="147">
        <f t="shared" si="33"/>
        <v>0</v>
      </c>
      <c r="AE44" s="135">
        <f t="shared" ref="AE44:BV44" si="34">IFERROR(MEDIAN(AB44:AD44),0)</f>
        <v>0</v>
      </c>
      <c r="AF44" s="135">
        <f t="shared" si="34"/>
        <v>0</v>
      </c>
      <c r="AG44" s="135">
        <f t="shared" si="34"/>
        <v>0</v>
      </c>
      <c r="AH44" s="135">
        <f t="shared" si="34"/>
        <v>0</v>
      </c>
      <c r="AI44" s="135">
        <f t="shared" si="34"/>
        <v>0</v>
      </c>
      <c r="AJ44" s="135">
        <f t="shared" si="34"/>
        <v>0</v>
      </c>
      <c r="AK44" s="135">
        <f t="shared" si="34"/>
        <v>0</v>
      </c>
      <c r="AL44" s="135">
        <f t="shared" si="34"/>
        <v>0</v>
      </c>
      <c r="AM44" s="135">
        <f t="shared" si="34"/>
        <v>0</v>
      </c>
      <c r="AN44" s="135">
        <f t="shared" si="34"/>
        <v>0</v>
      </c>
      <c r="AO44" s="135">
        <f t="shared" si="34"/>
        <v>0</v>
      </c>
      <c r="AP44" s="135">
        <f t="shared" si="34"/>
        <v>0</v>
      </c>
      <c r="AQ44" s="135">
        <f t="shared" si="34"/>
        <v>0</v>
      </c>
      <c r="AR44" s="135">
        <f t="shared" si="34"/>
        <v>0</v>
      </c>
      <c r="AS44" s="135">
        <f t="shared" si="34"/>
        <v>0</v>
      </c>
      <c r="AT44" s="135">
        <f t="shared" si="34"/>
        <v>0</v>
      </c>
      <c r="AU44" s="135">
        <f t="shared" si="34"/>
        <v>0</v>
      </c>
      <c r="AV44" s="135">
        <f t="shared" si="34"/>
        <v>0</v>
      </c>
      <c r="AW44" s="135">
        <f t="shared" si="34"/>
        <v>0</v>
      </c>
      <c r="AX44" s="135">
        <f t="shared" si="34"/>
        <v>0</v>
      </c>
      <c r="AY44" s="136">
        <f t="shared" si="34"/>
        <v>0</v>
      </c>
      <c r="AZ44" s="136">
        <f t="shared" si="34"/>
        <v>0</v>
      </c>
      <c r="BA44" s="136">
        <f t="shared" si="34"/>
        <v>0</v>
      </c>
      <c r="BB44" s="136">
        <f t="shared" si="34"/>
        <v>0</v>
      </c>
      <c r="BC44" s="136">
        <f t="shared" si="34"/>
        <v>0</v>
      </c>
      <c r="BD44" s="136">
        <f t="shared" si="34"/>
        <v>0</v>
      </c>
      <c r="BE44" s="136">
        <f t="shared" si="34"/>
        <v>0</v>
      </c>
      <c r="BF44" s="136">
        <f t="shared" si="34"/>
        <v>0</v>
      </c>
      <c r="BG44" s="136">
        <f t="shared" si="34"/>
        <v>0</v>
      </c>
      <c r="BH44" s="136">
        <f t="shared" si="34"/>
        <v>0</v>
      </c>
      <c r="BI44" s="136">
        <f t="shared" si="34"/>
        <v>0</v>
      </c>
      <c r="BJ44" s="136">
        <f t="shared" si="34"/>
        <v>0</v>
      </c>
      <c r="BK44" s="136">
        <f t="shared" si="34"/>
        <v>0</v>
      </c>
      <c r="BL44" s="136">
        <f t="shared" si="34"/>
        <v>0</v>
      </c>
      <c r="BM44" s="136">
        <f t="shared" si="34"/>
        <v>0</v>
      </c>
      <c r="BN44" s="136">
        <f t="shared" si="34"/>
        <v>0</v>
      </c>
      <c r="BO44" s="136">
        <f t="shared" si="34"/>
        <v>0</v>
      </c>
      <c r="BP44" s="136">
        <f t="shared" si="34"/>
        <v>0</v>
      </c>
      <c r="BQ44" s="136">
        <f t="shared" si="34"/>
        <v>0</v>
      </c>
      <c r="BR44" s="136">
        <f t="shared" si="34"/>
        <v>0</v>
      </c>
      <c r="BS44" s="136">
        <f t="shared" si="34"/>
        <v>0</v>
      </c>
      <c r="BT44" s="136">
        <f t="shared" si="34"/>
        <v>0</v>
      </c>
      <c r="BU44" s="136">
        <f t="shared" si="34"/>
        <v>0</v>
      </c>
      <c r="BV44" s="136">
        <f t="shared" si="34"/>
        <v>0</v>
      </c>
    </row>
    <row r="45" spans="1:74" ht="12.75" x14ac:dyDescent="0.2">
      <c r="A45" s="101" t="s">
        <v>111</v>
      </c>
      <c r="B45" s="145"/>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0">
        <f t="shared" ref="AE45:BV45" si="35">AD$65*AE46</f>
        <v>0</v>
      </c>
      <c r="AF45" s="120">
        <f t="shared" ca="1" si="35"/>
        <v>0</v>
      </c>
      <c r="AG45" s="120">
        <f t="shared" ca="1" si="35"/>
        <v>0</v>
      </c>
      <c r="AH45" s="120">
        <f t="shared" ca="1" si="35"/>
        <v>0</v>
      </c>
      <c r="AI45" s="120">
        <f t="shared" ca="1" si="35"/>
        <v>0</v>
      </c>
      <c r="AJ45" s="120">
        <f t="shared" ca="1" si="35"/>
        <v>0</v>
      </c>
      <c r="AK45" s="120">
        <f t="shared" ca="1" si="35"/>
        <v>0</v>
      </c>
      <c r="AL45" s="120">
        <f t="shared" ca="1" si="35"/>
        <v>0</v>
      </c>
      <c r="AM45" s="120">
        <f t="shared" ca="1" si="35"/>
        <v>0</v>
      </c>
      <c r="AN45" s="120">
        <f t="shared" ca="1" si="35"/>
        <v>0</v>
      </c>
      <c r="AO45" s="120">
        <f t="shared" ca="1" si="35"/>
        <v>0</v>
      </c>
      <c r="AP45" s="120">
        <f t="shared" ca="1" si="35"/>
        <v>0</v>
      </c>
      <c r="AQ45" s="120">
        <f t="shared" ca="1" si="35"/>
        <v>0</v>
      </c>
      <c r="AR45" s="120">
        <f t="shared" ca="1" si="35"/>
        <v>0</v>
      </c>
      <c r="AS45" s="120">
        <f t="shared" ca="1" si="35"/>
        <v>0</v>
      </c>
      <c r="AT45" s="120">
        <f t="shared" ca="1" si="35"/>
        <v>0</v>
      </c>
      <c r="AU45" s="120">
        <f t="shared" ca="1" si="35"/>
        <v>0</v>
      </c>
      <c r="AV45" s="120">
        <f t="shared" ca="1" si="35"/>
        <v>0</v>
      </c>
      <c r="AW45" s="120">
        <f t="shared" ca="1" si="35"/>
        <v>0</v>
      </c>
      <c r="AX45" s="120">
        <f t="shared" ca="1" si="35"/>
        <v>0</v>
      </c>
      <c r="AY45" s="121">
        <f t="shared" ca="1" si="35"/>
        <v>0</v>
      </c>
      <c r="AZ45" s="121">
        <f t="shared" ca="1" si="35"/>
        <v>0</v>
      </c>
      <c r="BA45" s="121">
        <f t="shared" ca="1" si="35"/>
        <v>0</v>
      </c>
      <c r="BB45" s="121">
        <f t="shared" ca="1" si="35"/>
        <v>0</v>
      </c>
      <c r="BC45" s="121">
        <f t="shared" ca="1" si="35"/>
        <v>0</v>
      </c>
      <c r="BD45" s="121">
        <f t="shared" ca="1" si="35"/>
        <v>0</v>
      </c>
      <c r="BE45" s="121">
        <f t="shared" ca="1" si="35"/>
        <v>0</v>
      </c>
      <c r="BF45" s="121">
        <f t="shared" ca="1" si="35"/>
        <v>0</v>
      </c>
      <c r="BG45" s="121">
        <f t="shared" ca="1" si="35"/>
        <v>0</v>
      </c>
      <c r="BH45" s="121">
        <f t="shared" ca="1" si="35"/>
        <v>0</v>
      </c>
      <c r="BI45" s="121">
        <f t="shared" ca="1" si="35"/>
        <v>0</v>
      </c>
      <c r="BJ45" s="121">
        <f t="shared" ca="1" si="35"/>
        <v>0</v>
      </c>
      <c r="BK45" s="121">
        <f t="shared" ca="1" si="35"/>
        <v>0</v>
      </c>
      <c r="BL45" s="121">
        <f t="shared" ca="1" si="35"/>
        <v>0</v>
      </c>
      <c r="BM45" s="121">
        <f t="shared" ca="1" si="35"/>
        <v>0</v>
      </c>
      <c r="BN45" s="121">
        <f t="shared" ca="1" si="35"/>
        <v>0</v>
      </c>
      <c r="BO45" s="121">
        <f t="shared" ca="1" si="35"/>
        <v>0</v>
      </c>
      <c r="BP45" s="121">
        <f t="shared" ca="1" si="35"/>
        <v>0</v>
      </c>
      <c r="BQ45" s="121">
        <f t="shared" ca="1" si="35"/>
        <v>0</v>
      </c>
      <c r="BR45" s="121">
        <f t="shared" ca="1" si="35"/>
        <v>0</v>
      </c>
      <c r="BS45" s="121">
        <f t="shared" ca="1" si="35"/>
        <v>0</v>
      </c>
      <c r="BT45" s="121">
        <f t="shared" ca="1" si="35"/>
        <v>0</v>
      </c>
      <c r="BU45" s="121">
        <f t="shared" ca="1" si="35"/>
        <v>0</v>
      </c>
      <c r="BV45" s="121">
        <f t="shared" ca="1" si="35"/>
        <v>0</v>
      </c>
    </row>
    <row r="46" spans="1:74" ht="12.75" x14ac:dyDescent="0.2">
      <c r="A46" s="132" t="s">
        <v>119</v>
      </c>
      <c r="B46" s="10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48">
        <f t="shared" ref="AE46:BV46" si="36">IFERROR(MEDIAN(AB46:AD46),0)</f>
        <v>0</v>
      </c>
      <c r="AF46" s="148">
        <f t="shared" si="36"/>
        <v>0</v>
      </c>
      <c r="AG46" s="148">
        <f t="shared" si="36"/>
        <v>0</v>
      </c>
      <c r="AH46" s="148">
        <f t="shared" si="36"/>
        <v>0</v>
      </c>
      <c r="AI46" s="148">
        <f t="shared" si="36"/>
        <v>0</v>
      </c>
      <c r="AJ46" s="148">
        <f t="shared" si="36"/>
        <v>0</v>
      </c>
      <c r="AK46" s="148">
        <f t="shared" si="36"/>
        <v>0</v>
      </c>
      <c r="AL46" s="148">
        <f t="shared" si="36"/>
        <v>0</v>
      </c>
      <c r="AM46" s="148">
        <f t="shared" si="36"/>
        <v>0</v>
      </c>
      <c r="AN46" s="148">
        <f t="shared" si="36"/>
        <v>0</v>
      </c>
      <c r="AO46" s="148">
        <f t="shared" si="36"/>
        <v>0</v>
      </c>
      <c r="AP46" s="148">
        <f t="shared" si="36"/>
        <v>0</v>
      </c>
      <c r="AQ46" s="148">
        <f t="shared" si="36"/>
        <v>0</v>
      </c>
      <c r="AR46" s="148">
        <f t="shared" si="36"/>
        <v>0</v>
      </c>
      <c r="AS46" s="148">
        <f t="shared" si="36"/>
        <v>0</v>
      </c>
      <c r="AT46" s="148">
        <f t="shared" si="36"/>
        <v>0</v>
      </c>
      <c r="AU46" s="148">
        <f t="shared" si="36"/>
        <v>0</v>
      </c>
      <c r="AV46" s="148">
        <f t="shared" si="36"/>
        <v>0</v>
      </c>
      <c r="AW46" s="148">
        <f t="shared" si="36"/>
        <v>0</v>
      </c>
      <c r="AX46" s="148">
        <f t="shared" si="36"/>
        <v>0</v>
      </c>
      <c r="AY46" s="149">
        <f t="shared" si="36"/>
        <v>0</v>
      </c>
      <c r="AZ46" s="149">
        <f t="shared" si="36"/>
        <v>0</v>
      </c>
      <c r="BA46" s="149">
        <f t="shared" si="36"/>
        <v>0</v>
      </c>
      <c r="BB46" s="149">
        <f t="shared" si="36"/>
        <v>0</v>
      </c>
      <c r="BC46" s="149">
        <f t="shared" si="36"/>
        <v>0</v>
      </c>
      <c r="BD46" s="149">
        <f t="shared" si="36"/>
        <v>0</v>
      </c>
      <c r="BE46" s="149">
        <f t="shared" si="36"/>
        <v>0</v>
      </c>
      <c r="BF46" s="149">
        <f t="shared" si="36"/>
        <v>0</v>
      </c>
      <c r="BG46" s="149">
        <f t="shared" si="36"/>
        <v>0</v>
      </c>
      <c r="BH46" s="149">
        <f t="shared" si="36"/>
        <v>0</v>
      </c>
      <c r="BI46" s="149">
        <f t="shared" si="36"/>
        <v>0</v>
      </c>
      <c r="BJ46" s="149">
        <f t="shared" si="36"/>
        <v>0</v>
      </c>
      <c r="BK46" s="149">
        <f t="shared" si="36"/>
        <v>0</v>
      </c>
      <c r="BL46" s="149">
        <f t="shared" si="36"/>
        <v>0</v>
      </c>
      <c r="BM46" s="149">
        <f t="shared" si="36"/>
        <v>0</v>
      </c>
      <c r="BN46" s="149">
        <f t="shared" si="36"/>
        <v>0</v>
      </c>
      <c r="BO46" s="149">
        <f t="shared" si="36"/>
        <v>0</v>
      </c>
      <c r="BP46" s="149">
        <f t="shared" si="36"/>
        <v>0</v>
      </c>
      <c r="BQ46" s="149">
        <f t="shared" si="36"/>
        <v>0</v>
      </c>
      <c r="BR46" s="149">
        <f t="shared" si="36"/>
        <v>0</v>
      </c>
      <c r="BS46" s="149">
        <f t="shared" si="36"/>
        <v>0</v>
      </c>
      <c r="BT46" s="149">
        <f t="shared" si="36"/>
        <v>0</v>
      </c>
      <c r="BU46" s="149">
        <f t="shared" si="36"/>
        <v>0</v>
      </c>
      <c r="BV46" s="149">
        <f t="shared" si="36"/>
        <v>0</v>
      </c>
    </row>
    <row r="47" spans="1:74" ht="12.75" x14ac:dyDescent="0.2">
      <c r="A47" s="132" t="s">
        <v>91</v>
      </c>
      <c r="B47" s="10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15">
        <f t="shared" ref="AE47:BV47" si="37">IFERROR(IF(AE46&gt;0,SUM(AB48:AD48)/SUM(AB45:AD45),0),0)</f>
        <v>0</v>
      </c>
      <c r="AF47" s="115">
        <f t="shared" si="37"/>
        <v>0</v>
      </c>
      <c r="AG47" s="115">
        <f t="shared" si="37"/>
        <v>0</v>
      </c>
      <c r="AH47" s="115">
        <f t="shared" si="37"/>
        <v>0</v>
      </c>
      <c r="AI47" s="115">
        <f t="shared" si="37"/>
        <v>0</v>
      </c>
      <c r="AJ47" s="115">
        <f t="shared" si="37"/>
        <v>0</v>
      </c>
      <c r="AK47" s="115">
        <f t="shared" si="37"/>
        <v>0</v>
      </c>
      <c r="AL47" s="115">
        <f t="shared" si="37"/>
        <v>0</v>
      </c>
      <c r="AM47" s="115">
        <f t="shared" si="37"/>
        <v>0</v>
      </c>
      <c r="AN47" s="115">
        <f t="shared" si="37"/>
        <v>0</v>
      </c>
      <c r="AO47" s="115">
        <f t="shared" si="37"/>
        <v>0</v>
      </c>
      <c r="AP47" s="115">
        <f t="shared" si="37"/>
        <v>0</v>
      </c>
      <c r="AQ47" s="115">
        <f t="shared" si="37"/>
        <v>0</v>
      </c>
      <c r="AR47" s="115">
        <f t="shared" si="37"/>
        <v>0</v>
      </c>
      <c r="AS47" s="115">
        <f t="shared" si="37"/>
        <v>0</v>
      </c>
      <c r="AT47" s="115">
        <f t="shared" si="37"/>
        <v>0</v>
      </c>
      <c r="AU47" s="115">
        <f t="shared" si="37"/>
        <v>0</v>
      </c>
      <c r="AV47" s="115">
        <f t="shared" si="37"/>
        <v>0</v>
      </c>
      <c r="AW47" s="115">
        <f t="shared" si="37"/>
        <v>0</v>
      </c>
      <c r="AX47" s="115">
        <f t="shared" si="37"/>
        <v>0</v>
      </c>
      <c r="AY47" s="116">
        <f t="shared" si="37"/>
        <v>0</v>
      </c>
      <c r="AZ47" s="116">
        <f t="shared" si="37"/>
        <v>0</v>
      </c>
      <c r="BA47" s="116">
        <f t="shared" si="37"/>
        <v>0</v>
      </c>
      <c r="BB47" s="116">
        <f t="shared" si="37"/>
        <v>0</v>
      </c>
      <c r="BC47" s="116">
        <f t="shared" si="37"/>
        <v>0</v>
      </c>
      <c r="BD47" s="116">
        <f t="shared" si="37"/>
        <v>0</v>
      </c>
      <c r="BE47" s="116">
        <f t="shared" si="37"/>
        <v>0</v>
      </c>
      <c r="BF47" s="116">
        <f t="shared" si="37"/>
        <v>0</v>
      </c>
      <c r="BG47" s="116">
        <f t="shared" si="37"/>
        <v>0</v>
      </c>
      <c r="BH47" s="116">
        <f t="shared" si="37"/>
        <v>0</v>
      </c>
      <c r="BI47" s="116">
        <f t="shared" si="37"/>
        <v>0</v>
      </c>
      <c r="BJ47" s="116">
        <f t="shared" si="37"/>
        <v>0</v>
      </c>
      <c r="BK47" s="116">
        <f t="shared" si="37"/>
        <v>0</v>
      </c>
      <c r="BL47" s="116">
        <f t="shared" si="37"/>
        <v>0</v>
      </c>
      <c r="BM47" s="116">
        <f t="shared" si="37"/>
        <v>0</v>
      </c>
      <c r="BN47" s="116">
        <f t="shared" si="37"/>
        <v>0</v>
      </c>
      <c r="BO47" s="116">
        <f t="shared" si="37"/>
        <v>0</v>
      </c>
      <c r="BP47" s="116">
        <f t="shared" si="37"/>
        <v>0</v>
      </c>
      <c r="BQ47" s="116">
        <f t="shared" si="37"/>
        <v>0</v>
      </c>
      <c r="BR47" s="116">
        <f t="shared" si="37"/>
        <v>0</v>
      </c>
      <c r="BS47" s="116">
        <f t="shared" si="37"/>
        <v>0</v>
      </c>
      <c r="BT47" s="116">
        <f t="shared" si="37"/>
        <v>0</v>
      </c>
      <c r="BU47" s="116">
        <f t="shared" si="37"/>
        <v>0</v>
      </c>
      <c r="BV47" s="116">
        <f t="shared" si="37"/>
        <v>0</v>
      </c>
    </row>
    <row r="48" spans="1:74" ht="12.75" x14ac:dyDescent="0.2">
      <c r="A48" s="137" t="s">
        <v>115</v>
      </c>
      <c r="B48" s="10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0">
        <f t="shared" ref="AE48:BV48" si="38">AE45*AE47</f>
        <v>0</v>
      </c>
      <c r="AF48" s="120">
        <f t="shared" ca="1" si="38"/>
        <v>0</v>
      </c>
      <c r="AG48" s="120">
        <f t="shared" ca="1" si="38"/>
        <v>0</v>
      </c>
      <c r="AH48" s="120">
        <f t="shared" ca="1" si="38"/>
        <v>0</v>
      </c>
      <c r="AI48" s="120">
        <f t="shared" ca="1" si="38"/>
        <v>0</v>
      </c>
      <c r="AJ48" s="120">
        <f t="shared" ca="1" si="38"/>
        <v>0</v>
      </c>
      <c r="AK48" s="120">
        <f t="shared" ca="1" si="38"/>
        <v>0</v>
      </c>
      <c r="AL48" s="120">
        <f t="shared" ca="1" si="38"/>
        <v>0</v>
      </c>
      <c r="AM48" s="120">
        <f t="shared" ca="1" si="38"/>
        <v>0</v>
      </c>
      <c r="AN48" s="120">
        <f t="shared" ca="1" si="38"/>
        <v>0</v>
      </c>
      <c r="AO48" s="120">
        <f t="shared" ca="1" si="38"/>
        <v>0</v>
      </c>
      <c r="AP48" s="120">
        <f t="shared" ca="1" si="38"/>
        <v>0</v>
      </c>
      <c r="AQ48" s="120">
        <f t="shared" ca="1" si="38"/>
        <v>0</v>
      </c>
      <c r="AR48" s="120">
        <f t="shared" ca="1" si="38"/>
        <v>0</v>
      </c>
      <c r="AS48" s="120">
        <f t="shared" ca="1" si="38"/>
        <v>0</v>
      </c>
      <c r="AT48" s="120">
        <f t="shared" ca="1" si="38"/>
        <v>0</v>
      </c>
      <c r="AU48" s="120">
        <f t="shared" ca="1" si="38"/>
        <v>0</v>
      </c>
      <c r="AV48" s="120">
        <f t="shared" ca="1" si="38"/>
        <v>0</v>
      </c>
      <c r="AW48" s="120">
        <f t="shared" ca="1" si="38"/>
        <v>0</v>
      </c>
      <c r="AX48" s="120">
        <f t="shared" ca="1" si="38"/>
        <v>0</v>
      </c>
      <c r="AY48" s="121">
        <f t="shared" ca="1" si="38"/>
        <v>0</v>
      </c>
      <c r="AZ48" s="121">
        <f t="shared" ca="1" si="38"/>
        <v>0</v>
      </c>
      <c r="BA48" s="121">
        <f t="shared" ca="1" si="38"/>
        <v>0</v>
      </c>
      <c r="BB48" s="121">
        <f t="shared" ca="1" si="38"/>
        <v>0</v>
      </c>
      <c r="BC48" s="121">
        <f t="shared" ca="1" si="38"/>
        <v>0</v>
      </c>
      <c r="BD48" s="121">
        <f t="shared" ca="1" si="38"/>
        <v>0</v>
      </c>
      <c r="BE48" s="121">
        <f t="shared" ca="1" si="38"/>
        <v>0</v>
      </c>
      <c r="BF48" s="121">
        <f t="shared" ca="1" si="38"/>
        <v>0</v>
      </c>
      <c r="BG48" s="121">
        <f t="shared" ca="1" si="38"/>
        <v>0</v>
      </c>
      <c r="BH48" s="121">
        <f t="shared" ca="1" si="38"/>
        <v>0</v>
      </c>
      <c r="BI48" s="121">
        <f t="shared" ca="1" si="38"/>
        <v>0</v>
      </c>
      <c r="BJ48" s="121">
        <f t="shared" ca="1" si="38"/>
        <v>0</v>
      </c>
      <c r="BK48" s="121">
        <f t="shared" ca="1" si="38"/>
        <v>0</v>
      </c>
      <c r="BL48" s="121">
        <f t="shared" ca="1" si="38"/>
        <v>0</v>
      </c>
      <c r="BM48" s="121">
        <f t="shared" ca="1" si="38"/>
        <v>0</v>
      </c>
      <c r="BN48" s="121">
        <f t="shared" ca="1" si="38"/>
        <v>0</v>
      </c>
      <c r="BO48" s="121">
        <f t="shared" ca="1" si="38"/>
        <v>0</v>
      </c>
      <c r="BP48" s="121">
        <f t="shared" ca="1" si="38"/>
        <v>0</v>
      </c>
      <c r="BQ48" s="121">
        <f t="shared" ca="1" si="38"/>
        <v>0</v>
      </c>
      <c r="BR48" s="121">
        <f t="shared" ca="1" si="38"/>
        <v>0</v>
      </c>
      <c r="BS48" s="121">
        <f t="shared" ca="1" si="38"/>
        <v>0</v>
      </c>
      <c r="BT48" s="121">
        <f t="shared" ca="1" si="38"/>
        <v>0</v>
      </c>
      <c r="BU48" s="121">
        <f t="shared" ca="1" si="38"/>
        <v>0</v>
      </c>
      <c r="BV48" s="121">
        <f t="shared" ca="1" si="38"/>
        <v>0</v>
      </c>
    </row>
    <row r="49" spans="1:74" ht="15" x14ac:dyDescent="0.25">
      <c r="A49" s="127"/>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row>
    <row r="50" spans="1:74" x14ac:dyDescent="0.25">
      <c r="A50" s="129" t="s">
        <v>120</v>
      </c>
      <c r="B50" s="96"/>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row>
    <row r="51" spans="1:74" ht="15" hidden="1" x14ac:dyDescent="0.25">
      <c r="A51" s="130" t="s">
        <v>88</v>
      </c>
      <c r="B51" s="102"/>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row>
    <row r="52" spans="1:74" ht="12.75" x14ac:dyDescent="0.2">
      <c r="A52" s="137" t="s">
        <v>121</v>
      </c>
      <c r="B52" s="112"/>
      <c r="C52" s="119">
        <f t="shared" ref="C52:AD52" si="39">SUMIFS(MRR_Export_Contraction_Count,MRR_Export_Months,"&gt;="&amp;C$1,MRR_Export_Months,"&lt;"&amp;D$1)</f>
        <v>1</v>
      </c>
      <c r="D52" s="119">
        <f t="shared" si="39"/>
        <v>2</v>
      </c>
      <c r="E52" s="119">
        <f t="shared" si="39"/>
        <v>2</v>
      </c>
      <c r="F52" s="119">
        <f t="shared" si="39"/>
        <v>1</v>
      </c>
      <c r="G52" s="119">
        <f t="shared" si="39"/>
        <v>2</v>
      </c>
      <c r="H52" s="119">
        <f t="shared" si="39"/>
        <v>1</v>
      </c>
      <c r="I52" s="119">
        <f t="shared" si="39"/>
        <v>2</v>
      </c>
      <c r="J52" s="119">
        <f t="shared" si="39"/>
        <v>3</v>
      </c>
      <c r="K52" s="119">
        <f t="shared" si="39"/>
        <v>3</v>
      </c>
      <c r="L52" s="119">
        <f t="shared" si="39"/>
        <v>4</v>
      </c>
      <c r="M52" s="119">
        <f t="shared" si="39"/>
        <v>4</v>
      </c>
      <c r="N52" s="119">
        <f t="shared" si="39"/>
        <v>5</v>
      </c>
      <c r="O52" s="119">
        <f t="shared" si="39"/>
        <v>5</v>
      </c>
      <c r="P52" s="119">
        <f t="shared" si="39"/>
        <v>6</v>
      </c>
      <c r="Q52" s="119">
        <f t="shared" si="39"/>
        <v>6</v>
      </c>
      <c r="R52" s="119">
        <f t="shared" si="39"/>
        <v>1</v>
      </c>
      <c r="S52" s="119">
        <f t="shared" si="39"/>
        <v>7</v>
      </c>
      <c r="T52" s="119">
        <f t="shared" si="39"/>
        <v>7</v>
      </c>
      <c r="U52" s="119">
        <f t="shared" si="39"/>
        <v>7</v>
      </c>
      <c r="V52" s="119">
        <f t="shared" si="39"/>
        <v>7</v>
      </c>
      <c r="W52" s="119">
        <f t="shared" si="39"/>
        <v>7</v>
      </c>
      <c r="X52" s="119">
        <f t="shared" si="39"/>
        <v>7</v>
      </c>
      <c r="Y52" s="119">
        <f t="shared" si="39"/>
        <v>7</v>
      </c>
      <c r="Z52" s="119">
        <f t="shared" si="39"/>
        <v>10</v>
      </c>
      <c r="AA52" s="119">
        <f t="shared" si="39"/>
        <v>15</v>
      </c>
      <c r="AB52" s="119">
        <f t="shared" si="39"/>
        <v>17</v>
      </c>
      <c r="AC52" s="119">
        <f t="shared" si="39"/>
        <v>17</v>
      </c>
      <c r="AD52" s="119">
        <f t="shared" si="39"/>
        <v>19</v>
      </c>
      <c r="AE52" s="150">
        <f t="shared" ref="AE52:BV52" si="40">AE53*AD$65</f>
        <v>16.686</v>
      </c>
      <c r="AF52" s="150">
        <f t="shared" ca="1" si="40"/>
        <v>15.581450000000002</v>
      </c>
      <c r="AG52" s="150">
        <f t="shared" ca="1" si="40"/>
        <v>13.902000859999999</v>
      </c>
      <c r="AH52" s="150">
        <f t="shared" ca="1" si="40"/>
        <v>13.523120720970001</v>
      </c>
      <c r="AI52" s="150">
        <f t="shared" ca="1" si="40"/>
        <v>13.097491802894599</v>
      </c>
      <c r="AJ52" s="150">
        <f t="shared" ca="1" si="40"/>
        <v>12.005652939001694</v>
      </c>
      <c r="AK52" s="150">
        <f t="shared" ca="1" si="40"/>
        <v>13.599557847278533</v>
      </c>
      <c r="AL52" s="150">
        <f t="shared" ca="1" si="40"/>
        <v>13.857161826653027</v>
      </c>
      <c r="AM52" s="150">
        <f t="shared" ca="1" si="40"/>
        <v>14.13244737021315</v>
      </c>
      <c r="AN52" s="150">
        <f t="shared" ca="1" si="40"/>
        <v>14.405255343881231</v>
      </c>
      <c r="AO52" s="150">
        <f t="shared" ca="1" si="40"/>
        <v>14.695608045786301</v>
      </c>
      <c r="AP52" s="150">
        <f t="shared" ca="1" si="40"/>
        <v>14.983347573374225</v>
      </c>
      <c r="AQ52" s="150">
        <f t="shared" ca="1" si="40"/>
        <v>15.288497445213856</v>
      </c>
      <c r="AR52" s="150">
        <f t="shared" ca="1" si="40"/>
        <v>15.610900968206932</v>
      </c>
      <c r="AS52" s="150">
        <f t="shared" ca="1" si="40"/>
        <v>15.93040285949307</v>
      </c>
      <c r="AT52" s="150">
        <f t="shared" ca="1" si="40"/>
        <v>16.267029233757633</v>
      </c>
      <c r="AU52" s="150">
        <f t="shared" ca="1" si="40"/>
        <v>16.600625970653816</v>
      </c>
      <c r="AV52" s="150">
        <f t="shared" ca="1" si="40"/>
        <v>16.951220336917931</v>
      </c>
      <c r="AW52" s="150">
        <f t="shared" ca="1" si="40"/>
        <v>17.318659353885668</v>
      </c>
      <c r="AX52" s="150">
        <f t="shared" ca="1" si="40"/>
        <v>17.682791419700699</v>
      </c>
      <c r="AY52" s="152">
        <f t="shared" ca="1" si="40"/>
        <v>18.063646296923391</v>
      </c>
      <c r="AZ52" s="152">
        <f t="shared" ca="1" si="40"/>
        <v>18.421073480251081</v>
      </c>
      <c r="BA52" s="152">
        <f t="shared" ca="1" si="40"/>
        <v>18.795283818928819</v>
      </c>
      <c r="BB52" s="152">
        <f t="shared" ca="1" si="40"/>
        <v>19.166126264558461</v>
      </c>
      <c r="BC52" s="152">
        <f t="shared" ca="1" si="40"/>
        <v>19.533631128177436</v>
      </c>
      <c r="BD52" s="152">
        <f t="shared" ca="1" si="40"/>
        <v>19.897828448023837</v>
      </c>
      <c r="BE52" s="152">
        <f t="shared" ca="1" si="40"/>
        <v>20.278747991991626</v>
      </c>
      <c r="BF52" s="152">
        <f t="shared" ca="1" si="40"/>
        <v>20.6562392600637</v>
      </c>
      <c r="BG52" s="152">
        <f t="shared" ca="1" si="40"/>
        <v>21.050333106723123</v>
      </c>
      <c r="BH52" s="152">
        <f t="shared" ca="1" si="40"/>
        <v>21.440880108762617</v>
      </c>
      <c r="BI52" s="152">
        <f t="shared" ca="1" si="40"/>
        <v>21.827912187783756</v>
      </c>
      <c r="BJ52" s="152">
        <f t="shared" ca="1" si="40"/>
        <v>22.2314609780937</v>
      </c>
      <c r="BK52" s="152">
        <f t="shared" ca="1" si="40"/>
        <v>22.631377829290859</v>
      </c>
      <c r="BL52" s="152">
        <f t="shared" ca="1" si="40"/>
        <v>23.027695428827244</v>
      </c>
      <c r="BM52" s="152">
        <f t="shared" ca="1" si="40"/>
        <v>23.440446169967796</v>
      </c>
      <c r="BN52" s="152">
        <f t="shared" ca="1" si="40"/>
        <v>23.849482154438082</v>
      </c>
      <c r="BO52" s="152">
        <f t="shared" ca="1" si="40"/>
        <v>24.27483681504814</v>
      </c>
      <c r="BP52" s="152">
        <f t="shared" ca="1" si="40"/>
        <v>24.696363283712703</v>
      </c>
      <c r="BQ52" s="152">
        <f t="shared" ca="1" si="40"/>
        <v>25.114096014159291</v>
      </c>
      <c r="BR52" s="152">
        <f t="shared" ca="1" si="40"/>
        <v>25.548069150031857</v>
      </c>
      <c r="BS52" s="152">
        <f t="shared" ca="1" si="40"/>
        <v>25.978136527681567</v>
      </c>
      <c r="BT52" s="152">
        <f t="shared" ca="1" si="40"/>
        <v>26.424333298932435</v>
      </c>
      <c r="BU52" s="152">
        <f t="shared" ca="1" si="40"/>
        <v>26.866514299242041</v>
      </c>
      <c r="BV52" s="152">
        <f t="shared" ca="1" si="40"/>
        <v>27.324715670548862</v>
      </c>
    </row>
    <row r="53" spans="1:74" ht="12.75" x14ac:dyDescent="0.2">
      <c r="A53" s="23" t="s">
        <v>122</v>
      </c>
      <c r="B53" s="117"/>
      <c r="C53" s="133" t="str">
        <f t="shared" ref="C53:AD53" si="41">IFERROR(C52/B$65," ")</f>
        <v xml:space="preserve"> </v>
      </c>
      <c r="D53" s="133">
        <f t="shared" si="41"/>
        <v>8.4388185654008432E-3</v>
      </c>
      <c r="E53" s="133">
        <f t="shared" si="41"/>
        <v>9.1743119266055051E-3</v>
      </c>
      <c r="F53" s="133">
        <f t="shared" si="41"/>
        <v>4.3859649122807015E-3</v>
      </c>
      <c r="G53" s="133">
        <f t="shared" si="41"/>
        <v>8.4033613445378148E-3</v>
      </c>
      <c r="H53" s="133">
        <f t="shared" si="41"/>
        <v>3.9840637450199202E-3</v>
      </c>
      <c r="I53" s="133">
        <f t="shared" si="41"/>
        <v>7.7220077220077222E-3</v>
      </c>
      <c r="J53" s="133">
        <f t="shared" si="41"/>
        <v>1.0869565217391304E-2</v>
      </c>
      <c r="K53" s="133">
        <f t="shared" si="41"/>
        <v>1.0526315789473684E-2</v>
      </c>
      <c r="L53" s="133">
        <f t="shared" si="41"/>
        <v>1.3605442176870748E-2</v>
      </c>
      <c r="M53" s="133">
        <f t="shared" si="41"/>
        <v>1.3201320132013201E-2</v>
      </c>
      <c r="N53" s="133">
        <f t="shared" si="41"/>
        <v>1.6025641025641024E-2</v>
      </c>
      <c r="O53" s="133">
        <f t="shared" si="41"/>
        <v>1.5479876160990712E-2</v>
      </c>
      <c r="P53" s="133">
        <f t="shared" si="41"/>
        <v>1.8018018018018018E-2</v>
      </c>
      <c r="Q53" s="133">
        <f t="shared" si="41"/>
        <v>1.69971671388102E-2</v>
      </c>
      <c r="R53" s="133">
        <f t="shared" si="41"/>
        <v>2.7472527472527475E-3</v>
      </c>
      <c r="S53" s="133">
        <f t="shared" si="41"/>
        <v>1.7587939698492462E-2</v>
      </c>
      <c r="T53" s="133">
        <f t="shared" si="41"/>
        <v>1.6990291262135922E-2</v>
      </c>
      <c r="U53" s="133">
        <f t="shared" si="41"/>
        <v>1.6129032258064516E-2</v>
      </c>
      <c r="V53" s="133">
        <f t="shared" si="41"/>
        <v>1.5317286652078774E-2</v>
      </c>
      <c r="W53" s="133">
        <f t="shared" si="41"/>
        <v>1.4613778705636743E-2</v>
      </c>
      <c r="X53" s="133">
        <f t="shared" si="41"/>
        <v>1.4112903225806451E-2</v>
      </c>
      <c r="Y53" s="133">
        <f t="shared" si="41"/>
        <v>1.3779527559055118E-2</v>
      </c>
      <c r="Z53" s="133">
        <f t="shared" si="41"/>
        <v>1.9083969465648856E-2</v>
      </c>
      <c r="AA53" s="133">
        <f t="shared" si="41"/>
        <v>2.7522935779816515E-2</v>
      </c>
      <c r="AB53" s="133">
        <f t="shared" si="41"/>
        <v>2.9772329246935202E-2</v>
      </c>
      <c r="AC53" s="133">
        <f t="shared" si="41"/>
        <v>2.809917355371901E-2</v>
      </c>
      <c r="AD53" s="133">
        <f t="shared" si="41"/>
        <v>3.0844155844155844E-2</v>
      </c>
      <c r="AE53" s="134">
        <v>2.7E-2</v>
      </c>
      <c r="AF53" s="134">
        <v>2.5000000000000001E-2</v>
      </c>
      <c r="AG53" s="134">
        <v>2.1999999999999999E-2</v>
      </c>
      <c r="AH53" s="134">
        <v>2.1000000000000001E-2</v>
      </c>
      <c r="AI53" s="134">
        <v>0.02</v>
      </c>
      <c r="AJ53" s="134">
        <v>1.7999999999999999E-2</v>
      </c>
      <c r="AK53" s="148">
        <f t="shared" ref="AK53:BV53" si="42">IFERROR(MEDIAN(AH53:AJ53),0)</f>
        <v>0.02</v>
      </c>
      <c r="AL53" s="148">
        <f t="shared" si="42"/>
        <v>0.02</v>
      </c>
      <c r="AM53" s="148">
        <f t="shared" si="42"/>
        <v>0.02</v>
      </c>
      <c r="AN53" s="148">
        <f t="shared" si="42"/>
        <v>0.02</v>
      </c>
      <c r="AO53" s="148">
        <f t="shared" si="42"/>
        <v>0.02</v>
      </c>
      <c r="AP53" s="148">
        <f t="shared" si="42"/>
        <v>0.02</v>
      </c>
      <c r="AQ53" s="148">
        <f t="shared" si="42"/>
        <v>0.02</v>
      </c>
      <c r="AR53" s="148">
        <f t="shared" si="42"/>
        <v>0.02</v>
      </c>
      <c r="AS53" s="148">
        <f t="shared" si="42"/>
        <v>0.02</v>
      </c>
      <c r="AT53" s="148">
        <f t="shared" si="42"/>
        <v>0.02</v>
      </c>
      <c r="AU53" s="148">
        <f t="shared" si="42"/>
        <v>0.02</v>
      </c>
      <c r="AV53" s="148">
        <f t="shared" si="42"/>
        <v>0.02</v>
      </c>
      <c r="AW53" s="148">
        <f t="shared" si="42"/>
        <v>0.02</v>
      </c>
      <c r="AX53" s="148">
        <f t="shared" si="42"/>
        <v>0.02</v>
      </c>
      <c r="AY53" s="149">
        <f t="shared" si="42"/>
        <v>0.02</v>
      </c>
      <c r="AZ53" s="149">
        <f t="shared" si="42"/>
        <v>0.02</v>
      </c>
      <c r="BA53" s="149">
        <f t="shared" si="42"/>
        <v>0.02</v>
      </c>
      <c r="BB53" s="149">
        <f t="shared" si="42"/>
        <v>0.02</v>
      </c>
      <c r="BC53" s="149">
        <f t="shared" si="42"/>
        <v>0.02</v>
      </c>
      <c r="BD53" s="149">
        <f t="shared" si="42"/>
        <v>0.02</v>
      </c>
      <c r="BE53" s="149">
        <f t="shared" si="42"/>
        <v>0.02</v>
      </c>
      <c r="BF53" s="149">
        <f t="shared" si="42"/>
        <v>0.02</v>
      </c>
      <c r="BG53" s="149">
        <f t="shared" si="42"/>
        <v>0.02</v>
      </c>
      <c r="BH53" s="149">
        <f t="shared" si="42"/>
        <v>0.02</v>
      </c>
      <c r="BI53" s="149">
        <f t="shared" si="42"/>
        <v>0.02</v>
      </c>
      <c r="BJ53" s="149">
        <f t="shared" si="42"/>
        <v>0.02</v>
      </c>
      <c r="BK53" s="149">
        <f t="shared" si="42"/>
        <v>0.02</v>
      </c>
      <c r="BL53" s="149">
        <f t="shared" si="42"/>
        <v>0.02</v>
      </c>
      <c r="BM53" s="149">
        <f t="shared" si="42"/>
        <v>0.02</v>
      </c>
      <c r="BN53" s="149">
        <f t="shared" si="42"/>
        <v>0.02</v>
      </c>
      <c r="BO53" s="149">
        <f t="shared" si="42"/>
        <v>0.02</v>
      </c>
      <c r="BP53" s="149">
        <f t="shared" si="42"/>
        <v>0.02</v>
      </c>
      <c r="BQ53" s="149">
        <f t="shared" si="42"/>
        <v>0.02</v>
      </c>
      <c r="BR53" s="149">
        <f t="shared" si="42"/>
        <v>0.02</v>
      </c>
      <c r="BS53" s="149">
        <f t="shared" si="42"/>
        <v>0.02</v>
      </c>
      <c r="BT53" s="149">
        <f t="shared" si="42"/>
        <v>0.02</v>
      </c>
      <c r="BU53" s="149">
        <f t="shared" si="42"/>
        <v>0.02</v>
      </c>
      <c r="BV53" s="149">
        <f t="shared" si="42"/>
        <v>0.02</v>
      </c>
    </row>
    <row r="54" spans="1:74" ht="12.75" x14ac:dyDescent="0.2">
      <c r="A54" s="132" t="s">
        <v>91</v>
      </c>
      <c r="B54" s="117"/>
      <c r="C54" s="115">
        <f t="shared" ref="C54:AD54" si="43">IFERROR(C55/C52," ")</f>
        <v>-800</v>
      </c>
      <c r="D54" s="115">
        <f t="shared" si="43"/>
        <v>-710</v>
      </c>
      <c r="E54" s="115">
        <f t="shared" si="43"/>
        <v>-495</v>
      </c>
      <c r="F54" s="115">
        <f t="shared" si="43"/>
        <v>-400</v>
      </c>
      <c r="G54" s="115">
        <f t="shared" si="43"/>
        <v>-900</v>
      </c>
      <c r="H54" s="115">
        <f t="shared" si="43"/>
        <v>-700</v>
      </c>
      <c r="I54" s="115">
        <f t="shared" si="43"/>
        <v>-725</v>
      </c>
      <c r="J54" s="115">
        <f t="shared" si="43"/>
        <v>-790</v>
      </c>
      <c r="K54" s="115">
        <f t="shared" si="43"/>
        <v>-753.33333333333337</v>
      </c>
      <c r="L54" s="115">
        <f t="shared" si="43"/>
        <v>-760</v>
      </c>
      <c r="M54" s="115">
        <f t="shared" si="43"/>
        <v>-767</v>
      </c>
      <c r="N54" s="115">
        <f t="shared" si="43"/>
        <v>-760.8</v>
      </c>
      <c r="O54" s="115">
        <f t="shared" si="43"/>
        <v>-762.4</v>
      </c>
      <c r="P54" s="115">
        <f t="shared" si="43"/>
        <v>-763.16666666666663</v>
      </c>
      <c r="Q54" s="115">
        <f t="shared" si="43"/>
        <v>-762.16666666666663</v>
      </c>
      <c r="R54" s="115">
        <f t="shared" si="43"/>
        <v>0</v>
      </c>
      <c r="S54" s="115">
        <f t="shared" si="43"/>
        <v>-751.57142857142856</v>
      </c>
      <c r="T54" s="115">
        <f t="shared" si="43"/>
        <v>-746.71428571428567</v>
      </c>
      <c r="U54" s="115">
        <f t="shared" si="43"/>
        <v>-740.46666666666658</v>
      </c>
      <c r="V54" s="115">
        <f t="shared" si="43"/>
        <v>-746.25079365079364</v>
      </c>
      <c r="W54" s="115">
        <f t="shared" si="43"/>
        <v>-744.47724867724867</v>
      </c>
      <c r="X54" s="115">
        <f t="shared" si="43"/>
        <v>-1255.6201058201057</v>
      </c>
      <c r="Y54" s="115">
        <f t="shared" si="43"/>
        <v>-1599.9058201058142</v>
      </c>
      <c r="Z54" s="115">
        <f t="shared" si="43"/>
        <v>-1122.0340740740698</v>
      </c>
      <c r="AA54" s="115">
        <f t="shared" si="43"/>
        <v>-981.28938271604659</v>
      </c>
      <c r="AB54" s="115">
        <f t="shared" si="43"/>
        <v>-719.19651416121758</v>
      </c>
      <c r="AC54" s="115">
        <f t="shared" si="43"/>
        <v>-890.05882352941171</v>
      </c>
      <c r="AD54" s="115">
        <f t="shared" si="43"/>
        <v>-776.63157894736844</v>
      </c>
      <c r="AE54" s="115">
        <f t="shared" ref="AE54:BV54" si="44">IFERROR(SUM(AB55:AD55)/SUM(AB52:AD52),0)</f>
        <v>-794.59133473095665</v>
      </c>
      <c r="AF54" s="115">
        <f t="shared" si="44"/>
        <v>-818.91870727177513</v>
      </c>
      <c r="AG54" s="115">
        <f t="shared" ca="1" si="44"/>
        <v>-795.32904216497093</v>
      </c>
      <c r="AH54" s="115">
        <f t="shared" ca="1" si="44"/>
        <v>-803.02356299026053</v>
      </c>
      <c r="AI54" s="115">
        <f t="shared" ca="1" si="44"/>
        <v>-806.29515976169444</v>
      </c>
      <c r="AJ54" s="115">
        <f t="shared" ca="1" si="44"/>
        <v>-801.44124837923505</v>
      </c>
      <c r="AK54" s="115">
        <f t="shared" ca="1" si="44"/>
        <v>-803.64109594484762</v>
      </c>
      <c r="AL54" s="115">
        <f t="shared" ca="1" si="44"/>
        <v>-803.8568682846427</v>
      </c>
      <c r="AM54" s="115">
        <f t="shared" ca="1" si="44"/>
        <v>-803.04760364799779</v>
      </c>
      <c r="AN54" s="115">
        <f t="shared" ca="1" si="44"/>
        <v>-803.51131439827623</v>
      </c>
      <c r="AO54" s="115">
        <f t="shared" ca="1" si="44"/>
        <v>-803.46968266600811</v>
      </c>
      <c r="AP54" s="115">
        <f t="shared" ca="1" si="44"/>
        <v>-803.34558174289884</v>
      </c>
      <c r="AQ54" s="115">
        <f t="shared" ca="1" si="44"/>
        <v>-803.44110709430402</v>
      </c>
      <c r="AR54" s="115">
        <f t="shared" ca="1" si="44"/>
        <v>-803.41861629102743</v>
      </c>
      <c r="AS54" s="115">
        <f t="shared" ca="1" si="44"/>
        <v>-803.40226043840994</v>
      </c>
      <c r="AT54" s="115">
        <f t="shared" ca="1" si="44"/>
        <v>-803.42039497180042</v>
      </c>
      <c r="AU54" s="115">
        <f t="shared" ca="1" si="44"/>
        <v>-803.41377149819857</v>
      </c>
      <c r="AV54" s="115">
        <f t="shared" ca="1" si="44"/>
        <v>-803.41222160904192</v>
      </c>
      <c r="AW54" s="115">
        <f t="shared" ca="1" si="44"/>
        <v>-803.41540685678979</v>
      </c>
      <c r="AX54" s="115">
        <f t="shared" ca="1" si="44"/>
        <v>-803.41381179081509</v>
      </c>
      <c r="AY54" s="116">
        <f t="shared" ca="1" si="44"/>
        <v>-803.41382466566131</v>
      </c>
      <c r="AZ54" s="116">
        <f t="shared" ca="1" si="44"/>
        <v>-803.41433674926168</v>
      </c>
      <c r="BA54" s="116">
        <f t="shared" ca="1" si="44"/>
        <v>-803.41399461008393</v>
      </c>
      <c r="BB54" s="116">
        <f t="shared" ca="1" si="44"/>
        <v>-803.41405308972901</v>
      </c>
      <c r="BC54" s="116">
        <f t="shared" ca="1" si="44"/>
        <v>-803.41412627152783</v>
      </c>
      <c r="BD54" s="116">
        <f t="shared" ca="1" si="44"/>
        <v>-803.41405883569837</v>
      </c>
      <c r="BE54" s="116">
        <f t="shared" ca="1" si="44"/>
        <v>-803.41407943618265</v>
      </c>
      <c r="BF54" s="116">
        <f t="shared" ca="1" si="44"/>
        <v>-803.41408789301897</v>
      </c>
      <c r="BG54" s="116">
        <f t="shared" ca="1" si="44"/>
        <v>-803.41407556954471</v>
      </c>
      <c r="BH54" s="116">
        <f t="shared" ca="1" si="44"/>
        <v>-803.41408094125552</v>
      </c>
      <c r="BI54" s="116">
        <f t="shared" ca="1" si="44"/>
        <v>-803.41408142458431</v>
      </c>
      <c r="BJ54" s="116">
        <f t="shared" ca="1" si="44"/>
        <v>-803.41407934723134</v>
      </c>
      <c r="BK54" s="116">
        <f t="shared" ca="1" si="44"/>
        <v>-803.41408056129615</v>
      </c>
      <c r="BL54" s="116">
        <f t="shared" ca="1" si="44"/>
        <v>-803.41408043914043</v>
      </c>
      <c r="BM54" s="116">
        <f t="shared" ca="1" si="44"/>
        <v>-803.4140801223042</v>
      </c>
      <c r="BN54" s="116">
        <f t="shared" ca="1" si="44"/>
        <v>-803.41408037166912</v>
      </c>
      <c r="BO54" s="116">
        <f t="shared" ca="1" si="44"/>
        <v>-803.41408031063861</v>
      </c>
      <c r="BP54" s="116">
        <f t="shared" ca="1" si="44"/>
        <v>-803.41408026929014</v>
      </c>
      <c r="BQ54" s="116">
        <f t="shared" ca="1" si="44"/>
        <v>-803.41408031660376</v>
      </c>
      <c r="BR54" s="116">
        <f t="shared" ca="1" si="44"/>
        <v>-803.41408029887725</v>
      </c>
      <c r="BS54" s="116">
        <f t="shared" ca="1" si="44"/>
        <v>-803.41408029508852</v>
      </c>
      <c r="BT54" s="116">
        <f t="shared" ca="1" si="44"/>
        <v>-803.41408030340153</v>
      </c>
      <c r="BU54" s="116">
        <f t="shared" ca="1" si="44"/>
        <v>-803.41408029914828</v>
      </c>
      <c r="BV54" s="116">
        <f t="shared" ca="1" si="44"/>
        <v>-803.41408029923571</v>
      </c>
    </row>
    <row r="55" spans="1:74" ht="12.75" x14ac:dyDescent="0.2">
      <c r="A55" s="137" t="s">
        <v>123</v>
      </c>
      <c r="B55" s="118"/>
      <c r="C55" s="119">
        <f t="shared" ref="C55:AD55" si="45">SUMIFS(MRR_Export_Contraction_MRR,MRR_Export_Months,"&gt;="&amp;C$1,MRR_Export_Months,"&lt;"&amp;D$1)</f>
        <v>-800</v>
      </c>
      <c r="D55" s="119">
        <f t="shared" si="45"/>
        <v>-1420</v>
      </c>
      <c r="E55" s="119">
        <f t="shared" si="45"/>
        <v>-990</v>
      </c>
      <c r="F55" s="119">
        <f t="shared" si="45"/>
        <v>-400</v>
      </c>
      <c r="G55" s="119">
        <f t="shared" si="45"/>
        <v>-1800</v>
      </c>
      <c r="H55" s="119">
        <f t="shared" si="45"/>
        <v>-700</v>
      </c>
      <c r="I55" s="119">
        <f t="shared" si="45"/>
        <v>-1450</v>
      </c>
      <c r="J55" s="119">
        <f t="shared" si="45"/>
        <v>-2370</v>
      </c>
      <c r="K55" s="119">
        <f t="shared" si="45"/>
        <v>-2260</v>
      </c>
      <c r="L55" s="119">
        <f t="shared" si="45"/>
        <v>-3040</v>
      </c>
      <c r="M55" s="119">
        <f t="shared" si="45"/>
        <v>-3068</v>
      </c>
      <c r="N55" s="119">
        <f t="shared" si="45"/>
        <v>-3804</v>
      </c>
      <c r="O55" s="119">
        <f t="shared" si="45"/>
        <v>-3812</v>
      </c>
      <c r="P55" s="119">
        <f t="shared" si="45"/>
        <v>-4579</v>
      </c>
      <c r="Q55" s="119">
        <f t="shared" si="45"/>
        <v>-4573</v>
      </c>
      <c r="R55" s="119">
        <f t="shared" si="45"/>
        <v>0</v>
      </c>
      <c r="S55" s="119">
        <f t="shared" si="45"/>
        <v>-5261</v>
      </c>
      <c r="T55" s="119">
        <f t="shared" si="45"/>
        <v>-5227</v>
      </c>
      <c r="U55" s="119">
        <f t="shared" si="45"/>
        <v>-5183.2666666666664</v>
      </c>
      <c r="V55" s="119">
        <f t="shared" si="45"/>
        <v>-5223.7555555555555</v>
      </c>
      <c r="W55" s="119">
        <f t="shared" si="45"/>
        <v>-5211.3407407407403</v>
      </c>
      <c r="X55" s="119">
        <f t="shared" si="45"/>
        <v>-8789.3407407407394</v>
      </c>
      <c r="Y55" s="119">
        <f t="shared" si="45"/>
        <v>-11199.340740740699</v>
      </c>
      <c r="Z55" s="119">
        <f t="shared" si="45"/>
        <v>-11220.340740740699</v>
      </c>
      <c r="AA55" s="119">
        <f t="shared" si="45"/>
        <v>-14719.340740740699</v>
      </c>
      <c r="AB55" s="119">
        <f t="shared" si="45"/>
        <v>-12226.340740740699</v>
      </c>
      <c r="AC55" s="119">
        <f t="shared" si="45"/>
        <v>-15131</v>
      </c>
      <c r="AD55" s="119">
        <f t="shared" si="45"/>
        <v>-14756</v>
      </c>
      <c r="AE55" s="120">
        <f t="shared" ref="AE55:BV55" si="46">AE52*AE54</f>
        <v>-13258.551011320742</v>
      </c>
      <c r="AF55" s="120">
        <f t="shared" ca="1" si="46"/>
        <v>-12759.940891419803</v>
      </c>
      <c r="AG55" s="120">
        <f t="shared" ca="1" si="46"/>
        <v>-11056.665028160402</v>
      </c>
      <c r="AH55" s="120">
        <f t="shared" ca="1" si="46"/>
        <v>-10859.384584100751</v>
      </c>
      <c r="AI55" s="120">
        <f t="shared" ca="1" si="46"/>
        <v>-10560.444245692384</v>
      </c>
      <c r="AJ55" s="120">
        <f t="shared" ca="1" si="46"/>
        <v>-9621.8254790413503</v>
      </c>
      <c r="AK55" s="120">
        <f t="shared" ca="1" si="46"/>
        <v>-10929.163572752272</v>
      </c>
      <c r="AL55" s="120">
        <f t="shared" ca="1" si="46"/>
        <v>-11139.174709286801</v>
      </c>
      <c r="AM55" s="120">
        <f t="shared" ca="1" si="46"/>
        <v>-11349.027994331118</v>
      </c>
      <c r="AN55" s="120">
        <f t="shared" ca="1" si="46"/>
        <v>-11574.785655604801</v>
      </c>
      <c r="AO55" s="120">
        <f t="shared" ca="1" si="46"/>
        <v>-11807.475533131956</v>
      </c>
      <c r="AP55" s="120">
        <f t="shared" ca="1" si="46"/>
        <v>-12036.806072788368</v>
      </c>
      <c r="AQ55" s="120">
        <f t="shared" ca="1" si="46"/>
        <v>-12283.407313191059</v>
      </c>
      <c r="AR55" s="120">
        <f t="shared" ca="1" si="46"/>
        <v>-12542.088454933075</v>
      </c>
      <c r="AS55" s="120">
        <f t="shared" ca="1" si="46"/>
        <v>-12798.521667011242</v>
      </c>
      <c r="AT55" s="120">
        <f t="shared" ca="1" si="46"/>
        <v>-13069.263052003382</v>
      </c>
      <c r="AU55" s="120">
        <f t="shared" ca="1" si="46"/>
        <v>-13337.171520313927</v>
      </c>
      <c r="AV55" s="120">
        <f t="shared" ca="1" si="46"/>
        <v>-13618.817589867607</v>
      </c>
      <c r="AW55" s="120">
        <f t="shared" ca="1" si="46"/>
        <v>-13914.077751016202</v>
      </c>
      <c r="AX55" s="120">
        <f t="shared" ca="1" si="46"/>
        <v>-14206.598857603658</v>
      </c>
      <c r="AY55" s="121">
        <f t="shared" ca="1" si="46"/>
        <v>-14512.583158818932</v>
      </c>
      <c r="AZ55" s="121">
        <f t="shared" ca="1" si="46"/>
        <v>-14799.754532345336</v>
      </c>
      <c r="BA55" s="121">
        <f t="shared" ca="1" si="46"/>
        <v>-15100.394052795877</v>
      </c>
      <c r="BB55" s="121">
        <f t="shared" ca="1" si="46"/>
        <v>-15398.33518423842</v>
      </c>
      <c r="BC55" s="121">
        <f t="shared" ca="1" si="46"/>
        <v>-15693.595185754994</v>
      </c>
      <c r="BD55" s="121">
        <f t="shared" ca="1" si="46"/>
        <v>-15986.195115443255</v>
      </c>
      <c r="BE55" s="121">
        <f t="shared" ca="1" si="46"/>
        <v>-16292.23165010429</v>
      </c>
      <c r="BF55" s="121">
        <f t="shared" ca="1" si="46"/>
        <v>-16595.513624424046</v>
      </c>
      <c r="BG55" s="121">
        <f t="shared" ca="1" si="46"/>
        <v>-16912.13391336894</v>
      </c>
      <c r="BH55" s="121">
        <f t="shared" ca="1" si="46"/>
        <v>-17225.904987153164</v>
      </c>
      <c r="BI55" s="121">
        <f t="shared" ca="1" si="46"/>
        <v>-17536.852019764774</v>
      </c>
      <c r="BJ55" s="121">
        <f t="shared" ca="1" si="46"/>
        <v>-17861.068754259049</v>
      </c>
      <c r="BK55" s="121">
        <f t="shared" ca="1" si="46"/>
        <v>-18182.367610555018</v>
      </c>
      <c r="BL55" s="121">
        <f t="shared" ca="1" si="46"/>
        <v>-18500.774747583837</v>
      </c>
      <c r="BM55" s="121">
        <f t="shared" ca="1" si="46"/>
        <v>-18832.384497301064</v>
      </c>
      <c r="BN55" s="121">
        <f t="shared" ca="1" si="46"/>
        <v>-19161.009772448404</v>
      </c>
      <c r="BO55" s="121">
        <f t="shared" ca="1" si="46"/>
        <v>-19502.745694452733</v>
      </c>
      <c r="BP55" s="121">
        <f t="shared" ca="1" si="46"/>
        <v>-19841.405993580309</v>
      </c>
      <c r="BQ55" s="121">
        <f t="shared" ca="1" si="46"/>
        <v>-20177.018352198669</v>
      </c>
      <c r="BR55" s="121">
        <f t="shared" ca="1" si="46"/>
        <v>-20525.678479584963</v>
      </c>
      <c r="BS55" s="121">
        <f t="shared" ca="1" si="46"/>
        <v>-20871.20066616753</v>
      </c>
      <c r="BT55" s="121">
        <f t="shared" ca="1" si="46"/>
        <v>-21229.681434992352</v>
      </c>
      <c r="BU55" s="121">
        <f t="shared" ca="1" si="46"/>
        <v>-21584.93587656946</v>
      </c>
      <c r="BV55" s="121">
        <f t="shared" ca="1" si="46"/>
        <v>-21953.061309892128</v>
      </c>
    </row>
    <row r="56" spans="1:74" ht="12.75" hidden="1" x14ac:dyDescent="0.2">
      <c r="A56" s="137"/>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row>
    <row r="57" spans="1:74" ht="15" hidden="1" x14ac:dyDescent="0.25">
      <c r="A57" s="130" t="s">
        <v>124</v>
      </c>
      <c r="B57" s="102"/>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row>
    <row r="58" spans="1:74" ht="12.75" hidden="1" x14ac:dyDescent="0.2">
      <c r="A58" s="137" t="s">
        <v>121</v>
      </c>
      <c r="B58" s="112"/>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39">
        <v>0</v>
      </c>
      <c r="AF58" s="139">
        <v>0</v>
      </c>
      <c r="AG58" s="139">
        <v>0</v>
      </c>
      <c r="AH58" s="139">
        <v>0</v>
      </c>
      <c r="AI58" s="139">
        <v>0</v>
      </c>
      <c r="AJ58" s="139">
        <v>0</v>
      </c>
      <c r="AK58" s="139">
        <v>0</v>
      </c>
      <c r="AL58" s="139">
        <v>0</v>
      </c>
      <c r="AM58" s="139">
        <v>0</v>
      </c>
      <c r="AN58" s="139">
        <v>0</v>
      </c>
      <c r="AO58" s="139">
        <v>0</v>
      </c>
      <c r="AP58" s="139">
        <v>0</v>
      </c>
      <c r="AQ58" s="139">
        <v>0</v>
      </c>
      <c r="AR58" s="139">
        <v>0</v>
      </c>
      <c r="AS58" s="139">
        <v>0</v>
      </c>
      <c r="AT58" s="139">
        <v>0</v>
      </c>
      <c r="AU58" s="139">
        <v>0</v>
      </c>
      <c r="AV58" s="139">
        <v>0</v>
      </c>
      <c r="AW58" s="139">
        <v>0</v>
      </c>
      <c r="AX58" s="139">
        <v>0</v>
      </c>
      <c r="AY58" s="140">
        <v>0</v>
      </c>
      <c r="AZ58" s="140">
        <v>0</v>
      </c>
      <c r="BA58" s="140">
        <v>0</v>
      </c>
      <c r="BB58" s="140">
        <v>0</v>
      </c>
      <c r="BC58" s="140">
        <v>0</v>
      </c>
      <c r="BD58" s="140">
        <v>0</v>
      </c>
      <c r="BE58" s="140">
        <v>0</v>
      </c>
      <c r="BF58" s="140">
        <v>0</v>
      </c>
      <c r="BG58" s="140">
        <v>0</v>
      </c>
      <c r="BH58" s="140">
        <v>0</v>
      </c>
      <c r="BI58" s="140">
        <v>0</v>
      </c>
      <c r="BJ58" s="140">
        <v>0</v>
      </c>
      <c r="BK58" s="140">
        <v>0</v>
      </c>
      <c r="BL58" s="140">
        <v>0</v>
      </c>
      <c r="BM58" s="140">
        <v>0</v>
      </c>
      <c r="BN58" s="140">
        <v>0</v>
      </c>
      <c r="BO58" s="140">
        <v>0</v>
      </c>
      <c r="BP58" s="140">
        <v>0</v>
      </c>
      <c r="BQ58" s="140">
        <v>0</v>
      </c>
      <c r="BR58" s="140">
        <v>0</v>
      </c>
      <c r="BS58" s="140">
        <v>0</v>
      </c>
      <c r="BT58" s="140">
        <v>0</v>
      </c>
      <c r="BU58" s="140">
        <v>0</v>
      </c>
      <c r="BV58" s="140">
        <v>0</v>
      </c>
    </row>
    <row r="59" spans="1:74" ht="12.75" hidden="1" x14ac:dyDescent="0.2">
      <c r="A59" s="132" t="s">
        <v>99</v>
      </c>
      <c r="B59" s="117"/>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15"/>
      <c r="AF59" s="115"/>
      <c r="AG59" s="115"/>
      <c r="AH59" s="115"/>
      <c r="AI59" s="115"/>
      <c r="AJ59" s="115"/>
      <c r="AK59" s="115"/>
      <c r="AL59" s="115"/>
      <c r="AM59" s="115"/>
      <c r="AN59" s="115"/>
      <c r="AO59" s="115"/>
      <c r="AP59" s="115"/>
      <c r="AQ59" s="115"/>
      <c r="AR59" s="115"/>
      <c r="AS59" s="115"/>
      <c r="AT59" s="115"/>
      <c r="AU59" s="115"/>
      <c r="AV59" s="115"/>
      <c r="AW59" s="115"/>
      <c r="AX59" s="115"/>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row>
    <row r="60" spans="1:74" ht="12.75" hidden="1" x14ac:dyDescent="0.2">
      <c r="A60" s="132" t="s">
        <v>91</v>
      </c>
      <c r="B60" s="117"/>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15">
        <f t="shared" ref="AE60:BV60" si="47">IFERROR(IF(AE58&gt;0,SUM(AB61:AD61)/SUM(AB58:AD58),0),0)</f>
        <v>0</v>
      </c>
      <c r="AF60" s="115">
        <f t="shared" si="47"/>
        <v>0</v>
      </c>
      <c r="AG60" s="115">
        <f t="shared" si="47"/>
        <v>0</v>
      </c>
      <c r="AH60" s="115">
        <f t="shared" si="47"/>
        <v>0</v>
      </c>
      <c r="AI60" s="115">
        <f t="shared" si="47"/>
        <v>0</v>
      </c>
      <c r="AJ60" s="115">
        <f t="shared" si="47"/>
        <v>0</v>
      </c>
      <c r="AK60" s="115">
        <f t="shared" si="47"/>
        <v>0</v>
      </c>
      <c r="AL60" s="115">
        <f t="shared" si="47"/>
        <v>0</v>
      </c>
      <c r="AM60" s="115">
        <f t="shared" si="47"/>
        <v>0</v>
      </c>
      <c r="AN60" s="115">
        <f t="shared" si="47"/>
        <v>0</v>
      </c>
      <c r="AO60" s="115">
        <f t="shared" si="47"/>
        <v>0</v>
      </c>
      <c r="AP60" s="115">
        <f t="shared" si="47"/>
        <v>0</v>
      </c>
      <c r="AQ60" s="115">
        <f t="shared" si="47"/>
        <v>0</v>
      </c>
      <c r="AR60" s="115">
        <f t="shared" si="47"/>
        <v>0</v>
      </c>
      <c r="AS60" s="115">
        <f t="shared" si="47"/>
        <v>0</v>
      </c>
      <c r="AT60" s="115">
        <f t="shared" si="47"/>
        <v>0</v>
      </c>
      <c r="AU60" s="115">
        <f t="shared" si="47"/>
        <v>0</v>
      </c>
      <c r="AV60" s="115">
        <f t="shared" si="47"/>
        <v>0</v>
      </c>
      <c r="AW60" s="115">
        <f t="shared" si="47"/>
        <v>0</v>
      </c>
      <c r="AX60" s="115">
        <f t="shared" si="47"/>
        <v>0</v>
      </c>
      <c r="AY60" s="116">
        <f t="shared" si="47"/>
        <v>0</v>
      </c>
      <c r="AZ60" s="116">
        <f t="shared" si="47"/>
        <v>0</v>
      </c>
      <c r="BA60" s="116">
        <f t="shared" si="47"/>
        <v>0</v>
      </c>
      <c r="BB60" s="116">
        <f t="shared" si="47"/>
        <v>0</v>
      </c>
      <c r="BC60" s="116">
        <f t="shared" si="47"/>
        <v>0</v>
      </c>
      <c r="BD60" s="116">
        <f t="shared" si="47"/>
        <v>0</v>
      </c>
      <c r="BE60" s="116">
        <f t="shared" si="47"/>
        <v>0</v>
      </c>
      <c r="BF60" s="116">
        <f t="shared" si="47"/>
        <v>0</v>
      </c>
      <c r="BG60" s="116">
        <f t="shared" si="47"/>
        <v>0</v>
      </c>
      <c r="BH60" s="116">
        <f t="shared" si="47"/>
        <v>0</v>
      </c>
      <c r="BI60" s="116">
        <f t="shared" si="47"/>
        <v>0</v>
      </c>
      <c r="BJ60" s="116">
        <f t="shared" si="47"/>
        <v>0</v>
      </c>
      <c r="BK60" s="116">
        <f t="shared" si="47"/>
        <v>0</v>
      </c>
      <c r="BL60" s="116">
        <f t="shared" si="47"/>
        <v>0</v>
      </c>
      <c r="BM60" s="116">
        <f t="shared" si="47"/>
        <v>0</v>
      </c>
      <c r="BN60" s="116">
        <f t="shared" si="47"/>
        <v>0</v>
      </c>
      <c r="BO60" s="116">
        <f t="shared" si="47"/>
        <v>0</v>
      </c>
      <c r="BP60" s="116">
        <f t="shared" si="47"/>
        <v>0</v>
      </c>
      <c r="BQ60" s="116">
        <f t="shared" si="47"/>
        <v>0</v>
      </c>
      <c r="BR60" s="116">
        <f t="shared" si="47"/>
        <v>0</v>
      </c>
      <c r="BS60" s="116">
        <f t="shared" si="47"/>
        <v>0</v>
      </c>
      <c r="BT60" s="116">
        <f t="shared" si="47"/>
        <v>0</v>
      </c>
      <c r="BU60" s="116">
        <f t="shared" si="47"/>
        <v>0</v>
      </c>
      <c r="BV60" s="116">
        <f t="shared" si="47"/>
        <v>0</v>
      </c>
    </row>
    <row r="61" spans="1:74" ht="12.75" hidden="1" x14ac:dyDescent="0.2">
      <c r="A61" s="137" t="s">
        <v>123</v>
      </c>
      <c r="B61" s="118"/>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0">
        <f t="shared" ref="AE61:BV61" si="48">AE58*AE60</f>
        <v>0</v>
      </c>
      <c r="AF61" s="120">
        <f t="shared" si="48"/>
        <v>0</v>
      </c>
      <c r="AG61" s="120">
        <f t="shared" si="48"/>
        <v>0</v>
      </c>
      <c r="AH61" s="120">
        <f t="shared" si="48"/>
        <v>0</v>
      </c>
      <c r="AI61" s="120">
        <f t="shared" si="48"/>
        <v>0</v>
      </c>
      <c r="AJ61" s="120">
        <f t="shared" si="48"/>
        <v>0</v>
      </c>
      <c r="AK61" s="120">
        <f t="shared" si="48"/>
        <v>0</v>
      </c>
      <c r="AL61" s="120">
        <f t="shared" si="48"/>
        <v>0</v>
      </c>
      <c r="AM61" s="120">
        <f t="shared" si="48"/>
        <v>0</v>
      </c>
      <c r="AN61" s="120">
        <f t="shared" si="48"/>
        <v>0</v>
      </c>
      <c r="AO61" s="120">
        <f t="shared" si="48"/>
        <v>0</v>
      </c>
      <c r="AP61" s="120">
        <f t="shared" si="48"/>
        <v>0</v>
      </c>
      <c r="AQ61" s="120">
        <f t="shared" si="48"/>
        <v>0</v>
      </c>
      <c r="AR61" s="120">
        <f t="shared" si="48"/>
        <v>0</v>
      </c>
      <c r="AS61" s="120">
        <f t="shared" si="48"/>
        <v>0</v>
      </c>
      <c r="AT61" s="120">
        <f t="shared" si="48"/>
        <v>0</v>
      </c>
      <c r="AU61" s="120">
        <f t="shared" si="48"/>
        <v>0</v>
      </c>
      <c r="AV61" s="120">
        <f t="shared" si="48"/>
        <v>0</v>
      </c>
      <c r="AW61" s="120">
        <f t="shared" si="48"/>
        <v>0</v>
      </c>
      <c r="AX61" s="120">
        <f t="shared" si="48"/>
        <v>0</v>
      </c>
      <c r="AY61" s="121">
        <f t="shared" si="48"/>
        <v>0</v>
      </c>
      <c r="AZ61" s="121">
        <f t="shared" si="48"/>
        <v>0</v>
      </c>
      <c r="BA61" s="121">
        <f t="shared" si="48"/>
        <v>0</v>
      </c>
      <c r="BB61" s="121">
        <f t="shared" si="48"/>
        <v>0</v>
      </c>
      <c r="BC61" s="121">
        <f t="shared" si="48"/>
        <v>0</v>
      </c>
      <c r="BD61" s="121">
        <f t="shared" si="48"/>
        <v>0</v>
      </c>
      <c r="BE61" s="121">
        <f t="shared" si="48"/>
        <v>0</v>
      </c>
      <c r="BF61" s="121">
        <f t="shared" si="48"/>
        <v>0</v>
      </c>
      <c r="BG61" s="121">
        <f t="shared" si="48"/>
        <v>0</v>
      </c>
      <c r="BH61" s="121">
        <f t="shared" si="48"/>
        <v>0</v>
      </c>
      <c r="BI61" s="121">
        <f t="shared" si="48"/>
        <v>0</v>
      </c>
      <c r="BJ61" s="121">
        <f t="shared" si="48"/>
        <v>0</v>
      </c>
      <c r="BK61" s="121">
        <f t="shared" si="48"/>
        <v>0</v>
      </c>
      <c r="BL61" s="121">
        <f t="shared" si="48"/>
        <v>0</v>
      </c>
      <c r="BM61" s="121">
        <f t="shared" si="48"/>
        <v>0</v>
      </c>
      <c r="BN61" s="121">
        <f t="shared" si="48"/>
        <v>0</v>
      </c>
      <c r="BO61" s="121">
        <f t="shared" si="48"/>
        <v>0</v>
      </c>
      <c r="BP61" s="121">
        <f t="shared" si="48"/>
        <v>0</v>
      </c>
      <c r="BQ61" s="121">
        <f t="shared" si="48"/>
        <v>0</v>
      </c>
      <c r="BR61" s="121">
        <f t="shared" si="48"/>
        <v>0</v>
      </c>
      <c r="BS61" s="121">
        <f t="shared" si="48"/>
        <v>0</v>
      </c>
      <c r="BT61" s="121">
        <f t="shared" si="48"/>
        <v>0</v>
      </c>
      <c r="BU61" s="121">
        <f t="shared" si="48"/>
        <v>0</v>
      </c>
      <c r="BV61" s="121">
        <f t="shared" si="48"/>
        <v>0</v>
      </c>
    </row>
    <row r="62" spans="1:74" ht="15" hidden="1" x14ac:dyDescent="0.25">
      <c r="A62" s="130"/>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row>
    <row r="63" spans="1:74" ht="12.75" x14ac:dyDescent="0.2">
      <c r="A63" s="137"/>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row>
    <row r="64" spans="1:74" ht="12.75" x14ac:dyDescent="0.2">
      <c r="A64" s="132" t="s">
        <v>125</v>
      </c>
      <c r="B64" s="163"/>
      <c r="C64" s="164">
        <f t="shared" ref="C64:BV64" si="49">C7+C12+C31-C37-C45</f>
        <v>9</v>
      </c>
      <c r="D64" s="164">
        <f t="shared" si="49"/>
        <v>9</v>
      </c>
      <c r="E64" s="164">
        <f t="shared" si="49"/>
        <v>10</v>
      </c>
      <c r="F64" s="164">
        <f t="shared" si="49"/>
        <v>10</v>
      </c>
      <c r="G64" s="164">
        <f t="shared" si="49"/>
        <v>13</v>
      </c>
      <c r="H64" s="164">
        <f t="shared" si="49"/>
        <v>8</v>
      </c>
      <c r="I64" s="164">
        <f t="shared" si="49"/>
        <v>17</v>
      </c>
      <c r="J64" s="164">
        <f t="shared" si="49"/>
        <v>9</v>
      </c>
      <c r="K64" s="164">
        <f t="shared" si="49"/>
        <v>9</v>
      </c>
      <c r="L64" s="164">
        <f t="shared" si="49"/>
        <v>9</v>
      </c>
      <c r="M64" s="164">
        <f t="shared" si="49"/>
        <v>9</v>
      </c>
      <c r="N64" s="164">
        <f t="shared" si="49"/>
        <v>11</v>
      </c>
      <c r="O64" s="164">
        <f t="shared" si="49"/>
        <v>10</v>
      </c>
      <c r="P64" s="164">
        <f t="shared" si="49"/>
        <v>20</v>
      </c>
      <c r="Q64" s="164">
        <f t="shared" si="49"/>
        <v>11</v>
      </c>
      <c r="R64" s="164">
        <f t="shared" si="49"/>
        <v>34</v>
      </c>
      <c r="S64" s="164">
        <f t="shared" si="49"/>
        <v>14</v>
      </c>
      <c r="T64" s="164">
        <f t="shared" si="49"/>
        <v>22</v>
      </c>
      <c r="U64" s="164">
        <f t="shared" si="49"/>
        <v>23</v>
      </c>
      <c r="V64" s="164">
        <f t="shared" si="49"/>
        <v>24</v>
      </c>
      <c r="W64" s="164">
        <f t="shared" si="49"/>
        <v>17</v>
      </c>
      <c r="X64" s="164">
        <f t="shared" si="49"/>
        <v>12</v>
      </c>
      <c r="Y64" s="164">
        <f t="shared" si="49"/>
        <v>16</v>
      </c>
      <c r="Z64" s="164">
        <f t="shared" si="49"/>
        <v>21</v>
      </c>
      <c r="AA64" s="164">
        <f t="shared" si="49"/>
        <v>24</v>
      </c>
      <c r="AB64" s="164">
        <f t="shared" si="49"/>
        <v>22</v>
      </c>
      <c r="AC64" s="164">
        <f t="shared" si="49"/>
        <v>11</v>
      </c>
      <c r="AD64" s="164">
        <f t="shared" si="49"/>
        <v>2</v>
      </c>
      <c r="AE64" s="165">
        <f t="shared" ca="1" si="49"/>
        <v>5.2580000000000009</v>
      </c>
      <c r="AF64" s="165">
        <f t="shared" ca="1" si="49"/>
        <v>8.6511300000000002</v>
      </c>
      <c r="AG64" s="165">
        <f t="shared" ca="1" si="49"/>
        <v>12.048999569999999</v>
      </c>
      <c r="AH64" s="165">
        <f t="shared" ca="1" si="49"/>
        <v>10.916460574729999</v>
      </c>
      <c r="AI64" s="165">
        <f t="shared" ca="1" si="49"/>
        <v>12.106128688697432</v>
      </c>
      <c r="AJ64" s="165">
        <f t="shared" ca="1" si="49"/>
        <v>12.997173530499154</v>
      </c>
      <c r="AK64" s="165">
        <f t="shared" ca="1" si="49"/>
        <v>12.880198968724661</v>
      </c>
      <c r="AL64" s="165">
        <f t="shared" ca="1" si="49"/>
        <v>13.764277178006139</v>
      </c>
      <c r="AM64" s="165">
        <f t="shared" ca="1" si="49"/>
        <v>13.640398683404083</v>
      </c>
      <c r="AN64" s="165">
        <f t="shared" ca="1" si="49"/>
        <v>14.517635095253446</v>
      </c>
      <c r="AO64" s="165">
        <f t="shared" ca="1" si="49"/>
        <v>14.386976379396165</v>
      </c>
      <c r="AP64" s="165">
        <f t="shared" ca="1" si="49"/>
        <v>15.2574935919816</v>
      </c>
      <c r="AQ64" s="165">
        <f t="shared" ca="1" si="49"/>
        <v>16.120176149653766</v>
      </c>
      <c r="AR64" s="165">
        <f t="shared" ca="1" si="49"/>
        <v>15.975094564306882</v>
      </c>
      <c r="AS64" s="165">
        <f t="shared" ca="1" si="49"/>
        <v>16.831318713228118</v>
      </c>
      <c r="AT64" s="165">
        <f t="shared" ca="1" si="49"/>
        <v>16.679836844809067</v>
      </c>
      <c r="AU64" s="165">
        <f t="shared" ca="1" si="49"/>
        <v>17.529718313205784</v>
      </c>
      <c r="AV64" s="165">
        <f t="shared" ca="1" si="49"/>
        <v>18.37195084838693</v>
      </c>
      <c r="AW64" s="165">
        <f t="shared" ca="1" si="49"/>
        <v>18.206603290751449</v>
      </c>
      <c r="AX64" s="165">
        <f t="shared" ca="1" si="49"/>
        <v>19.042743861134689</v>
      </c>
      <c r="AY64" s="166">
        <f t="shared" ca="1" si="49"/>
        <v>17.871359166384472</v>
      </c>
      <c r="AZ64" s="166">
        <f t="shared" ca="1" si="49"/>
        <v>18.710516933887014</v>
      </c>
      <c r="BA64" s="166">
        <f t="shared" ca="1" si="49"/>
        <v>18.54212228148203</v>
      </c>
      <c r="BB64" s="166">
        <f t="shared" ca="1" si="49"/>
        <v>18.375243180948694</v>
      </c>
      <c r="BC64" s="166">
        <f t="shared" ca="1" si="49"/>
        <v>18.209865992320154</v>
      </c>
      <c r="BD64" s="166">
        <f t="shared" ca="1" si="49"/>
        <v>19.045977198389274</v>
      </c>
      <c r="BE64" s="166">
        <f t="shared" ca="1" si="49"/>
        <v>18.874563403603769</v>
      </c>
      <c r="BF64" s="166">
        <f t="shared" ca="1" si="49"/>
        <v>19.704692332971334</v>
      </c>
      <c r="BG64" s="166">
        <f t="shared" ca="1" si="49"/>
        <v>19.527350101974594</v>
      </c>
      <c r="BH64" s="166">
        <f t="shared" ca="1" si="49"/>
        <v>19.351603951056823</v>
      </c>
      <c r="BI64" s="166">
        <f t="shared" ca="1" si="49"/>
        <v>20.177439515497312</v>
      </c>
      <c r="BJ64" s="166">
        <f t="shared" ca="1" si="49"/>
        <v>19.995842559857834</v>
      </c>
      <c r="BK64" s="166">
        <f t="shared" ca="1" si="49"/>
        <v>19.815879976819112</v>
      </c>
      <c r="BL64" s="166">
        <f t="shared" ca="1" si="49"/>
        <v>20.637537057027743</v>
      </c>
      <c r="BM64" s="166">
        <f t="shared" ca="1" si="49"/>
        <v>20.451799223514492</v>
      </c>
      <c r="BN64" s="166">
        <f t="shared" ca="1" si="49"/>
        <v>21.267733030502864</v>
      </c>
      <c r="BO64" s="166">
        <f t="shared" ca="1" si="49"/>
        <v>21.076323433228339</v>
      </c>
      <c r="BP64" s="166">
        <f t="shared" ca="1" si="49"/>
        <v>20.886636522329283</v>
      </c>
      <c r="BQ64" s="166">
        <f t="shared" ca="1" si="49"/>
        <v>21.69865679362832</v>
      </c>
      <c r="BR64" s="166">
        <f t="shared" ca="1" si="49"/>
        <v>21.503368882485667</v>
      </c>
      <c r="BS64" s="166">
        <f t="shared" ca="1" si="49"/>
        <v>22.309838562543295</v>
      </c>
      <c r="BT64" s="166">
        <f t="shared" ca="1" si="49"/>
        <v>22.109050015480406</v>
      </c>
      <c r="BU64" s="166">
        <f t="shared" ca="1" si="49"/>
        <v>22.910068565341085</v>
      </c>
      <c r="BV64" s="166">
        <f t="shared" ca="1" si="49"/>
        <v>22.703877948253012</v>
      </c>
    </row>
    <row r="65" spans="1:74" ht="12.75" x14ac:dyDescent="0.2">
      <c r="A65" s="167" t="s">
        <v>126</v>
      </c>
      <c r="B65" s="168"/>
      <c r="C65" s="119">
        <f t="shared" ref="C65:AD65" si="50">SUMIFS(MRR_Export_Total_Customer_Count,MRR_Export_Months,"&gt;="&amp;C$1,MRR_Export_Months,"&lt;"&amp;D$1)</f>
        <v>237</v>
      </c>
      <c r="D65" s="119">
        <f t="shared" si="50"/>
        <v>218</v>
      </c>
      <c r="E65" s="119">
        <f t="shared" si="50"/>
        <v>228</v>
      </c>
      <c r="F65" s="119">
        <f t="shared" si="50"/>
        <v>238</v>
      </c>
      <c r="G65" s="119">
        <f t="shared" si="50"/>
        <v>251</v>
      </c>
      <c r="H65" s="119">
        <f t="shared" si="50"/>
        <v>259</v>
      </c>
      <c r="I65" s="119">
        <f t="shared" si="50"/>
        <v>276</v>
      </c>
      <c r="J65" s="119">
        <f t="shared" si="50"/>
        <v>285</v>
      </c>
      <c r="K65" s="119">
        <f t="shared" si="50"/>
        <v>294</v>
      </c>
      <c r="L65" s="119">
        <f t="shared" si="50"/>
        <v>303</v>
      </c>
      <c r="M65" s="119">
        <f t="shared" si="50"/>
        <v>312</v>
      </c>
      <c r="N65" s="119">
        <f t="shared" si="50"/>
        <v>323</v>
      </c>
      <c r="O65" s="119">
        <f t="shared" si="50"/>
        <v>333</v>
      </c>
      <c r="P65" s="119">
        <f t="shared" si="50"/>
        <v>353</v>
      </c>
      <c r="Q65" s="119">
        <f t="shared" si="50"/>
        <v>364</v>
      </c>
      <c r="R65" s="119">
        <f t="shared" si="50"/>
        <v>398</v>
      </c>
      <c r="S65" s="119">
        <f t="shared" si="50"/>
        <v>412</v>
      </c>
      <c r="T65" s="119">
        <f t="shared" si="50"/>
        <v>434</v>
      </c>
      <c r="U65" s="119">
        <f t="shared" si="50"/>
        <v>457</v>
      </c>
      <c r="V65" s="119">
        <f t="shared" si="50"/>
        <v>479</v>
      </c>
      <c r="W65" s="119">
        <f t="shared" si="50"/>
        <v>496</v>
      </c>
      <c r="X65" s="119">
        <f t="shared" si="50"/>
        <v>508</v>
      </c>
      <c r="Y65" s="119">
        <f t="shared" si="50"/>
        <v>524</v>
      </c>
      <c r="Z65" s="119">
        <f t="shared" si="50"/>
        <v>545</v>
      </c>
      <c r="AA65" s="119">
        <f t="shared" si="50"/>
        <v>571</v>
      </c>
      <c r="AB65" s="119">
        <f t="shared" si="50"/>
        <v>605</v>
      </c>
      <c r="AC65" s="119">
        <f t="shared" si="50"/>
        <v>616</v>
      </c>
      <c r="AD65" s="119">
        <f t="shared" si="50"/>
        <v>618</v>
      </c>
      <c r="AE65" s="165">
        <f t="shared" ref="AE65:BV65" ca="1" si="51">AD65+AE64</f>
        <v>623.25800000000004</v>
      </c>
      <c r="AF65" s="165">
        <f t="shared" ca="1" si="51"/>
        <v>631.90913</v>
      </c>
      <c r="AG65" s="165">
        <f t="shared" ca="1" si="51"/>
        <v>643.95812956999998</v>
      </c>
      <c r="AH65" s="165">
        <f t="shared" ca="1" si="51"/>
        <v>654.87459014472995</v>
      </c>
      <c r="AI65" s="165">
        <f t="shared" ca="1" si="51"/>
        <v>666.98071883342743</v>
      </c>
      <c r="AJ65" s="165">
        <f t="shared" ca="1" si="51"/>
        <v>679.97789236392657</v>
      </c>
      <c r="AK65" s="165">
        <f t="shared" ca="1" si="51"/>
        <v>692.85809133265127</v>
      </c>
      <c r="AL65" s="165">
        <f t="shared" ca="1" si="51"/>
        <v>706.62236851065745</v>
      </c>
      <c r="AM65" s="165">
        <f t="shared" ca="1" si="51"/>
        <v>720.26276719406155</v>
      </c>
      <c r="AN65" s="165">
        <f t="shared" ca="1" si="51"/>
        <v>734.78040228931502</v>
      </c>
      <c r="AO65" s="165">
        <f t="shared" ca="1" si="51"/>
        <v>749.16737866871119</v>
      </c>
      <c r="AP65" s="165">
        <f t="shared" ca="1" si="51"/>
        <v>764.42487226069284</v>
      </c>
      <c r="AQ65" s="165">
        <f t="shared" ca="1" si="51"/>
        <v>780.54504841034657</v>
      </c>
      <c r="AR65" s="165">
        <f t="shared" ca="1" si="51"/>
        <v>796.52014297465348</v>
      </c>
      <c r="AS65" s="165">
        <f t="shared" ca="1" si="51"/>
        <v>813.35146168788162</v>
      </c>
      <c r="AT65" s="165">
        <f t="shared" ca="1" si="51"/>
        <v>830.0312985326907</v>
      </c>
      <c r="AU65" s="165">
        <f t="shared" ca="1" si="51"/>
        <v>847.56101684589646</v>
      </c>
      <c r="AV65" s="165">
        <f t="shared" ca="1" si="51"/>
        <v>865.93296769428343</v>
      </c>
      <c r="AW65" s="165">
        <f t="shared" ca="1" si="51"/>
        <v>884.13957098503488</v>
      </c>
      <c r="AX65" s="165">
        <f t="shared" ca="1" si="51"/>
        <v>903.18231484616956</v>
      </c>
      <c r="AY65" s="166">
        <f t="shared" ca="1" si="51"/>
        <v>921.05367401255398</v>
      </c>
      <c r="AZ65" s="166">
        <f t="shared" ca="1" si="51"/>
        <v>939.76419094644098</v>
      </c>
      <c r="BA65" s="166">
        <f t="shared" ca="1" si="51"/>
        <v>958.30631322792306</v>
      </c>
      <c r="BB65" s="166">
        <f t="shared" ca="1" si="51"/>
        <v>976.68155640887176</v>
      </c>
      <c r="BC65" s="166">
        <f t="shared" ca="1" si="51"/>
        <v>994.8914224011919</v>
      </c>
      <c r="BD65" s="166">
        <f t="shared" ca="1" si="51"/>
        <v>1013.9373995995812</v>
      </c>
      <c r="BE65" s="166">
        <f t="shared" ca="1" si="51"/>
        <v>1032.8119630031849</v>
      </c>
      <c r="BF65" s="166">
        <f t="shared" ca="1" si="51"/>
        <v>1052.5166553361562</v>
      </c>
      <c r="BG65" s="166">
        <f t="shared" ca="1" si="51"/>
        <v>1072.0440054381309</v>
      </c>
      <c r="BH65" s="166">
        <f t="shared" ca="1" si="51"/>
        <v>1091.3956093891877</v>
      </c>
      <c r="BI65" s="166">
        <f t="shared" ca="1" si="51"/>
        <v>1111.573048904685</v>
      </c>
      <c r="BJ65" s="166">
        <f t="shared" ca="1" si="51"/>
        <v>1131.568891464543</v>
      </c>
      <c r="BK65" s="166">
        <f t="shared" ca="1" si="51"/>
        <v>1151.3847714413621</v>
      </c>
      <c r="BL65" s="166">
        <f t="shared" ca="1" si="51"/>
        <v>1172.0223084983897</v>
      </c>
      <c r="BM65" s="166">
        <f t="shared" ca="1" si="51"/>
        <v>1192.4741077219041</v>
      </c>
      <c r="BN65" s="166">
        <f t="shared" ca="1" si="51"/>
        <v>1213.7418407524069</v>
      </c>
      <c r="BO65" s="166">
        <f t="shared" ca="1" si="51"/>
        <v>1234.8181641856352</v>
      </c>
      <c r="BP65" s="166">
        <f t="shared" ca="1" si="51"/>
        <v>1255.7048007079645</v>
      </c>
      <c r="BQ65" s="166">
        <f t="shared" ca="1" si="51"/>
        <v>1277.4034575015928</v>
      </c>
      <c r="BR65" s="166">
        <f t="shared" ca="1" si="51"/>
        <v>1298.9068263840784</v>
      </c>
      <c r="BS65" s="166">
        <f t="shared" ca="1" si="51"/>
        <v>1321.2166649466217</v>
      </c>
      <c r="BT65" s="166">
        <f t="shared" ca="1" si="51"/>
        <v>1343.325714962102</v>
      </c>
      <c r="BU65" s="166">
        <f t="shared" ca="1" si="51"/>
        <v>1366.2357835274431</v>
      </c>
      <c r="BV65" s="166">
        <f t="shared" ca="1" si="51"/>
        <v>1388.9396614756961</v>
      </c>
    </row>
    <row r="66" spans="1:74" x14ac:dyDescent="0.25">
      <c r="A66" s="171"/>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3"/>
      <c r="AF66" s="173"/>
      <c r="AG66" s="173"/>
      <c r="AH66" s="173"/>
      <c r="AI66" s="173"/>
      <c r="AJ66" s="173"/>
      <c r="AK66" s="173"/>
      <c r="AL66" s="173"/>
      <c r="AM66" s="173"/>
      <c r="AN66" s="173"/>
      <c r="AO66" s="173"/>
      <c r="AP66" s="173"/>
      <c r="AQ66" s="173"/>
      <c r="AR66" s="173"/>
      <c r="AS66" s="173"/>
      <c r="AT66" s="173"/>
      <c r="AU66" s="173"/>
      <c r="AV66" s="173"/>
      <c r="AW66" s="173"/>
      <c r="AX66" s="174" t="s">
        <v>127</v>
      </c>
      <c r="AY66" s="175">
        <v>0.03</v>
      </c>
      <c r="AZ66" s="175">
        <v>0.03</v>
      </c>
      <c r="BA66" s="175">
        <v>0.03</v>
      </c>
      <c r="BB66" s="175">
        <v>0.03</v>
      </c>
      <c r="BC66" s="175">
        <v>0.03</v>
      </c>
      <c r="BD66" s="175">
        <v>0.03</v>
      </c>
      <c r="BE66" s="175">
        <v>0.03</v>
      </c>
      <c r="BF66" s="175">
        <v>0.03</v>
      </c>
      <c r="BG66" s="175">
        <v>0.03</v>
      </c>
      <c r="BH66" s="175">
        <v>0.03</v>
      </c>
      <c r="BI66" s="175">
        <v>0.03</v>
      </c>
      <c r="BJ66" s="175">
        <v>0.03</v>
      </c>
      <c r="BK66" s="175">
        <v>0.03</v>
      </c>
      <c r="BL66" s="175">
        <v>0.03</v>
      </c>
      <c r="BM66" s="175">
        <v>0.03</v>
      </c>
      <c r="BN66" s="175">
        <v>0.03</v>
      </c>
      <c r="BO66" s="175">
        <v>0.03</v>
      </c>
      <c r="BP66" s="175">
        <v>0.03</v>
      </c>
      <c r="BQ66" s="175">
        <v>0.03</v>
      </c>
      <c r="BR66" s="175">
        <v>0.03</v>
      </c>
      <c r="BS66" s="175">
        <v>0.03</v>
      </c>
      <c r="BT66" s="175">
        <v>0.03</v>
      </c>
      <c r="BU66" s="175">
        <v>0.03</v>
      </c>
      <c r="BV66" s="175">
        <v>0.03</v>
      </c>
    </row>
    <row r="67" spans="1:74" ht="12.75" x14ac:dyDescent="0.2">
      <c r="A67" s="176" t="s">
        <v>128</v>
      </c>
      <c r="B67" s="172"/>
      <c r="C67" s="177">
        <f t="shared" ref="C67:AX67" si="52">C9+C14+C21+C27+C33+C40+C48+C55+C61</f>
        <v>15234</v>
      </c>
      <c r="D67" s="177">
        <f t="shared" si="52"/>
        <v>17687</v>
      </c>
      <c r="E67" s="177">
        <f t="shared" si="52"/>
        <v>19464</v>
      </c>
      <c r="F67" s="177">
        <f t="shared" si="52"/>
        <v>20249</v>
      </c>
      <c r="G67" s="177">
        <f t="shared" si="52"/>
        <v>25254</v>
      </c>
      <c r="H67" s="177">
        <f t="shared" si="52"/>
        <v>15441</v>
      </c>
      <c r="I67" s="177">
        <f t="shared" si="52"/>
        <v>24628</v>
      </c>
      <c r="J67" s="177">
        <f t="shared" si="52"/>
        <v>13979</v>
      </c>
      <c r="K67" s="177">
        <f t="shared" si="52"/>
        <v>13845</v>
      </c>
      <c r="L67" s="177">
        <f t="shared" si="52"/>
        <v>13187</v>
      </c>
      <c r="M67" s="177">
        <f t="shared" si="52"/>
        <v>13090</v>
      </c>
      <c r="N67" s="177">
        <f t="shared" si="52"/>
        <v>12451</v>
      </c>
      <c r="O67" s="177">
        <f t="shared" si="52"/>
        <v>13555</v>
      </c>
      <c r="P67" s="177">
        <f t="shared" si="52"/>
        <v>23041</v>
      </c>
      <c r="Q67" s="177">
        <f t="shared" si="52"/>
        <v>12294</v>
      </c>
      <c r="R67" s="177">
        <f t="shared" si="52"/>
        <v>57351</v>
      </c>
      <c r="S67" s="177">
        <f t="shared" si="52"/>
        <v>15166</v>
      </c>
      <c r="T67" s="177">
        <f t="shared" si="52"/>
        <v>23434</v>
      </c>
      <c r="U67" s="177">
        <f t="shared" si="52"/>
        <v>20030.301425770307</v>
      </c>
      <c r="V67" s="177">
        <f t="shared" si="52"/>
        <v>26493.358662008162</v>
      </c>
      <c r="W67" s="177">
        <f t="shared" si="52"/>
        <v>26054.850185606159</v>
      </c>
      <c r="X67" s="177">
        <f t="shared" si="52"/>
        <v>23495.850185606203</v>
      </c>
      <c r="Y67" s="177">
        <f t="shared" si="52"/>
        <v>21763.850185606243</v>
      </c>
      <c r="Z67" s="177">
        <f t="shared" si="52"/>
        <v>20960.850185606243</v>
      </c>
      <c r="AA67" s="177">
        <f t="shared" si="52"/>
        <v>22458.850185606236</v>
      </c>
      <c r="AB67" s="177">
        <f t="shared" si="52"/>
        <v>25563.850185606236</v>
      </c>
      <c r="AC67" s="177">
        <f t="shared" si="52"/>
        <v>-4145</v>
      </c>
      <c r="AD67" s="177">
        <f t="shared" si="52"/>
        <v>-25456</v>
      </c>
      <c r="AE67" s="172">
        <f t="shared" ca="1" si="52"/>
        <v>-14357.332313816551</v>
      </c>
      <c r="AF67" s="172">
        <f t="shared" ca="1" si="52"/>
        <v>-3510.5305459529518</v>
      </c>
      <c r="AG67" s="172">
        <f t="shared" ca="1" si="52"/>
        <v>7468.5980510538393</v>
      </c>
      <c r="AH67" s="172">
        <f t="shared" ca="1" si="52"/>
        <v>9962.622002102331</v>
      </c>
      <c r="AI67" s="172">
        <f t="shared" ca="1" si="52"/>
        <v>16176.798714415394</v>
      </c>
      <c r="AJ67" s="172">
        <f t="shared" ca="1" si="52"/>
        <v>18396.526579387886</v>
      </c>
      <c r="AK67" s="172">
        <f t="shared" ca="1" si="52"/>
        <v>17357.97714881978</v>
      </c>
      <c r="AL67" s="172">
        <f t="shared" ca="1" si="52"/>
        <v>18373.692218213175</v>
      </c>
      <c r="AM67" s="172">
        <f t="shared" ca="1" si="52"/>
        <v>18264.869259003546</v>
      </c>
      <c r="AN67" s="172">
        <f t="shared" ca="1" si="52"/>
        <v>19406.61732867753</v>
      </c>
      <c r="AO67" s="172">
        <f t="shared" ca="1" si="52"/>
        <v>19246.612871633595</v>
      </c>
      <c r="AP67" s="172">
        <f t="shared" ca="1" si="52"/>
        <v>20365.709975425205</v>
      </c>
      <c r="AQ67" s="172">
        <f t="shared" ca="1" si="52"/>
        <v>21471.796651989385</v>
      </c>
      <c r="AR67" s="172">
        <f t="shared" ca="1" si="52"/>
        <v>21315.054351907231</v>
      </c>
      <c r="AS67" s="172">
        <f t="shared" ca="1" si="52"/>
        <v>22413.675566313337</v>
      </c>
      <c r="AT67" s="172">
        <f t="shared" ca="1" si="52"/>
        <v>22254.700291149533</v>
      </c>
      <c r="AU67" s="172">
        <f t="shared" ca="1" si="52"/>
        <v>23343.869855797668</v>
      </c>
      <c r="AV67" s="172">
        <f t="shared" ca="1" si="52"/>
        <v>24426.252827551725</v>
      </c>
      <c r="AW67" s="172">
        <f t="shared" ca="1" si="52"/>
        <v>24252.53103953298</v>
      </c>
      <c r="AX67" s="172">
        <f t="shared" ca="1" si="52"/>
        <v>25327.916734093877</v>
      </c>
      <c r="AY67" s="178">
        <f t="shared" ref="AY67:BV67" ca="1" si="53">AX68*AY66</f>
        <v>33799.941594261429</v>
      </c>
      <c r="AZ67" s="178">
        <f t="shared" ca="1" si="53"/>
        <v>34813.939842089268</v>
      </c>
      <c r="BA67" s="178">
        <f t="shared" ca="1" si="53"/>
        <v>35858.358037351951</v>
      </c>
      <c r="BB67" s="178">
        <f t="shared" ca="1" si="53"/>
        <v>36934.108778472502</v>
      </c>
      <c r="BC67" s="178">
        <f t="shared" ca="1" si="53"/>
        <v>38042.132041826677</v>
      </c>
      <c r="BD67" s="178">
        <f t="shared" ca="1" si="53"/>
        <v>39183.396003081478</v>
      </c>
      <c r="BE67" s="178">
        <f t="shared" ca="1" si="53"/>
        <v>40358.897883173922</v>
      </c>
      <c r="BF67" s="178">
        <f t="shared" ca="1" si="53"/>
        <v>41569.664819669146</v>
      </c>
      <c r="BG67" s="178">
        <f t="shared" ca="1" si="53"/>
        <v>42816.754764259218</v>
      </c>
      <c r="BH67" s="178">
        <f t="shared" ca="1" si="53"/>
        <v>44101.257407186997</v>
      </c>
      <c r="BI67" s="178">
        <f t="shared" ca="1" si="53"/>
        <v>45424.295129402606</v>
      </c>
      <c r="BJ67" s="178">
        <f t="shared" ca="1" si="53"/>
        <v>46787.023983284686</v>
      </c>
      <c r="BK67" s="178">
        <f t="shared" ca="1" si="53"/>
        <v>48190.634702783223</v>
      </c>
      <c r="BL67" s="178">
        <f t="shared" ca="1" si="53"/>
        <v>49636.353743866719</v>
      </c>
      <c r="BM67" s="178">
        <f t="shared" ca="1" si="53"/>
        <v>51125.444356182728</v>
      </c>
      <c r="BN67" s="178">
        <f t="shared" ca="1" si="53"/>
        <v>52659.207686868212</v>
      </c>
      <c r="BO67" s="178">
        <f t="shared" ca="1" si="53"/>
        <v>54238.983917474259</v>
      </c>
      <c r="BP67" s="178">
        <f t="shared" ca="1" si="53"/>
        <v>55866.153434998487</v>
      </c>
      <c r="BQ67" s="178">
        <f t="shared" ca="1" si="53"/>
        <v>57542.138038048441</v>
      </c>
      <c r="BR67" s="178">
        <f t="shared" ca="1" si="53"/>
        <v>59268.402179189899</v>
      </c>
      <c r="BS67" s="178">
        <f t="shared" ca="1" si="53"/>
        <v>61046.454244565597</v>
      </c>
      <c r="BT67" s="178">
        <f t="shared" ca="1" si="53"/>
        <v>62877.847871902566</v>
      </c>
      <c r="BU67" s="178">
        <f t="shared" ca="1" si="53"/>
        <v>64764.183308059641</v>
      </c>
      <c r="BV67" s="178">
        <f t="shared" ca="1" si="53"/>
        <v>66707.10880730144</v>
      </c>
    </row>
    <row r="68" spans="1:74" ht="15" x14ac:dyDescent="0.25">
      <c r="A68" s="179" t="s">
        <v>129</v>
      </c>
      <c r="B68" s="180"/>
      <c r="C68" s="181">
        <f t="shared" ref="C68:AD68" si="54">SUMIFS(MRR_Export_MRR,MRR_Export_Months,"&gt;="&amp;C$1,MRR_Export_Months,"&lt;"&amp;D$1)</f>
        <v>303370</v>
      </c>
      <c r="D68" s="181">
        <f t="shared" si="54"/>
        <v>321057</v>
      </c>
      <c r="E68" s="181">
        <f t="shared" si="54"/>
        <v>340521</v>
      </c>
      <c r="F68" s="181">
        <f t="shared" si="54"/>
        <v>360770</v>
      </c>
      <c r="G68" s="181">
        <f t="shared" si="54"/>
        <v>386024</v>
      </c>
      <c r="H68" s="181">
        <f t="shared" si="54"/>
        <v>401465</v>
      </c>
      <c r="I68" s="181">
        <f t="shared" si="54"/>
        <v>426093</v>
      </c>
      <c r="J68" s="181">
        <f t="shared" si="54"/>
        <v>440072</v>
      </c>
      <c r="K68" s="181">
        <f t="shared" si="54"/>
        <v>453917</v>
      </c>
      <c r="L68" s="181">
        <f t="shared" si="54"/>
        <v>467104</v>
      </c>
      <c r="M68" s="181">
        <f t="shared" si="54"/>
        <v>480194</v>
      </c>
      <c r="N68" s="181">
        <f t="shared" si="54"/>
        <v>492645</v>
      </c>
      <c r="O68" s="181">
        <f t="shared" si="54"/>
        <v>506200</v>
      </c>
      <c r="P68" s="181">
        <f t="shared" si="54"/>
        <v>529241</v>
      </c>
      <c r="Q68" s="181">
        <f t="shared" si="54"/>
        <v>541535</v>
      </c>
      <c r="R68" s="181">
        <f t="shared" si="54"/>
        <v>598886</v>
      </c>
      <c r="S68" s="181">
        <f t="shared" si="54"/>
        <v>614052</v>
      </c>
      <c r="T68" s="181">
        <f t="shared" si="54"/>
        <v>637486</v>
      </c>
      <c r="U68" s="181">
        <f t="shared" si="54"/>
        <v>657516.30142577027</v>
      </c>
      <c r="V68" s="181">
        <f t="shared" si="54"/>
        <v>684009.66008777847</v>
      </c>
      <c r="W68" s="181">
        <f t="shared" si="54"/>
        <v>710064.51027338463</v>
      </c>
      <c r="X68" s="181">
        <f t="shared" si="54"/>
        <v>733560.36045899079</v>
      </c>
      <c r="Y68" s="181">
        <f t="shared" si="54"/>
        <v>755324.21064459707</v>
      </c>
      <c r="Z68" s="181">
        <f t="shared" si="54"/>
        <v>776285.06083020335</v>
      </c>
      <c r="AA68" s="181">
        <f t="shared" si="54"/>
        <v>798743.91101580963</v>
      </c>
      <c r="AB68" s="181">
        <f t="shared" si="54"/>
        <v>824307.76120141591</v>
      </c>
      <c r="AC68" s="181">
        <f t="shared" si="54"/>
        <v>820162.76120141591</v>
      </c>
      <c r="AD68" s="181">
        <f t="shared" si="54"/>
        <v>794706.76120141591</v>
      </c>
      <c r="AE68" s="182">
        <f t="shared" ref="AE68:BV68" ca="1" si="55">AD68+AE67</f>
        <v>780349.42888759938</v>
      </c>
      <c r="AF68" s="182">
        <f t="shared" ca="1" si="55"/>
        <v>776838.89834164642</v>
      </c>
      <c r="AG68" s="182">
        <f t="shared" ca="1" si="55"/>
        <v>784307.49639270024</v>
      </c>
      <c r="AH68" s="182">
        <f t="shared" ca="1" si="55"/>
        <v>794270.11839480256</v>
      </c>
      <c r="AI68" s="182">
        <f t="shared" ca="1" si="55"/>
        <v>810446.91710921796</v>
      </c>
      <c r="AJ68" s="182">
        <f t="shared" ca="1" si="55"/>
        <v>828843.4436886058</v>
      </c>
      <c r="AK68" s="182">
        <f t="shared" ca="1" si="55"/>
        <v>846201.42083742563</v>
      </c>
      <c r="AL68" s="182">
        <f t="shared" ca="1" si="55"/>
        <v>864575.11305563885</v>
      </c>
      <c r="AM68" s="182">
        <f t="shared" ca="1" si="55"/>
        <v>882839.9823146424</v>
      </c>
      <c r="AN68" s="182">
        <f t="shared" ca="1" si="55"/>
        <v>902246.59964331996</v>
      </c>
      <c r="AO68" s="182">
        <f t="shared" ca="1" si="55"/>
        <v>921493.21251495357</v>
      </c>
      <c r="AP68" s="182">
        <f t="shared" ca="1" si="55"/>
        <v>941858.92249037873</v>
      </c>
      <c r="AQ68" s="182">
        <f t="shared" ca="1" si="55"/>
        <v>963330.71914236806</v>
      </c>
      <c r="AR68" s="182">
        <f t="shared" ca="1" si="55"/>
        <v>984645.77349427529</v>
      </c>
      <c r="AS68" s="182">
        <f t="shared" ca="1" si="55"/>
        <v>1007059.4490605886</v>
      </c>
      <c r="AT68" s="182">
        <f t="shared" ca="1" si="55"/>
        <v>1029314.1493517382</v>
      </c>
      <c r="AU68" s="182">
        <f t="shared" ca="1" si="55"/>
        <v>1052658.0192075358</v>
      </c>
      <c r="AV68" s="182">
        <f t="shared" ca="1" si="55"/>
        <v>1077084.2720350875</v>
      </c>
      <c r="AW68" s="182">
        <f t="shared" ca="1" si="55"/>
        <v>1101336.8030746204</v>
      </c>
      <c r="AX68" s="182">
        <f t="shared" ca="1" si="55"/>
        <v>1126664.7198087142</v>
      </c>
      <c r="AY68" s="182">
        <f t="shared" ca="1" si="55"/>
        <v>1160464.6614029757</v>
      </c>
      <c r="AZ68" s="182">
        <f t="shared" ca="1" si="55"/>
        <v>1195278.601245065</v>
      </c>
      <c r="BA68" s="182">
        <f t="shared" ca="1" si="55"/>
        <v>1231136.9592824169</v>
      </c>
      <c r="BB68" s="182">
        <f t="shared" ca="1" si="55"/>
        <v>1268071.0680608894</v>
      </c>
      <c r="BC68" s="182">
        <f t="shared" ca="1" si="55"/>
        <v>1306113.200102716</v>
      </c>
      <c r="BD68" s="182">
        <f t="shared" ca="1" si="55"/>
        <v>1345296.5961057974</v>
      </c>
      <c r="BE68" s="182">
        <f t="shared" ca="1" si="55"/>
        <v>1385655.4939889715</v>
      </c>
      <c r="BF68" s="182">
        <f t="shared" ca="1" si="55"/>
        <v>1427225.1588086407</v>
      </c>
      <c r="BG68" s="182">
        <f t="shared" ca="1" si="55"/>
        <v>1470041.9135729</v>
      </c>
      <c r="BH68" s="182">
        <f t="shared" ca="1" si="55"/>
        <v>1514143.170980087</v>
      </c>
      <c r="BI68" s="182">
        <f t="shared" ca="1" si="55"/>
        <v>1559567.4661094896</v>
      </c>
      <c r="BJ68" s="182">
        <f t="shared" ca="1" si="55"/>
        <v>1606354.4900927742</v>
      </c>
      <c r="BK68" s="182">
        <f t="shared" ca="1" si="55"/>
        <v>1654545.1247955575</v>
      </c>
      <c r="BL68" s="182">
        <f t="shared" ca="1" si="55"/>
        <v>1704181.4785394242</v>
      </c>
      <c r="BM68" s="182">
        <f t="shared" ca="1" si="55"/>
        <v>1755306.9228956071</v>
      </c>
      <c r="BN68" s="182">
        <f t="shared" ca="1" si="55"/>
        <v>1807966.1305824753</v>
      </c>
      <c r="BO68" s="182">
        <f t="shared" ca="1" si="55"/>
        <v>1862205.1144999496</v>
      </c>
      <c r="BP68" s="182">
        <f t="shared" ca="1" si="55"/>
        <v>1918071.2679349482</v>
      </c>
      <c r="BQ68" s="182">
        <f t="shared" ca="1" si="55"/>
        <v>1975613.4059729967</v>
      </c>
      <c r="BR68" s="182">
        <f t="shared" ca="1" si="55"/>
        <v>2034881.8081521867</v>
      </c>
      <c r="BS68" s="182">
        <f t="shared" ca="1" si="55"/>
        <v>2095928.2623967524</v>
      </c>
      <c r="BT68" s="182">
        <f t="shared" ca="1" si="55"/>
        <v>2158806.1102686548</v>
      </c>
      <c r="BU68" s="182">
        <f t="shared" ca="1" si="55"/>
        <v>2223570.2935767146</v>
      </c>
      <c r="BV68" s="182">
        <f t="shared" ca="1" si="55"/>
        <v>2290277.4023840162</v>
      </c>
    </row>
    <row r="69" spans="1:74" ht="12.75" x14ac:dyDescent="0.2">
      <c r="U69" s="183"/>
      <c r="V69" s="183"/>
      <c r="W69" s="183"/>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E598"/>
    <outlinePr summaryBelow="0" summaryRight="0"/>
  </sheetPr>
  <dimension ref="A1:BV71"/>
  <sheetViews>
    <sheetView showGridLines="0" workbookViewId="0">
      <pane xSplit="1" ySplit="1" topLeftCell="AA2" activePane="bottomRight" state="frozen"/>
      <selection pane="topRight" activeCell="B1" sqref="B1"/>
      <selection pane="bottomLeft" activeCell="A2" sqref="A2"/>
      <selection pane="bottomRight" activeCell="B2" sqref="B2"/>
    </sheetView>
  </sheetViews>
  <sheetFormatPr defaultColWidth="14.42578125" defaultRowHeight="15.75" customHeight="1" x14ac:dyDescent="0.2"/>
  <cols>
    <col min="1" max="1" width="58" customWidth="1"/>
  </cols>
  <sheetData>
    <row r="1" spans="1:74" ht="18" x14ac:dyDescent="0.25">
      <c r="A1" s="92" t="s">
        <v>118</v>
      </c>
      <c r="B1" s="93"/>
      <c r="C1" s="94">
        <v>43101</v>
      </c>
      <c r="D1" s="93">
        <f t="shared" ref="D1:BV1" si="0">EDATE(C1,1)</f>
        <v>43132</v>
      </c>
      <c r="E1" s="93">
        <f t="shared" si="0"/>
        <v>43160</v>
      </c>
      <c r="F1" s="93">
        <f t="shared" si="0"/>
        <v>43191</v>
      </c>
      <c r="G1" s="93">
        <f t="shared" si="0"/>
        <v>43221</v>
      </c>
      <c r="H1" s="93">
        <f t="shared" si="0"/>
        <v>43252</v>
      </c>
      <c r="I1" s="93">
        <f t="shared" si="0"/>
        <v>43282</v>
      </c>
      <c r="J1" s="93">
        <f t="shared" si="0"/>
        <v>43313</v>
      </c>
      <c r="K1" s="93">
        <f t="shared" si="0"/>
        <v>43344</v>
      </c>
      <c r="L1" s="93">
        <f t="shared" si="0"/>
        <v>43374</v>
      </c>
      <c r="M1" s="93">
        <f t="shared" si="0"/>
        <v>43405</v>
      </c>
      <c r="N1" s="93">
        <f t="shared" si="0"/>
        <v>43435</v>
      </c>
      <c r="O1" s="93">
        <f t="shared" si="0"/>
        <v>43466</v>
      </c>
      <c r="P1" s="93">
        <f t="shared" si="0"/>
        <v>43497</v>
      </c>
      <c r="Q1" s="93">
        <f t="shared" si="0"/>
        <v>43525</v>
      </c>
      <c r="R1" s="93">
        <f t="shared" si="0"/>
        <v>43556</v>
      </c>
      <c r="S1" s="93">
        <f t="shared" si="0"/>
        <v>43586</v>
      </c>
      <c r="T1" s="93">
        <f t="shared" si="0"/>
        <v>43617</v>
      </c>
      <c r="U1" s="93">
        <f t="shared" si="0"/>
        <v>43647</v>
      </c>
      <c r="V1" s="93">
        <f t="shared" si="0"/>
        <v>43678</v>
      </c>
      <c r="W1" s="93">
        <f t="shared" si="0"/>
        <v>43709</v>
      </c>
      <c r="X1" s="93">
        <f t="shared" si="0"/>
        <v>43739</v>
      </c>
      <c r="Y1" s="93">
        <f t="shared" si="0"/>
        <v>43770</v>
      </c>
      <c r="Z1" s="93">
        <f t="shared" si="0"/>
        <v>43800</v>
      </c>
      <c r="AA1" s="93">
        <f t="shared" si="0"/>
        <v>43831</v>
      </c>
      <c r="AB1" s="93">
        <f t="shared" si="0"/>
        <v>43862</v>
      </c>
      <c r="AC1" s="93">
        <f t="shared" si="0"/>
        <v>43891</v>
      </c>
      <c r="AD1" s="93">
        <f t="shared" si="0"/>
        <v>43922</v>
      </c>
      <c r="AE1" s="93">
        <f t="shared" si="0"/>
        <v>43952</v>
      </c>
      <c r="AF1" s="93">
        <f t="shared" si="0"/>
        <v>43983</v>
      </c>
      <c r="AG1" s="93">
        <f t="shared" si="0"/>
        <v>44013</v>
      </c>
      <c r="AH1" s="93">
        <f t="shared" si="0"/>
        <v>44044</v>
      </c>
      <c r="AI1" s="93">
        <f t="shared" si="0"/>
        <v>44075</v>
      </c>
      <c r="AJ1" s="93">
        <f t="shared" si="0"/>
        <v>44105</v>
      </c>
      <c r="AK1" s="93">
        <f t="shared" si="0"/>
        <v>44136</v>
      </c>
      <c r="AL1" s="93">
        <f t="shared" si="0"/>
        <v>44166</v>
      </c>
      <c r="AM1" s="93">
        <f t="shared" si="0"/>
        <v>44197</v>
      </c>
      <c r="AN1" s="93">
        <f t="shared" si="0"/>
        <v>44228</v>
      </c>
      <c r="AO1" s="93">
        <f t="shared" si="0"/>
        <v>44256</v>
      </c>
      <c r="AP1" s="93">
        <f t="shared" si="0"/>
        <v>44287</v>
      </c>
      <c r="AQ1" s="93">
        <f t="shared" si="0"/>
        <v>44317</v>
      </c>
      <c r="AR1" s="93">
        <f t="shared" si="0"/>
        <v>44348</v>
      </c>
      <c r="AS1" s="93">
        <f t="shared" si="0"/>
        <v>44378</v>
      </c>
      <c r="AT1" s="93">
        <f t="shared" si="0"/>
        <v>44409</v>
      </c>
      <c r="AU1" s="93">
        <f t="shared" si="0"/>
        <v>44440</v>
      </c>
      <c r="AV1" s="93">
        <f t="shared" si="0"/>
        <v>44470</v>
      </c>
      <c r="AW1" s="93">
        <f t="shared" si="0"/>
        <v>44501</v>
      </c>
      <c r="AX1" s="93">
        <f t="shared" si="0"/>
        <v>44531</v>
      </c>
      <c r="AY1" s="93">
        <f t="shared" si="0"/>
        <v>44562</v>
      </c>
      <c r="AZ1" s="93">
        <f t="shared" si="0"/>
        <v>44593</v>
      </c>
      <c r="BA1" s="93">
        <f t="shared" si="0"/>
        <v>44621</v>
      </c>
      <c r="BB1" s="93">
        <f t="shared" si="0"/>
        <v>44652</v>
      </c>
      <c r="BC1" s="93">
        <f t="shared" si="0"/>
        <v>44682</v>
      </c>
      <c r="BD1" s="93">
        <f t="shared" si="0"/>
        <v>44713</v>
      </c>
      <c r="BE1" s="93">
        <f t="shared" si="0"/>
        <v>44743</v>
      </c>
      <c r="BF1" s="93">
        <f t="shared" si="0"/>
        <v>44774</v>
      </c>
      <c r="BG1" s="93">
        <f t="shared" si="0"/>
        <v>44805</v>
      </c>
      <c r="BH1" s="93">
        <f t="shared" si="0"/>
        <v>44835</v>
      </c>
      <c r="BI1" s="93">
        <f t="shared" si="0"/>
        <v>44866</v>
      </c>
      <c r="BJ1" s="93">
        <f t="shared" si="0"/>
        <v>44896</v>
      </c>
      <c r="BK1" s="93">
        <f t="shared" si="0"/>
        <v>44927</v>
      </c>
      <c r="BL1" s="93">
        <f t="shared" si="0"/>
        <v>44958</v>
      </c>
      <c r="BM1" s="93">
        <f t="shared" si="0"/>
        <v>44986</v>
      </c>
      <c r="BN1" s="93">
        <f t="shared" si="0"/>
        <v>45017</v>
      </c>
      <c r="BO1" s="93">
        <f t="shared" si="0"/>
        <v>45047</v>
      </c>
      <c r="BP1" s="93">
        <f t="shared" si="0"/>
        <v>45078</v>
      </c>
      <c r="BQ1" s="93">
        <f t="shared" si="0"/>
        <v>45108</v>
      </c>
      <c r="BR1" s="93">
        <f t="shared" si="0"/>
        <v>45139</v>
      </c>
      <c r="BS1" s="93">
        <f t="shared" si="0"/>
        <v>45170</v>
      </c>
      <c r="BT1" s="93">
        <f t="shared" si="0"/>
        <v>45200</v>
      </c>
      <c r="BU1" s="93">
        <f t="shared" si="0"/>
        <v>45231</v>
      </c>
      <c r="BV1" s="93">
        <f t="shared" si="0"/>
        <v>45261</v>
      </c>
    </row>
    <row r="2" spans="1:74" x14ac:dyDescent="0.25">
      <c r="A2" s="95" t="s">
        <v>81</v>
      </c>
      <c r="B2" s="96"/>
      <c r="C2" s="97"/>
      <c r="D2" s="97"/>
      <c r="E2" s="97"/>
      <c r="F2" s="97"/>
      <c r="G2" s="97"/>
      <c r="H2" s="97"/>
      <c r="I2" s="97"/>
      <c r="J2" s="97"/>
      <c r="K2" s="97"/>
      <c r="L2" s="97"/>
      <c r="M2" s="97"/>
      <c r="N2" s="97"/>
      <c r="O2" s="97"/>
      <c r="P2" s="97"/>
      <c r="Q2" s="97"/>
      <c r="R2" s="98"/>
      <c r="S2" s="98"/>
      <c r="T2" s="98"/>
      <c r="U2" s="98"/>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9" t="s">
        <v>82</v>
      </c>
      <c r="AZ2" s="100"/>
      <c r="BA2" s="100"/>
      <c r="BB2" s="100"/>
      <c r="BC2" s="100"/>
      <c r="BD2" s="100"/>
      <c r="BE2" s="100"/>
      <c r="BF2" s="100"/>
      <c r="BG2" s="100"/>
      <c r="BH2" s="100"/>
      <c r="BI2" s="100"/>
      <c r="BJ2" s="100"/>
      <c r="BK2" s="100"/>
      <c r="BL2" s="100"/>
      <c r="BM2" s="100"/>
      <c r="BN2" s="100"/>
      <c r="BO2" s="100"/>
      <c r="BP2" s="100"/>
      <c r="BQ2" s="100"/>
      <c r="BR2" s="100"/>
      <c r="BS2" s="100"/>
      <c r="BT2" s="100"/>
      <c r="BU2" s="100"/>
      <c r="BV2" s="100"/>
    </row>
    <row r="3" spans="1:74" ht="12.75" x14ac:dyDescent="0.2">
      <c r="A3" s="101" t="s">
        <v>83</v>
      </c>
      <c r="B3" s="102"/>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4">
        <f t="array" aca="1" ref="AE3" ca="1">INDEX(Marketing_Funnel_Total_New_Customers,MATCH(AE$1,Marketing_Funnel_Months,0))</f>
        <v>18.277637537361802</v>
      </c>
      <c r="AF3" s="104">
        <f t="array" aca="1" ref="AF3" ca="1">INDEX(Marketing_Funnel_Total_New_Customers,MATCH(AF$1,Marketing_Funnel_Months,0))</f>
        <v>16.773829343558099</v>
      </c>
      <c r="AG3" s="104">
        <f t="array" aca="1" ref="AG3" ca="1">INDEX(Marketing_Funnel_Total_New_Customers,MATCH(AG$1,Marketing_Funnel_Months,0))</f>
        <v>16.685978197016201</v>
      </c>
      <c r="AH3" s="104">
        <f t="array" aca="1" ref="AH3" ca="1">INDEX(Marketing_Funnel_Total_New_Customers,MATCH(AH$1,Marketing_Funnel_Months,0))</f>
        <v>18.203633133389701</v>
      </c>
      <c r="AI3" s="104">
        <f t="array" aca="1" ref="AI3" ca="1">INDEX(Marketing_Funnel_Total_New_Customers,MATCH(AI$1,Marketing_Funnel_Months,0))</f>
        <v>18.181914872044601</v>
      </c>
      <c r="AJ3" s="104">
        <f t="array" aca="1" ref="AJ3" ca="1">INDEX(Marketing_Funnel_Total_New_Customers,MATCH(AJ$1,Marketing_Funnel_Months,0))</f>
        <v>18.674402679019298</v>
      </c>
      <c r="AK3" s="104">
        <f t="array" aca="1" ref="AK3" ca="1">INDEX(Marketing_Funnel_Total_New_Customers,MATCH(AK$1,Marketing_Funnel_Months,0))</f>
        <v>19.3671420927414</v>
      </c>
      <c r="AL3" s="104">
        <f t="array" aca="1" ref="AL3" ca="1">INDEX(Marketing_Funnel_Total_New_Customers,MATCH(AL$1,Marketing_Funnel_Months,0))</f>
        <v>19.772746680595802</v>
      </c>
      <c r="AM3" s="104">
        <f t="array" aca="1" ref="AM3" ca="1">INDEX(Marketing_Funnel_Total_New_Customers,MATCH(AM$1,Marketing_Funnel_Months,0))</f>
        <v>20.324739057476801</v>
      </c>
      <c r="AN3" s="104">
        <f t="array" aca="1" ref="AN3" ca="1">INDEX(Marketing_Funnel_Total_New_Customers,MATCH(AN$1,Marketing_Funnel_Months,0))</f>
        <v>20.896116037822399</v>
      </c>
      <c r="AO3" s="104">
        <f t="array" aca="1" ref="AO3" ca="1">INDEX(Marketing_Funnel_Total_New_Customers,MATCH(AO$1,Marketing_Funnel_Months,0))</f>
        <v>21.4245173531205</v>
      </c>
      <c r="AP3" s="104">
        <f t="array" aca="1" ref="AP3" ca="1">INDEX(Marketing_Funnel_Total_New_Customers,MATCH(AP$1,Marketing_Funnel_Months,0))</f>
        <v>21.994076863910198</v>
      </c>
      <c r="AQ3" s="104">
        <f t="array" aca="1" ref="AQ3" ca="1">INDEX(Marketing_Funnel_Total_New_Customers,MATCH(AQ$1,Marketing_Funnel_Months,0))</f>
        <v>22.5686562155215</v>
      </c>
      <c r="AR3" s="104">
        <f t="array" aca="1" ref="AR3" ca="1">INDEX(Marketing_Funnel_Total_New_Customers,MATCH(AR$1,Marketing_Funnel_Months,0))</f>
        <v>23.143350747869601</v>
      </c>
      <c r="AS3" s="104">
        <f t="array" aca="1" ref="AS3" ca="1">INDEX(Marketing_Funnel_Total_New_Customers,MATCH(AS$1,Marketing_Funnel_Months,0))</f>
        <v>23.732988676824501</v>
      </c>
      <c r="AT3" s="104">
        <f t="array" aca="1" ref="AT3" ca="1">INDEX(Marketing_Funnel_Total_New_Customers,MATCH(AT$1,Marketing_Funnel_Months,0))</f>
        <v>24.328621035111599</v>
      </c>
      <c r="AU3" s="104">
        <f t="array" aca="1" ref="AU3" ca="1">INDEX(Marketing_Funnel_Total_New_Customers,MATCH(AU$1,Marketing_Funnel_Months,0))</f>
        <v>24.930613860542</v>
      </c>
      <c r="AV3" s="104">
        <f t="array" aca="1" ref="AV3" ca="1">INDEX(Marketing_Funnel_Total_New_Customers,MATCH(AV$1,Marketing_Funnel_Months,0))</f>
        <v>25.541138845311998</v>
      </c>
      <c r="AW3" s="104">
        <f t="array" aca="1" ref="AW3" ca="1">INDEX(Marketing_Funnel_Total_New_Customers,MATCH(AW$1,Marketing_Funnel_Months,0))</f>
        <v>26.158034875739201</v>
      </c>
      <c r="AX3" s="104">
        <f t="array" aca="1" ref="AX3" ca="1">INDEX(Marketing_Funnel_Total_New_Customers,MATCH(AX$1,Marketing_Funnel_Months,0))</f>
        <v>26.7814603244701</v>
      </c>
      <c r="AY3" s="105">
        <f t="array" aca="1" ref="AY3" ca="1">INDEX(Marketing_Funnel_Total_New_Customers,MATCH(AY$1,Marketing_Funnel_Months,0))</f>
        <v>26.1849822235435</v>
      </c>
      <c r="AZ3" s="105">
        <f t="array" aca="1" ref="AZ3" ca="1">INDEX(Marketing_Funnel_Total_New_Customers,MATCH(AZ$1,Marketing_Funnel_Months,0))</f>
        <v>26.6480906602402</v>
      </c>
      <c r="BA3" s="105">
        <f t="array" aca="1" ref="BA3" ca="1">INDEX(Marketing_Funnel_Total_New_Customers,MATCH(BA$1,Marketing_Funnel_Months,0))</f>
        <v>27.037967269743</v>
      </c>
      <c r="BB3" s="105">
        <f t="array" aca="1" ref="BB3" ca="1">INDEX(Marketing_Funnel_Total_New_Customers,MATCH(BB$1,Marketing_Funnel_Months,0))</f>
        <v>27.327867889694701</v>
      </c>
      <c r="BC3" s="105">
        <f t="array" aca="1" ref="BC3" ca="1">INDEX(Marketing_Funnel_Total_New_Customers,MATCH(BC$1,Marketing_Funnel_Months,0))</f>
        <v>27.491282806605501</v>
      </c>
      <c r="BD3" s="105">
        <f t="array" aca="1" ref="BD3" ca="1">INDEX(Marketing_Funnel_Total_New_Customers,MATCH(BD$1,Marketing_Funnel_Months,0))</f>
        <v>27.852397819689301</v>
      </c>
      <c r="BE3" s="105">
        <f t="array" aca="1" ref="BE3" ca="1">INDEX(Marketing_Funnel_Total_New_Customers,MATCH(BE$1,Marketing_Funnel_Months,0))</f>
        <v>28.1860926025306</v>
      </c>
      <c r="BF3" s="105">
        <f t="array" aca="1" ref="BF3" ca="1">INDEX(Marketing_Funnel_Total_New_Customers,MATCH(BF$1,Marketing_Funnel_Months,0))</f>
        <v>28.5043515341114</v>
      </c>
      <c r="BG3" s="105">
        <f t="array" aca="1" ref="BG3" ca="1">INDEX(Marketing_Funnel_Total_New_Customers,MATCH(BG$1,Marketing_Funnel_Months,0))</f>
        <v>28.8293046874258</v>
      </c>
      <c r="BH3" s="105">
        <f t="array" aca="1" ref="BH3" ca="1">INDEX(Marketing_Funnel_Total_New_Customers,MATCH(BH$1,Marketing_Funnel_Months,0))</f>
        <v>29.1957566455605</v>
      </c>
      <c r="BI3" s="105">
        <f t="array" aca="1" ref="BI3" ca="1">INDEX(Marketing_Funnel_Total_New_Customers,MATCH(BI$1,Marketing_Funnel_Months,0))</f>
        <v>29.562935663758498</v>
      </c>
      <c r="BJ3" s="105">
        <f t="array" aca="1" ref="BJ3" ca="1">INDEX(Marketing_Funnel_Total_New_Customers,MATCH(BJ$1,Marketing_Funnel_Months,0))</f>
        <v>29.938222982313999</v>
      </c>
      <c r="BK3" s="105">
        <f t="array" aca="1" ref="BK3" ca="1">INDEX(Marketing_Funnel_Total_New_Customers,MATCH(BK$1,Marketing_Funnel_Months,0))</f>
        <v>30.327791098113501</v>
      </c>
      <c r="BL3" s="105">
        <f t="array" aca="1" ref="BL3" ca="1">INDEX(Marketing_Funnel_Total_New_Customers,MATCH(BL$1,Marketing_Funnel_Months,0))</f>
        <v>30.7336458932722</v>
      </c>
      <c r="BM3" s="105">
        <f t="array" aca="1" ref="BM3" ca="1">INDEX(Marketing_Funnel_Total_New_Customers,MATCH(BM$1,Marketing_Funnel_Months,0))</f>
        <v>31.149225817723899</v>
      </c>
      <c r="BN3" s="105">
        <f t="array" aca="1" ref="BN3" ca="1">INDEX(Marketing_Funnel_Total_New_Customers,MATCH(BN$1,Marketing_Funnel_Months,0))</f>
        <v>31.5769028711128</v>
      </c>
      <c r="BO3" s="105">
        <f t="array" aca="1" ref="BO3" ca="1">INDEX(Marketing_Funnel_Total_New_Customers,MATCH(BO$1,Marketing_Funnel_Months,0))</f>
        <v>32.0177403635929</v>
      </c>
      <c r="BP3" s="105">
        <f t="array" aca="1" ref="BP3" ca="1">INDEX(Marketing_Funnel_Total_New_Customers,MATCH(BP$1,Marketing_Funnel_Months,0))</f>
        <v>32.471466243271202</v>
      </c>
      <c r="BQ3" s="105">
        <f t="array" aca="1" ref="BQ3" ca="1">INDEX(Marketing_Funnel_Total_New_Customers,MATCH(BQ$1,Marketing_Funnel_Months,0))</f>
        <v>32.937212526935198</v>
      </c>
      <c r="BR3" s="105">
        <f t="array" aca="1" ref="BR3" ca="1">INDEX(Marketing_Funnel_Total_New_Customers,MATCH(BR$1,Marketing_Funnel_Months,0))</f>
        <v>33.4155976869135</v>
      </c>
      <c r="BS3" s="105">
        <f t="array" aca="1" ref="BS3" ca="1">INDEX(Marketing_Funnel_Total_New_Customers,MATCH(BS$1,Marketing_Funnel_Months,0))</f>
        <v>33.906781419396701</v>
      </c>
      <c r="BT3" s="105">
        <f t="array" aca="1" ref="BT3" ca="1">INDEX(Marketing_Funnel_Total_New_Customers,MATCH(BT$1,Marketing_Funnel_Months,0))</f>
        <v>34.410686670820297</v>
      </c>
      <c r="BU3" s="105">
        <f t="array" aca="1" ref="BU3" ca="1">INDEX(Marketing_Funnel_Total_New_Customers,MATCH(BU$1,Marketing_Funnel_Months,0))</f>
        <v>34.927286657714703</v>
      </c>
      <c r="BV3" s="105">
        <f t="array" aca="1" ref="BV3" ca="1">INDEX(Marketing_Funnel_Total_New_Customers,MATCH(BV$1,Marketing_Funnel_Months,0))</f>
        <v>35.456773643938298</v>
      </c>
    </row>
    <row r="4" spans="1:74" ht="12.75" x14ac:dyDescent="0.2">
      <c r="A4" s="101" t="s">
        <v>85</v>
      </c>
      <c r="B4" s="102"/>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6">
        <f t="shared" ref="AE4:BV4" si="1">1-AE5</f>
        <v>1</v>
      </c>
      <c r="AF4" s="106">
        <f t="shared" si="1"/>
        <v>1</v>
      </c>
      <c r="AG4" s="106">
        <f t="shared" si="1"/>
        <v>1</v>
      </c>
      <c r="AH4" s="106">
        <f t="shared" si="1"/>
        <v>1</v>
      </c>
      <c r="AI4" s="106">
        <f t="shared" si="1"/>
        <v>1</v>
      </c>
      <c r="AJ4" s="106">
        <f t="shared" si="1"/>
        <v>1</v>
      </c>
      <c r="AK4" s="106">
        <f t="shared" si="1"/>
        <v>1</v>
      </c>
      <c r="AL4" s="106">
        <f t="shared" si="1"/>
        <v>1</v>
      </c>
      <c r="AM4" s="106">
        <f t="shared" si="1"/>
        <v>1</v>
      </c>
      <c r="AN4" s="106">
        <f t="shared" si="1"/>
        <v>1</v>
      </c>
      <c r="AO4" s="106">
        <f t="shared" si="1"/>
        <v>1</v>
      </c>
      <c r="AP4" s="106">
        <f t="shared" si="1"/>
        <v>1</v>
      </c>
      <c r="AQ4" s="106">
        <f t="shared" si="1"/>
        <v>1</v>
      </c>
      <c r="AR4" s="106">
        <f t="shared" si="1"/>
        <v>1</v>
      </c>
      <c r="AS4" s="106">
        <f t="shared" si="1"/>
        <v>1</v>
      </c>
      <c r="AT4" s="106">
        <f t="shared" si="1"/>
        <v>1</v>
      </c>
      <c r="AU4" s="106">
        <f t="shared" si="1"/>
        <v>1</v>
      </c>
      <c r="AV4" s="106">
        <f t="shared" si="1"/>
        <v>1</v>
      </c>
      <c r="AW4" s="106">
        <f t="shared" si="1"/>
        <v>1</v>
      </c>
      <c r="AX4" s="106">
        <f t="shared" si="1"/>
        <v>1</v>
      </c>
      <c r="AY4" s="107">
        <f t="shared" si="1"/>
        <v>1</v>
      </c>
      <c r="AZ4" s="107">
        <f t="shared" si="1"/>
        <v>1</v>
      </c>
      <c r="BA4" s="107">
        <f t="shared" si="1"/>
        <v>1</v>
      </c>
      <c r="BB4" s="107">
        <f t="shared" si="1"/>
        <v>1</v>
      </c>
      <c r="BC4" s="107">
        <f t="shared" si="1"/>
        <v>1</v>
      </c>
      <c r="BD4" s="107">
        <f t="shared" si="1"/>
        <v>1</v>
      </c>
      <c r="BE4" s="107">
        <f t="shared" si="1"/>
        <v>1</v>
      </c>
      <c r="BF4" s="107">
        <f t="shared" si="1"/>
        <v>1</v>
      </c>
      <c r="BG4" s="107">
        <f t="shared" si="1"/>
        <v>1</v>
      </c>
      <c r="BH4" s="107">
        <f t="shared" si="1"/>
        <v>1</v>
      </c>
      <c r="BI4" s="107">
        <f t="shared" si="1"/>
        <v>1</v>
      </c>
      <c r="BJ4" s="107">
        <f t="shared" si="1"/>
        <v>1</v>
      </c>
      <c r="BK4" s="107">
        <f t="shared" si="1"/>
        <v>1</v>
      </c>
      <c r="BL4" s="107">
        <f t="shared" si="1"/>
        <v>1</v>
      </c>
      <c r="BM4" s="107">
        <f t="shared" si="1"/>
        <v>1</v>
      </c>
      <c r="BN4" s="107">
        <f t="shared" si="1"/>
        <v>1</v>
      </c>
      <c r="BO4" s="107">
        <f t="shared" si="1"/>
        <v>1</v>
      </c>
      <c r="BP4" s="107">
        <f t="shared" si="1"/>
        <v>1</v>
      </c>
      <c r="BQ4" s="107">
        <f t="shared" si="1"/>
        <v>1</v>
      </c>
      <c r="BR4" s="107">
        <f t="shared" si="1"/>
        <v>1</v>
      </c>
      <c r="BS4" s="107">
        <f t="shared" si="1"/>
        <v>1</v>
      </c>
      <c r="BT4" s="107">
        <f t="shared" si="1"/>
        <v>1</v>
      </c>
      <c r="BU4" s="107">
        <f t="shared" si="1"/>
        <v>1</v>
      </c>
      <c r="BV4" s="107">
        <f t="shared" si="1"/>
        <v>1</v>
      </c>
    </row>
    <row r="5" spans="1:74" ht="12.75" x14ac:dyDescent="0.2">
      <c r="A5" s="101" t="s">
        <v>87</v>
      </c>
      <c r="B5" s="102"/>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8">
        <f t="shared" ref="AE5:BV5" si="2">AD5</f>
        <v>0</v>
      </c>
      <c r="AF5" s="108">
        <f t="shared" si="2"/>
        <v>0</v>
      </c>
      <c r="AG5" s="108">
        <f t="shared" si="2"/>
        <v>0</v>
      </c>
      <c r="AH5" s="108">
        <f t="shared" si="2"/>
        <v>0</v>
      </c>
      <c r="AI5" s="108">
        <f t="shared" si="2"/>
        <v>0</v>
      </c>
      <c r="AJ5" s="108">
        <f t="shared" si="2"/>
        <v>0</v>
      </c>
      <c r="AK5" s="108">
        <f t="shared" si="2"/>
        <v>0</v>
      </c>
      <c r="AL5" s="108">
        <f t="shared" si="2"/>
        <v>0</v>
      </c>
      <c r="AM5" s="108">
        <f t="shared" si="2"/>
        <v>0</v>
      </c>
      <c r="AN5" s="108">
        <f t="shared" si="2"/>
        <v>0</v>
      </c>
      <c r="AO5" s="108">
        <f t="shared" si="2"/>
        <v>0</v>
      </c>
      <c r="AP5" s="108">
        <f t="shared" si="2"/>
        <v>0</v>
      </c>
      <c r="AQ5" s="108">
        <f t="shared" si="2"/>
        <v>0</v>
      </c>
      <c r="AR5" s="108">
        <f t="shared" si="2"/>
        <v>0</v>
      </c>
      <c r="AS5" s="108">
        <f t="shared" si="2"/>
        <v>0</v>
      </c>
      <c r="AT5" s="108">
        <f t="shared" si="2"/>
        <v>0</v>
      </c>
      <c r="AU5" s="108">
        <f t="shared" si="2"/>
        <v>0</v>
      </c>
      <c r="AV5" s="108">
        <f t="shared" si="2"/>
        <v>0</v>
      </c>
      <c r="AW5" s="108">
        <f t="shared" si="2"/>
        <v>0</v>
      </c>
      <c r="AX5" s="108">
        <f t="shared" si="2"/>
        <v>0</v>
      </c>
      <c r="AY5" s="109">
        <f t="shared" si="2"/>
        <v>0</v>
      </c>
      <c r="AZ5" s="109">
        <f t="shared" si="2"/>
        <v>0</v>
      </c>
      <c r="BA5" s="109">
        <f t="shared" si="2"/>
        <v>0</v>
      </c>
      <c r="BB5" s="109">
        <f t="shared" si="2"/>
        <v>0</v>
      </c>
      <c r="BC5" s="109">
        <f t="shared" si="2"/>
        <v>0</v>
      </c>
      <c r="BD5" s="109">
        <f t="shared" si="2"/>
        <v>0</v>
      </c>
      <c r="BE5" s="109">
        <f t="shared" si="2"/>
        <v>0</v>
      </c>
      <c r="BF5" s="109">
        <f t="shared" si="2"/>
        <v>0</v>
      </c>
      <c r="BG5" s="109">
        <f t="shared" si="2"/>
        <v>0</v>
      </c>
      <c r="BH5" s="109">
        <f t="shared" si="2"/>
        <v>0</v>
      </c>
      <c r="BI5" s="109">
        <f t="shared" si="2"/>
        <v>0</v>
      </c>
      <c r="BJ5" s="109">
        <f t="shared" si="2"/>
        <v>0</v>
      </c>
      <c r="BK5" s="109">
        <f t="shared" si="2"/>
        <v>0</v>
      </c>
      <c r="BL5" s="109">
        <f t="shared" si="2"/>
        <v>0</v>
      </c>
      <c r="BM5" s="109">
        <f t="shared" si="2"/>
        <v>0</v>
      </c>
      <c r="BN5" s="109">
        <f t="shared" si="2"/>
        <v>0</v>
      </c>
      <c r="BO5" s="109">
        <f t="shared" si="2"/>
        <v>0</v>
      </c>
      <c r="BP5" s="109">
        <f t="shared" si="2"/>
        <v>0</v>
      </c>
      <c r="BQ5" s="109">
        <f t="shared" si="2"/>
        <v>0</v>
      </c>
      <c r="BR5" s="109">
        <f t="shared" si="2"/>
        <v>0</v>
      </c>
      <c r="BS5" s="109">
        <f t="shared" si="2"/>
        <v>0</v>
      </c>
      <c r="BT5" s="109">
        <f t="shared" si="2"/>
        <v>0</v>
      </c>
      <c r="BU5" s="109">
        <f t="shared" si="2"/>
        <v>0</v>
      </c>
      <c r="BV5" s="109">
        <f t="shared" si="2"/>
        <v>0</v>
      </c>
    </row>
    <row r="6" spans="1:74" ht="15" x14ac:dyDescent="0.25">
      <c r="A6" s="110" t="s">
        <v>88</v>
      </c>
      <c r="B6" s="102"/>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row>
    <row r="7" spans="1:74" ht="12.75" x14ac:dyDescent="0.2">
      <c r="A7" s="101" t="s">
        <v>20</v>
      </c>
      <c r="B7" s="112"/>
      <c r="C7" s="113">
        <f t="shared" ref="C7:AD7" si="3">SUMIFS(MRR_Export_New_Count,MRR_Export_Months,"&gt;="&amp;C$1,MRR_Export_Months,"&lt;"&amp;D$1)</f>
        <v>10</v>
      </c>
      <c r="D7" s="113">
        <f t="shared" si="3"/>
        <v>11</v>
      </c>
      <c r="E7" s="113">
        <f t="shared" si="3"/>
        <v>12</v>
      </c>
      <c r="F7" s="113">
        <f t="shared" si="3"/>
        <v>13</v>
      </c>
      <c r="G7" s="113">
        <f t="shared" si="3"/>
        <v>14</v>
      </c>
      <c r="H7" s="113">
        <f t="shared" si="3"/>
        <v>10</v>
      </c>
      <c r="I7" s="113">
        <f t="shared" si="3"/>
        <v>21</v>
      </c>
      <c r="J7" s="113">
        <f t="shared" si="3"/>
        <v>14</v>
      </c>
      <c r="K7" s="113">
        <f t="shared" si="3"/>
        <v>14</v>
      </c>
      <c r="L7" s="113">
        <f t="shared" si="3"/>
        <v>14</v>
      </c>
      <c r="M7" s="113">
        <f t="shared" si="3"/>
        <v>14</v>
      </c>
      <c r="N7" s="113">
        <f t="shared" si="3"/>
        <v>16</v>
      </c>
      <c r="O7" s="113">
        <f t="shared" si="3"/>
        <v>15</v>
      </c>
      <c r="P7" s="113">
        <f t="shared" si="3"/>
        <v>25</v>
      </c>
      <c r="Q7" s="113">
        <f t="shared" si="3"/>
        <v>17</v>
      </c>
      <c r="R7" s="113">
        <f t="shared" si="3"/>
        <v>38</v>
      </c>
      <c r="S7" s="113">
        <f t="shared" si="3"/>
        <v>20</v>
      </c>
      <c r="T7" s="113">
        <f t="shared" si="3"/>
        <v>29</v>
      </c>
      <c r="U7" s="113">
        <f t="shared" si="3"/>
        <v>32</v>
      </c>
      <c r="V7" s="113">
        <f t="shared" si="3"/>
        <v>30</v>
      </c>
      <c r="W7" s="113">
        <f t="shared" si="3"/>
        <v>26</v>
      </c>
      <c r="X7" s="113">
        <f t="shared" si="3"/>
        <v>21</v>
      </c>
      <c r="Y7" s="113">
        <f t="shared" si="3"/>
        <v>22</v>
      </c>
      <c r="Z7" s="113">
        <f t="shared" si="3"/>
        <v>25</v>
      </c>
      <c r="AA7" s="113">
        <f t="shared" si="3"/>
        <v>25</v>
      </c>
      <c r="AB7" s="113">
        <f t="shared" si="3"/>
        <v>28</v>
      </c>
      <c r="AC7" s="113">
        <f t="shared" si="3"/>
        <v>20</v>
      </c>
      <c r="AD7" s="113">
        <f t="shared" si="3"/>
        <v>14</v>
      </c>
      <c r="AE7" s="114">
        <v>14</v>
      </c>
      <c r="AF7" s="114">
        <v>14</v>
      </c>
      <c r="AG7" s="114">
        <v>14</v>
      </c>
      <c r="AH7" s="115">
        <f t="shared" ref="AH7:BV7" ca="1" si="4">ROUND(AH$3*AH$4,0)</f>
        <v>18</v>
      </c>
      <c r="AI7" s="115">
        <f t="shared" ca="1" si="4"/>
        <v>18</v>
      </c>
      <c r="AJ7" s="115">
        <f t="shared" ca="1" si="4"/>
        <v>19</v>
      </c>
      <c r="AK7" s="115">
        <f t="shared" ca="1" si="4"/>
        <v>19</v>
      </c>
      <c r="AL7" s="115">
        <f t="shared" ca="1" si="4"/>
        <v>20</v>
      </c>
      <c r="AM7" s="115">
        <f t="shared" ca="1" si="4"/>
        <v>20</v>
      </c>
      <c r="AN7" s="115">
        <f t="shared" ca="1" si="4"/>
        <v>21</v>
      </c>
      <c r="AO7" s="115">
        <f t="shared" ca="1" si="4"/>
        <v>21</v>
      </c>
      <c r="AP7" s="115">
        <f t="shared" ca="1" si="4"/>
        <v>22</v>
      </c>
      <c r="AQ7" s="115">
        <f t="shared" ca="1" si="4"/>
        <v>23</v>
      </c>
      <c r="AR7" s="115">
        <f t="shared" ca="1" si="4"/>
        <v>23</v>
      </c>
      <c r="AS7" s="115">
        <f t="shared" ca="1" si="4"/>
        <v>24</v>
      </c>
      <c r="AT7" s="115">
        <f t="shared" ca="1" si="4"/>
        <v>24</v>
      </c>
      <c r="AU7" s="115">
        <f t="shared" ca="1" si="4"/>
        <v>25</v>
      </c>
      <c r="AV7" s="115">
        <f t="shared" ca="1" si="4"/>
        <v>26</v>
      </c>
      <c r="AW7" s="115">
        <f t="shared" ca="1" si="4"/>
        <v>26</v>
      </c>
      <c r="AX7" s="115">
        <f t="shared" ca="1" si="4"/>
        <v>27</v>
      </c>
      <c r="AY7" s="116">
        <f t="shared" ca="1" si="4"/>
        <v>26</v>
      </c>
      <c r="AZ7" s="116">
        <f t="shared" ca="1" si="4"/>
        <v>27</v>
      </c>
      <c r="BA7" s="116">
        <f t="shared" ca="1" si="4"/>
        <v>27</v>
      </c>
      <c r="BB7" s="116">
        <f t="shared" ca="1" si="4"/>
        <v>27</v>
      </c>
      <c r="BC7" s="116">
        <f t="shared" ca="1" si="4"/>
        <v>27</v>
      </c>
      <c r="BD7" s="116">
        <f t="shared" ca="1" si="4"/>
        <v>28</v>
      </c>
      <c r="BE7" s="116">
        <f t="shared" ca="1" si="4"/>
        <v>28</v>
      </c>
      <c r="BF7" s="116">
        <f t="shared" ca="1" si="4"/>
        <v>29</v>
      </c>
      <c r="BG7" s="116">
        <f t="shared" ca="1" si="4"/>
        <v>29</v>
      </c>
      <c r="BH7" s="116">
        <f t="shared" ca="1" si="4"/>
        <v>29</v>
      </c>
      <c r="BI7" s="116">
        <f t="shared" ca="1" si="4"/>
        <v>30</v>
      </c>
      <c r="BJ7" s="116">
        <f t="shared" ca="1" si="4"/>
        <v>30</v>
      </c>
      <c r="BK7" s="116">
        <f t="shared" ca="1" si="4"/>
        <v>30</v>
      </c>
      <c r="BL7" s="116">
        <f t="shared" ca="1" si="4"/>
        <v>31</v>
      </c>
      <c r="BM7" s="116">
        <f t="shared" ca="1" si="4"/>
        <v>31</v>
      </c>
      <c r="BN7" s="116">
        <f t="shared" ca="1" si="4"/>
        <v>32</v>
      </c>
      <c r="BO7" s="116">
        <f t="shared" ca="1" si="4"/>
        <v>32</v>
      </c>
      <c r="BP7" s="116">
        <f t="shared" ca="1" si="4"/>
        <v>32</v>
      </c>
      <c r="BQ7" s="116">
        <f t="shared" ca="1" si="4"/>
        <v>33</v>
      </c>
      <c r="BR7" s="116">
        <f t="shared" ca="1" si="4"/>
        <v>33</v>
      </c>
      <c r="BS7" s="116">
        <f t="shared" ca="1" si="4"/>
        <v>34</v>
      </c>
      <c r="BT7" s="116">
        <f t="shared" ca="1" si="4"/>
        <v>34</v>
      </c>
      <c r="BU7" s="116">
        <f t="shared" ca="1" si="4"/>
        <v>35</v>
      </c>
      <c r="BV7" s="116">
        <f t="shared" ca="1" si="4"/>
        <v>35</v>
      </c>
    </row>
    <row r="8" spans="1:74" ht="12.75" x14ac:dyDescent="0.2">
      <c r="A8" s="101" t="s">
        <v>91</v>
      </c>
      <c r="B8" s="117"/>
      <c r="C8" s="115">
        <f t="shared" ref="C8:AD8" si="5">IFERROR(C9/C7," ")</f>
        <v>1066.4000000000001</v>
      </c>
      <c r="D8" s="115">
        <f t="shared" si="5"/>
        <v>1125.5454545454545</v>
      </c>
      <c r="E8" s="115">
        <f t="shared" si="5"/>
        <v>1135.4166666666667</v>
      </c>
      <c r="F8" s="115">
        <f t="shared" si="5"/>
        <v>1090.3076923076924</v>
      </c>
      <c r="G8" s="115">
        <f t="shared" si="5"/>
        <v>1262.7142857142858</v>
      </c>
      <c r="H8" s="115">
        <f t="shared" si="5"/>
        <v>1080.9000000000001</v>
      </c>
      <c r="I8" s="115">
        <f t="shared" si="5"/>
        <v>1153</v>
      </c>
      <c r="J8" s="115">
        <f t="shared" si="5"/>
        <v>1171.0714285714287</v>
      </c>
      <c r="K8" s="115">
        <f t="shared" si="5"/>
        <v>1142.5714285714287</v>
      </c>
      <c r="L8" s="115">
        <f t="shared" si="5"/>
        <v>1155.2142857142858</v>
      </c>
      <c r="M8" s="115">
        <f t="shared" si="5"/>
        <v>1151.3571428571429</v>
      </c>
      <c r="N8" s="115">
        <f t="shared" si="5"/>
        <v>1011.75</v>
      </c>
      <c r="O8" s="115">
        <f t="shared" si="5"/>
        <v>1154.2666666666667</v>
      </c>
      <c r="P8" s="115">
        <f t="shared" si="5"/>
        <v>1102.68</v>
      </c>
      <c r="Q8" s="115">
        <f t="shared" si="5"/>
        <v>1090.5294117647059</v>
      </c>
      <c r="R8" s="115">
        <f t="shared" si="5"/>
        <v>1112.6315789473683</v>
      </c>
      <c r="S8" s="115">
        <f t="shared" si="5"/>
        <v>1104.8499999999999</v>
      </c>
      <c r="T8" s="115">
        <f t="shared" si="5"/>
        <v>1105.5517241379309</v>
      </c>
      <c r="U8" s="115">
        <f t="shared" si="5"/>
        <v>1005.3125</v>
      </c>
      <c r="V8" s="115">
        <f t="shared" si="5"/>
        <v>1065.7777777777778</v>
      </c>
      <c r="W8" s="115">
        <f t="shared" si="5"/>
        <v>1057.1904761904764</v>
      </c>
      <c r="X8" s="115">
        <f t="shared" si="5"/>
        <v>1367.854875283447</v>
      </c>
      <c r="Y8" s="115">
        <f t="shared" si="5"/>
        <v>1279.361471861472</v>
      </c>
      <c r="Z8" s="115">
        <f t="shared" si="5"/>
        <v>1234.0380952380954</v>
      </c>
      <c r="AA8" s="115">
        <f t="shared" si="5"/>
        <v>1323.2380952380952</v>
      </c>
      <c r="AB8" s="115">
        <f t="shared" si="5"/>
        <v>1216.7125850340137</v>
      </c>
      <c r="AC8" s="115">
        <f t="shared" si="5"/>
        <v>1256.4000000000001</v>
      </c>
      <c r="AD8" s="115">
        <f t="shared" si="5"/>
        <v>1257.1428571428571</v>
      </c>
      <c r="AE8" s="115">
        <f t="shared" ref="AE8:BV8" si="6">IFERROR(SUM(AB9:AD9)/SUM(AB7:AD7),0)</f>
        <v>1238.6443932411673</v>
      </c>
      <c r="AF8" s="115">
        <f t="shared" si="6"/>
        <v>1251.4379480286736</v>
      </c>
      <c r="AG8" s="115">
        <f t="shared" si="6"/>
        <v>1249.075066137566</v>
      </c>
      <c r="AH8" s="115">
        <f t="shared" si="6"/>
        <v>1246.3858024691356</v>
      </c>
      <c r="AI8" s="115">
        <f t="shared" ca="1" si="6"/>
        <v>1248.7418835385172</v>
      </c>
      <c r="AJ8" s="115">
        <f t="shared" ca="1" si="6"/>
        <v>1247.9869854812735</v>
      </c>
      <c r="AK8" s="115">
        <f t="shared" ca="1" si="6"/>
        <v>1247.7100194960353</v>
      </c>
      <c r="AL8" s="115">
        <f t="shared" ca="1" si="6"/>
        <v>1248.135660683253</v>
      </c>
      <c r="AM8" s="115">
        <f t="shared" ca="1" si="6"/>
        <v>1247.9475225557574</v>
      </c>
      <c r="AN8" s="115">
        <f t="shared" ca="1" si="6"/>
        <v>1247.9348141560149</v>
      </c>
      <c r="AO8" s="115">
        <f t="shared" ca="1" si="6"/>
        <v>1248.004832164861</v>
      </c>
      <c r="AP8" s="115">
        <f t="shared" ca="1" si="6"/>
        <v>1247.9626294169927</v>
      </c>
      <c r="AQ8" s="115">
        <f t="shared" ca="1" si="6"/>
        <v>1247.9673503111287</v>
      </c>
      <c r="AR8" s="115">
        <f t="shared" ca="1" si="6"/>
        <v>1247.9777027241194</v>
      </c>
      <c r="AS8" s="115">
        <f t="shared" ca="1" si="6"/>
        <v>1247.9693245144788</v>
      </c>
      <c r="AT8" s="115">
        <f t="shared" ca="1" si="6"/>
        <v>1247.9714286879741</v>
      </c>
      <c r="AU8" s="115">
        <f t="shared" ca="1" si="6"/>
        <v>1247.9727498523043</v>
      </c>
      <c r="AV8" s="115">
        <f t="shared" ca="1" si="6"/>
        <v>1247.9711893584449</v>
      </c>
      <c r="AW8" s="115">
        <f t="shared" ca="1" si="6"/>
        <v>1247.9717861085142</v>
      </c>
      <c r="AX8" s="115">
        <f t="shared" ca="1" si="6"/>
        <v>1247.9718975123187</v>
      </c>
      <c r="AY8" s="116">
        <f t="shared" ca="1" si="6"/>
        <v>1247.9716277844752</v>
      </c>
      <c r="AZ8" s="116">
        <f t="shared" ca="1" si="6"/>
        <v>1247.9717720765864</v>
      </c>
      <c r="BA8" s="116">
        <f t="shared" ca="1" si="6"/>
        <v>1247.9717675162099</v>
      </c>
      <c r="BB8" s="116">
        <f t="shared" ca="1" si="6"/>
        <v>1247.9717236425233</v>
      </c>
      <c r="BC8" s="116">
        <f t="shared" ca="1" si="6"/>
        <v>1247.9717544117734</v>
      </c>
      <c r="BD8" s="116">
        <f t="shared" ca="1" si="6"/>
        <v>1247.9717485235021</v>
      </c>
      <c r="BE8" s="116">
        <f t="shared" ca="1" si="6"/>
        <v>1247.9717422698059</v>
      </c>
      <c r="BF8" s="116">
        <f t="shared" ca="1" si="6"/>
        <v>1247.9717483292834</v>
      </c>
      <c r="BG8" s="116">
        <f t="shared" ca="1" si="6"/>
        <v>1247.9717463971981</v>
      </c>
      <c r="BH8" s="116">
        <f t="shared" ca="1" si="6"/>
        <v>1247.971745704913</v>
      </c>
      <c r="BI8" s="116">
        <f t="shared" ca="1" si="6"/>
        <v>1247.9717468104648</v>
      </c>
      <c r="BJ8" s="116">
        <f t="shared" ca="1" si="6"/>
        <v>1247.971746309945</v>
      </c>
      <c r="BK8" s="116">
        <f t="shared" ca="1" si="6"/>
        <v>1247.9717462815142</v>
      </c>
      <c r="BL8" s="116">
        <f t="shared" ca="1" si="6"/>
        <v>1247.9717464673081</v>
      </c>
      <c r="BM8" s="116">
        <f t="shared" ca="1" si="6"/>
        <v>1247.9717463541797</v>
      </c>
      <c r="BN8" s="116">
        <f t="shared" ca="1" si="6"/>
        <v>1247.9717463686038</v>
      </c>
      <c r="BO8" s="116">
        <f t="shared" ca="1" si="6"/>
        <v>1247.9717463963982</v>
      </c>
      <c r="BP8" s="116">
        <f t="shared" ca="1" si="6"/>
        <v>1247.9717463732593</v>
      </c>
      <c r="BQ8" s="116">
        <f t="shared" ca="1" si="6"/>
        <v>1247.9717463794204</v>
      </c>
      <c r="BR8" s="116">
        <f t="shared" ca="1" si="6"/>
        <v>1247.9717463829888</v>
      </c>
      <c r="BS8" s="116">
        <f t="shared" ca="1" si="6"/>
        <v>1247.9717463786103</v>
      </c>
      <c r="BT8" s="116">
        <f t="shared" ca="1" si="6"/>
        <v>1247.9717463803227</v>
      </c>
      <c r="BU8" s="116">
        <f t="shared" ca="1" si="6"/>
        <v>1247.9717463806173</v>
      </c>
      <c r="BV8" s="116">
        <f t="shared" ca="1" si="6"/>
        <v>1247.9717463798577</v>
      </c>
    </row>
    <row r="9" spans="1:74" ht="12.75" x14ac:dyDescent="0.2">
      <c r="A9" s="101" t="s">
        <v>92</v>
      </c>
      <c r="B9" s="118"/>
      <c r="C9" s="119">
        <f t="shared" ref="C9:AD9" si="7">SUMIFS(MRR_Export_New_MRR,MRR_Export_Months,"&gt;="&amp;C$1,MRR_Export_Months,"&lt;"&amp;D$1)</f>
        <v>10664</v>
      </c>
      <c r="D9" s="119">
        <f t="shared" si="7"/>
        <v>12381</v>
      </c>
      <c r="E9" s="119">
        <f t="shared" si="7"/>
        <v>13625</v>
      </c>
      <c r="F9" s="119">
        <f t="shared" si="7"/>
        <v>14174</v>
      </c>
      <c r="G9" s="119">
        <f t="shared" si="7"/>
        <v>17678</v>
      </c>
      <c r="H9" s="119">
        <f t="shared" si="7"/>
        <v>10809</v>
      </c>
      <c r="I9" s="119">
        <f t="shared" si="7"/>
        <v>24213</v>
      </c>
      <c r="J9" s="119">
        <f t="shared" si="7"/>
        <v>16395</v>
      </c>
      <c r="K9" s="119">
        <f t="shared" si="7"/>
        <v>15996</v>
      </c>
      <c r="L9" s="119">
        <f t="shared" si="7"/>
        <v>16173</v>
      </c>
      <c r="M9" s="119">
        <f t="shared" si="7"/>
        <v>16119</v>
      </c>
      <c r="N9" s="119">
        <f t="shared" si="7"/>
        <v>16188</v>
      </c>
      <c r="O9" s="119">
        <f t="shared" si="7"/>
        <v>17314</v>
      </c>
      <c r="P9" s="119">
        <f t="shared" si="7"/>
        <v>27567</v>
      </c>
      <c r="Q9" s="119">
        <f t="shared" si="7"/>
        <v>18539</v>
      </c>
      <c r="R9" s="119">
        <f t="shared" si="7"/>
        <v>42280</v>
      </c>
      <c r="S9" s="119">
        <f t="shared" si="7"/>
        <v>22097</v>
      </c>
      <c r="T9" s="119">
        <f t="shared" si="7"/>
        <v>32061</v>
      </c>
      <c r="U9" s="119">
        <f t="shared" si="7"/>
        <v>32170</v>
      </c>
      <c r="V9" s="119">
        <f t="shared" si="7"/>
        <v>31973.333333333336</v>
      </c>
      <c r="W9" s="119">
        <f t="shared" si="7"/>
        <v>27486.952380952385</v>
      </c>
      <c r="X9" s="119">
        <f t="shared" si="7"/>
        <v>28724.952380952385</v>
      </c>
      <c r="Y9" s="119">
        <f t="shared" si="7"/>
        <v>28145.952380952385</v>
      </c>
      <c r="Z9" s="119">
        <f t="shared" si="7"/>
        <v>30850.952380952385</v>
      </c>
      <c r="AA9" s="119">
        <f t="shared" si="7"/>
        <v>33080.952380952382</v>
      </c>
      <c r="AB9" s="119">
        <f t="shared" si="7"/>
        <v>34067.952380952382</v>
      </c>
      <c r="AC9" s="119">
        <f t="shared" si="7"/>
        <v>25128</v>
      </c>
      <c r="AD9" s="119">
        <f t="shared" si="7"/>
        <v>17600</v>
      </c>
      <c r="AE9" s="120">
        <f t="shared" ref="AE9:BV9" si="8">AE7*AE8</f>
        <v>17341.021505376342</v>
      </c>
      <c r="AF9" s="120">
        <f t="shared" si="8"/>
        <v>17520.131272401431</v>
      </c>
      <c r="AG9" s="120">
        <f t="shared" si="8"/>
        <v>17487.050925925923</v>
      </c>
      <c r="AH9" s="120">
        <f t="shared" ca="1" si="8"/>
        <v>22434.944444444442</v>
      </c>
      <c r="AI9" s="120">
        <f t="shared" ca="1" si="8"/>
        <v>22477.353903693311</v>
      </c>
      <c r="AJ9" s="120">
        <f t="shared" ca="1" si="8"/>
        <v>23711.752724144197</v>
      </c>
      <c r="AK9" s="120">
        <f t="shared" ca="1" si="8"/>
        <v>23706.490370424672</v>
      </c>
      <c r="AL9" s="120">
        <f t="shared" ca="1" si="8"/>
        <v>24962.713213665062</v>
      </c>
      <c r="AM9" s="120">
        <f t="shared" ca="1" si="8"/>
        <v>24958.950451115146</v>
      </c>
      <c r="AN9" s="120">
        <f t="shared" ca="1" si="8"/>
        <v>26206.631097276313</v>
      </c>
      <c r="AO9" s="120">
        <f t="shared" ca="1" si="8"/>
        <v>26208.101475462081</v>
      </c>
      <c r="AP9" s="120">
        <f t="shared" ca="1" si="8"/>
        <v>27455.17784717384</v>
      </c>
      <c r="AQ9" s="120">
        <f t="shared" ca="1" si="8"/>
        <v>28703.249057155961</v>
      </c>
      <c r="AR9" s="120">
        <f t="shared" ca="1" si="8"/>
        <v>28703.487162654746</v>
      </c>
      <c r="AS9" s="120">
        <f t="shared" ca="1" si="8"/>
        <v>29951.263788347489</v>
      </c>
      <c r="AT9" s="120">
        <f t="shared" ca="1" si="8"/>
        <v>29951.314288511378</v>
      </c>
      <c r="AU9" s="120">
        <f t="shared" ca="1" si="8"/>
        <v>31199.31874630761</v>
      </c>
      <c r="AV9" s="120">
        <f t="shared" ca="1" si="8"/>
        <v>32447.250923319567</v>
      </c>
      <c r="AW9" s="120">
        <f t="shared" ca="1" si="8"/>
        <v>32447.266438821367</v>
      </c>
      <c r="AX9" s="120">
        <f t="shared" ca="1" si="8"/>
        <v>33695.241232832603</v>
      </c>
      <c r="AY9" s="121">
        <f t="shared" ca="1" si="8"/>
        <v>32447.262322396356</v>
      </c>
      <c r="AZ9" s="121">
        <f t="shared" ca="1" si="8"/>
        <v>33695.23784606783</v>
      </c>
      <c r="BA9" s="121">
        <f t="shared" ca="1" si="8"/>
        <v>33695.237722937665</v>
      </c>
      <c r="BB9" s="121">
        <f t="shared" ca="1" si="8"/>
        <v>33695.23653834813</v>
      </c>
      <c r="BC9" s="121">
        <f t="shared" ca="1" si="8"/>
        <v>33695.23736911788</v>
      </c>
      <c r="BD9" s="121">
        <f t="shared" ca="1" si="8"/>
        <v>34943.208958658062</v>
      </c>
      <c r="BE9" s="121">
        <f t="shared" ca="1" si="8"/>
        <v>34943.208783554568</v>
      </c>
      <c r="BF9" s="121">
        <f t="shared" ca="1" si="8"/>
        <v>36191.180701549216</v>
      </c>
      <c r="BG9" s="121">
        <f t="shared" ca="1" si="8"/>
        <v>36191.180645518747</v>
      </c>
      <c r="BH9" s="121">
        <f t="shared" ca="1" si="8"/>
        <v>36191.180625442481</v>
      </c>
      <c r="BI9" s="121">
        <f t="shared" ca="1" si="8"/>
        <v>37439.152404313943</v>
      </c>
      <c r="BJ9" s="121">
        <f t="shared" ca="1" si="8"/>
        <v>37439.152389298353</v>
      </c>
      <c r="BK9" s="121">
        <f t="shared" ca="1" si="8"/>
        <v>37439.152388445429</v>
      </c>
      <c r="BL9" s="121">
        <f t="shared" ca="1" si="8"/>
        <v>38687.12414048655</v>
      </c>
      <c r="BM9" s="121">
        <f t="shared" ca="1" si="8"/>
        <v>38687.124136979568</v>
      </c>
      <c r="BN9" s="121">
        <f t="shared" ca="1" si="8"/>
        <v>39935.095883795322</v>
      </c>
      <c r="BO9" s="121">
        <f t="shared" ca="1" si="8"/>
        <v>39935.095884684742</v>
      </c>
      <c r="BP9" s="121">
        <f t="shared" ca="1" si="8"/>
        <v>39935.095883944297</v>
      </c>
      <c r="BQ9" s="121">
        <f t="shared" ca="1" si="8"/>
        <v>41183.067630520876</v>
      </c>
      <c r="BR9" s="121">
        <f t="shared" ca="1" si="8"/>
        <v>41183.06763063863</v>
      </c>
      <c r="BS9" s="121">
        <f t="shared" ca="1" si="8"/>
        <v>42431.039376872752</v>
      </c>
      <c r="BT9" s="121">
        <f t="shared" ca="1" si="8"/>
        <v>42431.039376930974</v>
      </c>
      <c r="BU9" s="121">
        <f t="shared" ca="1" si="8"/>
        <v>43679.011123321608</v>
      </c>
      <c r="BV9" s="121">
        <f t="shared" ca="1" si="8"/>
        <v>43679.011123295022</v>
      </c>
    </row>
    <row r="10" spans="1:74" ht="15" x14ac:dyDescent="0.25">
      <c r="A10" s="122"/>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row>
    <row r="11" spans="1:74" ht="15" x14ac:dyDescent="0.25">
      <c r="A11" s="110" t="s">
        <v>95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row>
    <row r="12" spans="1:74" ht="12.75" x14ac:dyDescent="0.2">
      <c r="A12" s="101" t="s">
        <v>20</v>
      </c>
      <c r="B12" s="10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15">
        <f t="shared" ref="AE12:BV12" ca="1" si="9">ROUND(AE$3*AE$5,0)</f>
        <v>0</v>
      </c>
      <c r="AF12" s="115">
        <f t="shared" ca="1" si="9"/>
        <v>0</v>
      </c>
      <c r="AG12" s="115">
        <f t="shared" ca="1" si="9"/>
        <v>0</v>
      </c>
      <c r="AH12" s="115">
        <f t="shared" ca="1" si="9"/>
        <v>0</v>
      </c>
      <c r="AI12" s="115">
        <f t="shared" ca="1" si="9"/>
        <v>0</v>
      </c>
      <c r="AJ12" s="115">
        <f t="shared" ca="1" si="9"/>
        <v>0</v>
      </c>
      <c r="AK12" s="115">
        <f t="shared" ca="1" si="9"/>
        <v>0</v>
      </c>
      <c r="AL12" s="115">
        <f t="shared" ca="1" si="9"/>
        <v>0</v>
      </c>
      <c r="AM12" s="115">
        <f t="shared" ca="1" si="9"/>
        <v>0</v>
      </c>
      <c r="AN12" s="115">
        <f t="shared" ca="1" si="9"/>
        <v>0</v>
      </c>
      <c r="AO12" s="115">
        <f t="shared" ca="1" si="9"/>
        <v>0</v>
      </c>
      <c r="AP12" s="115">
        <f t="shared" ca="1" si="9"/>
        <v>0</v>
      </c>
      <c r="AQ12" s="115">
        <f t="shared" ca="1" si="9"/>
        <v>0</v>
      </c>
      <c r="AR12" s="115">
        <f t="shared" ca="1" si="9"/>
        <v>0</v>
      </c>
      <c r="AS12" s="115">
        <f t="shared" ca="1" si="9"/>
        <v>0</v>
      </c>
      <c r="AT12" s="115">
        <f t="shared" ca="1" si="9"/>
        <v>0</v>
      </c>
      <c r="AU12" s="115">
        <f t="shared" ca="1" si="9"/>
        <v>0</v>
      </c>
      <c r="AV12" s="115">
        <f t="shared" ca="1" si="9"/>
        <v>0</v>
      </c>
      <c r="AW12" s="115">
        <f t="shared" ca="1" si="9"/>
        <v>0</v>
      </c>
      <c r="AX12" s="115">
        <f t="shared" ca="1" si="9"/>
        <v>0</v>
      </c>
      <c r="AY12" s="116">
        <f t="shared" ca="1" si="9"/>
        <v>0</v>
      </c>
      <c r="AZ12" s="116">
        <f t="shared" ca="1" si="9"/>
        <v>0</v>
      </c>
      <c r="BA12" s="116">
        <f t="shared" ca="1" si="9"/>
        <v>0</v>
      </c>
      <c r="BB12" s="116">
        <f t="shared" ca="1" si="9"/>
        <v>0</v>
      </c>
      <c r="BC12" s="116">
        <f t="shared" ca="1" si="9"/>
        <v>0</v>
      </c>
      <c r="BD12" s="116">
        <f t="shared" ca="1" si="9"/>
        <v>0</v>
      </c>
      <c r="BE12" s="116">
        <f t="shared" ca="1" si="9"/>
        <v>0</v>
      </c>
      <c r="BF12" s="116">
        <f t="shared" ca="1" si="9"/>
        <v>0</v>
      </c>
      <c r="BG12" s="116">
        <f t="shared" ca="1" si="9"/>
        <v>0</v>
      </c>
      <c r="BH12" s="116">
        <f t="shared" ca="1" si="9"/>
        <v>0</v>
      </c>
      <c r="BI12" s="116">
        <f t="shared" ca="1" si="9"/>
        <v>0</v>
      </c>
      <c r="BJ12" s="116">
        <f t="shared" ca="1" si="9"/>
        <v>0</v>
      </c>
      <c r="BK12" s="116">
        <f t="shared" ca="1" si="9"/>
        <v>0</v>
      </c>
      <c r="BL12" s="116">
        <f t="shared" ca="1" si="9"/>
        <v>0</v>
      </c>
      <c r="BM12" s="116">
        <f t="shared" ca="1" si="9"/>
        <v>0</v>
      </c>
      <c r="BN12" s="116">
        <f t="shared" ca="1" si="9"/>
        <v>0</v>
      </c>
      <c r="BO12" s="116">
        <f t="shared" ca="1" si="9"/>
        <v>0</v>
      </c>
      <c r="BP12" s="116">
        <f t="shared" ca="1" si="9"/>
        <v>0</v>
      </c>
      <c r="BQ12" s="116">
        <f t="shared" ca="1" si="9"/>
        <v>0</v>
      </c>
      <c r="BR12" s="116">
        <f t="shared" ca="1" si="9"/>
        <v>0</v>
      </c>
      <c r="BS12" s="116">
        <f t="shared" ca="1" si="9"/>
        <v>0</v>
      </c>
      <c r="BT12" s="116">
        <f t="shared" ca="1" si="9"/>
        <v>0</v>
      </c>
      <c r="BU12" s="116">
        <f t="shared" ca="1" si="9"/>
        <v>0</v>
      </c>
      <c r="BV12" s="116">
        <f t="shared" ca="1" si="9"/>
        <v>0</v>
      </c>
    </row>
    <row r="13" spans="1:74" ht="12.75" x14ac:dyDescent="0.2">
      <c r="A13" s="101" t="s">
        <v>91</v>
      </c>
      <c r="B13" s="10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5">
        <v>1000</v>
      </c>
      <c r="AF13" s="125">
        <v>1000</v>
      </c>
      <c r="AG13" s="125">
        <v>1000</v>
      </c>
      <c r="AH13" s="125">
        <v>1000</v>
      </c>
      <c r="AI13" s="125">
        <v>1000</v>
      </c>
      <c r="AJ13" s="125">
        <v>1000</v>
      </c>
      <c r="AK13" s="125">
        <v>1000</v>
      </c>
      <c r="AL13" s="125">
        <v>1000</v>
      </c>
      <c r="AM13" s="125">
        <v>1000</v>
      </c>
      <c r="AN13" s="125">
        <v>1000</v>
      </c>
      <c r="AO13" s="125">
        <v>1000</v>
      </c>
      <c r="AP13" s="125">
        <v>1000</v>
      </c>
      <c r="AQ13" s="125">
        <v>1000</v>
      </c>
      <c r="AR13" s="125">
        <v>1000</v>
      </c>
      <c r="AS13" s="125">
        <v>1000</v>
      </c>
      <c r="AT13" s="125">
        <v>1000</v>
      </c>
      <c r="AU13" s="125">
        <v>1000</v>
      </c>
      <c r="AV13" s="125">
        <v>1000</v>
      </c>
      <c r="AW13" s="125">
        <v>1000</v>
      </c>
      <c r="AX13" s="125">
        <v>1000</v>
      </c>
      <c r="AY13" s="126">
        <v>1000</v>
      </c>
      <c r="AZ13" s="126">
        <v>1000</v>
      </c>
      <c r="BA13" s="126">
        <v>1000</v>
      </c>
      <c r="BB13" s="126">
        <v>1000</v>
      </c>
      <c r="BC13" s="126">
        <v>1000</v>
      </c>
      <c r="BD13" s="126">
        <v>1000</v>
      </c>
      <c r="BE13" s="126">
        <v>1000</v>
      </c>
      <c r="BF13" s="126">
        <v>1000</v>
      </c>
      <c r="BG13" s="126">
        <v>1000</v>
      </c>
      <c r="BH13" s="126">
        <v>1000</v>
      </c>
      <c r="BI13" s="126">
        <v>1000</v>
      </c>
      <c r="BJ13" s="126">
        <v>1000</v>
      </c>
      <c r="BK13" s="126">
        <v>1000</v>
      </c>
      <c r="BL13" s="126">
        <v>1000</v>
      </c>
      <c r="BM13" s="126">
        <v>1000</v>
      </c>
      <c r="BN13" s="126">
        <v>1000</v>
      </c>
      <c r="BO13" s="126">
        <v>1000</v>
      </c>
      <c r="BP13" s="126">
        <v>1000</v>
      </c>
      <c r="BQ13" s="126">
        <v>1000</v>
      </c>
      <c r="BR13" s="126">
        <v>1000</v>
      </c>
      <c r="BS13" s="126">
        <v>1000</v>
      </c>
      <c r="BT13" s="126">
        <v>1000</v>
      </c>
      <c r="BU13" s="126">
        <v>1000</v>
      </c>
      <c r="BV13" s="126">
        <v>1000</v>
      </c>
    </row>
    <row r="14" spans="1:74" ht="12.75" x14ac:dyDescent="0.2">
      <c r="A14" s="101" t="s">
        <v>92</v>
      </c>
      <c r="B14" s="10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0">
        <f t="shared" ref="AE14:BV14" ca="1" si="10">AE12*AE13</f>
        <v>0</v>
      </c>
      <c r="AF14" s="120">
        <f t="shared" ca="1" si="10"/>
        <v>0</v>
      </c>
      <c r="AG14" s="120">
        <f t="shared" ca="1" si="10"/>
        <v>0</v>
      </c>
      <c r="AH14" s="120">
        <f t="shared" ca="1" si="10"/>
        <v>0</v>
      </c>
      <c r="AI14" s="120">
        <f t="shared" ca="1" si="10"/>
        <v>0</v>
      </c>
      <c r="AJ14" s="120">
        <f t="shared" ca="1" si="10"/>
        <v>0</v>
      </c>
      <c r="AK14" s="120">
        <f t="shared" ca="1" si="10"/>
        <v>0</v>
      </c>
      <c r="AL14" s="120">
        <f t="shared" ca="1" si="10"/>
        <v>0</v>
      </c>
      <c r="AM14" s="120">
        <f t="shared" ca="1" si="10"/>
        <v>0</v>
      </c>
      <c r="AN14" s="120">
        <f t="shared" ca="1" si="10"/>
        <v>0</v>
      </c>
      <c r="AO14" s="120">
        <f t="shared" ca="1" si="10"/>
        <v>0</v>
      </c>
      <c r="AP14" s="120">
        <f t="shared" ca="1" si="10"/>
        <v>0</v>
      </c>
      <c r="AQ14" s="120">
        <f t="shared" ca="1" si="10"/>
        <v>0</v>
      </c>
      <c r="AR14" s="120">
        <f t="shared" ca="1" si="10"/>
        <v>0</v>
      </c>
      <c r="AS14" s="120">
        <f t="shared" ca="1" si="10"/>
        <v>0</v>
      </c>
      <c r="AT14" s="120">
        <f t="shared" ca="1" si="10"/>
        <v>0</v>
      </c>
      <c r="AU14" s="120">
        <f t="shared" ca="1" si="10"/>
        <v>0</v>
      </c>
      <c r="AV14" s="120">
        <f t="shared" ca="1" si="10"/>
        <v>0</v>
      </c>
      <c r="AW14" s="120">
        <f t="shared" ca="1" si="10"/>
        <v>0</v>
      </c>
      <c r="AX14" s="120">
        <f t="shared" ca="1" si="10"/>
        <v>0</v>
      </c>
      <c r="AY14" s="121">
        <f t="shared" ca="1" si="10"/>
        <v>0</v>
      </c>
      <c r="AZ14" s="121">
        <f t="shared" ca="1" si="10"/>
        <v>0</v>
      </c>
      <c r="BA14" s="121">
        <f t="shared" ca="1" si="10"/>
        <v>0</v>
      </c>
      <c r="BB14" s="121">
        <f t="shared" ca="1" si="10"/>
        <v>0</v>
      </c>
      <c r="BC14" s="121">
        <f t="shared" ca="1" si="10"/>
        <v>0</v>
      </c>
      <c r="BD14" s="121">
        <f t="shared" ca="1" si="10"/>
        <v>0</v>
      </c>
      <c r="BE14" s="121">
        <f t="shared" ca="1" si="10"/>
        <v>0</v>
      </c>
      <c r="BF14" s="121">
        <f t="shared" ca="1" si="10"/>
        <v>0</v>
      </c>
      <c r="BG14" s="121">
        <f t="shared" ca="1" si="10"/>
        <v>0</v>
      </c>
      <c r="BH14" s="121">
        <f t="shared" ca="1" si="10"/>
        <v>0</v>
      </c>
      <c r="BI14" s="121">
        <f t="shared" ca="1" si="10"/>
        <v>0</v>
      </c>
      <c r="BJ14" s="121">
        <f t="shared" ca="1" si="10"/>
        <v>0</v>
      </c>
      <c r="BK14" s="121">
        <f t="shared" ca="1" si="10"/>
        <v>0</v>
      </c>
      <c r="BL14" s="121">
        <f t="shared" ca="1" si="10"/>
        <v>0</v>
      </c>
      <c r="BM14" s="121">
        <f t="shared" ca="1" si="10"/>
        <v>0</v>
      </c>
      <c r="BN14" s="121">
        <f t="shared" ca="1" si="10"/>
        <v>0</v>
      </c>
      <c r="BO14" s="121">
        <f t="shared" ca="1" si="10"/>
        <v>0</v>
      </c>
      <c r="BP14" s="121">
        <f t="shared" ca="1" si="10"/>
        <v>0</v>
      </c>
      <c r="BQ14" s="121">
        <f t="shared" ca="1" si="10"/>
        <v>0</v>
      </c>
      <c r="BR14" s="121">
        <f t="shared" ca="1" si="10"/>
        <v>0</v>
      </c>
      <c r="BS14" s="121">
        <f t="shared" ca="1" si="10"/>
        <v>0</v>
      </c>
      <c r="BT14" s="121">
        <f t="shared" ca="1" si="10"/>
        <v>0</v>
      </c>
      <c r="BU14" s="121">
        <f t="shared" ca="1" si="10"/>
        <v>0</v>
      </c>
      <c r="BV14" s="121">
        <f t="shared" ca="1" si="10"/>
        <v>0</v>
      </c>
    </row>
    <row r="15" spans="1:74" ht="15" x14ac:dyDescent="0.25">
      <c r="A15" s="127"/>
      <c r="B15" s="102"/>
      <c r="C15" s="102"/>
      <c r="D15" s="102"/>
      <c r="E15" s="102"/>
      <c r="F15" s="102"/>
      <c r="G15" s="102"/>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row>
    <row r="16" spans="1:74" x14ac:dyDescent="0.25">
      <c r="A16" s="129" t="s">
        <v>96</v>
      </c>
      <c r="B16" s="96"/>
      <c r="C16" s="97"/>
      <c r="D16" s="97"/>
      <c r="E16" s="97"/>
      <c r="F16" s="97"/>
      <c r="G16" s="97"/>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row>
    <row r="17" spans="1:74" ht="15" x14ac:dyDescent="0.25">
      <c r="A17" s="130" t="s">
        <v>88</v>
      </c>
      <c r="B17" s="102"/>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row>
    <row r="18" spans="1:74" ht="12.75" x14ac:dyDescent="0.2">
      <c r="A18" s="101" t="s">
        <v>97</v>
      </c>
      <c r="B18" s="112"/>
      <c r="C18" s="119">
        <f t="shared" ref="C18:AD18" si="11">SUMIFS(MRR_Export_Expansion_Count,MRR_Export_Months,"&gt;="&amp;C$1,MRR_Export_Months,"&lt;"&amp;D$1)</f>
        <v>3</v>
      </c>
      <c r="D18" s="119">
        <f t="shared" si="11"/>
        <v>4</v>
      </c>
      <c r="E18" s="119">
        <f t="shared" si="11"/>
        <v>3</v>
      </c>
      <c r="F18" s="119">
        <f t="shared" si="11"/>
        <v>5</v>
      </c>
      <c r="G18" s="119">
        <f t="shared" si="11"/>
        <v>7</v>
      </c>
      <c r="H18" s="119">
        <f t="shared" si="11"/>
        <v>5</v>
      </c>
      <c r="I18" s="119">
        <f t="shared" si="11"/>
        <v>5</v>
      </c>
      <c r="J18" s="119">
        <f t="shared" si="11"/>
        <v>5</v>
      </c>
      <c r="K18" s="119">
        <f t="shared" si="11"/>
        <v>5</v>
      </c>
      <c r="L18" s="119">
        <f t="shared" si="11"/>
        <v>5</v>
      </c>
      <c r="M18" s="119">
        <f t="shared" si="11"/>
        <v>5</v>
      </c>
      <c r="N18" s="119">
        <f t="shared" si="11"/>
        <v>5</v>
      </c>
      <c r="O18" s="119">
        <f t="shared" si="11"/>
        <v>5</v>
      </c>
      <c r="P18" s="119">
        <f t="shared" si="11"/>
        <v>5</v>
      </c>
      <c r="Q18" s="119">
        <f t="shared" si="11"/>
        <v>5</v>
      </c>
      <c r="R18" s="119">
        <f t="shared" si="11"/>
        <v>10</v>
      </c>
      <c r="S18" s="119">
        <f t="shared" si="11"/>
        <v>5</v>
      </c>
      <c r="T18" s="119">
        <f t="shared" si="11"/>
        <v>5</v>
      </c>
      <c r="U18" s="119">
        <f t="shared" si="11"/>
        <v>5</v>
      </c>
      <c r="V18" s="119">
        <f t="shared" si="11"/>
        <v>8</v>
      </c>
      <c r="W18" s="119">
        <f t="shared" si="11"/>
        <v>11</v>
      </c>
      <c r="X18" s="119">
        <f t="shared" si="11"/>
        <v>11</v>
      </c>
      <c r="Y18" s="119">
        <f t="shared" si="11"/>
        <v>11</v>
      </c>
      <c r="Z18" s="119">
        <f t="shared" si="11"/>
        <v>14</v>
      </c>
      <c r="AA18" s="119">
        <f t="shared" si="11"/>
        <v>14</v>
      </c>
      <c r="AB18" s="119">
        <f t="shared" si="11"/>
        <v>13</v>
      </c>
      <c r="AC18" s="119">
        <f t="shared" si="11"/>
        <v>12</v>
      </c>
      <c r="AD18" s="119">
        <f t="shared" si="11"/>
        <v>11</v>
      </c>
      <c r="AE18" s="120">
        <f t="shared" ref="AE18:BV18" si="12">AE19*AD$65</f>
        <v>11.123999999999999</v>
      </c>
      <c r="AF18" s="120">
        <f t="shared" ca="1" si="12"/>
        <v>11.064527999999999</v>
      </c>
      <c r="AG18" s="120">
        <f t="shared" ca="1" si="12"/>
        <v>11.050979328</v>
      </c>
      <c r="AH18" s="120">
        <f t="shared" ca="1" si="12"/>
        <v>12.325567467520001</v>
      </c>
      <c r="AI18" s="120">
        <f t="shared" ca="1" si="12"/>
        <v>12.500683955507199</v>
      </c>
      <c r="AJ18" s="120">
        <f t="shared" ca="1" si="12"/>
        <v>12.723176431996622</v>
      </c>
      <c r="AK18" s="120">
        <f t="shared" ca="1" si="12"/>
        <v>12.963221491244658</v>
      </c>
      <c r="AL18" s="120">
        <f t="shared" ca="1" si="12"/>
        <v>13.200626054840967</v>
      </c>
      <c r="AM18" s="120">
        <f t="shared" ca="1" si="12"/>
        <v>13.455419168237716</v>
      </c>
      <c r="AN18" s="120">
        <f t="shared" ca="1" si="12"/>
        <v>13.7074095573871</v>
      </c>
      <c r="AO18" s="120">
        <f t="shared" ca="1" si="12"/>
        <v>13.976628052255842</v>
      </c>
      <c r="AP18" s="120">
        <f t="shared" ca="1" si="12"/>
        <v>14.242885143681029</v>
      </c>
      <c r="AQ18" s="120">
        <f t="shared" ca="1" si="12"/>
        <v>14.526213407100538</v>
      </c>
      <c r="AR18" s="120">
        <f t="shared" ca="1" si="12"/>
        <v>14.826425059622432</v>
      </c>
      <c r="AS18" s="120">
        <f t="shared" ca="1" si="12"/>
        <v>15.123334383966585</v>
      </c>
      <c r="AT18" s="120">
        <f t="shared" ca="1" si="12"/>
        <v>15.436977705742953</v>
      </c>
      <c r="AU18" s="120">
        <f t="shared" ca="1" si="12"/>
        <v>15.747170950979781</v>
      </c>
      <c r="AV18" s="120">
        <f t="shared" ca="1" si="12"/>
        <v>16.073952070519002</v>
      </c>
      <c r="AW18" s="120">
        <f t="shared" ca="1" si="12"/>
        <v>16.417138597743296</v>
      </c>
      <c r="AX18" s="120">
        <f t="shared" ca="1" si="12"/>
        <v>16.756550073168118</v>
      </c>
      <c r="AY18" s="121">
        <f t="shared" ca="1" si="12"/>
        <v>17.112228022363269</v>
      </c>
      <c r="AZ18" s="121">
        <f t="shared" ca="1" si="12"/>
        <v>17.443993514117274</v>
      </c>
      <c r="BA18" s="121">
        <f t="shared" ca="1" si="12"/>
        <v>17.792109585461983</v>
      </c>
      <c r="BB18" s="121">
        <f t="shared" ca="1" si="12"/>
        <v>18.136396380021903</v>
      </c>
      <c r="BC18" s="121">
        <f t="shared" ca="1" si="12"/>
        <v>18.476896019841661</v>
      </c>
      <c r="BD18" s="121">
        <f t="shared" ca="1" si="12"/>
        <v>18.813650163623404</v>
      </c>
      <c r="BE18" s="121">
        <f t="shared" ca="1" si="12"/>
        <v>19.166700011823544</v>
      </c>
      <c r="BF18" s="121">
        <f t="shared" ca="1" si="12"/>
        <v>19.515866311693486</v>
      </c>
      <c r="BG18" s="121">
        <f t="shared" ca="1" si="12"/>
        <v>19.881191782264857</v>
      </c>
      <c r="BH18" s="121">
        <f t="shared" ca="1" si="12"/>
        <v>20.242498672659945</v>
      </c>
      <c r="BI18" s="121">
        <f t="shared" ca="1" si="12"/>
        <v>20.599831187260683</v>
      </c>
      <c r="BJ18" s="121">
        <f t="shared" ca="1" si="12"/>
        <v>20.973233044200814</v>
      </c>
      <c r="BK18" s="121">
        <f t="shared" ca="1" si="12"/>
        <v>21.342527480714608</v>
      </c>
      <c r="BL18" s="121">
        <f t="shared" ca="1" si="12"/>
        <v>21.707759678426747</v>
      </c>
      <c r="BM18" s="121">
        <f t="shared" ca="1" si="12"/>
        <v>22.088974321964052</v>
      </c>
      <c r="BN18" s="121">
        <f t="shared" ca="1" si="12"/>
        <v>22.465995604422446</v>
      </c>
      <c r="BO18" s="121">
        <f t="shared" ca="1" si="12"/>
        <v>22.858869652773802</v>
      </c>
      <c r="BP18" s="121">
        <f t="shared" ca="1" si="12"/>
        <v>23.247422086593289</v>
      </c>
      <c r="BQ18" s="121">
        <f t="shared" ca="1" si="12"/>
        <v>23.631700443640764</v>
      </c>
      <c r="BR18" s="121">
        <f t="shared" ca="1" si="12"/>
        <v>24.031751738760715</v>
      </c>
      <c r="BS18" s="121">
        <f t="shared" ca="1" si="12"/>
        <v>24.427402469634345</v>
      </c>
      <c r="BT18" s="121">
        <f t="shared" ca="1" si="12"/>
        <v>24.838701042468365</v>
      </c>
      <c r="BU18" s="121">
        <f t="shared" ca="1" si="12"/>
        <v>25.245475331001213</v>
      </c>
      <c r="BV18" s="121">
        <f t="shared" ca="1" si="12"/>
        <v>25.667775102360196</v>
      </c>
    </row>
    <row r="19" spans="1:74" ht="12.75" x14ac:dyDescent="0.2">
      <c r="A19" s="132" t="s">
        <v>99</v>
      </c>
      <c r="B19" s="117"/>
      <c r="C19" s="133" t="str">
        <f t="shared" ref="C19:AD19" si="13">IFERROR(C18/B$65," ")</f>
        <v xml:space="preserve"> </v>
      </c>
      <c r="D19" s="133">
        <f t="shared" si="13"/>
        <v>1.6877637130801686E-2</v>
      </c>
      <c r="E19" s="133">
        <f t="shared" si="13"/>
        <v>1.3761467889908258E-2</v>
      </c>
      <c r="F19" s="133">
        <f t="shared" si="13"/>
        <v>2.1929824561403508E-2</v>
      </c>
      <c r="G19" s="133">
        <f t="shared" si="13"/>
        <v>2.9411764705882353E-2</v>
      </c>
      <c r="H19" s="133">
        <f t="shared" si="13"/>
        <v>1.9920318725099601E-2</v>
      </c>
      <c r="I19" s="133">
        <f t="shared" si="13"/>
        <v>1.9305019305019305E-2</v>
      </c>
      <c r="J19" s="133">
        <f t="shared" si="13"/>
        <v>1.8115942028985508E-2</v>
      </c>
      <c r="K19" s="133">
        <f t="shared" si="13"/>
        <v>1.7543859649122806E-2</v>
      </c>
      <c r="L19" s="133">
        <f t="shared" si="13"/>
        <v>1.7006802721088437E-2</v>
      </c>
      <c r="M19" s="133">
        <f t="shared" si="13"/>
        <v>1.65016501650165E-2</v>
      </c>
      <c r="N19" s="133">
        <f t="shared" si="13"/>
        <v>1.6025641025641024E-2</v>
      </c>
      <c r="O19" s="133">
        <f t="shared" si="13"/>
        <v>1.5479876160990712E-2</v>
      </c>
      <c r="P19" s="133">
        <f t="shared" si="13"/>
        <v>1.5015015015015015E-2</v>
      </c>
      <c r="Q19" s="133">
        <f t="shared" si="13"/>
        <v>1.4164305949008499E-2</v>
      </c>
      <c r="R19" s="133">
        <f t="shared" si="13"/>
        <v>2.7472527472527472E-2</v>
      </c>
      <c r="S19" s="133">
        <f t="shared" si="13"/>
        <v>1.2562814070351759E-2</v>
      </c>
      <c r="T19" s="133">
        <f t="shared" si="13"/>
        <v>1.2135922330097087E-2</v>
      </c>
      <c r="U19" s="133">
        <f t="shared" si="13"/>
        <v>1.1520737327188941E-2</v>
      </c>
      <c r="V19" s="133">
        <f t="shared" si="13"/>
        <v>1.7505470459518599E-2</v>
      </c>
      <c r="W19" s="133">
        <f t="shared" si="13"/>
        <v>2.2964509394572025E-2</v>
      </c>
      <c r="X19" s="133">
        <f t="shared" si="13"/>
        <v>2.2177419354838711E-2</v>
      </c>
      <c r="Y19" s="133">
        <f t="shared" si="13"/>
        <v>2.1653543307086614E-2</v>
      </c>
      <c r="Z19" s="133">
        <f t="shared" si="13"/>
        <v>2.6717557251908396E-2</v>
      </c>
      <c r="AA19" s="133">
        <f t="shared" si="13"/>
        <v>2.5688073394495414E-2</v>
      </c>
      <c r="AB19" s="133">
        <f t="shared" si="13"/>
        <v>2.276707530647986E-2</v>
      </c>
      <c r="AC19" s="133">
        <f t="shared" si="13"/>
        <v>1.9834710743801654E-2</v>
      </c>
      <c r="AD19" s="133">
        <f t="shared" si="13"/>
        <v>1.7857142857142856E-2</v>
      </c>
      <c r="AE19" s="134">
        <v>1.7999999999999999E-2</v>
      </c>
      <c r="AF19" s="134">
        <v>1.7999999999999999E-2</v>
      </c>
      <c r="AG19" s="169">
        <v>1.7999999999999999E-2</v>
      </c>
      <c r="AH19" s="170">
        <v>0.02</v>
      </c>
      <c r="AI19" s="170">
        <v>0.02</v>
      </c>
      <c r="AJ19" s="134">
        <v>0.02</v>
      </c>
      <c r="AK19" s="135">
        <f t="shared" ref="AK19:BV19" si="14">IFERROR(MEDIAN(AH19:AJ19),0)</f>
        <v>0.02</v>
      </c>
      <c r="AL19" s="135">
        <f t="shared" si="14"/>
        <v>0.02</v>
      </c>
      <c r="AM19" s="135">
        <f t="shared" si="14"/>
        <v>0.02</v>
      </c>
      <c r="AN19" s="135">
        <f t="shared" si="14"/>
        <v>0.02</v>
      </c>
      <c r="AO19" s="135">
        <f t="shared" si="14"/>
        <v>0.02</v>
      </c>
      <c r="AP19" s="135">
        <f t="shared" si="14"/>
        <v>0.02</v>
      </c>
      <c r="AQ19" s="135">
        <f t="shared" si="14"/>
        <v>0.02</v>
      </c>
      <c r="AR19" s="135">
        <f t="shared" si="14"/>
        <v>0.02</v>
      </c>
      <c r="AS19" s="135">
        <f t="shared" si="14"/>
        <v>0.02</v>
      </c>
      <c r="AT19" s="135">
        <f t="shared" si="14"/>
        <v>0.02</v>
      </c>
      <c r="AU19" s="135">
        <f t="shared" si="14"/>
        <v>0.02</v>
      </c>
      <c r="AV19" s="135">
        <f t="shared" si="14"/>
        <v>0.02</v>
      </c>
      <c r="AW19" s="135">
        <f t="shared" si="14"/>
        <v>0.02</v>
      </c>
      <c r="AX19" s="135">
        <f t="shared" si="14"/>
        <v>0.02</v>
      </c>
      <c r="AY19" s="136">
        <f t="shared" si="14"/>
        <v>0.02</v>
      </c>
      <c r="AZ19" s="136">
        <f t="shared" si="14"/>
        <v>0.02</v>
      </c>
      <c r="BA19" s="136">
        <f t="shared" si="14"/>
        <v>0.02</v>
      </c>
      <c r="BB19" s="136">
        <f t="shared" si="14"/>
        <v>0.02</v>
      </c>
      <c r="BC19" s="136">
        <f t="shared" si="14"/>
        <v>0.02</v>
      </c>
      <c r="BD19" s="136">
        <f t="shared" si="14"/>
        <v>0.02</v>
      </c>
      <c r="BE19" s="136">
        <f t="shared" si="14"/>
        <v>0.02</v>
      </c>
      <c r="BF19" s="136">
        <f t="shared" si="14"/>
        <v>0.02</v>
      </c>
      <c r="BG19" s="136">
        <f t="shared" si="14"/>
        <v>0.02</v>
      </c>
      <c r="BH19" s="136">
        <f t="shared" si="14"/>
        <v>0.02</v>
      </c>
      <c r="BI19" s="136">
        <f t="shared" si="14"/>
        <v>0.02</v>
      </c>
      <c r="BJ19" s="136">
        <f t="shared" si="14"/>
        <v>0.02</v>
      </c>
      <c r="BK19" s="136">
        <f t="shared" si="14"/>
        <v>0.02</v>
      </c>
      <c r="BL19" s="136">
        <f t="shared" si="14"/>
        <v>0.02</v>
      </c>
      <c r="BM19" s="136">
        <f t="shared" si="14"/>
        <v>0.02</v>
      </c>
      <c r="BN19" s="136">
        <f t="shared" si="14"/>
        <v>0.02</v>
      </c>
      <c r="BO19" s="136">
        <f t="shared" si="14"/>
        <v>0.02</v>
      </c>
      <c r="BP19" s="136">
        <f t="shared" si="14"/>
        <v>0.02</v>
      </c>
      <c r="BQ19" s="136">
        <f t="shared" si="14"/>
        <v>0.02</v>
      </c>
      <c r="BR19" s="136">
        <f t="shared" si="14"/>
        <v>0.02</v>
      </c>
      <c r="BS19" s="136">
        <f t="shared" si="14"/>
        <v>0.02</v>
      </c>
      <c r="BT19" s="136">
        <f t="shared" si="14"/>
        <v>0.02</v>
      </c>
      <c r="BU19" s="136">
        <f t="shared" si="14"/>
        <v>0.02</v>
      </c>
      <c r="BV19" s="136">
        <f t="shared" si="14"/>
        <v>0.02</v>
      </c>
    </row>
    <row r="20" spans="1:74" ht="12.75" x14ac:dyDescent="0.2">
      <c r="A20" s="132" t="s">
        <v>91</v>
      </c>
      <c r="B20" s="117"/>
      <c r="C20" s="115">
        <f t="shared" ref="C20:AD20" si="15">IFERROR(C21/C18," ")</f>
        <v>2128.6666666666665</v>
      </c>
      <c r="D20" s="115">
        <f t="shared" si="15"/>
        <v>2442.75</v>
      </c>
      <c r="E20" s="115">
        <f t="shared" si="15"/>
        <v>3609.6666666666665</v>
      </c>
      <c r="F20" s="115">
        <f t="shared" si="15"/>
        <v>2859.2</v>
      </c>
      <c r="G20" s="115">
        <f t="shared" si="15"/>
        <v>1525</v>
      </c>
      <c r="H20" s="115">
        <f t="shared" si="15"/>
        <v>1586</v>
      </c>
      <c r="I20" s="115">
        <f t="shared" si="15"/>
        <v>1935.4</v>
      </c>
      <c r="J20" s="115">
        <f t="shared" si="15"/>
        <v>1663.6</v>
      </c>
      <c r="K20" s="115">
        <f t="shared" si="15"/>
        <v>1728.4</v>
      </c>
      <c r="L20" s="115">
        <f t="shared" si="15"/>
        <v>1775.8</v>
      </c>
      <c r="M20" s="115">
        <f t="shared" si="15"/>
        <v>1722.6</v>
      </c>
      <c r="N20" s="115">
        <f t="shared" si="15"/>
        <v>1742.2</v>
      </c>
      <c r="O20" s="115">
        <f t="shared" si="15"/>
        <v>1746.8</v>
      </c>
      <c r="P20" s="115">
        <f t="shared" si="15"/>
        <v>1737.2</v>
      </c>
      <c r="Q20" s="115">
        <f t="shared" si="15"/>
        <v>1742.2</v>
      </c>
      <c r="R20" s="115">
        <f t="shared" si="15"/>
        <v>1742.1</v>
      </c>
      <c r="S20" s="115">
        <f t="shared" si="15"/>
        <v>1740.8</v>
      </c>
      <c r="T20" s="115">
        <f t="shared" si="15"/>
        <v>1741.8</v>
      </c>
      <c r="U20" s="115">
        <f t="shared" si="15"/>
        <v>1741.7</v>
      </c>
      <c r="V20" s="115">
        <f t="shared" si="15"/>
        <v>1741.4333333333334</v>
      </c>
      <c r="W20" s="115">
        <f t="shared" si="15"/>
        <v>1741.6092592592593</v>
      </c>
      <c r="X20" s="115">
        <f t="shared" si="15"/>
        <v>1838.245622895623</v>
      </c>
      <c r="Y20" s="115">
        <f t="shared" si="15"/>
        <v>1819.336531986532</v>
      </c>
      <c r="Z20" s="115">
        <f t="shared" si="15"/>
        <v>1438.4072751322751</v>
      </c>
      <c r="AA20" s="115">
        <f t="shared" si="15"/>
        <v>1656.4072751322751</v>
      </c>
      <c r="AB20" s="115">
        <f t="shared" si="15"/>
        <v>1952.0539886039887</v>
      </c>
      <c r="AC20" s="115">
        <f t="shared" si="15"/>
        <v>1689.6666666666667</v>
      </c>
      <c r="AD20" s="115">
        <f t="shared" si="15"/>
        <v>970.4545454545455</v>
      </c>
      <c r="AE20" s="115">
        <f t="shared" ref="AE20:BV20" si="16">IFERROR(SUM(AB21:AD21)/SUM(AB18:AD18),0)</f>
        <v>1564.6583847736626</v>
      </c>
      <c r="AF20" s="115">
        <f t="shared" si="16"/>
        <v>1417.0747823298038</v>
      </c>
      <c r="AG20" s="115">
        <f t="shared" ca="1" si="16"/>
        <v>1318.5135381540344</v>
      </c>
      <c r="AH20" s="115">
        <f t="shared" ca="1" si="16"/>
        <v>1433.6972224943024</v>
      </c>
      <c r="AI20" s="115">
        <f t="shared" ca="1" si="16"/>
        <v>1391.3985434360898</v>
      </c>
      <c r="AJ20" s="115">
        <f t="shared" ca="1" si="16"/>
        <v>1383.4799984919248</v>
      </c>
      <c r="AK20" s="115">
        <f t="shared" ca="1" si="16"/>
        <v>1402.5999438870792</v>
      </c>
      <c r="AL20" s="115">
        <f t="shared" ca="1" si="16"/>
        <v>1392.5627379349037</v>
      </c>
      <c r="AM20" s="115">
        <f t="shared" ca="1" si="16"/>
        <v>1392.9369817315135</v>
      </c>
      <c r="AN20" s="115">
        <f t="shared" ca="1" si="16"/>
        <v>1395.9739603595963</v>
      </c>
      <c r="AO20" s="115">
        <f t="shared" ca="1" si="16"/>
        <v>1393.8459440009553</v>
      </c>
      <c r="AP20" s="115">
        <f t="shared" ca="1" si="16"/>
        <v>1394.2576928366464</v>
      </c>
      <c r="AQ20" s="115">
        <f t="shared" ca="1" si="16"/>
        <v>1394.6815427248021</v>
      </c>
      <c r="AR20" s="115">
        <f t="shared" ca="1" si="16"/>
        <v>1394.2670990073323</v>
      </c>
      <c r="AS20" s="115">
        <f t="shared" ca="1" si="16"/>
        <v>1394.4021203670727</v>
      </c>
      <c r="AT20" s="115">
        <f t="shared" ca="1" si="16"/>
        <v>1394.4483715133795</v>
      </c>
      <c r="AU20" s="115">
        <f t="shared" ca="1" si="16"/>
        <v>1394.3737441003891</v>
      </c>
      <c r="AV20" s="115">
        <f t="shared" ca="1" si="16"/>
        <v>1394.4078890241976</v>
      </c>
      <c r="AW20" s="115">
        <f t="shared" ca="1" si="16"/>
        <v>1394.40973508507</v>
      </c>
      <c r="AX20" s="115">
        <f t="shared" ca="1" si="16"/>
        <v>1394.3973708401236</v>
      </c>
      <c r="AY20" s="116">
        <f t="shared" ca="1" si="16"/>
        <v>1394.4049256042506</v>
      </c>
      <c r="AZ20" s="116">
        <f t="shared" ca="1" si="16"/>
        <v>1394.4039783435994</v>
      </c>
      <c r="BA20" s="116">
        <f t="shared" ca="1" si="16"/>
        <v>1394.4021365170986</v>
      </c>
      <c r="BB20" s="116">
        <f t="shared" ca="1" si="16"/>
        <v>1394.4036619965773</v>
      </c>
      <c r="BC20" s="116">
        <f t="shared" ca="1" si="16"/>
        <v>1394.4032568601708</v>
      </c>
      <c r="BD20" s="116">
        <f t="shared" ca="1" si="16"/>
        <v>1394.4030255310786</v>
      </c>
      <c r="BE20" s="116">
        <f t="shared" ca="1" si="16"/>
        <v>1394.4033109055447</v>
      </c>
      <c r="BF20" s="116">
        <f t="shared" ca="1" si="16"/>
        <v>1394.4031981206224</v>
      </c>
      <c r="BG20" s="116">
        <f t="shared" ca="1" si="16"/>
        <v>1394.403179244171</v>
      </c>
      <c r="BH20" s="116">
        <f t="shared" ca="1" si="16"/>
        <v>1394.4032286246147</v>
      </c>
      <c r="BI20" s="116">
        <f t="shared" ca="1" si="16"/>
        <v>1394.4032021815292</v>
      </c>
      <c r="BJ20" s="116">
        <f t="shared" ca="1" si="16"/>
        <v>1394.4032034866595</v>
      </c>
      <c r="BK20" s="116">
        <f t="shared" ca="1" si="16"/>
        <v>1394.4032112835564</v>
      </c>
      <c r="BL20" s="116">
        <f t="shared" ca="1" si="16"/>
        <v>1394.4032057042341</v>
      </c>
      <c r="BM20" s="116">
        <f t="shared" ca="1" si="16"/>
        <v>1394.4032068376789</v>
      </c>
      <c r="BN20" s="116">
        <f t="shared" ca="1" si="16"/>
        <v>1394.4032079166245</v>
      </c>
      <c r="BO20" s="116">
        <f t="shared" ca="1" si="16"/>
        <v>1394.4032068321712</v>
      </c>
      <c r="BP20" s="116">
        <f t="shared" ca="1" si="16"/>
        <v>1394.4032071953752</v>
      </c>
      <c r="BQ20" s="116">
        <f t="shared" ca="1" si="16"/>
        <v>1394.4032073105989</v>
      </c>
      <c r="BR20" s="116">
        <f t="shared" ca="1" si="16"/>
        <v>1394.4032071153686</v>
      </c>
      <c r="BS20" s="116">
        <f t="shared" ca="1" si="16"/>
        <v>1394.40320720666</v>
      </c>
      <c r="BT20" s="116">
        <f t="shared" ca="1" si="16"/>
        <v>1394.4032072102991</v>
      </c>
      <c r="BU20" s="116">
        <f t="shared" ca="1" si="16"/>
        <v>1394.403207177962</v>
      </c>
      <c r="BV20" s="116">
        <f t="shared" ca="1" si="16"/>
        <v>1394.4032071981501</v>
      </c>
    </row>
    <row r="21" spans="1:74" ht="12.75" x14ac:dyDescent="0.2">
      <c r="A21" s="137" t="s">
        <v>102</v>
      </c>
      <c r="B21" s="118"/>
      <c r="C21" s="119">
        <f t="shared" ref="C21:AD21" si="17">SUMIFS(MRR_Export_Expansion_MRR,MRR_Export_Months,"&gt;="&amp;C$1,MRR_Export_Months,"&lt;"&amp;D$1)</f>
        <v>6386</v>
      </c>
      <c r="D21" s="119">
        <f t="shared" si="17"/>
        <v>9771</v>
      </c>
      <c r="E21" s="119">
        <f t="shared" si="17"/>
        <v>10829</v>
      </c>
      <c r="F21" s="119">
        <f t="shared" si="17"/>
        <v>14296</v>
      </c>
      <c r="G21" s="119">
        <f t="shared" si="17"/>
        <v>10675</v>
      </c>
      <c r="H21" s="119">
        <f t="shared" si="17"/>
        <v>7930</v>
      </c>
      <c r="I21" s="119">
        <f t="shared" si="17"/>
        <v>9677</v>
      </c>
      <c r="J21" s="119">
        <f t="shared" si="17"/>
        <v>8318</v>
      </c>
      <c r="K21" s="119">
        <f t="shared" si="17"/>
        <v>8642</v>
      </c>
      <c r="L21" s="119">
        <f t="shared" si="17"/>
        <v>8879</v>
      </c>
      <c r="M21" s="119">
        <f t="shared" si="17"/>
        <v>8613</v>
      </c>
      <c r="N21" s="119">
        <f t="shared" si="17"/>
        <v>8711</v>
      </c>
      <c r="O21" s="119">
        <f t="shared" si="17"/>
        <v>8734</v>
      </c>
      <c r="P21" s="119">
        <f t="shared" si="17"/>
        <v>8686</v>
      </c>
      <c r="Q21" s="119">
        <f t="shared" si="17"/>
        <v>8711</v>
      </c>
      <c r="R21" s="119">
        <f t="shared" si="17"/>
        <v>17421</v>
      </c>
      <c r="S21" s="119">
        <f t="shared" si="17"/>
        <v>8704</v>
      </c>
      <c r="T21" s="119">
        <f t="shared" si="17"/>
        <v>8709</v>
      </c>
      <c r="U21" s="119">
        <f t="shared" si="17"/>
        <v>8708.5</v>
      </c>
      <c r="V21" s="119">
        <f t="shared" si="17"/>
        <v>13931.466666666667</v>
      </c>
      <c r="W21" s="119">
        <f t="shared" si="17"/>
        <v>19157.701851851853</v>
      </c>
      <c r="X21" s="119">
        <f t="shared" si="17"/>
        <v>20220.701851851853</v>
      </c>
      <c r="Y21" s="119">
        <f t="shared" si="17"/>
        <v>20012.701851851853</v>
      </c>
      <c r="Z21" s="119">
        <f t="shared" si="17"/>
        <v>20137.701851851853</v>
      </c>
      <c r="AA21" s="119">
        <f t="shared" si="17"/>
        <v>23189.701851851853</v>
      </c>
      <c r="AB21" s="119">
        <f t="shared" si="17"/>
        <v>25376.701851851853</v>
      </c>
      <c r="AC21" s="119">
        <f t="shared" si="17"/>
        <v>20276</v>
      </c>
      <c r="AD21" s="119">
        <f t="shared" si="17"/>
        <v>10675</v>
      </c>
      <c r="AE21" s="120">
        <f t="shared" ref="AE21:BV21" si="18">AE18*AE20</f>
        <v>17405.259872222221</v>
      </c>
      <c r="AF21" s="120">
        <f t="shared" ca="1" si="18"/>
        <v>15679.263607182018</v>
      </c>
      <c r="AG21" s="120">
        <f t="shared" ca="1" si="18"/>
        <v>14570.865853828374</v>
      </c>
      <c r="AH21" s="120">
        <f t="shared" ca="1" si="18"/>
        <v>17671.131843849558</v>
      </c>
      <c r="AI21" s="120">
        <f t="shared" ca="1" si="18"/>
        <v>17393.433447647614</v>
      </c>
      <c r="AJ21" s="120">
        <f t="shared" ca="1" si="18"/>
        <v>17602.260110951178</v>
      </c>
      <c r="AK21" s="120">
        <f t="shared" ca="1" si="18"/>
        <v>18182.213736215537</v>
      </c>
      <c r="AL21" s="120">
        <f t="shared" ca="1" si="18"/>
        <v>18382.699961384162</v>
      </c>
      <c r="AM21" s="120">
        <f t="shared" ca="1" si="18"/>
        <v>18742.550964137397</v>
      </c>
      <c r="AN21" s="120">
        <f t="shared" ca="1" si="18"/>
        <v>19135.186806096652</v>
      </c>
      <c r="AO21" s="120">
        <f t="shared" ca="1" si="18"/>
        <v>19481.266321446779</v>
      </c>
      <c r="AP21" s="120">
        <f t="shared" ca="1" si="18"/>
        <v>19858.252179766059</v>
      </c>
      <c r="AQ21" s="120">
        <f t="shared" ca="1" si="18"/>
        <v>20259.441724564684</v>
      </c>
      <c r="AR21" s="120">
        <f t="shared" ca="1" si="18"/>
        <v>20671.99665652938</v>
      </c>
      <c r="AS21" s="120">
        <f t="shared" ca="1" si="18"/>
        <v>21088.009532023261</v>
      </c>
      <c r="AT21" s="120">
        <f t="shared" ca="1" si="18"/>
        <v>21526.068422861605</v>
      </c>
      <c r="AU21" s="120">
        <f t="shared" ca="1" si="18"/>
        <v>21957.44171790656</v>
      </c>
      <c r="AV21" s="120">
        <f t="shared" ca="1" si="18"/>
        <v>22413.645574928534</v>
      </c>
      <c r="AW21" s="120">
        <f t="shared" ca="1" si="18"/>
        <v>22892.217882934106</v>
      </c>
      <c r="AX21" s="120">
        <f t="shared" ca="1" si="18"/>
        <v>23365.289366376503</v>
      </c>
      <c r="AY21" s="121">
        <f t="shared" ca="1" si="18"/>
        <v>23861.375042446427</v>
      </c>
      <c r="AZ21" s="121">
        <f t="shared" ca="1" si="18"/>
        <v>24323.973954285073</v>
      </c>
      <c r="BA21" s="121">
        <f t="shared" ca="1" si="18"/>
        <v>24809.35561911454</v>
      </c>
      <c r="BB21" s="121">
        <f t="shared" ca="1" si="18"/>
        <v>25289.457527724011</v>
      </c>
      <c r="BC21" s="121">
        <f t="shared" ca="1" si="18"/>
        <v>25764.243986733938</v>
      </c>
      <c r="BD21" s="121">
        <f t="shared" ca="1" si="18"/>
        <v>26233.810709439746</v>
      </c>
      <c r="BE21" s="121">
        <f t="shared" ca="1" si="18"/>
        <v>26726.109955620093</v>
      </c>
      <c r="BF21" s="121">
        <f t="shared" ca="1" si="18"/>
        <v>27212.986399119913</v>
      </c>
      <c r="BG21" s="121">
        <f t="shared" ca="1" si="18"/>
        <v>27722.397028353203</v>
      </c>
      <c r="BH21" s="121">
        <f t="shared" ca="1" si="18"/>
        <v>28226.205504586505</v>
      </c>
      <c r="BI21" s="121">
        <f t="shared" ca="1" si="18"/>
        <v>28724.47057191523</v>
      </c>
      <c r="BJ21" s="121">
        <f t="shared" ca="1" si="18"/>
        <v>29245.143344305881</v>
      </c>
      <c r="BK21" s="121">
        <f t="shared" ca="1" si="18"/>
        <v>29760.088856016002</v>
      </c>
      <c r="BL21" s="121">
        <f t="shared" ca="1" si="18"/>
        <v>30269.369684255369</v>
      </c>
      <c r="BM21" s="121">
        <f t="shared" ca="1" si="18"/>
        <v>30800.936630301818</v>
      </c>
      <c r="BN21" s="121">
        <f t="shared" ca="1" si="18"/>
        <v>31326.656339847443</v>
      </c>
      <c r="BO21" s="121">
        <f t="shared" ca="1" si="18"/>
        <v>31874.481148386389</v>
      </c>
      <c r="BP21" s="121">
        <f t="shared" ca="1" si="18"/>
        <v>32416.279916570285</v>
      </c>
      <c r="BQ21" s="121">
        <f t="shared" ca="1" si="18"/>
        <v>32952.118892815983</v>
      </c>
      <c r="BR21" s="121">
        <f t="shared" ca="1" si="18"/>
        <v>33509.951697128272</v>
      </c>
      <c r="BS21" s="121">
        <f t="shared" ca="1" si="18"/>
        <v>34061.648347386021</v>
      </c>
      <c r="BT21" s="121">
        <f t="shared" ca="1" si="18"/>
        <v>34635.164396555687</v>
      </c>
      <c r="BU21" s="121">
        <f t="shared" ca="1" si="18"/>
        <v>35202.371768280216</v>
      </c>
      <c r="BV21" s="121">
        <f t="shared" ca="1" si="18"/>
        <v>35791.22792437188</v>
      </c>
    </row>
    <row r="22" spans="1:74" ht="12.75" hidden="1" x14ac:dyDescent="0.2">
      <c r="A22" s="102"/>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row>
    <row r="23" spans="1:74" ht="15" hidden="1" x14ac:dyDescent="0.25">
      <c r="A23" s="130" t="s">
        <v>103</v>
      </c>
      <c r="B23" s="102"/>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row>
    <row r="24" spans="1:74" ht="12.75" hidden="1" x14ac:dyDescent="0.2">
      <c r="A24" s="101" t="s">
        <v>97</v>
      </c>
      <c r="B24" s="112"/>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39">
        <v>0</v>
      </c>
      <c r="AF24" s="139">
        <v>0</v>
      </c>
      <c r="AG24" s="139">
        <v>0</v>
      </c>
      <c r="AH24" s="139">
        <v>0</v>
      </c>
      <c r="AI24" s="139">
        <v>0</v>
      </c>
      <c r="AJ24" s="139">
        <v>0</v>
      </c>
      <c r="AK24" s="139">
        <v>0</v>
      </c>
      <c r="AL24" s="139">
        <v>0</v>
      </c>
      <c r="AM24" s="139">
        <v>0</v>
      </c>
      <c r="AN24" s="139">
        <v>0</v>
      </c>
      <c r="AO24" s="139">
        <v>0</v>
      </c>
      <c r="AP24" s="139">
        <v>0</v>
      </c>
      <c r="AQ24" s="139">
        <v>0</v>
      </c>
      <c r="AR24" s="139">
        <v>0</v>
      </c>
      <c r="AS24" s="139">
        <v>0</v>
      </c>
      <c r="AT24" s="139">
        <v>0</v>
      </c>
      <c r="AU24" s="139">
        <v>0</v>
      </c>
      <c r="AV24" s="139">
        <v>0</v>
      </c>
      <c r="AW24" s="139">
        <v>0</v>
      </c>
      <c r="AX24" s="139">
        <v>0</v>
      </c>
      <c r="AY24" s="140">
        <v>0</v>
      </c>
      <c r="AZ24" s="140">
        <v>0</v>
      </c>
      <c r="BA24" s="140">
        <v>0</v>
      </c>
      <c r="BB24" s="140">
        <v>0</v>
      </c>
      <c r="BC24" s="140">
        <v>0</v>
      </c>
      <c r="BD24" s="140">
        <v>0</v>
      </c>
      <c r="BE24" s="140">
        <v>0</v>
      </c>
      <c r="BF24" s="140">
        <v>0</v>
      </c>
      <c r="BG24" s="140">
        <v>0</v>
      </c>
      <c r="BH24" s="140">
        <v>0</v>
      </c>
      <c r="BI24" s="140">
        <v>0</v>
      </c>
      <c r="BJ24" s="140">
        <v>0</v>
      </c>
      <c r="BK24" s="140">
        <v>0</v>
      </c>
      <c r="BL24" s="140">
        <v>0</v>
      </c>
      <c r="BM24" s="140">
        <v>0</v>
      </c>
      <c r="BN24" s="140">
        <v>0</v>
      </c>
      <c r="BO24" s="140">
        <v>0</v>
      </c>
      <c r="BP24" s="140">
        <v>0</v>
      </c>
      <c r="BQ24" s="140">
        <v>0</v>
      </c>
      <c r="BR24" s="140">
        <v>0</v>
      </c>
      <c r="BS24" s="140">
        <v>0</v>
      </c>
      <c r="BT24" s="140">
        <v>0</v>
      </c>
      <c r="BU24" s="140">
        <v>0</v>
      </c>
      <c r="BV24" s="140">
        <v>0</v>
      </c>
    </row>
    <row r="25" spans="1:74" ht="12.75" hidden="1" x14ac:dyDescent="0.2">
      <c r="A25" s="132" t="s">
        <v>99</v>
      </c>
      <c r="B25" s="117"/>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15"/>
      <c r="AF25" s="115"/>
      <c r="AG25" s="115"/>
      <c r="AH25" s="115"/>
      <c r="AI25" s="115"/>
      <c r="AJ25" s="115"/>
      <c r="AK25" s="115"/>
      <c r="AL25" s="115"/>
      <c r="AM25" s="115"/>
      <c r="AN25" s="115"/>
      <c r="AO25" s="115"/>
      <c r="AP25" s="115"/>
      <c r="AQ25" s="115"/>
      <c r="AR25" s="115"/>
      <c r="AS25" s="115"/>
      <c r="AT25" s="115"/>
      <c r="AU25" s="115"/>
      <c r="AV25" s="115"/>
      <c r="AW25" s="115"/>
      <c r="AX25" s="115"/>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row>
    <row r="26" spans="1:74" ht="12.75" hidden="1" x14ac:dyDescent="0.2">
      <c r="A26" s="132" t="s">
        <v>91</v>
      </c>
      <c r="B26" s="117"/>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15">
        <f t="shared" ref="AE26:BV26" si="19">IFERROR(IF(AE24&gt;0,SUM(AB27:AD27)/SUM(AB24:AD24),0),0)</f>
        <v>0</v>
      </c>
      <c r="AF26" s="115">
        <f t="shared" si="19"/>
        <v>0</v>
      </c>
      <c r="AG26" s="115">
        <f t="shared" si="19"/>
        <v>0</v>
      </c>
      <c r="AH26" s="115">
        <f t="shared" si="19"/>
        <v>0</v>
      </c>
      <c r="AI26" s="115">
        <f t="shared" si="19"/>
        <v>0</v>
      </c>
      <c r="AJ26" s="115">
        <f t="shared" si="19"/>
        <v>0</v>
      </c>
      <c r="AK26" s="115">
        <f t="shared" si="19"/>
        <v>0</v>
      </c>
      <c r="AL26" s="115">
        <f t="shared" si="19"/>
        <v>0</v>
      </c>
      <c r="AM26" s="115">
        <f t="shared" si="19"/>
        <v>0</v>
      </c>
      <c r="AN26" s="115">
        <f t="shared" si="19"/>
        <v>0</v>
      </c>
      <c r="AO26" s="115">
        <f t="shared" si="19"/>
        <v>0</v>
      </c>
      <c r="AP26" s="115">
        <f t="shared" si="19"/>
        <v>0</v>
      </c>
      <c r="AQ26" s="115">
        <f t="shared" si="19"/>
        <v>0</v>
      </c>
      <c r="AR26" s="115">
        <f t="shared" si="19"/>
        <v>0</v>
      </c>
      <c r="AS26" s="115">
        <f t="shared" si="19"/>
        <v>0</v>
      </c>
      <c r="AT26" s="115">
        <f t="shared" si="19"/>
        <v>0</v>
      </c>
      <c r="AU26" s="115">
        <f t="shared" si="19"/>
        <v>0</v>
      </c>
      <c r="AV26" s="115">
        <f t="shared" si="19"/>
        <v>0</v>
      </c>
      <c r="AW26" s="115">
        <f t="shared" si="19"/>
        <v>0</v>
      </c>
      <c r="AX26" s="115">
        <f t="shared" si="19"/>
        <v>0</v>
      </c>
      <c r="AY26" s="116">
        <f t="shared" si="19"/>
        <v>0</v>
      </c>
      <c r="AZ26" s="116">
        <f t="shared" si="19"/>
        <v>0</v>
      </c>
      <c r="BA26" s="116">
        <f t="shared" si="19"/>
        <v>0</v>
      </c>
      <c r="BB26" s="116">
        <f t="shared" si="19"/>
        <v>0</v>
      </c>
      <c r="BC26" s="116">
        <f t="shared" si="19"/>
        <v>0</v>
      </c>
      <c r="BD26" s="116">
        <f t="shared" si="19"/>
        <v>0</v>
      </c>
      <c r="BE26" s="116">
        <f t="shared" si="19"/>
        <v>0</v>
      </c>
      <c r="BF26" s="116">
        <f t="shared" si="19"/>
        <v>0</v>
      </c>
      <c r="BG26" s="116">
        <f t="shared" si="19"/>
        <v>0</v>
      </c>
      <c r="BH26" s="116">
        <f t="shared" si="19"/>
        <v>0</v>
      </c>
      <c r="BI26" s="116">
        <f t="shared" si="19"/>
        <v>0</v>
      </c>
      <c r="BJ26" s="116">
        <f t="shared" si="19"/>
        <v>0</v>
      </c>
      <c r="BK26" s="116">
        <f t="shared" si="19"/>
        <v>0</v>
      </c>
      <c r="BL26" s="116">
        <f t="shared" si="19"/>
        <v>0</v>
      </c>
      <c r="BM26" s="116">
        <f t="shared" si="19"/>
        <v>0</v>
      </c>
      <c r="BN26" s="116">
        <f t="shared" si="19"/>
        <v>0</v>
      </c>
      <c r="BO26" s="116">
        <f t="shared" si="19"/>
        <v>0</v>
      </c>
      <c r="BP26" s="116">
        <f t="shared" si="19"/>
        <v>0</v>
      </c>
      <c r="BQ26" s="116">
        <f t="shared" si="19"/>
        <v>0</v>
      </c>
      <c r="BR26" s="116">
        <f t="shared" si="19"/>
        <v>0</v>
      </c>
      <c r="BS26" s="116">
        <f t="shared" si="19"/>
        <v>0</v>
      </c>
      <c r="BT26" s="116">
        <f t="shared" si="19"/>
        <v>0</v>
      </c>
      <c r="BU26" s="116">
        <f t="shared" si="19"/>
        <v>0</v>
      </c>
      <c r="BV26" s="116">
        <f t="shared" si="19"/>
        <v>0</v>
      </c>
    </row>
    <row r="27" spans="1:74" ht="12.75" hidden="1" x14ac:dyDescent="0.2">
      <c r="A27" s="137" t="s">
        <v>102</v>
      </c>
      <c r="B27" s="118"/>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0">
        <f t="shared" ref="AE27:BV27" si="20">AE24*AE26</f>
        <v>0</v>
      </c>
      <c r="AF27" s="120">
        <f t="shared" si="20"/>
        <v>0</v>
      </c>
      <c r="AG27" s="120">
        <f t="shared" si="20"/>
        <v>0</v>
      </c>
      <c r="AH27" s="120">
        <f t="shared" si="20"/>
        <v>0</v>
      </c>
      <c r="AI27" s="120">
        <f t="shared" si="20"/>
        <v>0</v>
      </c>
      <c r="AJ27" s="120">
        <f t="shared" si="20"/>
        <v>0</v>
      </c>
      <c r="AK27" s="120">
        <f t="shared" si="20"/>
        <v>0</v>
      </c>
      <c r="AL27" s="120">
        <f t="shared" si="20"/>
        <v>0</v>
      </c>
      <c r="AM27" s="120">
        <f t="shared" si="20"/>
        <v>0</v>
      </c>
      <c r="AN27" s="120">
        <f t="shared" si="20"/>
        <v>0</v>
      </c>
      <c r="AO27" s="120">
        <f t="shared" si="20"/>
        <v>0</v>
      </c>
      <c r="AP27" s="120">
        <f t="shared" si="20"/>
        <v>0</v>
      </c>
      <c r="AQ27" s="120">
        <f t="shared" si="20"/>
        <v>0</v>
      </c>
      <c r="AR27" s="120">
        <f t="shared" si="20"/>
        <v>0</v>
      </c>
      <c r="AS27" s="120">
        <f t="shared" si="20"/>
        <v>0</v>
      </c>
      <c r="AT27" s="120">
        <f t="shared" si="20"/>
        <v>0</v>
      </c>
      <c r="AU27" s="120">
        <f t="shared" si="20"/>
        <v>0</v>
      </c>
      <c r="AV27" s="120">
        <f t="shared" si="20"/>
        <v>0</v>
      </c>
      <c r="AW27" s="120">
        <f t="shared" si="20"/>
        <v>0</v>
      </c>
      <c r="AX27" s="120">
        <f t="shared" si="20"/>
        <v>0</v>
      </c>
      <c r="AY27" s="121">
        <f t="shared" si="20"/>
        <v>0</v>
      </c>
      <c r="AZ27" s="121">
        <f t="shared" si="20"/>
        <v>0</v>
      </c>
      <c r="BA27" s="121">
        <f t="shared" si="20"/>
        <v>0</v>
      </c>
      <c r="BB27" s="121">
        <f t="shared" si="20"/>
        <v>0</v>
      </c>
      <c r="BC27" s="121">
        <f t="shared" si="20"/>
        <v>0</v>
      </c>
      <c r="BD27" s="121">
        <f t="shared" si="20"/>
        <v>0</v>
      </c>
      <c r="BE27" s="121">
        <f t="shared" si="20"/>
        <v>0</v>
      </c>
      <c r="BF27" s="121">
        <f t="shared" si="20"/>
        <v>0</v>
      </c>
      <c r="BG27" s="121">
        <f t="shared" si="20"/>
        <v>0</v>
      </c>
      <c r="BH27" s="121">
        <f t="shared" si="20"/>
        <v>0</v>
      </c>
      <c r="BI27" s="121">
        <f t="shared" si="20"/>
        <v>0</v>
      </c>
      <c r="BJ27" s="121">
        <f t="shared" si="20"/>
        <v>0</v>
      </c>
      <c r="BK27" s="121">
        <f t="shared" si="20"/>
        <v>0</v>
      </c>
      <c r="BL27" s="121">
        <f t="shared" si="20"/>
        <v>0</v>
      </c>
      <c r="BM27" s="121">
        <f t="shared" si="20"/>
        <v>0</v>
      </c>
      <c r="BN27" s="121">
        <f t="shared" si="20"/>
        <v>0</v>
      </c>
      <c r="BO27" s="121">
        <f t="shared" si="20"/>
        <v>0</v>
      </c>
      <c r="BP27" s="121">
        <f t="shared" si="20"/>
        <v>0</v>
      </c>
      <c r="BQ27" s="121">
        <f t="shared" si="20"/>
        <v>0</v>
      </c>
      <c r="BR27" s="121">
        <f t="shared" si="20"/>
        <v>0</v>
      </c>
      <c r="BS27" s="121">
        <f t="shared" si="20"/>
        <v>0</v>
      </c>
      <c r="BT27" s="121">
        <f t="shared" si="20"/>
        <v>0</v>
      </c>
      <c r="BU27" s="121">
        <f t="shared" si="20"/>
        <v>0</v>
      </c>
      <c r="BV27" s="121">
        <f t="shared" si="20"/>
        <v>0</v>
      </c>
    </row>
    <row r="28" spans="1:74" ht="12.75" x14ac:dyDescent="0.2">
      <c r="A28" s="102"/>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row>
    <row r="29" spans="1:74" x14ac:dyDescent="0.25">
      <c r="A29" s="129" t="s">
        <v>105</v>
      </c>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row>
    <row r="30" spans="1:74" ht="15" hidden="1" x14ac:dyDescent="0.25">
      <c r="A30" s="130" t="s">
        <v>88</v>
      </c>
      <c r="B30" s="102"/>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row>
    <row r="31" spans="1:74" ht="12.75" x14ac:dyDescent="0.2">
      <c r="A31" s="142" t="s">
        <v>106</v>
      </c>
      <c r="B31" s="112"/>
      <c r="C31" s="119">
        <f t="shared" ref="C31:AD31" si="21">SUMIFS(MRR_Export_Reactivation_Count,MRR_Export_Months,"&gt;="&amp;C$1,MRR_Export_Months,"&lt;"&amp;D$1)</f>
        <v>0</v>
      </c>
      <c r="D31" s="119">
        <f t="shared" si="21"/>
        <v>0</v>
      </c>
      <c r="E31" s="119">
        <f t="shared" si="21"/>
        <v>0</v>
      </c>
      <c r="F31" s="119">
        <f t="shared" si="21"/>
        <v>0</v>
      </c>
      <c r="G31" s="119">
        <f t="shared" si="21"/>
        <v>0</v>
      </c>
      <c r="H31" s="119">
        <f t="shared" si="21"/>
        <v>0</v>
      </c>
      <c r="I31" s="119">
        <f t="shared" si="21"/>
        <v>0</v>
      </c>
      <c r="J31" s="119">
        <f t="shared" si="21"/>
        <v>0</v>
      </c>
      <c r="K31" s="119">
        <f t="shared" si="21"/>
        <v>0</v>
      </c>
      <c r="L31" s="119">
        <f t="shared" si="21"/>
        <v>0</v>
      </c>
      <c r="M31" s="119">
        <f t="shared" si="21"/>
        <v>0</v>
      </c>
      <c r="N31" s="119">
        <f t="shared" si="21"/>
        <v>0</v>
      </c>
      <c r="O31" s="119">
        <f t="shared" si="21"/>
        <v>0</v>
      </c>
      <c r="P31" s="119">
        <f t="shared" si="21"/>
        <v>0</v>
      </c>
      <c r="Q31" s="119">
        <f t="shared" si="21"/>
        <v>0</v>
      </c>
      <c r="R31" s="119">
        <f t="shared" si="21"/>
        <v>0</v>
      </c>
      <c r="S31" s="119">
        <f t="shared" si="21"/>
        <v>0</v>
      </c>
      <c r="T31" s="119">
        <f t="shared" si="21"/>
        <v>0</v>
      </c>
      <c r="U31" s="119">
        <f t="shared" si="21"/>
        <v>0</v>
      </c>
      <c r="V31" s="119">
        <f t="shared" si="21"/>
        <v>0</v>
      </c>
      <c r="W31" s="119">
        <f t="shared" si="21"/>
        <v>0</v>
      </c>
      <c r="X31" s="119">
        <f t="shared" si="21"/>
        <v>0</v>
      </c>
      <c r="Y31" s="119">
        <f t="shared" si="21"/>
        <v>0</v>
      </c>
      <c r="Z31" s="119">
        <f t="shared" si="21"/>
        <v>0</v>
      </c>
      <c r="AA31" s="119">
        <f t="shared" si="21"/>
        <v>0</v>
      </c>
      <c r="AB31" s="119">
        <f t="shared" si="21"/>
        <v>0</v>
      </c>
      <c r="AC31" s="119">
        <f t="shared" si="21"/>
        <v>0</v>
      </c>
      <c r="AD31" s="119">
        <f t="shared" si="21"/>
        <v>0</v>
      </c>
      <c r="AE31" s="103"/>
      <c r="AF31" s="103"/>
      <c r="AG31" s="103"/>
      <c r="AH31" s="103"/>
      <c r="AI31" s="103"/>
      <c r="AJ31" s="103"/>
      <c r="AK31" s="103"/>
      <c r="AL31" s="103"/>
      <c r="AM31" s="103"/>
      <c r="AN31" s="103"/>
      <c r="AO31" s="103"/>
      <c r="AP31" s="103"/>
      <c r="AQ31" s="103"/>
      <c r="AR31" s="103"/>
      <c r="AS31" s="103"/>
      <c r="AT31" s="103"/>
      <c r="AU31" s="103"/>
      <c r="AV31" s="103"/>
      <c r="AW31" s="103"/>
      <c r="AX31" s="103"/>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row>
    <row r="32" spans="1:74" ht="12.75" x14ac:dyDescent="0.2">
      <c r="A32" s="132" t="s">
        <v>91</v>
      </c>
      <c r="B32" s="117"/>
      <c r="C32" s="115" t="str">
        <f t="shared" ref="C32:AD32" si="22">IFERROR(C33/C31," ")</f>
        <v xml:space="preserve"> </v>
      </c>
      <c r="D32" s="115" t="str">
        <f t="shared" si="22"/>
        <v xml:space="preserve"> </v>
      </c>
      <c r="E32" s="115" t="str">
        <f t="shared" si="22"/>
        <v xml:space="preserve"> </v>
      </c>
      <c r="F32" s="115" t="str">
        <f t="shared" si="22"/>
        <v xml:space="preserve"> </v>
      </c>
      <c r="G32" s="115" t="str">
        <f t="shared" si="22"/>
        <v xml:space="preserve"> </v>
      </c>
      <c r="H32" s="115" t="str">
        <f t="shared" si="22"/>
        <v xml:space="preserve"> </v>
      </c>
      <c r="I32" s="115" t="str">
        <f t="shared" si="22"/>
        <v xml:space="preserve"> </v>
      </c>
      <c r="J32" s="115" t="str">
        <f t="shared" si="22"/>
        <v xml:space="preserve"> </v>
      </c>
      <c r="K32" s="115" t="str">
        <f t="shared" si="22"/>
        <v xml:space="preserve"> </v>
      </c>
      <c r="L32" s="115" t="str">
        <f t="shared" si="22"/>
        <v xml:space="preserve"> </v>
      </c>
      <c r="M32" s="115" t="str">
        <f t="shared" si="22"/>
        <v xml:space="preserve"> </v>
      </c>
      <c r="N32" s="115" t="str">
        <f t="shared" si="22"/>
        <v xml:space="preserve"> </v>
      </c>
      <c r="O32" s="115" t="str">
        <f t="shared" si="22"/>
        <v xml:space="preserve"> </v>
      </c>
      <c r="P32" s="115" t="str">
        <f t="shared" si="22"/>
        <v xml:space="preserve"> </v>
      </c>
      <c r="Q32" s="115" t="str">
        <f t="shared" si="22"/>
        <v xml:space="preserve"> </v>
      </c>
      <c r="R32" s="115" t="str">
        <f t="shared" si="22"/>
        <v xml:space="preserve"> </v>
      </c>
      <c r="S32" s="115" t="str">
        <f t="shared" si="22"/>
        <v xml:space="preserve"> </v>
      </c>
      <c r="T32" s="115" t="str">
        <f t="shared" si="22"/>
        <v xml:space="preserve"> </v>
      </c>
      <c r="U32" s="115" t="str">
        <f t="shared" si="22"/>
        <v xml:space="preserve"> </v>
      </c>
      <c r="V32" s="115" t="str">
        <f t="shared" si="22"/>
        <v xml:space="preserve"> </v>
      </c>
      <c r="W32" s="115" t="str">
        <f t="shared" si="22"/>
        <v xml:space="preserve"> </v>
      </c>
      <c r="X32" s="115" t="str">
        <f t="shared" si="22"/>
        <v xml:space="preserve"> </v>
      </c>
      <c r="Y32" s="115" t="str">
        <f t="shared" si="22"/>
        <v xml:space="preserve"> </v>
      </c>
      <c r="Z32" s="115" t="str">
        <f t="shared" si="22"/>
        <v xml:space="preserve"> </v>
      </c>
      <c r="AA32" s="115" t="str">
        <f t="shared" si="22"/>
        <v xml:space="preserve"> </v>
      </c>
      <c r="AB32" s="115" t="str">
        <f t="shared" si="22"/>
        <v xml:space="preserve"> </v>
      </c>
      <c r="AC32" s="115" t="str">
        <f t="shared" si="22"/>
        <v xml:space="preserve"> </v>
      </c>
      <c r="AD32" s="115" t="str">
        <f t="shared" si="22"/>
        <v xml:space="preserve"> </v>
      </c>
      <c r="AE32" s="120"/>
      <c r="AF32" s="120"/>
      <c r="AG32" s="120"/>
      <c r="AH32" s="120"/>
      <c r="AI32" s="120"/>
      <c r="AJ32" s="120"/>
      <c r="AK32" s="120"/>
      <c r="AL32" s="120"/>
      <c r="AM32" s="120"/>
      <c r="AN32" s="120"/>
      <c r="AO32" s="120"/>
      <c r="AP32" s="120"/>
      <c r="AQ32" s="120"/>
      <c r="AR32" s="120"/>
      <c r="AS32" s="120"/>
      <c r="AT32" s="120"/>
      <c r="AU32" s="120"/>
      <c r="AV32" s="120"/>
      <c r="AW32" s="120"/>
      <c r="AX32" s="120"/>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row>
    <row r="33" spans="1:74" ht="12.75" x14ac:dyDescent="0.2">
      <c r="A33" s="143" t="s">
        <v>108</v>
      </c>
      <c r="B33" s="118"/>
      <c r="C33" s="119">
        <f t="shared" ref="C33:AD33" si="23">SUMIFS(MRR_Export_Reactivation_MRR,MRR_Export_Months,"&gt;="&amp;C$1,MRR_Export_Months,"&lt;"&amp;D$1)</f>
        <v>0</v>
      </c>
      <c r="D33" s="119">
        <f t="shared" si="23"/>
        <v>0</v>
      </c>
      <c r="E33" s="119">
        <f t="shared" si="23"/>
        <v>0</v>
      </c>
      <c r="F33" s="119">
        <f t="shared" si="23"/>
        <v>0</v>
      </c>
      <c r="G33" s="119">
        <f t="shared" si="23"/>
        <v>0</v>
      </c>
      <c r="H33" s="119">
        <f t="shared" si="23"/>
        <v>0</v>
      </c>
      <c r="I33" s="119">
        <f t="shared" si="23"/>
        <v>0</v>
      </c>
      <c r="J33" s="119">
        <f t="shared" si="23"/>
        <v>0</v>
      </c>
      <c r="K33" s="119">
        <f t="shared" si="23"/>
        <v>0</v>
      </c>
      <c r="L33" s="119">
        <f t="shared" si="23"/>
        <v>0</v>
      </c>
      <c r="M33" s="119">
        <f t="shared" si="23"/>
        <v>0</v>
      </c>
      <c r="N33" s="119">
        <f t="shared" si="23"/>
        <v>0</v>
      </c>
      <c r="O33" s="119">
        <f t="shared" si="23"/>
        <v>0</v>
      </c>
      <c r="P33" s="119">
        <f t="shared" si="23"/>
        <v>0</v>
      </c>
      <c r="Q33" s="119">
        <f t="shared" si="23"/>
        <v>0</v>
      </c>
      <c r="R33" s="119">
        <f t="shared" si="23"/>
        <v>0</v>
      </c>
      <c r="S33" s="119">
        <f t="shared" si="23"/>
        <v>0</v>
      </c>
      <c r="T33" s="119">
        <f t="shared" si="23"/>
        <v>0</v>
      </c>
      <c r="U33" s="119">
        <f t="shared" si="23"/>
        <v>0</v>
      </c>
      <c r="V33" s="119">
        <f t="shared" si="23"/>
        <v>0</v>
      </c>
      <c r="W33" s="119">
        <f t="shared" si="23"/>
        <v>0</v>
      </c>
      <c r="X33" s="119">
        <f t="shared" si="23"/>
        <v>0</v>
      </c>
      <c r="Y33" s="119">
        <f t="shared" si="23"/>
        <v>0</v>
      </c>
      <c r="Z33" s="119">
        <f t="shared" si="23"/>
        <v>0</v>
      </c>
      <c r="AA33" s="119">
        <f t="shared" si="23"/>
        <v>0</v>
      </c>
      <c r="AB33" s="119">
        <f t="shared" si="23"/>
        <v>0</v>
      </c>
      <c r="AC33" s="119">
        <f t="shared" si="23"/>
        <v>0</v>
      </c>
      <c r="AD33" s="119">
        <f t="shared" si="23"/>
        <v>0</v>
      </c>
      <c r="AE33" s="103"/>
      <c r="AF33" s="103"/>
      <c r="AG33" s="103"/>
      <c r="AH33" s="103"/>
      <c r="AI33" s="103"/>
      <c r="AJ33" s="103"/>
      <c r="AK33" s="103"/>
      <c r="AL33" s="103"/>
      <c r="AM33" s="103"/>
      <c r="AN33" s="103"/>
      <c r="AO33" s="103"/>
      <c r="AP33" s="103"/>
      <c r="AQ33" s="103"/>
      <c r="AR33" s="103"/>
      <c r="AS33" s="103"/>
      <c r="AT33" s="103"/>
      <c r="AU33" s="103"/>
      <c r="AV33" s="103"/>
      <c r="AW33" s="103"/>
      <c r="AX33" s="103"/>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row>
    <row r="34" spans="1:74" ht="12.75" x14ac:dyDescent="0.2">
      <c r="A34" s="137"/>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row>
    <row r="35" spans="1:74" x14ac:dyDescent="0.25">
      <c r="A35" s="129" t="s">
        <v>110</v>
      </c>
      <c r="B35" s="96"/>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row>
    <row r="36" spans="1:74" ht="15" x14ac:dyDescent="0.25">
      <c r="A36" s="130" t="s">
        <v>88</v>
      </c>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row>
    <row r="37" spans="1:74" ht="12.75" x14ac:dyDescent="0.2">
      <c r="A37" s="101" t="s">
        <v>111</v>
      </c>
      <c r="B37" s="112"/>
      <c r="C37" s="119">
        <f t="shared" ref="C37:AD37" si="24">SUMIFS(MRR_Export_Churn_Count,MRR_Export_Months,"&gt;="&amp;C$1,MRR_Export_Months,"&lt;"&amp;D$1)</f>
        <v>1</v>
      </c>
      <c r="D37" s="119">
        <f t="shared" si="24"/>
        <v>2</v>
      </c>
      <c r="E37" s="119">
        <f t="shared" si="24"/>
        <v>2</v>
      </c>
      <c r="F37" s="119">
        <f t="shared" si="24"/>
        <v>3</v>
      </c>
      <c r="G37" s="119">
        <f t="shared" si="24"/>
        <v>1</v>
      </c>
      <c r="H37" s="119">
        <f t="shared" si="24"/>
        <v>2</v>
      </c>
      <c r="I37" s="119">
        <f t="shared" si="24"/>
        <v>4</v>
      </c>
      <c r="J37" s="119">
        <f t="shared" si="24"/>
        <v>5</v>
      </c>
      <c r="K37" s="119">
        <f t="shared" si="24"/>
        <v>5</v>
      </c>
      <c r="L37" s="119">
        <f t="shared" si="24"/>
        <v>5</v>
      </c>
      <c r="M37" s="119">
        <f t="shared" si="24"/>
        <v>5</v>
      </c>
      <c r="N37" s="119">
        <f t="shared" si="24"/>
        <v>5</v>
      </c>
      <c r="O37" s="119">
        <f t="shared" si="24"/>
        <v>5</v>
      </c>
      <c r="P37" s="119">
        <f t="shared" si="24"/>
        <v>5</v>
      </c>
      <c r="Q37" s="119">
        <f t="shared" si="24"/>
        <v>6</v>
      </c>
      <c r="R37" s="119">
        <f t="shared" si="24"/>
        <v>4</v>
      </c>
      <c r="S37" s="119">
        <f t="shared" si="24"/>
        <v>6</v>
      </c>
      <c r="T37" s="119">
        <f t="shared" si="24"/>
        <v>7</v>
      </c>
      <c r="U37" s="119">
        <f t="shared" si="24"/>
        <v>9</v>
      </c>
      <c r="V37" s="119">
        <f t="shared" si="24"/>
        <v>6</v>
      </c>
      <c r="W37" s="119">
        <f t="shared" si="24"/>
        <v>9</v>
      </c>
      <c r="X37" s="119">
        <f t="shared" si="24"/>
        <v>9</v>
      </c>
      <c r="Y37" s="119">
        <f t="shared" si="24"/>
        <v>6</v>
      </c>
      <c r="Z37" s="119">
        <f t="shared" si="24"/>
        <v>4</v>
      </c>
      <c r="AA37" s="119">
        <f t="shared" si="24"/>
        <v>1</v>
      </c>
      <c r="AB37" s="119">
        <f t="shared" si="24"/>
        <v>6</v>
      </c>
      <c r="AC37" s="119">
        <f t="shared" si="24"/>
        <v>9</v>
      </c>
      <c r="AD37" s="119">
        <f t="shared" si="24"/>
        <v>12</v>
      </c>
      <c r="AE37" s="120">
        <f t="shared" ref="AE37:BV37" si="25">AE38*AD$65</f>
        <v>17.304000000000002</v>
      </c>
      <c r="AF37" s="120">
        <f t="shared" ca="1" si="25"/>
        <v>14.752704000000001</v>
      </c>
      <c r="AG37" s="120">
        <f t="shared" ca="1" si="25"/>
        <v>11.664922624000001</v>
      </c>
      <c r="AH37" s="120">
        <f t="shared" ca="1" si="25"/>
        <v>9.2441756006400002</v>
      </c>
      <c r="AI37" s="120">
        <f t="shared" ca="1" si="25"/>
        <v>6.8753761755289595</v>
      </c>
      <c r="AJ37" s="120">
        <f t="shared" ca="1" si="25"/>
        <v>6.997747037598141</v>
      </c>
      <c r="AK37" s="120">
        <f t="shared" ca="1" si="25"/>
        <v>7.1297718201845619</v>
      </c>
      <c r="AL37" s="120">
        <f t="shared" ca="1" si="25"/>
        <v>7.260344330162531</v>
      </c>
      <c r="AM37" s="120">
        <f t="shared" ca="1" si="25"/>
        <v>7.4004805425307429</v>
      </c>
      <c r="AN37" s="120">
        <f t="shared" ca="1" si="25"/>
        <v>7.5390752565629047</v>
      </c>
      <c r="AO37" s="120">
        <f t="shared" ca="1" si="25"/>
        <v>7.6871454287407124</v>
      </c>
      <c r="AP37" s="120">
        <f t="shared" ca="1" si="25"/>
        <v>7.8335868290245649</v>
      </c>
      <c r="AQ37" s="120">
        <f t="shared" ca="1" si="25"/>
        <v>7.9894173739052956</v>
      </c>
      <c r="AR37" s="120">
        <f t="shared" ca="1" si="25"/>
        <v>8.1545337827923365</v>
      </c>
      <c r="AS37" s="120">
        <f t="shared" ca="1" si="25"/>
        <v>8.3178339111816211</v>
      </c>
      <c r="AT37" s="120">
        <f t="shared" ca="1" si="25"/>
        <v>8.4903377381586225</v>
      </c>
      <c r="AU37" s="120">
        <f t="shared" ca="1" si="25"/>
        <v>8.6609440230388781</v>
      </c>
      <c r="AV37" s="120">
        <f t="shared" ca="1" si="25"/>
        <v>8.8406736387854519</v>
      </c>
      <c r="AW37" s="120">
        <f t="shared" ca="1" si="25"/>
        <v>9.0294262287588118</v>
      </c>
      <c r="AX37" s="120">
        <f t="shared" ca="1" si="25"/>
        <v>9.2161025402424652</v>
      </c>
      <c r="AY37" s="121">
        <f t="shared" ca="1" si="25"/>
        <v>9.4117254122997984</v>
      </c>
      <c r="AZ37" s="121">
        <f t="shared" ca="1" si="25"/>
        <v>9.5941964327645</v>
      </c>
      <c r="BA37" s="121">
        <f t="shared" ca="1" si="25"/>
        <v>9.7856602720040904</v>
      </c>
      <c r="BB37" s="121">
        <f t="shared" ca="1" si="25"/>
        <v>9.9750180090120448</v>
      </c>
      <c r="BC37" s="121">
        <f t="shared" ca="1" si="25"/>
        <v>10.162292810912913</v>
      </c>
      <c r="BD37" s="121">
        <f t="shared" ca="1" si="25"/>
        <v>10.347507589992871</v>
      </c>
      <c r="BE37" s="121">
        <f t="shared" ca="1" si="25"/>
        <v>10.541685006502949</v>
      </c>
      <c r="BF37" s="121">
        <f t="shared" ca="1" si="25"/>
        <v>10.733726471431416</v>
      </c>
      <c r="BG37" s="121">
        <f t="shared" ca="1" si="25"/>
        <v>10.93465548024567</v>
      </c>
      <c r="BH37" s="121">
        <f t="shared" ca="1" si="25"/>
        <v>11.133374269962969</v>
      </c>
      <c r="BI37" s="121">
        <f t="shared" ca="1" si="25"/>
        <v>11.329907152993375</v>
      </c>
      <c r="BJ37" s="121">
        <f t="shared" ca="1" si="25"/>
        <v>11.535278174310447</v>
      </c>
      <c r="BK37" s="121">
        <f t="shared" ca="1" si="25"/>
        <v>11.738390114393033</v>
      </c>
      <c r="BL37" s="121">
        <f t="shared" ca="1" si="25"/>
        <v>11.93926782313471</v>
      </c>
      <c r="BM37" s="121">
        <f t="shared" ca="1" si="25"/>
        <v>12.148935877080227</v>
      </c>
      <c r="BN37" s="121">
        <f t="shared" ca="1" si="25"/>
        <v>12.356297582432346</v>
      </c>
      <c r="BO37" s="121">
        <f t="shared" ca="1" si="25"/>
        <v>12.57237830902559</v>
      </c>
      <c r="BP37" s="121">
        <f t="shared" ca="1" si="25"/>
        <v>12.786082147626308</v>
      </c>
      <c r="BQ37" s="121">
        <f t="shared" ca="1" si="25"/>
        <v>12.997435244002418</v>
      </c>
      <c r="BR37" s="121">
        <f t="shared" ca="1" si="25"/>
        <v>13.217463456318391</v>
      </c>
      <c r="BS37" s="121">
        <f t="shared" ca="1" si="25"/>
        <v>13.435071358298888</v>
      </c>
      <c r="BT37" s="121">
        <f t="shared" ca="1" si="25"/>
        <v>13.661285573357599</v>
      </c>
      <c r="BU37" s="121">
        <f t="shared" ca="1" si="25"/>
        <v>13.885011432050666</v>
      </c>
      <c r="BV37" s="121">
        <f t="shared" ca="1" si="25"/>
        <v>14.117276306298107</v>
      </c>
    </row>
    <row r="38" spans="1:74" ht="12.75" x14ac:dyDescent="0.2">
      <c r="A38" s="137" t="s">
        <v>113</v>
      </c>
      <c r="B38" s="133"/>
      <c r="C38" s="133" t="str">
        <f t="shared" ref="C38:AD38" si="26">IFERROR(C37/B$65," ")</f>
        <v xml:space="preserve"> </v>
      </c>
      <c r="D38" s="133">
        <f t="shared" si="26"/>
        <v>8.4388185654008432E-3</v>
      </c>
      <c r="E38" s="133">
        <f t="shared" si="26"/>
        <v>9.1743119266055051E-3</v>
      </c>
      <c r="F38" s="133">
        <f t="shared" si="26"/>
        <v>1.3157894736842105E-2</v>
      </c>
      <c r="G38" s="133">
        <f t="shared" si="26"/>
        <v>4.2016806722689074E-3</v>
      </c>
      <c r="H38" s="133">
        <f t="shared" si="26"/>
        <v>7.9681274900398405E-3</v>
      </c>
      <c r="I38" s="133">
        <f t="shared" si="26"/>
        <v>1.5444015444015444E-2</v>
      </c>
      <c r="J38" s="133">
        <f t="shared" si="26"/>
        <v>1.8115942028985508E-2</v>
      </c>
      <c r="K38" s="133">
        <f t="shared" si="26"/>
        <v>1.7543859649122806E-2</v>
      </c>
      <c r="L38" s="133">
        <f t="shared" si="26"/>
        <v>1.7006802721088437E-2</v>
      </c>
      <c r="M38" s="133">
        <f t="shared" si="26"/>
        <v>1.65016501650165E-2</v>
      </c>
      <c r="N38" s="133">
        <f t="shared" si="26"/>
        <v>1.6025641025641024E-2</v>
      </c>
      <c r="O38" s="133">
        <f t="shared" si="26"/>
        <v>1.5479876160990712E-2</v>
      </c>
      <c r="P38" s="133">
        <f t="shared" si="26"/>
        <v>1.5015015015015015E-2</v>
      </c>
      <c r="Q38" s="133">
        <f t="shared" si="26"/>
        <v>1.69971671388102E-2</v>
      </c>
      <c r="R38" s="133">
        <f t="shared" si="26"/>
        <v>1.098901098901099E-2</v>
      </c>
      <c r="S38" s="133">
        <f t="shared" si="26"/>
        <v>1.507537688442211E-2</v>
      </c>
      <c r="T38" s="133">
        <f t="shared" si="26"/>
        <v>1.6990291262135922E-2</v>
      </c>
      <c r="U38" s="133">
        <f t="shared" si="26"/>
        <v>2.0737327188940093E-2</v>
      </c>
      <c r="V38" s="133">
        <f t="shared" si="26"/>
        <v>1.3129102844638949E-2</v>
      </c>
      <c r="W38" s="133">
        <f t="shared" si="26"/>
        <v>1.8789144050104383E-2</v>
      </c>
      <c r="X38" s="133">
        <f t="shared" si="26"/>
        <v>1.8145161290322582E-2</v>
      </c>
      <c r="Y38" s="133">
        <f t="shared" si="26"/>
        <v>1.1811023622047244E-2</v>
      </c>
      <c r="Z38" s="133">
        <f t="shared" si="26"/>
        <v>7.6335877862595417E-3</v>
      </c>
      <c r="AA38" s="133">
        <f t="shared" si="26"/>
        <v>1.834862385321101E-3</v>
      </c>
      <c r="AB38" s="133">
        <f t="shared" si="26"/>
        <v>1.0507880910683012E-2</v>
      </c>
      <c r="AC38" s="133">
        <f t="shared" si="26"/>
        <v>1.487603305785124E-2</v>
      </c>
      <c r="AD38" s="133">
        <f t="shared" si="26"/>
        <v>1.948051948051948E-2</v>
      </c>
      <c r="AE38" s="134">
        <v>2.8000000000000001E-2</v>
      </c>
      <c r="AF38" s="134">
        <v>2.4E-2</v>
      </c>
      <c r="AG38" s="134">
        <v>1.9E-2</v>
      </c>
      <c r="AH38" s="134">
        <v>1.4999999999999999E-2</v>
      </c>
      <c r="AI38" s="134">
        <v>1.0999999999999999E-2</v>
      </c>
      <c r="AJ38" s="134">
        <v>1.0999999999999999E-2</v>
      </c>
      <c r="AK38" s="135">
        <f t="shared" ref="AK38:BV38" si="27">IFERROR(MEDIAN(AH38:AJ38),0)</f>
        <v>1.0999999999999999E-2</v>
      </c>
      <c r="AL38" s="135">
        <f t="shared" si="27"/>
        <v>1.0999999999999999E-2</v>
      </c>
      <c r="AM38" s="135">
        <f t="shared" si="27"/>
        <v>1.0999999999999999E-2</v>
      </c>
      <c r="AN38" s="135">
        <f t="shared" si="27"/>
        <v>1.0999999999999999E-2</v>
      </c>
      <c r="AO38" s="135">
        <f t="shared" si="27"/>
        <v>1.0999999999999999E-2</v>
      </c>
      <c r="AP38" s="135">
        <f t="shared" si="27"/>
        <v>1.0999999999999999E-2</v>
      </c>
      <c r="AQ38" s="135">
        <f t="shared" si="27"/>
        <v>1.0999999999999999E-2</v>
      </c>
      <c r="AR38" s="135">
        <f t="shared" si="27"/>
        <v>1.0999999999999999E-2</v>
      </c>
      <c r="AS38" s="135">
        <f t="shared" si="27"/>
        <v>1.0999999999999999E-2</v>
      </c>
      <c r="AT38" s="135">
        <f t="shared" si="27"/>
        <v>1.0999999999999999E-2</v>
      </c>
      <c r="AU38" s="135">
        <f t="shared" si="27"/>
        <v>1.0999999999999999E-2</v>
      </c>
      <c r="AV38" s="135">
        <f t="shared" si="27"/>
        <v>1.0999999999999999E-2</v>
      </c>
      <c r="AW38" s="135">
        <f t="shared" si="27"/>
        <v>1.0999999999999999E-2</v>
      </c>
      <c r="AX38" s="135">
        <f t="shared" si="27"/>
        <v>1.0999999999999999E-2</v>
      </c>
      <c r="AY38" s="136">
        <f t="shared" si="27"/>
        <v>1.0999999999999999E-2</v>
      </c>
      <c r="AZ38" s="136">
        <f t="shared" si="27"/>
        <v>1.0999999999999999E-2</v>
      </c>
      <c r="BA38" s="136">
        <f t="shared" si="27"/>
        <v>1.0999999999999999E-2</v>
      </c>
      <c r="BB38" s="136">
        <f t="shared" si="27"/>
        <v>1.0999999999999999E-2</v>
      </c>
      <c r="BC38" s="136">
        <f t="shared" si="27"/>
        <v>1.0999999999999999E-2</v>
      </c>
      <c r="BD38" s="136">
        <f t="shared" si="27"/>
        <v>1.0999999999999999E-2</v>
      </c>
      <c r="BE38" s="136">
        <f t="shared" si="27"/>
        <v>1.0999999999999999E-2</v>
      </c>
      <c r="BF38" s="136">
        <f t="shared" si="27"/>
        <v>1.0999999999999999E-2</v>
      </c>
      <c r="BG38" s="136">
        <f t="shared" si="27"/>
        <v>1.0999999999999999E-2</v>
      </c>
      <c r="BH38" s="136">
        <f t="shared" si="27"/>
        <v>1.0999999999999999E-2</v>
      </c>
      <c r="BI38" s="136">
        <f t="shared" si="27"/>
        <v>1.0999999999999999E-2</v>
      </c>
      <c r="BJ38" s="136">
        <f t="shared" si="27"/>
        <v>1.0999999999999999E-2</v>
      </c>
      <c r="BK38" s="136">
        <f t="shared" si="27"/>
        <v>1.0999999999999999E-2</v>
      </c>
      <c r="BL38" s="136">
        <f t="shared" si="27"/>
        <v>1.0999999999999999E-2</v>
      </c>
      <c r="BM38" s="136">
        <f t="shared" si="27"/>
        <v>1.0999999999999999E-2</v>
      </c>
      <c r="BN38" s="136">
        <f t="shared" si="27"/>
        <v>1.0999999999999999E-2</v>
      </c>
      <c r="BO38" s="136">
        <f t="shared" si="27"/>
        <v>1.0999999999999999E-2</v>
      </c>
      <c r="BP38" s="136">
        <f t="shared" si="27"/>
        <v>1.0999999999999999E-2</v>
      </c>
      <c r="BQ38" s="136">
        <f t="shared" si="27"/>
        <v>1.0999999999999999E-2</v>
      </c>
      <c r="BR38" s="136">
        <f t="shared" si="27"/>
        <v>1.0999999999999999E-2</v>
      </c>
      <c r="BS38" s="136">
        <f t="shared" si="27"/>
        <v>1.0999999999999999E-2</v>
      </c>
      <c r="BT38" s="136">
        <f t="shared" si="27"/>
        <v>1.0999999999999999E-2</v>
      </c>
      <c r="BU38" s="136">
        <f t="shared" si="27"/>
        <v>1.0999999999999999E-2</v>
      </c>
      <c r="BV38" s="136">
        <f t="shared" si="27"/>
        <v>1.0999999999999999E-2</v>
      </c>
    </row>
    <row r="39" spans="1:74" ht="12.75" x14ac:dyDescent="0.2">
      <c r="A39" s="132" t="s">
        <v>91</v>
      </c>
      <c r="B39" s="117"/>
      <c r="C39" s="115">
        <f t="shared" ref="C39:AD39" si="28">IFERROR(C40/C37," ")</f>
        <v>-1016</v>
      </c>
      <c r="D39" s="115">
        <f t="shared" si="28"/>
        <v>-1522.5</v>
      </c>
      <c r="E39" s="115">
        <f t="shared" si="28"/>
        <v>-2000</v>
      </c>
      <c r="F39" s="115">
        <f t="shared" si="28"/>
        <v>-2607</v>
      </c>
      <c r="G39" s="115">
        <f t="shared" si="28"/>
        <v>-1299</v>
      </c>
      <c r="H39" s="115">
        <f t="shared" si="28"/>
        <v>-1299</v>
      </c>
      <c r="I39" s="115">
        <f t="shared" si="28"/>
        <v>-1953</v>
      </c>
      <c r="J39" s="115">
        <f t="shared" si="28"/>
        <v>-1672.8</v>
      </c>
      <c r="K39" s="115">
        <f t="shared" si="28"/>
        <v>-1706.6</v>
      </c>
      <c r="L39" s="115">
        <f t="shared" si="28"/>
        <v>-1765</v>
      </c>
      <c r="M39" s="115">
        <f t="shared" si="28"/>
        <v>-1714.8</v>
      </c>
      <c r="N39" s="115">
        <f t="shared" si="28"/>
        <v>-1728.8</v>
      </c>
      <c r="O39" s="115">
        <f t="shared" si="28"/>
        <v>-1736.2</v>
      </c>
      <c r="P39" s="115">
        <f t="shared" si="28"/>
        <v>-1726.6</v>
      </c>
      <c r="Q39" s="115">
        <f t="shared" si="28"/>
        <v>-1730.5</v>
      </c>
      <c r="R39" s="115">
        <f t="shared" si="28"/>
        <v>-587.5</v>
      </c>
      <c r="S39" s="115">
        <f t="shared" si="28"/>
        <v>-1729</v>
      </c>
      <c r="T39" s="115">
        <f t="shared" si="28"/>
        <v>-1729.8571428571429</v>
      </c>
      <c r="U39" s="115">
        <f t="shared" si="28"/>
        <v>-1740.547989729225</v>
      </c>
      <c r="V39" s="115">
        <f t="shared" si="28"/>
        <v>-2364.6142970727142</v>
      </c>
      <c r="W39" s="115">
        <f t="shared" si="28"/>
        <v>-1708.7181451619269</v>
      </c>
      <c r="X39" s="115">
        <f t="shared" si="28"/>
        <v>-1851.1625896063665</v>
      </c>
      <c r="Y39" s="115">
        <f t="shared" si="28"/>
        <v>-2532.5772177428835</v>
      </c>
      <c r="Z39" s="115">
        <f t="shared" si="28"/>
        <v>-4701.8658266143248</v>
      </c>
      <c r="AA39" s="115">
        <f t="shared" si="28"/>
        <v>-19092.463306457299</v>
      </c>
      <c r="AB39" s="115">
        <f t="shared" si="28"/>
        <v>-3609.077217742883</v>
      </c>
      <c r="AC39" s="115">
        <f t="shared" si="28"/>
        <v>-3824.2222222222222</v>
      </c>
      <c r="AD39" s="115">
        <f t="shared" si="28"/>
        <v>-3247.9166666666665</v>
      </c>
      <c r="AE39" s="115">
        <f t="shared" ref="AE39:BV39" si="29">IFERROR(SUM(AB40:AD40)/SUM(AB37:AD37),0)</f>
        <v>-3520.2764187576777</v>
      </c>
      <c r="AF39" s="115">
        <f t="shared" si="29"/>
        <v>-3506.366519167264</v>
      </c>
      <c r="AG39" s="115">
        <f t="shared" ca="1" si="29"/>
        <v>-3441.434259879446</v>
      </c>
      <c r="AH39" s="115">
        <f t="shared" ca="1" si="29"/>
        <v>-3494.5478171247896</v>
      </c>
      <c r="AI39" s="115">
        <f t="shared" ca="1" si="29"/>
        <v>-3482.0636549433316</v>
      </c>
      <c r="AJ39" s="115">
        <f t="shared" ca="1" si="29"/>
        <v>-3469.1595791964205</v>
      </c>
      <c r="AK39" s="115">
        <f t="shared" ca="1" si="29"/>
        <v>-3483.1496957391714</v>
      </c>
      <c r="AL39" s="115">
        <f t="shared" ca="1" si="29"/>
        <v>-3478.1329475509365</v>
      </c>
      <c r="AM39" s="115">
        <f t="shared" ca="1" si="29"/>
        <v>-3476.8693761636887</v>
      </c>
      <c r="AN39" s="115">
        <f t="shared" ca="1" si="29"/>
        <v>-3479.3452702224236</v>
      </c>
      <c r="AO39" s="115">
        <f t="shared" ca="1" si="29"/>
        <v>-3478.1234320302078</v>
      </c>
      <c r="AP39" s="115">
        <f t="shared" ca="1" si="29"/>
        <v>-3478.1203787368327</v>
      </c>
      <c r="AQ39" s="115">
        <f t="shared" ca="1" si="29"/>
        <v>-3478.5218573786406</v>
      </c>
      <c r="AR39" s="115">
        <f t="shared" ca="1" si="29"/>
        <v>-3478.2578109351366</v>
      </c>
      <c r="AS39" s="115">
        <f t="shared" ca="1" si="29"/>
        <v>-3478.3008925136269</v>
      </c>
      <c r="AT39" s="115">
        <f t="shared" ca="1" si="29"/>
        <v>-3478.3586998380074</v>
      </c>
      <c r="AU39" s="115">
        <f t="shared" ca="1" si="29"/>
        <v>-3478.3064805906442</v>
      </c>
      <c r="AV39" s="115">
        <f t="shared" ca="1" si="29"/>
        <v>-3478.3220633205328</v>
      </c>
      <c r="AW39" s="115">
        <f t="shared" ca="1" si="29"/>
        <v>-3478.3288383112135</v>
      </c>
      <c r="AX39" s="115">
        <f t="shared" ca="1" si="29"/>
        <v>-3478.3192821682701</v>
      </c>
      <c r="AY39" s="116">
        <f t="shared" ca="1" si="29"/>
        <v>-3478.3233755345368</v>
      </c>
      <c r="AZ39" s="116">
        <f t="shared" ca="1" si="29"/>
        <v>-3478.3237949852778</v>
      </c>
      <c r="BA39" s="116">
        <f t="shared" ca="1" si="29"/>
        <v>-3478.3221814107574</v>
      </c>
      <c r="BB39" s="116">
        <f t="shared" ca="1" si="29"/>
        <v>-3478.3231094499292</v>
      </c>
      <c r="BC39" s="116">
        <f t="shared" ca="1" si="29"/>
        <v>-3478.3230241381948</v>
      </c>
      <c r="BD39" s="116">
        <f t="shared" ca="1" si="29"/>
        <v>-3478.322776981644</v>
      </c>
      <c r="BE39" s="116">
        <f t="shared" ca="1" si="29"/>
        <v>-3478.3229681605549</v>
      </c>
      <c r="BF39" s="116">
        <f t="shared" ca="1" si="29"/>
        <v>-3478.3229227725792</v>
      </c>
      <c r="BG39" s="116">
        <f t="shared" ca="1" si="29"/>
        <v>-3478.322890197881</v>
      </c>
      <c r="BH39" s="116">
        <f t="shared" ca="1" si="29"/>
        <v>-3478.3229265686791</v>
      </c>
      <c r="BI39" s="116">
        <f t="shared" ca="1" si="29"/>
        <v>-3478.3229132020647</v>
      </c>
      <c r="BJ39" s="116">
        <f t="shared" ca="1" si="29"/>
        <v>-3478.3229101262077</v>
      </c>
      <c r="BK39" s="116">
        <f t="shared" ca="1" si="29"/>
        <v>-3478.3229165355779</v>
      </c>
      <c r="BL39" s="116">
        <f t="shared" ca="1" si="29"/>
        <v>-3478.3229133075224</v>
      </c>
      <c r="BM39" s="116">
        <f t="shared" ca="1" si="29"/>
        <v>-3478.3229133414534</v>
      </c>
      <c r="BN39" s="116">
        <f t="shared" ca="1" si="29"/>
        <v>-3478.3229143766835</v>
      </c>
      <c r="BO39" s="116">
        <f t="shared" ca="1" si="29"/>
        <v>-3478.3229136813266</v>
      </c>
      <c r="BP39" s="116">
        <f t="shared" ca="1" si="29"/>
        <v>-3478.3229138016941</v>
      </c>
      <c r="BQ39" s="116">
        <f t="shared" ca="1" si="29"/>
        <v>-3478.3229139499495</v>
      </c>
      <c r="BR39" s="116">
        <f t="shared" ca="1" si="29"/>
        <v>-3478.3229138124784</v>
      </c>
      <c r="BS39" s="116">
        <f t="shared" ca="1" si="29"/>
        <v>-3478.3229138547563</v>
      </c>
      <c r="BT39" s="116">
        <f t="shared" ca="1" si="29"/>
        <v>-3478.3229138718671</v>
      </c>
      <c r="BU39" s="116">
        <f t="shared" ca="1" si="29"/>
        <v>-3478.3229138466932</v>
      </c>
      <c r="BV39" s="116">
        <f t="shared" ca="1" si="29"/>
        <v>-3478.3229138577281</v>
      </c>
    </row>
    <row r="40" spans="1:74" ht="12.75" x14ac:dyDescent="0.2">
      <c r="A40" s="137" t="s">
        <v>115</v>
      </c>
      <c r="B40" s="118"/>
      <c r="C40" s="119">
        <f t="shared" ref="C40:AD40" si="30">SUMIFS(MRR_Export_Churned_MRR,MRR_Export_Months,"&gt;="&amp;C$1,MRR_Export_Months,"&lt;"&amp;D$1)</f>
        <v>-1016</v>
      </c>
      <c r="D40" s="119">
        <f t="shared" si="30"/>
        <v>-3045</v>
      </c>
      <c r="E40" s="119">
        <f t="shared" si="30"/>
        <v>-4000</v>
      </c>
      <c r="F40" s="119">
        <f t="shared" si="30"/>
        <v>-7821</v>
      </c>
      <c r="G40" s="119">
        <f t="shared" si="30"/>
        <v>-1299</v>
      </c>
      <c r="H40" s="119">
        <f t="shared" si="30"/>
        <v>-2598</v>
      </c>
      <c r="I40" s="119">
        <f t="shared" si="30"/>
        <v>-7812</v>
      </c>
      <c r="J40" s="119">
        <f t="shared" si="30"/>
        <v>-8364</v>
      </c>
      <c r="K40" s="119">
        <f t="shared" si="30"/>
        <v>-8533</v>
      </c>
      <c r="L40" s="119">
        <f t="shared" si="30"/>
        <v>-8825</v>
      </c>
      <c r="M40" s="119">
        <f t="shared" si="30"/>
        <v>-8574</v>
      </c>
      <c r="N40" s="119">
        <f t="shared" si="30"/>
        <v>-8644</v>
      </c>
      <c r="O40" s="119">
        <f t="shared" si="30"/>
        <v>-8681</v>
      </c>
      <c r="P40" s="119">
        <f t="shared" si="30"/>
        <v>-8633</v>
      </c>
      <c r="Q40" s="119">
        <f t="shared" si="30"/>
        <v>-10383</v>
      </c>
      <c r="R40" s="119">
        <f t="shared" si="30"/>
        <v>-2350</v>
      </c>
      <c r="S40" s="119">
        <f t="shared" si="30"/>
        <v>-10374</v>
      </c>
      <c r="T40" s="119">
        <f t="shared" si="30"/>
        <v>-12109</v>
      </c>
      <c r="U40" s="119">
        <f t="shared" si="30"/>
        <v>-15664.931907563025</v>
      </c>
      <c r="V40" s="119">
        <f t="shared" si="30"/>
        <v>-14187.685782436285</v>
      </c>
      <c r="W40" s="119">
        <f t="shared" si="30"/>
        <v>-15378.463306457343</v>
      </c>
      <c r="X40" s="119">
        <f t="shared" si="30"/>
        <v>-16660.463306457299</v>
      </c>
      <c r="Y40" s="119">
        <f t="shared" si="30"/>
        <v>-15195.463306457301</v>
      </c>
      <c r="Z40" s="119">
        <f t="shared" si="30"/>
        <v>-18807.463306457299</v>
      </c>
      <c r="AA40" s="119">
        <f t="shared" si="30"/>
        <v>-19092.463306457299</v>
      </c>
      <c r="AB40" s="119">
        <f t="shared" si="30"/>
        <v>-21654.463306457299</v>
      </c>
      <c r="AC40" s="119">
        <f t="shared" si="30"/>
        <v>-34418</v>
      </c>
      <c r="AD40" s="119">
        <f t="shared" si="30"/>
        <v>-38975</v>
      </c>
      <c r="AE40" s="120">
        <f t="shared" ref="AE40:BV40" si="31">AE37*AE39</f>
        <v>-60914.863150182864</v>
      </c>
      <c r="AF40" s="120">
        <f t="shared" ca="1" si="31"/>
        <v>-51728.387372784979</v>
      </c>
      <c r="AG40" s="120">
        <f t="shared" ca="1" si="31"/>
        <v>-40144.064357076451</v>
      </c>
      <c r="AH40" s="120">
        <f t="shared" ca="1" si="31"/>
        <v>-32304.213666334752</v>
      </c>
      <c r="AI40" s="120">
        <f t="shared" ca="1" si="31"/>
        <v>-23940.497494872674</v>
      </c>
      <c r="AJ40" s="120">
        <f t="shared" ca="1" si="31"/>
        <v>-24276.301168276965</v>
      </c>
      <c r="AK40" s="120">
        <f t="shared" ca="1" si="31"/>
        <v>-24834.062546165576</v>
      </c>
      <c r="AL40" s="120">
        <f t="shared" ca="1" si="31"/>
        <v>-25252.442825302933</v>
      </c>
      <c r="AM40" s="120">
        <f t="shared" ca="1" si="31"/>
        <v>-25730.504167220381</v>
      </c>
      <c r="AN40" s="120">
        <f t="shared" ca="1" si="31"/>
        <v>-26231.045835773046</v>
      </c>
      <c r="AO40" s="120">
        <f t="shared" ca="1" si="31"/>
        <v>-26736.840641126972</v>
      </c>
      <c r="AP40" s="120">
        <f t="shared" ca="1" si="31"/>
        <v>-27246.157988634783</v>
      </c>
      <c r="AQ40" s="120">
        <f t="shared" ca="1" si="31"/>
        <v>-27791.362962850231</v>
      </c>
      <c r="AR40" s="120">
        <f t="shared" ca="1" si="31"/>
        <v>-28363.570824531893</v>
      </c>
      <c r="AS40" s="120">
        <f t="shared" ca="1" si="31"/>
        <v>-28931.929117043146</v>
      </c>
      <c r="AT40" s="120">
        <f t="shared" ca="1" si="31"/>
        <v>-29532.440136086996</v>
      </c>
      <c r="AU40" s="120">
        <f t="shared" ca="1" si="31"/>
        <v>-30125.417723368937</v>
      </c>
      <c r="AV40" s="120">
        <f t="shared" ca="1" si="31"/>
        <v>-30750.710172403655</v>
      </c>
      <c r="AW40" s="120">
        <f t="shared" ca="1" si="31"/>
        <v>-31407.313644895439</v>
      </c>
      <c r="AX40" s="120">
        <f t="shared" ca="1" si="31"/>
        <v>-32056.547172165341</v>
      </c>
      <c r="AY40" s="121">
        <f t="shared" ca="1" si="31"/>
        <v>-32737.024505714817</v>
      </c>
      <c r="AZ40" s="121">
        <f t="shared" ca="1" si="31"/>
        <v>-33371.72174584763</v>
      </c>
      <c r="BA40" s="121">
        <f t="shared" ca="1" si="31"/>
        <v>-34037.679183861852</v>
      </c>
      <c r="BB40" s="121">
        <f t="shared" ca="1" si="31"/>
        <v>-34696.335657925818</v>
      </c>
      <c r="BC40" s="121">
        <f t="shared" ca="1" si="31"/>
        <v>-35347.737062232438</v>
      </c>
      <c r="BD40" s="121">
        <f t="shared" ca="1" si="31"/>
        <v>-35991.971335262642</v>
      </c>
      <c r="BE40" s="121">
        <f t="shared" ca="1" si="31"/>
        <v>-36667.385081232955</v>
      </c>
      <c r="BF40" s="121">
        <f t="shared" ca="1" si="31"/>
        <v>-37335.366832350723</v>
      </c>
      <c r="BG40" s="121">
        <f t="shared" ca="1" si="31"/>
        <v>-38034.262453366217</v>
      </c>
      <c r="BH40" s="121">
        <f t="shared" ca="1" si="31"/>
        <v>-38725.470973282027</v>
      </c>
      <c r="BI40" s="121">
        <f t="shared" ca="1" si="31"/>
        <v>-39409.075654708824</v>
      </c>
      <c r="BJ40" s="121">
        <f t="shared" ca="1" si="31"/>
        <v>-40123.422348382839</v>
      </c>
      <c r="BK40" s="121">
        <f t="shared" ca="1" si="31"/>
        <v>-40829.911338127968</v>
      </c>
      <c r="BL40" s="121">
        <f t="shared" ca="1" si="31"/>
        <v>-41528.628837324686</v>
      </c>
      <c r="BM40" s="121">
        <f t="shared" ca="1" si="31"/>
        <v>-42257.922033964198</v>
      </c>
      <c r="BN40" s="121">
        <f t="shared" ca="1" si="31"/>
        <v>-42979.193017831647</v>
      </c>
      <c r="BO40" s="121">
        <f t="shared" ca="1" si="31"/>
        <v>-43730.791551753799</v>
      </c>
      <c r="BP40" s="121">
        <f t="shared" ca="1" si="31"/>
        <v>-44474.122511839363</v>
      </c>
      <c r="BQ40" s="121">
        <f t="shared" ca="1" si="31"/>
        <v>-45209.276831794261</v>
      </c>
      <c r="BR40" s="121">
        <f t="shared" ca="1" si="31"/>
        <v>-45974.606002591339</v>
      </c>
      <c r="BS40" s="121">
        <f t="shared" ca="1" si="31"/>
        <v>-46731.516554844769</v>
      </c>
      <c r="BT40" s="121">
        <f t="shared" ca="1" si="31"/>
        <v>-47518.362642756903</v>
      </c>
      <c r="BU40" s="121">
        <f t="shared" ca="1" si="31"/>
        <v>-48296.553423125115</v>
      </c>
      <c r="BV40" s="121">
        <f t="shared" ca="1" si="31"/>
        <v>-49104.445657457494</v>
      </c>
    </row>
    <row r="41" spans="1:74" ht="15" x14ac:dyDescent="0.25">
      <c r="A41" s="130"/>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row>
    <row r="42" spans="1:74" ht="15" x14ac:dyDescent="0.25">
      <c r="A42" s="130" t="s">
        <v>95</v>
      </c>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row>
    <row r="43" spans="1:74" ht="12.75" hidden="1" x14ac:dyDescent="0.2">
      <c r="A43" s="144" t="s">
        <v>116</v>
      </c>
      <c r="B43" s="145"/>
      <c r="C43" s="146">
        <v>0</v>
      </c>
      <c r="D43" s="146">
        <v>0</v>
      </c>
      <c r="E43" s="146">
        <v>0</v>
      </c>
      <c r="F43" s="146">
        <v>0</v>
      </c>
      <c r="G43" s="146">
        <v>0</v>
      </c>
      <c r="H43" s="146">
        <v>0</v>
      </c>
      <c r="I43" s="146">
        <v>0</v>
      </c>
      <c r="J43" s="146">
        <v>0</v>
      </c>
      <c r="K43" s="146">
        <v>0</v>
      </c>
      <c r="L43" s="146">
        <v>0</v>
      </c>
      <c r="M43" s="146">
        <v>0</v>
      </c>
      <c r="N43" s="146">
        <v>0</v>
      </c>
      <c r="O43" s="146">
        <v>0</v>
      </c>
      <c r="P43" s="146">
        <v>0</v>
      </c>
      <c r="Q43" s="146">
        <v>0</v>
      </c>
      <c r="R43" s="146">
        <v>0</v>
      </c>
      <c r="S43" s="146">
        <v>0</v>
      </c>
      <c r="T43" s="146">
        <v>0</v>
      </c>
      <c r="U43" s="146">
        <v>0</v>
      </c>
      <c r="V43" s="146">
        <v>0</v>
      </c>
      <c r="W43" s="146">
        <v>0</v>
      </c>
      <c r="X43" s="146">
        <v>0</v>
      </c>
      <c r="Y43" s="146">
        <v>0</v>
      </c>
      <c r="Z43" s="146">
        <v>0</v>
      </c>
      <c r="AA43" s="146">
        <v>0</v>
      </c>
      <c r="AB43" s="146">
        <v>0</v>
      </c>
      <c r="AC43" s="146">
        <v>0</v>
      </c>
      <c r="AD43" s="146">
        <v>0</v>
      </c>
      <c r="AE43" s="139">
        <f t="shared" ref="AE43:BV43" si="32">S43-S45+S12</f>
        <v>0</v>
      </c>
      <c r="AF43" s="139">
        <f t="shared" si="32"/>
        <v>0</v>
      </c>
      <c r="AG43" s="139">
        <f t="shared" si="32"/>
        <v>0</v>
      </c>
      <c r="AH43" s="139">
        <f t="shared" si="32"/>
        <v>0</v>
      </c>
      <c r="AI43" s="139">
        <f t="shared" si="32"/>
        <v>0</v>
      </c>
      <c r="AJ43" s="139">
        <f t="shared" si="32"/>
        <v>0</v>
      </c>
      <c r="AK43" s="139">
        <f t="shared" si="32"/>
        <v>0</v>
      </c>
      <c r="AL43" s="139">
        <f t="shared" si="32"/>
        <v>0</v>
      </c>
      <c r="AM43" s="139">
        <f t="shared" si="32"/>
        <v>0</v>
      </c>
      <c r="AN43" s="139">
        <f t="shared" si="32"/>
        <v>0</v>
      </c>
      <c r="AO43" s="139">
        <f t="shared" si="32"/>
        <v>0</v>
      </c>
      <c r="AP43" s="139">
        <f t="shared" si="32"/>
        <v>0</v>
      </c>
      <c r="AQ43" s="139">
        <f t="shared" ca="1" si="32"/>
        <v>0</v>
      </c>
      <c r="AR43" s="139">
        <f t="shared" ca="1" si="32"/>
        <v>0</v>
      </c>
      <c r="AS43" s="139">
        <f t="shared" ca="1" si="32"/>
        <v>0</v>
      </c>
      <c r="AT43" s="139">
        <f t="shared" ca="1" si="32"/>
        <v>0</v>
      </c>
      <c r="AU43" s="139">
        <f t="shared" ca="1" si="32"/>
        <v>0</v>
      </c>
      <c r="AV43" s="139">
        <f t="shared" ca="1" si="32"/>
        <v>0</v>
      </c>
      <c r="AW43" s="139">
        <f t="shared" ca="1" si="32"/>
        <v>0</v>
      </c>
      <c r="AX43" s="139">
        <f t="shared" ca="1" si="32"/>
        <v>0</v>
      </c>
      <c r="AY43" s="140">
        <f t="shared" ca="1" si="32"/>
        <v>0</v>
      </c>
      <c r="AZ43" s="140">
        <f t="shared" ca="1" si="32"/>
        <v>0</v>
      </c>
      <c r="BA43" s="140">
        <f t="shared" ca="1" si="32"/>
        <v>0</v>
      </c>
      <c r="BB43" s="140">
        <f t="shared" ca="1" si="32"/>
        <v>0</v>
      </c>
      <c r="BC43" s="140">
        <f t="shared" ca="1" si="32"/>
        <v>0</v>
      </c>
      <c r="BD43" s="140">
        <f t="shared" ca="1" si="32"/>
        <v>0</v>
      </c>
      <c r="BE43" s="140">
        <f t="shared" ca="1" si="32"/>
        <v>0</v>
      </c>
      <c r="BF43" s="140">
        <f t="shared" ca="1" si="32"/>
        <v>0</v>
      </c>
      <c r="BG43" s="140">
        <f t="shared" ca="1" si="32"/>
        <v>0</v>
      </c>
      <c r="BH43" s="140">
        <f t="shared" ca="1" si="32"/>
        <v>0</v>
      </c>
      <c r="BI43" s="140">
        <f t="shared" ca="1" si="32"/>
        <v>0</v>
      </c>
      <c r="BJ43" s="140">
        <f t="shared" ca="1" si="32"/>
        <v>0</v>
      </c>
      <c r="BK43" s="140">
        <f t="shared" ca="1" si="32"/>
        <v>0</v>
      </c>
      <c r="BL43" s="140">
        <f t="shared" ca="1" si="32"/>
        <v>0</v>
      </c>
      <c r="BM43" s="140">
        <f t="shared" ca="1" si="32"/>
        <v>0</v>
      </c>
      <c r="BN43" s="140">
        <f t="shared" ca="1" si="32"/>
        <v>0</v>
      </c>
      <c r="BO43" s="140">
        <f t="shared" ca="1" si="32"/>
        <v>0</v>
      </c>
      <c r="BP43" s="140">
        <f t="shared" ca="1" si="32"/>
        <v>0</v>
      </c>
      <c r="BQ43" s="140">
        <f t="shared" ca="1" si="32"/>
        <v>0</v>
      </c>
      <c r="BR43" s="140">
        <f t="shared" ca="1" si="32"/>
        <v>0</v>
      </c>
      <c r="BS43" s="140">
        <f t="shared" ca="1" si="32"/>
        <v>0</v>
      </c>
      <c r="BT43" s="140">
        <f t="shared" ca="1" si="32"/>
        <v>0</v>
      </c>
      <c r="BU43" s="140">
        <f t="shared" ca="1" si="32"/>
        <v>0</v>
      </c>
      <c r="BV43" s="140">
        <f t="shared" ca="1" si="32"/>
        <v>0</v>
      </c>
    </row>
    <row r="44" spans="1:74" ht="12.75" hidden="1" x14ac:dyDescent="0.2">
      <c r="A44" s="132" t="s">
        <v>117</v>
      </c>
      <c r="B44" s="102"/>
      <c r="C44" s="147">
        <f t="shared" ref="C44:AD44" si="33">IFERROR(C45/C43,0)</f>
        <v>0</v>
      </c>
      <c r="D44" s="147">
        <f t="shared" si="33"/>
        <v>0</v>
      </c>
      <c r="E44" s="147">
        <f t="shared" si="33"/>
        <v>0</v>
      </c>
      <c r="F44" s="147">
        <f t="shared" si="33"/>
        <v>0</v>
      </c>
      <c r="G44" s="147">
        <f t="shared" si="33"/>
        <v>0</v>
      </c>
      <c r="H44" s="147">
        <f t="shared" si="33"/>
        <v>0</v>
      </c>
      <c r="I44" s="147">
        <f t="shared" si="33"/>
        <v>0</v>
      </c>
      <c r="J44" s="147">
        <f t="shared" si="33"/>
        <v>0</v>
      </c>
      <c r="K44" s="147">
        <f t="shared" si="33"/>
        <v>0</v>
      </c>
      <c r="L44" s="147">
        <f t="shared" si="33"/>
        <v>0</v>
      </c>
      <c r="M44" s="147">
        <f t="shared" si="33"/>
        <v>0</v>
      </c>
      <c r="N44" s="147">
        <f t="shared" si="33"/>
        <v>0</v>
      </c>
      <c r="O44" s="147">
        <f t="shared" si="33"/>
        <v>0</v>
      </c>
      <c r="P44" s="147">
        <f t="shared" si="33"/>
        <v>0</v>
      </c>
      <c r="Q44" s="147">
        <f t="shared" si="33"/>
        <v>0</v>
      </c>
      <c r="R44" s="147">
        <f t="shared" si="33"/>
        <v>0</v>
      </c>
      <c r="S44" s="147">
        <f t="shared" si="33"/>
        <v>0</v>
      </c>
      <c r="T44" s="147">
        <f t="shared" si="33"/>
        <v>0</v>
      </c>
      <c r="U44" s="147">
        <f t="shared" si="33"/>
        <v>0</v>
      </c>
      <c r="V44" s="147">
        <f t="shared" si="33"/>
        <v>0</v>
      </c>
      <c r="W44" s="147">
        <f t="shared" si="33"/>
        <v>0</v>
      </c>
      <c r="X44" s="147">
        <f t="shared" si="33"/>
        <v>0</v>
      </c>
      <c r="Y44" s="147">
        <f t="shared" si="33"/>
        <v>0</v>
      </c>
      <c r="Z44" s="147">
        <f t="shared" si="33"/>
        <v>0</v>
      </c>
      <c r="AA44" s="147">
        <f t="shared" si="33"/>
        <v>0</v>
      </c>
      <c r="AB44" s="147">
        <f t="shared" si="33"/>
        <v>0</v>
      </c>
      <c r="AC44" s="147">
        <f t="shared" si="33"/>
        <v>0</v>
      </c>
      <c r="AD44" s="147">
        <f t="shared" si="33"/>
        <v>0</v>
      </c>
      <c r="AE44" s="135">
        <f t="shared" ref="AE44:BV44" si="34">IFERROR(MEDIAN(AB44:AD44),0)</f>
        <v>0</v>
      </c>
      <c r="AF44" s="135">
        <f t="shared" si="34"/>
        <v>0</v>
      </c>
      <c r="AG44" s="135">
        <f t="shared" si="34"/>
        <v>0</v>
      </c>
      <c r="AH44" s="135">
        <f t="shared" si="34"/>
        <v>0</v>
      </c>
      <c r="AI44" s="135">
        <f t="shared" si="34"/>
        <v>0</v>
      </c>
      <c r="AJ44" s="135">
        <f t="shared" si="34"/>
        <v>0</v>
      </c>
      <c r="AK44" s="135">
        <f t="shared" si="34"/>
        <v>0</v>
      </c>
      <c r="AL44" s="135">
        <f t="shared" si="34"/>
        <v>0</v>
      </c>
      <c r="AM44" s="135">
        <f t="shared" si="34"/>
        <v>0</v>
      </c>
      <c r="AN44" s="135">
        <f t="shared" si="34"/>
        <v>0</v>
      </c>
      <c r="AO44" s="135">
        <f t="shared" si="34"/>
        <v>0</v>
      </c>
      <c r="AP44" s="135">
        <f t="shared" si="34"/>
        <v>0</v>
      </c>
      <c r="AQ44" s="135">
        <f t="shared" si="34"/>
        <v>0</v>
      </c>
      <c r="AR44" s="135">
        <f t="shared" si="34"/>
        <v>0</v>
      </c>
      <c r="AS44" s="135">
        <f t="shared" si="34"/>
        <v>0</v>
      </c>
      <c r="AT44" s="135">
        <f t="shared" si="34"/>
        <v>0</v>
      </c>
      <c r="AU44" s="135">
        <f t="shared" si="34"/>
        <v>0</v>
      </c>
      <c r="AV44" s="135">
        <f t="shared" si="34"/>
        <v>0</v>
      </c>
      <c r="AW44" s="135">
        <f t="shared" si="34"/>
        <v>0</v>
      </c>
      <c r="AX44" s="135">
        <f t="shared" si="34"/>
        <v>0</v>
      </c>
      <c r="AY44" s="136">
        <f t="shared" si="34"/>
        <v>0</v>
      </c>
      <c r="AZ44" s="136">
        <f t="shared" si="34"/>
        <v>0</v>
      </c>
      <c r="BA44" s="136">
        <f t="shared" si="34"/>
        <v>0</v>
      </c>
      <c r="BB44" s="136">
        <f t="shared" si="34"/>
        <v>0</v>
      </c>
      <c r="BC44" s="136">
        <f t="shared" si="34"/>
        <v>0</v>
      </c>
      <c r="BD44" s="136">
        <f t="shared" si="34"/>
        <v>0</v>
      </c>
      <c r="BE44" s="136">
        <f t="shared" si="34"/>
        <v>0</v>
      </c>
      <c r="BF44" s="136">
        <f t="shared" si="34"/>
        <v>0</v>
      </c>
      <c r="BG44" s="136">
        <f t="shared" si="34"/>
        <v>0</v>
      </c>
      <c r="BH44" s="136">
        <f t="shared" si="34"/>
        <v>0</v>
      </c>
      <c r="BI44" s="136">
        <f t="shared" si="34"/>
        <v>0</v>
      </c>
      <c r="BJ44" s="136">
        <f t="shared" si="34"/>
        <v>0</v>
      </c>
      <c r="BK44" s="136">
        <f t="shared" si="34"/>
        <v>0</v>
      </c>
      <c r="BL44" s="136">
        <f t="shared" si="34"/>
        <v>0</v>
      </c>
      <c r="BM44" s="136">
        <f t="shared" si="34"/>
        <v>0</v>
      </c>
      <c r="BN44" s="136">
        <f t="shared" si="34"/>
        <v>0</v>
      </c>
      <c r="BO44" s="136">
        <f t="shared" si="34"/>
        <v>0</v>
      </c>
      <c r="BP44" s="136">
        <f t="shared" si="34"/>
        <v>0</v>
      </c>
      <c r="BQ44" s="136">
        <f t="shared" si="34"/>
        <v>0</v>
      </c>
      <c r="BR44" s="136">
        <f t="shared" si="34"/>
        <v>0</v>
      </c>
      <c r="BS44" s="136">
        <f t="shared" si="34"/>
        <v>0</v>
      </c>
      <c r="BT44" s="136">
        <f t="shared" si="34"/>
        <v>0</v>
      </c>
      <c r="BU44" s="136">
        <f t="shared" si="34"/>
        <v>0</v>
      </c>
      <c r="BV44" s="136">
        <f t="shared" si="34"/>
        <v>0</v>
      </c>
    </row>
    <row r="45" spans="1:74" ht="12.75" x14ac:dyDescent="0.2">
      <c r="A45" s="101" t="s">
        <v>111</v>
      </c>
      <c r="B45" s="145"/>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0">
        <f t="shared" ref="AE45:BV45" si="35">AD$65*AE46</f>
        <v>0</v>
      </c>
      <c r="AF45" s="120">
        <f t="shared" ca="1" si="35"/>
        <v>0</v>
      </c>
      <c r="AG45" s="120">
        <f t="shared" ca="1" si="35"/>
        <v>0</v>
      </c>
      <c r="AH45" s="120">
        <f t="shared" ca="1" si="35"/>
        <v>0</v>
      </c>
      <c r="AI45" s="120">
        <f t="shared" ca="1" si="35"/>
        <v>0</v>
      </c>
      <c r="AJ45" s="120">
        <f t="shared" ca="1" si="35"/>
        <v>0</v>
      </c>
      <c r="AK45" s="120">
        <f t="shared" ca="1" si="35"/>
        <v>0</v>
      </c>
      <c r="AL45" s="120">
        <f t="shared" ca="1" si="35"/>
        <v>0</v>
      </c>
      <c r="AM45" s="120">
        <f t="shared" ca="1" si="35"/>
        <v>0</v>
      </c>
      <c r="AN45" s="120">
        <f t="shared" ca="1" si="35"/>
        <v>0</v>
      </c>
      <c r="AO45" s="120">
        <f t="shared" ca="1" si="35"/>
        <v>0</v>
      </c>
      <c r="AP45" s="120">
        <f t="shared" ca="1" si="35"/>
        <v>0</v>
      </c>
      <c r="AQ45" s="120">
        <f t="shared" ca="1" si="35"/>
        <v>0</v>
      </c>
      <c r="AR45" s="120">
        <f t="shared" ca="1" si="35"/>
        <v>0</v>
      </c>
      <c r="AS45" s="120">
        <f t="shared" ca="1" si="35"/>
        <v>0</v>
      </c>
      <c r="AT45" s="120">
        <f t="shared" ca="1" si="35"/>
        <v>0</v>
      </c>
      <c r="AU45" s="120">
        <f t="shared" ca="1" si="35"/>
        <v>0</v>
      </c>
      <c r="AV45" s="120">
        <f t="shared" ca="1" si="35"/>
        <v>0</v>
      </c>
      <c r="AW45" s="120">
        <f t="shared" ca="1" si="35"/>
        <v>0</v>
      </c>
      <c r="AX45" s="120">
        <f t="shared" ca="1" si="35"/>
        <v>0</v>
      </c>
      <c r="AY45" s="121">
        <f t="shared" ca="1" si="35"/>
        <v>0</v>
      </c>
      <c r="AZ45" s="121">
        <f t="shared" ca="1" si="35"/>
        <v>0</v>
      </c>
      <c r="BA45" s="121">
        <f t="shared" ca="1" si="35"/>
        <v>0</v>
      </c>
      <c r="BB45" s="121">
        <f t="shared" ca="1" si="35"/>
        <v>0</v>
      </c>
      <c r="BC45" s="121">
        <f t="shared" ca="1" si="35"/>
        <v>0</v>
      </c>
      <c r="BD45" s="121">
        <f t="shared" ca="1" si="35"/>
        <v>0</v>
      </c>
      <c r="BE45" s="121">
        <f t="shared" ca="1" si="35"/>
        <v>0</v>
      </c>
      <c r="BF45" s="121">
        <f t="shared" ca="1" si="35"/>
        <v>0</v>
      </c>
      <c r="BG45" s="121">
        <f t="shared" ca="1" si="35"/>
        <v>0</v>
      </c>
      <c r="BH45" s="121">
        <f t="shared" ca="1" si="35"/>
        <v>0</v>
      </c>
      <c r="BI45" s="121">
        <f t="shared" ca="1" si="35"/>
        <v>0</v>
      </c>
      <c r="BJ45" s="121">
        <f t="shared" ca="1" si="35"/>
        <v>0</v>
      </c>
      <c r="BK45" s="121">
        <f t="shared" ca="1" si="35"/>
        <v>0</v>
      </c>
      <c r="BL45" s="121">
        <f t="shared" ca="1" si="35"/>
        <v>0</v>
      </c>
      <c r="BM45" s="121">
        <f t="shared" ca="1" si="35"/>
        <v>0</v>
      </c>
      <c r="BN45" s="121">
        <f t="shared" ca="1" si="35"/>
        <v>0</v>
      </c>
      <c r="BO45" s="121">
        <f t="shared" ca="1" si="35"/>
        <v>0</v>
      </c>
      <c r="BP45" s="121">
        <f t="shared" ca="1" si="35"/>
        <v>0</v>
      </c>
      <c r="BQ45" s="121">
        <f t="shared" ca="1" si="35"/>
        <v>0</v>
      </c>
      <c r="BR45" s="121">
        <f t="shared" ca="1" si="35"/>
        <v>0</v>
      </c>
      <c r="BS45" s="121">
        <f t="shared" ca="1" si="35"/>
        <v>0</v>
      </c>
      <c r="BT45" s="121">
        <f t="shared" ca="1" si="35"/>
        <v>0</v>
      </c>
      <c r="BU45" s="121">
        <f t="shared" ca="1" si="35"/>
        <v>0</v>
      </c>
      <c r="BV45" s="121">
        <f t="shared" ca="1" si="35"/>
        <v>0</v>
      </c>
    </row>
    <row r="46" spans="1:74" ht="12.75" x14ac:dyDescent="0.2">
      <c r="A46" s="132" t="s">
        <v>119</v>
      </c>
      <c r="B46" s="102"/>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48">
        <f t="shared" ref="AE46:BV46" si="36">IFERROR(MEDIAN(AB46:AD46),0)</f>
        <v>0</v>
      </c>
      <c r="AF46" s="148">
        <f t="shared" si="36"/>
        <v>0</v>
      </c>
      <c r="AG46" s="148">
        <f t="shared" si="36"/>
        <v>0</v>
      </c>
      <c r="AH46" s="148">
        <f t="shared" si="36"/>
        <v>0</v>
      </c>
      <c r="AI46" s="148">
        <f t="shared" si="36"/>
        <v>0</v>
      </c>
      <c r="AJ46" s="148">
        <f t="shared" si="36"/>
        <v>0</v>
      </c>
      <c r="AK46" s="148">
        <f t="shared" si="36"/>
        <v>0</v>
      </c>
      <c r="AL46" s="148">
        <f t="shared" si="36"/>
        <v>0</v>
      </c>
      <c r="AM46" s="148">
        <f t="shared" si="36"/>
        <v>0</v>
      </c>
      <c r="AN46" s="148">
        <f t="shared" si="36"/>
        <v>0</v>
      </c>
      <c r="AO46" s="148">
        <f t="shared" si="36"/>
        <v>0</v>
      </c>
      <c r="AP46" s="148">
        <f t="shared" si="36"/>
        <v>0</v>
      </c>
      <c r="AQ46" s="148">
        <f t="shared" si="36"/>
        <v>0</v>
      </c>
      <c r="AR46" s="148">
        <f t="shared" si="36"/>
        <v>0</v>
      </c>
      <c r="AS46" s="148">
        <f t="shared" si="36"/>
        <v>0</v>
      </c>
      <c r="AT46" s="148">
        <f t="shared" si="36"/>
        <v>0</v>
      </c>
      <c r="AU46" s="148">
        <f t="shared" si="36"/>
        <v>0</v>
      </c>
      <c r="AV46" s="148">
        <f t="shared" si="36"/>
        <v>0</v>
      </c>
      <c r="AW46" s="148">
        <f t="shared" si="36"/>
        <v>0</v>
      </c>
      <c r="AX46" s="148">
        <f t="shared" si="36"/>
        <v>0</v>
      </c>
      <c r="AY46" s="149">
        <f t="shared" si="36"/>
        <v>0</v>
      </c>
      <c r="AZ46" s="149">
        <f t="shared" si="36"/>
        <v>0</v>
      </c>
      <c r="BA46" s="149">
        <f t="shared" si="36"/>
        <v>0</v>
      </c>
      <c r="BB46" s="149">
        <f t="shared" si="36"/>
        <v>0</v>
      </c>
      <c r="BC46" s="149">
        <f t="shared" si="36"/>
        <v>0</v>
      </c>
      <c r="BD46" s="149">
        <f t="shared" si="36"/>
        <v>0</v>
      </c>
      <c r="BE46" s="149">
        <f t="shared" si="36"/>
        <v>0</v>
      </c>
      <c r="BF46" s="149">
        <f t="shared" si="36"/>
        <v>0</v>
      </c>
      <c r="BG46" s="149">
        <f t="shared" si="36"/>
        <v>0</v>
      </c>
      <c r="BH46" s="149">
        <f t="shared" si="36"/>
        <v>0</v>
      </c>
      <c r="BI46" s="149">
        <f t="shared" si="36"/>
        <v>0</v>
      </c>
      <c r="BJ46" s="149">
        <f t="shared" si="36"/>
        <v>0</v>
      </c>
      <c r="BK46" s="149">
        <f t="shared" si="36"/>
        <v>0</v>
      </c>
      <c r="BL46" s="149">
        <f t="shared" si="36"/>
        <v>0</v>
      </c>
      <c r="BM46" s="149">
        <f t="shared" si="36"/>
        <v>0</v>
      </c>
      <c r="BN46" s="149">
        <f t="shared" si="36"/>
        <v>0</v>
      </c>
      <c r="BO46" s="149">
        <f t="shared" si="36"/>
        <v>0</v>
      </c>
      <c r="BP46" s="149">
        <f t="shared" si="36"/>
        <v>0</v>
      </c>
      <c r="BQ46" s="149">
        <f t="shared" si="36"/>
        <v>0</v>
      </c>
      <c r="BR46" s="149">
        <f t="shared" si="36"/>
        <v>0</v>
      </c>
      <c r="BS46" s="149">
        <f t="shared" si="36"/>
        <v>0</v>
      </c>
      <c r="BT46" s="149">
        <f t="shared" si="36"/>
        <v>0</v>
      </c>
      <c r="BU46" s="149">
        <f t="shared" si="36"/>
        <v>0</v>
      </c>
      <c r="BV46" s="149">
        <f t="shared" si="36"/>
        <v>0</v>
      </c>
    </row>
    <row r="47" spans="1:74" ht="12.75" x14ac:dyDescent="0.2">
      <c r="A47" s="132" t="s">
        <v>91</v>
      </c>
      <c r="B47" s="102"/>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15">
        <f t="shared" ref="AE47:BV47" si="37">IFERROR(IF(AE46&gt;0,SUM(AB48:AD48)/SUM(AB45:AD45),0),0)</f>
        <v>0</v>
      </c>
      <c r="AF47" s="115">
        <f t="shared" si="37"/>
        <v>0</v>
      </c>
      <c r="AG47" s="115">
        <f t="shared" si="37"/>
        <v>0</v>
      </c>
      <c r="AH47" s="115">
        <f t="shared" si="37"/>
        <v>0</v>
      </c>
      <c r="AI47" s="115">
        <f t="shared" si="37"/>
        <v>0</v>
      </c>
      <c r="AJ47" s="115">
        <f t="shared" si="37"/>
        <v>0</v>
      </c>
      <c r="AK47" s="115">
        <f t="shared" si="37"/>
        <v>0</v>
      </c>
      <c r="AL47" s="115">
        <f t="shared" si="37"/>
        <v>0</v>
      </c>
      <c r="AM47" s="115">
        <f t="shared" si="37"/>
        <v>0</v>
      </c>
      <c r="AN47" s="115">
        <f t="shared" si="37"/>
        <v>0</v>
      </c>
      <c r="AO47" s="115">
        <f t="shared" si="37"/>
        <v>0</v>
      </c>
      <c r="AP47" s="115">
        <f t="shared" si="37"/>
        <v>0</v>
      </c>
      <c r="AQ47" s="115">
        <f t="shared" si="37"/>
        <v>0</v>
      </c>
      <c r="AR47" s="115">
        <f t="shared" si="37"/>
        <v>0</v>
      </c>
      <c r="AS47" s="115">
        <f t="shared" si="37"/>
        <v>0</v>
      </c>
      <c r="AT47" s="115">
        <f t="shared" si="37"/>
        <v>0</v>
      </c>
      <c r="AU47" s="115">
        <f t="shared" si="37"/>
        <v>0</v>
      </c>
      <c r="AV47" s="115">
        <f t="shared" si="37"/>
        <v>0</v>
      </c>
      <c r="AW47" s="115">
        <f t="shared" si="37"/>
        <v>0</v>
      </c>
      <c r="AX47" s="115">
        <f t="shared" si="37"/>
        <v>0</v>
      </c>
      <c r="AY47" s="116">
        <f t="shared" si="37"/>
        <v>0</v>
      </c>
      <c r="AZ47" s="116">
        <f t="shared" si="37"/>
        <v>0</v>
      </c>
      <c r="BA47" s="116">
        <f t="shared" si="37"/>
        <v>0</v>
      </c>
      <c r="BB47" s="116">
        <f t="shared" si="37"/>
        <v>0</v>
      </c>
      <c r="BC47" s="116">
        <f t="shared" si="37"/>
        <v>0</v>
      </c>
      <c r="BD47" s="116">
        <f t="shared" si="37"/>
        <v>0</v>
      </c>
      <c r="BE47" s="116">
        <f t="shared" si="37"/>
        <v>0</v>
      </c>
      <c r="BF47" s="116">
        <f t="shared" si="37"/>
        <v>0</v>
      </c>
      <c r="BG47" s="116">
        <f t="shared" si="37"/>
        <v>0</v>
      </c>
      <c r="BH47" s="116">
        <f t="shared" si="37"/>
        <v>0</v>
      </c>
      <c r="BI47" s="116">
        <f t="shared" si="37"/>
        <v>0</v>
      </c>
      <c r="BJ47" s="116">
        <f t="shared" si="37"/>
        <v>0</v>
      </c>
      <c r="BK47" s="116">
        <f t="shared" si="37"/>
        <v>0</v>
      </c>
      <c r="BL47" s="116">
        <f t="shared" si="37"/>
        <v>0</v>
      </c>
      <c r="BM47" s="116">
        <f t="shared" si="37"/>
        <v>0</v>
      </c>
      <c r="BN47" s="116">
        <f t="shared" si="37"/>
        <v>0</v>
      </c>
      <c r="BO47" s="116">
        <f t="shared" si="37"/>
        <v>0</v>
      </c>
      <c r="BP47" s="116">
        <f t="shared" si="37"/>
        <v>0</v>
      </c>
      <c r="BQ47" s="116">
        <f t="shared" si="37"/>
        <v>0</v>
      </c>
      <c r="BR47" s="116">
        <f t="shared" si="37"/>
        <v>0</v>
      </c>
      <c r="BS47" s="116">
        <f t="shared" si="37"/>
        <v>0</v>
      </c>
      <c r="BT47" s="116">
        <f t="shared" si="37"/>
        <v>0</v>
      </c>
      <c r="BU47" s="116">
        <f t="shared" si="37"/>
        <v>0</v>
      </c>
      <c r="BV47" s="116">
        <f t="shared" si="37"/>
        <v>0</v>
      </c>
    </row>
    <row r="48" spans="1:74" ht="12.75" x14ac:dyDescent="0.2">
      <c r="A48" s="137" t="s">
        <v>115</v>
      </c>
      <c r="B48" s="10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0">
        <f t="shared" ref="AE48:BV48" si="38">AE45*AE47</f>
        <v>0</v>
      </c>
      <c r="AF48" s="120">
        <f t="shared" ca="1" si="38"/>
        <v>0</v>
      </c>
      <c r="AG48" s="120">
        <f t="shared" ca="1" si="38"/>
        <v>0</v>
      </c>
      <c r="AH48" s="120">
        <f t="shared" ca="1" si="38"/>
        <v>0</v>
      </c>
      <c r="AI48" s="120">
        <f t="shared" ca="1" si="38"/>
        <v>0</v>
      </c>
      <c r="AJ48" s="120">
        <f t="shared" ca="1" si="38"/>
        <v>0</v>
      </c>
      <c r="AK48" s="120">
        <f t="shared" ca="1" si="38"/>
        <v>0</v>
      </c>
      <c r="AL48" s="120">
        <f t="shared" ca="1" si="38"/>
        <v>0</v>
      </c>
      <c r="AM48" s="120">
        <f t="shared" ca="1" si="38"/>
        <v>0</v>
      </c>
      <c r="AN48" s="120">
        <f t="shared" ca="1" si="38"/>
        <v>0</v>
      </c>
      <c r="AO48" s="120">
        <f t="shared" ca="1" si="38"/>
        <v>0</v>
      </c>
      <c r="AP48" s="120">
        <f t="shared" ca="1" si="38"/>
        <v>0</v>
      </c>
      <c r="AQ48" s="120">
        <f t="shared" ca="1" si="38"/>
        <v>0</v>
      </c>
      <c r="AR48" s="120">
        <f t="shared" ca="1" si="38"/>
        <v>0</v>
      </c>
      <c r="AS48" s="120">
        <f t="shared" ca="1" si="38"/>
        <v>0</v>
      </c>
      <c r="AT48" s="120">
        <f t="shared" ca="1" si="38"/>
        <v>0</v>
      </c>
      <c r="AU48" s="120">
        <f t="shared" ca="1" si="38"/>
        <v>0</v>
      </c>
      <c r="AV48" s="120">
        <f t="shared" ca="1" si="38"/>
        <v>0</v>
      </c>
      <c r="AW48" s="120">
        <f t="shared" ca="1" si="38"/>
        <v>0</v>
      </c>
      <c r="AX48" s="120">
        <f t="shared" ca="1" si="38"/>
        <v>0</v>
      </c>
      <c r="AY48" s="121">
        <f t="shared" ca="1" si="38"/>
        <v>0</v>
      </c>
      <c r="AZ48" s="121">
        <f t="shared" ca="1" si="38"/>
        <v>0</v>
      </c>
      <c r="BA48" s="121">
        <f t="shared" ca="1" si="38"/>
        <v>0</v>
      </c>
      <c r="BB48" s="121">
        <f t="shared" ca="1" si="38"/>
        <v>0</v>
      </c>
      <c r="BC48" s="121">
        <f t="shared" ca="1" si="38"/>
        <v>0</v>
      </c>
      <c r="BD48" s="121">
        <f t="shared" ca="1" si="38"/>
        <v>0</v>
      </c>
      <c r="BE48" s="121">
        <f t="shared" ca="1" si="38"/>
        <v>0</v>
      </c>
      <c r="BF48" s="121">
        <f t="shared" ca="1" si="38"/>
        <v>0</v>
      </c>
      <c r="BG48" s="121">
        <f t="shared" ca="1" si="38"/>
        <v>0</v>
      </c>
      <c r="BH48" s="121">
        <f t="shared" ca="1" si="38"/>
        <v>0</v>
      </c>
      <c r="BI48" s="121">
        <f t="shared" ca="1" si="38"/>
        <v>0</v>
      </c>
      <c r="BJ48" s="121">
        <f t="shared" ca="1" si="38"/>
        <v>0</v>
      </c>
      <c r="BK48" s="121">
        <f t="shared" ca="1" si="38"/>
        <v>0</v>
      </c>
      <c r="BL48" s="121">
        <f t="shared" ca="1" si="38"/>
        <v>0</v>
      </c>
      <c r="BM48" s="121">
        <f t="shared" ca="1" si="38"/>
        <v>0</v>
      </c>
      <c r="BN48" s="121">
        <f t="shared" ca="1" si="38"/>
        <v>0</v>
      </c>
      <c r="BO48" s="121">
        <f t="shared" ca="1" si="38"/>
        <v>0</v>
      </c>
      <c r="BP48" s="121">
        <f t="shared" ca="1" si="38"/>
        <v>0</v>
      </c>
      <c r="BQ48" s="121">
        <f t="shared" ca="1" si="38"/>
        <v>0</v>
      </c>
      <c r="BR48" s="121">
        <f t="shared" ca="1" si="38"/>
        <v>0</v>
      </c>
      <c r="BS48" s="121">
        <f t="shared" ca="1" si="38"/>
        <v>0</v>
      </c>
      <c r="BT48" s="121">
        <f t="shared" ca="1" si="38"/>
        <v>0</v>
      </c>
      <c r="BU48" s="121">
        <f t="shared" ca="1" si="38"/>
        <v>0</v>
      </c>
      <c r="BV48" s="121">
        <f t="shared" ca="1" si="38"/>
        <v>0</v>
      </c>
    </row>
    <row r="49" spans="1:74" ht="15" x14ac:dyDescent="0.25">
      <c r="A49" s="127"/>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row>
    <row r="50" spans="1:74" x14ac:dyDescent="0.25">
      <c r="A50" s="129" t="s">
        <v>120</v>
      </c>
      <c r="B50" s="96"/>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row>
    <row r="51" spans="1:74" ht="15" hidden="1" x14ac:dyDescent="0.25">
      <c r="A51" s="130" t="s">
        <v>88</v>
      </c>
      <c r="B51" s="102"/>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row>
    <row r="52" spans="1:74" ht="12.75" x14ac:dyDescent="0.2">
      <c r="A52" s="137" t="s">
        <v>121</v>
      </c>
      <c r="B52" s="112"/>
      <c r="C52" s="119">
        <f t="shared" ref="C52:AD52" si="39">SUMIFS(MRR_Export_Contraction_Count,MRR_Export_Months,"&gt;="&amp;C$1,MRR_Export_Months,"&lt;"&amp;D$1)</f>
        <v>1</v>
      </c>
      <c r="D52" s="119">
        <f t="shared" si="39"/>
        <v>2</v>
      </c>
      <c r="E52" s="119">
        <f t="shared" si="39"/>
        <v>2</v>
      </c>
      <c r="F52" s="119">
        <f t="shared" si="39"/>
        <v>1</v>
      </c>
      <c r="G52" s="119">
        <f t="shared" si="39"/>
        <v>2</v>
      </c>
      <c r="H52" s="119">
        <f t="shared" si="39"/>
        <v>1</v>
      </c>
      <c r="I52" s="119">
        <f t="shared" si="39"/>
        <v>2</v>
      </c>
      <c r="J52" s="119">
        <f t="shared" si="39"/>
        <v>3</v>
      </c>
      <c r="K52" s="119">
        <f t="shared" si="39"/>
        <v>3</v>
      </c>
      <c r="L52" s="119">
        <f t="shared" si="39"/>
        <v>4</v>
      </c>
      <c r="M52" s="119">
        <f t="shared" si="39"/>
        <v>4</v>
      </c>
      <c r="N52" s="119">
        <f t="shared" si="39"/>
        <v>5</v>
      </c>
      <c r="O52" s="119">
        <f t="shared" si="39"/>
        <v>5</v>
      </c>
      <c r="P52" s="119">
        <f t="shared" si="39"/>
        <v>6</v>
      </c>
      <c r="Q52" s="119">
        <f t="shared" si="39"/>
        <v>6</v>
      </c>
      <c r="R52" s="119">
        <f t="shared" si="39"/>
        <v>1</v>
      </c>
      <c r="S52" s="119">
        <f t="shared" si="39"/>
        <v>7</v>
      </c>
      <c r="T52" s="119">
        <f t="shared" si="39"/>
        <v>7</v>
      </c>
      <c r="U52" s="119">
        <f t="shared" si="39"/>
        <v>7</v>
      </c>
      <c r="V52" s="119">
        <f t="shared" si="39"/>
        <v>7</v>
      </c>
      <c r="W52" s="119">
        <f t="shared" si="39"/>
        <v>7</v>
      </c>
      <c r="X52" s="119">
        <f t="shared" si="39"/>
        <v>7</v>
      </c>
      <c r="Y52" s="119">
        <f t="shared" si="39"/>
        <v>7</v>
      </c>
      <c r="Z52" s="119">
        <f t="shared" si="39"/>
        <v>10</v>
      </c>
      <c r="AA52" s="119">
        <f t="shared" si="39"/>
        <v>15</v>
      </c>
      <c r="AB52" s="119">
        <f t="shared" si="39"/>
        <v>17</v>
      </c>
      <c r="AC52" s="119">
        <f t="shared" si="39"/>
        <v>17</v>
      </c>
      <c r="AD52" s="119">
        <f t="shared" si="39"/>
        <v>19</v>
      </c>
      <c r="AE52" s="150">
        <f t="shared" ref="AE52:BV52" si="40">AE53*AD$65</f>
        <v>21.630000000000003</v>
      </c>
      <c r="AF52" s="150">
        <f t="shared" ca="1" si="40"/>
        <v>16.596792000000001</v>
      </c>
      <c r="AG52" s="150">
        <f t="shared" ca="1" si="40"/>
        <v>15.348582400000002</v>
      </c>
      <c r="AH52" s="150">
        <f t="shared" ca="1" si="40"/>
        <v>13.558124214271999</v>
      </c>
      <c r="AI52" s="150">
        <f t="shared" ca="1" si="40"/>
        <v>13.125718153282561</v>
      </c>
      <c r="AJ52" s="150">
        <f t="shared" ca="1" si="40"/>
        <v>12.723176431996622</v>
      </c>
      <c r="AK52" s="150">
        <f t="shared" ca="1" si="40"/>
        <v>13.611382565806892</v>
      </c>
      <c r="AL52" s="150">
        <f t="shared" ca="1" si="40"/>
        <v>13.860657357583015</v>
      </c>
      <c r="AM52" s="150">
        <f t="shared" ca="1" si="40"/>
        <v>14.128190126649603</v>
      </c>
      <c r="AN52" s="150">
        <f t="shared" ca="1" si="40"/>
        <v>14.392780035256456</v>
      </c>
      <c r="AO52" s="150">
        <f t="shared" ca="1" si="40"/>
        <v>14.675459454868635</v>
      </c>
      <c r="AP52" s="150">
        <f t="shared" ca="1" si="40"/>
        <v>14.955029400865081</v>
      </c>
      <c r="AQ52" s="150">
        <f t="shared" ca="1" si="40"/>
        <v>15.252524077455567</v>
      </c>
      <c r="AR52" s="150">
        <f t="shared" ca="1" si="40"/>
        <v>15.567746312603553</v>
      </c>
      <c r="AS52" s="150">
        <f t="shared" ca="1" si="40"/>
        <v>15.879501103164916</v>
      </c>
      <c r="AT52" s="150">
        <f t="shared" ca="1" si="40"/>
        <v>16.2088265910301</v>
      </c>
      <c r="AU52" s="150">
        <f t="shared" ca="1" si="40"/>
        <v>16.534529498528769</v>
      </c>
      <c r="AV52" s="150">
        <f t="shared" ca="1" si="40"/>
        <v>16.877649674044953</v>
      </c>
      <c r="AW52" s="150">
        <f t="shared" ca="1" si="40"/>
        <v>17.23799552763046</v>
      </c>
      <c r="AX52" s="150">
        <f t="shared" ca="1" si="40"/>
        <v>17.594377576826524</v>
      </c>
      <c r="AY52" s="152">
        <f t="shared" ca="1" si="40"/>
        <v>17.967839423481433</v>
      </c>
      <c r="AZ52" s="152">
        <f t="shared" ca="1" si="40"/>
        <v>18.316193189823139</v>
      </c>
      <c r="BA52" s="152">
        <f t="shared" ca="1" si="40"/>
        <v>18.681715064735084</v>
      </c>
      <c r="BB52" s="152">
        <f t="shared" ca="1" si="40"/>
        <v>19.043216199022996</v>
      </c>
      <c r="BC52" s="152">
        <f t="shared" ca="1" si="40"/>
        <v>19.400740820833747</v>
      </c>
      <c r="BD52" s="152">
        <f t="shared" ca="1" si="40"/>
        <v>19.754332671804573</v>
      </c>
      <c r="BE52" s="152">
        <f t="shared" ca="1" si="40"/>
        <v>20.12503501241472</v>
      </c>
      <c r="BF52" s="152">
        <f t="shared" ca="1" si="40"/>
        <v>20.49165962727816</v>
      </c>
      <c r="BG52" s="152">
        <f t="shared" ca="1" si="40"/>
        <v>20.875251371378102</v>
      </c>
      <c r="BH52" s="152">
        <f t="shared" ca="1" si="40"/>
        <v>21.254623606292942</v>
      </c>
      <c r="BI52" s="152">
        <f t="shared" ca="1" si="40"/>
        <v>21.62982274662372</v>
      </c>
      <c r="BJ52" s="152">
        <f t="shared" ca="1" si="40"/>
        <v>22.021894696410858</v>
      </c>
      <c r="BK52" s="152">
        <f t="shared" ca="1" si="40"/>
        <v>22.409653854750339</v>
      </c>
      <c r="BL52" s="152">
        <f t="shared" ca="1" si="40"/>
        <v>22.793147662348083</v>
      </c>
      <c r="BM52" s="152">
        <f t="shared" ca="1" si="40"/>
        <v>23.193423038062257</v>
      </c>
      <c r="BN52" s="152">
        <f t="shared" ca="1" si="40"/>
        <v>23.58929538464357</v>
      </c>
      <c r="BO52" s="152">
        <f t="shared" ca="1" si="40"/>
        <v>24.001813135412494</v>
      </c>
      <c r="BP52" s="152">
        <f t="shared" ca="1" si="40"/>
        <v>24.409793190922954</v>
      </c>
      <c r="BQ52" s="152">
        <f t="shared" ca="1" si="40"/>
        <v>24.813285465822801</v>
      </c>
      <c r="BR52" s="152">
        <f t="shared" ca="1" si="40"/>
        <v>25.233339325698751</v>
      </c>
      <c r="BS52" s="152">
        <f t="shared" ca="1" si="40"/>
        <v>25.648772593116064</v>
      </c>
      <c r="BT52" s="152">
        <f t="shared" ca="1" si="40"/>
        <v>26.080636094591785</v>
      </c>
      <c r="BU52" s="152">
        <f t="shared" ca="1" si="40"/>
        <v>26.507749097551276</v>
      </c>
      <c r="BV52" s="152">
        <f t="shared" ca="1" si="40"/>
        <v>26.951163857478207</v>
      </c>
    </row>
    <row r="53" spans="1:74" ht="12.75" x14ac:dyDescent="0.2">
      <c r="A53" s="23" t="s">
        <v>122</v>
      </c>
      <c r="B53" s="117"/>
      <c r="C53" s="133" t="str">
        <f t="shared" ref="C53:AD53" si="41">IFERROR(C52/B$65," ")</f>
        <v xml:space="preserve"> </v>
      </c>
      <c r="D53" s="133">
        <f t="shared" si="41"/>
        <v>8.4388185654008432E-3</v>
      </c>
      <c r="E53" s="133">
        <f t="shared" si="41"/>
        <v>9.1743119266055051E-3</v>
      </c>
      <c r="F53" s="133">
        <f t="shared" si="41"/>
        <v>4.3859649122807015E-3</v>
      </c>
      <c r="G53" s="133">
        <f t="shared" si="41"/>
        <v>8.4033613445378148E-3</v>
      </c>
      <c r="H53" s="133">
        <f t="shared" si="41"/>
        <v>3.9840637450199202E-3</v>
      </c>
      <c r="I53" s="133">
        <f t="shared" si="41"/>
        <v>7.7220077220077222E-3</v>
      </c>
      <c r="J53" s="133">
        <f t="shared" si="41"/>
        <v>1.0869565217391304E-2</v>
      </c>
      <c r="K53" s="133">
        <f t="shared" si="41"/>
        <v>1.0526315789473684E-2</v>
      </c>
      <c r="L53" s="133">
        <f t="shared" si="41"/>
        <v>1.3605442176870748E-2</v>
      </c>
      <c r="M53" s="133">
        <f t="shared" si="41"/>
        <v>1.3201320132013201E-2</v>
      </c>
      <c r="N53" s="133">
        <f t="shared" si="41"/>
        <v>1.6025641025641024E-2</v>
      </c>
      <c r="O53" s="133">
        <f t="shared" si="41"/>
        <v>1.5479876160990712E-2</v>
      </c>
      <c r="P53" s="133">
        <f t="shared" si="41"/>
        <v>1.8018018018018018E-2</v>
      </c>
      <c r="Q53" s="133">
        <f t="shared" si="41"/>
        <v>1.69971671388102E-2</v>
      </c>
      <c r="R53" s="133">
        <f t="shared" si="41"/>
        <v>2.7472527472527475E-3</v>
      </c>
      <c r="S53" s="133">
        <f t="shared" si="41"/>
        <v>1.7587939698492462E-2</v>
      </c>
      <c r="T53" s="133">
        <f t="shared" si="41"/>
        <v>1.6990291262135922E-2</v>
      </c>
      <c r="U53" s="133">
        <f t="shared" si="41"/>
        <v>1.6129032258064516E-2</v>
      </c>
      <c r="V53" s="133">
        <f t="shared" si="41"/>
        <v>1.5317286652078774E-2</v>
      </c>
      <c r="W53" s="133">
        <f t="shared" si="41"/>
        <v>1.4613778705636743E-2</v>
      </c>
      <c r="X53" s="133">
        <f t="shared" si="41"/>
        <v>1.4112903225806451E-2</v>
      </c>
      <c r="Y53" s="133">
        <f t="shared" si="41"/>
        <v>1.3779527559055118E-2</v>
      </c>
      <c r="Z53" s="133">
        <f t="shared" si="41"/>
        <v>1.9083969465648856E-2</v>
      </c>
      <c r="AA53" s="133">
        <f t="shared" si="41"/>
        <v>2.7522935779816515E-2</v>
      </c>
      <c r="AB53" s="133">
        <f t="shared" si="41"/>
        <v>2.9772329246935202E-2</v>
      </c>
      <c r="AC53" s="133">
        <f t="shared" si="41"/>
        <v>2.809917355371901E-2</v>
      </c>
      <c r="AD53" s="133">
        <f t="shared" si="41"/>
        <v>3.0844155844155844E-2</v>
      </c>
      <c r="AE53" s="134">
        <v>3.5000000000000003E-2</v>
      </c>
      <c r="AF53" s="134">
        <v>2.7E-2</v>
      </c>
      <c r="AG53" s="134">
        <v>2.5000000000000001E-2</v>
      </c>
      <c r="AH53" s="134">
        <v>2.1999999999999999E-2</v>
      </c>
      <c r="AI53" s="134">
        <v>2.1000000000000001E-2</v>
      </c>
      <c r="AJ53" s="134">
        <v>0.02</v>
      </c>
      <c r="AK53" s="148">
        <f t="shared" ref="AK53:BV53" si="42">IFERROR(MEDIAN(AH53:AJ53),0)</f>
        <v>2.1000000000000001E-2</v>
      </c>
      <c r="AL53" s="148">
        <f t="shared" si="42"/>
        <v>2.1000000000000001E-2</v>
      </c>
      <c r="AM53" s="148">
        <f t="shared" si="42"/>
        <v>2.1000000000000001E-2</v>
      </c>
      <c r="AN53" s="148">
        <f t="shared" si="42"/>
        <v>2.1000000000000001E-2</v>
      </c>
      <c r="AO53" s="148">
        <f t="shared" si="42"/>
        <v>2.1000000000000001E-2</v>
      </c>
      <c r="AP53" s="148">
        <f t="shared" si="42"/>
        <v>2.1000000000000001E-2</v>
      </c>
      <c r="AQ53" s="148">
        <f t="shared" si="42"/>
        <v>2.1000000000000001E-2</v>
      </c>
      <c r="AR53" s="148">
        <f t="shared" si="42"/>
        <v>2.1000000000000001E-2</v>
      </c>
      <c r="AS53" s="148">
        <f t="shared" si="42"/>
        <v>2.1000000000000001E-2</v>
      </c>
      <c r="AT53" s="148">
        <f t="shared" si="42"/>
        <v>2.1000000000000001E-2</v>
      </c>
      <c r="AU53" s="148">
        <f t="shared" si="42"/>
        <v>2.1000000000000001E-2</v>
      </c>
      <c r="AV53" s="148">
        <f t="shared" si="42"/>
        <v>2.1000000000000001E-2</v>
      </c>
      <c r="AW53" s="148">
        <f t="shared" si="42"/>
        <v>2.1000000000000001E-2</v>
      </c>
      <c r="AX53" s="148">
        <f t="shared" si="42"/>
        <v>2.1000000000000001E-2</v>
      </c>
      <c r="AY53" s="149">
        <f t="shared" si="42"/>
        <v>2.1000000000000001E-2</v>
      </c>
      <c r="AZ53" s="149">
        <f t="shared" si="42"/>
        <v>2.1000000000000001E-2</v>
      </c>
      <c r="BA53" s="149">
        <f t="shared" si="42"/>
        <v>2.1000000000000001E-2</v>
      </c>
      <c r="BB53" s="149">
        <f t="shared" si="42"/>
        <v>2.1000000000000001E-2</v>
      </c>
      <c r="BC53" s="149">
        <f t="shared" si="42"/>
        <v>2.1000000000000001E-2</v>
      </c>
      <c r="BD53" s="149">
        <f t="shared" si="42"/>
        <v>2.1000000000000001E-2</v>
      </c>
      <c r="BE53" s="149">
        <f t="shared" si="42"/>
        <v>2.1000000000000001E-2</v>
      </c>
      <c r="BF53" s="149">
        <f t="shared" si="42"/>
        <v>2.1000000000000001E-2</v>
      </c>
      <c r="BG53" s="149">
        <f t="shared" si="42"/>
        <v>2.1000000000000001E-2</v>
      </c>
      <c r="BH53" s="149">
        <f t="shared" si="42"/>
        <v>2.1000000000000001E-2</v>
      </c>
      <c r="BI53" s="149">
        <f t="shared" si="42"/>
        <v>2.1000000000000001E-2</v>
      </c>
      <c r="BJ53" s="149">
        <f t="shared" si="42"/>
        <v>2.1000000000000001E-2</v>
      </c>
      <c r="BK53" s="149">
        <f t="shared" si="42"/>
        <v>2.1000000000000001E-2</v>
      </c>
      <c r="BL53" s="149">
        <f t="shared" si="42"/>
        <v>2.1000000000000001E-2</v>
      </c>
      <c r="BM53" s="149">
        <f t="shared" si="42"/>
        <v>2.1000000000000001E-2</v>
      </c>
      <c r="BN53" s="149">
        <f t="shared" si="42"/>
        <v>2.1000000000000001E-2</v>
      </c>
      <c r="BO53" s="149">
        <f t="shared" si="42"/>
        <v>2.1000000000000001E-2</v>
      </c>
      <c r="BP53" s="149">
        <f t="shared" si="42"/>
        <v>2.1000000000000001E-2</v>
      </c>
      <c r="BQ53" s="149">
        <f t="shared" si="42"/>
        <v>2.1000000000000001E-2</v>
      </c>
      <c r="BR53" s="149">
        <f t="shared" si="42"/>
        <v>2.1000000000000001E-2</v>
      </c>
      <c r="BS53" s="149">
        <f t="shared" si="42"/>
        <v>2.1000000000000001E-2</v>
      </c>
      <c r="BT53" s="149">
        <f t="shared" si="42"/>
        <v>2.1000000000000001E-2</v>
      </c>
      <c r="BU53" s="149">
        <f t="shared" si="42"/>
        <v>2.1000000000000001E-2</v>
      </c>
      <c r="BV53" s="149">
        <f t="shared" si="42"/>
        <v>2.1000000000000001E-2</v>
      </c>
    </row>
    <row r="54" spans="1:74" ht="12.75" x14ac:dyDescent="0.2">
      <c r="A54" s="132" t="s">
        <v>91</v>
      </c>
      <c r="B54" s="117"/>
      <c r="C54" s="115">
        <f t="shared" ref="C54:AD54" si="43">IFERROR(C55/C52," ")</f>
        <v>-800</v>
      </c>
      <c r="D54" s="115">
        <f t="shared" si="43"/>
        <v>-710</v>
      </c>
      <c r="E54" s="115">
        <f t="shared" si="43"/>
        <v>-495</v>
      </c>
      <c r="F54" s="115">
        <f t="shared" si="43"/>
        <v>-400</v>
      </c>
      <c r="G54" s="115">
        <f t="shared" si="43"/>
        <v>-900</v>
      </c>
      <c r="H54" s="115">
        <f t="shared" si="43"/>
        <v>-700</v>
      </c>
      <c r="I54" s="115">
        <f t="shared" si="43"/>
        <v>-725</v>
      </c>
      <c r="J54" s="115">
        <f t="shared" si="43"/>
        <v>-790</v>
      </c>
      <c r="K54" s="115">
        <f t="shared" si="43"/>
        <v>-753.33333333333337</v>
      </c>
      <c r="L54" s="115">
        <f t="shared" si="43"/>
        <v>-760</v>
      </c>
      <c r="M54" s="115">
        <f t="shared" si="43"/>
        <v>-767</v>
      </c>
      <c r="N54" s="115">
        <f t="shared" si="43"/>
        <v>-760.8</v>
      </c>
      <c r="O54" s="115">
        <f t="shared" si="43"/>
        <v>-762.4</v>
      </c>
      <c r="P54" s="115">
        <f t="shared" si="43"/>
        <v>-763.16666666666663</v>
      </c>
      <c r="Q54" s="115">
        <f t="shared" si="43"/>
        <v>-762.16666666666663</v>
      </c>
      <c r="R54" s="115">
        <f t="shared" si="43"/>
        <v>0</v>
      </c>
      <c r="S54" s="115">
        <f t="shared" si="43"/>
        <v>-751.57142857142856</v>
      </c>
      <c r="T54" s="115">
        <f t="shared" si="43"/>
        <v>-746.71428571428567</v>
      </c>
      <c r="U54" s="115">
        <f t="shared" si="43"/>
        <v>-740.46666666666658</v>
      </c>
      <c r="V54" s="115">
        <f t="shared" si="43"/>
        <v>-746.25079365079364</v>
      </c>
      <c r="W54" s="115">
        <f t="shared" si="43"/>
        <v>-744.47724867724867</v>
      </c>
      <c r="X54" s="115">
        <f t="shared" si="43"/>
        <v>-1255.6201058201057</v>
      </c>
      <c r="Y54" s="115">
        <f t="shared" si="43"/>
        <v>-1599.9058201058142</v>
      </c>
      <c r="Z54" s="115">
        <f t="shared" si="43"/>
        <v>-1122.0340740740698</v>
      </c>
      <c r="AA54" s="115">
        <f t="shared" si="43"/>
        <v>-981.28938271604659</v>
      </c>
      <c r="AB54" s="115">
        <f t="shared" si="43"/>
        <v>-719.19651416121758</v>
      </c>
      <c r="AC54" s="115">
        <f t="shared" si="43"/>
        <v>-890.05882352941171</v>
      </c>
      <c r="AD54" s="115">
        <f t="shared" si="43"/>
        <v>-776.63157894736844</v>
      </c>
      <c r="AE54" s="115">
        <f t="shared" ref="AE54:BV54" si="44">IFERROR(SUM(AB55:AD55)/SUM(AB52:AD52),0)</f>
        <v>-794.59133473095665</v>
      </c>
      <c r="AF54" s="115">
        <f t="shared" si="44"/>
        <v>-816.83169478102718</v>
      </c>
      <c r="AG54" s="115">
        <f t="shared" ca="1" si="44"/>
        <v>-795.07857626404757</v>
      </c>
      <c r="AH54" s="115">
        <f t="shared" ca="1" si="44"/>
        <v>-801.62062945438231</v>
      </c>
      <c r="AI54" s="115">
        <f t="shared" ca="1" si="44"/>
        <v>-804.96199109684756</v>
      </c>
      <c r="AJ54" s="115">
        <f t="shared" ca="1" si="44"/>
        <v>-800.27515696254795</v>
      </c>
      <c r="AK54" s="115">
        <f t="shared" ca="1" si="44"/>
        <v>-802.29916561580046</v>
      </c>
      <c r="AL54" s="115">
        <f t="shared" ca="1" si="44"/>
        <v>-802.5323032981629</v>
      </c>
      <c r="AM54" s="115">
        <f t="shared" ca="1" si="44"/>
        <v>-801.73889054565939</v>
      </c>
      <c r="AN54" s="115">
        <f t="shared" ca="1" si="44"/>
        <v>-802.18656452738867</v>
      </c>
      <c r="AO54" s="115">
        <f t="shared" ca="1" si="44"/>
        <v>-802.15040129861745</v>
      </c>
      <c r="AP54" s="115">
        <f t="shared" ca="1" si="44"/>
        <v>-802.027858467952</v>
      </c>
      <c r="AQ54" s="115">
        <f t="shared" ca="1" si="44"/>
        <v>-802.12059564648257</v>
      </c>
      <c r="AR54" s="115">
        <f t="shared" ca="1" si="44"/>
        <v>-802.09944119338331</v>
      </c>
      <c r="AS54" s="115">
        <f t="shared" ca="1" si="44"/>
        <v>-802.08310349681767</v>
      </c>
      <c r="AT54" s="115">
        <f t="shared" ca="1" si="44"/>
        <v>-802.10079504014914</v>
      </c>
      <c r="AU54" s="115">
        <f t="shared" ca="1" si="44"/>
        <v>-802.09445777399503</v>
      </c>
      <c r="AV54" s="115">
        <f t="shared" ca="1" si="44"/>
        <v>-802.09286221558295</v>
      </c>
      <c r="AW54" s="115">
        <f t="shared" ca="1" si="44"/>
        <v>-802.0959851588409</v>
      </c>
      <c r="AX54" s="115">
        <f t="shared" ca="1" si="44"/>
        <v>-802.0944459236357</v>
      </c>
      <c r="AY54" s="116">
        <f t="shared" ca="1" si="44"/>
        <v>-802.09444213442612</v>
      </c>
      <c r="AZ54" s="116">
        <f t="shared" ca="1" si="44"/>
        <v>-802.09494715733172</v>
      </c>
      <c r="BA54" s="116">
        <f t="shared" ca="1" si="44"/>
        <v>-802.09461505648994</v>
      </c>
      <c r="BB54" s="116">
        <f t="shared" ca="1" si="44"/>
        <v>-802.09466919542967</v>
      </c>
      <c r="BC54" s="116">
        <f t="shared" ca="1" si="44"/>
        <v>-802.09474199546173</v>
      </c>
      <c r="BD54" s="116">
        <f t="shared" ca="1" si="44"/>
        <v>-802.09467621445106</v>
      </c>
      <c r="BE54" s="116">
        <f t="shared" ca="1" si="44"/>
        <v>-802.09469584622377</v>
      </c>
      <c r="BF54" s="116">
        <f t="shared" ca="1" si="44"/>
        <v>-802.0947044075582</v>
      </c>
      <c r="BG54" s="116">
        <f t="shared" ca="1" si="44"/>
        <v>-802.09469232836716</v>
      </c>
      <c r="BH54" s="116">
        <f t="shared" ca="1" si="44"/>
        <v>-802.09469750497465</v>
      </c>
      <c r="BI54" s="116">
        <f t="shared" ca="1" si="44"/>
        <v>-802.09469803805666</v>
      </c>
      <c r="BJ54" s="116">
        <f t="shared" ca="1" si="44"/>
        <v>-802.09469599096929</v>
      </c>
      <c r="BK54" s="116">
        <f t="shared" ca="1" si="44"/>
        <v>-802.09469716893966</v>
      </c>
      <c r="BL54" s="116">
        <f t="shared" ca="1" si="44"/>
        <v>-802.09469706082359</v>
      </c>
      <c r="BM54" s="116">
        <f t="shared" ca="1" si="44"/>
        <v>-802.0946967463949</v>
      </c>
      <c r="BN54" s="116">
        <f t="shared" ca="1" si="44"/>
        <v>-802.09469698962334</v>
      </c>
      <c r="BO54" s="116">
        <f t="shared" ca="1" si="44"/>
        <v>-802.09469693186725</v>
      </c>
      <c r="BP54" s="116">
        <f t="shared" ca="1" si="44"/>
        <v>-802.09469689034268</v>
      </c>
      <c r="BQ54" s="116">
        <f t="shared" ca="1" si="44"/>
        <v>-802.0946969367119</v>
      </c>
      <c r="BR54" s="116">
        <f t="shared" ca="1" si="44"/>
        <v>-802.0946969196666</v>
      </c>
      <c r="BS54" s="116">
        <f t="shared" ca="1" si="44"/>
        <v>-802.09469691573361</v>
      </c>
      <c r="BT54" s="116">
        <f t="shared" ca="1" si="44"/>
        <v>-802.09469692392156</v>
      </c>
      <c r="BU54" s="116">
        <f t="shared" ca="1" si="44"/>
        <v>-802.09469691979791</v>
      </c>
      <c r="BV54" s="116">
        <f t="shared" ca="1" si="44"/>
        <v>-802.09469691984032</v>
      </c>
    </row>
    <row r="55" spans="1:74" ht="12.75" x14ac:dyDescent="0.2">
      <c r="A55" s="137" t="s">
        <v>123</v>
      </c>
      <c r="B55" s="118"/>
      <c r="C55" s="119">
        <f t="shared" ref="C55:AD55" si="45">SUMIFS(MRR_Export_Contraction_MRR,MRR_Export_Months,"&gt;="&amp;C$1,MRR_Export_Months,"&lt;"&amp;D$1)</f>
        <v>-800</v>
      </c>
      <c r="D55" s="119">
        <f t="shared" si="45"/>
        <v>-1420</v>
      </c>
      <c r="E55" s="119">
        <f t="shared" si="45"/>
        <v>-990</v>
      </c>
      <c r="F55" s="119">
        <f t="shared" si="45"/>
        <v>-400</v>
      </c>
      <c r="G55" s="119">
        <f t="shared" si="45"/>
        <v>-1800</v>
      </c>
      <c r="H55" s="119">
        <f t="shared" si="45"/>
        <v>-700</v>
      </c>
      <c r="I55" s="119">
        <f t="shared" si="45"/>
        <v>-1450</v>
      </c>
      <c r="J55" s="119">
        <f t="shared" si="45"/>
        <v>-2370</v>
      </c>
      <c r="K55" s="119">
        <f t="shared" si="45"/>
        <v>-2260</v>
      </c>
      <c r="L55" s="119">
        <f t="shared" si="45"/>
        <v>-3040</v>
      </c>
      <c r="M55" s="119">
        <f t="shared" si="45"/>
        <v>-3068</v>
      </c>
      <c r="N55" s="119">
        <f t="shared" si="45"/>
        <v>-3804</v>
      </c>
      <c r="O55" s="119">
        <f t="shared" si="45"/>
        <v>-3812</v>
      </c>
      <c r="P55" s="119">
        <f t="shared" si="45"/>
        <v>-4579</v>
      </c>
      <c r="Q55" s="119">
        <f t="shared" si="45"/>
        <v>-4573</v>
      </c>
      <c r="R55" s="119">
        <f t="shared" si="45"/>
        <v>0</v>
      </c>
      <c r="S55" s="119">
        <f t="shared" si="45"/>
        <v>-5261</v>
      </c>
      <c r="T55" s="119">
        <f t="shared" si="45"/>
        <v>-5227</v>
      </c>
      <c r="U55" s="119">
        <f t="shared" si="45"/>
        <v>-5183.2666666666664</v>
      </c>
      <c r="V55" s="119">
        <f t="shared" si="45"/>
        <v>-5223.7555555555555</v>
      </c>
      <c r="W55" s="119">
        <f t="shared" si="45"/>
        <v>-5211.3407407407403</v>
      </c>
      <c r="X55" s="119">
        <f t="shared" si="45"/>
        <v>-8789.3407407407394</v>
      </c>
      <c r="Y55" s="119">
        <f t="shared" si="45"/>
        <v>-11199.340740740699</v>
      </c>
      <c r="Z55" s="119">
        <f t="shared" si="45"/>
        <v>-11220.340740740699</v>
      </c>
      <c r="AA55" s="119">
        <f t="shared" si="45"/>
        <v>-14719.340740740699</v>
      </c>
      <c r="AB55" s="119">
        <f t="shared" si="45"/>
        <v>-12226.340740740699</v>
      </c>
      <c r="AC55" s="119">
        <f t="shared" si="45"/>
        <v>-15131</v>
      </c>
      <c r="AD55" s="119">
        <f t="shared" si="45"/>
        <v>-14756</v>
      </c>
      <c r="AE55" s="120">
        <f t="shared" ref="AE55:BV55" si="46">AE52*AE54</f>
        <v>-17187.010570230595</v>
      </c>
      <c r="AF55" s="120">
        <f t="shared" ca="1" si="46"/>
        <v>-13556.785737288194</v>
      </c>
      <c r="AG55" s="120">
        <f t="shared" ca="1" si="46"/>
        <v>-12203.32904226342</v>
      </c>
      <c r="AH55" s="120">
        <f t="shared" ca="1" si="46"/>
        <v>-10868.472066865423</v>
      </c>
      <c r="AI55" s="120">
        <f t="shared" ca="1" si="46"/>
        <v>-10565.704219242367</v>
      </c>
      <c r="AJ55" s="120">
        <f t="shared" ca="1" si="46"/>
        <v>-10182.042016178288</v>
      </c>
      <c r="AK55" s="120">
        <f t="shared" ca="1" si="46"/>
        <v>-10920.400875424322</v>
      </c>
      <c r="AL55" s="120">
        <f t="shared" ca="1" si="46"/>
        <v>-11123.625274407726</v>
      </c>
      <c r="AM55" s="120">
        <f t="shared" ca="1" si="46"/>
        <v>-11327.119477558192</v>
      </c>
      <c r="AN55" s="120">
        <f t="shared" ca="1" si="46"/>
        <v>-11545.694770480764</v>
      </c>
      <c r="AO55" s="120">
        <f t="shared" ca="1" si="46"/>
        <v>-11771.925690964465</v>
      </c>
      <c r="AP55" s="120">
        <f t="shared" ca="1" si="46"/>
        <v>-11994.35020370108</v>
      </c>
      <c r="AQ55" s="120">
        <f t="shared" ca="1" si="46"/>
        <v>-12234.363698120977</v>
      </c>
      <c r="AR55" s="120">
        <f t="shared" ca="1" si="46"/>
        <v>-12486.880617979663</v>
      </c>
      <c r="AS55" s="120">
        <f t="shared" ca="1" si="46"/>
        <v>-12736.679526807655</v>
      </c>
      <c r="AT55" s="120">
        <f t="shared" ca="1" si="46"/>
        <v>-13001.112695333153</v>
      </c>
      <c r="AU55" s="120">
        <f t="shared" ca="1" si="46"/>
        <v>-13262.25447267056</v>
      </c>
      <c r="AV55" s="120">
        <f t="shared" ca="1" si="46"/>
        <v>-13537.442334526617</v>
      </c>
      <c r="AW55" s="120">
        <f t="shared" ca="1" si="46"/>
        <v>-13826.527004898448</v>
      </c>
      <c r="AX55" s="120">
        <f t="shared" ca="1" si="46"/>
        <v>-14112.35253385591</v>
      </c>
      <c r="AY55" s="121">
        <f t="shared" ca="1" si="46"/>
        <v>-14411.904138738288</v>
      </c>
      <c r="AZ55" s="121">
        <f t="shared" ca="1" si="46"/>
        <v>-14691.32600871467</v>
      </c>
      <c r="BA55" s="121">
        <f t="shared" ca="1" si="46"/>
        <v>-14984.503053443716</v>
      </c>
      <c r="BB55" s="121">
        <f t="shared" ca="1" si="46"/>
        <v>-15274.462197572399</v>
      </c>
      <c r="BC55" s="121">
        <f t="shared" ca="1" si="46"/>
        <v>-15561.232203207466</v>
      </c>
      <c r="BD55" s="121">
        <f t="shared" ca="1" si="46"/>
        <v>-15844.84506822364</v>
      </c>
      <c r="BE55" s="121">
        <f t="shared" ca="1" si="46"/>
        <v>-16142.18383717739</v>
      </c>
      <c r="BF55" s="121">
        <f t="shared" ca="1" si="46"/>
        <v>-16436.251671561971</v>
      </c>
      <c r="BG55" s="121">
        <f t="shared" ca="1" si="46"/>
        <v>-16743.928326002842</v>
      </c>
      <c r="BH55" s="121">
        <f t="shared" ca="1" si="46"/>
        <v>-17048.220892071629</v>
      </c>
      <c r="BI55" s="121">
        <f t="shared" ca="1" si="46"/>
        <v>-17349.166144569841</v>
      </c>
      <c r="BJ55" s="121">
        <f t="shared" ca="1" si="46"/>
        <v>-17663.644931662806</v>
      </c>
      <c r="BK55" s="121">
        <f t="shared" ca="1" si="46"/>
        <v>-17974.664522286734</v>
      </c>
      <c r="BL55" s="121">
        <f t="shared" ca="1" si="46"/>
        <v>-18282.262869293707</v>
      </c>
      <c r="BM55" s="121">
        <f t="shared" ca="1" si="46"/>
        <v>-18603.321618225396</v>
      </c>
      <c r="BN55" s="121">
        <f t="shared" ca="1" si="46"/>
        <v>-18920.848733744406</v>
      </c>
      <c r="BO55" s="121">
        <f t="shared" ca="1" si="46"/>
        <v>-19251.727032663995</v>
      </c>
      <c r="BP55" s="121">
        <f t="shared" ca="1" si="46"/>
        <v>-19578.965670629299</v>
      </c>
      <c r="BQ55" s="121">
        <f t="shared" ca="1" si="46"/>
        <v>-19902.604685713257</v>
      </c>
      <c r="BR55" s="121">
        <f t="shared" ca="1" si="46"/>
        <v>-20239.527658717445</v>
      </c>
      <c r="BS55" s="121">
        <f t="shared" ca="1" si="46"/>
        <v>-20572.744479336005</v>
      </c>
      <c r="BT55" s="121">
        <f t="shared" ca="1" si="46"/>
        <v>-20919.139903874686</v>
      </c>
      <c r="BU55" s="121">
        <f t="shared" ca="1" si="46"/>
        <v>-21261.724978426439</v>
      </c>
      <c r="BV55" s="121">
        <f t="shared" ca="1" si="46"/>
        <v>-21617.385605900938</v>
      </c>
    </row>
    <row r="56" spans="1:74" ht="12.75" hidden="1" x14ac:dyDescent="0.2">
      <c r="A56" s="137"/>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row>
    <row r="57" spans="1:74" ht="15" hidden="1" x14ac:dyDescent="0.25">
      <c r="A57" s="130" t="s">
        <v>124</v>
      </c>
      <c r="B57" s="102"/>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row>
    <row r="58" spans="1:74" ht="12.75" hidden="1" x14ac:dyDescent="0.2">
      <c r="A58" s="137" t="s">
        <v>121</v>
      </c>
      <c r="B58" s="112"/>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39">
        <v>0</v>
      </c>
      <c r="AF58" s="139">
        <v>0</v>
      </c>
      <c r="AG58" s="139">
        <v>0</v>
      </c>
      <c r="AH58" s="139">
        <v>0</v>
      </c>
      <c r="AI58" s="139">
        <v>0</v>
      </c>
      <c r="AJ58" s="139">
        <v>0</v>
      </c>
      <c r="AK58" s="139">
        <v>0</v>
      </c>
      <c r="AL58" s="139">
        <v>0</v>
      </c>
      <c r="AM58" s="139">
        <v>0</v>
      </c>
      <c r="AN58" s="139">
        <v>0</v>
      </c>
      <c r="AO58" s="139">
        <v>0</v>
      </c>
      <c r="AP58" s="139">
        <v>0</v>
      </c>
      <c r="AQ58" s="139">
        <v>0</v>
      </c>
      <c r="AR58" s="139">
        <v>0</v>
      </c>
      <c r="AS58" s="139">
        <v>0</v>
      </c>
      <c r="AT58" s="139">
        <v>0</v>
      </c>
      <c r="AU58" s="139">
        <v>0</v>
      </c>
      <c r="AV58" s="139">
        <v>0</v>
      </c>
      <c r="AW58" s="139">
        <v>0</v>
      </c>
      <c r="AX58" s="139">
        <v>0</v>
      </c>
      <c r="AY58" s="140">
        <v>0</v>
      </c>
      <c r="AZ58" s="140">
        <v>0</v>
      </c>
      <c r="BA58" s="140">
        <v>0</v>
      </c>
      <c r="BB58" s="140">
        <v>0</v>
      </c>
      <c r="BC58" s="140">
        <v>0</v>
      </c>
      <c r="BD58" s="140">
        <v>0</v>
      </c>
      <c r="BE58" s="140">
        <v>0</v>
      </c>
      <c r="BF58" s="140">
        <v>0</v>
      </c>
      <c r="BG58" s="140">
        <v>0</v>
      </c>
      <c r="BH58" s="140">
        <v>0</v>
      </c>
      <c r="BI58" s="140">
        <v>0</v>
      </c>
      <c r="BJ58" s="140">
        <v>0</v>
      </c>
      <c r="BK58" s="140">
        <v>0</v>
      </c>
      <c r="BL58" s="140">
        <v>0</v>
      </c>
      <c r="BM58" s="140">
        <v>0</v>
      </c>
      <c r="BN58" s="140">
        <v>0</v>
      </c>
      <c r="BO58" s="140">
        <v>0</v>
      </c>
      <c r="BP58" s="140">
        <v>0</v>
      </c>
      <c r="BQ58" s="140">
        <v>0</v>
      </c>
      <c r="BR58" s="140">
        <v>0</v>
      </c>
      <c r="BS58" s="140">
        <v>0</v>
      </c>
      <c r="BT58" s="140">
        <v>0</v>
      </c>
      <c r="BU58" s="140">
        <v>0</v>
      </c>
      <c r="BV58" s="140">
        <v>0</v>
      </c>
    </row>
    <row r="59" spans="1:74" ht="12.75" hidden="1" x14ac:dyDescent="0.2">
      <c r="A59" s="132" t="s">
        <v>99</v>
      </c>
      <c r="B59" s="117"/>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15"/>
      <c r="AF59" s="115"/>
      <c r="AG59" s="115"/>
      <c r="AH59" s="115"/>
      <c r="AI59" s="115"/>
      <c r="AJ59" s="115"/>
      <c r="AK59" s="115"/>
      <c r="AL59" s="115"/>
      <c r="AM59" s="115"/>
      <c r="AN59" s="115"/>
      <c r="AO59" s="115"/>
      <c r="AP59" s="115"/>
      <c r="AQ59" s="115"/>
      <c r="AR59" s="115"/>
      <c r="AS59" s="115"/>
      <c r="AT59" s="115"/>
      <c r="AU59" s="115"/>
      <c r="AV59" s="115"/>
      <c r="AW59" s="115"/>
      <c r="AX59" s="115"/>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row>
    <row r="60" spans="1:74" ht="12.75" hidden="1" x14ac:dyDescent="0.2">
      <c r="A60" s="132" t="s">
        <v>91</v>
      </c>
      <c r="B60" s="117"/>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15">
        <f t="shared" ref="AE60:BV60" si="47">IFERROR(IF(AE58&gt;0,SUM(AB61:AD61)/SUM(AB58:AD58),0),0)</f>
        <v>0</v>
      </c>
      <c r="AF60" s="115">
        <f t="shared" si="47"/>
        <v>0</v>
      </c>
      <c r="AG60" s="115">
        <f t="shared" si="47"/>
        <v>0</v>
      </c>
      <c r="AH60" s="115">
        <f t="shared" si="47"/>
        <v>0</v>
      </c>
      <c r="AI60" s="115">
        <f t="shared" si="47"/>
        <v>0</v>
      </c>
      <c r="AJ60" s="115">
        <f t="shared" si="47"/>
        <v>0</v>
      </c>
      <c r="AK60" s="115">
        <f t="shared" si="47"/>
        <v>0</v>
      </c>
      <c r="AL60" s="115">
        <f t="shared" si="47"/>
        <v>0</v>
      </c>
      <c r="AM60" s="115">
        <f t="shared" si="47"/>
        <v>0</v>
      </c>
      <c r="AN60" s="115">
        <f t="shared" si="47"/>
        <v>0</v>
      </c>
      <c r="AO60" s="115">
        <f t="shared" si="47"/>
        <v>0</v>
      </c>
      <c r="AP60" s="115">
        <f t="shared" si="47"/>
        <v>0</v>
      </c>
      <c r="AQ60" s="115">
        <f t="shared" si="47"/>
        <v>0</v>
      </c>
      <c r="AR60" s="115">
        <f t="shared" si="47"/>
        <v>0</v>
      </c>
      <c r="AS60" s="115">
        <f t="shared" si="47"/>
        <v>0</v>
      </c>
      <c r="AT60" s="115">
        <f t="shared" si="47"/>
        <v>0</v>
      </c>
      <c r="AU60" s="115">
        <f t="shared" si="47"/>
        <v>0</v>
      </c>
      <c r="AV60" s="115">
        <f t="shared" si="47"/>
        <v>0</v>
      </c>
      <c r="AW60" s="115">
        <f t="shared" si="47"/>
        <v>0</v>
      </c>
      <c r="AX60" s="115">
        <f t="shared" si="47"/>
        <v>0</v>
      </c>
      <c r="AY60" s="116">
        <f t="shared" si="47"/>
        <v>0</v>
      </c>
      <c r="AZ60" s="116">
        <f t="shared" si="47"/>
        <v>0</v>
      </c>
      <c r="BA60" s="116">
        <f t="shared" si="47"/>
        <v>0</v>
      </c>
      <c r="BB60" s="116">
        <f t="shared" si="47"/>
        <v>0</v>
      </c>
      <c r="BC60" s="116">
        <f t="shared" si="47"/>
        <v>0</v>
      </c>
      <c r="BD60" s="116">
        <f t="shared" si="47"/>
        <v>0</v>
      </c>
      <c r="BE60" s="116">
        <f t="shared" si="47"/>
        <v>0</v>
      </c>
      <c r="BF60" s="116">
        <f t="shared" si="47"/>
        <v>0</v>
      </c>
      <c r="BG60" s="116">
        <f t="shared" si="47"/>
        <v>0</v>
      </c>
      <c r="BH60" s="116">
        <f t="shared" si="47"/>
        <v>0</v>
      </c>
      <c r="BI60" s="116">
        <f t="shared" si="47"/>
        <v>0</v>
      </c>
      <c r="BJ60" s="116">
        <f t="shared" si="47"/>
        <v>0</v>
      </c>
      <c r="BK60" s="116">
        <f t="shared" si="47"/>
        <v>0</v>
      </c>
      <c r="BL60" s="116">
        <f t="shared" si="47"/>
        <v>0</v>
      </c>
      <c r="BM60" s="116">
        <f t="shared" si="47"/>
        <v>0</v>
      </c>
      <c r="BN60" s="116">
        <f t="shared" si="47"/>
        <v>0</v>
      </c>
      <c r="BO60" s="116">
        <f t="shared" si="47"/>
        <v>0</v>
      </c>
      <c r="BP60" s="116">
        <f t="shared" si="47"/>
        <v>0</v>
      </c>
      <c r="BQ60" s="116">
        <f t="shared" si="47"/>
        <v>0</v>
      </c>
      <c r="BR60" s="116">
        <f t="shared" si="47"/>
        <v>0</v>
      </c>
      <c r="BS60" s="116">
        <f t="shared" si="47"/>
        <v>0</v>
      </c>
      <c r="BT60" s="116">
        <f t="shared" si="47"/>
        <v>0</v>
      </c>
      <c r="BU60" s="116">
        <f t="shared" si="47"/>
        <v>0</v>
      </c>
      <c r="BV60" s="116">
        <f t="shared" si="47"/>
        <v>0</v>
      </c>
    </row>
    <row r="61" spans="1:74" ht="12.75" hidden="1" x14ac:dyDescent="0.2">
      <c r="A61" s="137" t="s">
        <v>123</v>
      </c>
      <c r="B61" s="118"/>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0">
        <f t="shared" ref="AE61:BV61" si="48">AE58*AE60</f>
        <v>0</v>
      </c>
      <c r="AF61" s="120">
        <f t="shared" si="48"/>
        <v>0</v>
      </c>
      <c r="AG61" s="120">
        <f t="shared" si="48"/>
        <v>0</v>
      </c>
      <c r="AH61" s="120">
        <f t="shared" si="48"/>
        <v>0</v>
      </c>
      <c r="AI61" s="120">
        <f t="shared" si="48"/>
        <v>0</v>
      </c>
      <c r="AJ61" s="120">
        <f t="shared" si="48"/>
        <v>0</v>
      </c>
      <c r="AK61" s="120">
        <f t="shared" si="48"/>
        <v>0</v>
      </c>
      <c r="AL61" s="120">
        <f t="shared" si="48"/>
        <v>0</v>
      </c>
      <c r="AM61" s="120">
        <f t="shared" si="48"/>
        <v>0</v>
      </c>
      <c r="AN61" s="120">
        <f t="shared" si="48"/>
        <v>0</v>
      </c>
      <c r="AO61" s="120">
        <f t="shared" si="48"/>
        <v>0</v>
      </c>
      <c r="AP61" s="120">
        <f t="shared" si="48"/>
        <v>0</v>
      </c>
      <c r="AQ61" s="120">
        <f t="shared" si="48"/>
        <v>0</v>
      </c>
      <c r="AR61" s="120">
        <f t="shared" si="48"/>
        <v>0</v>
      </c>
      <c r="AS61" s="120">
        <f t="shared" si="48"/>
        <v>0</v>
      </c>
      <c r="AT61" s="120">
        <f t="shared" si="48"/>
        <v>0</v>
      </c>
      <c r="AU61" s="120">
        <f t="shared" si="48"/>
        <v>0</v>
      </c>
      <c r="AV61" s="120">
        <f t="shared" si="48"/>
        <v>0</v>
      </c>
      <c r="AW61" s="120">
        <f t="shared" si="48"/>
        <v>0</v>
      </c>
      <c r="AX61" s="120">
        <f t="shared" si="48"/>
        <v>0</v>
      </c>
      <c r="AY61" s="121">
        <f t="shared" si="48"/>
        <v>0</v>
      </c>
      <c r="AZ61" s="121">
        <f t="shared" si="48"/>
        <v>0</v>
      </c>
      <c r="BA61" s="121">
        <f t="shared" si="48"/>
        <v>0</v>
      </c>
      <c r="BB61" s="121">
        <f t="shared" si="48"/>
        <v>0</v>
      </c>
      <c r="BC61" s="121">
        <f t="shared" si="48"/>
        <v>0</v>
      </c>
      <c r="BD61" s="121">
        <f t="shared" si="48"/>
        <v>0</v>
      </c>
      <c r="BE61" s="121">
        <f t="shared" si="48"/>
        <v>0</v>
      </c>
      <c r="BF61" s="121">
        <f t="shared" si="48"/>
        <v>0</v>
      </c>
      <c r="BG61" s="121">
        <f t="shared" si="48"/>
        <v>0</v>
      </c>
      <c r="BH61" s="121">
        <f t="shared" si="48"/>
        <v>0</v>
      </c>
      <c r="BI61" s="121">
        <f t="shared" si="48"/>
        <v>0</v>
      </c>
      <c r="BJ61" s="121">
        <f t="shared" si="48"/>
        <v>0</v>
      </c>
      <c r="BK61" s="121">
        <f t="shared" si="48"/>
        <v>0</v>
      </c>
      <c r="BL61" s="121">
        <f t="shared" si="48"/>
        <v>0</v>
      </c>
      <c r="BM61" s="121">
        <f t="shared" si="48"/>
        <v>0</v>
      </c>
      <c r="BN61" s="121">
        <f t="shared" si="48"/>
        <v>0</v>
      </c>
      <c r="BO61" s="121">
        <f t="shared" si="48"/>
        <v>0</v>
      </c>
      <c r="BP61" s="121">
        <f t="shared" si="48"/>
        <v>0</v>
      </c>
      <c r="BQ61" s="121">
        <f t="shared" si="48"/>
        <v>0</v>
      </c>
      <c r="BR61" s="121">
        <f t="shared" si="48"/>
        <v>0</v>
      </c>
      <c r="BS61" s="121">
        <f t="shared" si="48"/>
        <v>0</v>
      </c>
      <c r="BT61" s="121">
        <f t="shared" si="48"/>
        <v>0</v>
      </c>
      <c r="BU61" s="121">
        <f t="shared" si="48"/>
        <v>0</v>
      </c>
      <c r="BV61" s="121">
        <f t="shared" si="48"/>
        <v>0</v>
      </c>
    </row>
    <row r="62" spans="1:74" ht="15" hidden="1" x14ac:dyDescent="0.25">
      <c r="A62" s="130"/>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102"/>
      <c r="AT62" s="102"/>
      <c r="AU62" s="102"/>
      <c r="AV62" s="102"/>
      <c r="AW62" s="102"/>
      <c r="AX62" s="102"/>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row>
    <row r="63" spans="1:74" ht="12.75" x14ac:dyDescent="0.2">
      <c r="A63" s="137"/>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102"/>
      <c r="AT63" s="102"/>
      <c r="AU63" s="102"/>
      <c r="AV63" s="102"/>
      <c r="AW63" s="102"/>
      <c r="AX63" s="102"/>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row>
    <row r="64" spans="1:74" ht="12.75" x14ac:dyDescent="0.2">
      <c r="A64" s="132" t="s">
        <v>125</v>
      </c>
      <c r="B64" s="163"/>
      <c r="C64" s="164">
        <f t="shared" ref="C64:BV64" si="49">C7+C12+C31-C37-C45</f>
        <v>9</v>
      </c>
      <c r="D64" s="164">
        <f t="shared" si="49"/>
        <v>9</v>
      </c>
      <c r="E64" s="164">
        <f t="shared" si="49"/>
        <v>10</v>
      </c>
      <c r="F64" s="164">
        <f t="shared" si="49"/>
        <v>10</v>
      </c>
      <c r="G64" s="164">
        <f t="shared" si="49"/>
        <v>13</v>
      </c>
      <c r="H64" s="164">
        <f t="shared" si="49"/>
        <v>8</v>
      </c>
      <c r="I64" s="164">
        <f t="shared" si="49"/>
        <v>17</v>
      </c>
      <c r="J64" s="164">
        <f t="shared" si="49"/>
        <v>9</v>
      </c>
      <c r="K64" s="164">
        <f t="shared" si="49"/>
        <v>9</v>
      </c>
      <c r="L64" s="164">
        <f t="shared" si="49"/>
        <v>9</v>
      </c>
      <c r="M64" s="164">
        <f t="shared" si="49"/>
        <v>9</v>
      </c>
      <c r="N64" s="164">
        <f t="shared" si="49"/>
        <v>11</v>
      </c>
      <c r="O64" s="164">
        <f t="shared" si="49"/>
        <v>10</v>
      </c>
      <c r="P64" s="164">
        <f t="shared" si="49"/>
        <v>20</v>
      </c>
      <c r="Q64" s="164">
        <f t="shared" si="49"/>
        <v>11</v>
      </c>
      <c r="R64" s="164">
        <f t="shared" si="49"/>
        <v>34</v>
      </c>
      <c r="S64" s="164">
        <f t="shared" si="49"/>
        <v>14</v>
      </c>
      <c r="T64" s="164">
        <f t="shared" si="49"/>
        <v>22</v>
      </c>
      <c r="U64" s="164">
        <f t="shared" si="49"/>
        <v>23</v>
      </c>
      <c r="V64" s="164">
        <f t="shared" si="49"/>
        <v>24</v>
      </c>
      <c r="W64" s="164">
        <f t="shared" si="49"/>
        <v>17</v>
      </c>
      <c r="X64" s="164">
        <f t="shared" si="49"/>
        <v>12</v>
      </c>
      <c r="Y64" s="164">
        <f t="shared" si="49"/>
        <v>16</v>
      </c>
      <c r="Z64" s="164">
        <f t="shared" si="49"/>
        <v>21</v>
      </c>
      <c r="AA64" s="164">
        <f t="shared" si="49"/>
        <v>24</v>
      </c>
      <c r="AB64" s="164">
        <f t="shared" si="49"/>
        <v>22</v>
      </c>
      <c r="AC64" s="164">
        <f t="shared" si="49"/>
        <v>11</v>
      </c>
      <c r="AD64" s="164">
        <f t="shared" si="49"/>
        <v>2</v>
      </c>
      <c r="AE64" s="165">
        <f t="shared" ca="1" si="49"/>
        <v>-3.304000000000002</v>
      </c>
      <c r="AF64" s="165">
        <f t="shared" ca="1" si="49"/>
        <v>-0.75270400000000137</v>
      </c>
      <c r="AG64" s="165">
        <f t="shared" ca="1" si="49"/>
        <v>2.3350773759999992</v>
      </c>
      <c r="AH64" s="165">
        <f t="shared" ca="1" si="49"/>
        <v>8.7558243993599998</v>
      </c>
      <c r="AI64" s="165">
        <f t="shared" ca="1" si="49"/>
        <v>11.12462382447104</v>
      </c>
      <c r="AJ64" s="165">
        <f t="shared" ca="1" si="49"/>
        <v>12.002252962401858</v>
      </c>
      <c r="AK64" s="165">
        <f t="shared" ca="1" si="49"/>
        <v>11.870228179815438</v>
      </c>
      <c r="AL64" s="165">
        <f t="shared" ca="1" si="49"/>
        <v>12.739655669837468</v>
      </c>
      <c r="AM64" s="165">
        <f t="shared" ca="1" si="49"/>
        <v>12.599519457469256</v>
      </c>
      <c r="AN64" s="165">
        <f t="shared" ca="1" si="49"/>
        <v>13.460924743437095</v>
      </c>
      <c r="AO64" s="165">
        <f t="shared" ca="1" si="49"/>
        <v>13.312854571259287</v>
      </c>
      <c r="AP64" s="165">
        <f t="shared" ca="1" si="49"/>
        <v>14.166413170975435</v>
      </c>
      <c r="AQ64" s="165">
        <f t="shared" ca="1" si="49"/>
        <v>15.010582626094704</v>
      </c>
      <c r="AR64" s="165">
        <f t="shared" ca="1" si="49"/>
        <v>14.845466217207663</v>
      </c>
      <c r="AS64" s="165">
        <f t="shared" ca="1" si="49"/>
        <v>15.682166088818379</v>
      </c>
      <c r="AT64" s="165">
        <f t="shared" ca="1" si="49"/>
        <v>15.509662261841378</v>
      </c>
      <c r="AU64" s="165">
        <f t="shared" ca="1" si="49"/>
        <v>16.33905597696112</v>
      </c>
      <c r="AV64" s="165">
        <f t="shared" ca="1" si="49"/>
        <v>17.159326361214546</v>
      </c>
      <c r="AW64" s="165">
        <f t="shared" ca="1" si="49"/>
        <v>16.970573771241188</v>
      </c>
      <c r="AX64" s="165">
        <f t="shared" ca="1" si="49"/>
        <v>17.783897459757533</v>
      </c>
      <c r="AY64" s="166">
        <f t="shared" ca="1" si="49"/>
        <v>16.588274587700202</v>
      </c>
      <c r="AZ64" s="166">
        <f t="shared" ca="1" si="49"/>
        <v>17.405803567235502</v>
      </c>
      <c r="BA64" s="166">
        <f t="shared" ca="1" si="49"/>
        <v>17.21433972799591</v>
      </c>
      <c r="BB64" s="166">
        <f t="shared" ca="1" si="49"/>
        <v>17.024981990987953</v>
      </c>
      <c r="BC64" s="166">
        <f t="shared" ca="1" si="49"/>
        <v>16.837707189087087</v>
      </c>
      <c r="BD64" s="166">
        <f t="shared" ca="1" si="49"/>
        <v>17.652492410007127</v>
      </c>
      <c r="BE64" s="166">
        <f t="shared" ca="1" si="49"/>
        <v>17.458314993497051</v>
      </c>
      <c r="BF64" s="166">
        <f t="shared" ca="1" si="49"/>
        <v>18.266273528568583</v>
      </c>
      <c r="BG64" s="166">
        <f t="shared" ca="1" si="49"/>
        <v>18.06534451975433</v>
      </c>
      <c r="BH64" s="166">
        <f t="shared" ca="1" si="49"/>
        <v>17.866625730037029</v>
      </c>
      <c r="BI64" s="166">
        <f t="shared" ca="1" si="49"/>
        <v>18.670092847006625</v>
      </c>
      <c r="BJ64" s="166">
        <f t="shared" ca="1" si="49"/>
        <v>18.464721825689551</v>
      </c>
      <c r="BK64" s="166">
        <f t="shared" ca="1" si="49"/>
        <v>18.261609885606966</v>
      </c>
      <c r="BL64" s="166">
        <f t="shared" ca="1" si="49"/>
        <v>19.06073217686529</v>
      </c>
      <c r="BM64" s="166">
        <f t="shared" ca="1" si="49"/>
        <v>18.851064122919773</v>
      </c>
      <c r="BN64" s="166">
        <f t="shared" ca="1" si="49"/>
        <v>19.643702417567653</v>
      </c>
      <c r="BO64" s="166">
        <f t="shared" ca="1" si="49"/>
        <v>19.427621690974412</v>
      </c>
      <c r="BP64" s="166">
        <f t="shared" ca="1" si="49"/>
        <v>19.21391785237369</v>
      </c>
      <c r="BQ64" s="166">
        <f t="shared" ca="1" si="49"/>
        <v>20.002564755997582</v>
      </c>
      <c r="BR64" s="166">
        <f t="shared" ca="1" si="49"/>
        <v>19.782536543681609</v>
      </c>
      <c r="BS64" s="166">
        <f t="shared" ca="1" si="49"/>
        <v>20.564928641701112</v>
      </c>
      <c r="BT64" s="166">
        <f t="shared" ca="1" si="49"/>
        <v>20.338714426642401</v>
      </c>
      <c r="BU64" s="166">
        <f t="shared" ca="1" si="49"/>
        <v>21.114988567949332</v>
      </c>
      <c r="BV64" s="166">
        <f t="shared" ca="1" si="49"/>
        <v>20.882723693701891</v>
      </c>
    </row>
    <row r="65" spans="1:74" ht="12.75" x14ac:dyDescent="0.2">
      <c r="A65" s="167" t="s">
        <v>126</v>
      </c>
      <c r="B65" s="168"/>
      <c r="C65" s="119">
        <f t="shared" ref="C65:AD65" si="50">SUMIFS(MRR_Export_Total_Customer_Count,MRR_Export_Months,"&gt;="&amp;C$1,MRR_Export_Months,"&lt;"&amp;D$1)</f>
        <v>237</v>
      </c>
      <c r="D65" s="119">
        <f t="shared" si="50"/>
        <v>218</v>
      </c>
      <c r="E65" s="119">
        <f t="shared" si="50"/>
        <v>228</v>
      </c>
      <c r="F65" s="119">
        <f t="shared" si="50"/>
        <v>238</v>
      </c>
      <c r="G65" s="119">
        <f t="shared" si="50"/>
        <v>251</v>
      </c>
      <c r="H65" s="119">
        <f t="shared" si="50"/>
        <v>259</v>
      </c>
      <c r="I65" s="119">
        <f t="shared" si="50"/>
        <v>276</v>
      </c>
      <c r="J65" s="119">
        <f t="shared" si="50"/>
        <v>285</v>
      </c>
      <c r="K65" s="119">
        <f t="shared" si="50"/>
        <v>294</v>
      </c>
      <c r="L65" s="119">
        <f t="shared" si="50"/>
        <v>303</v>
      </c>
      <c r="M65" s="119">
        <f t="shared" si="50"/>
        <v>312</v>
      </c>
      <c r="N65" s="119">
        <f t="shared" si="50"/>
        <v>323</v>
      </c>
      <c r="O65" s="119">
        <f t="shared" si="50"/>
        <v>333</v>
      </c>
      <c r="P65" s="119">
        <f t="shared" si="50"/>
        <v>353</v>
      </c>
      <c r="Q65" s="119">
        <f t="shared" si="50"/>
        <v>364</v>
      </c>
      <c r="R65" s="119">
        <f t="shared" si="50"/>
        <v>398</v>
      </c>
      <c r="S65" s="119">
        <f t="shared" si="50"/>
        <v>412</v>
      </c>
      <c r="T65" s="119">
        <f t="shared" si="50"/>
        <v>434</v>
      </c>
      <c r="U65" s="119">
        <f t="shared" si="50"/>
        <v>457</v>
      </c>
      <c r="V65" s="119">
        <f t="shared" si="50"/>
        <v>479</v>
      </c>
      <c r="W65" s="119">
        <f t="shared" si="50"/>
        <v>496</v>
      </c>
      <c r="X65" s="119">
        <f t="shared" si="50"/>
        <v>508</v>
      </c>
      <c r="Y65" s="119">
        <f t="shared" si="50"/>
        <v>524</v>
      </c>
      <c r="Z65" s="119">
        <f t="shared" si="50"/>
        <v>545</v>
      </c>
      <c r="AA65" s="119">
        <f t="shared" si="50"/>
        <v>571</v>
      </c>
      <c r="AB65" s="119">
        <f t="shared" si="50"/>
        <v>605</v>
      </c>
      <c r="AC65" s="119">
        <f t="shared" si="50"/>
        <v>616</v>
      </c>
      <c r="AD65" s="119">
        <f t="shared" si="50"/>
        <v>618</v>
      </c>
      <c r="AE65" s="165">
        <f t="shared" ref="AE65:BV65" ca="1" si="51">AD65+AE64</f>
        <v>614.69600000000003</v>
      </c>
      <c r="AF65" s="165">
        <f t="shared" ca="1" si="51"/>
        <v>613.94329600000003</v>
      </c>
      <c r="AG65" s="165">
        <f t="shared" ca="1" si="51"/>
        <v>616.27837337599999</v>
      </c>
      <c r="AH65" s="165">
        <f t="shared" ca="1" si="51"/>
        <v>625.03419777535998</v>
      </c>
      <c r="AI65" s="165">
        <f t="shared" ca="1" si="51"/>
        <v>636.15882159983107</v>
      </c>
      <c r="AJ65" s="165">
        <f t="shared" ca="1" si="51"/>
        <v>648.1610745622329</v>
      </c>
      <c r="AK65" s="165">
        <f t="shared" ca="1" si="51"/>
        <v>660.0313027420483</v>
      </c>
      <c r="AL65" s="165">
        <f t="shared" ca="1" si="51"/>
        <v>672.77095841188577</v>
      </c>
      <c r="AM65" s="165">
        <f t="shared" ca="1" si="51"/>
        <v>685.370477869355</v>
      </c>
      <c r="AN65" s="165">
        <f t="shared" ca="1" si="51"/>
        <v>698.83140261279209</v>
      </c>
      <c r="AO65" s="165">
        <f t="shared" ca="1" si="51"/>
        <v>712.14425718405141</v>
      </c>
      <c r="AP65" s="165">
        <f t="shared" ca="1" si="51"/>
        <v>726.3106703550269</v>
      </c>
      <c r="AQ65" s="165">
        <f t="shared" ca="1" si="51"/>
        <v>741.32125298112157</v>
      </c>
      <c r="AR65" s="165">
        <f t="shared" ca="1" si="51"/>
        <v>756.16671919832925</v>
      </c>
      <c r="AS65" s="165">
        <f t="shared" ca="1" si="51"/>
        <v>771.8488852871476</v>
      </c>
      <c r="AT65" s="165">
        <f t="shared" ca="1" si="51"/>
        <v>787.35854754898901</v>
      </c>
      <c r="AU65" s="165">
        <f t="shared" ca="1" si="51"/>
        <v>803.69760352595017</v>
      </c>
      <c r="AV65" s="165">
        <f t="shared" ca="1" si="51"/>
        <v>820.85692988716471</v>
      </c>
      <c r="AW65" s="165">
        <f t="shared" ca="1" si="51"/>
        <v>837.82750365840593</v>
      </c>
      <c r="AX65" s="165">
        <f t="shared" ca="1" si="51"/>
        <v>855.61140111816349</v>
      </c>
      <c r="AY65" s="166">
        <f t="shared" ca="1" si="51"/>
        <v>872.19967570586368</v>
      </c>
      <c r="AZ65" s="166">
        <f t="shared" ca="1" si="51"/>
        <v>889.60547927309915</v>
      </c>
      <c r="BA65" s="166">
        <f t="shared" ca="1" si="51"/>
        <v>906.81981900109508</v>
      </c>
      <c r="BB65" s="166">
        <f t="shared" ca="1" si="51"/>
        <v>923.84480099208304</v>
      </c>
      <c r="BC65" s="166">
        <f t="shared" ca="1" si="51"/>
        <v>940.68250818117008</v>
      </c>
      <c r="BD65" s="166">
        <f t="shared" ca="1" si="51"/>
        <v>958.33500059117716</v>
      </c>
      <c r="BE65" s="166">
        <f t="shared" ca="1" si="51"/>
        <v>975.79331558467425</v>
      </c>
      <c r="BF65" s="166">
        <f t="shared" ca="1" si="51"/>
        <v>994.05958911324285</v>
      </c>
      <c r="BG65" s="166">
        <f t="shared" ca="1" si="51"/>
        <v>1012.1249336329972</v>
      </c>
      <c r="BH65" s="166">
        <f t="shared" ca="1" si="51"/>
        <v>1029.9915593630342</v>
      </c>
      <c r="BI65" s="166">
        <f t="shared" ca="1" si="51"/>
        <v>1048.6616522100408</v>
      </c>
      <c r="BJ65" s="166">
        <f t="shared" ca="1" si="51"/>
        <v>1067.1263740357304</v>
      </c>
      <c r="BK65" s="166">
        <f t="shared" ca="1" si="51"/>
        <v>1085.3879839213373</v>
      </c>
      <c r="BL65" s="166">
        <f t="shared" ca="1" si="51"/>
        <v>1104.4487160982026</v>
      </c>
      <c r="BM65" s="166">
        <f t="shared" ca="1" si="51"/>
        <v>1123.2997802211223</v>
      </c>
      <c r="BN65" s="166">
        <f t="shared" ca="1" si="51"/>
        <v>1142.9434826386901</v>
      </c>
      <c r="BO65" s="166">
        <f t="shared" ca="1" si="51"/>
        <v>1162.3711043296644</v>
      </c>
      <c r="BP65" s="166">
        <f t="shared" ca="1" si="51"/>
        <v>1181.5850221820381</v>
      </c>
      <c r="BQ65" s="166">
        <f t="shared" ca="1" si="51"/>
        <v>1201.5875869380357</v>
      </c>
      <c r="BR65" s="166">
        <f t="shared" ca="1" si="51"/>
        <v>1221.3701234817172</v>
      </c>
      <c r="BS65" s="166">
        <f t="shared" ca="1" si="51"/>
        <v>1241.9350521234182</v>
      </c>
      <c r="BT65" s="166">
        <f t="shared" ca="1" si="51"/>
        <v>1262.2737665500606</v>
      </c>
      <c r="BU65" s="166">
        <f t="shared" ca="1" si="51"/>
        <v>1283.3887551180098</v>
      </c>
      <c r="BV65" s="166">
        <f t="shared" ca="1" si="51"/>
        <v>1304.2714788117116</v>
      </c>
    </row>
    <row r="66" spans="1:74" x14ac:dyDescent="0.25">
      <c r="A66" s="171"/>
      <c r="B66" s="172"/>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3"/>
      <c r="AF66" s="173"/>
      <c r="AG66" s="173"/>
      <c r="AH66" s="173"/>
      <c r="AI66" s="173"/>
      <c r="AJ66" s="173"/>
      <c r="AK66" s="173"/>
      <c r="AL66" s="173"/>
      <c r="AM66" s="173"/>
      <c r="AN66" s="173"/>
      <c r="AO66" s="173"/>
      <c r="AP66" s="173"/>
      <c r="AQ66" s="173"/>
      <c r="AR66" s="173"/>
      <c r="AS66" s="173"/>
      <c r="AT66" s="173"/>
      <c r="AU66" s="173"/>
      <c r="AV66" s="173"/>
      <c r="AW66" s="173"/>
      <c r="AX66" s="174" t="s">
        <v>127</v>
      </c>
      <c r="AY66" s="175">
        <v>0.03</v>
      </c>
      <c r="AZ66" s="175">
        <v>0.03</v>
      </c>
      <c r="BA66" s="175">
        <v>0.03</v>
      </c>
      <c r="BB66" s="175">
        <v>0.03</v>
      </c>
      <c r="BC66" s="175">
        <v>0.03</v>
      </c>
      <c r="BD66" s="175">
        <v>0.03</v>
      </c>
      <c r="BE66" s="175">
        <v>0.03</v>
      </c>
      <c r="BF66" s="175">
        <v>0.03</v>
      </c>
      <c r="BG66" s="175">
        <v>0.03</v>
      </c>
      <c r="BH66" s="175">
        <v>0.03</v>
      </c>
      <c r="BI66" s="175">
        <v>0.03</v>
      </c>
      <c r="BJ66" s="175">
        <v>0.03</v>
      </c>
      <c r="BK66" s="175">
        <v>0.03</v>
      </c>
      <c r="BL66" s="175">
        <v>0.03</v>
      </c>
      <c r="BM66" s="175">
        <v>0.03</v>
      </c>
      <c r="BN66" s="175">
        <v>0.03</v>
      </c>
      <c r="BO66" s="175">
        <v>0.03</v>
      </c>
      <c r="BP66" s="175">
        <v>0.03</v>
      </c>
      <c r="BQ66" s="175">
        <v>0.03</v>
      </c>
      <c r="BR66" s="175">
        <v>0.03</v>
      </c>
      <c r="BS66" s="175">
        <v>0.03</v>
      </c>
      <c r="BT66" s="175">
        <v>0.03</v>
      </c>
      <c r="BU66" s="175">
        <v>0.03</v>
      </c>
      <c r="BV66" s="175">
        <v>0.03</v>
      </c>
    </row>
    <row r="67" spans="1:74" ht="12.75" x14ac:dyDescent="0.2">
      <c r="A67" s="176" t="s">
        <v>128</v>
      </c>
      <c r="B67" s="172"/>
      <c r="C67" s="177">
        <f t="shared" ref="C67:AX67" si="52">C9+C14+C21+C27+C33+C40+C48+C55+C61</f>
        <v>15234</v>
      </c>
      <c r="D67" s="177">
        <f t="shared" si="52"/>
        <v>17687</v>
      </c>
      <c r="E67" s="177">
        <f t="shared" si="52"/>
        <v>19464</v>
      </c>
      <c r="F67" s="177">
        <f t="shared" si="52"/>
        <v>20249</v>
      </c>
      <c r="G67" s="177">
        <f t="shared" si="52"/>
        <v>25254</v>
      </c>
      <c r="H67" s="177">
        <f t="shared" si="52"/>
        <v>15441</v>
      </c>
      <c r="I67" s="177">
        <f t="shared" si="52"/>
        <v>24628</v>
      </c>
      <c r="J67" s="177">
        <f t="shared" si="52"/>
        <v>13979</v>
      </c>
      <c r="K67" s="177">
        <f t="shared" si="52"/>
        <v>13845</v>
      </c>
      <c r="L67" s="177">
        <f t="shared" si="52"/>
        <v>13187</v>
      </c>
      <c r="M67" s="177">
        <f t="shared" si="52"/>
        <v>13090</v>
      </c>
      <c r="N67" s="177">
        <f t="shared" si="52"/>
        <v>12451</v>
      </c>
      <c r="O67" s="177">
        <f t="shared" si="52"/>
        <v>13555</v>
      </c>
      <c r="P67" s="177">
        <f t="shared" si="52"/>
        <v>23041</v>
      </c>
      <c r="Q67" s="177">
        <f t="shared" si="52"/>
        <v>12294</v>
      </c>
      <c r="R67" s="177">
        <f t="shared" si="52"/>
        <v>57351</v>
      </c>
      <c r="S67" s="177">
        <f t="shared" si="52"/>
        <v>15166</v>
      </c>
      <c r="T67" s="177">
        <f t="shared" si="52"/>
        <v>23434</v>
      </c>
      <c r="U67" s="177">
        <f t="shared" si="52"/>
        <v>20030.301425770307</v>
      </c>
      <c r="V67" s="177">
        <f t="shared" si="52"/>
        <v>26493.358662008162</v>
      </c>
      <c r="W67" s="177">
        <f t="shared" si="52"/>
        <v>26054.850185606159</v>
      </c>
      <c r="X67" s="177">
        <f t="shared" si="52"/>
        <v>23495.850185606203</v>
      </c>
      <c r="Y67" s="177">
        <f t="shared" si="52"/>
        <v>21763.850185606243</v>
      </c>
      <c r="Z67" s="177">
        <f t="shared" si="52"/>
        <v>20960.850185606243</v>
      </c>
      <c r="AA67" s="177">
        <f t="shared" si="52"/>
        <v>22458.850185606236</v>
      </c>
      <c r="AB67" s="177">
        <f t="shared" si="52"/>
        <v>25563.850185606236</v>
      </c>
      <c r="AC67" s="177">
        <f t="shared" si="52"/>
        <v>-4145</v>
      </c>
      <c r="AD67" s="177">
        <f t="shared" si="52"/>
        <v>-25456</v>
      </c>
      <c r="AE67" s="172">
        <f t="shared" ca="1" si="52"/>
        <v>-43355.592342814896</v>
      </c>
      <c r="AF67" s="172">
        <f t="shared" ca="1" si="52"/>
        <v>-32085.778230489719</v>
      </c>
      <c r="AG67" s="172">
        <f t="shared" ca="1" si="52"/>
        <v>-20289.476619585574</v>
      </c>
      <c r="AH67" s="172">
        <f t="shared" ca="1" si="52"/>
        <v>-3066.6094449061711</v>
      </c>
      <c r="AI67" s="172">
        <f t="shared" ca="1" si="52"/>
        <v>5364.5856372258877</v>
      </c>
      <c r="AJ67" s="172">
        <f t="shared" ca="1" si="52"/>
        <v>6855.6696506401222</v>
      </c>
      <c r="AK67" s="172">
        <f t="shared" ca="1" si="52"/>
        <v>6134.2406850503103</v>
      </c>
      <c r="AL67" s="172">
        <f t="shared" ca="1" si="52"/>
        <v>6969.3450753385641</v>
      </c>
      <c r="AM67" s="172">
        <f t="shared" ca="1" si="52"/>
        <v>6643.8777704739678</v>
      </c>
      <c r="AN67" s="172">
        <f t="shared" ca="1" si="52"/>
        <v>7565.0772971191582</v>
      </c>
      <c r="AO67" s="172">
        <f t="shared" ca="1" si="52"/>
        <v>7180.6014648174241</v>
      </c>
      <c r="AP67" s="172">
        <f t="shared" ca="1" si="52"/>
        <v>8072.9218346040325</v>
      </c>
      <c r="AQ67" s="172">
        <f t="shared" ca="1" si="52"/>
        <v>8936.9641207494369</v>
      </c>
      <c r="AR67" s="172">
        <f t="shared" ca="1" si="52"/>
        <v>8525.0323766725705</v>
      </c>
      <c r="AS67" s="172">
        <f t="shared" ca="1" si="52"/>
        <v>9370.6646765199457</v>
      </c>
      <c r="AT67" s="172">
        <f t="shared" ca="1" si="52"/>
        <v>8943.8298799528293</v>
      </c>
      <c r="AU67" s="172">
        <f t="shared" ca="1" si="52"/>
        <v>9769.0882681746698</v>
      </c>
      <c r="AV67" s="172">
        <f t="shared" ca="1" si="52"/>
        <v>10572.743991317826</v>
      </c>
      <c r="AW67" s="172">
        <f t="shared" ca="1" si="52"/>
        <v>10105.643671961587</v>
      </c>
      <c r="AX67" s="172">
        <f t="shared" ca="1" si="52"/>
        <v>10891.63089318785</v>
      </c>
      <c r="AY67" s="178">
        <f t="shared" ref="AY67:BV67" ca="1" si="53">AX68*AY66</f>
        <v>24834.336655722771</v>
      </c>
      <c r="AZ67" s="178">
        <f t="shared" ca="1" si="53"/>
        <v>25579.366755394458</v>
      </c>
      <c r="BA67" s="178">
        <f t="shared" ca="1" si="53"/>
        <v>26346.747758056292</v>
      </c>
      <c r="BB67" s="178">
        <f t="shared" ca="1" si="53"/>
        <v>27137.15019079798</v>
      </c>
      <c r="BC67" s="178">
        <f t="shared" ca="1" si="53"/>
        <v>27951.264696521917</v>
      </c>
      <c r="BD67" s="178">
        <f t="shared" ca="1" si="53"/>
        <v>28789.802637417575</v>
      </c>
      <c r="BE67" s="178">
        <f t="shared" ca="1" si="53"/>
        <v>29653.496716540103</v>
      </c>
      <c r="BF67" s="178">
        <f t="shared" ca="1" si="53"/>
        <v>30543.101618036304</v>
      </c>
      <c r="BG67" s="178">
        <f t="shared" ca="1" si="53"/>
        <v>31459.394666577398</v>
      </c>
      <c r="BH67" s="178">
        <f t="shared" ca="1" si="53"/>
        <v>32403.17650657472</v>
      </c>
      <c r="BI67" s="178">
        <f t="shared" ca="1" si="53"/>
        <v>33375.27180177196</v>
      </c>
      <c r="BJ67" s="178">
        <f t="shared" ca="1" si="53"/>
        <v>34376.529955825128</v>
      </c>
      <c r="BK67" s="178">
        <f t="shared" ca="1" si="53"/>
        <v>35407.825854499875</v>
      </c>
      <c r="BL67" s="178">
        <f t="shared" ca="1" si="53"/>
        <v>36470.060630134874</v>
      </c>
      <c r="BM67" s="178">
        <f t="shared" ca="1" si="53"/>
        <v>37564.162449038915</v>
      </c>
      <c r="BN67" s="178">
        <f t="shared" ca="1" si="53"/>
        <v>38691.08732251008</v>
      </c>
      <c r="BO67" s="178">
        <f t="shared" ca="1" si="53"/>
        <v>39851.819942185379</v>
      </c>
      <c r="BP67" s="178">
        <f t="shared" ca="1" si="53"/>
        <v>41047.374540450946</v>
      </c>
      <c r="BQ67" s="178">
        <f t="shared" ca="1" si="53"/>
        <v>42278.795776664476</v>
      </c>
      <c r="BR67" s="178">
        <f t="shared" ca="1" si="53"/>
        <v>43547.159649964407</v>
      </c>
      <c r="BS67" s="178">
        <f t="shared" ca="1" si="53"/>
        <v>44853.574439463344</v>
      </c>
      <c r="BT67" s="178">
        <f t="shared" ca="1" si="53"/>
        <v>46199.181672647246</v>
      </c>
      <c r="BU67" s="178">
        <f t="shared" ca="1" si="53"/>
        <v>47585.157122826655</v>
      </c>
      <c r="BV67" s="178">
        <f t="shared" ca="1" si="53"/>
        <v>49012.711836511458</v>
      </c>
    </row>
    <row r="68" spans="1:74" ht="15" x14ac:dyDescent="0.25">
      <c r="A68" s="179" t="s">
        <v>129</v>
      </c>
      <c r="B68" s="180"/>
      <c r="C68" s="181">
        <f t="shared" ref="C68:AD68" si="54">SUMIFS(MRR_Export_MRR,MRR_Export_Months,"&gt;="&amp;C$1,MRR_Export_Months,"&lt;"&amp;D$1)</f>
        <v>303370</v>
      </c>
      <c r="D68" s="181">
        <f t="shared" si="54"/>
        <v>321057</v>
      </c>
      <c r="E68" s="181">
        <f t="shared" si="54"/>
        <v>340521</v>
      </c>
      <c r="F68" s="181">
        <f t="shared" si="54"/>
        <v>360770</v>
      </c>
      <c r="G68" s="181">
        <f t="shared" si="54"/>
        <v>386024</v>
      </c>
      <c r="H68" s="181">
        <f t="shared" si="54"/>
        <v>401465</v>
      </c>
      <c r="I68" s="181">
        <f t="shared" si="54"/>
        <v>426093</v>
      </c>
      <c r="J68" s="181">
        <f t="shared" si="54"/>
        <v>440072</v>
      </c>
      <c r="K68" s="181">
        <f t="shared" si="54"/>
        <v>453917</v>
      </c>
      <c r="L68" s="181">
        <f t="shared" si="54"/>
        <v>467104</v>
      </c>
      <c r="M68" s="181">
        <f t="shared" si="54"/>
        <v>480194</v>
      </c>
      <c r="N68" s="181">
        <f t="shared" si="54"/>
        <v>492645</v>
      </c>
      <c r="O68" s="181">
        <f t="shared" si="54"/>
        <v>506200</v>
      </c>
      <c r="P68" s="181">
        <f t="shared" si="54"/>
        <v>529241</v>
      </c>
      <c r="Q68" s="181">
        <f t="shared" si="54"/>
        <v>541535</v>
      </c>
      <c r="R68" s="181">
        <f t="shared" si="54"/>
        <v>598886</v>
      </c>
      <c r="S68" s="181">
        <f t="shared" si="54"/>
        <v>614052</v>
      </c>
      <c r="T68" s="181">
        <f t="shared" si="54"/>
        <v>637486</v>
      </c>
      <c r="U68" s="181">
        <f t="shared" si="54"/>
        <v>657516.30142577027</v>
      </c>
      <c r="V68" s="181">
        <f t="shared" si="54"/>
        <v>684009.66008777847</v>
      </c>
      <c r="W68" s="181">
        <f t="shared" si="54"/>
        <v>710064.51027338463</v>
      </c>
      <c r="X68" s="181">
        <f t="shared" si="54"/>
        <v>733560.36045899079</v>
      </c>
      <c r="Y68" s="181">
        <f t="shared" si="54"/>
        <v>755324.21064459707</v>
      </c>
      <c r="Z68" s="181">
        <f t="shared" si="54"/>
        <v>776285.06083020335</v>
      </c>
      <c r="AA68" s="181">
        <f t="shared" si="54"/>
        <v>798743.91101580963</v>
      </c>
      <c r="AB68" s="181">
        <f t="shared" si="54"/>
        <v>824307.76120141591</v>
      </c>
      <c r="AC68" s="181">
        <f t="shared" si="54"/>
        <v>820162.76120141591</v>
      </c>
      <c r="AD68" s="181">
        <f t="shared" si="54"/>
        <v>794706.76120141591</v>
      </c>
      <c r="AE68" s="182">
        <f t="shared" ref="AE68:BV68" ca="1" si="55">AD68+AE67</f>
        <v>751351.16885860101</v>
      </c>
      <c r="AF68" s="182">
        <f t="shared" ca="1" si="55"/>
        <v>719265.39062811132</v>
      </c>
      <c r="AG68" s="182">
        <f t="shared" ca="1" si="55"/>
        <v>698975.91400852578</v>
      </c>
      <c r="AH68" s="182">
        <f t="shared" ca="1" si="55"/>
        <v>695909.30456361966</v>
      </c>
      <c r="AI68" s="182">
        <f t="shared" ca="1" si="55"/>
        <v>701273.89020084555</v>
      </c>
      <c r="AJ68" s="182">
        <f t="shared" ca="1" si="55"/>
        <v>708129.55985148565</v>
      </c>
      <c r="AK68" s="182">
        <f t="shared" ca="1" si="55"/>
        <v>714263.80053653591</v>
      </c>
      <c r="AL68" s="182">
        <f t="shared" ca="1" si="55"/>
        <v>721233.14561187453</v>
      </c>
      <c r="AM68" s="182">
        <f t="shared" ca="1" si="55"/>
        <v>727877.02338234847</v>
      </c>
      <c r="AN68" s="182">
        <f t="shared" ca="1" si="55"/>
        <v>735442.10067946767</v>
      </c>
      <c r="AO68" s="182">
        <f t="shared" ca="1" si="55"/>
        <v>742622.70214428508</v>
      </c>
      <c r="AP68" s="182">
        <f t="shared" ca="1" si="55"/>
        <v>750695.62397888908</v>
      </c>
      <c r="AQ68" s="182">
        <f t="shared" ca="1" si="55"/>
        <v>759632.58809963847</v>
      </c>
      <c r="AR68" s="182">
        <f t="shared" ca="1" si="55"/>
        <v>768157.62047631107</v>
      </c>
      <c r="AS68" s="182">
        <f t="shared" ca="1" si="55"/>
        <v>777528.285152831</v>
      </c>
      <c r="AT68" s="182">
        <f t="shared" ca="1" si="55"/>
        <v>786472.11503278383</v>
      </c>
      <c r="AU68" s="182">
        <f t="shared" ca="1" si="55"/>
        <v>796241.2033009585</v>
      </c>
      <c r="AV68" s="182">
        <f t="shared" ca="1" si="55"/>
        <v>806813.94729227631</v>
      </c>
      <c r="AW68" s="182">
        <f t="shared" ca="1" si="55"/>
        <v>816919.59096423793</v>
      </c>
      <c r="AX68" s="182">
        <f t="shared" ca="1" si="55"/>
        <v>827811.22185742576</v>
      </c>
      <c r="AY68" s="182">
        <f t="shared" ca="1" si="55"/>
        <v>852645.55851314857</v>
      </c>
      <c r="AZ68" s="182">
        <f t="shared" ca="1" si="55"/>
        <v>878224.92526854307</v>
      </c>
      <c r="BA68" s="182">
        <f t="shared" ca="1" si="55"/>
        <v>904571.67302659934</v>
      </c>
      <c r="BB68" s="182">
        <f t="shared" ca="1" si="55"/>
        <v>931708.82321739732</v>
      </c>
      <c r="BC68" s="182">
        <f t="shared" ca="1" si="55"/>
        <v>959660.08791391924</v>
      </c>
      <c r="BD68" s="182">
        <f t="shared" ca="1" si="55"/>
        <v>988449.89055133681</v>
      </c>
      <c r="BE68" s="182">
        <f t="shared" ca="1" si="55"/>
        <v>1018103.3872678769</v>
      </c>
      <c r="BF68" s="182">
        <f t="shared" ca="1" si="55"/>
        <v>1048646.4888859133</v>
      </c>
      <c r="BG68" s="182">
        <f t="shared" ca="1" si="55"/>
        <v>1080105.8835524907</v>
      </c>
      <c r="BH68" s="182">
        <f t="shared" ca="1" si="55"/>
        <v>1112509.0600590655</v>
      </c>
      <c r="BI68" s="182">
        <f t="shared" ca="1" si="55"/>
        <v>1145884.3318608375</v>
      </c>
      <c r="BJ68" s="182">
        <f t="shared" ca="1" si="55"/>
        <v>1180260.8618166626</v>
      </c>
      <c r="BK68" s="182">
        <f t="shared" ca="1" si="55"/>
        <v>1215668.6876711624</v>
      </c>
      <c r="BL68" s="182">
        <f t="shared" ca="1" si="55"/>
        <v>1252138.7483012972</v>
      </c>
      <c r="BM68" s="182">
        <f t="shared" ca="1" si="55"/>
        <v>1289702.910750336</v>
      </c>
      <c r="BN68" s="182">
        <f t="shared" ca="1" si="55"/>
        <v>1328393.9980728461</v>
      </c>
      <c r="BO68" s="182">
        <f t="shared" ca="1" si="55"/>
        <v>1368245.8180150315</v>
      </c>
      <c r="BP68" s="182">
        <f t="shared" ca="1" si="55"/>
        <v>1409293.1925554825</v>
      </c>
      <c r="BQ68" s="182">
        <f t="shared" ca="1" si="55"/>
        <v>1451571.988332147</v>
      </c>
      <c r="BR68" s="182">
        <f t="shared" ca="1" si="55"/>
        <v>1495119.1479821114</v>
      </c>
      <c r="BS68" s="182">
        <f t="shared" ca="1" si="55"/>
        <v>1539972.7224215749</v>
      </c>
      <c r="BT68" s="182">
        <f t="shared" ca="1" si="55"/>
        <v>1586171.904094222</v>
      </c>
      <c r="BU68" s="182">
        <f t="shared" ca="1" si="55"/>
        <v>1633757.0612170487</v>
      </c>
      <c r="BV68" s="182">
        <f t="shared" ca="1" si="55"/>
        <v>1682769.7730535602</v>
      </c>
    </row>
    <row r="69" spans="1:74" ht="12.75" x14ac:dyDescent="0.2">
      <c r="U69" s="183"/>
      <c r="V69" s="183"/>
      <c r="W69" s="183"/>
      <c r="BJ69" s="88"/>
    </row>
    <row r="71" spans="1:74" ht="12.75" x14ac:dyDescent="0.2">
      <c r="AH71" s="88"/>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CG1020"/>
  <sheetViews>
    <sheetView showGridLines="0" workbookViewId="0">
      <pane ySplit="1" topLeftCell="A2" activePane="bottomLeft" state="frozen"/>
      <selection pane="bottomLeft" activeCell="C13" sqref="C13"/>
    </sheetView>
  </sheetViews>
  <sheetFormatPr defaultColWidth="14.42578125" defaultRowHeight="15.75" customHeight="1" x14ac:dyDescent="0.2"/>
  <cols>
    <col min="1" max="1" width="39.85546875" customWidth="1"/>
  </cols>
  <sheetData>
    <row r="1" spans="1:85" x14ac:dyDescent="0.25">
      <c r="A1" s="151" t="str">
        <f ca="1">IFERROR(__xludf.DUMMYFUNCTION("IMPORTRANGE($A$42,""Marketing Funnel - Summary!""&amp;$A$45)"),"Marketing Funnel, Summary")</f>
        <v>Marketing Funnel, Summary</v>
      </c>
      <c r="B1" s="153" t="str">
        <f ca="1">IFERROR(__xludf.DUMMYFUNCTION("""COMPUTED_VALUE"""),"")</f>
        <v/>
      </c>
      <c r="C1" s="153" t="str">
        <f ca="1">IFERROR(__xludf.DUMMYFUNCTION("""COMPUTED_VALUE"""),"")</f>
        <v/>
      </c>
      <c r="D1" s="154">
        <f ca="1">IFERROR(__xludf.DUMMYFUNCTION("""COMPUTED_VALUE"""),43101)</f>
        <v>43101</v>
      </c>
      <c r="E1" s="154">
        <f ca="1">IFERROR(__xludf.DUMMYFUNCTION("""COMPUTED_VALUE"""),43132)</f>
        <v>43132</v>
      </c>
      <c r="F1" s="154">
        <f ca="1">IFERROR(__xludf.DUMMYFUNCTION("""COMPUTED_VALUE"""),43160)</f>
        <v>43160</v>
      </c>
      <c r="G1" s="154">
        <f ca="1">IFERROR(__xludf.DUMMYFUNCTION("""COMPUTED_VALUE"""),43191)</f>
        <v>43191</v>
      </c>
      <c r="H1" s="154">
        <f ca="1">IFERROR(__xludf.DUMMYFUNCTION("""COMPUTED_VALUE"""),43221)</f>
        <v>43221</v>
      </c>
      <c r="I1" s="154">
        <f ca="1">IFERROR(__xludf.DUMMYFUNCTION("""COMPUTED_VALUE"""),43252)</f>
        <v>43252</v>
      </c>
      <c r="J1" s="154">
        <f ca="1">IFERROR(__xludf.DUMMYFUNCTION("""COMPUTED_VALUE"""),43282)</f>
        <v>43282</v>
      </c>
      <c r="K1" s="154">
        <f ca="1">IFERROR(__xludf.DUMMYFUNCTION("""COMPUTED_VALUE"""),43313)</f>
        <v>43313</v>
      </c>
      <c r="L1" s="154">
        <f ca="1">IFERROR(__xludf.DUMMYFUNCTION("""COMPUTED_VALUE"""),43344)</f>
        <v>43344</v>
      </c>
      <c r="M1" s="154">
        <f ca="1">IFERROR(__xludf.DUMMYFUNCTION("""COMPUTED_VALUE"""),43374)</f>
        <v>43374</v>
      </c>
      <c r="N1" s="154">
        <f ca="1">IFERROR(__xludf.DUMMYFUNCTION("""COMPUTED_VALUE"""),43405)</f>
        <v>43405</v>
      </c>
      <c r="O1" s="154">
        <f ca="1">IFERROR(__xludf.DUMMYFUNCTION("""COMPUTED_VALUE"""),43435)</f>
        <v>43435</v>
      </c>
      <c r="P1" s="154">
        <f ca="1">IFERROR(__xludf.DUMMYFUNCTION("""COMPUTED_VALUE"""),43466)</f>
        <v>43466</v>
      </c>
      <c r="Q1" s="154">
        <f ca="1">IFERROR(__xludf.DUMMYFUNCTION("""COMPUTED_VALUE"""),43497)</f>
        <v>43497</v>
      </c>
      <c r="R1" s="154">
        <f ca="1">IFERROR(__xludf.DUMMYFUNCTION("""COMPUTED_VALUE"""),43525)</f>
        <v>43525</v>
      </c>
      <c r="S1" s="154">
        <f ca="1">IFERROR(__xludf.DUMMYFUNCTION("""COMPUTED_VALUE"""),43556)</f>
        <v>43556</v>
      </c>
      <c r="T1" s="154">
        <f ca="1">IFERROR(__xludf.DUMMYFUNCTION("""COMPUTED_VALUE"""),43586)</f>
        <v>43586</v>
      </c>
      <c r="U1" s="154">
        <f ca="1">IFERROR(__xludf.DUMMYFUNCTION("""COMPUTED_VALUE"""),43617)</f>
        <v>43617</v>
      </c>
      <c r="V1" s="154">
        <f ca="1">IFERROR(__xludf.DUMMYFUNCTION("""COMPUTED_VALUE"""),43647)</f>
        <v>43647</v>
      </c>
      <c r="W1" s="154">
        <f ca="1">IFERROR(__xludf.DUMMYFUNCTION("""COMPUTED_VALUE"""),43678)</f>
        <v>43678</v>
      </c>
      <c r="X1" s="154">
        <f ca="1">IFERROR(__xludf.DUMMYFUNCTION("""COMPUTED_VALUE"""),43709)</f>
        <v>43709</v>
      </c>
      <c r="Y1" s="154">
        <f ca="1">IFERROR(__xludf.DUMMYFUNCTION("""COMPUTED_VALUE"""),43739)</f>
        <v>43739</v>
      </c>
      <c r="Z1" s="154">
        <f ca="1">IFERROR(__xludf.DUMMYFUNCTION("""COMPUTED_VALUE"""),43770)</f>
        <v>43770</v>
      </c>
      <c r="AA1" s="154">
        <f ca="1">IFERROR(__xludf.DUMMYFUNCTION("""COMPUTED_VALUE"""),43800)</f>
        <v>43800</v>
      </c>
      <c r="AB1" s="154">
        <f ca="1">IFERROR(__xludf.DUMMYFUNCTION("""COMPUTED_VALUE"""),43831)</f>
        <v>43831</v>
      </c>
      <c r="AC1" s="154">
        <f ca="1">IFERROR(__xludf.DUMMYFUNCTION("""COMPUTED_VALUE"""),43862)</f>
        <v>43862</v>
      </c>
      <c r="AD1" s="154">
        <f ca="1">IFERROR(__xludf.DUMMYFUNCTION("""COMPUTED_VALUE"""),43891)</f>
        <v>43891</v>
      </c>
      <c r="AE1" s="154">
        <f ca="1">IFERROR(__xludf.DUMMYFUNCTION("""COMPUTED_VALUE"""),43922)</f>
        <v>43922</v>
      </c>
      <c r="AF1" s="154">
        <f ca="1">IFERROR(__xludf.DUMMYFUNCTION("""COMPUTED_VALUE"""),43952)</f>
        <v>43952</v>
      </c>
      <c r="AG1" s="154">
        <f ca="1">IFERROR(__xludf.DUMMYFUNCTION("""COMPUTED_VALUE"""),43983)</f>
        <v>43983</v>
      </c>
      <c r="AH1" s="154">
        <f ca="1">IFERROR(__xludf.DUMMYFUNCTION("""COMPUTED_VALUE"""),44013)</f>
        <v>44013</v>
      </c>
      <c r="AI1" s="154">
        <f ca="1">IFERROR(__xludf.DUMMYFUNCTION("""COMPUTED_VALUE"""),44044)</f>
        <v>44044</v>
      </c>
      <c r="AJ1" s="154">
        <f ca="1">IFERROR(__xludf.DUMMYFUNCTION("""COMPUTED_VALUE"""),44075)</f>
        <v>44075</v>
      </c>
      <c r="AK1" s="154">
        <f ca="1">IFERROR(__xludf.DUMMYFUNCTION("""COMPUTED_VALUE"""),44105)</f>
        <v>44105</v>
      </c>
      <c r="AL1" s="154">
        <f ca="1">IFERROR(__xludf.DUMMYFUNCTION("""COMPUTED_VALUE"""),44136)</f>
        <v>44136</v>
      </c>
      <c r="AM1" s="154">
        <f ca="1">IFERROR(__xludf.DUMMYFUNCTION("""COMPUTED_VALUE"""),44166)</f>
        <v>44166</v>
      </c>
      <c r="AN1" s="154">
        <f ca="1">IFERROR(__xludf.DUMMYFUNCTION("""COMPUTED_VALUE"""),44197)</f>
        <v>44197</v>
      </c>
      <c r="AO1" s="154">
        <f ca="1">IFERROR(__xludf.DUMMYFUNCTION("""COMPUTED_VALUE"""),44228)</f>
        <v>44228</v>
      </c>
      <c r="AP1" s="154">
        <f ca="1">IFERROR(__xludf.DUMMYFUNCTION("""COMPUTED_VALUE"""),44256)</f>
        <v>44256</v>
      </c>
      <c r="AQ1" s="154">
        <f ca="1">IFERROR(__xludf.DUMMYFUNCTION("""COMPUTED_VALUE"""),44287)</f>
        <v>44287</v>
      </c>
      <c r="AR1" s="154">
        <f ca="1">IFERROR(__xludf.DUMMYFUNCTION("""COMPUTED_VALUE"""),44317)</f>
        <v>44317</v>
      </c>
      <c r="AS1" s="154">
        <f ca="1">IFERROR(__xludf.DUMMYFUNCTION("""COMPUTED_VALUE"""),44348)</f>
        <v>44348</v>
      </c>
      <c r="AT1" s="154">
        <f ca="1">IFERROR(__xludf.DUMMYFUNCTION("""COMPUTED_VALUE"""),44378)</f>
        <v>44378</v>
      </c>
      <c r="AU1" s="154">
        <f ca="1">IFERROR(__xludf.DUMMYFUNCTION("""COMPUTED_VALUE"""),44409)</f>
        <v>44409</v>
      </c>
      <c r="AV1" s="154">
        <f ca="1">IFERROR(__xludf.DUMMYFUNCTION("""COMPUTED_VALUE"""),44440)</f>
        <v>44440</v>
      </c>
      <c r="AW1" s="154">
        <f ca="1">IFERROR(__xludf.DUMMYFUNCTION("""COMPUTED_VALUE"""),44470)</f>
        <v>44470</v>
      </c>
      <c r="AX1" s="154">
        <f ca="1">IFERROR(__xludf.DUMMYFUNCTION("""COMPUTED_VALUE"""),44501)</f>
        <v>44501</v>
      </c>
      <c r="AY1" s="154">
        <f ca="1">IFERROR(__xludf.DUMMYFUNCTION("""COMPUTED_VALUE"""),44531)</f>
        <v>44531</v>
      </c>
      <c r="AZ1" s="154">
        <f ca="1">IFERROR(__xludf.DUMMYFUNCTION("""COMPUTED_VALUE"""),44562)</f>
        <v>44562</v>
      </c>
      <c r="BA1" s="154">
        <f ca="1">IFERROR(__xludf.DUMMYFUNCTION("""COMPUTED_VALUE"""),44593)</f>
        <v>44593</v>
      </c>
      <c r="BB1" s="154">
        <f ca="1">IFERROR(__xludf.DUMMYFUNCTION("""COMPUTED_VALUE"""),44621)</f>
        <v>44621</v>
      </c>
      <c r="BC1" s="154">
        <f ca="1">IFERROR(__xludf.DUMMYFUNCTION("""COMPUTED_VALUE"""),44652)</f>
        <v>44652</v>
      </c>
      <c r="BD1" s="154">
        <f ca="1">IFERROR(__xludf.DUMMYFUNCTION("""COMPUTED_VALUE"""),44682)</f>
        <v>44682</v>
      </c>
      <c r="BE1" s="154">
        <f ca="1">IFERROR(__xludf.DUMMYFUNCTION("""COMPUTED_VALUE"""),44713)</f>
        <v>44713</v>
      </c>
      <c r="BF1" s="154">
        <f ca="1">IFERROR(__xludf.DUMMYFUNCTION("""COMPUTED_VALUE"""),44743)</f>
        <v>44743</v>
      </c>
      <c r="BG1" s="154">
        <f ca="1">IFERROR(__xludf.DUMMYFUNCTION("""COMPUTED_VALUE"""),44774)</f>
        <v>44774</v>
      </c>
      <c r="BH1" s="154">
        <f ca="1">IFERROR(__xludf.DUMMYFUNCTION("""COMPUTED_VALUE"""),44805)</f>
        <v>44805</v>
      </c>
      <c r="BI1" s="154">
        <f ca="1">IFERROR(__xludf.DUMMYFUNCTION("""COMPUTED_VALUE"""),44835)</f>
        <v>44835</v>
      </c>
      <c r="BJ1" s="154">
        <f ca="1">IFERROR(__xludf.DUMMYFUNCTION("""COMPUTED_VALUE"""),44866)</f>
        <v>44866</v>
      </c>
      <c r="BK1" s="154">
        <f ca="1">IFERROR(__xludf.DUMMYFUNCTION("""COMPUTED_VALUE"""),44896)</f>
        <v>44896</v>
      </c>
      <c r="BL1" s="154">
        <f ca="1">IFERROR(__xludf.DUMMYFUNCTION("""COMPUTED_VALUE"""),44927)</f>
        <v>44927</v>
      </c>
      <c r="BM1" s="154">
        <f ca="1">IFERROR(__xludf.DUMMYFUNCTION("""COMPUTED_VALUE"""),44958)</f>
        <v>44958</v>
      </c>
      <c r="BN1" s="154">
        <f ca="1">IFERROR(__xludf.DUMMYFUNCTION("""COMPUTED_VALUE"""),44986)</f>
        <v>44986</v>
      </c>
      <c r="BO1" s="154">
        <f ca="1">IFERROR(__xludf.DUMMYFUNCTION("""COMPUTED_VALUE"""),45017)</f>
        <v>45017</v>
      </c>
      <c r="BP1" s="154">
        <f ca="1">IFERROR(__xludf.DUMMYFUNCTION("""COMPUTED_VALUE"""),45047)</f>
        <v>45047</v>
      </c>
      <c r="BQ1" s="154">
        <f ca="1">IFERROR(__xludf.DUMMYFUNCTION("""COMPUTED_VALUE"""),45078)</f>
        <v>45078</v>
      </c>
      <c r="BR1" s="154">
        <f ca="1">IFERROR(__xludf.DUMMYFUNCTION("""COMPUTED_VALUE"""),45108)</f>
        <v>45108</v>
      </c>
      <c r="BS1" s="154">
        <f ca="1">IFERROR(__xludf.DUMMYFUNCTION("""COMPUTED_VALUE"""),45139)</f>
        <v>45139</v>
      </c>
      <c r="BT1" s="154">
        <f ca="1">IFERROR(__xludf.DUMMYFUNCTION("""COMPUTED_VALUE"""),45170)</f>
        <v>45170</v>
      </c>
      <c r="BU1" s="154">
        <f ca="1">IFERROR(__xludf.DUMMYFUNCTION("""COMPUTED_VALUE"""),45200)</f>
        <v>45200</v>
      </c>
      <c r="BV1" s="154">
        <f ca="1">IFERROR(__xludf.DUMMYFUNCTION("""COMPUTED_VALUE"""),45231)</f>
        <v>45231</v>
      </c>
      <c r="BW1" s="154">
        <f ca="1">IFERROR(__xludf.DUMMYFUNCTION("""COMPUTED_VALUE"""),45261)</f>
        <v>45261</v>
      </c>
      <c r="BX1" s="154"/>
      <c r="BY1" s="154"/>
      <c r="BZ1" s="154"/>
      <c r="CA1" s="154"/>
      <c r="CB1" s="154"/>
      <c r="CC1" s="154"/>
      <c r="CD1" s="154"/>
      <c r="CE1" s="154"/>
      <c r="CF1" s="154"/>
      <c r="CG1" s="154"/>
    </row>
    <row r="2" spans="1:85" ht="15.75" customHeight="1" x14ac:dyDescent="0.2">
      <c r="A2" s="155" t="str">
        <f ca="1">IFERROR(__xludf.DUMMYFUNCTION("""COMPUTED_VALUE"""),"")</f>
        <v/>
      </c>
      <c r="B2" s="155" t="str">
        <f ca="1">IFERROR(__xludf.DUMMYFUNCTION("""COMPUTED_VALUE"""),"")</f>
        <v/>
      </c>
      <c r="C2" s="155" t="str">
        <f ca="1">IFERROR(__xludf.DUMMYFUNCTION("""COMPUTED_VALUE"""),"")</f>
        <v/>
      </c>
      <c r="D2" s="156" t="str">
        <f ca="1">IFERROR(__xludf.DUMMYFUNCTION("""COMPUTED_VALUE"""),"")</f>
        <v/>
      </c>
      <c r="E2" s="156" t="str">
        <f ca="1">IFERROR(__xludf.DUMMYFUNCTION("""COMPUTED_VALUE"""),"")</f>
        <v/>
      </c>
      <c r="F2" s="156" t="str">
        <f ca="1">IFERROR(__xludf.DUMMYFUNCTION("""COMPUTED_VALUE"""),"")</f>
        <v/>
      </c>
      <c r="G2" s="156" t="str">
        <f ca="1">IFERROR(__xludf.DUMMYFUNCTION("""COMPUTED_VALUE"""),"")</f>
        <v/>
      </c>
      <c r="H2" s="156" t="str">
        <f ca="1">IFERROR(__xludf.DUMMYFUNCTION("""COMPUTED_VALUE"""),"")</f>
        <v/>
      </c>
      <c r="I2" s="156" t="str">
        <f ca="1">IFERROR(__xludf.DUMMYFUNCTION("""COMPUTED_VALUE"""),"")</f>
        <v/>
      </c>
      <c r="J2" s="156" t="str">
        <f ca="1">IFERROR(__xludf.DUMMYFUNCTION("""COMPUTED_VALUE"""),"")</f>
        <v/>
      </c>
      <c r="K2" s="156" t="str">
        <f ca="1">IFERROR(__xludf.DUMMYFUNCTION("""COMPUTED_VALUE"""),"")</f>
        <v/>
      </c>
      <c r="L2" s="156" t="str">
        <f ca="1">IFERROR(__xludf.DUMMYFUNCTION("""COMPUTED_VALUE"""),"")</f>
        <v/>
      </c>
      <c r="M2" s="156" t="str">
        <f ca="1">IFERROR(__xludf.DUMMYFUNCTION("""COMPUTED_VALUE"""),"")</f>
        <v/>
      </c>
      <c r="N2" s="156" t="str">
        <f ca="1">IFERROR(__xludf.DUMMYFUNCTION("""COMPUTED_VALUE"""),"")</f>
        <v/>
      </c>
      <c r="O2" s="156" t="str">
        <f ca="1">IFERROR(__xludf.DUMMYFUNCTION("""COMPUTED_VALUE"""),"")</f>
        <v/>
      </c>
      <c r="P2" s="156" t="str">
        <f ca="1">IFERROR(__xludf.DUMMYFUNCTION("""COMPUTED_VALUE"""),"")</f>
        <v/>
      </c>
      <c r="Q2" s="156" t="str">
        <f ca="1">IFERROR(__xludf.DUMMYFUNCTION("""COMPUTED_VALUE"""),"")</f>
        <v/>
      </c>
      <c r="R2" s="156" t="str">
        <f ca="1">IFERROR(__xludf.DUMMYFUNCTION("""COMPUTED_VALUE"""),"")</f>
        <v/>
      </c>
      <c r="S2" s="156" t="str">
        <f ca="1">IFERROR(__xludf.DUMMYFUNCTION("""COMPUTED_VALUE"""),"")</f>
        <v/>
      </c>
      <c r="T2" s="156" t="str">
        <f ca="1">IFERROR(__xludf.DUMMYFUNCTION("""COMPUTED_VALUE"""),"")</f>
        <v/>
      </c>
      <c r="U2" s="156" t="str">
        <f ca="1">IFERROR(__xludf.DUMMYFUNCTION("""COMPUTED_VALUE"""),"")</f>
        <v/>
      </c>
      <c r="V2" s="156" t="str">
        <f ca="1">IFERROR(__xludf.DUMMYFUNCTION("""COMPUTED_VALUE"""),"")</f>
        <v/>
      </c>
      <c r="W2" s="156" t="str">
        <f ca="1">IFERROR(__xludf.DUMMYFUNCTION("""COMPUTED_VALUE"""),"")</f>
        <v/>
      </c>
      <c r="X2" s="156" t="str">
        <f ca="1">IFERROR(__xludf.DUMMYFUNCTION("""COMPUTED_VALUE"""),"")</f>
        <v/>
      </c>
      <c r="Y2" s="156" t="str">
        <f ca="1">IFERROR(__xludf.DUMMYFUNCTION("""COMPUTED_VALUE"""),"")</f>
        <v/>
      </c>
      <c r="Z2" s="156" t="str">
        <f ca="1">IFERROR(__xludf.DUMMYFUNCTION("""COMPUTED_VALUE"""),"")</f>
        <v/>
      </c>
      <c r="AA2" s="156" t="str">
        <f ca="1">IFERROR(__xludf.DUMMYFUNCTION("""COMPUTED_VALUE"""),"")</f>
        <v/>
      </c>
      <c r="AB2" s="156" t="str">
        <f ca="1">IFERROR(__xludf.DUMMYFUNCTION("""COMPUTED_VALUE"""),"")</f>
        <v/>
      </c>
      <c r="AC2" s="156" t="str">
        <f ca="1">IFERROR(__xludf.DUMMYFUNCTION("""COMPUTED_VALUE"""),"")</f>
        <v/>
      </c>
      <c r="AD2" s="156" t="str">
        <f ca="1">IFERROR(__xludf.DUMMYFUNCTION("""COMPUTED_VALUE"""),"")</f>
        <v/>
      </c>
      <c r="AE2" s="156" t="str">
        <f ca="1">IFERROR(__xludf.DUMMYFUNCTION("""COMPUTED_VALUE"""),"")</f>
        <v/>
      </c>
      <c r="AF2" s="156" t="str">
        <f ca="1">IFERROR(__xludf.DUMMYFUNCTION("""COMPUTED_VALUE"""),"")</f>
        <v/>
      </c>
      <c r="AG2" s="156" t="str">
        <f ca="1">IFERROR(__xludf.DUMMYFUNCTION("""COMPUTED_VALUE"""),"")</f>
        <v/>
      </c>
      <c r="AH2" s="156" t="str">
        <f ca="1">IFERROR(__xludf.DUMMYFUNCTION("""COMPUTED_VALUE"""),"")</f>
        <v/>
      </c>
      <c r="AI2" s="156" t="str">
        <f ca="1">IFERROR(__xludf.DUMMYFUNCTION("""COMPUTED_VALUE"""),"")</f>
        <v/>
      </c>
      <c r="AJ2" s="156" t="str">
        <f ca="1">IFERROR(__xludf.DUMMYFUNCTION("""COMPUTED_VALUE"""),"")</f>
        <v/>
      </c>
      <c r="AK2" s="156" t="str">
        <f ca="1">IFERROR(__xludf.DUMMYFUNCTION("""COMPUTED_VALUE"""),"")</f>
        <v/>
      </c>
      <c r="AL2" s="156" t="str">
        <f ca="1">IFERROR(__xludf.DUMMYFUNCTION("""COMPUTED_VALUE"""),"")</f>
        <v/>
      </c>
      <c r="AM2" s="156" t="str">
        <f ca="1">IFERROR(__xludf.DUMMYFUNCTION("""COMPUTED_VALUE"""),"")</f>
        <v/>
      </c>
      <c r="AN2" s="156" t="str">
        <f ca="1">IFERROR(__xludf.DUMMYFUNCTION("""COMPUTED_VALUE"""),"")</f>
        <v/>
      </c>
      <c r="AO2" s="156" t="str">
        <f ca="1">IFERROR(__xludf.DUMMYFUNCTION("""COMPUTED_VALUE"""),"")</f>
        <v/>
      </c>
      <c r="AP2" s="156" t="str">
        <f ca="1">IFERROR(__xludf.DUMMYFUNCTION("""COMPUTED_VALUE"""),"")</f>
        <v/>
      </c>
      <c r="AQ2" s="156" t="str">
        <f ca="1">IFERROR(__xludf.DUMMYFUNCTION("""COMPUTED_VALUE"""),"")</f>
        <v/>
      </c>
      <c r="AR2" s="156" t="str">
        <f ca="1">IFERROR(__xludf.DUMMYFUNCTION("""COMPUTED_VALUE"""),"")</f>
        <v/>
      </c>
      <c r="AS2" s="156" t="str">
        <f ca="1">IFERROR(__xludf.DUMMYFUNCTION("""COMPUTED_VALUE"""),"")</f>
        <v/>
      </c>
      <c r="AT2" s="156" t="str">
        <f ca="1">IFERROR(__xludf.DUMMYFUNCTION("""COMPUTED_VALUE"""),"")</f>
        <v/>
      </c>
      <c r="AU2" s="156" t="str">
        <f ca="1">IFERROR(__xludf.DUMMYFUNCTION("""COMPUTED_VALUE"""),"")</f>
        <v/>
      </c>
      <c r="AV2" s="156" t="str">
        <f ca="1">IFERROR(__xludf.DUMMYFUNCTION("""COMPUTED_VALUE"""),"")</f>
        <v/>
      </c>
      <c r="AW2" s="156" t="str">
        <f ca="1">IFERROR(__xludf.DUMMYFUNCTION("""COMPUTED_VALUE"""),"")</f>
        <v/>
      </c>
      <c r="AX2" s="156" t="str">
        <f ca="1">IFERROR(__xludf.DUMMYFUNCTION("""COMPUTED_VALUE"""),"")</f>
        <v/>
      </c>
      <c r="AY2" s="156" t="str">
        <f ca="1">IFERROR(__xludf.DUMMYFUNCTION("""COMPUTED_VALUE"""),"")</f>
        <v/>
      </c>
      <c r="AZ2" s="156" t="str">
        <f ca="1">IFERROR(__xludf.DUMMYFUNCTION("""COMPUTED_VALUE"""),"")</f>
        <v/>
      </c>
      <c r="BA2" s="156" t="str">
        <f ca="1">IFERROR(__xludf.DUMMYFUNCTION("""COMPUTED_VALUE"""),"")</f>
        <v/>
      </c>
      <c r="BB2" s="156" t="str">
        <f ca="1">IFERROR(__xludf.DUMMYFUNCTION("""COMPUTED_VALUE"""),"")</f>
        <v/>
      </c>
      <c r="BC2" s="156" t="str">
        <f ca="1">IFERROR(__xludf.DUMMYFUNCTION("""COMPUTED_VALUE"""),"")</f>
        <v/>
      </c>
      <c r="BD2" s="156" t="str">
        <f ca="1">IFERROR(__xludf.DUMMYFUNCTION("""COMPUTED_VALUE"""),"")</f>
        <v/>
      </c>
      <c r="BE2" s="156" t="str">
        <f ca="1">IFERROR(__xludf.DUMMYFUNCTION("""COMPUTED_VALUE"""),"")</f>
        <v/>
      </c>
      <c r="BF2" s="156" t="str">
        <f ca="1">IFERROR(__xludf.DUMMYFUNCTION("""COMPUTED_VALUE"""),"")</f>
        <v/>
      </c>
      <c r="BG2" s="156" t="str">
        <f ca="1">IFERROR(__xludf.DUMMYFUNCTION("""COMPUTED_VALUE"""),"")</f>
        <v/>
      </c>
      <c r="BH2" s="156" t="str">
        <f ca="1">IFERROR(__xludf.DUMMYFUNCTION("""COMPUTED_VALUE"""),"")</f>
        <v/>
      </c>
      <c r="BI2" s="156" t="str">
        <f ca="1">IFERROR(__xludf.DUMMYFUNCTION("""COMPUTED_VALUE"""),"")</f>
        <v/>
      </c>
      <c r="BJ2" s="156" t="str">
        <f ca="1">IFERROR(__xludf.DUMMYFUNCTION("""COMPUTED_VALUE"""),"")</f>
        <v/>
      </c>
      <c r="BK2" s="156" t="str">
        <f ca="1">IFERROR(__xludf.DUMMYFUNCTION("""COMPUTED_VALUE"""),"")</f>
        <v/>
      </c>
      <c r="BL2" s="156" t="str">
        <f ca="1">IFERROR(__xludf.DUMMYFUNCTION("""COMPUTED_VALUE"""),"")</f>
        <v/>
      </c>
      <c r="BM2" s="156" t="str">
        <f ca="1">IFERROR(__xludf.DUMMYFUNCTION("""COMPUTED_VALUE"""),"")</f>
        <v/>
      </c>
      <c r="BN2" s="156" t="str">
        <f ca="1">IFERROR(__xludf.DUMMYFUNCTION("""COMPUTED_VALUE"""),"")</f>
        <v/>
      </c>
      <c r="BO2" s="156" t="str">
        <f ca="1">IFERROR(__xludf.DUMMYFUNCTION("""COMPUTED_VALUE"""),"")</f>
        <v/>
      </c>
      <c r="BP2" s="156" t="str">
        <f ca="1">IFERROR(__xludf.DUMMYFUNCTION("""COMPUTED_VALUE"""),"")</f>
        <v/>
      </c>
      <c r="BQ2" s="156" t="str">
        <f ca="1">IFERROR(__xludf.DUMMYFUNCTION("""COMPUTED_VALUE"""),"")</f>
        <v/>
      </c>
      <c r="BR2" s="156" t="str">
        <f ca="1">IFERROR(__xludf.DUMMYFUNCTION("""COMPUTED_VALUE"""),"")</f>
        <v/>
      </c>
      <c r="BS2" s="156" t="str">
        <f ca="1">IFERROR(__xludf.DUMMYFUNCTION("""COMPUTED_VALUE"""),"")</f>
        <v/>
      </c>
      <c r="BT2" s="156" t="str">
        <f ca="1">IFERROR(__xludf.DUMMYFUNCTION("""COMPUTED_VALUE"""),"")</f>
        <v/>
      </c>
      <c r="BU2" s="156" t="str">
        <f ca="1">IFERROR(__xludf.DUMMYFUNCTION("""COMPUTED_VALUE"""),"")</f>
        <v/>
      </c>
      <c r="BV2" s="156" t="str">
        <f ca="1">IFERROR(__xludf.DUMMYFUNCTION("""COMPUTED_VALUE"""),"")</f>
        <v/>
      </c>
      <c r="BW2" s="156" t="str">
        <f ca="1">IFERROR(__xludf.DUMMYFUNCTION("""COMPUTED_VALUE"""),"")</f>
        <v/>
      </c>
      <c r="BX2" s="156"/>
      <c r="BY2" s="156"/>
      <c r="BZ2" s="156"/>
      <c r="CA2" s="156"/>
      <c r="CB2" s="156"/>
      <c r="CC2" s="156"/>
      <c r="CD2" s="156"/>
      <c r="CE2" s="156"/>
      <c r="CF2" s="156"/>
      <c r="CG2" s="156"/>
    </row>
    <row r="3" spans="1:85" ht="15.75" customHeight="1" x14ac:dyDescent="0.2">
      <c r="A3" s="155" t="str">
        <f ca="1">IFERROR(__xludf.DUMMYFUNCTION("""COMPUTED_VALUE"""),"Visitors")</f>
        <v>Visitors</v>
      </c>
      <c r="B3" s="155" t="str">
        <f ca="1">IFERROR(__xludf.DUMMYFUNCTION("""COMPUTED_VALUE"""),"")</f>
        <v/>
      </c>
      <c r="C3" s="155" t="str">
        <f ca="1">IFERROR(__xludf.DUMMYFUNCTION("""COMPUTED_VALUE"""),"")</f>
        <v/>
      </c>
      <c r="D3" s="156" t="str">
        <f ca="1">IFERROR(__xludf.DUMMYFUNCTION("""COMPUTED_VALUE"""),"")</f>
        <v/>
      </c>
      <c r="E3" s="156" t="str">
        <f ca="1">IFERROR(__xludf.DUMMYFUNCTION("""COMPUTED_VALUE"""),"")</f>
        <v/>
      </c>
      <c r="F3" s="156" t="str">
        <f ca="1">IFERROR(__xludf.DUMMYFUNCTION("""COMPUTED_VALUE"""),"")</f>
        <v/>
      </c>
      <c r="G3" s="156" t="str">
        <f ca="1">IFERROR(__xludf.DUMMYFUNCTION("""COMPUTED_VALUE"""),"")</f>
        <v/>
      </c>
      <c r="H3" s="156" t="str">
        <f ca="1">IFERROR(__xludf.DUMMYFUNCTION("""COMPUTED_VALUE"""),"")</f>
        <v/>
      </c>
      <c r="I3" s="156" t="str">
        <f ca="1">IFERROR(__xludf.DUMMYFUNCTION("""COMPUTED_VALUE"""),"")</f>
        <v/>
      </c>
      <c r="J3" s="156" t="str">
        <f ca="1">IFERROR(__xludf.DUMMYFUNCTION("""COMPUTED_VALUE"""),"")</f>
        <v/>
      </c>
      <c r="K3" s="156" t="str">
        <f ca="1">IFERROR(__xludf.DUMMYFUNCTION("""COMPUTED_VALUE"""),"")</f>
        <v/>
      </c>
      <c r="L3" s="156" t="str">
        <f ca="1">IFERROR(__xludf.DUMMYFUNCTION("""COMPUTED_VALUE"""),"")</f>
        <v/>
      </c>
      <c r="M3" s="156" t="str">
        <f ca="1">IFERROR(__xludf.DUMMYFUNCTION("""COMPUTED_VALUE"""),"")</f>
        <v/>
      </c>
      <c r="N3" s="156" t="str">
        <f ca="1">IFERROR(__xludf.DUMMYFUNCTION("""COMPUTED_VALUE"""),"")</f>
        <v/>
      </c>
      <c r="O3" s="156" t="str">
        <f ca="1">IFERROR(__xludf.DUMMYFUNCTION("""COMPUTED_VALUE"""),"")</f>
        <v/>
      </c>
      <c r="P3" s="156" t="str">
        <f ca="1">IFERROR(__xludf.DUMMYFUNCTION("""COMPUTED_VALUE"""),"")</f>
        <v/>
      </c>
      <c r="Q3" s="156" t="str">
        <f ca="1">IFERROR(__xludf.DUMMYFUNCTION("""COMPUTED_VALUE"""),"")</f>
        <v/>
      </c>
      <c r="R3" s="156" t="str">
        <f ca="1">IFERROR(__xludf.DUMMYFUNCTION("""COMPUTED_VALUE"""),"")</f>
        <v/>
      </c>
      <c r="S3" s="156" t="str">
        <f ca="1">IFERROR(__xludf.DUMMYFUNCTION("""COMPUTED_VALUE"""),"")</f>
        <v/>
      </c>
      <c r="T3" s="156" t="str">
        <f ca="1">IFERROR(__xludf.DUMMYFUNCTION("""COMPUTED_VALUE"""),"")</f>
        <v/>
      </c>
      <c r="U3" s="156" t="str">
        <f ca="1">IFERROR(__xludf.DUMMYFUNCTION("""COMPUTED_VALUE"""),"")</f>
        <v/>
      </c>
      <c r="V3" s="156" t="str">
        <f ca="1">IFERROR(__xludf.DUMMYFUNCTION("""COMPUTED_VALUE"""),"")</f>
        <v/>
      </c>
      <c r="W3" s="156" t="str">
        <f ca="1">IFERROR(__xludf.DUMMYFUNCTION("""COMPUTED_VALUE"""),"")</f>
        <v/>
      </c>
      <c r="X3" s="156" t="str">
        <f ca="1">IFERROR(__xludf.DUMMYFUNCTION("""COMPUTED_VALUE"""),"")</f>
        <v/>
      </c>
      <c r="Y3" s="156" t="str">
        <f ca="1">IFERROR(__xludf.DUMMYFUNCTION("""COMPUTED_VALUE"""),"")</f>
        <v/>
      </c>
      <c r="Z3" s="156" t="str">
        <f ca="1">IFERROR(__xludf.DUMMYFUNCTION("""COMPUTED_VALUE"""),"")</f>
        <v/>
      </c>
      <c r="AA3" s="156" t="str">
        <f ca="1">IFERROR(__xludf.DUMMYFUNCTION("""COMPUTED_VALUE"""),"")</f>
        <v/>
      </c>
      <c r="AB3" s="156" t="str">
        <f ca="1">IFERROR(__xludf.DUMMYFUNCTION("""COMPUTED_VALUE"""),"")</f>
        <v/>
      </c>
      <c r="AC3" s="156" t="str">
        <f ca="1">IFERROR(__xludf.DUMMYFUNCTION("""COMPUTED_VALUE"""),"")</f>
        <v/>
      </c>
      <c r="AD3" s="156" t="str">
        <f ca="1">IFERROR(__xludf.DUMMYFUNCTION("""COMPUTED_VALUE"""),"")</f>
        <v/>
      </c>
      <c r="AE3" s="156" t="str">
        <f ca="1">IFERROR(__xludf.DUMMYFUNCTION("""COMPUTED_VALUE"""),"")</f>
        <v/>
      </c>
      <c r="AF3" s="156" t="str">
        <f ca="1">IFERROR(__xludf.DUMMYFUNCTION("""COMPUTED_VALUE"""),"")</f>
        <v/>
      </c>
      <c r="AG3" s="156" t="str">
        <f ca="1">IFERROR(__xludf.DUMMYFUNCTION("""COMPUTED_VALUE"""),"")</f>
        <v/>
      </c>
      <c r="AH3" s="156" t="str">
        <f ca="1">IFERROR(__xludf.DUMMYFUNCTION("""COMPUTED_VALUE"""),"")</f>
        <v/>
      </c>
      <c r="AI3" s="156" t="str">
        <f ca="1">IFERROR(__xludf.DUMMYFUNCTION("""COMPUTED_VALUE"""),"")</f>
        <v/>
      </c>
      <c r="AJ3" s="156" t="str">
        <f ca="1">IFERROR(__xludf.DUMMYFUNCTION("""COMPUTED_VALUE"""),"")</f>
        <v/>
      </c>
      <c r="AK3" s="156" t="str">
        <f ca="1">IFERROR(__xludf.DUMMYFUNCTION("""COMPUTED_VALUE"""),"")</f>
        <v/>
      </c>
      <c r="AL3" s="156" t="str">
        <f ca="1">IFERROR(__xludf.DUMMYFUNCTION("""COMPUTED_VALUE"""),"")</f>
        <v/>
      </c>
      <c r="AM3" s="156" t="str">
        <f ca="1">IFERROR(__xludf.DUMMYFUNCTION("""COMPUTED_VALUE"""),"")</f>
        <v/>
      </c>
      <c r="AN3" s="156" t="str">
        <f ca="1">IFERROR(__xludf.DUMMYFUNCTION("""COMPUTED_VALUE"""),"")</f>
        <v/>
      </c>
      <c r="AO3" s="156" t="str">
        <f ca="1">IFERROR(__xludf.DUMMYFUNCTION("""COMPUTED_VALUE"""),"")</f>
        <v/>
      </c>
      <c r="AP3" s="156" t="str">
        <f ca="1">IFERROR(__xludf.DUMMYFUNCTION("""COMPUTED_VALUE"""),"")</f>
        <v/>
      </c>
      <c r="AQ3" s="156" t="str">
        <f ca="1">IFERROR(__xludf.DUMMYFUNCTION("""COMPUTED_VALUE"""),"")</f>
        <v/>
      </c>
      <c r="AR3" s="156" t="str">
        <f ca="1">IFERROR(__xludf.DUMMYFUNCTION("""COMPUTED_VALUE"""),"")</f>
        <v/>
      </c>
      <c r="AS3" s="156" t="str">
        <f ca="1">IFERROR(__xludf.DUMMYFUNCTION("""COMPUTED_VALUE"""),"")</f>
        <v/>
      </c>
      <c r="AT3" s="156" t="str">
        <f ca="1">IFERROR(__xludf.DUMMYFUNCTION("""COMPUTED_VALUE"""),"")</f>
        <v/>
      </c>
      <c r="AU3" s="156" t="str">
        <f ca="1">IFERROR(__xludf.DUMMYFUNCTION("""COMPUTED_VALUE"""),"")</f>
        <v/>
      </c>
      <c r="AV3" s="156" t="str">
        <f ca="1">IFERROR(__xludf.DUMMYFUNCTION("""COMPUTED_VALUE"""),"")</f>
        <v/>
      </c>
      <c r="AW3" s="156" t="str">
        <f ca="1">IFERROR(__xludf.DUMMYFUNCTION("""COMPUTED_VALUE"""),"")</f>
        <v/>
      </c>
      <c r="AX3" s="156" t="str">
        <f ca="1">IFERROR(__xludf.DUMMYFUNCTION("""COMPUTED_VALUE"""),"")</f>
        <v/>
      </c>
      <c r="AY3" s="156" t="str">
        <f ca="1">IFERROR(__xludf.DUMMYFUNCTION("""COMPUTED_VALUE"""),"")</f>
        <v/>
      </c>
      <c r="AZ3" s="156" t="str">
        <f ca="1">IFERROR(__xludf.DUMMYFUNCTION("""COMPUTED_VALUE"""),"")</f>
        <v/>
      </c>
      <c r="BA3" s="156" t="str">
        <f ca="1">IFERROR(__xludf.DUMMYFUNCTION("""COMPUTED_VALUE"""),"")</f>
        <v/>
      </c>
      <c r="BB3" s="156" t="str">
        <f ca="1">IFERROR(__xludf.DUMMYFUNCTION("""COMPUTED_VALUE"""),"")</f>
        <v/>
      </c>
      <c r="BC3" s="156" t="str">
        <f ca="1">IFERROR(__xludf.DUMMYFUNCTION("""COMPUTED_VALUE"""),"")</f>
        <v/>
      </c>
      <c r="BD3" s="156" t="str">
        <f ca="1">IFERROR(__xludf.DUMMYFUNCTION("""COMPUTED_VALUE"""),"")</f>
        <v/>
      </c>
      <c r="BE3" s="156" t="str">
        <f ca="1">IFERROR(__xludf.DUMMYFUNCTION("""COMPUTED_VALUE"""),"")</f>
        <v/>
      </c>
      <c r="BF3" s="156" t="str">
        <f ca="1">IFERROR(__xludf.DUMMYFUNCTION("""COMPUTED_VALUE"""),"")</f>
        <v/>
      </c>
      <c r="BG3" s="156" t="str">
        <f ca="1">IFERROR(__xludf.DUMMYFUNCTION("""COMPUTED_VALUE"""),"")</f>
        <v/>
      </c>
      <c r="BH3" s="156" t="str">
        <f ca="1">IFERROR(__xludf.DUMMYFUNCTION("""COMPUTED_VALUE"""),"")</f>
        <v/>
      </c>
      <c r="BI3" s="156" t="str">
        <f ca="1">IFERROR(__xludf.DUMMYFUNCTION("""COMPUTED_VALUE"""),"")</f>
        <v/>
      </c>
      <c r="BJ3" s="156" t="str">
        <f ca="1">IFERROR(__xludf.DUMMYFUNCTION("""COMPUTED_VALUE"""),"")</f>
        <v/>
      </c>
      <c r="BK3" s="156" t="str">
        <f ca="1">IFERROR(__xludf.DUMMYFUNCTION("""COMPUTED_VALUE"""),"")</f>
        <v/>
      </c>
      <c r="BL3" s="156" t="str">
        <f ca="1">IFERROR(__xludf.DUMMYFUNCTION("""COMPUTED_VALUE"""),"")</f>
        <v/>
      </c>
      <c r="BM3" s="156" t="str">
        <f ca="1">IFERROR(__xludf.DUMMYFUNCTION("""COMPUTED_VALUE"""),"")</f>
        <v/>
      </c>
      <c r="BN3" s="156" t="str">
        <f ca="1">IFERROR(__xludf.DUMMYFUNCTION("""COMPUTED_VALUE"""),"")</f>
        <v/>
      </c>
      <c r="BO3" s="156" t="str">
        <f ca="1">IFERROR(__xludf.DUMMYFUNCTION("""COMPUTED_VALUE"""),"")</f>
        <v/>
      </c>
      <c r="BP3" s="156" t="str">
        <f ca="1">IFERROR(__xludf.DUMMYFUNCTION("""COMPUTED_VALUE"""),"")</f>
        <v/>
      </c>
      <c r="BQ3" s="156" t="str">
        <f ca="1">IFERROR(__xludf.DUMMYFUNCTION("""COMPUTED_VALUE"""),"")</f>
        <v/>
      </c>
      <c r="BR3" s="156" t="str">
        <f ca="1">IFERROR(__xludf.DUMMYFUNCTION("""COMPUTED_VALUE"""),"")</f>
        <v/>
      </c>
      <c r="BS3" s="156" t="str">
        <f ca="1">IFERROR(__xludf.DUMMYFUNCTION("""COMPUTED_VALUE"""),"")</f>
        <v/>
      </c>
      <c r="BT3" s="156" t="str">
        <f ca="1">IFERROR(__xludf.DUMMYFUNCTION("""COMPUTED_VALUE"""),"")</f>
        <v/>
      </c>
      <c r="BU3" s="156" t="str">
        <f ca="1">IFERROR(__xludf.DUMMYFUNCTION("""COMPUTED_VALUE"""),"")</f>
        <v/>
      </c>
      <c r="BV3" s="156" t="str">
        <f ca="1">IFERROR(__xludf.DUMMYFUNCTION("""COMPUTED_VALUE"""),"")</f>
        <v/>
      </c>
      <c r="BW3" s="156" t="str">
        <f ca="1">IFERROR(__xludf.DUMMYFUNCTION("""COMPUTED_VALUE"""),"")</f>
        <v/>
      </c>
      <c r="BX3" s="156"/>
      <c r="BY3" s="156"/>
      <c r="BZ3" s="156"/>
      <c r="CA3" s="156"/>
      <c r="CB3" s="156"/>
      <c r="CC3" s="156"/>
      <c r="CD3" s="156"/>
      <c r="CE3" s="156"/>
      <c r="CF3" s="156"/>
      <c r="CG3" s="156"/>
    </row>
    <row r="4" spans="1:85" ht="15.75" customHeight="1" x14ac:dyDescent="0.2">
      <c r="A4" s="155" t="str">
        <f ca="1">IFERROR(__xludf.DUMMYFUNCTION("""COMPUTED_VALUE"""),"  Organic")</f>
        <v xml:space="preserve">  Organic</v>
      </c>
      <c r="B4" s="155" t="str">
        <f ca="1">IFERROR(__xludf.DUMMYFUNCTION("""COMPUTED_VALUE"""),"")</f>
        <v/>
      </c>
      <c r="C4" s="155" t="str">
        <f ca="1">IFERROR(__xludf.DUMMYFUNCTION("""COMPUTED_VALUE"""),"")</f>
        <v/>
      </c>
      <c r="D4" s="119">
        <f ca="1">IFERROR(__xludf.DUMMYFUNCTION("""COMPUTED_VALUE"""),4364)</f>
        <v>4364</v>
      </c>
      <c r="E4" s="119">
        <f ca="1">IFERROR(__xludf.DUMMYFUNCTION("""COMPUTED_VALUE"""),4640)</f>
        <v>4640</v>
      </c>
      <c r="F4" s="119">
        <f ca="1">IFERROR(__xludf.DUMMYFUNCTION("""COMPUTED_VALUE"""),4289)</f>
        <v>4289</v>
      </c>
      <c r="G4" s="119">
        <f ca="1">IFERROR(__xludf.DUMMYFUNCTION("""COMPUTED_VALUE"""),4742)</f>
        <v>4742</v>
      </c>
      <c r="H4" s="119">
        <f ca="1">IFERROR(__xludf.DUMMYFUNCTION("""COMPUTED_VALUE"""),6144)</f>
        <v>6144</v>
      </c>
      <c r="I4" s="119">
        <f ca="1">IFERROR(__xludf.DUMMYFUNCTION("""COMPUTED_VALUE"""),7749)</f>
        <v>7749</v>
      </c>
      <c r="J4" s="119">
        <f ca="1">IFERROR(__xludf.DUMMYFUNCTION("""COMPUTED_VALUE"""),8236)</f>
        <v>8236</v>
      </c>
      <c r="K4" s="119">
        <f ca="1">IFERROR(__xludf.DUMMYFUNCTION("""COMPUTED_VALUE"""),13981)</f>
        <v>13981</v>
      </c>
      <c r="L4" s="119">
        <f ca="1">IFERROR(__xludf.DUMMYFUNCTION("""COMPUTED_VALUE"""),20065)</f>
        <v>20065</v>
      </c>
      <c r="M4" s="119">
        <f ca="1">IFERROR(__xludf.DUMMYFUNCTION("""COMPUTED_VALUE"""),14773)</f>
        <v>14773</v>
      </c>
      <c r="N4" s="119">
        <f ca="1">IFERROR(__xludf.DUMMYFUNCTION("""COMPUTED_VALUE"""),14770)</f>
        <v>14770</v>
      </c>
      <c r="O4" s="119">
        <f ca="1">IFERROR(__xludf.DUMMYFUNCTION("""COMPUTED_VALUE"""),23331)</f>
        <v>23331</v>
      </c>
      <c r="P4" s="119">
        <f ca="1">IFERROR(__xludf.DUMMYFUNCTION("""COMPUTED_VALUE"""),25045)</f>
        <v>25045</v>
      </c>
      <c r="Q4" s="119">
        <f ca="1">IFERROR(__xludf.DUMMYFUNCTION("""COMPUTED_VALUE"""),34736)</f>
        <v>34736</v>
      </c>
      <c r="R4" s="119">
        <f ca="1">IFERROR(__xludf.DUMMYFUNCTION("""COMPUTED_VALUE"""),26920)</f>
        <v>26920</v>
      </c>
      <c r="S4" s="119">
        <f ca="1">IFERROR(__xludf.DUMMYFUNCTION("""COMPUTED_VALUE"""),29943)</f>
        <v>29943</v>
      </c>
      <c r="T4" s="119">
        <f ca="1">IFERROR(__xludf.DUMMYFUNCTION("""COMPUTED_VALUE"""),30342)</f>
        <v>30342</v>
      </c>
      <c r="U4" s="119">
        <f ca="1">IFERROR(__xludf.DUMMYFUNCTION("""COMPUTED_VALUE"""),31614)</f>
        <v>31614</v>
      </c>
      <c r="V4" s="119">
        <f ca="1">IFERROR(__xludf.DUMMYFUNCTION("""COMPUTED_VALUE"""),28916)</f>
        <v>28916</v>
      </c>
      <c r="W4" s="119">
        <f ca="1">IFERROR(__xludf.DUMMYFUNCTION("""COMPUTED_VALUE"""),27462)</f>
        <v>27462</v>
      </c>
      <c r="X4" s="119">
        <f ca="1">IFERROR(__xludf.DUMMYFUNCTION("""COMPUTED_VALUE"""),29945)</f>
        <v>29945</v>
      </c>
      <c r="Y4" s="119">
        <f ca="1">IFERROR(__xludf.DUMMYFUNCTION("""COMPUTED_VALUE"""),30481.232790195)</f>
        <v>30481.232790195001</v>
      </c>
      <c r="Z4" s="119">
        <f ca="1">IFERROR(__xludf.DUMMYFUNCTION("""COMPUTED_VALUE"""),31027.0680384058)</f>
        <v>31027.0680384058</v>
      </c>
      <c r="AA4" s="119">
        <f ca="1">IFERROR(__xludf.DUMMYFUNCTION("""COMPUTED_VALUE"""),31582.6776983092)</f>
        <v>31582.677698309199</v>
      </c>
      <c r="AB4" s="119">
        <f ca="1">IFERROR(__xludf.DUMMYFUNCTION("""COMPUTED_VALUE"""),32148.2368028007)</f>
        <v>32148.2368028007</v>
      </c>
      <c r="AC4" s="119">
        <f ca="1">IFERROR(__xludf.DUMMYFUNCTION("""COMPUTED_VALUE"""),32723.9235191346)</f>
        <v>32723.923519134602</v>
      </c>
      <c r="AD4" s="119">
        <f ca="1">IFERROR(__xludf.DUMMYFUNCTION("""COMPUTED_VALUE"""),31001)</f>
        <v>31001</v>
      </c>
      <c r="AE4" s="119">
        <f ca="1">IFERROR(__xludf.DUMMYFUNCTION("""COMPUTED_VALUE"""),29786)</f>
        <v>29786</v>
      </c>
      <c r="AF4" s="119">
        <f ca="1">IFERROR(__xludf.DUMMYFUNCTION("""COMPUTED_VALUE"""),28618.6186252056)</f>
        <v>28618.6186252056</v>
      </c>
      <c r="AG4" s="119">
        <f ca="1">IFERROR(__xludf.DUMMYFUNCTION("""COMPUTED_VALUE"""),27496.9895929284)</f>
        <v>27496.989592928399</v>
      </c>
      <c r="AH4" s="119">
        <f ca="1">IFERROR(__xludf.DUMMYFUNCTION("""COMPUTED_VALUE"""),26419.3197643613)</f>
        <v>26419.319764361298</v>
      </c>
      <c r="AI4" s="119">
        <f ca="1">IFERROR(__xludf.DUMMYFUNCTION("""COMPUTED_VALUE"""),25383.8862779029)</f>
        <v>25383.8862779029</v>
      </c>
      <c r="AJ4" s="119">
        <f ca="1">IFERROR(__xludf.DUMMYFUNCTION("""COMPUTED_VALUE"""),24389.0337948329)</f>
        <v>24389.0337948329</v>
      </c>
      <c r="AK4" s="119">
        <f ca="1">IFERROR(__xludf.DUMMYFUNCTION("""COMPUTED_VALUE"""),23433.1718529368)</f>
        <v>23433.171852936801</v>
      </c>
      <c r="AL4" s="119">
        <f ca="1">IFERROR(__xludf.DUMMYFUNCTION("""COMPUTED_VALUE"""),22514.7723238468)</f>
        <v>22514.772323846799</v>
      </c>
      <c r="AM4" s="119">
        <f ca="1">IFERROR(__xludf.DUMMYFUNCTION("""COMPUTED_VALUE"""),21632.3669700365)</f>
        <v>21632.366970036499</v>
      </c>
      <c r="AN4" s="119">
        <f ca="1">IFERROR(__xludf.DUMMYFUNCTION("""COMPUTED_VALUE"""),20784.5450975616)</f>
        <v>20784.5450975616</v>
      </c>
      <c r="AO4" s="119">
        <f ca="1">IFERROR(__xludf.DUMMYFUNCTION("""COMPUTED_VALUE"""),19969.9513007957)</f>
        <v>19969.951300795699</v>
      </c>
      <c r="AP4" s="119">
        <f ca="1">IFERROR(__xludf.DUMMYFUNCTION("""COMPUTED_VALUE"""),19187.283295555)</f>
        <v>19187.283295555</v>
      </c>
      <c r="AQ4" s="119">
        <f ca="1">IFERROR(__xludf.DUMMYFUNCTION("""COMPUTED_VALUE"""),18435.2898371473)</f>
        <v>18435.289837147298</v>
      </c>
      <c r="AR4" s="119">
        <f ca="1">IFERROR(__xludf.DUMMYFUNCTION("""COMPUTED_VALUE"""),17712.7687200177)</f>
        <v>17712.768720017699</v>
      </c>
      <c r="AS4" s="119">
        <f ca="1">IFERROR(__xludf.DUMMYFUNCTION("""COMPUTED_VALUE"""),17018.5648557933)</f>
        <v>17018.564855793298</v>
      </c>
      <c r="AT4" s="119">
        <f ca="1">IFERROR(__xludf.DUMMYFUNCTION("""COMPUTED_VALUE"""),16351.5684266526)</f>
        <v>16351.5684266526</v>
      </c>
      <c r="AU4" s="119">
        <f ca="1">IFERROR(__xludf.DUMMYFUNCTION("""COMPUTED_VALUE"""),15710.7131110698)</f>
        <v>15710.713111069799</v>
      </c>
      <c r="AV4" s="119">
        <f ca="1">IFERROR(__xludf.DUMMYFUNCTION("""COMPUTED_VALUE"""),15094.974379095)</f>
        <v>15094.974379095</v>
      </c>
      <c r="AW4" s="119">
        <f ca="1">IFERROR(__xludf.DUMMYFUNCTION("""COMPUTED_VALUE"""),14503.3678544474)</f>
        <v>14503.367854447401</v>
      </c>
      <c r="AX4" s="119">
        <f ca="1">IFERROR(__xludf.DUMMYFUNCTION("""COMPUTED_VALUE"""),13934.947740801)</f>
        <v>13934.947740801001</v>
      </c>
      <c r="AY4" s="119">
        <f ca="1">IFERROR(__xludf.DUMMYFUNCTION("""COMPUTED_VALUE"""),13388.805309748)</f>
        <v>13388.805309748001</v>
      </c>
      <c r="AZ4" s="119">
        <f ca="1">IFERROR(__xludf.DUMMYFUNCTION("""COMPUTED_VALUE"""),12864.0674480228)</f>
        <v>12864.067448022801</v>
      </c>
      <c r="BA4" s="119">
        <f ca="1">IFERROR(__xludf.DUMMYFUNCTION("""COMPUTED_VALUE"""),12359.8952616627)</f>
        <v>12359.895261662699</v>
      </c>
      <c r="BB4" s="119">
        <f ca="1">IFERROR(__xludf.DUMMYFUNCTION("""COMPUTED_VALUE"""),11875.4827348758)</f>
        <v>11875.482734875801</v>
      </c>
      <c r="BC4" s="119">
        <f ca="1">IFERROR(__xludf.DUMMYFUNCTION("""COMPUTED_VALUE"""),11410.05544147)</f>
        <v>11410.05544147</v>
      </c>
      <c r="BD4" s="119">
        <f ca="1">IFERROR(__xludf.DUMMYFUNCTION("""COMPUTED_VALUE"""),10962.8693067845)</f>
        <v>10962.8693067845</v>
      </c>
      <c r="BE4" s="119">
        <f ca="1">IFERROR(__xludf.DUMMYFUNCTION("""COMPUTED_VALUE"""),10533.209418144)</f>
        <v>10533.209418144001</v>
      </c>
      <c r="BF4" s="119">
        <f ca="1">IFERROR(__xludf.DUMMYFUNCTION("""COMPUTED_VALUE"""),10120.3888819341)</f>
        <v>10120.388881934099</v>
      </c>
      <c r="BG4" s="119">
        <f ca="1">IFERROR(__xludf.DUMMYFUNCTION("""COMPUTED_VALUE"""),9723.74772546979)</f>
        <v>9723.7477254697897</v>
      </c>
      <c r="BH4" s="119">
        <f ca="1">IFERROR(__xludf.DUMMYFUNCTION("""COMPUTED_VALUE"""),9342.65184190327)</f>
        <v>9342.6518419032709</v>
      </c>
      <c r="BI4" s="119">
        <f ca="1">IFERROR(__xludf.DUMMYFUNCTION("""COMPUTED_VALUE"""),8976.49197648239)</f>
        <v>8976.4919764823899</v>
      </c>
      <c r="BJ4" s="119">
        <f ca="1">IFERROR(__xludf.DUMMYFUNCTION("""COMPUTED_VALUE"""),8624.68275254039)</f>
        <v>8624.6827525403896</v>
      </c>
      <c r="BK4" s="119">
        <f ca="1">IFERROR(__xludf.DUMMYFUNCTION("""COMPUTED_VALUE"""),8286.66173565911)</f>
        <v>8286.6617356591105</v>
      </c>
      <c r="BL4" s="119">
        <f ca="1">IFERROR(__xludf.DUMMYFUNCTION("""COMPUTED_VALUE"""),7961.88853450993)</f>
        <v>7961.8885345099297</v>
      </c>
      <c r="BM4" s="119">
        <f ca="1">IFERROR(__xludf.DUMMYFUNCTION("""COMPUTED_VALUE"""),7649.8439369347)</f>
        <v>7649.8439369346997</v>
      </c>
      <c r="BN4" s="119">
        <f ca="1">IFERROR(__xludf.DUMMYFUNCTION("""COMPUTED_VALUE"""),7350.02907988571)</f>
        <v>7350.0290798857104</v>
      </c>
      <c r="BO4" s="119">
        <f ca="1">IFERROR(__xludf.DUMMYFUNCTION("""COMPUTED_VALUE"""),7061.96465189754)</f>
        <v>7061.9646518975396</v>
      </c>
      <c r="BP4" s="119">
        <f ca="1">IFERROR(__xludf.DUMMYFUNCTION("""COMPUTED_VALUE"""),6785.19012681592)</f>
        <v>6785.1901268159199</v>
      </c>
      <c r="BQ4" s="119">
        <f ca="1">IFERROR(__xludf.DUMMYFUNCTION("""COMPUTED_VALUE"""),6519.26302755843)</f>
        <v>6519.2630275584297</v>
      </c>
      <c r="BR4" s="119">
        <f ca="1">IFERROR(__xludf.DUMMYFUNCTION("""COMPUTED_VALUE"""),6263.75821873022)</f>
        <v>6263.7582187302196</v>
      </c>
      <c r="BS4" s="119">
        <f ca="1">IFERROR(__xludf.DUMMYFUNCTION("""COMPUTED_VALUE"""),6018.26722696359)</f>
        <v>6018.2672269635896</v>
      </c>
      <c r="BT4" s="119">
        <f ca="1">IFERROR(__xludf.DUMMYFUNCTION("""COMPUTED_VALUE"""),5782.39758789515)</f>
        <v>5782.3975878951496</v>
      </c>
      <c r="BU4" s="119">
        <f ca="1">IFERROR(__xludf.DUMMYFUNCTION("""COMPUTED_VALUE"""),5555.77221873633)</f>
        <v>5555.7722187363297</v>
      </c>
      <c r="BV4" s="119">
        <f ca="1">IFERROR(__xludf.DUMMYFUNCTION("""COMPUTED_VALUE"""),5338.02881543435)</f>
        <v>5338.0288154343498</v>
      </c>
      <c r="BW4" s="119">
        <f ca="1">IFERROR(__xludf.DUMMYFUNCTION("""COMPUTED_VALUE"""),5128.81927345981)</f>
        <v>5128.8192734598097</v>
      </c>
      <c r="BX4" s="119"/>
      <c r="BY4" s="119"/>
      <c r="BZ4" s="119"/>
      <c r="CA4" s="119"/>
      <c r="CB4" s="119"/>
      <c r="CC4" s="119"/>
      <c r="CD4" s="119"/>
      <c r="CE4" s="119"/>
      <c r="CF4" s="119"/>
      <c r="CG4" s="119"/>
    </row>
    <row r="5" spans="1:85" ht="15.75" customHeight="1" x14ac:dyDescent="0.2">
      <c r="A5" s="157" t="str">
        <f ca="1">IFERROR(__xludf.DUMMYFUNCTION("""COMPUTED_VALUE"""),"  Adwords")</f>
        <v xml:space="preserve">  Adwords</v>
      </c>
      <c r="B5" s="157" t="str">
        <f ca="1">IFERROR(__xludf.DUMMYFUNCTION("""COMPUTED_VALUE"""),"")</f>
        <v/>
      </c>
      <c r="C5" s="157" t="str">
        <f ca="1">IFERROR(__xludf.DUMMYFUNCTION("""COMPUTED_VALUE"""),"")</f>
        <v/>
      </c>
      <c r="D5" s="158">
        <f ca="1">IFERROR(__xludf.DUMMYFUNCTION("""COMPUTED_VALUE"""),3590.4)</f>
        <v>3590.4</v>
      </c>
      <c r="E5" s="158">
        <f ca="1">IFERROR(__xludf.DUMMYFUNCTION("""COMPUTED_VALUE"""),3718.2)</f>
        <v>3718.2</v>
      </c>
      <c r="F5" s="158">
        <f ca="1">IFERROR(__xludf.DUMMYFUNCTION("""COMPUTED_VALUE"""),3762)</f>
        <v>3762</v>
      </c>
      <c r="G5" s="158">
        <f ca="1">IFERROR(__xludf.DUMMYFUNCTION("""COMPUTED_VALUE"""),4384.2)</f>
        <v>4384.2</v>
      </c>
      <c r="H5" s="158">
        <f ca="1">IFERROR(__xludf.DUMMYFUNCTION("""COMPUTED_VALUE"""),4785)</f>
        <v>4785</v>
      </c>
      <c r="I5" s="158">
        <f ca="1">IFERROR(__xludf.DUMMYFUNCTION("""COMPUTED_VALUE"""),5811.59999999999)</f>
        <v>5811.5999999999904</v>
      </c>
      <c r="J5" s="158">
        <f ca="1">IFERROR(__xludf.DUMMYFUNCTION("""COMPUTED_VALUE"""),6826.8)</f>
        <v>6826.8</v>
      </c>
      <c r="K5" s="158">
        <f ca="1">IFERROR(__xludf.DUMMYFUNCTION("""COMPUTED_VALUE"""),10666.1999999999)</f>
        <v>10666.199999999901</v>
      </c>
      <c r="L5" s="158">
        <f ca="1">IFERROR(__xludf.DUMMYFUNCTION("""COMPUTED_VALUE"""),14667.6)</f>
        <v>14667.6</v>
      </c>
      <c r="M5" s="158">
        <f ca="1">IFERROR(__xludf.DUMMYFUNCTION("""COMPUTED_VALUE"""),12594)</f>
        <v>12594</v>
      </c>
      <c r="N5" s="158">
        <f ca="1">IFERROR(__xludf.DUMMYFUNCTION("""COMPUTED_VALUE"""),14197.8)</f>
        <v>14197.8</v>
      </c>
      <c r="O5" s="158">
        <f ca="1">IFERROR(__xludf.DUMMYFUNCTION("""COMPUTED_VALUE"""),19829.3999999999)</f>
        <v>19829.3999999999</v>
      </c>
      <c r="P5" s="158">
        <f ca="1">IFERROR(__xludf.DUMMYFUNCTION("""COMPUTED_VALUE"""),20386.8)</f>
        <v>20386.8</v>
      </c>
      <c r="Q5" s="158">
        <f ca="1">IFERROR(__xludf.DUMMYFUNCTION("""COMPUTED_VALUE"""),28008.6)</f>
        <v>28008.6</v>
      </c>
      <c r="R5" s="158">
        <f ca="1">IFERROR(__xludf.DUMMYFUNCTION("""COMPUTED_VALUE"""),21674.3999999999)</f>
        <v>21674.3999999999</v>
      </c>
      <c r="S5" s="158">
        <f ca="1">IFERROR(__xludf.DUMMYFUNCTION("""COMPUTED_VALUE"""),27435.6)</f>
        <v>27435.599999999999</v>
      </c>
      <c r="T5" s="158">
        <f ca="1">IFERROR(__xludf.DUMMYFUNCTION("""COMPUTED_VALUE"""),22971)</f>
        <v>22971</v>
      </c>
      <c r="U5" s="158">
        <f ca="1">IFERROR(__xludf.DUMMYFUNCTION("""COMPUTED_VALUE"""),25003.2)</f>
        <v>25003.200000000001</v>
      </c>
      <c r="V5" s="158">
        <f ca="1">IFERROR(__xludf.DUMMYFUNCTION("""COMPUTED_VALUE"""),21871.2)</f>
        <v>21871.200000000001</v>
      </c>
      <c r="W5" s="158">
        <f ca="1">IFERROR(__xludf.DUMMYFUNCTION("""COMPUTED_VALUE"""),20243.3999999999)</f>
        <v>20243.3999999999</v>
      </c>
      <c r="X5" s="158">
        <f ca="1">IFERROR(__xludf.DUMMYFUNCTION("""COMPUTED_VALUE"""),27685.8)</f>
        <v>27685.8</v>
      </c>
      <c r="Y5" s="158">
        <f ca="1">IFERROR(__xludf.DUMMYFUNCTION("""COMPUTED_VALUE"""),20958.9777452138)</f>
        <v>20958.977745213801</v>
      </c>
      <c r="Z5" s="158">
        <f ca="1">IFERROR(__xludf.DUMMYFUNCTION("""COMPUTED_VALUE"""),22816.1348751931)</f>
        <v>22816.1348751931</v>
      </c>
      <c r="AA5" s="158">
        <f ca="1">IFERROR(__xludf.DUMMYFUNCTION("""COMPUTED_VALUE"""),25731.8194564604)</f>
        <v>25731.819456460398</v>
      </c>
      <c r="AB5" s="158">
        <f ca="1">IFERROR(__xludf.DUMMYFUNCTION("""COMPUTED_VALUE"""),25427.1774801541)</f>
        <v>25427.1774801541</v>
      </c>
      <c r="AC5" s="158">
        <f ca="1">IFERROR(__xludf.DUMMYFUNCTION("""COMPUTED_VALUE"""),26535.967994996)</f>
        <v>26535.967994996001</v>
      </c>
      <c r="AD5" s="158">
        <f ca="1">IFERROR(__xludf.DUMMYFUNCTION("""COMPUTED_VALUE"""),25260.2195590176)</f>
        <v>25260.219559017602</v>
      </c>
      <c r="AE5" s="158">
        <f ca="1">IFERROR(__xludf.DUMMYFUNCTION("""COMPUTED_VALUE"""),23906.8309173721)</f>
        <v>23906.830917372099</v>
      </c>
      <c r="AF5" s="158">
        <f ca="1">IFERROR(__xludf.DUMMYFUNCTION("""COMPUTED_VALUE"""),21466.0059900299)</f>
        <v>21466.005990029898</v>
      </c>
      <c r="AG5" s="158">
        <f ca="1">IFERROR(__xludf.DUMMYFUNCTION("""COMPUTED_VALUE"""),23628.699452306)</f>
        <v>23628.699452305998</v>
      </c>
      <c r="AH5" s="158">
        <f ca="1">IFERROR(__xludf.DUMMYFUNCTION("""COMPUTED_VALUE"""),25743.159756891)</f>
        <v>25743.159756891</v>
      </c>
      <c r="AI5" s="158">
        <f ca="1">IFERROR(__xludf.DUMMYFUNCTION("""COMPUTED_VALUE"""),27905.8256845439)</f>
        <v>27905.825684543899</v>
      </c>
      <c r="AJ5" s="158">
        <f ca="1">IFERROR(__xludf.DUMMYFUNCTION("""COMPUTED_VALUE"""),30052.4330142326)</f>
        <v>30052.4330142326</v>
      </c>
      <c r="AK5" s="158">
        <f ca="1">IFERROR(__xludf.DUMMYFUNCTION("""COMPUTED_VALUE"""),32192.8532521798)</f>
        <v>32192.853252179801</v>
      </c>
      <c r="AL5" s="158">
        <f ca="1">IFERROR(__xludf.DUMMYFUNCTION("""COMPUTED_VALUE"""),34343.2807432215)</f>
        <v>34343.280743221498</v>
      </c>
      <c r="AM5" s="158">
        <f ca="1">IFERROR(__xludf.DUMMYFUNCTION("""COMPUTED_VALUE"""),36489.0142036395)</f>
        <v>36489.014203639497</v>
      </c>
      <c r="AN5" s="158">
        <f ca="1">IFERROR(__xludf.DUMMYFUNCTION("""COMPUTED_VALUE"""),38634.4305746403)</f>
        <v>38634.430574640297</v>
      </c>
      <c r="AO5" s="158">
        <f ca="1">IFERROR(__xludf.DUMMYFUNCTION("""COMPUTED_VALUE"""),40781.7212727161)</f>
        <v>40781.721272716102</v>
      </c>
      <c r="AP5" s="158">
        <f ca="1">IFERROR(__xludf.DUMMYFUNCTION("""COMPUTED_VALUE"""),42927.8392781466)</f>
        <v>42927.839278146603</v>
      </c>
      <c r="AQ5" s="158">
        <f ca="1">IFERROR(__xludf.DUMMYFUNCTION("""COMPUTED_VALUE"""),45074.1019936064)</f>
        <v>45074.101993606397</v>
      </c>
      <c r="AR5" s="158">
        <f ca="1">IFERROR(__xludf.DUMMYFUNCTION("""COMPUTED_VALUE"""),47220.6762663053)</f>
        <v>47220.676266305301</v>
      </c>
      <c r="AS5" s="158">
        <f ca="1">IFERROR(__xludf.DUMMYFUNCTION("""COMPUTED_VALUE"""),49366.9873551642)</f>
        <v>49366.987355164201</v>
      </c>
      <c r="AT5" s="158">
        <f ca="1">IFERROR(__xludf.DUMMYFUNCTION("""COMPUTED_VALUE"""),51513.369314573)</f>
        <v>51513.369314572999</v>
      </c>
      <c r="AU5" s="158">
        <f ca="1">IFERROR(__xludf.DUMMYFUNCTION("""COMPUTED_VALUE"""),53659.7945420444)</f>
        <v>53659.794542044401</v>
      </c>
      <c r="AV5" s="158">
        <f ca="1">IFERROR(__xludf.DUMMYFUNCTION("""COMPUTED_VALUE"""),55806.1657153656)</f>
        <v>55806.165715365598</v>
      </c>
      <c r="AW5" s="158">
        <f ca="1">IFERROR(__xludf.DUMMYFUNCTION("""COMPUTED_VALUE"""),57952.5586459139)</f>
        <v>57952.558645913901</v>
      </c>
      <c r="AX5" s="158">
        <f ca="1">IFERROR(__xludf.DUMMYFUNCTION("""COMPUTED_VALUE"""),60098.9555037573)</f>
        <v>60098.955503757301</v>
      </c>
      <c r="AY5" s="158">
        <f ca="1">IFERROR(__xludf.DUMMYFUNCTION("""COMPUTED_VALUE"""),62245.3421739021)</f>
        <v>62245.3421739021</v>
      </c>
      <c r="AZ5" s="158">
        <f ca="1">IFERROR(__xludf.DUMMYFUNCTION("""COMPUTED_VALUE"""),61042.8150749673)</f>
        <v>61042.8150749673</v>
      </c>
      <c r="BA5" s="158">
        <f ca="1">IFERROR(__xludf.DUMMYFUNCTION("""COMPUTED_VALUE"""),62717.0527637744)</f>
        <v>62717.052763774402</v>
      </c>
      <c r="BB5" s="158">
        <f ca="1">IFERROR(__xludf.DUMMYFUNCTION("""COMPUTED_VALUE"""),64175.2654896816)</f>
        <v>64175.265489681602</v>
      </c>
      <c r="BC5" s="158">
        <f ca="1">IFERROR(__xludf.DUMMYFUNCTION("""COMPUTED_VALUE"""),65344.965477466)</f>
        <v>65344.965477466001</v>
      </c>
      <c r="BD5" s="158">
        <f ca="1">IFERROR(__xludf.DUMMYFUNCTION("""COMPUTED_VALUE"""),66154.5598714995)</f>
        <v>66154.559871499499</v>
      </c>
      <c r="BE5" s="158">
        <f ca="1">IFERROR(__xludf.DUMMYFUNCTION("""COMPUTED_VALUE"""),67489.7029254121)</f>
        <v>67489.702925412101</v>
      </c>
      <c r="BF5" s="158">
        <f ca="1">IFERROR(__xludf.DUMMYFUNCTION("""COMPUTED_VALUE"""),68736.2779091713)</f>
        <v>68736.277909171302</v>
      </c>
      <c r="BG5" s="158">
        <f ca="1">IFERROR(__xludf.DUMMYFUNCTION("""COMPUTED_VALUE"""),69927.5746116486)</f>
        <v>69927.574611648597</v>
      </c>
      <c r="BH5" s="158">
        <f ca="1">IFERROR(__xludf.DUMMYFUNCTION("""COMPUTED_VALUE"""),71124.5122492073)</f>
        <v>71124.512249207299</v>
      </c>
      <c r="BI5" s="158">
        <f ca="1">IFERROR(__xludf.DUMMYFUNCTION("""COMPUTED_VALUE"""),72422.6206496798)</f>
        <v>72422.620649679797</v>
      </c>
      <c r="BJ5" s="119">
        <f ca="1">IFERROR(__xludf.DUMMYFUNCTION("""COMPUTED_VALUE"""),73711.055849375)</f>
        <v>73711.055849375</v>
      </c>
      <c r="BK5" s="119">
        <f ca="1">IFERROR(__xludf.DUMMYFUNCTION("""COMPUTED_VALUE"""),75010.4245959471)</f>
        <v>75010.424595947101</v>
      </c>
      <c r="BL5" s="119">
        <f ca="1">IFERROR(__xludf.DUMMYFUNCTION("""COMPUTED_VALUE"""),76338.0208299724)</f>
        <v>76338.020829972404</v>
      </c>
      <c r="BM5" s="119">
        <f ca="1">IFERROR(__xludf.DUMMYFUNCTION("""COMPUTED_VALUE"""),77699.7439397243)</f>
        <v>77699.7439397243</v>
      </c>
      <c r="BN5" s="119">
        <f ca="1">IFERROR(__xludf.DUMMYFUNCTION("""COMPUTED_VALUE"""),79078.0826646144)</f>
        <v>79078.082664614398</v>
      </c>
      <c r="BO5" s="119">
        <f ca="1">IFERROR(__xludf.DUMMYFUNCTION("""COMPUTED_VALUE"""),80479.9034091924)</f>
        <v>80479.903409192397</v>
      </c>
      <c r="BP5" s="119">
        <f ca="1">IFERROR(__xludf.DUMMYFUNCTION("""COMPUTED_VALUE"""),81908.4837224959)</f>
        <v>81908.483722495905</v>
      </c>
      <c r="BQ5" s="119">
        <f ca="1">IFERROR(__xludf.DUMMYFUNCTION("""COMPUTED_VALUE"""),83363.4402008129)</f>
        <v>83363.440200812896</v>
      </c>
      <c r="BR5" s="119">
        <f ca="1">IFERROR(__xludf.DUMMYFUNCTION("""COMPUTED_VALUE"""),84842.748424274)</f>
        <v>84842.748424274003</v>
      </c>
      <c r="BS5" s="119">
        <f ca="1">IFERROR(__xludf.DUMMYFUNCTION("""COMPUTED_VALUE"""),86348.4290025434)</f>
        <v>86348.429002543402</v>
      </c>
      <c r="BT5" s="119">
        <f ca="1">IFERROR(__xludf.DUMMYFUNCTION("""COMPUTED_VALUE"""),87881.2368667325)</f>
        <v>87881.236866732506</v>
      </c>
      <c r="BU5" s="119">
        <f ca="1">IFERROR(__xludf.DUMMYFUNCTION("""COMPUTED_VALUE"""),89441.2680609803)</f>
        <v>89441.268060980306</v>
      </c>
      <c r="BV5" s="119">
        <f ca="1">IFERROR(__xludf.DUMMYFUNCTION("""COMPUTED_VALUE"""),91028.7438574575)</f>
        <v>91028.743857457506</v>
      </c>
      <c r="BW5" s="119">
        <f ca="1">IFERROR(__xludf.DUMMYFUNCTION("""COMPUTED_VALUE"""),92644.4720836619)</f>
        <v>92644.472083661894</v>
      </c>
      <c r="BX5" s="119"/>
      <c r="BY5" s="119"/>
      <c r="BZ5" s="119"/>
      <c r="CA5" s="119"/>
      <c r="CB5" s="119"/>
      <c r="CC5" s="119"/>
      <c r="CD5" s="119"/>
      <c r="CE5" s="119"/>
      <c r="CF5" s="119"/>
      <c r="CG5" s="119"/>
    </row>
    <row r="6" spans="1:85" ht="15.75" customHeight="1" x14ac:dyDescent="0.2">
      <c r="A6" s="159" t="str">
        <f ca="1">IFERROR(__xludf.DUMMYFUNCTION("""COMPUTED_VALUE"""),"Total Visitors")</f>
        <v>Total Visitors</v>
      </c>
      <c r="B6" s="155" t="str">
        <f ca="1">IFERROR(__xludf.DUMMYFUNCTION("""COMPUTED_VALUE"""),"")</f>
        <v/>
      </c>
      <c r="C6" s="155" t="str">
        <f ca="1">IFERROR(__xludf.DUMMYFUNCTION("""COMPUTED_VALUE"""),"")</f>
        <v/>
      </c>
      <c r="D6" s="160">
        <f ca="1">IFERROR(__xludf.DUMMYFUNCTION("""COMPUTED_VALUE"""),7954.4)</f>
        <v>7954.4</v>
      </c>
      <c r="E6" s="160">
        <f ca="1">IFERROR(__xludf.DUMMYFUNCTION("""COMPUTED_VALUE"""),8358.2)</f>
        <v>8358.2000000000007</v>
      </c>
      <c r="F6" s="160">
        <f ca="1">IFERROR(__xludf.DUMMYFUNCTION("""COMPUTED_VALUE"""),8051)</f>
        <v>8051</v>
      </c>
      <c r="G6" s="160">
        <f ca="1">IFERROR(__xludf.DUMMYFUNCTION("""COMPUTED_VALUE"""),9126.2)</f>
        <v>9126.2000000000007</v>
      </c>
      <c r="H6" s="160">
        <f ca="1">IFERROR(__xludf.DUMMYFUNCTION("""COMPUTED_VALUE"""),10929)</f>
        <v>10929</v>
      </c>
      <c r="I6" s="160">
        <f ca="1">IFERROR(__xludf.DUMMYFUNCTION("""COMPUTED_VALUE"""),13560.5999999999)</f>
        <v>13560.5999999999</v>
      </c>
      <c r="J6" s="160">
        <f ca="1">IFERROR(__xludf.DUMMYFUNCTION("""COMPUTED_VALUE"""),15062.8)</f>
        <v>15062.8</v>
      </c>
      <c r="K6" s="160">
        <f ca="1">IFERROR(__xludf.DUMMYFUNCTION("""COMPUTED_VALUE"""),24647.1999999999)</f>
        <v>24647.199999999899</v>
      </c>
      <c r="L6" s="160">
        <f ca="1">IFERROR(__xludf.DUMMYFUNCTION("""COMPUTED_VALUE"""),34732.6)</f>
        <v>34732.6</v>
      </c>
      <c r="M6" s="160">
        <f ca="1">IFERROR(__xludf.DUMMYFUNCTION("""COMPUTED_VALUE"""),27367)</f>
        <v>27367</v>
      </c>
      <c r="N6" s="160">
        <f ca="1">IFERROR(__xludf.DUMMYFUNCTION("""COMPUTED_VALUE"""),28967.8)</f>
        <v>28967.8</v>
      </c>
      <c r="O6" s="160">
        <f ca="1">IFERROR(__xludf.DUMMYFUNCTION("""COMPUTED_VALUE"""),43160.3999999999)</f>
        <v>43160.3999999999</v>
      </c>
      <c r="P6" s="160">
        <f ca="1">IFERROR(__xludf.DUMMYFUNCTION("""COMPUTED_VALUE"""),45431.8)</f>
        <v>45431.8</v>
      </c>
      <c r="Q6" s="160">
        <f ca="1">IFERROR(__xludf.DUMMYFUNCTION("""COMPUTED_VALUE"""),62744.6)</f>
        <v>62744.6</v>
      </c>
      <c r="R6" s="160">
        <f ca="1">IFERROR(__xludf.DUMMYFUNCTION("""COMPUTED_VALUE"""),48594.3999999999)</f>
        <v>48594.3999999999</v>
      </c>
      <c r="S6" s="160">
        <f ca="1">IFERROR(__xludf.DUMMYFUNCTION("""COMPUTED_VALUE"""),57378.6)</f>
        <v>57378.6</v>
      </c>
      <c r="T6" s="160">
        <f ca="1">IFERROR(__xludf.DUMMYFUNCTION("""COMPUTED_VALUE"""),53313)</f>
        <v>53313</v>
      </c>
      <c r="U6" s="160">
        <f ca="1">IFERROR(__xludf.DUMMYFUNCTION("""COMPUTED_VALUE"""),56617.2)</f>
        <v>56617.2</v>
      </c>
      <c r="V6" s="160">
        <f ca="1">IFERROR(__xludf.DUMMYFUNCTION("""COMPUTED_VALUE"""),50787.2)</f>
        <v>50787.199999999997</v>
      </c>
      <c r="W6" s="160">
        <f ca="1">IFERROR(__xludf.DUMMYFUNCTION("""COMPUTED_VALUE"""),47705.3999999999)</f>
        <v>47705.3999999999</v>
      </c>
      <c r="X6" s="160">
        <f ca="1">IFERROR(__xludf.DUMMYFUNCTION("""COMPUTED_VALUE"""),57630.8)</f>
        <v>57630.8</v>
      </c>
      <c r="Y6" s="160">
        <f ca="1">IFERROR(__xludf.DUMMYFUNCTION("""COMPUTED_VALUE"""),51440.2105354089)</f>
        <v>51440.2105354089</v>
      </c>
      <c r="Z6" s="160">
        <f ca="1">IFERROR(__xludf.DUMMYFUNCTION("""COMPUTED_VALUE"""),53843.2029135989)</f>
        <v>53843.2029135989</v>
      </c>
      <c r="AA6" s="160">
        <f ca="1">IFERROR(__xludf.DUMMYFUNCTION("""COMPUTED_VALUE"""),57314.4971547697)</f>
        <v>57314.497154769699</v>
      </c>
      <c r="AB6" s="160">
        <f ca="1">IFERROR(__xludf.DUMMYFUNCTION("""COMPUTED_VALUE"""),57575.4142829548)</f>
        <v>57575.4142829548</v>
      </c>
      <c r="AC6" s="160">
        <f ca="1">IFERROR(__xludf.DUMMYFUNCTION("""COMPUTED_VALUE"""),59259.8915141306)</f>
        <v>59259.891514130599</v>
      </c>
      <c r="AD6" s="160">
        <f ca="1">IFERROR(__xludf.DUMMYFUNCTION("""COMPUTED_VALUE"""),56261.2195590176)</f>
        <v>56261.219559017598</v>
      </c>
      <c r="AE6" s="160">
        <f ca="1">IFERROR(__xludf.DUMMYFUNCTION("""COMPUTED_VALUE"""),53692.8309173721)</f>
        <v>53692.830917372099</v>
      </c>
      <c r="AF6" s="160">
        <f ca="1">IFERROR(__xludf.DUMMYFUNCTION("""COMPUTED_VALUE"""),50084.6246152355)</f>
        <v>50084.624615235502</v>
      </c>
      <c r="AG6" s="160">
        <f ca="1">IFERROR(__xludf.DUMMYFUNCTION("""COMPUTED_VALUE"""),51125.6890452344)</f>
        <v>51125.689045234401</v>
      </c>
      <c r="AH6" s="160">
        <f ca="1">IFERROR(__xludf.DUMMYFUNCTION("""COMPUTED_VALUE"""),52162.4795212524)</f>
        <v>52162.479521252397</v>
      </c>
      <c r="AI6" s="160">
        <f ca="1">IFERROR(__xludf.DUMMYFUNCTION("""COMPUTED_VALUE"""),53289.7119624468)</f>
        <v>53289.711962446803</v>
      </c>
      <c r="AJ6" s="160">
        <f ca="1">IFERROR(__xludf.DUMMYFUNCTION("""COMPUTED_VALUE"""),54441.4668090655)</f>
        <v>54441.466809065503</v>
      </c>
      <c r="AK6" s="160">
        <f ca="1">IFERROR(__xludf.DUMMYFUNCTION("""COMPUTED_VALUE"""),55626.0251051166)</f>
        <v>55626.025105116598</v>
      </c>
      <c r="AL6" s="160">
        <f ca="1">IFERROR(__xludf.DUMMYFUNCTION("""COMPUTED_VALUE"""),56858.0530670683)</f>
        <v>56858.0530670683</v>
      </c>
      <c r="AM6" s="160">
        <f ca="1">IFERROR(__xludf.DUMMYFUNCTION("""COMPUTED_VALUE"""),58121.381173676)</f>
        <v>58121.381173676004</v>
      </c>
      <c r="AN6" s="160">
        <f ca="1">IFERROR(__xludf.DUMMYFUNCTION("""COMPUTED_VALUE"""),59418.9756722019)</f>
        <v>59418.975672201901</v>
      </c>
      <c r="AO6" s="160">
        <f ca="1">IFERROR(__xludf.DUMMYFUNCTION("""COMPUTED_VALUE"""),60751.6725735119)</f>
        <v>60751.672573511903</v>
      </c>
      <c r="AP6" s="160">
        <f ca="1">IFERROR(__xludf.DUMMYFUNCTION("""COMPUTED_VALUE"""),62115.1225737017)</f>
        <v>62115.122573701701</v>
      </c>
      <c r="AQ6" s="160">
        <f ca="1">IFERROR(__xludf.DUMMYFUNCTION("""COMPUTED_VALUE"""),63509.3918307537)</f>
        <v>63509.391830753702</v>
      </c>
      <c r="AR6" s="160">
        <f ca="1">IFERROR(__xludf.DUMMYFUNCTION("""COMPUTED_VALUE"""),64933.4449863231)</f>
        <v>64933.444986323098</v>
      </c>
      <c r="AS6" s="160">
        <f ca="1">IFERROR(__xludf.DUMMYFUNCTION("""COMPUTED_VALUE"""),66385.5522109575)</f>
        <v>66385.552210957496</v>
      </c>
      <c r="AT6" s="160">
        <f ca="1">IFERROR(__xludf.DUMMYFUNCTION("""COMPUTED_VALUE"""),67864.9377412257)</f>
        <v>67864.937741225702</v>
      </c>
      <c r="AU6" s="160">
        <f ca="1">IFERROR(__xludf.DUMMYFUNCTION("""COMPUTED_VALUE"""),69370.5076531143)</f>
        <v>69370.507653114299</v>
      </c>
      <c r="AV6" s="160">
        <f ca="1">IFERROR(__xludf.DUMMYFUNCTION("""COMPUTED_VALUE"""),70901.1400944607)</f>
        <v>70901.140094460701</v>
      </c>
      <c r="AW6" s="160">
        <f ca="1">IFERROR(__xludf.DUMMYFUNCTION("""COMPUTED_VALUE"""),72455.9265003614)</f>
        <v>72455.926500361398</v>
      </c>
      <c r="AX6" s="160">
        <f ca="1">IFERROR(__xludf.DUMMYFUNCTION("""COMPUTED_VALUE"""),74033.9032445583)</f>
        <v>74033.9032445583</v>
      </c>
      <c r="AY6" s="160">
        <f ca="1">IFERROR(__xludf.DUMMYFUNCTION("""COMPUTED_VALUE"""),75634.1474836501)</f>
        <v>75634.1474836501</v>
      </c>
      <c r="AZ6" s="160">
        <f ca="1">IFERROR(__xludf.DUMMYFUNCTION("""COMPUTED_VALUE"""),73906.8825229901)</f>
        <v>73906.882522990098</v>
      </c>
      <c r="BA6" s="160">
        <f ca="1">IFERROR(__xludf.DUMMYFUNCTION("""COMPUTED_VALUE"""),75076.9480254371)</f>
        <v>75076.948025437101</v>
      </c>
      <c r="BB6" s="160">
        <f ca="1">IFERROR(__xludf.DUMMYFUNCTION("""COMPUTED_VALUE"""),76050.7482245575)</f>
        <v>76050.748224557494</v>
      </c>
      <c r="BC6" s="160">
        <f ca="1">IFERROR(__xludf.DUMMYFUNCTION("""COMPUTED_VALUE"""),76755.0209189361)</f>
        <v>76755.020918936105</v>
      </c>
      <c r="BD6" s="160">
        <f ca="1">IFERROR(__xludf.DUMMYFUNCTION("""COMPUTED_VALUE"""),77117.4291782841)</f>
        <v>77117.429178284103</v>
      </c>
      <c r="BE6" s="160">
        <f ca="1">IFERROR(__xludf.DUMMYFUNCTION("""COMPUTED_VALUE"""),78022.9123435562)</f>
        <v>78022.912343556207</v>
      </c>
      <c r="BF6" s="160">
        <f ca="1">IFERROR(__xludf.DUMMYFUNCTION("""COMPUTED_VALUE"""),78856.6667911054)</f>
        <v>78856.666791105396</v>
      </c>
      <c r="BG6" s="160">
        <f ca="1">IFERROR(__xludf.DUMMYFUNCTION("""COMPUTED_VALUE"""),79651.3223371184)</f>
        <v>79651.322337118399</v>
      </c>
      <c r="BH6" s="160">
        <f ca="1">IFERROR(__xludf.DUMMYFUNCTION("""COMPUTED_VALUE"""),80467.1640911105)</f>
        <v>80467.164091110506</v>
      </c>
      <c r="BI6" s="160">
        <f ca="1">IFERROR(__xludf.DUMMYFUNCTION("""COMPUTED_VALUE"""),81399.1126261622)</f>
        <v>81399.112626162198</v>
      </c>
      <c r="BJ6" s="160">
        <f ca="1">IFERROR(__xludf.DUMMYFUNCTION("""COMPUTED_VALUE"""),82335.7386019154)</f>
        <v>82335.738601915393</v>
      </c>
      <c r="BK6" s="160">
        <f ca="1">IFERROR(__xludf.DUMMYFUNCTION("""COMPUTED_VALUE"""),83297.0863316062)</f>
        <v>83297.086331606202</v>
      </c>
      <c r="BL6" s="160">
        <f ca="1">IFERROR(__xludf.DUMMYFUNCTION("""COMPUTED_VALUE"""),84299.9093644823)</f>
        <v>84299.909364482301</v>
      </c>
      <c r="BM6" s="160">
        <f ca="1">IFERROR(__xludf.DUMMYFUNCTION("""COMPUTED_VALUE"""),85349.587876659)</f>
        <v>85349.587876659003</v>
      </c>
      <c r="BN6" s="160">
        <f ca="1">IFERROR(__xludf.DUMMYFUNCTION("""COMPUTED_VALUE"""),86428.1117445001)</f>
        <v>86428.1117445001</v>
      </c>
      <c r="BO6" s="160">
        <f ca="1">IFERROR(__xludf.DUMMYFUNCTION("""COMPUTED_VALUE"""),87541.86806109)</f>
        <v>87541.868061090005</v>
      </c>
      <c r="BP6" s="160">
        <f ca="1">IFERROR(__xludf.DUMMYFUNCTION("""COMPUTED_VALUE"""),88693.6738493119)</f>
        <v>88693.673849311905</v>
      </c>
      <c r="BQ6" s="160">
        <f ca="1">IFERROR(__xludf.DUMMYFUNCTION("""COMPUTED_VALUE"""),89882.7032283713)</f>
        <v>89882.703228371305</v>
      </c>
      <c r="BR6" s="160">
        <f ca="1">IFERROR(__xludf.DUMMYFUNCTION("""COMPUTED_VALUE"""),91106.5066430042)</f>
        <v>91106.506643004206</v>
      </c>
      <c r="BS6" s="160">
        <f ca="1">IFERROR(__xludf.DUMMYFUNCTION("""COMPUTED_VALUE"""),92366.696229507)</f>
        <v>92366.696229506997</v>
      </c>
      <c r="BT6" s="160">
        <f ca="1">IFERROR(__xludf.DUMMYFUNCTION("""COMPUTED_VALUE"""),93663.6344546276)</f>
        <v>93663.634454627594</v>
      </c>
      <c r="BU6" s="160">
        <f ca="1">IFERROR(__xludf.DUMMYFUNCTION("""COMPUTED_VALUE"""),94997.0402797166)</f>
        <v>94997.040279716603</v>
      </c>
      <c r="BV6" s="160">
        <f ca="1">IFERROR(__xludf.DUMMYFUNCTION("""COMPUTED_VALUE"""),96366.7726728918)</f>
        <v>96366.772672891806</v>
      </c>
      <c r="BW6" s="160">
        <f ca="1">IFERROR(__xludf.DUMMYFUNCTION("""COMPUTED_VALUE"""),97773.2913571217)</f>
        <v>97773.291357121707</v>
      </c>
      <c r="BX6" s="160"/>
      <c r="BY6" s="160"/>
      <c r="BZ6" s="160"/>
      <c r="CA6" s="160"/>
      <c r="CB6" s="160"/>
      <c r="CC6" s="160"/>
      <c r="CD6" s="160"/>
      <c r="CE6" s="160"/>
      <c r="CF6" s="160"/>
      <c r="CG6" s="160"/>
    </row>
    <row r="7" spans="1:85" ht="15.75" customHeight="1" x14ac:dyDescent="0.2">
      <c r="A7" s="155" t="str">
        <f ca="1">IFERROR(__xludf.DUMMYFUNCTION("""COMPUTED_VALUE"""),"  Visitor Growth, m/m")</f>
        <v xml:space="preserve">  Visitor Growth, m/m</v>
      </c>
      <c r="B7" s="155" t="str">
        <f ca="1">IFERROR(__xludf.DUMMYFUNCTION("""COMPUTED_VALUE"""),"")</f>
        <v/>
      </c>
      <c r="C7" s="155" t="str">
        <f ca="1">IFERROR(__xludf.DUMMYFUNCTION("""COMPUTED_VALUE"""),"")</f>
        <v/>
      </c>
      <c r="D7" s="161" t="str">
        <f ca="1">IFERROR(__xludf.DUMMYFUNCTION("""COMPUTED_VALUE"""),"")</f>
        <v/>
      </c>
      <c r="E7" s="162">
        <f ca="1">IFERROR(__xludf.DUMMYFUNCTION("""COMPUTED_VALUE"""),0.0507643568339537)</f>
        <v>5.0764356833953701E-2</v>
      </c>
      <c r="F7" s="162">
        <f ca="1">IFERROR(__xludf.DUMMYFUNCTION("""COMPUTED_VALUE"""),-0.0367543250939198)</f>
        <v>-3.67543250939198E-2</v>
      </c>
      <c r="G7" s="162">
        <f ca="1">IFERROR(__xludf.DUMMYFUNCTION("""COMPUTED_VALUE"""),0.133548627499689)</f>
        <v>0.13354862749968899</v>
      </c>
      <c r="H7" s="162">
        <f ca="1">IFERROR(__xludf.DUMMYFUNCTION("""COMPUTED_VALUE"""),0.197541145274046)</f>
        <v>0.19754114527404601</v>
      </c>
      <c r="I7" s="162">
        <f ca="1">IFERROR(__xludf.DUMMYFUNCTION("""COMPUTED_VALUE"""),0.240790557233049)</f>
        <v>0.24079055723304901</v>
      </c>
      <c r="J7" s="162">
        <f ca="1">IFERROR(__xludf.DUMMYFUNCTION("""COMPUTED_VALUE"""),0.110776809285724)</f>
        <v>0.110776809285724</v>
      </c>
      <c r="K7" s="162">
        <f ca="1">IFERROR(__xludf.DUMMYFUNCTION("""COMPUTED_VALUE"""),0.636296040576785)</f>
        <v>0.63629604057678502</v>
      </c>
      <c r="L7" s="162">
        <f ca="1">IFERROR(__xludf.DUMMYFUNCTION("""COMPUTED_VALUE"""),0.409190496283553)</f>
        <v>0.40919049628355297</v>
      </c>
      <c r="M7" s="162">
        <f ca="1">IFERROR(__xludf.DUMMYFUNCTION("""COMPUTED_VALUE"""),-0.212065897744482)</f>
        <v>-0.21206589774448201</v>
      </c>
      <c r="N7" s="162">
        <f ca="1">IFERROR(__xludf.DUMMYFUNCTION("""COMPUTED_VALUE"""),0.0584938064091788)</f>
        <v>5.8493806409178797E-2</v>
      </c>
      <c r="O7" s="162">
        <f ca="1">IFERROR(__xludf.DUMMYFUNCTION("""COMPUTED_VALUE"""),0.48994400679375)</f>
        <v>0.48994400679375</v>
      </c>
      <c r="P7" s="162">
        <f ca="1">IFERROR(__xludf.DUMMYFUNCTION("""COMPUTED_VALUE"""),0.052626945070018)</f>
        <v>5.2626945070018E-2</v>
      </c>
      <c r="Q7" s="162">
        <f ca="1">IFERROR(__xludf.DUMMYFUNCTION("""COMPUTED_VALUE"""),0.381072288573201)</f>
        <v>0.38107228857320102</v>
      </c>
      <c r="R7" s="162">
        <f ca="1">IFERROR(__xludf.DUMMYFUNCTION("""COMPUTED_VALUE"""),-0.225520602569783)</f>
        <v>-0.22552060256978301</v>
      </c>
      <c r="S7" s="162">
        <f ca="1">IFERROR(__xludf.DUMMYFUNCTION("""COMPUTED_VALUE"""),0.180765684934889)</f>
        <v>0.18076568493488901</v>
      </c>
      <c r="T7" s="162">
        <f ca="1">IFERROR(__xludf.DUMMYFUNCTION("""COMPUTED_VALUE"""),-0.0708556848720602)</f>
        <v>-7.0855684872060204E-2</v>
      </c>
      <c r="U7" s="162">
        <f ca="1">IFERROR(__xludf.DUMMYFUNCTION("""COMPUTED_VALUE"""),0.0619773788756963)</f>
        <v>6.19773788756963E-2</v>
      </c>
      <c r="V7" s="162">
        <f ca="1">IFERROR(__xludf.DUMMYFUNCTION("""COMPUTED_VALUE"""),-0.102972241650947)</f>
        <v>-0.102972241650947</v>
      </c>
      <c r="W7" s="162">
        <f ca="1">IFERROR(__xludf.DUMMYFUNCTION("""COMPUTED_VALUE"""),-0.0606806439417806)</f>
        <v>-6.0680643941780597E-2</v>
      </c>
      <c r="X7" s="162">
        <f ca="1">IFERROR(__xludf.DUMMYFUNCTION("""COMPUTED_VALUE"""),0.208056111048225)</f>
        <v>0.208056111048225</v>
      </c>
      <c r="Y7" s="162">
        <f ca="1">IFERROR(__xludf.DUMMYFUNCTION("""COMPUTED_VALUE"""),-0.107418072707495)</f>
        <v>-0.107418072707495</v>
      </c>
      <c r="Z7" s="162">
        <f ca="1">IFERROR(__xludf.DUMMYFUNCTION("""COMPUTED_VALUE"""),0.046714279610811)</f>
        <v>4.6714279610811003E-2</v>
      </c>
      <c r="AA7" s="162">
        <f ca="1">IFERROR(__xludf.DUMMYFUNCTION("""COMPUTED_VALUE"""),0.0644704262252207)</f>
        <v>6.4470426225220701E-2</v>
      </c>
      <c r="AB7" s="162">
        <f ca="1">IFERROR(__xludf.DUMMYFUNCTION("""COMPUTED_VALUE"""),0.0045523757711865)</f>
        <v>4.5523757711865001E-3</v>
      </c>
      <c r="AC7" s="162">
        <f ca="1">IFERROR(__xludf.DUMMYFUNCTION("""COMPUTED_VALUE"""),0.0292568842474567)</f>
        <v>2.9256884247456701E-2</v>
      </c>
      <c r="AD7" s="162">
        <f ca="1">IFERROR(__xludf.DUMMYFUNCTION("""COMPUTED_VALUE"""),-0.0506020493540393)</f>
        <v>-5.0602049354039301E-2</v>
      </c>
      <c r="AE7" s="162">
        <f ca="1">IFERROR(__xludf.DUMMYFUNCTION("""COMPUTED_VALUE"""),-0.0456511369959059)</f>
        <v>-4.5651136995905901E-2</v>
      </c>
      <c r="AF7" s="162">
        <f ca="1">IFERROR(__xludf.DUMMYFUNCTION("""COMPUTED_VALUE"""),-0.067200895175172)</f>
        <v>-6.7200895175171999E-2</v>
      </c>
      <c r="AG7" s="162">
        <f ca="1">IFERROR(__xludf.DUMMYFUNCTION("""COMPUTED_VALUE"""),0.0207861082716831)</f>
        <v>2.0786108271683101E-2</v>
      </c>
      <c r="AH7" s="162">
        <f ca="1">IFERROR(__xludf.DUMMYFUNCTION("""COMPUTED_VALUE"""),0.020279246996566)</f>
        <v>2.0279246996566001E-2</v>
      </c>
      <c r="AI7" s="162">
        <f ca="1">IFERROR(__xludf.DUMMYFUNCTION("""COMPUTED_VALUE"""),0.0216100241311418)</f>
        <v>2.1610024131141801E-2</v>
      </c>
      <c r="AJ7" s="162">
        <f ca="1">IFERROR(__xludf.DUMMYFUNCTION("""COMPUTED_VALUE"""),0.0216130807280461)</f>
        <v>2.1613080728046099E-2</v>
      </c>
      <c r="AK7" s="162">
        <f ca="1">IFERROR(__xludf.DUMMYFUNCTION("""COMPUTED_VALUE"""),0.0217583831862122)</f>
        <v>2.1758383186212201E-2</v>
      </c>
      <c r="AL7" s="162">
        <f ca="1">IFERROR(__xludf.DUMMYFUNCTION("""COMPUTED_VALUE"""),0.0221484091236701)</f>
        <v>2.2148409123670099E-2</v>
      </c>
      <c r="AM7" s="162">
        <f ca="1">IFERROR(__xludf.DUMMYFUNCTION("""COMPUTED_VALUE"""),0.0222189828610115)</f>
        <v>2.22189828610115E-2</v>
      </c>
      <c r="AN7" s="162">
        <f ca="1">IFERROR(__xludf.DUMMYFUNCTION("""COMPUTED_VALUE"""),0.0223255964039894)</f>
        <v>2.2325596403989401E-2</v>
      </c>
      <c r="AO7" s="162">
        <f ca="1">IFERROR(__xludf.DUMMYFUNCTION("""COMPUTED_VALUE"""),0.0224288097570402)</f>
        <v>2.2428809757040199E-2</v>
      </c>
      <c r="AP7" s="162">
        <f ca="1">IFERROR(__xludf.DUMMYFUNCTION("""COMPUTED_VALUE"""),0.0224430034998619)</f>
        <v>2.2443003499861901E-2</v>
      </c>
      <c r="AQ7" s="162">
        <f ca="1">IFERROR(__xludf.DUMMYFUNCTION("""COMPUTED_VALUE"""),0.0224465347451845)</f>
        <v>2.2446534745184502E-2</v>
      </c>
      <c r="AR7" s="162">
        <f ca="1">IFERROR(__xludf.DUMMYFUNCTION("""COMPUTED_VALUE"""),0.0224227175622204)</f>
        <v>2.24227175622204E-2</v>
      </c>
      <c r="AS7" s="162">
        <f ca="1">IFERROR(__xludf.DUMMYFUNCTION("""COMPUTED_VALUE"""),0.0223630091540689)</f>
        <v>2.23630091540689E-2</v>
      </c>
      <c r="AT7" s="162">
        <f ca="1">IFERROR(__xludf.DUMMYFUNCTION("""COMPUTED_VALUE"""),0.0222847514406014)</f>
        <v>2.2284751440601401E-2</v>
      </c>
      <c r="AU7" s="162">
        <f ca="1">IFERROR(__xludf.DUMMYFUNCTION("""COMPUTED_VALUE"""),0.0221847976583928)</f>
        <v>2.2184797658392801E-2</v>
      </c>
      <c r="AV7" s="162">
        <f ca="1">IFERROR(__xludf.DUMMYFUNCTION("""COMPUTED_VALUE"""),0.0220645991088936)</f>
        <v>2.20645991088936E-2</v>
      </c>
      <c r="AW7" s="162">
        <f ca="1">IFERROR(__xludf.DUMMYFUNCTION("""COMPUTED_VALUE"""),0.0219289337777828)</f>
        <v>2.1928933777782801E-2</v>
      </c>
      <c r="AX7" s="162">
        <f ca="1">IFERROR(__xludf.DUMMYFUNCTION("""COMPUTED_VALUE"""),0.0217784358079953)</f>
        <v>2.1778435807995301E-2</v>
      </c>
      <c r="AY7" s="162">
        <f ca="1">IFERROR(__xludf.DUMMYFUNCTION("""COMPUTED_VALUE"""),0.0216150191866237)</f>
        <v>2.1615019186623698E-2</v>
      </c>
      <c r="AZ7" s="162">
        <f ca="1">IFERROR(__xludf.DUMMYFUNCTION("""COMPUTED_VALUE"""),-0.0228371049073222)</f>
        <v>-2.28371049073222E-2</v>
      </c>
      <c r="BA7" s="162">
        <f ca="1">IFERROR(__xludf.DUMMYFUNCTION("""COMPUTED_VALUE"""),0.0158316176045316)</f>
        <v>1.5831617604531601E-2</v>
      </c>
      <c r="BB7" s="162">
        <f ca="1">IFERROR(__xludf.DUMMYFUNCTION("""COMPUTED_VALUE"""),0.0129706950632897)</f>
        <v>1.2970695063289701E-2</v>
      </c>
      <c r="BC7" s="162">
        <f ca="1">IFERROR(__xludf.DUMMYFUNCTION("""COMPUTED_VALUE"""),0.00926056233265471)</f>
        <v>9.2605623326547093E-3</v>
      </c>
      <c r="BD7" s="162">
        <f ca="1">IFERROR(__xludf.DUMMYFUNCTION("""COMPUTED_VALUE"""),0.00472162283338772)</f>
        <v>4.7216228333877199E-3</v>
      </c>
      <c r="BE7" s="162">
        <f ca="1">IFERROR(__xludf.DUMMYFUNCTION("""COMPUTED_VALUE"""),0.0117416150268543)</f>
        <v>1.17416150268543E-2</v>
      </c>
      <c r="BF7" s="162">
        <f ca="1">IFERROR(__xludf.DUMMYFUNCTION("""COMPUTED_VALUE"""),0.0106860205868493)</f>
        <v>1.0686020586849299E-2</v>
      </c>
      <c r="BG7" s="162">
        <f ca="1">IFERROR(__xludf.DUMMYFUNCTION("""COMPUTED_VALUE"""),0.0100772145000511)</f>
        <v>1.00772145000511E-2</v>
      </c>
      <c r="BH7" s="162">
        <f ca="1">IFERROR(__xludf.DUMMYFUNCTION("""COMPUTED_VALUE"""),0.010242664277928)</f>
        <v>1.0242664277928E-2</v>
      </c>
      <c r="BI7" s="162">
        <f ca="1">IFERROR(__xludf.DUMMYFUNCTION("""COMPUTED_VALUE"""),0.0115817246149798)</f>
        <v>1.15817246149798E-2</v>
      </c>
      <c r="BJ7" s="162">
        <f ca="1">IFERROR(__xludf.DUMMYFUNCTION("""COMPUTED_VALUE"""),0.0115065870564805)</f>
        <v>1.15065870564805E-2</v>
      </c>
      <c r="BK7" s="162">
        <f ca="1">IFERROR(__xludf.DUMMYFUNCTION("""COMPUTED_VALUE"""),0.0116759471162191)</f>
        <v>1.1675947116219099E-2</v>
      </c>
      <c r="BL7" s="162">
        <f ca="1">IFERROR(__xludf.DUMMYFUNCTION("""COMPUTED_VALUE"""),0.0120391129754997)</f>
        <v>1.2039112975499699E-2</v>
      </c>
      <c r="BM7" s="162">
        <f ca="1">IFERROR(__xludf.DUMMYFUNCTION("""COMPUTED_VALUE"""),0.012451715785817)</f>
        <v>1.2451715785817E-2</v>
      </c>
      <c r="BN7" s="162">
        <f ca="1">IFERROR(__xludf.DUMMYFUNCTION("""COMPUTED_VALUE"""),0.0126365445302409)</f>
        <v>1.2636544530240899E-2</v>
      </c>
      <c r="BO7" s="162">
        <f ca="1">IFERROR(__xludf.DUMMYFUNCTION("""COMPUTED_VALUE"""),0.012886505259797)</f>
        <v>1.2886505259796999E-2</v>
      </c>
      <c r="BP7" s="162">
        <f ca="1">IFERROR(__xludf.DUMMYFUNCTION("""COMPUTED_VALUE"""),0.0131571991063534)</f>
        <v>1.31571991063534E-2</v>
      </c>
      <c r="BQ7" s="162">
        <f ca="1">IFERROR(__xludf.DUMMYFUNCTION("""COMPUTED_VALUE"""),0.0134060224078615)</f>
        <v>1.34060224078615E-2</v>
      </c>
      <c r="BR7" s="162">
        <f ca="1">IFERROR(__xludf.DUMMYFUNCTION("""COMPUTED_VALUE"""),0.0136155608440426)</f>
        <v>1.36155608440426E-2</v>
      </c>
      <c r="BS7" s="162">
        <f ca="1">IFERROR(__xludf.DUMMYFUNCTION("""COMPUTED_VALUE"""),0.0138320481482263)</f>
        <v>1.3832048148226301E-2</v>
      </c>
      <c r="BT7" s="162">
        <f ca="1">IFERROR(__xludf.DUMMYFUNCTION("""COMPUTED_VALUE"""),0.0140411888490428)</f>
        <v>1.4041188849042799E-2</v>
      </c>
      <c r="BU7" s="162">
        <f ca="1">IFERROR(__xludf.DUMMYFUNCTION("""COMPUTED_VALUE"""),0.0142361102348094)</f>
        <v>1.4236110234809401E-2</v>
      </c>
      <c r="BV7" s="162">
        <f ca="1">IFERROR(__xludf.DUMMYFUNCTION("""COMPUTED_VALUE"""),0.0144186849310472)</f>
        <v>1.44186849310472E-2</v>
      </c>
      <c r="BW7" s="162">
        <f ca="1">IFERROR(__xludf.DUMMYFUNCTION("""COMPUTED_VALUE"""),0.0145954735768125)</f>
        <v>1.45954735768125E-2</v>
      </c>
      <c r="BX7" s="162"/>
      <c r="BY7" s="162"/>
      <c r="BZ7" s="162"/>
      <c r="CA7" s="162"/>
      <c r="CB7" s="162"/>
      <c r="CC7" s="162"/>
      <c r="CD7" s="162"/>
      <c r="CE7" s="162"/>
      <c r="CF7" s="162"/>
      <c r="CG7" s="162"/>
    </row>
    <row r="8" spans="1:85" ht="15.75" customHeight="1" x14ac:dyDescent="0.2">
      <c r="A8" s="155" t="str">
        <f ca="1">IFERROR(__xludf.DUMMYFUNCTION("""COMPUTED_VALUE"""),"Signups")</f>
        <v>Signups</v>
      </c>
      <c r="B8" s="155" t="str">
        <f ca="1">IFERROR(__xludf.DUMMYFUNCTION("""COMPUTED_VALUE"""),"")</f>
        <v/>
      </c>
      <c r="C8" s="155" t="str">
        <f ca="1">IFERROR(__xludf.DUMMYFUNCTION("""COMPUTED_VALUE"""),"")</f>
        <v/>
      </c>
      <c r="D8" s="155" t="str">
        <f ca="1">IFERROR(__xludf.DUMMYFUNCTION("""COMPUTED_VALUE"""),"")</f>
        <v/>
      </c>
      <c r="E8" s="155" t="str">
        <f ca="1">IFERROR(__xludf.DUMMYFUNCTION("""COMPUTED_VALUE"""),"")</f>
        <v/>
      </c>
      <c r="F8" s="155" t="str">
        <f ca="1">IFERROR(__xludf.DUMMYFUNCTION("""COMPUTED_VALUE"""),"")</f>
        <v/>
      </c>
      <c r="G8" s="155" t="str">
        <f ca="1">IFERROR(__xludf.DUMMYFUNCTION("""COMPUTED_VALUE"""),"")</f>
        <v/>
      </c>
      <c r="H8" s="155" t="str">
        <f ca="1">IFERROR(__xludf.DUMMYFUNCTION("""COMPUTED_VALUE"""),"")</f>
        <v/>
      </c>
      <c r="I8" s="155" t="str">
        <f ca="1">IFERROR(__xludf.DUMMYFUNCTION("""COMPUTED_VALUE"""),"")</f>
        <v/>
      </c>
      <c r="J8" s="155" t="str">
        <f ca="1">IFERROR(__xludf.DUMMYFUNCTION("""COMPUTED_VALUE"""),"")</f>
        <v/>
      </c>
      <c r="K8" s="155" t="str">
        <f ca="1">IFERROR(__xludf.DUMMYFUNCTION("""COMPUTED_VALUE"""),"")</f>
        <v/>
      </c>
      <c r="L8" s="155" t="str">
        <f ca="1">IFERROR(__xludf.DUMMYFUNCTION("""COMPUTED_VALUE"""),"")</f>
        <v/>
      </c>
      <c r="M8" s="155" t="str">
        <f ca="1">IFERROR(__xludf.DUMMYFUNCTION("""COMPUTED_VALUE"""),"")</f>
        <v/>
      </c>
      <c r="N8" s="155" t="str">
        <f ca="1">IFERROR(__xludf.DUMMYFUNCTION("""COMPUTED_VALUE"""),"")</f>
        <v/>
      </c>
      <c r="O8" s="155" t="str">
        <f ca="1">IFERROR(__xludf.DUMMYFUNCTION("""COMPUTED_VALUE"""),"")</f>
        <v/>
      </c>
      <c r="P8" s="155" t="str">
        <f ca="1">IFERROR(__xludf.DUMMYFUNCTION("""COMPUTED_VALUE"""),"")</f>
        <v/>
      </c>
      <c r="Q8" s="155" t="str">
        <f ca="1">IFERROR(__xludf.DUMMYFUNCTION("""COMPUTED_VALUE"""),"")</f>
        <v/>
      </c>
      <c r="R8" s="155" t="str">
        <f ca="1">IFERROR(__xludf.DUMMYFUNCTION("""COMPUTED_VALUE"""),"")</f>
        <v/>
      </c>
      <c r="S8" s="155" t="str">
        <f ca="1">IFERROR(__xludf.DUMMYFUNCTION("""COMPUTED_VALUE"""),"")</f>
        <v/>
      </c>
      <c r="T8" s="155" t="str">
        <f ca="1">IFERROR(__xludf.DUMMYFUNCTION("""COMPUTED_VALUE"""),"")</f>
        <v/>
      </c>
      <c r="U8" s="155" t="str">
        <f ca="1">IFERROR(__xludf.DUMMYFUNCTION("""COMPUTED_VALUE"""),"")</f>
        <v/>
      </c>
      <c r="V8" s="155" t="str">
        <f ca="1">IFERROR(__xludf.DUMMYFUNCTION("""COMPUTED_VALUE"""),"")</f>
        <v/>
      </c>
      <c r="W8" s="155" t="str">
        <f ca="1">IFERROR(__xludf.DUMMYFUNCTION("""COMPUTED_VALUE"""),"")</f>
        <v/>
      </c>
      <c r="X8" s="155" t="str">
        <f ca="1">IFERROR(__xludf.DUMMYFUNCTION("""COMPUTED_VALUE"""),"")</f>
        <v/>
      </c>
      <c r="Y8" s="155" t="str">
        <f ca="1">IFERROR(__xludf.DUMMYFUNCTION("""COMPUTED_VALUE"""),"")</f>
        <v/>
      </c>
      <c r="Z8" s="155" t="str">
        <f ca="1">IFERROR(__xludf.DUMMYFUNCTION("""COMPUTED_VALUE"""),"")</f>
        <v/>
      </c>
      <c r="AA8" s="155" t="str">
        <f ca="1">IFERROR(__xludf.DUMMYFUNCTION("""COMPUTED_VALUE"""),"")</f>
        <v/>
      </c>
      <c r="AB8" s="155" t="str">
        <f ca="1">IFERROR(__xludf.DUMMYFUNCTION("""COMPUTED_VALUE"""),"")</f>
        <v/>
      </c>
      <c r="AC8" s="155" t="str">
        <f ca="1">IFERROR(__xludf.DUMMYFUNCTION("""COMPUTED_VALUE"""),"")</f>
        <v/>
      </c>
      <c r="AD8" s="155" t="str">
        <f ca="1">IFERROR(__xludf.DUMMYFUNCTION("""COMPUTED_VALUE"""),"")</f>
        <v/>
      </c>
      <c r="AE8" s="155" t="str">
        <f ca="1">IFERROR(__xludf.DUMMYFUNCTION("""COMPUTED_VALUE"""),"")</f>
        <v/>
      </c>
      <c r="AF8" s="155" t="str">
        <f ca="1">IFERROR(__xludf.DUMMYFUNCTION("""COMPUTED_VALUE"""),"")</f>
        <v/>
      </c>
      <c r="AG8" s="155" t="str">
        <f ca="1">IFERROR(__xludf.DUMMYFUNCTION("""COMPUTED_VALUE"""),"")</f>
        <v/>
      </c>
      <c r="AH8" s="155" t="str">
        <f ca="1">IFERROR(__xludf.DUMMYFUNCTION("""COMPUTED_VALUE"""),"")</f>
        <v/>
      </c>
      <c r="AI8" s="155" t="str">
        <f ca="1">IFERROR(__xludf.DUMMYFUNCTION("""COMPUTED_VALUE"""),"")</f>
        <v/>
      </c>
      <c r="AJ8" s="155" t="str">
        <f ca="1">IFERROR(__xludf.DUMMYFUNCTION("""COMPUTED_VALUE"""),"")</f>
        <v/>
      </c>
      <c r="AK8" s="155" t="str">
        <f ca="1">IFERROR(__xludf.DUMMYFUNCTION("""COMPUTED_VALUE"""),"")</f>
        <v/>
      </c>
      <c r="AL8" s="155" t="str">
        <f ca="1">IFERROR(__xludf.DUMMYFUNCTION("""COMPUTED_VALUE"""),"")</f>
        <v/>
      </c>
      <c r="AM8" s="155" t="str">
        <f ca="1">IFERROR(__xludf.DUMMYFUNCTION("""COMPUTED_VALUE"""),"")</f>
        <v/>
      </c>
      <c r="AN8" s="155" t="str">
        <f ca="1">IFERROR(__xludf.DUMMYFUNCTION("""COMPUTED_VALUE"""),"")</f>
        <v/>
      </c>
      <c r="AO8" s="155" t="str">
        <f ca="1">IFERROR(__xludf.DUMMYFUNCTION("""COMPUTED_VALUE"""),"")</f>
        <v/>
      </c>
      <c r="AP8" s="155" t="str">
        <f ca="1">IFERROR(__xludf.DUMMYFUNCTION("""COMPUTED_VALUE"""),"")</f>
        <v/>
      </c>
      <c r="AQ8" s="155" t="str">
        <f ca="1">IFERROR(__xludf.DUMMYFUNCTION("""COMPUTED_VALUE"""),"")</f>
        <v/>
      </c>
      <c r="AR8" s="155" t="str">
        <f ca="1">IFERROR(__xludf.DUMMYFUNCTION("""COMPUTED_VALUE"""),"")</f>
        <v/>
      </c>
      <c r="AS8" s="155" t="str">
        <f ca="1">IFERROR(__xludf.DUMMYFUNCTION("""COMPUTED_VALUE"""),"")</f>
        <v/>
      </c>
      <c r="AT8" s="155" t="str">
        <f ca="1">IFERROR(__xludf.DUMMYFUNCTION("""COMPUTED_VALUE"""),"")</f>
        <v/>
      </c>
      <c r="AU8" s="155" t="str">
        <f ca="1">IFERROR(__xludf.DUMMYFUNCTION("""COMPUTED_VALUE"""),"")</f>
        <v/>
      </c>
      <c r="AV8" s="155" t="str">
        <f ca="1">IFERROR(__xludf.DUMMYFUNCTION("""COMPUTED_VALUE"""),"")</f>
        <v/>
      </c>
      <c r="AW8" s="155" t="str">
        <f ca="1">IFERROR(__xludf.DUMMYFUNCTION("""COMPUTED_VALUE"""),"")</f>
        <v/>
      </c>
      <c r="AX8" s="155" t="str">
        <f ca="1">IFERROR(__xludf.DUMMYFUNCTION("""COMPUTED_VALUE"""),"")</f>
        <v/>
      </c>
      <c r="AY8" s="155" t="str">
        <f ca="1">IFERROR(__xludf.DUMMYFUNCTION("""COMPUTED_VALUE"""),"")</f>
        <v/>
      </c>
      <c r="AZ8" s="155" t="str">
        <f ca="1">IFERROR(__xludf.DUMMYFUNCTION("""COMPUTED_VALUE"""),"")</f>
        <v/>
      </c>
      <c r="BA8" s="155" t="str">
        <f ca="1">IFERROR(__xludf.DUMMYFUNCTION("""COMPUTED_VALUE"""),"")</f>
        <v/>
      </c>
      <c r="BB8" s="155" t="str">
        <f ca="1">IFERROR(__xludf.DUMMYFUNCTION("""COMPUTED_VALUE"""),"")</f>
        <v/>
      </c>
      <c r="BC8" s="155" t="str">
        <f ca="1">IFERROR(__xludf.DUMMYFUNCTION("""COMPUTED_VALUE"""),"")</f>
        <v/>
      </c>
      <c r="BD8" s="155" t="str">
        <f ca="1">IFERROR(__xludf.DUMMYFUNCTION("""COMPUTED_VALUE"""),"")</f>
        <v/>
      </c>
      <c r="BE8" s="155" t="str">
        <f ca="1">IFERROR(__xludf.DUMMYFUNCTION("""COMPUTED_VALUE"""),"")</f>
        <v/>
      </c>
      <c r="BF8" s="155" t="str">
        <f ca="1">IFERROR(__xludf.DUMMYFUNCTION("""COMPUTED_VALUE"""),"")</f>
        <v/>
      </c>
      <c r="BG8" s="155" t="str">
        <f ca="1">IFERROR(__xludf.DUMMYFUNCTION("""COMPUTED_VALUE"""),"")</f>
        <v/>
      </c>
      <c r="BH8" s="155" t="str">
        <f ca="1">IFERROR(__xludf.DUMMYFUNCTION("""COMPUTED_VALUE"""),"")</f>
        <v/>
      </c>
      <c r="BI8" s="155" t="str">
        <f ca="1">IFERROR(__xludf.DUMMYFUNCTION("""COMPUTED_VALUE"""),"")</f>
        <v/>
      </c>
      <c r="BJ8" s="155" t="str">
        <f ca="1">IFERROR(__xludf.DUMMYFUNCTION("""COMPUTED_VALUE"""),"")</f>
        <v/>
      </c>
      <c r="BK8" s="155" t="str">
        <f ca="1">IFERROR(__xludf.DUMMYFUNCTION("""COMPUTED_VALUE"""),"")</f>
        <v/>
      </c>
      <c r="BL8" s="155" t="str">
        <f ca="1">IFERROR(__xludf.DUMMYFUNCTION("""COMPUTED_VALUE"""),"")</f>
        <v/>
      </c>
      <c r="BM8" s="155" t="str">
        <f ca="1">IFERROR(__xludf.DUMMYFUNCTION("""COMPUTED_VALUE"""),"")</f>
        <v/>
      </c>
      <c r="BN8" s="155" t="str">
        <f ca="1">IFERROR(__xludf.DUMMYFUNCTION("""COMPUTED_VALUE"""),"")</f>
        <v/>
      </c>
      <c r="BO8" s="155" t="str">
        <f ca="1">IFERROR(__xludf.DUMMYFUNCTION("""COMPUTED_VALUE"""),"")</f>
        <v/>
      </c>
      <c r="BP8" s="155" t="str">
        <f ca="1">IFERROR(__xludf.DUMMYFUNCTION("""COMPUTED_VALUE"""),"")</f>
        <v/>
      </c>
      <c r="BQ8" s="155" t="str">
        <f ca="1">IFERROR(__xludf.DUMMYFUNCTION("""COMPUTED_VALUE"""),"")</f>
        <v/>
      </c>
      <c r="BR8" s="155" t="str">
        <f ca="1">IFERROR(__xludf.DUMMYFUNCTION("""COMPUTED_VALUE"""),"")</f>
        <v/>
      </c>
      <c r="BS8" s="155" t="str">
        <f ca="1">IFERROR(__xludf.DUMMYFUNCTION("""COMPUTED_VALUE"""),"")</f>
        <v/>
      </c>
      <c r="BT8" s="155" t="str">
        <f ca="1">IFERROR(__xludf.DUMMYFUNCTION("""COMPUTED_VALUE"""),"")</f>
        <v/>
      </c>
      <c r="BU8" s="155" t="str">
        <f ca="1">IFERROR(__xludf.DUMMYFUNCTION("""COMPUTED_VALUE"""),"")</f>
        <v/>
      </c>
      <c r="BV8" s="155" t="str">
        <f ca="1">IFERROR(__xludf.DUMMYFUNCTION("""COMPUTED_VALUE"""),"")</f>
        <v/>
      </c>
      <c r="BW8" s="155" t="str">
        <f ca="1">IFERROR(__xludf.DUMMYFUNCTION("""COMPUTED_VALUE"""),"")</f>
        <v/>
      </c>
      <c r="BX8" s="155"/>
      <c r="BY8" s="155"/>
      <c r="BZ8" s="155"/>
      <c r="CA8" s="155"/>
      <c r="CB8" s="155"/>
      <c r="CC8" s="155"/>
      <c r="CD8" s="155"/>
      <c r="CE8" s="155"/>
      <c r="CF8" s="155"/>
      <c r="CG8" s="155"/>
    </row>
    <row r="9" spans="1:85" ht="15.75" customHeight="1" x14ac:dyDescent="0.2">
      <c r="A9" s="155" t="str">
        <f ca="1">IFERROR(__xludf.DUMMYFUNCTION("""COMPUTED_VALUE"""),"  Organic")</f>
        <v xml:space="preserve">  Organic</v>
      </c>
      <c r="B9" s="155" t="str">
        <f ca="1">IFERROR(__xludf.DUMMYFUNCTION("""COMPUTED_VALUE"""),"")</f>
        <v/>
      </c>
      <c r="C9" s="155" t="str">
        <f ca="1">IFERROR(__xludf.DUMMYFUNCTION("""COMPUTED_VALUE"""),"")</f>
        <v/>
      </c>
      <c r="D9" s="119">
        <f ca="1">IFERROR(__xludf.DUMMYFUNCTION("""COMPUTED_VALUE"""),577)</f>
        <v>577</v>
      </c>
      <c r="E9" s="119">
        <f ca="1">IFERROR(__xludf.DUMMYFUNCTION("""COMPUTED_VALUE"""),556)</f>
        <v>556</v>
      </c>
      <c r="F9" s="119">
        <f ca="1">IFERROR(__xludf.DUMMYFUNCTION("""COMPUTED_VALUE"""),736)</f>
        <v>736</v>
      </c>
      <c r="G9" s="119">
        <f ca="1">IFERROR(__xludf.DUMMYFUNCTION("""COMPUTED_VALUE"""),703)</f>
        <v>703</v>
      </c>
      <c r="H9" s="119">
        <f ca="1">IFERROR(__xludf.DUMMYFUNCTION("""COMPUTED_VALUE"""),752)</f>
        <v>752</v>
      </c>
      <c r="I9" s="119">
        <f ca="1">IFERROR(__xludf.DUMMYFUNCTION("""COMPUTED_VALUE"""),874)</f>
        <v>874</v>
      </c>
      <c r="J9" s="119">
        <f ca="1">IFERROR(__xludf.DUMMYFUNCTION("""COMPUTED_VALUE"""),915)</f>
        <v>915</v>
      </c>
      <c r="K9" s="119">
        <f ca="1">IFERROR(__xludf.DUMMYFUNCTION("""COMPUTED_VALUE"""),894)</f>
        <v>894</v>
      </c>
      <c r="L9" s="119">
        <f ca="1">IFERROR(__xludf.DUMMYFUNCTION("""COMPUTED_VALUE"""),1407)</f>
        <v>1407</v>
      </c>
      <c r="M9" s="119">
        <f ca="1">IFERROR(__xludf.DUMMYFUNCTION("""COMPUTED_VALUE"""),1139)</f>
        <v>1139</v>
      </c>
      <c r="N9" s="119">
        <f ca="1">IFERROR(__xludf.DUMMYFUNCTION("""COMPUTED_VALUE"""),1601)</f>
        <v>1601</v>
      </c>
      <c r="O9" s="119">
        <f ca="1">IFERROR(__xludf.DUMMYFUNCTION("""COMPUTED_VALUE"""),1963)</f>
        <v>1963</v>
      </c>
      <c r="P9" s="119">
        <f ca="1">IFERROR(__xludf.DUMMYFUNCTION("""COMPUTED_VALUE"""),2989)</f>
        <v>2989</v>
      </c>
      <c r="Q9" s="119">
        <f ca="1">IFERROR(__xludf.DUMMYFUNCTION("""COMPUTED_VALUE"""),2984)</f>
        <v>2984</v>
      </c>
      <c r="R9" s="119">
        <f ca="1">IFERROR(__xludf.DUMMYFUNCTION("""COMPUTED_VALUE"""),2461)</f>
        <v>2461</v>
      </c>
      <c r="S9" s="119">
        <f ca="1">IFERROR(__xludf.DUMMYFUNCTION("""COMPUTED_VALUE"""),2501)</f>
        <v>2501</v>
      </c>
      <c r="T9" s="119">
        <f ca="1">IFERROR(__xludf.DUMMYFUNCTION("""COMPUTED_VALUE"""),2628)</f>
        <v>2628</v>
      </c>
      <c r="U9" s="119">
        <f ca="1">IFERROR(__xludf.DUMMYFUNCTION("""COMPUTED_VALUE"""),2594)</f>
        <v>2594</v>
      </c>
      <c r="V9" s="119">
        <f ca="1">IFERROR(__xludf.DUMMYFUNCTION("""COMPUTED_VALUE"""),2494)</f>
        <v>2494</v>
      </c>
      <c r="W9" s="119">
        <f ca="1">IFERROR(__xludf.DUMMYFUNCTION("""COMPUTED_VALUE"""),1909)</f>
        <v>1909</v>
      </c>
      <c r="X9" s="119">
        <f ca="1">IFERROR(__xludf.DUMMYFUNCTION("""COMPUTED_VALUE"""),2695)</f>
        <v>2695</v>
      </c>
      <c r="Y9" s="119">
        <f ca="1">IFERROR(__xludf.DUMMYFUNCTION("""COMPUTED_VALUE"""),2506.35161364647)</f>
        <v>2506.35161364647</v>
      </c>
      <c r="Z9" s="119">
        <f ca="1">IFERROR(__xludf.DUMMYFUNCTION("""COMPUTED_VALUE"""),2510.15814392629)</f>
        <v>2510.15814392629</v>
      </c>
      <c r="AA9" s="119">
        <f ca="1">IFERROR(__xludf.DUMMYFUNCTION("""COMPUTED_VALUE"""),2663.1092047431)</f>
        <v>2663.1092047430998</v>
      </c>
      <c r="AB9" s="119">
        <f ca="1">IFERROR(__xludf.DUMMYFUNCTION("""COMPUTED_VALUE"""),2652.09596958357)</f>
        <v>2652.09596958357</v>
      </c>
      <c r="AC9" s="119">
        <f ca="1">IFERROR(__xludf.DUMMYFUNCTION("""COMPUTED_VALUE"""),2702.42763588981)</f>
        <v>2702.4276358898101</v>
      </c>
      <c r="AD9" s="119">
        <f ca="1">IFERROR(__xludf.DUMMYFUNCTION("""COMPUTED_VALUE"""),2657)</f>
        <v>2657</v>
      </c>
      <c r="AE9" s="119">
        <f ca="1">IFERROR(__xludf.DUMMYFUNCTION("""COMPUTED_VALUE"""),2459)</f>
        <v>2459</v>
      </c>
      <c r="AF9" s="119">
        <f ca="1">IFERROR(__xludf.DUMMYFUNCTION("""COMPUTED_VALUE"""),2392.79637436703)</f>
        <v>2392.7963743670298</v>
      </c>
      <c r="AG9" s="119">
        <f ca="1">IFERROR(__xludf.DUMMYFUNCTION("""COMPUTED_VALUE"""),2309.35481389511)</f>
        <v>2309.3548138951101</v>
      </c>
      <c r="AH9" s="119">
        <f ca="1">IFERROR(__xludf.DUMMYFUNCTION("""COMPUTED_VALUE"""),2202.43540310919)</f>
        <v>2202.4354031091898</v>
      </c>
      <c r="AI9" s="119">
        <f ca="1">IFERROR(__xludf.DUMMYFUNCTION("""COMPUTED_VALUE"""),2123.5281245835)</f>
        <v>2123.5281245834999</v>
      </c>
      <c r="AJ9" s="119">
        <f ca="1">IFERROR(__xludf.DUMMYFUNCTION("""COMPUTED_VALUE"""),2040.71379617936)</f>
        <v>2040.7137961793601</v>
      </c>
      <c r="AK9" s="119">
        <f ca="1">IFERROR(__xludf.DUMMYFUNCTION("""COMPUTED_VALUE"""),1958.09237504329)</f>
        <v>1958.0923750432901</v>
      </c>
      <c r="AL9" s="119">
        <f ca="1">IFERROR(__xludf.DUMMYFUNCTION("""COMPUTED_VALUE"""),1882.94387986875)</f>
        <v>1882.9438798687499</v>
      </c>
      <c r="AM9" s="119">
        <f ca="1">IFERROR(__xludf.DUMMYFUNCTION("""COMPUTED_VALUE"""),1808.95141077264)</f>
        <v>1808.95141077264</v>
      </c>
      <c r="AN9" s="119">
        <f ca="1">IFERROR(__xludf.DUMMYFUNCTION("""COMPUTED_VALUE"""),1737.67213327806)</f>
        <v>1737.6721332780601</v>
      </c>
      <c r="AO9" s="119">
        <f ca="1">IFERROR(__xludf.DUMMYFUNCTION("""COMPUTED_VALUE"""),1669.88116905134)</f>
        <v>1669.8811690513401</v>
      </c>
      <c r="AP9" s="119">
        <f ca="1">IFERROR(__xludf.DUMMYFUNCTION("""COMPUTED_VALUE"""),1604.35303746324)</f>
        <v>1604.3530374632401</v>
      </c>
      <c r="AQ9" s="119">
        <f ca="1">IFERROR(__xludf.DUMMYFUNCTION("""COMPUTED_VALUE"""),1541.42814048107)</f>
        <v>1541.4281404810699</v>
      </c>
      <c r="AR9" s="119">
        <f ca="1">IFERROR(__xludf.DUMMYFUNCTION("""COMPUTED_VALUE"""),1481.07266047221)</f>
        <v>1481.0726604722099</v>
      </c>
      <c r="AS9" s="119">
        <f ca="1">IFERROR(__xludf.DUMMYFUNCTION("""COMPUTED_VALUE"""),1423.00398788441)</f>
        <v>1423.00398788441</v>
      </c>
      <c r="AT9" s="119">
        <f ca="1">IFERROR(__xludf.DUMMYFUNCTION("""COMPUTED_VALUE"""),1367.2294962402)</f>
        <v>1367.2294962402</v>
      </c>
      <c r="AU9" s="119">
        <f ca="1">IFERROR(__xludf.DUMMYFUNCTION("""COMPUTED_VALUE"""),1313.6541350778)</f>
        <v>1313.6541350778</v>
      </c>
      <c r="AV9" s="119">
        <f ca="1">IFERROR(__xludf.DUMMYFUNCTION("""COMPUTED_VALUE"""),1262.1640215791)</f>
        <v>1262.1640215791001</v>
      </c>
      <c r="AW9" s="119">
        <f ca="1">IFERROR(__xludf.DUMMYFUNCTION("""COMPUTED_VALUE"""),1212.69716538336)</f>
        <v>1212.69716538336</v>
      </c>
      <c r="AX9" s="119">
        <f ca="1">IFERROR(__xludf.DUMMYFUNCTION("""COMPUTED_VALUE"""),1165.17024304133)</f>
        <v>1165.17024304133</v>
      </c>
      <c r="AY9" s="119">
        <f ca="1">IFERROR(__xludf.DUMMYFUNCTION("""COMPUTED_VALUE"""),1119.50353778469)</f>
        <v>1119.50353778469</v>
      </c>
      <c r="AZ9" s="119">
        <f ca="1">IFERROR(__xludf.DUMMYFUNCTION("""COMPUTED_VALUE"""),1075.62784072519)</f>
        <v>1075.62784072519</v>
      </c>
      <c r="BA9" s="119">
        <f ca="1">IFERROR(__xludf.DUMMYFUNCTION("""COMPUTED_VALUE"""),1033.47172289287)</f>
        <v>1033.47172289287</v>
      </c>
      <c r="BB9" s="119">
        <f ca="1">IFERROR(__xludf.DUMMYFUNCTION("""COMPUTED_VALUE"""),992.967413503694)</f>
        <v>992.96741350369405</v>
      </c>
      <c r="BC9" s="119">
        <f ca="1">IFERROR(__xludf.DUMMYFUNCTION("""COMPUTED_VALUE"""),954.050815800032)</f>
        <v>954.05081580003196</v>
      </c>
      <c r="BD9" s="119">
        <f ca="1">IFERROR(__xludf.DUMMYFUNCTION("""COMPUTED_VALUE"""),916.659405276714)</f>
        <v>916.65940527671398</v>
      </c>
      <c r="BE9" s="119">
        <f ca="1">IFERROR(__xludf.DUMMYFUNCTION("""COMPUTED_VALUE"""),880.73339602575)</f>
        <v>880.73339602575004</v>
      </c>
      <c r="BF9" s="119">
        <f ca="1">IFERROR(__xludf.DUMMYFUNCTION("""COMPUTED_VALUE"""),846.215457913821)</f>
        <v>846.21545791382096</v>
      </c>
      <c r="BG9" s="119">
        <f ca="1">IFERROR(__xludf.DUMMYFUNCTION("""COMPUTED_VALUE"""),813.050341904982)</f>
        <v>813.05034190498202</v>
      </c>
      <c r="BH9" s="119">
        <f ca="1">IFERROR(__xludf.DUMMYFUNCTION("""COMPUTED_VALUE"""),781.18503655758)</f>
        <v>781.18503655758002</v>
      </c>
      <c r="BI9" s="119">
        <f ca="1">IFERROR(__xludf.DUMMYFUNCTION("""COMPUTED_VALUE"""),750.568613939173)</f>
        <v>750.56861393917302</v>
      </c>
      <c r="BJ9" s="119">
        <f ca="1">IFERROR(__xludf.DUMMYFUNCTION("""COMPUTED_VALUE"""),721.152115135083)</f>
        <v>721.15211513508302</v>
      </c>
      <c r="BK9" s="119">
        <f ca="1">IFERROR(__xludf.DUMMYFUNCTION("""COMPUTED_VALUE"""),692.888515777938)</f>
        <v>692.88851577793798</v>
      </c>
      <c r="BL9" s="119">
        <f ca="1">IFERROR(__xludf.DUMMYFUNCTION("""COMPUTED_VALUE"""),665.732632844591)</f>
        <v>665.73263284459097</v>
      </c>
      <c r="BM9" s="119">
        <f ca="1">IFERROR(__xludf.DUMMYFUNCTION("""COMPUTED_VALUE"""),639.641050177481)</f>
        <v>639.64105017748102</v>
      </c>
      <c r="BN9" s="119">
        <f ca="1">IFERROR(__xludf.DUMMYFUNCTION("""COMPUTED_VALUE"""),614.57205631208)</f>
        <v>614.57205631208001</v>
      </c>
      <c r="BO9" s="119">
        <f ca="1">IFERROR(__xludf.DUMMYFUNCTION("""COMPUTED_VALUE"""),590.485573784453)</f>
        <v>590.48557378445298</v>
      </c>
      <c r="BP9" s="119">
        <f ca="1">IFERROR(__xludf.DUMMYFUNCTION("""COMPUTED_VALUE"""),567.343095362054)</f>
        <v>567.34309536205399</v>
      </c>
      <c r="BQ9" s="119">
        <f ca="1">IFERROR(__xludf.DUMMYFUNCTION("""COMPUTED_VALUE"""),545.107623568233)</f>
        <v>545.10762356823295</v>
      </c>
      <c r="BR9" s="119">
        <f ca="1">IFERROR(__xludf.DUMMYFUNCTION("""COMPUTED_VALUE"""),523.743610728689)</f>
        <v>523.74361072868896</v>
      </c>
      <c r="BS9" s="119">
        <f ca="1">IFERROR(__xludf.DUMMYFUNCTION("""COMPUTED_VALUE"""),503.216902320695)</f>
        <v>503.216902320695</v>
      </c>
      <c r="BT9" s="119">
        <f ca="1">IFERROR(__xludf.DUMMYFUNCTION("""COMPUTED_VALUE"""),483.494682511623)</f>
        <v>483.49468251162301</v>
      </c>
      <c r="BU9" s="119">
        <f ca="1">IFERROR(__xludf.DUMMYFUNCTION("""COMPUTED_VALUE"""),464.545421547104)</f>
        <v>464.54542154710401</v>
      </c>
      <c r="BV9" s="119">
        <f ca="1">IFERROR(__xludf.DUMMYFUNCTION("""COMPUTED_VALUE"""),446.338825397146)</f>
        <v>446.33882539714602</v>
      </c>
      <c r="BW9" s="119">
        <f ca="1">IFERROR(__xludf.DUMMYFUNCTION("""COMPUTED_VALUE"""),428.84578733889)</f>
        <v>428.84578733888998</v>
      </c>
      <c r="BX9" s="119"/>
      <c r="BY9" s="119"/>
      <c r="BZ9" s="119"/>
      <c r="CA9" s="119"/>
      <c r="CB9" s="119"/>
      <c r="CC9" s="119"/>
      <c r="CD9" s="119"/>
      <c r="CE9" s="119"/>
      <c r="CF9" s="119"/>
      <c r="CG9" s="119"/>
    </row>
    <row r="10" spans="1:85" ht="15.75" customHeight="1" x14ac:dyDescent="0.2">
      <c r="A10" s="157" t="str">
        <f ca="1">IFERROR(__xludf.DUMMYFUNCTION("""COMPUTED_VALUE"""),"  Adwords")</f>
        <v xml:space="preserve">  Adwords</v>
      </c>
      <c r="B10" s="157" t="str">
        <f ca="1">IFERROR(__xludf.DUMMYFUNCTION("""COMPUTED_VALUE"""),"")</f>
        <v/>
      </c>
      <c r="C10" s="157" t="str">
        <f ca="1">IFERROR(__xludf.DUMMYFUNCTION("""COMPUTED_VALUE"""),"")</f>
        <v/>
      </c>
      <c r="D10" s="158">
        <f ca="1">IFERROR(__xludf.DUMMYFUNCTION("""COMPUTED_VALUE"""),452.4)</f>
        <v>452.4</v>
      </c>
      <c r="E10" s="158">
        <f ca="1">IFERROR(__xludf.DUMMYFUNCTION("""COMPUTED_VALUE"""),486)</f>
        <v>486</v>
      </c>
      <c r="F10" s="158">
        <f ca="1">IFERROR(__xludf.DUMMYFUNCTION("""COMPUTED_VALUE"""),594.4)</f>
        <v>594.4</v>
      </c>
      <c r="G10" s="158">
        <f ca="1">IFERROR(__xludf.DUMMYFUNCTION("""COMPUTED_VALUE"""),575.6)</f>
        <v>575.6</v>
      </c>
      <c r="H10" s="158">
        <f ca="1">IFERROR(__xludf.DUMMYFUNCTION("""COMPUTED_VALUE"""),654)</f>
        <v>654</v>
      </c>
      <c r="I10" s="158">
        <f ca="1">IFERROR(__xludf.DUMMYFUNCTION("""COMPUTED_VALUE"""),732.4)</f>
        <v>732.4</v>
      </c>
      <c r="J10" s="158">
        <f ca="1">IFERROR(__xludf.DUMMYFUNCTION("""COMPUTED_VALUE"""),814.8)</f>
        <v>814.8</v>
      </c>
      <c r="K10" s="158">
        <f ca="1">IFERROR(__xludf.DUMMYFUNCTION("""COMPUTED_VALUE"""),810.8)</f>
        <v>810.8</v>
      </c>
      <c r="L10" s="158">
        <f ca="1">IFERROR(__xludf.DUMMYFUNCTION("""COMPUTED_VALUE"""),1075.6)</f>
        <v>1075.5999999999999</v>
      </c>
      <c r="M10" s="158">
        <f ca="1">IFERROR(__xludf.DUMMYFUNCTION("""COMPUTED_VALUE"""),965.6)</f>
        <v>965.6</v>
      </c>
      <c r="N10" s="158">
        <f ca="1">IFERROR(__xludf.DUMMYFUNCTION("""COMPUTED_VALUE"""),1211.6)</f>
        <v>1211.5999999999999</v>
      </c>
      <c r="O10" s="158">
        <f ca="1">IFERROR(__xludf.DUMMYFUNCTION("""COMPUTED_VALUE"""),1652.4)</f>
        <v>1652.4</v>
      </c>
      <c r="P10" s="158">
        <f ca="1">IFERROR(__xludf.DUMMYFUNCTION("""COMPUTED_VALUE"""),2242.4)</f>
        <v>2242.4</v>
      </c>
      <c r="Q10" s="158">
        <f ca="1">IFERROR(__xludf.DUMMYFUNCTION("""COMPUTED_VALUE"""),2259.2)</f>
        <v>2259.1999999999998</v>
      </c>
      <c r="R10" s="158">
        <f ca="1">IFERROR(__xludf.DUMMYFUNCTION("""COMPUTED_VALUE"""),1878.4)</f>
        <v>1878.4</v>
      </c>
      <c r="S10" s="158">
        <f ca="1">IFERROR(__xludf.DUMMYFUNCTION("""COMPUTED_VALUE"""),2249.6)</f>
        <v>2249.6</v>
      </c>
      <c r="T10" s="158">
        <f ca="1">IFERROR(__xludf.DUMMYFUNCTION("""COMPUTED_VALUE"""),2144)</f>
        <v>2144</v>
      </c>
      <c r="U10" s="158">
        <f ca="1">IFERROR(__xludf.DUMMYFUNCTION("""COMPUTED_VALUE"""),2266.8)</f>
        <v>2266.8000000000002</v>
      </c>
      <c r="V10" s="158">
        <f ca="1">IFERROR(__xludf.DUMMYFUNCTION("""COMPUTED_VALUE"""),2201.6)</f>
        <v>2201.6</v>
      </c>
      <c r="W10" s="158">
        <f ca="1">IFERROR(__xludf.DUMMYFUNCTION("""COMPUTED_VALUE"""),1538.4)</f>
        <v>1538.4</v>
      </c>
      <c r="X10" s="158">
        <f ca="1">IFERROR(__xludf.DUMMYFUNCTION("""COMPUTED_VALUE"""),2399.6)</f>
        <v>2399.6</v>
      </c>
      <c r="Y10" s="158">
        <f ca="1">IFERROR(__xludf.DUMMYFUNCTION("""COMPUTED_VALUE"""),1843.53871560212)</f>
        <v>1843.53871560212</v>
      </c>
      <c r="Z10" s="158">
        <f ca="1">IFERROR(__xludf.DUMMYFUNCTION("""COMPUTED_VALUE"""),1914.87670945823)</f>
        <v>1914.8767094582299</v>
      </c>
      <c r="AA10" s="158">
        <f ca="1">IFERROR(__xludf.DUMMYFUNCTION("""COMPUTED_VALUE"""),2217.39319184823)</f>
        <v>2217.3931918482299</v>
      </c>
      <c r="AB10" s="158">
        <f ca="1">IFERROR(__xludf.DUMMYFUNCTION("""COMPUTED_VALUE"""),2186.08334088937)</f>
        <v>2186.08334088937</v>
      </c>
      <c r="AC10" s="158">
        <f ca="1">IFERROR(__xludf.DUMMYFUNCTION("""COMPUTED_VALUE"""),2266.48625436077)</f>
        <v>2266.4862543607701</v>
      </c>
      <c r="AD10" s="158">
        <f ca="1">IFERROR(__xludf.DUMMYFUNCTION("""COMPUTED_VALUE"""),2168.54109659341)</f>
        <v>2168.5410965934102</v>
      </c>
      <c r="AE10" s="158">
        <f ca="1">IFERROR(__xludf.DUMMYFUNCTION("""COMPUTED_VALUE"""),2049.76529739507)</f>
        <v>2049.7652973950699</v>
      </c>
      <c r="AF10" s="158">
        <f ca="1">IFERROR(__xludf.DUMMYFUNCTION("""COMPUTED_VALUE"""),1838.79851351215)</f>
        <v>1838.7985135121501</v>
      </c>
      <c r="AG10" s="158">
        <f ca="1">IFERROR(__xludf.DUMMYFUNCTION("""COMPUTED_VALUE"""),2026.26813237882)</f>
        <v>2026.2681323788199</v>
      </c>
      <c r="AH10" s="158">
        <f ca="1">IFERROR(__xludf.DUMMYFUNCTION("""COMPUTED_VALUE"""),2206.71120795634)</f>
        <v>2206.7112079563399</v>
      </c>
      <c r="AI10" s="158">
        <f ca="1">IFERROR(__xludf.DUMMYFUNCTION("""COMPUTED_VALUE"""),2391.91248787925)</f>
        <v>2391.91248787925</v>
      </c>
      <c r="AJ10" s="158">
        <f ca="1">IFERROR(__xludf.DUMMYFUNCTION("""COMPUTED_VALUE"""),2576.34682208338)</f>
        <v>2576.3468220833802</v>
      </c>
      <c r="AK10" s="158">
        <f ca="1">IFERROR(__xludf.DUMMYFUNCTION("""COMPUTED_VALUE"""),2759.60404535345)</f>
        <v>2759.6040453534501</v>
      </c>
      <c r="AL10" s="158">
        <f ca="1">IFERROR(__xludf.DUMMYFUNCTION("""COMPUTED_VALUE"""),2943.94794488232)</f>
        <v>2943.9479448823199</v>
      </c>
      <c r="AM10" s="158">
        <f ca="1">IFERROR(__xludf.DUMMYFUNCTION("""COMPUTED_VALUE"""),3127.96177354279)</f>
        <v>3127.9617735427901</v>
      </c>
      <c r="AN10" s="158">
        <f ca="1">IFERROR(__xludf.DUMMYFUNCTION("""COMPUTED_VALUE"""),3311.81766141696)</f>
        <v>3311.8176614169602</v>
      </c>
      <c r="AO10" s="158">
        <f ca="1">IFERROR(__xludf.DUMMYFUNCTION("""COMPUTED_VALUE"""),3495.89843562744)</f>
        <v>3495.89843562744</v>
      </c>
      <c r="AP10" s="158">
        <f ca="1">IFERROR(__xludf.DUMMYFUNCTION("""COMPUTED_VALUE"""),3679.88069281007)</f>
        <v>3679.8806928100698</v>
      </c>
      <c r="AQ10" s="158">
        <f ca="1">IFERROR(__xludf.DUMMYFUNCTION("""COMPUTED_VALUE"""),3863.85144889375)</f>
        <v>3863.8514488937499</v>
      </c>
      <c r="AR10" s="158">
        <f ca="1">IFERROR(__xludf.DUMMYFUNCTION("""COMPUTED_VALUE"""),4047.86454502146)</f>
        <v>4047.8645450214599</v>
      </c>
      <c r="AS10" s="158">
        <f ca="1">IFERROR(__xludf.DUMMYFUNCTION("""COMPUTED_VALUE"""),4231.85275864574)</f>
        <v>4231.8527586457403</v>
      </c>
      <c r="AT10" s="158">
        <f ca="1">IFERROR(__xludf.DUMMYFUNCTION("""COMPUTED_VALUE"""),4415.84318274944)</f>
        <v>4415.8431827494396</v>
      </c>
      <c r="AU10" s="158">
        <f ca="1">IFERROR(__xludf.DUMMYFUNCTION("""COMPUTED_VALUE"""),4599.84075594806)</f>
        <v>4599.8407559480602</v>
      </c>
      <c r="AV10" s="158">
        <f ca="1">IFERROR(__xludf.DUMMYFUNCTION("""COMPUTED_VALUE"""),4783.83269626283)</f>
        <v>4783.8326962628298</v>
      </c>
      <c r="AW10" s="158">
        <f ca="1">IFERROR(__xludf.DUMMYFUNCTION("""COMPUTED_VALUE"""),4967.82598858572)</f>
        <v>4967.8259885857196</v>
      </c>
      <c r="AX10" s="158">
        <f ca="1">IFERROR(__xludf.DUMMYFUNCTION("""COMPUTED_VALUE"""),5151.82031208083)</f>
        <v>5151.8203120808303</v>
      </c>
      <c r="AY10" s="158">
        <f ca="1">IFERROR(__xludf.DUMMYFUNCTION("""COMPUTED_VALUE"""),5335.81346803645)</f>
        <v>5335.8134680364501</v>
      </c>
      <c r="AZ10" s="158">
        <f ca="1">IFERROR(__xludf.DUMMYFUNCTION("""COMPUTED_VALUE"""),5232.73001979781)</f>
        <v>5232.7300197978102</v>
      </c>
      <c r="BA10" s="158">
        <f ca="1">IFERROR(__xludf.DUMMYFUNCTION("""COMPUTED_VALUE"""),5376.24956904657)</f>
        <v>5376.2495690465703</v>
      </c>
      <c r="BB10" s="158">
        <f ca="1">IFERROR(__xludf.DUMMYFUNCTION("""COMPUTED_VALUE"""),5501.25089256265)</f>
        <v>5501.2508925626498</v>
      </c>
      <c r="BC10" s="158">
        <f ca="1">IFERROR(__xludf.DUMMYFUNCTION("""COMPUTED_VALUE"""),5601.52024795647)</f>
        <v>5601.5202479564696</v>
      </c>
      <c r="BD10" s="158">
        <f ca="1">IFERROR(__xludf.DUMMYFUNCTION("""COMPUTED_VALUE"""),5670.92054671644)</f>
        <v>5670.9205467164402</v>
      </c>
      <c r="BE10" s="158">
        <f ca="1">IFERROR(__xludf.DUMMYFUNCTION("""COMPUTED_VALUE"""),5785.37206597793)</f>
        <v>5785.3720659779301</v>
      </c>
      <c r="BF10" s="158">
        <f ca="1">IFERROR(__xludf.DUMMYFUNCTION("""COMPUTED_VALUE"""),5892.2313307112)</f>
        <v>5892.2313307111999</v>
      </c>
      <c r="BG10" s="158">
        <f ca="1">IFERROR(__xludf.DUMMYFUNCTION("""COMPUTED_VALUE"""),5994.35201735283)</f>
        <v>5994.3520173528304</v>
      </c>
      <c r="BH10" s="158">
        <f ca="1">IFERROR(__xludf.DUMMYFUNCTION("""COMPUTED_VALUE"""),6096.95625473359)</f>
        <v>6096.95625473359</v>
      </c>
      <c r="BI10" s="158">
        <f ca="1">IFERROR(__xludf.DUMMYFUNCTION("""COMPUTED_VALUE"""),6208.23308299119)</f>
        <v>6208.2330829911898</v>
      </c>
      <c r="BJ10" s="119">
        <f ca="1">IFERROR(__xludf.DUMMYFUNCTION("""COMPUTED_VALUE"""),6318.68070260971)</f>
        <v>6318.6807026097104</v>
      </c>
      <c r="BK10" s="119">
        <f ca="1">IFERROR(__xludf.DUMMYFUNCTION("""COMPUTED_VALUE"""),6430.06557034276)</f>
        <v>6430.0655703427601</v>
      </c>
      <c r="BL10" s="119">
        <f ca="1">IFERROR(__xludf.DUMMYFUNCTION("""COMPUTED_VALUE"""),6543.87016330905)</f>
        <v>6543.8701633090504</v>
      </c>
      <c r="BM10" s="119">
        <f ca="1">IFERROR(__xludf.DUMMYFUNCTION("""COMPUTED_VALUE"""),6660.60019030794)</f>
        <v>6660.6001903079396</v>
      </c>
      <c r="BN10" s="119">
        <f ca="1">IFERROR(__xludf.DUMMYFUNCTION("""COMPUTED_VALUE"""),6778.75454582888)</f>
        <v>6778.7545458288796</v>
      </c>
      <c r="BO10" s="119">
        <f ca="1">IFERROR(__xludf.DUMMYFUNCTION("""COMPUTED_VALUE"""),6898.92183398109)</f>
        <v>6898.9218339810895</v>
      </c>
      <c r="BP10" s="119">
        <f ca="1">IFERROR(__xludf.DUMMYFUNCTION("""COMPUTED_VALUE"""),7021.38301370461)</f>
        <v>7021.3830137046098</v>
      </c>
      <c r="BQ10" s="119">
        <f ca="1">IFERROR(__xludf.DUMMYFUNCTION("""COMPUTED_VALUE"""),7146.10521874929)</f>
        <v>7146.1052187492896</v>
      </c>
      <c r="BR10" s="119">
        <f ca="1">IFERROR(__xludf.DUMMYFUNCTION("""COMPUTED_VALUE"""),7272.91491123231)</f>
        <v>7272.9149112323103</v>
      </c>
      <c r="BS10" s="119">
        <f ca="1">IFERROR(__xludf.DUMMYFUNCTION("""COMPUTED_VALUE"""),7401.98530242837)</f>
        <v>7401.9853024283702</v>
      </c>
      <c r="BT10" s="119">
        <f ca="1">IFERROR(__xludf.DUMMYFUNCTION("""COMPUTED_VALUE"""),7533.38110676539)</f>
        <v>7533.3811067653896</v>
      </c>
      <c r="BU10" s="119">
        <f ca="1">IFERROR(__xludf.DUMMYFUNCTION("""COMPUTED_VALUE"""),7667.11055737185)</f>
        <v>7667.1105573718496</v>
      </c>
      <c r="BV10" s="119">
        <f ca="1">IFERROR(__xludf.DUMMYFUNCTION("""COMPUTED_VALUE"""),7803.19262220161)</f>
        <v>7803.19262220161</v>
      </c>
      <c r="BW10" s="119">
        <f ca="1">IFERROR(__xludf.DUMMYFUNCTION("""COMPUTED_VALUE"""),7941.69655008091)</f>
        <v>7941.6965500809101</v>
      </c>
      <c r="BX10" s="119"/>
      <c r="BY10" s="119"/>
      <c r="BZ10" s="119"/>
      <c r="CA10" s="119"/>
      <c r="CB10" s="119"/>
      <c r="CC10" s="119"/>
      <c r="CD10" s="119"/>
      <c r="CE10" s="119"/>
      <c r="CF10" s="119"/>
      <c r="CG10" s="119"/>
    </row>
    <row r="11" spans="1:85" ht="15.75" customHeight="1" x14ac:dyDescent="0.2">
      <c r="A11" s="159" t="str">
        <f ca="1">IFERROR(__xludf.DUMMYFUNCTION("""COMPUTED_VALUE"""),"Total Signups")</f>
        <v>Total Signups</v>
      </c>
      <c r="B11" s="155" t="str">
        <f ca="1">IFERROR(__xludf.DUMMYFUNCTION("""COMPUTED_VALUE"""),"")</f>
        <v/>
      </c>
      <c r="C11" s="155" t="str">
        <f ca="1">IFERROR(__xludf.DUMMYFUNCTION("""COMPUTED_VALUE"""),"")</f>
        <v/>
      </c>
      <c r="D11" s="160">
        <f ca="1">IFERROR(__xludf.DUMMYFUNCTION("""COMPUTED_VALUE"""),1029.4)</f>
        <v>1029.4000000000001</v>
      </c>
      <c r="E11" s="160">
        <f ca="1">IFERROR(__xludf.DUMMYFUNCTION("""COMPUTED_VALUE"""),1042)</f>
        <v>1042</v>
      </c>
      <c r="F11" s="160">
        <f ca="1">IFERROR(__xludf.DUMMYFUNCTION("""COMPUTED_VALUE"""),1330.4)</f>
        <v>1330.4</v>
      </c>
      <c r="G11" s="160">
        <f ca="1">IFERROR(__xludf.DUMMYFUNCTION("""COMPUTED_VALUE"""),1278.6)</f>
        <v>1278.5999999999999</v>
      </c>
      <c r="H11" s="160">
        <f ca="1">IFERROR(__xludf.DUMMYFUNCTION("""COMPUTED_VALUE"""),1406)</f>
        <v>1406</v>
      </c>
      <c r="I11" s="160">
        <f ca="1">IFERROR(__xludf.DUMMYFUNCTION("""COMPUTED_VALUE"""),1606.4)</f>
        <v>1606.4</v>
      </c>
      <c r="J11" s="160">
        <f ca="1">IFERROR(__xludf.DUMMYFUNCTION("""COMPUTED_VALUE"""),1729.8)</f>
        <v>1729.8</v>
      </c>
      <c r="K11" s="160">
        <f ca="1">IFERROR(__xludf.DUMMYFUNCTION("""COMPUTED_VALUE"""),1704.8)</f>
        <v>1704.8</v>
      </c>
      <c r="L11" s="160">
        <f ca="1">IFERROR(__xludf.DUMMYFUNCTION("""COMPUTED_VALUE"""),2482.6)</f>
        <v>2482.6</v>
      </c>
      <c r="M11" s="160">
        <f ca="1">IFERROR(__xludf.DUMMYFUNCTION("""COMPUTED_VALUE"""),2104.6)</f>
        <v>2104.6</v>
      </c>
      <c r="N11" s="160">
        <f ca="1">IFERROR(__xludf.DUMMYFUNCTION("""COMPUTED_VALUE"""),2812.6)</f>
        <v>2812.6</v>
      </c>
      <c r="O11" s="160">
        <f ca="1">IFERROR(__xludf.DUMMYFUNCTION("""COMPUTED_VALUE"""),3615.4)</f>
        <v>3615.4</v>
      </c>
      <c r="P11" s="160">
        <f ca="1">IFERROR(__xludf.DUMMYFUNCTION("""COMPUTED_VALUE"""),5231.4)</f>
        <v>5231.3999999999996</v>
      </c>
      <c r="Q11" s="160">
        <f ca="1">IFERROR(__xludf.DUMMYFUNCTION("""COMPUTED_VALUE"""),5243.2)</f>
        <v>5243.2</v>
      </c>
      <c r="R11" s="160">
        <f ca="1">IFERROR(__xludf.DUMMYFUNCTION("""COMPUTED_VALUE"""),4339.4)</f>
        <v>4339.3999999999996</v>
      </c>
      <c r="S11" s="160">
        <f ca="1">IFERROR(__xludf.DUMMYFUNCTION("""COMPUTED_VALUE"""),4750.6)</f>
        <v>4750.6000000000004</v>
      </c>
      <c r="T11" s="160">
        <f ca="1">IFERROR(__xludf.DUMMYFUNCTION("""COMPUTED_VALUE"""),4772)</f>
        <v>4772</v>
      </c>
      <c r="U11" s="160">
        <f ca="1">IFERROR(__xludf.DUMMYFUNCTION("""COMPUTED_VALUE"""),4860.8)</f>
        <v>4860.8</v>
      </c>
      <c r="V11" s="160">
        <f ca="1">IFERROR(__xludf.DUMMYFUNCTION("""COMPUTED_VALUE"""),4695.6)</f>
        <v>4695.6000000000004</v>
      </c>
      <c r="W11" s="160">
        <f ca="1">IFERROR(__xludf.DUMMYFUNCTION("""COMPUTED_VALUE"""),3447.4)</f>
        <v>3447.4</v>
      </c>
      <c r="X11" s="160">
        <f ca="1">IFERROR(__xludf.DUMMYFUNCTION("""COMPUTED_VALUE"""),5094.6)</f>
        <v>5094.6000000000004</v>
      </c>
      <c r="Y11" s="160">
        <f ca="1">IFERROR(__xludf.DUMMYFUNCTION("""COMPUTED_VALUE"""),4349.8903292486)</f>
        <v>4349.8903292486002</v>
      </c>
      <c r="Z11" s="160">
        <f ca="1">IFERROR(__xludf.DUMMYFUNCTION("""COMPUTED_VALUE"""),4425.03485338452)</f>
        <v>4425.0348533845199</v>
      </c>
      <c r="AA11" s="160">
        <f ca="1">IFERROR(__xludf.DUMMYFUNCTION("""COMPUTED_VALUE"""),4880.50239659134)</f>
        <v>4880.5023965913397</v>
      </c>
      <c r="AB11" s="160">
        <f ca="1">IFERROR(__xludf.DUMMYFUNCTION("""COMPUTED_VALUE"""),4838.17931047295)</f>
        <v>4838.1793104729504</v>
      </c>
      <c r="AC11" s="160">
        <f ca="1">IFERROR(__xludf.DUMMYFUNCTION("""COMPUTED_VALUE"""),4968.91389025058)</f>
        <v>4968.9138902505802</v>
      </c>
      <c r="AD11" s="160">
        <f ca="1">IFERROR(__xludf.DUMMYFUNCTION("""COMPUTED_VALUE"""),4825.54109659341)</f>
        <v>4825.5410965934097</v>
      </c>
      <c r="AE11" s="160">
        <f ca="1">IFERROR(__xludf.DUMMYFUNCTION("""COMPUTED_VALUE"""),4508.76529739507)</f>
        <v>4508.7652973950699</v>
      </c>
      <c r="AF11" s="160">
        <f ca="1">IFERROR(__xludf.DUMMYFUNCTION("""COMPUTED_VALUE"""),4231.59488787919)</f>
        <v>4231.5948878791896</v>
      </c>
      <c r="AG11" s="160">
        <f ca="1">IFERROR(__xludf.DUMMYFUNCTION("""COMPUTED_VALUE"""),4335.62294627394)</f>
        <v>4335.6229462739402</v>
      </c>
      <c r="AH11" s="160">
        <f ca="1">IFERROR(__xludf.DUMMYFUNCTION("""COMPUTED_VALUE"""),4409.14661106554)</f>
        <v>4409.1466110655401</v>
      </c>
      <c r="AI11" s="160">
        <f ca="1">IFERROR(__xludf.DUMMYFUNCTION("""COMPUTED_VALUE"""),4515.44061246275)</f>
        <v>4515.4406124627503</v>
      </c>
      <c r="AJ11" s="160">
        <f ca="1">IFERROR(__xludf.DUMMYFUNCTION("""COMPUTED_VALUE"""),4617.06061826274)</f>
        <v>4617.0606182627398</v>
      </c>
      <c r="AK11" s="160">
        <f ca="1">IFERROR(__xludf.DUMMYFUNCTION("""COMPUTED_VALUE"""),4717.69642039674)</f>
        <v>4717.69642039674</v>
      </c>
      <c r="AL11" s="160">
        <f ca="1">IFERROR(__xludf.DUMMYFUNCTION("""COMPUTED_VALUE"""),4826.89182475107)</f>
        <v>4826.8918247510701</v>
      </c>
      <c r="AM11" s="160">
        <f ca="1">IFERROR(__xludf.DUMMYFUNCTION("""COMPUTED_VALUE"""),4936.91318431544)</f>
        <v>4936.91318431544</v>
      </c>
      <c r="AN11" s="160">
        <f ca="1">IFERROR(__xludf.DUMMYFUNCTION("""COMPUTED_VALUE"""),5049.48979469503)</f>
        <v>5049.4897946950296</v>
      </c>
      <c r="AO11" s="160">
        <f ca="1">IFERROR(__xludf.DUMMYFUNCTION("""COMPUTED_VALUE"""),5165.77960467878)</f>
        <v>5165.7796046787798</v>
      </c>
      <c r="AP11" s="160">
        <f ca="1">IFERROR(__xludf.DUMMYFUNCTION("""COMPUTED_VALUE"""),5284.23373027332)</f>
        <v>5284.2337302733204</v>
      </c>
      <c r="AQ11" s="160">
        <f ca="1">IFERROR(__xludf.DUMMYFUNCTION("""COMPUTED_VALUE"""),5405.27958937483)</f>
        <v>5405.2795893748298</v>
      </c>
      <c r="AR11" s="160">
        <f ca="1">IFERROR(__xludf.DUMMYFUNCTION("""COMPUTED_VALUE"""),5528.93720549367)</f>
        <v>5528.9372054936703</v>
      </c>
      <c r="AS11" s="160">
        <f ca="1">IFERROR(__xludf.DUMMYFUNCTION("""COMPUTED_VALUE"""),5654.85674653015)</f>
        <v>5654.8567465301503</v>
      </c>
      <c r="AT11" s="160">
        <f ca="1">IFERROR(__xludf.DUMMYFUNCTION("""COMPUTED_VALUE"""),5783.07267898964)</f>
        <v>5783.0726789896398</v>
      </c>
      <c r="AU11" s="160">
        <f ca="1">IFERROR(__xludf.DUMMYFUNCTION("""COMPUTED_VALUE"""),5913.49489102586)</f>
        <v>5913.4948910258599</v>
      </c>
      <c r="AV11" s="160">
        <f ca="1">IFERROR(__xludf.DUMMYFUNCTION("""COMPUTED_VALUE"""),6045.99671784194)</f>
        <v>6045.9967178419402</v>
      </c>
      <c r="AW11" s="160">
        <f ca="1">IFERROR(__xludf.DUMMYFUNCTION("""COMPUTED_VALUE"""),6180.52315396908)</f>
        <v>6180.5231539690803</v>
      </c>
      <c r="AX11" s="160">
        <f ca="1">IFERROR(__xludf.DUMMYFUNCTION("""COMPUTED_VALUE"""),6316.99055512216)</f>
        <v>6316.99055512216</v>
      </c>
      <c r="AY11" s="160">
        <f ca="1">IFERROR(__xludf.DUMMYFUNCTION("""COMPUTED_VALUE"""),6455.31700582114)</f>
        <v>6455.3170058211399</v>
      </c>
      <c r="AZ11" s="160">
        <f ca="1">IFERROR(__xludf.DUMMYFUNCTION("""COMPUTED_VALUE"""),6308.357860523)</f>
        <v>6308.3578605230005</v>
      </c>
      <c r="BA11" s="160">
        <f ca="1">IFERROR(__xludf.DUMMYFUNCTION("""COMPUTED_VALUE"""),6409.72129193944)</f>
        <v>6409.7212919394397</v>
      </c>
      <c r="BB11" s="160">
        <f ca="1">IFERROR(__xludf.DUMMYFUNCTION("""COMPUTED_VALUE"""),6494.21830606634)</f>
        <v>6494.2183060663401</v>
      </c>
      <c r="BC11" s="160">
        <f ca="1">IFERROR(__xludf.DUMMYFUNCTION("""COMPUTED_VALUE"""),6555.57106375651)</f>
        <v>6555.5710637565098</v>
      </c>
      <c r="BD11" s="160">
        <f ca="1">IFERROR(__xludf.DUMMYFUNCTION("""COMPUTED_VALUE"""),6587.57995199316)</f>
        <v>6587.5799519931597</v>
      </c>
      <c r="BE11" s="160">
        <f ca="1">IFERROR(__xludf.DUMMYFUNCTION("""COMPUTED_VALUE"""),6666.10546200368)</f>
        <v>6666.1054620036803</v>
      </c>
      <c r="BF11" s="160">
        <f ca="1">IFERROR(__xludf.DUMMYFUNCTION("""COMPUTED_VALUE"""),6738.44678862502)</f>
        <v>6738.4467886250204</v>
      </c>
      <c r="BG11" s="160">
        <f ca="1">IFERROR(__xludf.DUMMYFUNCTION("""COMPUTED_VALUE"""),6807.40235925782)</f>
        <v>6807.4023592578196</v>
      </c>
      <c r="BH11" s="160">
        <f ca="1">IFERROR(__xludf.DUMMYFUNCTION("""COMPUTED_VALUE"""),6878.14129129117)</f>
        <v>6878.1412912911701</v>
      </c>
      <c r="BI11" s="160">
        <f ca="1">IFERROR(__xludf.DUMMYFUNCTION("""COMPUTED_VALUE"""),6958.80169693036)</f>
        <v>6958.8016969303599</v>
      </c>
      <c r="BJ11" s="160">
        <f ca="1">IFERROR(__xludf.DUMMYFUNCTION("""COMPUTED_VALUE"""),7039.83281774479)</f>
        <v>7039.8328177447902</v>
      </c>
      <c r="BK11" s="160">
        <f ca="1">IFERROR(__xludf.DUMMYFUNCTION("""COMPUTED_VALUE"""),7122.9540861207)</f>
        <v>7122.9540861206997</v>
      </c>
      <c r="BL11" s="160">
        <f ca="1">IFERROR(__xludf.DUMMYFUNCTION("""COMPUTED_VALUE"""),7209.60279615365)</f>
        <v>7209.6027961536502</v>
      </c>
      <c r="BM11" s="160">
        <f ca="1">IFERROR(__xludf.DUMMYFUNCTION("""COMPUTED_VALUE"""),7300.24124048542)</f>
        <v>7300.2412404854203</v>
      </c>
      <c r="BN11" s="160">
        <f ca="1">IFERROR(__xludf.DUMMYFUNCTION("""COMPUTED_VALUE"""),7393.32660214096)</f>
        <v>7393.3266021409599</v>
      </c>
      <c r="BO11" s="160">
        <f ca="1">IFERROR(__xludf.DUMMYFUNCTION("""COMPUTED_VALUE"""),7489.40740776554)</f>
        <v>7489.4074077655396</v>
      </c>
      <c r="BP11" s="160">
        <f ca="1">IFERROR(__xludf.DUMMYFUNCTION("""COMPUTED_VALUE"""),7588.72610906667)</f>
        <v>7588.7261090666698</v>
      </c>
      <c r="BQ11" s="160">
        <f ca="1">IFERROR(__xludf.DUMMYFUNCTION("""COMPUTED_VALUE"""),7691.21284231752)</f>
        <v>7691.21284231752</v>
      </c>
      <c r="BR11" s="160">
        <f ca="1">IFERROR(__xludf.DUMMYFUNCTION("""COMPUTED_VALUE"""),7796.658521961)</f>
        <v>7796.6585219609997</v>
      </c>
      <c r="BS11" s="160">
        <f ca="1">IFERROR(__xludf.DUMMYFUNCTION("""COMPUTED_VALUE"""),7905.20220474907)</f>
        <v>7905.20220474907</v>
      </c>
      <c r="BT11" s="160">
        <f ca="1">IFERROR(__xludf.DUMMYFUNCTION("""COMPUTED_VALUE"""),8016.87578927701)</f>
        <v>8016.87578927701</v>
      </c>
      <c r="BU11" s="160">
        <f ca="1">IFERROR(__xludf.DUMMYFUNCTION("""COMPUTED_VALUE"""),8131.65597891895)</f>
        <v>8131.6559789189496</v>
      </c>
      <c r="BV11" s="160">
        <f ca="1">IFERROR(__xludf.DUMMYFUNCTION("""COMPUTED_VALUE"""),8249.53144759876)</f>
        <v>8249.5314475987598</v>
      </c>
      <c r="BW11" s="160">
        <f ca="1">IFERROR(__xludf.DUMMYFUNCTION("""COMPUTED_VALUE"""),8370.5423374198)</f>
        <v>8370.5423374197999</v>
      </c>
      <c r="BX11" s="160"/>
      <c r="BY11" s="160"/>
      <c r="BZ11" s="160"/>
      <c r="CA11" s="160"/>
      <c r="CB11" s="160"/>
      <c r="CC11" s="160"/>
      <c r="CD11" s="160"/>
      <c r="CE11" s="160"/>
      <c r="CF11" s="160"/>
      <c r="CG11" s="160"/>
    </row>
    <row r="12" spans="1:85" ht="15.75" customHeight="1" x14ac:dyDescent="0.2">
      <c r="A12" s="155" t="str">
        <f ca="1">IFERROR(__xludf.DUMMYFUNCTION("""COMPUTED_VALUE"""),"  Visitor to Signup Conversion Rate")</f>
        <v xml:space="preserve">  Visitor to Signup Conversion Rate</v>
      </c>
      <c r="B12" s="155" t="str">
        <f ca="1">IFERROR(__xludf.DUMMYFUNCTION("""COMPUTED_VALUE"""),"")</f>
        <v/>
      </c>
      <c r="C12" s="155" t="str">
        <f ca="1">IFERROR(__xludf.DUMMYFUNCTION("""COMPUTED_VALUE"""),"")</f>
        <v/>
      </c>
      <c r="D12" s="162">
        <f ca="1">IFERROR(__xludf.DUMMYFUNCTION("""COMPUTED_VALUE"""),0.129412652117067)</f>
        <v>0.12941265211706701</v>
      </c>
      <c r="E12" s="162">
        <f ca="1">IFERROR(__xludf.DUMMYFUNCTION("""COMPUTED_VALUE"""),0.124667990715704)</f>
        <v>0.124667990715704</v>
      </c>
      <c r="F12" s="162">
        <f ca="1">IFERROR(__xludf.DUMMYFUNCTION("""COMPUTED_VALUE"""),0.165246553223202)</f>
        <v>0.165246553223202</v>
      </c>
      <c r="G12" s="162">
        <f ca="1">IFERROR(__xludf.DUMMYFUNCTION("""COMPUTED_VALUE"""),0.140102123556354)</f>
        <v>0.14010212355635401</v>
      </c>
      <c r="H12" s="162">
        <f ca="1">IFERROR(__xludf.DUMMYFUNCTION("""COMPUTED_VALUE"""),0.128648549730075)</f>
        <v>0.128648549730075</v>
      </c>
      <c r="I12" s="162">
        <f ca="1">IFERROR(__xludf.DUMMYFUNCTION("""COMPUTED_VALUE"""),0.118460835066295)</f>
        <v>0.118460835066295</v>
      </c>
      <c r="J12" s="162">
        <f ca="1">IFERROR(__xludf.DUMMYFUNCTION("""COMPUTED_VALUE"""),0.114839206522027)</f>
        <v>0.114839206522027</v>
      </c>
      <c r="K12" s="162">
        <f ca="1">IFERROR(__xludf.DUMMYFUNCTION("""COMPUTED_VALUE"""),0.0691681002304521)</f>
        <v>6.9168100230452098E-2</v>
      </c>
      <c r="L12" s="162">
        <f ca="1">IFERROR(__xludf.DUMMYFUNCTION("""COMPUTED_VALUE"""),0.0714775167997789)</f>
        <v>7.1477516799778901E-2</v>
      </c>
      <c r="M12" s="162">
        <f ca="1">IFERROR(__xludf.DUMMYFUNCTION("""COMPUTED_VALUE"""),0.0769028391858808)</f>
        <v>7.6902839185880797E-2</v>
      </c>
      <c r="N12" s="162">
        <f ca="1">IFERROR(__xludf.DUMMYFUNCTION("""COMPUTED_VALUE"""),0.0970940147336007)</f>
        <v>9.70940147336007E-2</v>
      </c>
      <c r="O12" s="162">
        <f ca="1">IFERROR(__xludf.DUMMYFUNCTION("""COMPUTED_VALUE"""),0.0837666008656083)</f>
        <v>8.3766600865608304E-2</v>
      </c>
      <c r="P12" s="162">
        <f ca="1">IFERROR(__xludf.DUMMYFUNCTION("""COMPUTED_VALUE"""),0.115148420269502)</f>
        <v>0.11514842026950201</v>
      </c>
      <c r="Q12" s="162">
        <f ca="1">IFERROR(__xludf.DUMMYFUNCTION("""COMPUTED_VALUE"""),0.0835641632905461)</f>
        <v>8.3564163290546098E-2</v>
      </c>
      <c r="R12" s="162">
        <f ca="1">IFERROR(__xludf.DUMMYFUNCTION("""COMPUTED_VALUE"""),0.0892983553660504)</f>
        <v>8.9298355366050394E-2</v>
      </c>
      <c r="S12" s="162">
        <f ca="1">IFERROR(__xludf.DUMMYFUNCTION("""COMPUTED_VALUE"""),0.0827939336268225)</f>
        <v>8.2793933626822497E-2</v>
      </c>
      <c r="T12" s="162">
        <f ca="1">IFERROR(__xludf.DUMMYFUNCTION("""COMPUTED_VALUE"""),0.0895091253540412)</f>
        <v>8.9509125354041194E-2</v>
      </c>
      <c r="U12" s="162">
        <f ca="1">IFERROR(__xludf.DUMMYFUNCTION("""COMPUTED_VALUE"""),0.0858537688193693)</f>
        <v>8.5853768819369305E-2</v>
      </c>
      <c r="V12" s="162">
        <f ca="1">IFERROR(__xludf.DUMMYFUNCTION("""COMPUTED_VALUE"""),0.0924563669586037)</f>
        <v>9.2456366958603695E-2</v>
      </c>
      <c r="W12" s="162">
        <f ca="1">IFERROR(__xludf.DUMMYFUNCTION("""COMPUTED_VALUE"""),0.0722643558171611)</f>
        <v>7.2264355817161105E-2</v>
      </c>
      <c r="X12" s="162">
        <f ca="1">IFERROR(__xludf.DUMMYFUNCTION("""COMPUTED_VALUE"""),0.088400646876323)</f>
        <v>8.8400646876323E-2</v>
      </c>
      <c r="Y12" s="162">
        <f ca="1">IFERROR(__xludf.DUMMYFUNCTION("""COMPUTED_VALUE"""),0.0845620631014788)</f>
        <v>8.4562063101478804E-2</v>
      </c>
      <c r="Z12" s="162">
        <f ca="1">IFERROR(__xludf.DUMMYFUNCTION("""COMPUTED_VALUE"""),0.0821837226229889)</f>
        <v>8.2183722622988897E-2</v>
      </c>
      <c r="AA12" s="162">
        <f ca="1">IFERROR(__xludf.DUMMYFUNCTION("""COMPUTED_VALUE"""),0.0851530178030217)</f>
        <v>8.5153017803021702E-2</v>
      </c>
      <c r="AB12" s="162">
        <f ca="1">IFERROR(__xludf.DUMMYFUNCTION("""COMPUTED_VALUE"""),0.0840320364295718)</f>
        <v>8.4032036429571799E-2</v>
      </c>
      <c r="AC12" s="162">
        <f ca="1">IFERROR(__xludf.DUMMYFUNCTION("""COMPUTED_VALUE"""),0.083849527282137)</f>
        <v>8.3849527282137001E-2</v>
      </c>
      <c r="AD12" s="162">
        <f ca="1">IFERROR(__xludf.DUMMYFUNCTION("""COMPUTED_VALUE"""),0.0857702896314123)</f>
        <v>8.5770289631412297E-2</v>
      </c>
      <c r="AE12" s="162">
        <f ca="1">IFERROR(__xludf.DUMMYFUNCTION("""COMPUTED_VALUE"""),0.0839733204668162)</f>
        <v>8.3973320466816201E-2</v>
      </c>
      <c r="AF12" s="162">
        <f ca="1">IFERROR(__xludf.DUMMYFUNCTION("""COMPUTED_VALUE"""),0.0844889009429044)</f>
        <v>8.4488900942904399E-2</v>
      </c>
      <c r="AG12" s="162">
        <f ca="1">IFERROR(__xludf.DUMMYFUNCTION("""COMPUTED_VALUE"""),0.0848032178585977)</f>
        <v>8.4803217858597693E-2</v>
      </c>
      <c r="AH12" s="162">
        <f ca="1">IFERROR(__xludf.DUMMYFUNCTION("""COMPUTED_VALUE"""),0.0845271668742114)</f>
        <v>8.4527166874211399E-2</v>
      </c>
      <c r="AI12" s="162">
        <f ca="1">IFERROR(__xludf.DUMMYFUNCTION("""COMPUTED_VALUE"""),0.0847338153308987)</f>
        <v>8.4733815330898701E-2</v>
      </c>
      <c r="AJ12" s="162">
        <f ca="1">IFERROR(__xludf.DUMMYFUNCTION("""COMPUTED_VALUE"""),0.0848077924581914)</f>
        <v>8.4807792458191394E-2</v>
      </c>
      <c r="AK12" s="162">
        <f ca="1">IFERROR(__xludf.DUMMYFUNCTION("""COMPUTED_VALUE"""),0.0848109569483295)</f>
        <v>8.4810956948329505E-2</v>
      </c>
      <c r="AL12" s="162">
        <f ca="1">IFERROR(__xludf.DUMMYFUNCTION("""COMPUTED_VALUE"""),0.0848937233052527)</f>
        <v>8.4893723305252702E-2</v>
      </c>
      <c r="AM12" s="162">
        <f ca="1">IFERROR(__xludf.DUMMYFUNCTION("""COMPUTED_VALUE"""),0.0849414292059432)</f>
        <v>8.4941429205943206E-2</v>
      </c>
      <c r="AN12" s="162">
        <f ca="1">IFERROR(__xludf.DUMMYFUNCTION("""COMPUTED_VALUE"""),0.0849810980006062)</f>
        <v>8.4981098000606201E-2</v>
      </c>
      <c r="AO12" s="162">
        <f ca="1">IFERROR(__xludf.DUMMYFUNCTION("""COMPUTED_VALUE"""),0.0850310680488341)</f>
        <v>8.5031068048834105E-2</v>
      </c>
      <c r="AP12" s="162">
        <f ca="1">IFERROR(__xludf.DUMMYFUNCTION("""COMPUTED_VALUE"""),0.0850716139858437)</f>
        <v>8.5071613985843703E-2</v>
      </c>
      <c r="AQ12" s="162">
        <f ca="1">IFERROR(__xludf.DUMMYFUNCTION("""COMPUTED_VALUE"""),0.0851099252182947)</f>
        <v>8.5109925218294705E-2</v>
      </c>
      <c r="AR12" s="162">
        <f ca="1">IFERROR(__xludf.DUMMYFUNCTION("""COMPUTED_VALUE"""),0.0851477571636347)</f>
        <v>8.5147757163634694E-2</v>
      </c>
      <c r="AS12" s="162">
        <f ca="1">IFERROR(__xludf.DUMMYFUNCTION("""COMPUTED_VALUE"""),0.0851820397390137)</f>
        <v>8.5182039739013699E-2</v>
      </c>
      <c r="AT12" s="162">
        <f ca="1">IFERROR(__xludf.DUMMYFUNCTION("""COMPUTED_VALUE"""),0.0852144402024053)</f>
        <v>8.5214440202405303E-2</v>
      </c>
      <c r="AU12" s="162">
        <f ca="1">IFERROR(__xludf.DUMMYFUNCTION("""COMPUTED_VALUE"""),0.0852450860039278)</f>
        <v>8.52450860039278E-2</v>
      </c>
      <c r="AV12" s="162">
        <f ca="1">IFERROR(__xludf.DUMMYFUNCTION("""COMPUTED_VALUE"""),0.085273617741364)</f>
        <v>8.5273617741363994E-2</v>
      </c>
      <c r="AW12" s="162">
        <f ca="1">IFERROR(__xludf.DUMMYFUNCTION("""COMPUTED_VALUE"""),0.0853004502528617)</f>
        <v>8.5300450252861704E-2</v>
      </c>
      <c r="AX12" s="162">
        <f ca="1">IFERROR(__xludf.DUMMYFUNCTION("""COMPUTED_VALUE"""),0.0853256451203858)</f>
        <v>8.5325645120385804E-2</v>
      </c>
      <c r="AY12" s="162">
        <f ca="1">IFERROR(__xludf.DUMMYFUNCTION("""COMPUTED_VALUE"""),0.0853492400005776)</f>
        <v>8.53492400005776E-2</v>
      </c>
      <c r="AZ12" s="162">
        <f ca="1">IFERROR(__xludf.DUMMYFUNCTION("""COMPUTED_VALUE"""),0.0853554857838939)</f>
        <v>8.5355485783893903E-2</v>
      </c>
      <c r="BA12" s="162">
        <f ca="1">IFERROR(__xludf.DUMMYFUNCTION("""COMPUTED_VALUE"""),0.0853753576899228)</f>
        <v>8.5375357689922798E-2</v>
      </c>
      <c r="BB12" s="162">
        <f ca="1">IFERROR(__xludf.DUMMYFUNCTION("""COMPUTED_VALUE"""),0.0853932204176433)</f>
        <v>8.5393220417643301E-2</v>
      </c>
      <c r="BC12" s="162">
        <f ca="1">IFERROR(__xludf.DUMMYFUNCTION("""COMPUTED_VALUE"""),0.0854090193093699)</f>
        <v>8.5409019309369894E-2</v>
      </c>
      <c r="BD12" s="162">
        <f ca="1">IFERROR(__xludf.DUMMYFUNCTION("""COMPUTED_VALUE"""),0.0854227121182119)</f>
        <v>8.5422712118211896E-2</v>
      </c>
      <c r="BE12" s="162">
        <f ca="1">IFERROR(__xludf.DUMMYFUNCTION("""COMPUTED_VALUE"""),0.0854377933580714)</f>
        <v>8.5437793358071404E-2</v>
      </c>
      <c r="BF12" s="162">
        <f ca="1">IFERROR(__xludf.DUMMYFUNCTION("""COMPUTED_VALUE"""),0.0854518338503383)</f>
        <v>8.5451833850338305E-2</v>
      </c>
      <c r="BG12" s="162">
        <f ca="1">IFERROR(__xludf.DUMMYFUNCTION("""COMPUTED_VALUE"""),0.0854650263111262)</f>
        <v>8.5465026311126194E-2</v>
      </c>
      <c r="BH12" s="162">
        <f ca="1">IFERROR(__xludf.DUMMYFUNCTION("""COMPUTED_VALUE"""),0.0854776152357408)</f>
        <v>8.5477615235740795E-2</v>
      </c>
      <c r="BI12" s="162">
        <f ca="1">IFERROR(__xludf.DUMMYFUNCTION("""COMPUTED_VALUE"""),0.0854898962951809)</f>
        <v>8.5489896295180903E-2</v>
      </c>
      <c r="BJ12" s="162">
        <f ca="1">IFERROR(__xludf.DUMMYFUNCTION("""COMPUTED_VALUE"""),0.0855015444967542)</f>
        <v>8.5501544496754206E-2</v>
      </c>
      <c r="BK12" s="162">
        <f ca="1">IFERROR(__xludf.DUMMYFUNCTION("""COMPUTED_VALUE"""),0.0855126439568867)</f>
        <v>8.5512643956886694E-2</v>
      </c>
      <c r="BL12" s="162">
        <f ca="1">IFERROR(__xludf.DUMMYFUNCTION("""COMPUTED_VALUE"""),0.0855232567923878)</f>
        <v>8.55232567923878E-2</v>
      </c>
      <c r="BM12" s="162">
        <f ca="1">IFERROR(__xludf.DUMMYFUNCTION("""COMPUTED_VALUE"""),0.0855334093825408)</f>
        <v>8.5533409382540795E-2</v>
      </c>
      <c r="BN12" s="162">
        <f ca="1">IFERROR(__xludf.DUMMYFUNCTION("""COMPUTED_VALUE"""),0.0855430768173809)</f>
        <v>8.5543076817380895E-2</v>
      </c>
      <c r="BO12" s="162">
        <f ca="1">IFERROR(__xludf.DUMMYFUNCTION("""COMPUTED_VALUE"""),0.0855522914194514)</f>
        <v>8.5552291419451407E-2</v>
      </c>
      <c r="BP12" s="162">
        <f ca="1">IFERROR(__xludf.DUMMYFUNCTION("""COMPUTED_VALUE"""),0.0855610753249403)</f>
        <v>8.5561075324940297E-2</v>
      </c>
      <c r="BQ12" s="162">
        <f ca="1">IFERROR(__xludf.DUMMYFUNCTION("""COMPUTED_VALUE"""),0.0855694429080077)</f>
        <v>8.5569442908007706E-2</v>
      </c>
      <c r="BR12" s="162">
        <f ca="1">IFERROR(__xludf.DUMMYFUNCTION("""COMPUTED_VALUE"""),0.0855774061507129)</f>
        <v>8.5577406150712895E-2</v>
      </c>
      <c r="BS12" s="162">
        <f ca="1">IFERROR(__xludf.DUMMYFUNCTION("""COMPUTED_VALUE"""),0.0855849838464149)</f>
        <v>8.55849838464149E-2</v>
      </c>
      <c r="BT12" s="162">
        <f ca="1">IFERROR(__xludf.DUMMYFUNCTION("""COMPUTED_VALUE"""),0.0855921920599881)</f>
        <v>8.5592192059988095E-2</v>
      </c>
      <c r="BU12" s="162">
        <f ca="1">IFERROR(__xludf.DUMMYFUNCTION("""COMPUTED_VALUE"""),0.0855990455594772)</f>
        <v>8.5599045559477199E-2</v>
      </c>
      <c r="BV12" s="162">
        <f ca="1">IFERROR(__xludf.DUMMYFUNCTION("""COMPUTED_VALUE"""),0.0856055590405734)</f>
        <v>8.5605559040573403E-2</v>
      </c>
      <c r="BW12" s="162">
        <f ca="1">IFERROR(__xludf.DUMMYFUNCTION("""COMPUTED_VALUE"""),0.0856117475563545)</f>
        <v>8.5611747556354506E-2</v>
      </c>
      <c r="BX12" s="162"/>
      <c r="BY12" s="162"/>
      <c r="BZ12" s="162"/>
      <c r="CA12" s="162"/>
      <c r="CB12" s="162"/>
      <c r="CC12" s="162"/>
      <c r="CD12" s="162"/>
      <c r="CE12" s="162"/>
      <c r="CF12" s="162"/>
      <c r="CG12" s="162"/>
    </row>
    <row r="13" spans="1:85" ht="15.75" customHeight="1" x14ac:dyDescent="0.2">
      <c r="A13" s="155" t="str">
        <f ca="1">IFERROR(__xludf.DUMMYFUNCTION("""COMPUTED_VALUE"""),"MQLs")</f>
        <v>MQLs</v>
      </c>
      <c r="B13" s="155" t="str">
        <f ca="1">IFERROR(__xludf.DUMMYFUNCTION("""COMPUTED_VALUE"""),"")</f>
        <v/>
      </c>
      <c r="C13" s="155" t="str">
        <f ca="1">IFERROR(__xludf.DUMMYFUNCTION("""COMPUTED_VALUE"""),"")</f>
        <v/>
      </c>
      <c r="D13" s="155" t="str">
        <f ca="1">IFERROR(__xludf.DUMMYFUNCTION("""COMPUTED_VALUE"""),"")</f>
        <v/>
      </c>
      <c r="E13" s="155" t="str">
        <f ca="1">IFERROR(__xludf.DUMMYFUNCTION("""COMPUTED_VALUE"""),"")</f>
        <v/>
      </c>
      <c r="F13" s="155" t="str">
        <f ca="1">IFERROR(__xludf.DUMMYFUNCTION("""COMPUTED_VALUE"""),"")</f>
        <v/>
      </c>
      <c r="G13" s="155" t="str">
        <f ca="1">IFERROR(__xludf.DUMMYFUNCTION("""COMPUTED_VALUE"""),"")</f>
        <v/>
      </c>
      <c r="H13" s="155" t="str">
        <f ca="1">IFERROR(__xludf.DUMMYFUNCTION("""COMPUTED_VALUE"""),"")</f>
        <v/>
      </c>
      <c r="I13" s="155" t="str">
        <f ca="1">IFERROR(__xludf.DUMMYFUNCTION("""COMPUTED_VALUE"""),"")</f>
        <v/>
      </c>
      <c r="J13" s="155" t="str">
        <f ca="1">IFERROR(__xludf.DUMMYFUNCTION("""COMPUTED_VALUE"""),"")</f>
        <v/>
      </c>
      <c r="K13" s="155" t="str">
        <f ca="1">IFERROR(__xludf.DUMMYFUNCTION("""COMPUTED_VALUE"""),"")</f>
        <v/>
      </c>
      <c r="L13" s="155" t="str">
        <f ca="1">IFERROR(__xludf.DUMMYFUNCTION("""COMPUTED_VALUE"""),"")</f>
        <v/>
      </c>
      <c r="M13" s="155" t="str">
        <f ca="1">IFERROR(__xludf.DUMMYFUNCTION("""COMPUTED_VALUE"""),"")</f>
        <v/>
      </c>
      <c r="N13" s="155" t="str">
        <f ca="1">IFERROR(__xludf.DUMMYFUNCTION("""COMPUTED_VALUE"""),"")</f>
        <v/>
      </c>
      <c r="O13" s="155" t="str">
        <f ca="1">IFERROR(__xludf.DUMMYFUNCTION("""COMPUTED_VALUE"""),"")</f>
        <v/>
      </c>
      <c r="P13" s="155" t="str">
        <f ca="1">IFERROR(__xludf.DUMMYFUNCTION("""COMPUTED_VALUE"""),"")</f>
        <v/>
      </c>
      <c r="Q13" s="155" t="str">
        <f ca="1">IFERROR(__xludf.DUMMYFUNCTION("""COMPUTED_VALUE"""),"")</f>
        <v/>
      </c>
      <c r="R13" s="155" t="str">
        <f ca="1">IFERROR(__xludf.DUMMYFUNCTION("""COMPUTED_VALUE"""),"")</f>
        <v/>
      </c>
      <c r="S13" s="155" t="str">
        <f ca="1">IFERROR(__xludf.DUMMYFUNCTION("""COMPUTED_VALUE"""),"")</f>
        <v/>
      </c>
      <c r="T13" s="155" t="str">
        <f ca="1">IFERROR(__xludf.DUMMYFUNCTION("""COMPUTED_VALUE"""),"")</f>
        <v/>
      </c>
      <c r="U13" s="155" t="str">
        <f ca="1">IFERROR(__xludf.DUMMYFUNCTION("""COMPUTED_VALUE"""),"")</f>
        <v/>
      </c>
      <c r="V13" s="155" t="str">
        <f ca="1">IFERROR(__xludf.DUMMYFUNCTION("""COMPUTED_VALUE"""),"")</f>
        <v/>
      </c>
      <c r="W13" s="155" t="str">
        <f ca="1">IFERROR(__xludf.DUMMYFUNCTION("""COMPUTED_VALUE"""),"")</f>
        <v/>
      </c>
      <c r="X13" s="155" t="str">
        <f ca="1">IFERROR(__xludf.DUMMYFUNCTION("""COMPUTED_VALUE"""),"")</f>
        <v/>
      </c>
      <c r="Y13" s="155" t="str">
        <f ca="1">IFERROR(__xludf.DUMMYFUNCTION("""COMPUTED_VALUE"""),"")</f>
        <v/>
      </c>
      <c r="Z13" s="155" t="str">
        <f ca="1">IFERROR(__xludf.DUMMYFUNCTION("""COMPUTED_VALUE"""),"")</f>
        <v/>
      </c>
      <c r="AA13" s="155" t="str">
        <f ca="1">IFERROR(__xludf.DUMMYFUNCTION("""COMPUTED_VALUE"""),"")</f>
        <v/>
      </c>
      <c r="AB13" s="155" t="str">
        <f ca="1">IFERROR(__xludf.DUMMYFUNCTION("""COMPUTED_VALUE"""),"")</f>
        <v/>
      </c>
      <c r="AC13" s="155" t="str">
        <f ca="1">IFERROR(__xludf.DUMMYFUNCTION("""COMPUTED_VALUE"""),"")</f>
        <v/>
      </c>
      <c r="AD13" s="155" t="str">
        <f ca="1">IFERROR(__xludf.DUMMYFUNCTION("""COMPUTED_VALUE"""),"")</f>
        <v/>
      </c>
      <c r="AE13" s="155" t="str">
        <f ca="1">IFERROR(__xludf.DUMMYFUNCTION("""COMPUTED_VALUE"""),"")</f>
        <v/>
      </c>
      <c r="AF13" s="155" t="str">
        <f ca="1">IFERROR(__xludf.DUMMYFUNCTION("""COMPUTED_VALUE"""),"")</f>
        <v/>
      </c>
      <c r="AG13" s="155" t="str">
        <f ca="1">IFERROR(__xludf.DUMMYFUNCTION("""COMPUTED_VALUE"""),"")</f>
        <v/>
      </c>
      <c r="AH13" s="155" t="str">
        <f ca="1">IFERROR(__xludf.DUMMYFUNCTION("""COMPUTED_VALUE"""),"")</f>
        <v/>
      </c>
      <c r="AI13" s="155" t="str">
        <f ca="1">IFERROR(__xludf.DUMMYFUNCTION("""COMPUTED_VALUE"""),"")</f>
        <v/>
      </c>
      <c r="AJ13" s="155" t="str">
        <f ca="1">IFERROR(__xludf.DUMMYFUNCTION("""COMPUTED_VALUE"""),"")</f>
        <v/>
      </c>
      <c r="AK13" s="155" t="str">
        <f ca="1">IFERROR(__xludf.DUMMYFUNCTION("""COMPUTED_VALUE"""),"")</f>
        <v/>
      </c>
      <c r="AL13" s="155" t="str">
        <f ca="1">IFERROR(__xludf.DUMMYFUNCTION("""COMPUTED_VALUE"""),"")</f>
        <v/>
      </c>
      <c r="AM13" s="155" t="str">
        <f ca="1">IFERROR(__xludf.DUMMYFUNCTION("""COMPUTED_VALUE"""),"")</f>
        <v/>
      </c>
      <c r="AN13" s="155" t="str">
        <f ca="1">IFERROR(__xludf.DUMMYFUNCTION("""COMPUTED_VALUE"""),"")</f>
        <v/>
      </c>
      <c r="AO13" s="155" t="str">
        <f ca="1">IFERROR(__xludf.DUMMYFUNCTION("""COMPUTED_VALUE"""),"")</f>
        <v/>
      </c>
      <c r="AP13" s="155" t="str">
        <f ca="1">IFERROR(__xludf.DUMMYFUNCTION("""COMPUTED_VALUE"""),"")</f>
        <v/>
      </c>
      <c r="AQ13" s="155" t="str">
        <f ca="1">IFERROR(__xludf.DUMMYFUNCTION("""COMPUTED_VALUE"""),"")</f>
        <v/>
      </c>
      <c r="AR13" s="155" t="str">
        <f ca="1">IFERROR(__xludf.DUMMYFUNCTION("""COMPUTED_VALUE"""),"")</f>
        <v/>
      </c>
      <c r="AS13" s="155" t="str">
        <f ca="1">IFERROR(__xludf.DUMMYFUNCTION("""COMPUTED_VALUE"""),"")</f>
        <v/>
      </c>
      <c r="AT13" s="155" t="str">
        <f ca="1">IFERROR(__xludf.DUMMYFUNCTION("""COMPUTED_VALUE"""),"")</f>
        <v/>
      </c>
      <c r="AU13" s="155" t="str">
        <f ca="1">IFERROR(__xludf.DUMMYFUNCTION("""COMPUTED_VALUE"""),"")</f>
        <v/>
      </c>
      <c r="AV13" s="155" t="str">
        <f ca="1">IFERROR(__xludf.DUMMYFUNCTION("""COMPUTED_VALUE"""),"")</f>
        <v/>
      </c>
      <c r="AW13" s="155" t="str">
        <f ca="1">IFERROR(__xludf.DUMMYFUNCTION("""COMPUTED_VALUE"""),"")</f>
        <v/>
      </c>
      <c r="AX13" s="155" t="str">
        <f ca="1">IFERROR(__xludf.DUMMYFUNCTION("""COMPUTED_VALUE"""),"")</f>
        <v/>
      </c>
      <c r="AY13" s="155" t="str">
        <f ca="1">IFERROR(__xludf.DUMMYFUNCTION("""COMPUTED_VALUE"""),"")</f>
        <v/>
      </c>
      <c r="AZ13" s="155" t="str">
        <f ca="1">IFERROR(__xludf.DUMMYFUNCTION("""COMPUTED_VALUE"""),"")</f>
        <v/>
      </c>
      <c r="BA13" s="155" t="str">
        <f ca="1">IFERROR(__xludf.DUMMYFUNCTION("""COMPUTED_VALUE"""),"")</f>
        <v/>
      </c>
      <c r="BB13" s="155" t="str">
        <f ca="1">IFERROR(__xludf.DUMMYFUNCTION("""COMPUTED_VALUE"""),"")</f>
        <v/>
      </c>
      <c r="BC13" s="155" t="str">
        <f ca="1">IFERROR(__xludf.DUMMYFUNCTION("""COMPUTED_VALUE"""),"")</f>
        <v/>
      </c>
      <c r="BD13" s="155" t="str">
        <f ca="1">IFERROR(__xludf.DUMMYFUNCTION("""COMPUTED_VALUE"""),"")</f>
        <v/>
      </c>
      <c r="BE13" s="155" t="str">
        <f ca="1">IFERROR(__xludf.DUMMYFUNCTION("""COMPUTED_VALUE"""),"")</f>
        <v/>
      </c>
      <c r="BF13" s="155" t="str">
        <f ca="1">IFERROR(__xludf.DUMMYFUNCTION("""COMPUTED_VALUE"""),"")</f>
        <v/>
      </c>
      <c r="BG13" s="155" t="str">
        <f ca="1">IFERROR(__xludf.DUMMYFUNCTION("""COMPUTED_VALUE"""),"")</f>
        <v/>
      </c>
      <c r="BH13" s="155" t="str">
        <f ca="1">IFERROR(__xludf.DUMMYFUNCTION("""COMPUTED_VALUE"""),"")</f>
        <v/>
      </c>
      <c r="BI13" s="155" t="str">
        <f ca="1">IFERROR(__xludf.DUMMYFUNCTION("""COMPUTED_VALUE"""),"")</f>
        <v/>
      </c>
      <c r="BJ13" s="155" t="str">
        <f ca="1">IFERROR(__xludf.DUMMYFUNCTION("""COMPUTED_VALUE"""),"")</f>
        <v/>
      </c>
      <c r="BK13" s="155" t="str">
        <f ca="1">IFERROR(__xludf.DUMMYFUNCTION("""COMPUTED_VALUE"""),"")</f>
        <v/>
      </c>
      <c r="BL13" s="155" t="str">
        <f ca="1">IFERROR(__xludf.DUMMYFUNCTION("""COMPUTED_VALUE"""),"")</f>
        <v/>
      </c>
      <c r="BM13" s="155" t="str">
        <f ca="1">IFERROR(__xludf.DUMMYFUNCTION("""COMPUTED_VALUE"""),"")</f>
        <v/>
      </c>
      <c r="BN13" s="155" t="str">
        <f ca="1">IFERROR(__xludf.DUMMYFUNCTION("""COMPUTED_VALUE"""),"")</f>
        <v/>
      </c>
      <c r="BO13" s="155" t="str">
        <f ca="1">IFERROR(__xludf.DUMMYFUNCTION("""COMPUTED_VALUE"""),"")</f>
        <v/>
      </c>
      <c r="BP13" s="155" t="str">
        <f ca="1">IFERROR(__xludf.DUMMYFUNCTION("""COMPUTED_VALUE"""),"")</f>
        <v/>
      </c>
      <c r="BQ13" s="155" t="str">
        <f ca="1">IFERROR(__xludf.DUMMYFUNCTION("""COMPUTED_VALUE"""),"")</f>
        <v/>
      </c>
      <c r="BR13" s="155" t="str">
        <f ca="1">IFERROR(__xludf.DUMMYFUNCTION("""COMPUTED_VALUE"""),"")</f>
        <v/>
      </c>
      <c r="BS13" s="155" t="str">
        <f ca="1">IFERROR(__xludf.DUMMYFUNCTION("""COMPUTED_VALUE"""),"")</f>
        <v/>
      </c>
      <c r="BT13" s="155" t="str">
        <f ca="1">IFERROR(__xludf.DUMMYFUNCTION("""COMPUTED_VALUE"""),"")</f>
        <v/>
      </c>
      <c r="BU13" s="155" t="str">
        <f ca="1">IFERROR(__xludf.DUMMYFUNCTION("""COMPUTED_VALUE"""),"")</f>
        <v/>
      </c>
      <c r="BV13" s="155" t="str">
        <f ca="1">IFERROR(__xludf.DUMMYFUNCTION("""COMPUTED_VALUE"""),"")</f>
        <v/>
      </c>
      <c r="BW13" s="155" t="str">
        <f ca="1">IFERROR(__xludf.DUMMYFUNCTION("""COMPUTED_VALUE"""),"")</f>
        <v/>
      </c>
      <c r="BX13" s="155"/>
      <c r="BY13" s="155"/>
      <c r="BZ13" s="155"/>
      <c r="CA13" s="155"/>
      <c r="CB13" s="155"/>
      <c r="CC13" s="155"/>
      <c r="CD13" s="155"/>
      <c r="CE13" s="155"/>
      <c r="CF13" s="155"/>
      <c r="CG13" s="155"/>
    </row>
    <row r="14" spans="1:85" ht="15.75" customHeight="1" x14ac:dyDescent="0.2">
      <c r="A14" s="155" t="str">
        <f ca="1">IFERROR(__xludf.DUMMYFUNCTION("""COMPUTED_VALUE"""),"  Organic")</f>
        <v xml:space="preserve">  Organic</v>
      </c>
      <c r="B14" s="155" t="str">
        <f ca="1">IFERROR(__xludf.DUMMYFUNCTION("""COMPUTED_VALUE"""),"")</f>
        <v/>
      </c>
      <c r="C14" s="155" t="str">
        <f ca="1">IFERROR(__xludf.DUMMYFUNCTION("""COMPUTED_VALUE"""),"")</f>
        <v/>
      </c>
      <c r="D14" s="119">
        <f ca="1">IFERROR(__xludf.DUMMYFUNCTION("""COMPUTED_VALUE"""),141)</f>
        <v>141</v>
      </c>
      <c r="E14" s="119">
        <f ca="1">IFERROR(__xludf.DUMMYFUNCTION("""COMPUTED_VALUE"""),158)</f>
        <v>158</v>
      </c>
      <c r="F14" s="119">
        <f ca="1">IFERROR(__xludf.DUMMYFUNCTION("""COMPUTED_VALUE"""),175)</f>
        <v>175</v>
      </c>
      <c r="G14" s="119">
        <f ca="1">IFERROR(__xludf.DUMMYFUNCTION("""COMPUTED_VALUE"""),192)</f>
        <v>192</v>
      </c>
      <c r="H14" s="119">
        <f ca="1">IFERROR(__xludf.DUMMYFUNCTION("""COMPUTED_VALUE"""),177)</f>
        <v>177</v>
      </c>
      <c r="I14" s="119">
        <f ca="1">IFERROR(__xludf.DUMMYFUNCTION("""COMPUTED_VALUE"""),206)</f>
        <v>206</v>
      </c>
      <c r="J14" s="119">
        <f ca="1">IFERROR(__xludf.DUMMYFUNCTION("""COMPUTED_VALUE"""),295)</f>
        <v>295</v>
      </c>
      <c r="K14" s="119">
        <f ca="1">IFERROR(__xludf.DUMMYFUNCTION("""COMPUTED_VALUE"""),231)</f>
        <v>231</v>
      </c>
      <c r="L14" s="119">
        <f ca="1">IFERROR(__xludf.DUMMYFUNCTION("""COMPUTED_VALUE"""),354)</f>
        <v>354</v>
      </c>
      <c r="M14" s="119">
        <f ca="1">IFERROR(__xludf.DUMMYFUNCTION("""COMPUTED_VALUE"""),349)</f>
        <v>349</v>
      </c>
      <c r="N14" s="119">
        <f ca="1">IFERROR(__xludf.DUMMYFUNCTION("""COMPUTED_VALUE"""),482)</f>
        <v>482</v>
      </c>
      <c r="O14" s="119">
        <f ca="1">IFERROR(__xludf.DUMMYFUNCTION("""COMPUTED_VALUE"""),428)</f>
        <v>428</v>
      </c>
      <c r="P14" s="119">
        <f ca="1">IFERROR(__xludf.DUMMYFUNCTION("""COMPUTED_VALUE"""),580)</f>
        <v>580</v>
      </c>
      <c r="Q14" s="119">
        <f ca="1">IFERROR(__xludf.DUMMYFUNCTION("""COMPUTED_VALUE"""),824)</f>
        <v>824</v>
      </c>
      <c r="R14" s="119">
        <f ca="1">IFERROR(__xludf.DUMMYFUNCTION("""COMPUTED_VALUE"""),570)</f>
        <v>570</v>
      </c>
      <c r="S14" s="119">
        <f ca="1">IFERROR(__xludf.DUMMYFUNCTION("""COMPUTED_VALUE"""),778)</f>
        <v>778</v>
      </c>
      <c r="T14" s="119">
        <f ca="1">IFERROR(__xludf.DUMMYFUNCTION("""COMPUTED_VALUE"""),580)</f>
        <v>580</v>
      </c>
      <c r="U14" s="119">
        <f ca="1">IFERROR(__xludf.DUMMYFUNCTION("""COMPUTED_VALUE"""),823)</f>
        <v>823</v>
      </c>
      <c r="V14" s="119">
        <f ca="1">IFERROR(__xludf.DUMMYFUNCTION("""COMPUTED_VALUE"""),956)</f>
        <v>956</v>
      </c>
      <c r="W14" s="119">
        <f ca="1">IFERROR(__xludf.DUMMYFUNCTION("""COMPUTED_VALUE"""),494)</f>
        <v>494</v>
      </c>
      <c r="X14" s="119">
        <f ca="1">IFERROR(__xludf.DUMMYFUNCTION("""COMPUTED_VALUE"""),743)</f>
        <v>743</v>
      </c>
      <c r="Y14" s="119">
        <f ca="1">IFERROR(__xludf.DUMMYFUNCTION("""COMPUTED_VALUE"""),774.363072517148)</f>
        <v>774.363072517148</v>
      </c>
      <c r="Z14" s="119">
        <f ca="1">IFERROR(__xludf.DUMMYFUNCTION("""COMPUTED_VALUE"""),710.068878616578)</f>
        <v>710.06887861657799</v>
      </c>
      <c r="AA14" s="119">
        <f ca="1">IFERROR(__xludf.DUMMYFUNCTION("""COMPUTED_VALUE"""),769.226094303772)</f>
        <v>769.22609430377202</v>
      </c>
      <c r="AB14" s="119">
        <f ca="1">IFERROR(__xludf.DUMMYFUNCTION("""COMPUTED_VALUE"""),778.283069570678)</f>
        <v>778.28306957067798</v>
      </c>
      <c r="AC14" s="119">
        <f ca="1">IFERROR(__xludf.DUMMYFUNCTION("""COMPUTED_VALUE"""),779.636809702507)</f>
        <v>779.63680970250698</v>
      </c>
      <c r="AD14" s="119">
        <f ca="1">IFERROR(__xludf.DUMMYFUNCTION("""COMPUTED_VALUE"""),803.661547199329)</f>
        <v>803.66154719932899</v>
      </c>
      <c r="AE14" s="119">
        <f ca="1">IFERROR(__xludf.DUMMYFUNCTION("""COMPUTED_VALUE"""),815.553559847774)</f>
        <v>815.55355984777395</v>
      </c>
      <c r="AF14" s="119">
        <f ca="1">IFERROR(__xludf.DUMMYFUNCTION("""COMPUTED_VALUE"""),734.158380221245)</f>
        <v>734.15838022124501</v>
      </c>
      <c r="AG14" s="119">
        <f ca="1">IFERROR(__xludf.DUMMYFUNCTION("""COMPUTED_VALUE"""),723.787691229598)</f>
        <v>723.78769122959795</v>
      </c>
      <c r="AH14" s="119">
        <f ca="1">IFERROR(__xludf.DUMMYFUNCTION("""COMPUTED_VALUE"""),699.22222632796)</f>
        <v>699.22222632796002</v>
      </c>
      <c r="AI14" s="119">
        <f ca="1">IFERROR(__xludf.DUMMYFUNCTION("""COMPUTED_VALUE"""),663.444145304492)</f>
        <v>663.44414530449205</v>
      </c>
      <c r="AJ14" s="119">
        <f ca="1">IFERROR(__xludf.DUMMYFUNCTION("""COMPUTED_VALUE"""),641.695751730605)</f>
        <v>641.69575173060502</v>
      </c>
      <c r="AK14" s="119">
        <f ca="1">IFERROR(__xludf.DUMMYFUNCTION("""COMPUTED_VALUE"""),616.448108005552)</f>
        <v>616.44810800555194</v>
      </c>
      <c r="AL14" s="119">
        <f ca="1">IFERROR(__xludf.DUMMYFUNCTION("""COMPUTED_VALUE"""),590.990657958521)</f>
        <v>590.99065795852096</v>
      </c>
      <c r="AM14" s="119">
        <f ca="1">IFERROR(__xludf.DUMMYFUNCTION("""COMPUTED_VALUE"""),568.707351627683)</f>
        <v>568.70735162768301</v>
      </c>
      <c r="AN14" s="119">
        <f ca="1">IFERROR(__xludf.DUMMYFUNCTION("""COMPUTED_VALUE"""),546.259531133897)</f>
        <v>546.25953113389699</v>
      </c>
      <c r="AO14" s="119">
        <f ca="1">IFERROR(__xludf.DUMMYFUNCTION("""COMPUTED_VALUE"""),524.672805406144)</f>
        <v>524.67280540614399</v>
      </c>
      <c r="AP14" s="119">
        <f ca="1">IFERROR(__xludf.DUMMYFUNCTION("""COMPUTED_VALUE"""),504.276533566647)</f>
        <v>504.276533566647</v>
      </c>
      <c r="AQ14" s="119">
        <f ca="1">IFERROR(__xludf.DUMMYFUNCTION("""COMPUTED_VALUE"""),484.460625339279)</f>
        <v>484.46062533927898</v>
      </c>
      <c r="AR14" s="119">
        <f ca="1">IFERROR(__xludf.DUMMYFUNCTION("""COMPUTED_VALUE"""),465.454170313085)</f>
        <v>465.454170313085</v>
      </c>
      <c r="AS14" s="119">
        <f ca="1">IFERROR(__xludf.DUMMYFUNCTION("""COMPUTED_VALUE"""),447.241285956372)</f>
        <v>447.241285956372</v>
      </c>
      <c r="AT14" s="119">
        <f ca="1">IFERROR(__xludf.DUMMYFUNCTION("""COMPUTED_VALUE"""),429.699909540822)</f>
        <v>429.69990954082198</v>
      </c>
      <c r="AU14" s="119">
        <f ca="1">IFERROR(__xludf.DUMMYFUNCTION("""COMPUTED_VALUE"""),412.858072802086)</f>
        <v>412.85807280208599</v>
      </c>
      <c r="AV14" s="119">
        <f ca="1">IFERROR(__xludf.DUMMYFUNCTION("""COMPUTED_VALUE"""),396.681971477276)</f>
        <v>396.68197147727602</v>
      </c>
      <c r="AW14" s="119">
        <f ca="1">IFERROR(__xludf.DUMMYFUNCTION("""COMPUTED_VALUE"""),381.13228941663)</f>
        <v>381.13228941662999</v>
      </c>
      <c r="AX14" s="119">
        <f ca="1">IFERROR(__xludf.DUMMYFUNCTION("""COMPUTED_VALUE"""),366.195159450486)</f>
        <v>366.19515945048602</v>
      </c>
      <c r="AY14" s="119">
        <f ca="1">IFERROR(__xludf.DUMMYFUNCTION("""COMPUTED_VALUE"""),351.843828264205)</f>
        <v>351.843828264205</v>
      </c>
      <c r="AZ14" s="119">
        <f ca="1">IFERROR(__xludf.DUMMYFUNCTION("""COMPUTED_VALUE"""),338.053711085278)</f>
        <v>338.053711085278</v>
      </c>
      <c r="BA14" s="119">
        <f ca="1">IFERROR(__xludf.DUMMYFUNCTION("""COMPUTED_VALUE"""),324.804753824315)</f>
        <v>324.80475382431501</v>
      </c>
      <c r="BB14" s="119">
        <f ca="1">IFERROR(__xludf.DUMMYFUNCTION("""COMPUTED_VALUE"""),312.074999584584)</f>
        <v>312.07499958458402</v>
      </c>
      <c r="BC14" s="119">
        <f ca="1">IFERROR(__xludf.DUMMYFUNCTION("""COMPUTED_VALUE"""),299.843966623327)</f>
        <v>299.84396662332699</v>
      </c>
      <c r="BD14" s="119">
        <f ca="1">IFERROR(__xludf.DUMMYFUNCTION("""COMPUTED_VALUE"""),288.092435097964)</f>
        <v>288.09243509796403</v>
      </c>
      <c r="BE14" s="119">
        <f ca="1">IFERROR(__xludf.DUMMYFUNCTION("""COMPUTED_VALUE"""),276.801441741243)</f>
        <v>276.80144174124302</v>
      </c>
      <c r="BF14" s="119">
        <f ca="1">IFERROR(__xludf.DUMMYFUNCTION("""COMPUTED_VALUE"""),265.952943986422)</f>
        <v>265.95294398642199</v>
      </c>
      <c r="BG14" s="119">
        <f ca="1">IFERROR(__xludf.DUMMYFUNCTION("""COMPUTED_VALUE"""),255.529649443298)</f>
        <v>255.52964944329801</v>
      </c>
      <c r="BH14" s="119">
        <f ca="1">IFERROR(__xludf.DUMMYFUNCTION("""COMPUTED_VALUE"""),245.514858515934)</f>
        <v>245.51485851593401</v>
      </c>
      <c r="BI14" s="119">
        <f ca="1">IFERROR(__xludf.DUMMYFUNCTION("""COMPUTED_VALUE"""),235.892567807885)</f>
        <v>235.892567807885</v>
      </c>
      <c r="BJ14" s="119">
        <f ca="1">IFERROR(__xludf.DUMMYFUNCTION("""COMPUTED_VALUE"""),226.647401076186)</f>
        <v>226.64740107618599</v>
      </c>
      <c r="BK14" s="119">
        <f ca="1">IFERROR(__xludf.DUMMYFUNCTION("""COMPUTED_VALUE"""),217.764571395201)</f>
        <v>217.76457139520099</v>
      </c>
      <c r="BL14" s="119">
        <f ca="1">IFERROR(__xludf.DUMMYFUNCTION("""COMPUTED_VALUE"""),209.229880087283)</f>
        <v>209.22988008728299</v>
      </c>
      <c r="BM14" s="119">
        <f ca="1">IFERROR(__xludf.DUMMYFUNCTION("""COMPUTED_VALUE"""),201.029683521939)</f>
        <v>201.02968352193901</v>
      </c>
      <c r="BN14" s="119">
        <f ca="1">IFERROR(__xludf.DUMMYFUNCTION("""COMPUTED_VALUE"""),193.15087093929)</f>
        <v>193.15087093929</v>
      </c>
      <c r="BO14" s="119">
        <f ca="1">IFERROR(__xludf.DUMMYFUNCTION("""COMPUTED_VALUE"""),185.580847089706)</f>
        <v>185.580847089706</v>
      </c>
      <c r="BP14" s="119">
        <f ca="1">IFERROR(__xludf.DUMMYFUNCTION("""COMPUTED_VALUE"""),178.307509863069)</f>
        <v>178.30750986306899</v>
      </c>
      <c r="BQ14" s="119">
        <f ca="1">IFERROR(__xludf.DUMMYFUNCTION("""COMPUTED_VALUE"""),171.319231248883)</f>
        <v>171.319231248883</v>
      </c>
      <c r="BR14" s="119">
        <f ca="1">IFERROR(__xludf.DUMMYFUNCTION("""COMPUTED_VALUE"""),164.604839261057)</f>
        <v>164.60483926105701</v>
      </c>
      <c r="BS14" s="119">
        <f ca="1">IFERROR(__xludf.DUMMYFUNCTION("""COMPUTED_VALUE"""),158.153599642846)</f>
        <v>158.15359964284599</v>
      </c>
      <c r="BT14" s="119">
        <f ca="1">IFERROR(__xludf.DUMMYFUNCTION("""COMPUTED_VALUE"""),151.955198825271)</f>
        <v>151.955198825271</v>
      </c>
      <c r="BU14" s="119">
        <f ca="1">IFERROR(__xludf.DUMMYFUNCTION("""COMPUTED_VALUE"""),145.999727500127)</f>
        <v>145.99972750012699</v>
      </c>
      <c r="BV14" s="119">
        <f ca="1">IFERROR(__xludf.DUMMYFUNCTION("""COMPUTED_VALUE"""),140.277664699912)</f>
        <v>140.27766469991201</v>
      </c>
      <c r="BW14" s="119">
        <f ca="1">IFERROR(__xludf.DUMMYFUNCTION("""COMPUTED_VALUE"""),134.779862608185)</f>
        <v>134.779862608185</v>
      </c>
      <c r="BX14" s="119"/>
      <c r="BY14" s="119"/>
      <c r="BZ14" s="119"/>
      <c r="CA14" s="119"/>
      <c r="CB14" s="119"/>
      <c r="CC14" s="119"/>
      <c r="CD14" s="119"/>
      <c r="CE14" s="119"/>
      <c r="CF14" s="119"/>
      <c r="CG14" s="119"/>
    </row>
    <row r="15" spans="1:85" ht="15.75" customHeight="1" x14ac:dyDescent="0.2">
      <c r="A15" s="157" t="str">
        <f ca="1">IFERROR(__xludf.DUMMYFUNCTION("""COMPUTED_VALUE"""),"  Adwords")</f>
        <v xml:space="preserve">  Adwords</v>
      </c>
      <c r="B15" s="157" t="str">
        <f ca="1">IFERROR(__xludf.DUMMYFUNCTION("""COMPUTED_VALUE"""),"")</f>
        <v/>
      </c>
      <c r="C15" s="157" t="str">
        <f ca="1">IFERROR(__xludf.DUMMYFUNCTION("""COMPUTED_VALUE"""),"")</f>
        <v/>
      </c>
      <c r="D15" s="158">
        <f ca="1">IFERROR(__xludf.DUMMYFUNCTION("""COMPUTED_VALUE"""),135.9)</f>
        <v>135.9</v>
      </c>
      <c r="E15" s="158">
        <f ca="1">IFERROR(__xludf.DUMMYFUNCTION("""COMPUTED_VALUE"""),132)</f>
        <v>132</v>
      </c>
      <c r="F15" s="158">
        <f ca="1">IFERROR(__xludf.DUMMYFUNCTION("""COMPUTED_VALUE"""),125.699999999999)</f>
        <v>125.69999999999899</v>
      </c>
      <c r="G15" s="158">
        <f ca="1">IFERROR(__xludf.DUMMYFUNCTION("""COMPUTED_VALUE"""),146.7)</f>
        <v>146.69999999999999</v>
      </c>
      <c r="H15" s="158">
        <f ca="1">IFERROR(__xludf.DUMMYFUNCTION("""COMPUTED_VALUE"""),168.9)</f>
        <v>168.9</v>
      </c>
      <c r="I15" s="158">
        <f ca="1">IFERROR(__xludf.DUMMYFUNCTION("""COMPUTED_VALUE"""),195.9)</f>
        <v>195.9</v>
      </c>
      <c r="J15" s="158">
        <f ca="1">IFERROR(__xludf.DUMMYFUNCTION("""COMPUTED_VALUE"""),236.399999999999)</f>
        <v>236.39999999999901</v>
      </c>
      <c r="K15" s="158">
        <f ca="1">IFERROR(__xludf.DUMMYFUNCTION("""COMPUTED_VALUE"""),201.9)</f>
        <v>201.9</v>
      </c>
      <c r="L15" s="158">
        <f ca="1">IFERROR(__xludf.DUMMYFUNCTION("""COMPUTED_VALUE"""),330.599999999999)</f>
        <v>330.599999999999</v>
      </c>
      <c r="M15" s="158">
        <f ca="1">IFERROR(__xludf.DUMMYFUNCTION("""COMPUTED_VALUE"""),297)</f>
        <v>297</v>
      </c>
      <c r="N15" s="158">
        <f ca="1">IFERROR(__xludf.DUMMYFUNCTION("""COMPUTED_VALUE"""),343.5)</f>
        <v>343.5</v>
      </c>
      <c r="O15" s="158">
        <f ca="1">IFERROR(__xludf.DUMMYFUNCTION("""COMPUTED_VALUE"""),362.099999999999)</f>
        <v>362.099999999999</v>
      </c>
      <c r="P15" s="158">
        <f ca="1">IFERROR(__xludf.DUMMYFUNCTION("""COMPUTED_VALUE"""),475.799999999999)</f>
        <v>475.79999999999899</v>
      </c>
      <c r="Q15" s="158">
        <f ca="1">IFERROR(__xludf.DUMMYFUNCTION("""COMPUTED_VALUE"""),706.5)</f>
        <v>706.5</v>
      </c>
      <c r="R15" s="158">
        <f ca="1">IFERROR(__xludf.DUMMYFUNCTION("""COMPUTED_VALUE"""),518.4)</f>
        <v>518.4</v>
      </c>
      <c r="S15" s="158">
        <f ca="1">IFERROR(__xludf.DUMMYFUNCTION("""COMPUTED_VALUE"""),706.8)</f>
        <v>706.8</v>
      </c>
      <c r="T15" s="158">
        <f ca="1">IFERROR(__xludf.DUMMYFUNCTION("""COMPUTED_VALUE"""),530.699999999999)</f>
        <v>530.69999999999902</v>
      </c>
      <c r="U15" s="158">
        <f ca="1">IFERROR(__xludf.DUMMYFUNCTION("""COMPUTED_VALUE"""),612)</f>
        <v>612</v>
      </c>
      <c r="V15" s="158">
        <f ca="1">IFERROR(__xludf.DUMMYFUNCTION("""COMPUTED_VALUE"""),675.3)</f>
        <v>675.3</v>
      </c>
      <c r="W15" s="158">
        <f ca="1">IFERROR(__xludf.DUMMYFUNCTION("""COMPUTED_VALUE"""),456.9)</f>
        <v>456.9</v>
      </c>
      <c r="X15" s="158">
        <f ca="1">IFERROR(__xludf.DUMMYFUNCTION("""COMPUTED_VALUE"""),597.6)</f>
        <v>597.6</v>
      </c>
      <c r="Y15" s="158">
        <f ca="1">IFERROR(__xludf.DUMMYFUNCTION("""COMPUTED_VALUE"""),519.407334394514)</f>
        <v>519.40733439451401</v>
      </c>
      <c r="Z15" s="158">
        <f ca="1">IFERROR(__xludf.DUMMYFUNCTION("""COMPUTED_VALUE"""),521.286571919749)</f>
        <v>521.28657191974901</v>
      </c>
      <c r="AA15" s="158">
        <f ca="1">IFERROR(__xludf.DUMMYFUNCTION("""COMPUTED_VALUE"""),589.920859782856)</f>
        <v>589.92085978285604</v>
      </c>
      <c r="AB15" s="158">
        <f ca="1">IFERROR(__xludf.DUMMYFUNCTION("""COMPUTED_VALUE"""),596.515049944356)</f>
        <v>596.51504994435595</v>
      </c>
      <c r="AC15" s="158">
        <f ca="1">IFERROR(__xludf.DUMMYFUNCTION("""COMPUTED_VALUE"""),612.585175685834)</f>
        <v>612.58517568583397</v>
      </c>
      <c r="AD15" s="158">
        <f ca="1">IFERROR(__xludf.DUMMYFUNCTION("""COMPUTED_VALUE"""),584.898489224321)</f>
        <v>584.898489224321</v>
      </c>
      <c r="AE15" s="158">
        <f ca="1">IFERROR(__xludf.DUMMYFUNCTION("""COMPUTED_VALUE"""),555.386623245871)</f>
        <v>555.38662324587096</v>
      </c>
      <c r="AF15" s="158">
        <f ca="1">IFERROR(__xludf.DUMMYFUNCTION("""COMPUTED_VALUE"""),497.035981722777)</f>
        <v>497.03598172277702</v>
      </c>
      <c r="AG15" s="158">
        <f ca="1">IFERROR(__xludf.DUMMYFUNCTION("""COMPUTED_VALUE"""),547.728924345776)</f>
        <v>547.72892434577602</v>
      </c>
      <c r="AH15" s="158">
        <f ca="1">IFERROR(__xludf.DUMMYFUNCTION("""COMPUTED_VALUE"""),596.986076362619)</f>
        <v>596.98607636261897</v>
      </c>
      <c r="AI15" s="158">
        <f ca="1">IFERROR(__xludf.DUMMYFUNCTION("""COMPUTED_VALUE"""),646.75038701834)</f>
        <v>646.75038701834001</v>
      </c>
      <c r="AJ15" s="158">
        <f ca="1">IFERROR(__xludf.DUMMYFUNCTION("""COMPUTED_VALUE"""),696.680984115953)</f>
        <v>696.68098411595304</v>
      </c>
      <c r="AK15" s="158">
        <f ca="1">IFERROR(__xludf.DUMMYFUNCTION("""COMPUTED_VALUE"""),746.314402883428)</f>
        <v>746.31440288342799</v>
      </c>
      <c r="AL15" s="158">
        <f ca="1">IFERROR(__xludf.DUMMYFUNCTION("""COMPUTED_VALUE"""),796.093628197227)</f>
        <v>796.09362819722696</v>
      </c>
      <c r="AM15" s="158">
        <f ca="1">IFERROR(__xludf.DUMMYFUNCTION("""COMPUTED_VALUE"""),845.878072407607)</f>
        <v>845.87807240760696</v>
      </c>
      <c r="AN15" s="158">
        <f ca="1">IFERROR(__xludf.DUMMYFUNCTION("""COMPUTED_VALUE"""),895.607288808099)</f>
        <v>895.60728880809904</v>
      </c>
      <c r="AO15" s="158">
        <f ca="1">IFERROR(__xludf.DUMMYFUNCTION("""COMPUTED_VALUE"""),945.37256468325)</f>
        <v>945.37256468324995</v>
      </c>
      <c r="AP15" s="158">
        <f ca="1">IFERROR(__xludf.DUMMYFUNCTION("""COMPUTED_VALUE"""),995.132565147761)</f>
        <v>995.13256514776106</v>
      </c>
      <c r="AQ15" s="158">
        <f ca="1">IFERROR(__xludf.DUMMYFUNCTION("""COMPUTED_VALUE"""),1044.88352265651)</f>
        <v>1044.88352265651</v>
      </c>
      <c r="AR15" s="158">
        <f ca="1">IFERROR(__xludf.DUMMYFUNCTION("""COMPUTED_VALUE"""),1094.64250591209)</f>
        <v>1094.64250591209</v>
      </c>
      <c r="AS15" s="158">
        <f ca="1">IFERROR(__xludf.DUMMYFUNCTION("""COMPUTED_VALUE"""),1144.39916913454)</f>
        <v>1144.39916913454</v>
      </c>
      <c r="AT15" s="158">
        <f ca="1">IFERROR(__xludf.DUMMYFUNCTION("""COMPUTED_VALUE"""),1194.1546173466)</f>
        <v>1194.1546173465999</v>
      </c>
      <c r="AU15" s="158">
        <f ca="1">IFERROR(__xludf.DUMMYFUNCTION("""COMPUTED_VALUE"""),1243.91170014247)</f>
        <v>1243.91170014247</v>
      </c>
      <c r="AV15" s="158">
        <f ca="1">IFERROR(__xludf.DUMMYFUNCTION("""COMPUTED_VALUE"""),1293.66809239186)</f>
        <v>1293.66809239186</v>
      </c>
      <c r="AW15" s="158">
        <f ca="1">IFERROR(__xludf.DUMMYFUNCTION("""COMPUTED_VALUE"""),1343.42438755714)</f>
        <v>1343.4243875571401</v>
      </c>
      <c r="AX15" s="158">
        <f ca="1">IFERROR(__xludf.DUMMYFUNCTION("""COMPUTED_VALUE"""),1393.18098772514)</f>
        <v>1393.1809877251401</v>
      </c>
      <c r="AY15" s="158">
        <f ca="1">IFERROR(__xludf.DUMMYFUNCTION("""COMPUTED_VALUE"""),1442.93741435247)</f>
        <v>1442.9374143524699</v>
      </c>
      <c r="AZ15" s="158">
        <f ca="1">IFERROR(__xludf.DUMMYFUNCTION("""COMPUTED_VALUE"""),1415.06104325918)</f>
        <v>1415.06104325918</v>
      </c>
      <c r="BA15" s="158">
        <f ca="1">IFERROR(__xludf.DUMMYFUNCTION("""COMPUTED_VALUE"""),1453.87231185165)</f>
        <v>1453.87231185165</v>
      </c>
      <c r="BB15" s="158">
        <f ca="1">IFERROR(__xludf.DUMMYFUNCTION("""COMPUTED_VALUE"""),1487.67580955768)</f>
        <v>1487.6758095576799</v>
      </c>
      <c r="BC15" s="158">
        <f ca="1">IFERROR(__xludf.DUMMYFUNCTION("""COMPUTED_VALUE"""),1514.79114321101)</f>
        <v>1514.79114321101</v>
      </c>
      <c r="BD15" s="158">
        <f ca="1">IFERROR(__xludf.DUMMYFUNCTION("""COMPUTED_VALUE"""),1533.55871955457)</f>
        <v>1533.55871955457</v>
      </c>
      <c r="BE15" s="158">
        <f ca="1">IFERROR(__xludf.DUMMYFUNCTION("""COMPUTED_VALUE"""),1564.50927467492)</f>
        <v>1564.5092746749201</v>
      </c>
      <c r="BF15" s="158">
        <f ca="1">IFERROR(__xludf.DUMMYFUNCTION("""COMPUTED_VALUE"""),1593.40669028464)</f>
        <v>1593.40669028464</v>
      </c>
      <c r="BG15" s="158">
        <f ca="1">IFERROR(__xludf.DUMMYFUNCTION("""COMPUTED_VALUE"""),1621.02267784959)</f>
        <v>1621.0226778495901</v>
      </c>
      <c r="BH15" s="158">
        <f ca="1">IFERROR(__xludf.DUMMYFUNCTION("""COMPUTED_VALUE"""),1648.76942967564)</f>
        <v>1648.7694296756399</v>
      </c>
      <c r="BI15" s="158">
        <f ca="1">IFERROR(__xludf.DUMMYFUNCTION("""COMPUTED_VALUE"""),1678.86146623935)</f>
        <v>1678.86146623935</v>
      </c>
      <c r="BJ15" s="119">
        <f ca="1">IFERROR(__xludf.DUMMYFUNCTION("""COMPUTED_VALUE"""),1708.72926450534)</f>
        <v>1708.7292645053401</v>
      </c>
      <c r="BK15" s="119">
        <f ca="1">IFERROR(__xludf.DUMMYFUNCTION("""COMPUTED_VALUE"""),1738.8505180303)</f>
        <v>1738.8505180303</v>
      </c>
      <c r="BL15" s="119">
        <f ca="1">IFERROR(__xludf.DUMMYFUNCTION("""COMPUTED_VALUE"""),1769.62612565685)</f>
        <v>1769.62612565685</v>
      </c>
      <c r="BM15" s="119">
        <f ca="1">IFERROR(__xludf.DUMMYFUNCTION("""COMPUTED_VALUE"""),1801.19284389382)</f>
        <v>1801.1928438938201</v>
      </c>
      <c r="BN15" s="119">
        <f ca="1">IFERROR(__xludf.DUMMYFUNCTION("""COMPUTED_VALUE"""),1833.14473615171)</f>
        <v>1833.14473615171</v>
      </c>
      <c r="BO15" s="119">
        <f ca="1">IFERROR(__xludf.DUMMYFUNCTION("""COMPUTED_VALUE"""),1865.64097571385)</f>
        <v>1865.6409757138499</v>
      </c>
      <c r="BP15" s="119">
        <f ca="1">IFERROR(__xludf.DUMMYFUNCTION("""COMPUTED_VALUE"""),1898.75754093577)</f>
        <v>1898.7575409357701</v>
      </c>
      <c r="BQ15" s="119">
        <f ca="1">IFERROR(__xludf.DUMMYFUNCTION("""COMPUTED_VALUE"""),1932.48554393498)</f>
        <v>1932.4855439349799</v>
      </c>
      <c r="BR15" s="119">
        <f ca="1">IFERROR(__xludf.DUMMYFUNCTION("""COMPUTED_VALUE"""),1966.77805573539)</f>
        <v>1966.7780557353899</v>
      </c>
      <c r="BS15" s="119">
        <f ca="1">IFERROR(__xludf.DUMMYFUNCTION("""COMPUTED_VALUE"""),2001.68191700135)</f>
        <v>2001.68191700135</v>
      </c>
      <c r="BT15" s="119">
        <f ca="1">IFERROR(__xludf.DUMMYFUNCTION("""COMPUTED_VALUE"""),2037.2146281271)</f>
        <v>2037.2146281271</v>
      </c>
      <c r="BU15" s="119">
        <f ca="1">IFERROR(__xludf.DUMMYFUNCTION("""COMPUTED_VALUE"""),2073.37841555853)</f>
        <v>2073.3784155585299</v>
      </c>
      <c r="BV15" s="119">
        <f ca="1">IFERROR(__xludf.DUMMYFUNCTION("""COMPUTED_VALUE"""),2110.17840870507)</f>
        <v>2110.1784087050701</v>
      </c>
      <c r="BW15" s="119">
        <f ca="1">IFERROR(__xludf.DUMMYFUNCTION("""COMPUTED_VALUE"""),2147.63333417996)</f>
        <v>2147.63333417996</v>
      </c>
      <c r="BX15" s="119"/>
      <c r="BY15" s="119"/>
      <c r="BZ15" s="119"/>
      <c r="CA15" s="119"/>
      <c r="CB15" s="119"/>
      <c r="CC15" s="119"/>
      <c r="CD15" s="119"/>
      <c r="CE15" s="119"/>
      <c r="CF15" s="119"/>
      <c r="CG15" s="119"/>
    </row>
    <row r="16" spans="1:85" ht="15.75" customHeight="1" x14ac:dyDescent="0.2">
      <c r="A16" s="159" t="str">
        <f ca="1">IFERROR(__xludf.DUMMYFUNCTION("""COMPUTED_VALUE"""),"Total MQLs")</f>
        <v>Total MQLs</v>
      </c>
      <c r="B16" s="155" t="str">
        <f ca="1">IFERROR(__xludf.DUMMYFUNCTION("""COMPUTED_VALUE"""),"")</f>
        <v/>
      </c>
      <c r="C16" s="155" t="str">
        <f ca="1">IFERROR(__xludf.DUMMYFUNCTION("""COMPUTED_VALUE"""),"")</f>
        <v/>
      </c>
      <c r="D16" s="160">
        <f ca="1">IFERROR(__xludf.DUMMYFUNCTION("""COMPUTED_VALUE"""),276.9)</f>
        <v>276.89999999999998</v>
      </c>
      <c r="E16" s="160">
        <f ca="1">IFERROR(__xludf.DUMMYFUNCTION("""COMPUTED_VALUE"""),290)</f>
        <v>290</v>
      </c>
      <c r="F16" s="160">
        <f ca="1">IFERROR(__xludf.DUMMYFUNCTION("""COMPUTED_VALUE"""),300.7)</f>
        <v>300.7</v>
      </c>
      <c r="G16" s="160">
        <f ca="1">IFERROR(__xludf.DUMMYFUNCTION("""COMPUTED_VALUE"""),338.7)</f>
        <v>338.7</v>
      </c>
      <c r="H16" s="160">
        <f ca="1">IFERROR(__xludf.DUMMYFUNCTION("""COMPUTED_VALUE"""),345.9)</f>
        <v>345.9</v>
      </c>
      <c r="I16" s="160">
        <f ca="1">IFERROR(__xludf.DUMMYFUNCTION("""COMPUTED_VALUE"""),401.9)</f>
        <v>401.9</v>
      </c>
      <c r="J16" s="160">
        <f ca="1">IFERROR(__xludf.DUMMYFUNCTION("""COMPUTED_VALUE"""),531.4)</f>
        <v>531.4</v>
      </c>
      <c r="K16" s="160">
        <f ca="1">IFERROR(__xludf.DUMMYFUNCTION("""COMPUTED_VALUE"""),432.9)</f>
        <v>432.9</v>
      </c>
      <c r="L16" s="160">
        <f ca="1">IFERROR(__xludf.DUMMYFUNCTION("""COMPUTED_VALUE"""),684.599999999999)</f>
        <v>684.599999999999</v>
      </c>
      <c r="M16" s="160">
        <f ca="1">IFERROR(__xludf.DUMMYFUNCTION("""COMPUTED_VALUE"""),646)</f>
        <v>646</v>
      </c>
      <c r="N16" s="160">
        <f ca="1">IFERROR(__xludf.DUMMYFUNCTION("""COMPUTED_VALUE"""),825.5)</f>
        <v>825.5</v>
      </c>
      <c r="O16" s="160">
        <f ca="1">IFERROR(__xludf.DUMMYFUNCTION("""COMPUTED_VALUE"""),790.099999999999)</f>
        <v>790.099999999999</v>
      </c>
      <c r="P16" s="160">
        <f ca="1">IFERROR(__xludf.DUMMYFUNCTION("""COMPUTED_VALUE"""),1055.8)</f>
        <v>1055.8</v>
      </c>
      <c r="Q16" s="160">
        <f ca="1">IFERROR(__xludf.DUMMYFUNCTION("""COMPUTED_VALUE"""),1530.5)</f>
        <v>1530.5</v>
      </c>
      <c r="R16" s="160">
        <f ca="1">IFERROR(__xludf.DUMMYFUNCTION("""COMPUTED_VALUE"""),1088.4)</f>
        <v>1088.4000000000001</v>
      </c>
      <c r="S16" s="160">
        <f ca="1">IFERROR(__xludf.DUMMYFUNCTION("""COMPUTED_VALUE"""),1484.8)</f>
        <v>1484.8</v>
      </c>
      <c r="T16" s="160">
        <f ca="1">IFERROR(__xludf.DUMMYFUNCTION("""COMPUTED_VALUE"""),1110.69999999999)</f>
        <v>1110.69999999999</v>
      </c>
      <c r="U16" s="160">
        <f ca="1">IFERROR(__xludf.DUMMYFUNCTION("""COMPUTED_VALUE"""),1435)</f>
        <v>1435</v>
      </c>
      <c r="V16" s="160">
        <f ca="1">IFERROR(__xludf.DUMMYFUNCTION("""COMPUTED_VALUE"""),1631.3)</f>
        <v>1631.3</v>
      </c>
      <c r="W16" s="160">
        <f ca="1">IFERROR(__xludf.DUMMYFUNCTION("""COMPUTED_VALUE"""),950.9)</f>
        <v>950.9</v>
      </c>
      <c r="X16" s="160">
        <f ca="1">IFERROR(__xludf.DUMMYFUNCTION("""COMPUTED_VALUE"""),1340.6)</f>
        <v>1340.6</v>
      </c>
      <c r="Y16" s="160">
        <f ca="1">IFERROR(__xludf.DUMMYFUNCTION("""COMPUTED_VALUE"""),1293.77040691166)</f>
        <v>1293.7704069116601</v>
      </c>
      <c r="Z16" s="160">
        <f ca="1">IFERROR(__xludf.DUMMYFUNCTION("""COMPUTED_VALUE"""),1231.35545053632)</f>
        <v>1231.3554505363199</v>
      </c>
      <c r="AA16" s="160">
        <f ca="1">IFERROR(__xludf.DUMMYFUNCTION("""COMPUTED_VALUE"""),1359.14695408662)</f>
        <v>1359.1469540866201</v>
      </c>
      <c r="AB16" s="160">
        <f ca="1">IFERROR(__xludf.DUMMYFUNCTION("""COMPUTED_VALUE"""),1374.79811951503)</f>
        <v>1374.7981195150301</v>
      </c>
      <c r="AC16" s="160">
        <f ca="1">IFERROR(__xludf.DUMMYFUNCTION("""COMPUTED_VALUE"""),1392.22198538834)</f>
        <v>1392.22198538834</v>
      </c>
      <c r="AD16" s="160">
        <f ca="1">IFERROR(__xludf.DUMMYFUNCTION("""COMPUTED_VALUE"""),1388.56003642365)</f>
        <v>1388.56003642365</v>
      </c>
      <c r="AE16" s="160">
        <f ca="1">IFERROR(__xludf.DUMMYFUNCTION("""COMPUTED_VALUE"""),1370.94018309364)</f>
        <v>1370.9401830936399</v>
      </c>
      <c r="AF16" s="160">
        <f ca="1">IFERROR(__xludf.DUMMYFUNCTION("""COMPUTED_VALUE"""),1231.19436194402)</f>
        <v>1231.1943619440201</v>
      </c>
      <c r="AG16" s="160">
        <f ca="1">IFERROR(__xludf.DUMMYFUNCTION("""COMPUTED_VALUE"""),1271.51661557537)</f>
        <v>1271.51661557537</v>
      </c>
      <c r="AH16" s="160">
        <f ca="1">IFERROR(__xludf.DUMMYFUNCTION("""COMPUTED_VALUE"""),1296.20830269057)</f>
        <v>1296.20830269057</v>
      </c>
      <c r="AI16" s="160">
        <f ca="1">IFERROR(__xludf.DUMMYFUNCTION("""COMPUTED_VALUE"""),1310.19453232283)</f>
        <v>1310.1945323228299</v>
      </c>
      <c r="AJ16" s="160">
        <f ca="1">IFERROR(__xludf.DUMMYFUNCTION("""COMPUTED_VALUE"""),1338.37673584655)</f>
        <v>1338.37673584655</v>
      </c>
      <c r="AK16" s="160">
        <f ca="1">IFERROR(__xludf.DUMMYFUNCTION("""COMPUTED_VALUE"""),1362.76251088898)</f>
        <v>1362.7625108889799</v>
      </c>
      <c r="AL16" s="160">
        <f ca="1">IFERROR(__xludf.DUMMYFUNCTION("""COMPUTED_VALUE"""),1387.08428615574)</f>
        <v>1387.0842861557401</v>
      </c>
      <c r="AM16" s="160">
        <f ca="1">IFERROR(__xludf.DUMMYFUNCTION("""COMPUTED_VALUE"""),1414.58542403529)</f>
        <v>1414.5854240352901</v>
      </c>
      <c r="AN16" s="160">
        <f ca="1">IFERROR(__xludf.DUMMYFUNCTION("""COMPUTED_VALUE"""),1441.86681994199)</f>
        <v>1441.8668199419899</v>
      </c>
      <c r="AO16" s="160">
        <f ca="1">IFERROR(__xludf.DUMMYFUNCTION("""COMPUTED_VALUE"""),1470.04537008939)</f>
        <v>1470.04537008939</v>
      </c>
      <c r="AP16" s="160">
        <f ca="1">IFERROR(__xludf.DUMMYFUNCTION("""COMPUTED_VALUE"""),1499.4090987144)</f>
        <v>1499.4090987144</v>
      </c>
      <c r="AQ16" s="160">
        <f ca="1">IFERROR(__xludf.DUMMYFUNCTION("""COMPUTED_VALUE"""),1529.34414799579)</f>
        <v>1529.3441479957901</v>
      </c>
      <c r="AR16" s="160">
        <f ca="1">IFERROR(__xludf.DUMMYFUNCTION("""COMPUTED_VALUE"""),1560.09667622517)</f>
        <v>1560.0966762251701</v>
      </c>
      <c r="AS16" s="160">
        <f ca="1">IFERROR(__xludf.DUMMYFUNCTION("""COMPUTED_VALUE"""),1591.64045509091)</f>
        <v>1591.6404550909101</v>
      </c>
      <c r="AT16" s="160">
        <f ca="1">IFERROR(__xludf.DUMMYFUNCTION("""COMPUTED_VALUE"""),1623.85452688742)</f>
        <v>1623.85452688742</v>
      </c>
      <c r="AU16" s="160">
        <f ca="1">IFERROR(__xludf.DUMMYFUNCTION("""COMPUTED_VALUE"""),1656.76977294456)</f>
        <v>1656.7697729445599</v>
      </c>
      <c r="AV16" s="160">
        <f ca="1">IFERROR(__xludf.DUMMYFUNCTION("""COMPUTED_VALUE"""),1690.35006386914)</f>
        <v>1690.3500638691401</v>
      </c>
      <c r="AW16" s="160">
        <f ca="1">IFERROR(__xludf.DUMMYFUNCTION("""COMPUTED_VALUE"""),1724.55667697377)</f>
        <v>1724.55667697377</v>
      </c>
      <c r="AX16" s="160">
        <f ca="1">IFERROR(__xludf.DUMMYFUNCTION("""COMPUTED_VALUE"""),1759.37614717563)</f>
        <v>1759.37614717563</v>
      </c>
      <c r="AY16" s="160">
        <f ca="1">IFERROR(__xludf.DUMMYFUNCTION("""COMPUTED_VALUE"""),1794.78124261668)</f>
        <v>1794.7812426166799</v>
      </c>
      <c r="AZ16" s="160">
        <f ca="1">IFERROR(__xludf.DUMMYFUNCTION("""COMPUTED_VALUE"""),1753.11475434446)</f>
        <v>1753.1147543444599</v>
      </c>
      <c r="BA16" s="160">
        <f ca="1">IFERROR(__xludf.DUMMYFUNCTION("""COMPUTED_VALUE"""),1778.67706567597)</f>
        <v>1778.67706567597</v>
      </c>
      <c r="BB16" s="160">
        <f ca="1">IFERROR(__xludf.DUMMYFUNCTION("""COMPUTED_VALUE"""),1799.75080914226)</f>
        <v>1799.7508091422601</v>
      </c>
      <c r="BC16" s="160">
        <f ca="1">IFERROR(__xludf.DUMMYFUNCTION("""COMPUTED_VALUE"""),1814.63510983434)</f>
        <v>1814.63510983434</v>
      </c>
      <c r="BD16" s="160">
        <f ca="1">IFERROR(__xludf.DUMMYFUNCTION("""COMPUTED_VALUE"""),1821.65115465253)</f>
        <v>1821.6511546525301</v>
      </c>
      <c r="BE16" s="160">
        <f ca="1">IFERROR(__xludf.DUMMYFUNCTION("""COMPUTED_VALUE"""),1841.31071641617)</f>
        <v>1841.31071641617</v>
      </c>
      <c r="BF16" s="160">
        <f ca="1">IFERROR(__xludf.DUMMYFUNCTION("""COMPUTED_VALUE"""),1859.35963427106)</f>
        <v>1859.35963427106</v>
      </c>
      <c r="BG16" s="160">
        <f ca="1">IFERROR(__xludf.DUMMYFUNCTION("""COMPUTED_VALUE"""),1876.55232729289)</f>
        <v>1876.5523272928899</v>
      </c>
      <c r="BH16" s="160">
        <f ca="1">IFERROR(__xludf.DUMMYFUNCTION("""COMPUTED_VALUE"""),1894.28428819157)</f>
        <v>1894.2842881915701</v>
      </c>
      <c r="BI16" s="160">
        <f ca="1">IFERROR(__xludf.DUMMYFUNCTION("""COMPUTED_VALUE"""),1914.75403404723)</f>
        <v>1914.7540340472301</v>
      </c>
      <c r="BJ16" s="160">
        <f ca="1">IFERROR(__xludf.DUMMYFUNCTION("""COMPUTED_VALUE"""),1935.37666558153)</f>
        <v>1935.37666558153</v>
      </c>
      <c r="BK16" s="160">
        <f ca="1">IFERROR(__xludf.DUMMYFUNCTION("""COMPUTED_VALUE"""),1956.6150894255)</f>
        <v>1956.6150894254999</v>
      </c>
      <c r="BL16" s="160">
        <f ca="1">IFERROR(__xludf.DUMMYFUNCTION("""COMPUTED_VALUE"""),1978.85600574413)</f>
        <v>1978.85600574413</v>
      </c>
      <c r="BM16" s="160">
        <f ca="1">IFERROR(__xludf.DUMMYFUNCTION("""COMPUTED_VALUE"""),2002.22252741576)</f>
        <v>2002.2225274157599</v>
      </c>
      <c r="BN16" s="160">
        <f ca="1">IFERROR(__xludf.DUMMYFUNCTION("""COMPUTED_VALUE"""),2026.295607091)</f>
        <v>2026.295607091</v>
      </c>
      <c r="BO16" s="160">
        <f ca="1">IFERROR(__xludf.DUMMYFUNCTION("""COMPUTED_VALUE"""),2051.22182280356)</f>
        <v>2051.2218228035599</v>
      </c>
      <c r="BP16" s="160">
        <f ca="1">IFERROR(__xludf.DUMMYFUNCTION("""COMPUTED_VALUE"""),2077.06505079884)</f>
        <v>2077.0650507988398</v>
      </c>
      <c r="BQ16" s="160">
        <f ca="1">IFERROR(__xludf.DUMMYFUNCTION("""COMPUTED_VALUE"""),2103.80477518386)</f>
        <v>2103.8047751838599</v>
      </c>
      <c r="BR16" s="160">
        <f ca="1">IFERROR(__xludf.DUMMYFUNCTION("""COMPUTED_VALUE"""),2131.38289499644)</f>
        <v>2131.38289499644</v>
      </c>
      <c r="BS16" s="160">
        <f ca="1">IFERROR(__xludf.DUMMYFUNCTION("""COMPUTED_VALUE"""),2159.8355166442)</f>
        <v>2159.8355166442002</v>
      </c>
      <c r="BT16" s="160">
        <f ca="1">IFERROR(__xludf.DUMMYFUNCTION("""COMPUTED_VALUE"""),2189.16982695238)</f>
        <v>2189.1698269523799</v>
      </c>
      <c r="BU16" s="160">
        <f ca="1">IFERROR(__xludf.DUMMYFUNCTION("""COMPUTED_VALUE"""),2219.37814305866)</f>
        <v>2219.37814305866</v>
      </c>
      <c r="BV16" s="160">
        <f ca="1">IFERROR(__xludf.DUMMYFUNCTION("""COMPUTED_VALUE"""),2250.45607340498)</f>
        <v>2250.4560734049801</v>
      </c>
      <c r="BW16" s="160">
        <f ca="1">IFERROR(__xludf.DUMMYFUNCTION("""COMPUTED_VALUE"""),2282.41319678815)</f>
        <v>2282.4131967881499</v>
      </c>
      <c r="BX16" s="160"/>
      <c r="BY16" s="160"/>
      <c r="BZ16" s="160"/>
      <c r="CA16" s="160"/>
      <c r="CB16" s="160"/>
      <c r="CC16" s="160"/>
      <c r="CD16" s="160"/>
      <c r="CE16" s="160"/>
      <c r="CF16" s="160"/>
      <c r="CG16" s="160"/>
    </row>
    <row r="17" spans="1:85" ht="15.75" customHeight="1" x14ac:dyDescent="0.2">
      <c r="A17" s="155" t="str">
        <f ca="1">IFERROR(__xludf.DUMMYFUNCTION("""COMPUTED_VALUE"""),"  Signup-to-MQL Conversion Rate")</f>
        <v xml:space="preserve">  Signup-to-MQL Conversion Rate</v>
      </c>
      <c r="B17" s="155" t="str">
        <f ca="1">IFERROR(__xludf.DUMMYFUNCTION("""COMPUTED_VALUE"""),"")</f>
        <v/>
      </c>
      <c r="C17" s="155" t="str">
        <f ca="1">IFERROR(__xludf.DUMMYFUNCTION("""COMPUTED_VALUE"""),"")</f>
        <v/>
      </c>
      <c r="D17" s="162">
        <f ca="1">IFERROR(__xludf.DUMMYFUNCTION("""COMPUTED_VALUE"""),0.268991645618807)</f>
        <v>0.26899164561880701</v>
      </c>
      <c r="E17" s="162">
        <f ca="1">IFERROR(__xludf.DUMMYFUNCTION("""COMPUTED_VALUE"""),0.27831094049904)</f>
        <v>0.27831094049903998</v>
      </c>
      <c r="F17" s="162">
        <f ca="1">IFERROR(__xludf.DUMMYFUNCTION("""COMPUTED_VALUE"""),0.226022248947684)</f>
        <v>0.226022248947684</v>
      </c>
      <c r="G17" s="162">
        <f ca="1">IFERROR(__xludf.DUMMYFUNCTION("""COMPUTED_VALUE"""),0.264899108399812)</f>
        <v>0.26489910839981201</v>
      </c>
      <c r="H17" s="162">
        <f ca="1">IFERROR(__xludf.DUMMYFUNCTION("""COMPUTED_VALUE"""),0.24601706970128)</f>
        <v>0.24601706970128001</v>
      </c>
      <c r="I17" s="162">
        <f ca="1">IFERROR(__xludf.DUMMYFUNCTION("""COMPUTED_VALUE"""),0.250186752988047)</f>
        <v>0.25018675298804699</v>
      </c>
      <c r="J17" s="162">
        <f ca="1">IFERROR(__xludf.DUMMYFUNCTION("""COMPUTED_VALUE"""),0.307203144872239)</f>
        <v>0.30720314487223899</v>
      </c>
      <c r="K17" s="162">
        <f ca="1">IFERROR(__xludf.DUMMYFUNCTION("""COMPUTED_VALUE"""),0.253930079774753)</f>
        <v>0.25393007977475301</v>
      </c>
      <c r="L17" s="162">
        <f ca="1">IFERROR(__xludf.DUMMYFUNCTION("""COMPUTED_VALUE"""),0.275759284620961)</f>
        <v>0.275759284620961</v>
      </c>
      <c r="M17" s="162">
        <f ca="1">IFERROR(__xludf.DUMMYFUNCTION("""COMPUTED_VALUE"""),0.306946688206785)</f>
        <v>0.306946688206785</v>
      </c>
      <c r="N17" s="162">
        <f ca="1">IFERROR(__xludf.DUMMYFUNCTION("""COMPUTED_VALUE"""),0.293500675531536)</f>
        <v>0.29350067553153603</v>
      </c>
      <c r="O17" s="162">
        <f ca="1">IFERROR(__xludf.DUMMYFUNCTION("""COMPUTED_VALUE"""),0.218537367926093)</f>
        <v>0.21853736792609299</v>
      </c>
      <c r="P17" s="162">
        <f ca="1">IFERROR(__xludf.DUMMYFUNCTION("""COMPUTED_VALUE"""),0.201819780555874)</f>
        <v>0.20181978055587399</v>
      </c>
      <c r="Q17" s="162">
        <f ca="1">IFERROR(__xludf.DUMMYFUNCTION("""COMPUTED_VALUE"""),0.291901891974366)</f>
        <v>0.291901891974366</v>
      </c>
      <c r="R17" s="162">
        <f ca="1">IFERROR(__xludf.DUMMYFUNCTION("""COMPUTED_VALUE"""),0.250818085449601)</f>
        <v>0.25081808544960099</v>
      </c>
      <c r="S17" s="162">
        <f ca="1">IFERROR(__xludf.DUMMYFUNCTION("""COMPUTED_VALUE"""),0.312549993685008)</f>
        <v>0.31254999368500802</v>
      </c>
      <c r="T17" s="162">
        <f ca="1">IFERROR(__xludf.DUMMYFUNCTION("""COMPUTED_VALUE"""),0.232753562447611)</f>
        <v>0.232753562447611</v>
      </c>
      <c r="U17" s="162">
        <f ca="1">IFERROR(__xludf.DUMMYFUNCTION("""COMPUTED_VALUE"""),0.295218894009216)</f>
        <v>0.29521889400921603</v>
      </c>
      <c r="V17" s="162">
        <f ca="1">IFERROR(__xludf.DUMMYFUNCTION("""COMPUTED_VALUE"""),0.347410341596388)</f>
        <v>0.34741034159638801</v>
      </c>
      <c r="W17" s="162">
        <f ca="1">IFERROR(__xludf.DUMMYFUNCTION("""COMPUTED_VALUE"""),0.275831061089516)</f>
        <v>0.27583106108951599</v>
      </c>
      <c r="X17" s="162">
        <f ca="1">IFERROR(__xludf.DUMMYFUNCTION("""COMPUTED_VALUE"""),0.263141365367251)</f>
        <v>0.26314136536725102</v>
      </c>
      <c r="Y17" s="162">
        <f ca="1">IFERROR(__xludf.DUMMYFUNCTION("""COMPUTED_VALUE"""),0.297425982952344)</f>
        <v>0.29742598295234401</v>
      </c>
      <c r="Z17" s="162">
        <f ca="1">IFERROR(__xludf.DUMMYFUNCTION("""COMPUTED_VALUE"""),0.278270226412909)</f>
        <v>0.27827022641290899</v>
      </c>
      <c r="AA17" s="162">
        <f ca="1">IFERROR(__xludf.DUMMYFUNCTION("""COMPUTED_VALUE"""),0.278485050030072)</f>
        <v>0.27848505003007201</v>
      </c>
      <c r="AB17" s="162">
        <f ca="1">IFERROR(__xludf.DUMMYFUNCTION("""COMPUTED_VALUE"""),0.284156090812732)</f>
        <v>0.28415609081273202</v>
      </c>
      <c r="AC17" s="162">
        <f ca="1">IFERROR(__xludf.DUMMYFUNCTION("""COMPUTED_VALUE"""),0.280186377976884)</f>
        <v>0.280186377976884</v>
      </c>
      <c r="AD17" s="162">
        <f ca="1">IFERROR(__xludf.DUMMYFUNCTION("""COMPUTED_VALUE"""),0.287752193718524)</f>
        <v>0.28775219371852401</v>
      </c>
      <c r="AE17" s="162">
        <f ca="1">IFERROR(__xludf.DUMMYFUNCTION("""COMPUTED_VALUE"""),0.304061110452057)</f>
        <v>0.30406111045205703</v>
      </c>
      <c r="AF17" s="162">
        <f ca="1">IFERROR(__xludf.DUMMYFUNCTION("""COMPUTED_VALUE"""),0.290952795474492)</f>
        <v>0.29095279547449199</v>
      </c>
      <c r="AG17" s="162">
        <f ca="1">IFERROR(__xludf.DUMMYFUNCTION("""COMPUTED_VALUE"""),0.293271954533805)</f>
        <v>0.293271954533805</v>
      </c>
      <c r="AH17" s="162">
        <f ca="1">IFERROR(__xludf.DUMMYFUNCTION("""COMPUTED_VALUE"""),0.293981674239979)</f>
        <v>0.29398167423997901</v>
      </c>
      <c r="AI17" s="162">
        <f ca="1">IFERROR(__xludf.DUMMYFUNCTION("""COMPUTED_VALUE"""),0.290158734167969)</f>
        <v>0.290158734167969</v>
      </c>
      <c r="AJ17" s="162">
        <f ca="1">IFERROR(__xludf.DUMMYFUNCTION("""COMPUTED_VALUE"""),0.28987636214968)</f>
        <v>0.28987636214967999</v>
      </c>
      <c r="AK17" s="162">
        <f ca="1">IFERROR(__xludf.DUMMYFUNCTION("""COMPUTED_VALUE"""),0.288861848972972)</f>
        <v>0.28886184897297201</v>
      </c>
      <c r="AL17" s="162">
        <f ca="1">IFERROR(__xludf.DUMMYFUNCTION("""COMPUTED_VALUE"""),0.28736593578566)</f>
        <v>0.28736593578566</v>
      </c>
      <c r="AM17" s="162">
        <f ca="1">IFERROR(__xludf.DUMMYFUNCTION("""COMPUTED_VALUE"""),0.286532367741329)</f>
        <v>0.28653236774132901</v>
      </c>
      <c r="AN17" s="162">
        <f ca="1">IFERROR(__xludf.DUMMYFUNCTION("""COMPUTED_VALUE"""),0.285547031198442)</f>
        <v>0.28554703119844199</v>
      </c>
      <c r="AO17" s="162">
        <f ca="1">IFERROR(__xludf.DUMMYFUNCTION("""COMPUTED_VALUE"""),0.284573768644317)</f>
        <v>0.28457376864431699</v>
      </c>
      <c r="AP17" s="162">
        <f ca="1">IFERROR(__xludf.DUMMYFUNCTION("""COMPUTED_VALUE"""),0.283751471878374)</f>
        <v>0.28375147187837402</v>
      </c>
      <c r="AQ17" s="162">
        <f ca="1">IFERROR(__xludf.DUMMYFUNCTION("""COMPUTED_VALUE"""),0.282935252970452)</f>
        <v>0.28293525297045202</v>
      </c>
      <c r="AR17" s="162">
        <f ca="1">IFERROR(__xludf.DUMMYFUNCTION("""COMPUTED_VALUE"""),0.282169360627758)</f>
        <v>0.28216936062775799</v>
      </c>
      <c r="AS17" s="162">
        <f ca="1">IFERROR(__xludf.DUMMYFUNCTION("""COMPUTED_VALUE"""),0.28146432817552)</f>
        <v>0.28146432817551997</v>
      </c>
      <c r="AT17" s="162">
        <f ca="1">IFERROR(__xludf.DUMMYFUNCTION("""COMPUTED_VALUE"""),0.280794417954838)</f>
        <v>0.280794417954838</v>
      </c>
      <c r="AU17" s="162">
        <f ca="1">IFERROR(__xludf.DUMMYFUNCTION("""COMPUTED_VALUE"""),0.280167617200249)</f>
        <v>0.28016761720024902</v>
      </c>
      <c r="AV17" s="162">
        <f ca="1">IFERROR(__xludf.DUMMYFUNCTION("""COMPUTED_VALUE"""),0.279581703853867)</f>
        <v>0.27958170385386699</v>
      </c>
      <c r="AW17" s="162">
        <f ca="1">IFERROR(__xludf.DUMMYFUNCTION("""COMPUTED_VALUE"""),0.279030857746447)</f>
        <v>0.27903085774644698</v>
      </c>
      <c r="AX17" s="162">
        <f ca="1">IFERROR(__xludf.DUMMYFUNCTION("""COMPUTED_VALUE"""),0.278514924444367)</f>
        <v>0.27851492444436698</v>
      </c>
      <c r="AY17" s="162">
        <f ca="1">IFERROR(__xludf.DUMMYFUNCTION("""COMPUTED_VALUE"""),0.278031464759704)</f>
        <v>0.27803146475970397</v>
      </c>
      <c r="AZ17" s="162">
        <f ca="1">IFERROR(__xludf.DUMMYFUNCTION("""COMPUTED_VALUE"""),0.277903504066448)</f>
        <v>0.27790350406644798</v>
      </c>
      <c r="BA17" s="162">
        <f ca="1">IFERROR(__xludf.DUMMYFUNCTION("""COMPUTED_VALUE"""),0.277496787249197)</f>
        <v>0.27749678724919702</v>
      </c>
      <c r="BB17" s="162">
        <f ca="1">IFERROR(__xludf.DUMMYFUNCTION("""COMPUTED_VALUE"""),0.277131245720688)</f>
        <v>0.27713124572068798</v>
      </c>
      <c r="BC17" s="162">
        <f ca="1">IFERROR(__xludf.DUMMYFUNCTION("""COMPUTED_VALUE"""),0.276808090734739)</f>
        <v>0.276808090734739</v>
      </c>
      <c r="BD17" s="162">
        <f ca="1">IFERROR(__xludf.DUMMYFUNCTION("""COMPUTED_VALUE"""),0.276528128376092)</f>
        <v>0.27652812837609198</v>
      </c>
      <c r="BE17" s="162">
        <f ca="1">IFERROR(__xludf.DUMMYFUNCTION("""COMPUTED_VALUE"""),0.276219859843428)</f>
        <v>0.27621985984342801</v>
      </c>
      <c r="BF17" s="162">
        <f ca="1">IFERROR(__xludf.DUMMYFUNCTION("""COMPUTED_VALUE"""),0.275932969806898)</f>
        <v>0.27593296980689802</v>
      </c>
      <c r="BG17" s="162">
        <f ca="1">IFERROR(__xludf.DUMMYFUNCTION("""COMPUTED_VALUE"""),0.275663495156981)</f>
        <v>0.27566349515698102</v>
      </c>
      <c r="BH17" s="162">
        <f ca="1">IFERROR(__xludf.DUMMYFUNCTION("""COMPUTED_VALUE"""),0.275406422748256)</f>
        <v>0.275406422748256</v>
      </c>
      <c r="BI17" s="162">
        <f ca="1">IFERROR(__xludf.DUMMYFUNCTION("""COMPUTED_VALUE"""),0.275155711778921)</f>
        <v>0.27515571177892101</v>
      </c>
      <c r="BJ17" s="162">
        <f ca="1">IFERROR(__xludf.DUMMYFUNCTION("""COMPUTED_VALUE"""),0.274917986788431)</f>
        <v>0.27491798678843099</v>
      </c>
      <c r="BK17" s="162">
        <f ca="1">IFERROR(__xludf.DUMMYFUNCTION("""COMPUTED_VALUE"""),0.274691520648439)</f>
        <v>0.27469152064843899</v>
      </c>
      <c r="BL17" s="162">
        <f ca="1">IFERROR(__xludf.DUMMYFUNCTION("""COMPUTED_VALUE"""),0.274475038597114)</f>
        <v>0.27447503859711397</v>
      </c>
      <c r="BM17" s="162">
        <f ca="1">IFERROR(__xludf.DUMMYFUNCTION("""COMPUTED_VALUE"""),0.274267994913909)</f>
        <v>0.27426799491390902</v>
      </c>
      <c r="BN17" s="162">
        <f ca="1">IFERROR(__xludf.DUMMYFUNCTION("""COMPUTED_VALUE"""),0.274070890700842)</f>
        <v>0.27407089070084201</v>
      </c>
      <c r="BO17" s="162">
        <f ca="1">IFERROR(__xludf.DUMMYFUNCTION("""COMPUTED_VALUE"""),0.273883060584567)</f>
        <v>0.27388306058456702</v>
      </c>
      <c r="BP17" s="162">
        <f ca="1">IFERROR(__xludf.DUMMYFUNCTION("""COMPUTED_VALUE"""),0.273704047418084)</f>
        <v>0.27370404741808402</v>
      </c>
      <c r="BQ17" s="162">
        <f ca="1">IFERROR(__xludf.DUMMYFUNCTION("""COMPUTED_VALUE"""),0.273533552940909)</f>
        <v>0.27353355294090897</v>
      </c>
      <c r="BR17" s="162">
        <f ca="1">IFERROR(__xludf.DUMMYFUNCTION("""COMPUTED_VALUE"""),0.273371328113568)</f>
        <v>0.27337132811356801</v>
      </c>
      <c r="BS17" s="162">
        <f ca="1">IFERROR(__xludf.DUMMYFUNCTION("""COMPUTED_VALUE"""),0.273216985562579)</f>
        <v>0.27321698556257901</v>
      </c>
      <c r="BT17" s="162">
        <f ca="1">IFERROR(__xludf.DUMMYFUNCTION("""COMPUTED_VALUE"""),0.273070193987601)</f>
        <v>0.27307019398760102</v>
      </c>
      <c r="BU17" s="162">
        <f ca="1">IFERROR(__xludf.DUMMYFUNCTION("""COMPUTED_VALUE"""),0.272930648912389)</f>
        <v>0.272930648912389</v>
      </c>
      <c r="BV17" s="162">
        <f ca="1">IFERROR(__xludf.DUMMYFUNCTION("""COMPUTED_VALUE"""),0.272798047707307)</f>
        <v>0.27279804770730698</v>
      </c>
      <c r="BW17" s="162">
        <f ca="1">IFERROR(__xludf.DUMMYFUNCTION("""COMPUTED_VALUE"""),0.27267208082621)</f>
        <v>0.27267208082620997</v>
      </c>
      <c r="BX17" s="162"/>
      <c r="BY17" s="162"/>
      <c r="BZ17" s="162"/>
      <c r="CA17" s="162"/>
      <c r="CB17" s="162"/>
      <c r="CC17" s="162"/>
      <c r="CD17" s="162"/>
      <c r="CE17" s="162"/>
      <c r="CF17" s="162"/>
      <c r="CG17" s="162"/>
    </row>
    <row r="18" spans="1:85" ht="15.75" customHeight="1" x14ac:dyDescent="0.2">
      <c r="A18" s="155" t="str">
        <f ca="1">IFERROR(__xludf.DUMMYFUNCTION("""COMPUTED_VALUE"""),"SQLs")</f>
        <v>SQLs</v>
      </c>
      <c r="B18" s="155" t="str">
        <f ca="1">IFERROR(__xludf.DUMMYFUNCTION("""COMPUTED_VALUE"""),"")</f>
        <v/>
      </c>
      <c r="C18" s="155" t="str">
        <f ca="1">IFERROR(__xludf.DUMMYFUNCTION("""COMPUTED_VALUE"""),"")</f>
        <v/>
      </c>
      <c r="D18" s="155" t="str">
        <f ca="1">IFERROR(__xludf.DUMMYFUNCTION("""COMPUTED_VALUE"""),"")</f>
        <v/>
      </c>
      <c r="E18" s="155" t="str">
        <f ca="1">IFERROR(__xludf.DUMMYFUNCTION("""COMPUTED_VALUE"""),"")</f>
        <v/>
      </c>
      <c r="F18" s="155" t="str">
        <f ca="1">IFERROR(__xludf.DUMMYFUNCTION("""COMPUTED_VALUE"""),"")</f>
        <v/>
      </c>
      <c r="G18" s="155" t="str">
        <f ca="1">IFERROR(__xludf.DUMMYFUNCTION("""COMPUTED_VALUE"""),"")</f>
        <v/>
      </c>
      <c r="H18" s="155" t="str">
        <f ca="1">IFERROR(__xludf.DUMMYFUNCTION("""COMPUTED_VALUE"""),"")</f>
        <v/>
      </c>
      <c r="I18" s="155" t="str">
        <f ca="1">IFERROR(__xludf.DUMMYFUNCTION("""COMPUTED_VALUE"""),"")</f>
        <v/>
      </c>
      <c r="J18" s="155" t="str">
        <f ca="1">IFERROR(__xludf.DUMMYFUNCTION("""COMPUTED_VALUE"""),"")</f>
        <v/>
      </c>
      <c r="K18" s="155" t="str">
        <f ca="1">IFERROR(__xludf.DUMMYFUNCTION("""COMPUTED_VALUE"""),"")</f>
        <v/>
      </c>
      <c r="L18" s="155" t="str">
        <f ca="1">IFERROR(__xludf.DUMMYFUNCTION("""COMPUTED_VALUE"""),"")</f>
        <v/>
      </c>
      <c r="M18" s="155" t="str">
        <f ca="1">IFERROR(__xludf.DUMMYFUNCTION("""COMPUTED_VALUE"""),"")</f>
        <v/>
      </c>
      <c r="N18" s="155" t="str">
        <f ca="1">IFERROR(__xludf.DUMMYFUNCTION("""COMPUTED_VALUE"""),"")</f>
        <v/>
      </c>
      <c r="O18" s="155" t="str">
        <f ca="1">IFERROR(__xludf.DUMMYFUNCTION("""COMPUTED_VALUE"""),"")</f>
        <v/>
      </c>
      <c r="P18" s="155" t="str">
        <f ca="1">IFERROR(__xludf.DUMMYFUNCTION("""COMPUTED_VALUE"""),"")</f>
        <v/>
      </c>
      <c r="Q18" s="155" t="str">
        <f ca="1">IFERROR(__xludf.DUMMYFUNCTION("""COMPUTED_VALUE"""),"")</f>
        <v/>
      </c>
      <c r="R18" s="155" t="str">
        <f ca="1">IFERROR(__xludf.DUMMYFUNCTION("""COMPUTED_VALUE"""),"")</f>
        <v/>
      </c>
      <c r="S18" s="155" t="str">
        <f ca="1">IFERROR(__xludf.DUMMYFUNCTION("""COMPUTED_VALUE"""),"")</f>
        <v/>
      </c>
      <c r="T18" s="155" t="str">
        <f ca="1">IFERROR(__xludf.DUMMYFUNCTION("""COMPUTED_VALUE"""),"")</f>
        <v/>
      </c>
      <c r="U18" s="155" t="str">
        <f ca="1">IFERROR(__xludf.DUMMYFUNCTION("""COMPUTED_VALUE"""),"")</f>
        <v/>
      </c>
      <c r="V18" s="155" t="str">
        <f ca="1">IFERROR(__xludf.DUMMYFUNCTION("""COMPUTED_VALUE"""),"")</f>
        <v/>
      </c>
      <c r="W18" s="155" t="str">
        <f ca="1">IFERROR(__xludf.DUMMYFUNCTION("""COMPUTED_VALUE"""),"")</f>
        <v/>
      </c>
      <c r="X18" s="155" t="str">
        <f ca="1">IFERROR(__xludf.DUMMYFUNCTION("""COMPUTED_VALUE"""),"")</f>
        <v/>
      </c>
      <c r="Y18" s="155" t="str">
        <f ca="1">IFERROR(__xludf.DUMMYFUNCTION("""COMPUTED_VALUE"""),"")</f>
        <v/>
      </c>
      <c r="Z18" s="155" t="str">
        <f ca="1">IFERROR(__xludf.DUMMYFUNCTION("""COMPUTED_VALUE"""),"")</f>
        <v/>
      </c>
      <c r="AA18" s="155" t="str">
        <f ca="1">IFERROR(__xludf.DUMMYFUNCTION("""COMPUTED_VALUE"""),"")</f>
        <v/>
      </c>
      <c r="AB18" s="155" t="str">
        <f ca="1">IFERROR(__xludf.DUMMYFUNCTION("""COMPUTED_VALUE"""),"")</f>
        <v/>
      </c>
      <c r="AC18" s="155" t="str">
        <f ca="1">IFERROR(__xludf.DUMMYFUNCTION("""COMPUTED_VALUE"""),"")</f>
        <v/>
      </c>
      <c r="AD18" s="155" t="str">
        <f ca="1">IFERROR(__xludf.DUMMYFUNCTION("""COMPUTED_VALUE"""),"")</f>
        <v/>
      </c>
      <c r="AE18" s="155" t="str">
        <f ca="1">IFERROR(__xludf.DUMMYFUNCTION("""COMPUTED_VALUE"""),"")</f>
        <v/>
      </c>
      <c r="AF18" s="155" t="str">
        <f ca="1">IFERROR(__xludf.DUMMYFUNCTION("""COMPUTED_VALUE"""),"")</f>
        <v/>
      </c>
      <c r="AG18" s="155" t="str">
        <f ca="1">IFERROR(__xludf.DUMMYFUNCTION("""COMPUTED_VALUE"""),"")</f>
        <v/>
      </c>
      <c r="AH18" s="155" t="str">
        <f ca="1">IFERROR(__xludf.DUMMYFUNCTION("""COMPUTED_VALUE"""),"")</f>
        <v/>
      </c>
      <c r="AI18" s="155" t="str">
        <f ca="1">IFERROR(__xludf.DUMMYFUNCTION("""COMPUTED_VALUE"""),"")</f>
        <v/>
      </c>
      <c r="AJ18" s="155" t="str">
        <f ca="1">IFERROR(__xludf.DUMMYFUNCTION("""COMPUTED_VALUE"""),"")</f>
        <v/>
      </c>
      <c r="AK18" s="155" t="str">
        <f ca="1">IFERROR(__xludf.DUMMYFUNCTION("""COMPUTED_VALUE"""),"")</f>
        <v/>
      </c>
      <c r="AL18" s="155" t="str">
        <f ca="1">IFERROR(__xludf.DUMMYFUNCTION("""COMPUTED_VALUE"""),"")</f>
        <v/>
      </c>
      <c r="AM18" s="155" t="str">
        <f ca="1">IFERROR(__xludf.DUMMYFUNCTION("""COMPUTED_VALUE"""),"")</f>
        <v/>
      </c>
      <c r="AN18" s="155" t="str">
        <f ca="1">IFERROR(__xludf.DUMMYFUNCTION("""COMPUTED_VALUE"""),"")</f>
        <v/>
      </c>
      <c r="AO18" s="155" t="str">
        <f ca="1">IFERROR(__xludf.DUMMYFUNCTION("""COMPUTED_VALUE"""),"")</f>
        <v/>
      </c>
      <c r="AP18" s="155" t="str">
        <f ca="1">IFERROR(__xludf.DUMMYFUNCTION("""COMPUTED_VALUE"""),"")</f>
        <v/>
      </c>
      <c r="AQ18" s="155" t="str">
        <f ca="1">IFERROR(__xludf.DUMMYFUNCTION("""COMPUTED_VALUE"""),"")</f>
        <v/>
      </c>
      <c r="AR18" s="155" t="str">
        <f ca="1">IFERROR(__xludf.DUMMYFUNCTION("""COMPUTED_VALUE"""),"")</f>
        <v/>
      </c>
      <c r="AS18" s="155" t="str">
        <f ca="1">IFERROR(__xludf.DUMMYFUNCTION("""COMPUTED_VALUE"""),"")</f>
        <v/>
      </c>
      <c r="AT18" s="155" t="str">
        <f ca="1">IFERROR(__xludf.DUMMYFUNCTION("""COMPUTED_VALUE"""),"")</f>
        <v/>
      </c>
      <c r="AU18" s="155" t="str">
        <f ca="1">IFERROR(__xludf.DUMMYFUNCTION("""COMPUTED_VALUE"""),"")</f>
        <v/>
      </c>
      <c r="AV18" s="155" t="str">
        <f ca="1">IFERROR(__xludf.DUMMYFUNCTION("""COMPUTED_VALUE"""),"")</f>
        <v/>
      </c>
      <c r="AW18" s="155" t="str">
        <f ca="1">IFERROR(__xludf.DUMMYFUNCTION("""COMPUTED_VALUE"""),"")</f>
        <v/>
      </c>
      <c r="AX18" s="155" t="str">
        <f ca="1">IFERROR(__xludf.DUMMYFUNCTION("""COMPUTED_VALUE"""),"")</f>
        <v/>
      </c>
      <c r="AY18" s="155" t="str">
        <f ca="1">IFERROR(__xludf.DUMMYFUNCTION("""COMPUTED_VALUE"""),"")</f>
        <v/>
      </c>
      <c r="AZ18" s="155" t="str">
        <f ca="1">IFERROR(__xludf.DUMMYFUNCTION("""COMPUTED_VALUE"""),"")</f>
        <v/>
      </c>
      <c r="BA18" s="155" t="str">
        <f ca="1">IFERROR(__xludf.DUMMYFUNCTION("""COMPUTED_VALUE"""),"")</f>
        <v/>
      </c>
      <c r="BB18" s="155" t="str">
        <f ca="1">IFERROR(__xludf.DUMMYFUNCTION("""COMPUTED_VALUE"""),"")</f>
        <v/>
      </c>
      <c r="BC18" s="155" t="str">
        <f ca="1">IFERROR(__xludf.DUMMYFUNCTION("""COMPUTED_VALUE"""),"")</f>
        <v/>
      </c>
      <c r="BD18" s="155" t="str">
        <f ca="1">IFERROR(__xludf.DUMMYFUNCTION("""COMPUTED_VALUE"""),"")</f>
        <v/>
      </c>
      <c r="BE18" s="155" t="str">
        <f ca="1">IFERROR(__xludf.DUMMYFUNCTION("""COMPUTED_VALUE"""),"")</f>
        <v/>
      </c>
      <c r="BF18" s="155" t="str">
        <f ca="1">IFERROR(__xludf.DUMMYFUNCTION("""COMPUTED_VALUE"""),"")</f>
        <v/>
      </c>
      <c r="BG18" s="155" t="str">
        <f ca="1">IFERROR(__xludf.DUMMYFUNCTION("""COMPUTED_VALUE"""),"")</f>
        <v/>
      </c>
      <c r="BH18" s="155" t="str">
        <f ca="1">IFERROR(__xludf.DUMMYFUNCTION("""COMPUTED_VALUE"""),"")</f>
        <v/>
      </c>
      <c r="BI18" s="155" t="str">
        <f ca="1">IFERROR(__xludf.DUMMYFUNCTION("""COMPUTED_VALUE"""),"")</f>
        <v/>
      </c>
      <c r="BJ18" s="155" t="str">
        <f ca="1">IFERROR(__xludf.DUMMYFUNCTION("""COMPUTED_VALUE"""),"")</f>
        <v/>
      </c>
      <c r="BK18" s="155" t="str">
        <f ca="1">IFERROR(__xludf.DUMMYFUNCTION("""COMPUTED_VALUE"""),"")</f>
        <v/>
      </c>
      <c r="BL18" s="155" t="str">
        <f ca="1">IFERROR(__xludf.DUMMYFUNCTION("""COMPUTED_VALUE"""),"")</f>
        <v/>
      </c>
      <c r="BM18" s="155" t="str">
        <f ca="1">IFERROR(__xludf.DUMMYFUNCTION("""COMPUTED_VALUE"""),"")</f>
        <v/>
      </c>
      <c r="BN18" s="155" t="str">
        <f ca="1">IFERROR(__xludf.DUMMYFUNCTION("""COMPUTED_VALUE"""),"")</f>
        <v/>
      </c>
      <c r="BO18" s="155" t="str">
        <f ca="1">IFERROR(__xludf.DUMMYFUNCTION("""COMPUTED_VALUE"""),"")</f>
        <v/>
      </c>
      <c r="BP18" s="155" t="str">
        <f ca="1">IFERROR(__xludf.DUMMYFUNCTION("""COMPUTED_VALUE"""),"")</f>
        <v/>
      </c>
      <c r="BQ18" s="155" t="str">
        <f ca="1">IFERROR(__xludf.DUMMYFUNCTION("""COMPUTED_VALUE"""),"")</f>
        <v/>
      </c>
      <c r="BR18" s="155" t="str">
        <f ca="1">IFERROR(__xludf.DUMMYFUNCTION("""COMPUTED_VALUE"""),"")</f>
        <v/>
      </c>
      <c r="BS18" s="155" t="str">
        <f ca="1">IFERROR(__xludf.DUMMYFUNCTION("""COMPUTED_VALUE"""),"")</f>
        <v/>
      </c>
      <c r="BT18" s="155" t="str">
        <f ca="1">IFERROR(__xludf.DUMMYFUNCTION("""COMPUTED_VALUE"""),"")</f>
        <v/>
      </c>
      <c r="BU18" s="155" t="str">
        <f ca="1">IFERROR(__xludf.DUMMYFUNCTION("""COMPUTED_VALUE"""),"")</f>
        <v/>
      </c>
      <c r="BV18" s="155" t="str">
        <f ca="1">IFERROR(__xludf.DUMMYFUNCTION("""COMPUTED_VALUE"""),"")</f>
        <v/>
      </c>
      <c r="BW18" s="155" t="str">
        <f ca="1">IFERROR(__xludf.DUMMYFUNCTION("""COMPUTED_VALUE"""),"")</f>
        <v/>
      </c>
      <c r="BX18" s="155"/>
      <c r="BY18" s="155"/>
      <c r="BZ18" s="155"/>
      <c r="CA18" s="155"/>
      <c r="CB18" s="155"/>
      <c r="CC18" s="155"/>
      <c r="CD18" s="155"/>
      <c r="CE18" s="155"/>
      <c r="CF18" s="155"/>
      <c r="CG18" s="155"/>
    </row>
    <row r="19" spans="1:85" ht="15.75" customHeight="1" x14ac:dyDescent="0.2">
      <c r="A19" s="155" t="str">
        <f ca="1">IFERROR(__xludf.DUMMYFUNCTION("""COMPUTED_VALUE"""),"  Organic")</f>
        <v xml:space="preserve">  Organic</v>
      </c>
      <c r="B19" s="155" t="str">
        <f ca="1">IFERROR(__xludf.DUMMYFUNCTION("""COMPUTED_VALUE"""),"")</f>
        <v/>
      </c>
      <c r="C19" s="155" t="str">
        <f ca="1">IFERROR(__xludf.DUMMYFUNCTION("""COMPUTED_VALUE"""),"")</f>
        <v/>
      </c>
      <c r="D19" s="119">
        <f ca="1">IFERROR(__xludf.DUMMYFUNCTION("""COMPUTED_VALUE"""),37)</f>
        <v>37</v>
      </c>
      <c r="E19" s="119">
        <f ca="1">IFERROR(__xludf.DUMMYFUNCTION("""COMPUTED_VALUE"""),34)</f>
        <v>34</v>
      </c>
      <c r="F19" s="119">
        <f ca="1">IFERROR(__xludf.DUMMYFUNCTION("""COMPUTED_VALUE"""),40)</f>
        <v>40</v>
      </c>
      <c r="G19" s="119">
        <f ca="1">IFERROR(__xludf.DUMMYFUNCTION("""COMPUTED_VALUE"""),43)</f>
        <v>43</v>
      </c>
      <c r="H19" s="119">
        <f ca="1">IFERROR(__xludf.DUMMYFUNCTION("""COMPUTED_VALUE"""),61)</f>
        <v>61</v>
      </c>
      <c r="I19" s="119">
        <f ca="1">IFERROR(__xludf.DUMMYFUNCTION("""COMPUTED_VALUE"""),46)</f>
        <v>46</v>
      </c>
      <c r="J19" s="119">
        <f ca="1">IFERROR(__xludf.DUMMYFUNCTION("""COMPUTED_VALUE"""),62)</f>
        <v>62</v>
      </c>
      <c r="K19" s="119">
        <f ca="1">IFERROR(__xludf.DUMMYFUNCTION("""COMPUTED_VALUE"""),57)</f>
        <v>57</v>
      </c>
      <c r="L19" s="119">
        <f ca="1">IFERROR(__xludf.DUMMYFUNCTION("""COMPUTED_VALUE"""),86)</f>
        <v>86</v>
      </c>
      <c r="M19" s="119">
        <f ca="1">IFERROR(__xludf.DUMMYFUNCTION("""COMPUTED_VALUE"""),63)</f>
        <v>63</v>
      </c>
      <c r="N19" s="119">
        <f ca="1">IFERROR(__xludf.DUMMYFUNCTION("""COMPUTED_VALUE"""),79)</f>
        <v>79</v>
      </c>
      <c r="O19" s="119">
        <f ca="1">IFERROR(__xludf.DUMMYFUNCTION("""COMPUTED_VALUE"""),122)</f>
        <v>122</v>
      </c>
      <c r="P19" s="119">
        <f ca="1">IFERROR(__xludf.DUMMYFUNCTION("""COMPUTED_VALUE"""),147)</f>
        <v>147</v>
      </c>
      <c r="Q19" s="119">
        <f ca="1">IFERROR(__xludf.DUMMYFUNCTION("""COMPUTED_VALUE"""),203)</f>
        <v>203</v>
      </c>
      <c r="R19" s="119">
        <f ca="1">IFERROR(__xludf.DUMMYFUNCTION("""COMPUTED_VALUE"""),145)</f>
        <v>145</v>
      </c>
      <c r="S19" s="119">
        <f ca="1">IFERROR(__xludf.DUMMYFUNCTION("""COMPUTED_VALUE"""),143)</f>
        <v>143</v>
      </c>
      <c r="T19" s="119">
        <f ca="1">IFERROR(__xludf.DUMMYFUNCTION("""COMPUTED_VALUE"""),170)</f>
        <v>170</v>
      </c>
      <c r="U19" s="119">
        <f ca="1">IFERROR(__xludf.DUMMYFUNCTION("""COMPUTED_VALUE"""),149)</f>
        <v>149</v>
      </c>
      <c r="V19" s="119">
        <f ca="1">IFERROR(__xludf.DUMMYFUNCTION("""COMPUTED_VALUE"""),159)</f>
        <v>159</v>
      </c>
      <c r="W19" s="119">
        <f ca="1">IFERROR(__xludf.DUMMYFUNCTION("""COMPUTED_VALUE"""),90)</f>
        <v>90</v>
      </c>
      <c r="X19" s="119">
        <f ca="1">IFERROR(__xludf.DUMMYFUNCTION("""COMPUTED_VALUE"""),120)</f>
        <v>120</v>
      </c>
      <c r="Y19" s="119">
        <f ca="1">IFERROR(__xludf.DUMMYFUNCTION("""COMPUTED_VALUE"""),130.29638566294)</f>
        <v>130.29638566294</v>
      </c>
      <c r="Z19" s="119">
        <f ca="1">IFERROR(__xludf.DUMMYFUNCTION("""COMPUTED_VALUE"""),120.134388597759)</f>
        <v>120.134388597759</v>
      </c>
      <c r="AA19" s="119">
        <f ca="1">IFERROR(__xludf.DUMMYFUNCTION("""COMPUTED_VALUE"""),127.925352578985)</f>
        <v>127.925352578985</v>
      </c>
      <c r="AB19" s="119">
        <f ca="1">IFERROR(__xludf.DUMMYFUNCTION("""COMPUTED_VALUE"""),130.662310719148)</f>
        <v>130.662310719148</v>
      </c>
      <c r="AC19" s="119">
        <f ca="1">IFERROR(__xludf.DUMMYFUNCTION("""COMPUTED_VALUE"""),130.788680057458)</f>
        <v>130.78868005745801</v>
      </c>
      <c r="AD19" s="119">
        <f ca="1">IFERROR(__xludf.DUMMYFUNCTION("""COMPUTED_VALUE"""),134.468055763165)</f>
        <v>134.46805576316501</v>
      </c>
      <c r="AE19" s="119">
        <f ca="1">IFERROR(__xludf.DUMMYFUNCTION("""COMPUTED_VALUE"""),136.727526816363)</f>
        <v>136.727526816363</v>
      </c>
      <c r="AF19" s="119">
        <f ca="1">IFERROR(__xludf.DUMMYFUNCTION("""COMPUTED_VALUE"""),123.025566134938)</f>
        <v>123.025566134938</v>
      </c>
      <c r="AG19" s="119">
        <f ca="1">IFERROR(__xludf.DUMMYFUNCTION("""COMPUTED_VALUE"""),121.243999987915)</f>
        <v>121.243999987915</v>
      </c>
      <c r="AH19" s="119">
        <f ca="1">IFERROR(__xludf.DUMMYFUNCTION("""COMPUTED_VALUE"""),117.176898505707)</f>
        <v>117.176898505707</v>
      </c>
      <c r="AI19" s="119">
        <f ca="1">IFERROR(__xludf.DUMMYFUNCTION("""COMPUTED_VALUE"""),111.164039006944)</f>
        <v>111.16403900694399</v>
      </c>
      <c r="AJ19" s="119">
        <f ca="1">IFERROR(__xludf.DUMMYFUNCTION("""COMPUTED_VALUE"""),107.515987653908)</f>
        <v>107.515987653908</v>
      </c>
      <c r="AK19" s="119">
        <f ca="1">IFERROR(__xludf.DUMMYFUNCTION("""COMPUTED_VALUE"""),103.293892688465)</f>
        <v>103.29389268846499</v>
      </c>
      <c r="AL19" s="119">
        <f ca="1">IFERROR(__xludf.DUMMYFUNCTION("""COMPUTED_VALUE"""),99.0241289717625)</f>
        <v>99.024128971762494</v>
      </c>
      <c r="AM19" s="119">
        <f ca="1">IFERROR(__xludf.DUMMYFUNCTION("""COMPUTED_VALUE"""),95.2904600477116)</f>
        <v>95.290460047711605</v>
      </c>
      <c r="AN19" s="119">
        <f ca="1">IFERROR(__xludf.DUMMYFUNCTION("""COMPUTED_VALUE"""),91.5304591604645)</f>
        <v>91.530459160464503</v>
      </c>
      <c r="AO19" s="119">
        <f ca="1">IFERROR(__xludf.DUMMYFUNCTION("""COMPUTED_VALUE"""),87.912576814026)</f>
        <v>87.912576814025996</v>
      </c>
      <c r="AP19" s="119">
        <f ca="1">IFERROR(__xludf.DUMMYFUNCTION("""COMPUTED_VALUE"""),84.4951827090382)</f>
        <v>84.495182709038204</v>
      </c>
      <c r="AQ19" s="119">
        <f ca="1">IFERROR(__xludf.DUMMYFUNCTION("""COMPUTED_VALUE"""),81.1750599561423)</f>
        <v>81.175059956142306</v>
      </c>
      <c r="AR19" s="119">
        <f ca="1">IFERROR(__xludf.DUMMYFUNCTION("""COMPUTED_VALUE"""),77.9902231580713)</f>
        <v>77.990223158071302</v>
      </c>
      <c r="AS19" s="119">
        <f ca="1">IFERROR(__xludf.DUMMYFUNCTION("""COMPUTED_VALUE"""),74.938570930722)</f>
        <v>74.938570930721994</v>
      </c>
      <c r="AT19" s="119">
        <f ca="1">IFERROR(__xludf.DUMMYFUNCTION("""COMPUTED_VALUE"""),71.9994038106599)</f>
        <v>71.999403810659899</v>
      </c>
      <c r="AU19" s="119">
        <f ca="1">IFERROR(__xludf.DUMMYFUNCTION("""COMPUTED_VALUE"""),69.1774008379129)</f>
        <v>69.177400837912899</v>
      </c>
      <c r="AV19" s="119">
        <f ca="1">IFERROR(__xludf.DUMMYFUNCTION("""COMPUTED_VALUE"""),66.4669885914793)</f>
        <v>66.466988591479307</v>
      </c>
      <c r="AW19" s="119">
        <f ca="1">IFERROR(__xludf.DUMMYFUNCTION("""COMPUTED_VALUE"""),63.861525814086)</f>
        <v>63.861525814086001</v>
      </c>
      <c r="AX19" s="119">
        <f ca="1">IFERROR(__xludf.DUMMYFUNCTION("""COMPUTED_VALUE"""),61.3586948956137)</f>
        <v>61.358694895613702</v>
      </c>
      <c r="AY19" s="119">
        <f ca="1">IFERROR(__xludf.DUMMYFUNCTION("""COMPUTED_VALUE"""),58.9540263833714)</f>
        <v>58.954026383371399</v>
      </c>
      <c r="AZ19" s="119">
        <f ca="1">IFERROR(__xludf.DUMMYFUNCTION("""COMPUTED_VALUE"""),56.643390353723)</f>
        <v>56.643390353722999</v>
      </c>
      <c r="BA19" s="119">
        <f ca="1">IFERROR(__xludf.DUMMYFUNCTION("""COMPUTED_VALUE"""),54.4234292518824)</f>
        <v>54.423429251882403</v>
      </c>
      <c r="BB19" s="119">
        <f ca="1">IFERROR(__xludf.DUMMYFUNCTION("""COMPUTED_VALUE"""),52.2904656846899)</f>
        <v>52.290465684689899</v>
      </c>
      <c r="BC19" s="119">
        <f ca="1">IFERROR(__xludf.DUMMYFUNCTION("""COMPUTED_VALUE"""),50.2410658594776)</f>
        <v>50.241065859477601</v>
      </c>
      <c r="BD19" s="119">
        <f ca="1">IFERROR(__xludf.DUMMYFUNCTION("""COMPUTED_VALUE"""),48.2720100809275)</f>
        <v>48.272010080927501</v>
      </c>
      <c r="BE19" s="119">
        <f ca="1">IFERROR(__xludf.DUMMYFUNCTION("""COMPUTED_VALUE"""),46.3801210528501)</f>
        <v>46.3801210528501</v>
      </c>
      <c r="BF19" s="119">
        <f ca="1">IFERROR(__xludf.DUMMYFUNCTION("""COMPUTED_VALUE"""),44.5623752855109)</f>
        <v>44.562375285510903</v>
      </c>
      <c r="BG19" s="119">
        <f ca="1">IFERROR(__xludf.DUMMYFUNCTION("""COMPUTED_VALUE"""),42.8158754791798)</f>
        <v>42.815875479179802</v>
      </c>
      <c r="BH19" s="119">
        <f ca="1">IFERROR(__xludf.DUMMYFUNCTION("""COMPUTED_VALUE"""),41.1378234879421)</f>
        <v>41.1378234879421</v>
      </c>
      <c r="BI19" s="119">
        <f ca="1">IFERROR(__xludf.DUMMYFUNCTION("""COMPUTED_VALUE"""),39.5255377747859)</f>
        <v>39.525537774785903</v>
      </c>
      <c r="BJ19" s="119">
        <f ca="1">IFERROR(__xludf.DUMMYFUNCTION("""COMPUTED_VALUE"""),37.9764419713748)</f>
        <v>37.976441971374797</v>
      </c>
      <c r="BK19" s="119">
        <f ca="1">IFERROR(__xludf.DUMMYFUNCTION("""COMPUTED_VALUE"""),36.4880584128691)</f>
        <v>36.488058412869101</v>
      </c>
      <c r="BL19" s="119">
        <f ca="1">IFERROR(__xludf.DUMMYFUNCTION("""COMPUTED_VALUE"""),35.058007999429)</f>
        <v>35.058007999429002</v>
      </c>
      <c r="BM19" s="119">
        <f ca="1">IFERROR(__xludf.DUMMYFUNCTION("""COMPUTED_VALUE"""),33.6840046467532)</f>
        <v>33.684004646753202</v>
      </c>
      <c r="BN19" s="119">
        <f ca="1">IFERROR(__xludf.DUMMYFUNCTION("""COMPUTED_VALUE"""),32.3638515483422)</f>
        <v>32.363851548342197</v>
      </c>
      <c r="BO19" s="119">
        <f ca="1">IFERROR(__xludf.DUMMYFUNCTION("""COMPUTED_VALUE"""),31.095438276595)</f>
        <v>31.095438276595001</v>
      </c>
      <c r="BP19" s="119">
        <f ca="1">IFERROR(__xludf.DUMMYFUNCTION("""COMPUTED_VALUE"""),29.8767370349339)</f>
        <v>29.8767370349339</v>
      </c>
      <c r="BQ19" s="119">
        <f ca="1">IFERROR(__xludf.DUMMYFUNCTION("""COMPUTED_VALUE"""),28.7057994640129)</f>
        <v>28.705799464012902</v>
      </c>
      <c r="BR19" s="119">
        <f ca="1">IFERROR(__xludf.DUMMYFUNCTION("""COMPUTED_VALUE"""),27.5807536152184)</f>
        <v>27.580753615218399</v>
      </c>
      <c r="BS19" s="119">
        <f ca="1">IFERROR(__xludf.DUMMYFUNCTION("""COMPUTED_VALUE"""),26.4998008849271)</f>
        <v>26.499800884927101</v>
      </c>
      <c r="BT19" s="119">
        <f ca="1">IFERROR(__xludf.DUMMYFUNCTION("""COMPUTED_VALUE"""),25.4612131585563)</f>
        <v>25.461213158556301</v>
      </c>
      <c r="BU19" s="119">
        <f ca="1">IFERROR(__xludf.DUMMYFUNCTION("""COMPUTED_VALUE"""),24.4633300585187)</f>
        <v>24.4633300585187</v>
      </c>
      <c r="BV19" s="119">
        <f ca="1">IFERROR(__xludf.DUMMYFUNCTION("""COMPUTED_VALUE"""),23.504556276586)</f>
        <v>23.504556276586001</v>
      </c>
      <c r="BW19" s="119">
        <f ca="1">IFERROR(__xludf.DUMMYFUNCTION("""COMPUTED_VALUE"""),22.5833590286917)</f>
        <v>22.583359028691699</v>
      </c>
      <c r="BX19" s="119"/>
      <c r="BY19" s="119"/>
      <c r="BZ19" s="119"/>
      <c r="CA19" s="119"/>
      <c r="CB19" s="119"/>
      <c r="CC19" s="119"/>
      <c r="CD19" s="119"/>
      <c r="CE19" s="119"/>
      <c r="CF19" s="119"/>
      <c r="CG19" s="119"/>
    </row>
    <row r="20" spans="1:85" ht="15.75" customHeight="1" x14ac:dyDescent="0.2">
      <c r="A20" s="157" t="str">
        <f ca="1">IFERROR(__xludf.DUMMYFUNCTION("""COMPUTED_VALUE"""),"  Adwords")</f>
        <v xml:space="preserve">  Adwords</v>
      </c>
      <c r="B20" s="157" t="str">
        <f ca="1">IFERROR(__xludf.DUMMYFUNCTION("""COMPUTED_VALUE"""),"")</f>
        <v/>
      </c>
      <c r="C20" s="157" t="str">
        <f ca="1">IFERROR(__xludf.DUMMYFUNCTION("""COMPUTED_VALUE"""),"")</f>
        <v/>
      </c>
      <c r="D20" s="158">
        <f ca="1">IFERROR(__xludf.DUMMYFUNCTION("""COMPUTED_VALUE"""),26.4)</f>
        <v>26.4</v>
      </c>
      <c r="E20" s="158">
        <f ca="1">IFERROR(__xludf.DUMMYFUNCTION("""COMPUTED_VALUE"""),29.0999999999999)</f>
        <v>29.099999999999898</v>
      </c>
      <c r="F20" s="158">
        <f ca="1">IFERROR(__xludf.DUMMYFUNCTION("""COMPUTED_VALUE"""),36.6)</f>
        <v>36.6</v>
      </c>
      <c r="G20" s="158">
        <f ca="1">IFERROR(__xludf.DUMMYFUNCTION("""COMPUTED_VALUE"""),35.4)</f>
        <v>35.4</v>
      </c>
      <c r="H20" s="158">
        <f ca="1">IFERROR(__xludf.DUMMYFUNCTION("""COMPUTED_VALUE"""),44.6999999999999)</f>
        <v>44.699999999999903</v>
      </c>
      <c r="I20" s="158">
        <f ca="1">IFERROR(__xludf.DUMMYFUNCTION("""COMPUTED_VALUE"""),41.4)</f>
        <v>41.4</v>
      </c>
      <c r="J20" s="158">
        <f ca="1">IFERROR(__xludf.DUMMYFUNCTION("""COMPUTED_VALUE"""),47.1)</f>
        <v>47.1</v>
      </c>
      <c r="K20" s="158">
        <f ca="1">IFERROR(__xludf.DUMMYFUNCTION("""COMPUTED_VALUE"""),41.4)</f>
        <v>41.4</v>
      </c>
      <c r="L20" s="158">
        <f ca="1">IFERROR(__xludf.DUMMYFUNCTION("""COMPUTED_VALUE"""),63)</f>
        <v>63</v>
      </c>
      <c r="M20" s="158">
        <f ca="1">IFERROR(__xludf.DUMMYFUNCTION("""COMPUTED_VALUE"""),60.9)</f>
        <v>60.9</v>
      </c>
      <c r="N20" s="158">
        <f ca="1">IFERROR(__xludf.DUMMYFUNCTION("""COMPUTED_VALUE"""),70.8)</f>
        <v>70.8</v>
      </c>
      <c r="O20" s="158">
        <f ca="1">IFERROR(__xludf.DUMMYFUNCTION("""COMPUTED_VALUE"""),93)</f>
        <v>93</v>
      </c>
      <c r="P20" s="158">
        <f ca="1">IFERROR(__xludf.DUMMYFUNCTION("""COMPUTED_VALUE"""),130.5)</f>
        <v>130.5</v>
      </c>
      <c r="Q20" s="158">
        <f ca="1">IFERROR(__xludf.DUMMYFUNCTION("""COMPUTED_VALUE"""),162.6)</f>
        <v>162.6</v>
      </c>
      <c r="R20" s="158">
        <f ca="1">IFERROR(__xludf.DUMMYFUNCTION("""COMPUTED_VALUE"""),111.899999999999)</f>
        <v>111.899999999999</v>
      </c>
      <c r="S20" s="158">
        <f ca="1">IFERROR(__xludf.DUMMYFUNCTION("""COMPUTED_VALUE"""),120.3)</f>
        <v>120.3</v>
      </c>
      <c r="T20" s="158">
        <f ca="1">IFERROR(__xludf.DUMMYFUNCTION("""COMPUTED_VALUE"""),129.9)</f>
        <v>129.9</v>
      </c>
      <c r="U20" s="158">
        <f ca="1">IFERROR(__xludf.DUMMYFUNCTION("""COMPUTED_VALUE"""),118.199999999999)</f>
        <v>118.19999999999899</v>
      </c>
      <c r="V20" s="158">
        <f ca="1">IFERROR(__xludf.DUMMYFUNCTION("""COMPUTED_VALUE"""),131.1)</f>
        <v>131.1</v>
      </c>
      <c r="W20" s="158">
        <f ca="1">IFERROR(__xludf.DUMMYFUNCTION("""COMPUTED_VALUE"""),85.8)</f>
        <v>85.8</v>
      </c>
      <c r="X20" s="158">
        <f ca="1">IFERROR(__xludf.DUMMYFUNCTION("""COMPUTED_VALUE"""),95.1)</f>
        <v>95.1</v>
      </c>
      <c r="Y20" s="158">
        <f ca="1">IFERROR(__xludf.DUMMYFUNCTION("""COMPUTED_VALUE"""),93.6842920170473)</f>
        <v>93.684292017047298</v>
      </c>
      <c r="Z20" s="158">
        <f ca="1">IFERROR(__xludf.DUMMYFUNCTION("""COMPUTED_VALUE"""),90.9437939328513)</f>
        <v>90.943793932851307</v>
      </c>
      <c r="AA20" s="158">
        <f ca="1">IFERROR(__xludf.DUMMYFUNCTION("""COMPUTED_VALUE"""),100.725170455051)</f>
        <v>100.725170455051</v>
      </c>
      <c r="AB20" s="158">
        <f ca="1">IFERROR(__xludf.DUMMYFUNCTION("""COMPUTED_VALUE"""),104.388550585494)</f>
        <v>104.388550585494</v>
      </c>
      <c r="AC20" s="158">
        <f ca="1">IFERROR(__xludf.DUMMYFUNCTION("""COMPUTED_VALUE"""),106.200185786734)</f>
        <v>106.200185786734</v>
      </c>
      <c r="AD20" s="158">
        <f ca="1">IFERROR(__xludf.DUMMYFUNCTION("""COMPUTED_VALUE"""),101.214507853303)</f>
        <v>101.214507853303</v>
      </c>
      <c r="AE20" s="158">
        <f ca="1">IFERROR(__xludf.DUMMYFUNCTION("""COMPUTED_VALUE"""),96.5281354404816)</f>
        <v>96.528135440481606</v>
      </c>
      <c r="AF20" s="158">
        <f ca="1">IFERROR(__xludf.DUMMYFUNCTION("""COMPUTED_VALUE"""),86.1846557959269)</f>
        <v>86.184655795926901</v>
      </c>
      <c r="AG20" s="158">
        <f ca="1">IFERROR(__xludf.DUMMYFUNCTION("""COMPUTED_VALUE"""),94.9814881603674)</f>
        <v>94.981488160367405</v>
      </c>
      <c r="AH20" s="158">
        <f ca="1">IFERROR(__xludf.DUMMYFUNCTION("""COMPUTED_VALUE"""),103.602449673284)</f>
        <v>103.602449673284</v>
      </c>
      <c r="AI20" s="158">
        <f ca="1">IFERROR(__xludf.DUMMYFUNCTION("""COMPUTED_VALUE"""),112.181567187409)</f>
        <v>112.181567187409</v>
      </c>
      <c r="AJ20" s="158">
        <f ca="1">IFERROR(__xludf.DUMMYFUNCTION("""COMPUTED_VALUE"""),120.853251952634)</f>
        <v>120.853251952634</v>
      </c>
      <c r="AK20" s="158">
        <f ca="1">IFERROR(__xludf.DUMMYFUNCTION("""COMPUTED_VALUE"""),129.475872620511)</f>
        <v>129.47587262051101</v>
      </c>
      <c r="AL20" s="158">
        <f ca="1">IFERROR(__xludf.DUMMYFUNCTION("""COMPUTED_VALUE"""),138.099311146878)</f>
        <v>138.09931114687799</v>
      </c>
      <c r="AM20" s="158">
        <f ca="1">IFERROR(__xludf.DUMMYFUNCTION("""COMPUTED_VALUE"""),146.739631272009)</f>
        <v>146.73963127200901</v>
      </c>
      <c r="AN20" s="158">
        <f ca="1">IFERROR(__xludf.DUMMYFUNCTION("""COMPUTED_VALUE"""),155.368055639774)</f>
        <v>155.36805563977401</v>
      </c>
      <c r="AO20" s="158">
        <f ca="1">IFERROR(__xludf.DUMMYFUNCTION("""COMPUTED_VALUE"""),163.998685551266)</f>
        <v>163.99868555126599</v>
      </c>
      <c r="AP20" s="158">
        <f ca="1">IFERROR(__xludf.DUMMYFUNCTION("""COMPUTED_VALUE"""),172.631989801129)</f>
        <v>172.63198980112901</v>
      </c>
      <c r="AQ20" s="158">
        <f ca="1">IFERROR(__xludf.DUMMYFUNCTION("""COMPUTED_VALUE"""),181.262690365536)</f>
        <v>181.262690365536</v>
      </c>
      <c r="AR20" s="158">
        <f ca="1">IFERROR(__xludf.DUMMYFUNCTION("""COMPUTED_VALUE"""),189.894234096575)</f>
        <v>189.89423409657499</v>
      </c>
      <c r="AS20" s="158">
        <f ca="1">IFERROR(__xludf.DUMMYFUNCTION("""COMPUTED_VALUE"""),198.526111556421)</f>
        <v>198.526111556421</v>
      </c>
      <c r="AT20" s="158">
        <f ca="1">IFERROR(__xludf.DUMMYFUNCTION("""COMPUTED_VALUE"""),207.157467643102)</f>
        <v>207.157467643102</v>
      </c>
      <c r="AU20" s="158">
        <f ca="1">IFERROR(__xludf.DUMMYFUNCTION("""COMPUTED_VALUE"""),215.789062788441)</f>
        <v>215.78906278844099</v>
      </c>
      <c r="AV20" s="158">
        <f ca="1">IFERROR(__xludf.DUMMYFUNCTION("""COMPUTED_VALUE"""),224.420676273432)</f>
        <v>224.42067627343201</v>
      </c>
      <c r="AW20" s="158">
        <f ca="1">IFERROR(__xludf.DUMMYFUNCTION("""COMPUTED_VALUE"""),233.052194413791)</f>
        <v>233.052194413791</v>
      </c>
      <c r="AX20" s="158">
        <f ca="1">IFERROR(__xludf.DUMMYFUNCTION("""COMPUTED_VALUE"""),241.683770991264)</f>
        <v>241.683770991264</v>
      </c>
      <c r="AY20" s="158">
        <f ca="1">IFERROR(__xludf.DUMMYFUNCTION("""COMPUTED_VALUE"""),250.315340847853)</f>
        <v>250.31534084785301</v>
      </c>
      <c r="AZ20" s="158">
        <f ca="1">IFERROR(__xludf.DUMMYFUNCTION("""COMPUTED_VALUE"""),245.479448227479)</f>
        <v>245.479448227479</v>
      </c>
      <c r="BA20" s="158">
        <f ca="1">IFERROR(__xludf.DUMMYFUNCTION("""COMPUTED_VALUE"""),252.212279639517)</f>
        <v>252.21227963951699</v>
      </c>
      <c r="BB20" s="158">
        <f ca="1">IFERROR(__xludf.DUMMYFUNCTION("""COMPUTED_VALUE"""),258.076385170453)</f>
        <v>258.07638517045302</v>
      </c>
      <c r="BC20" s="158">
        <f ca="1">IFERROR(__xludf.DUMMYFUNCTION("""COMPUTED_VALUE"""),262.780249657197)</f>
        <v>262.78024965719698</v>
      </c>
      <c r="BD20" s="158">
        <f ca="1">IFERROR(__xludf.DUMMYFUNCTION("""COMPUTED_VALUE"""),266.035978007772)</f>
        <v>266.03597800777197</v>
      </c>
      <c r="BE20" s="158">
        <f ca="1">IFERROR(__xludf.DUMMYFUNCTION("""COMPUTED_VALUE"""),271.405163878549)</f>
        <v>271.40516387854899</v>
      </c>
      <c r="BF20" s="158">
        <f ca="1">IFERROR(__xludf.DUMMYFUNCTION("""COMPUTED_VALUE"""),276.418178184781)</f>
        <v>276.41817818478103</v>
      </c>
      <c r="BG20" s="158">
        <f ca="1">IFERROR(__xludf.DUMMYFUNCTION("""COMPUTED_VALUE"""),281.208895524742)</f>
        <v>281.20889552474199</v>
      </c>
      <c r="BH20" s="158">
        <f ca="1">IFERROR(__xludf.DUMMYFUNCTION("""COMPUTED_VALUE"""),286.022297358337)</f>
        <v>286.02229735833703</v>
      </c>
      <c r="BI20" s="158">
        <f ca="1">IFERROR(__xludf.DUMMYFUNCTION("""COMPUTED_VALUE"""),291.242550220392)</f>
        <v>291.24255022039199</v>
      </c>
      <c r="BJ20" s="119">
        <f ca="1">IFERROR(__xludf.DUMMYFUNCTION("""COMPUTED_VALUE"""),296.423903145523)</f>
        <v>296.42390314552301</v>
      </c>
      <c r="BK20" s="119">
        <f ca="1">IFERROR(__xludf.DUMMYFUNCTION("""COMPUTED_VALUE"""),301.64922451998)</f>
        <v>301.64922451998001</v>
      </c>
      <c r="BL20" s="119">
        <f ca="1">IFERROR(__xludf.DUMMYFUNCTION("""COMPUTED_VALUE"""),306.988060756412)</f>
        <v>306.98806075641198</v>
      </c>
      <c r="BM20" s="119">
        <f ca="1">IFERROR(__xludf.DUMMYFUNCTION("""COMPUTED_VALUE"""),312.464135891538)</f>
        <v>312.46413589153798</v>
      </c>
      <c r="BN20" s="119">
        <f ca="1">IFERROR(__xludf.DUMMYFUNCTION("""COMPUTED_VALUE"""),318.007029557147)</f>
        <v>318.00702955714701</v>
      </c>
      <c r="BO20" s="119">
        <f ca="1">IFERROR(__xludf.DUMMYFUNCTION("""COMPUTED_VALUE"""),323.644354536224)</f>
        <v>323.644354536224</v>
      </c>
      <c r="BP20" s="119">
        <f ca="1">IFERROR(__xludf.DUMMYFUNCTION("""COMPUTED_VALUE"""),329.389291272439)</f>
        <v>329.38929127243898</v>
      </c>
      <c r="BQ20" s="119">
        <f ca="1">IFERROR(__xludf.DUMMYFUNCTION("""COMPUTED_VALUE"""),335.240297925017)</f>
        <v>335.24029792501699</v>
      </c>
      <c r="BR20" s="119">
        <f ca="1">IFERROR(__xludf.DUMMYFUNCTION("""COMPUTED_VALUE"""),341.189233433515)</f>
        <v>341.18923343351503</v>
      </c>
      <c r="BS20" s="119">
        <f ca="1">IFERROR(__xludf.DUMMYFUNCTION("""COMPUTED_VALUE"""),347.244223540297)</f>
        <v>347.24422354029701</v>
      </c>
      <c r="BT20" s="119">
        <f ca="1">IFERROR(__xludf.DUMMYFUNCTION("""COMPUTED_VALUE"""),353.408304146814)</f>
        <v>353.40830414681398</v>
      </c>
      <c r="BU20" s="119">
        <f ca="1">IFERROR(__xludf.DUMMYFUNCTION("""COMPUTED_VALUE"""),359.681861488847)</f>
        <v>359.68186148884701</v>
      </c>
      <c r="BV20" s="119">
        <f ca="1">IFERROR(__xludf.DUMMYFUNCTION("""COMPUTED_VALUE"""),366.065785397046)</f>
        <v>366.065785397046</v>
      </c>
      <c r="BW20" s="119">
        <f ca="1">IFERROR(__xludf.DUMMYFUNCTION("""COMPUTED_VALUE"""),372.563324493433)</f>
        <v>372.56332449343302</v>
      </c>
      <c r="BX20" s="119"/>
      <c r="BY20" s="119"/>
      <c r="BZ20" s="119"/>
      <c r="CA20" s="119"/>
      <c r="CB20" s="119"/>
      <c r="CC20" s="119"/>
      <c r="CD20" s="119"/>
      <c r="CE20" s="119"/>
      <c r="CF20" s="119"/>
      <c r="CG20" s="119"/>
    </row>
    <row r="21" spans="1:85" ht="15.75" customHeight="1" x14ac:dyDescent="0.2">
      <c r="A21" s="159" t="str">
        <f ca="1">IFERROR(__xludf.DUMMYFUNCTION("""COMPUTED_VALUE"""),"Total SQLs")</f>
        <v>Total SQLs</v>
      </c>
      <c r="B21" s="155" t="str">
        <f ca="1">IFERROR(__xludf.DUMMYFUNCTION("""COMPUTED_VALUE"""),"")</f>
        <v/>
      </c>
      <c r="C21" s="155" t="str">
        <f ca="1">IFERROR(__xludf.DUMMYFUNCTION("""COMPUTED_VALUE"""),"")</f>
        <v/>
      </c>
      <c r="D21" s="160">
        <f ca="1">IFERROR(__xludf.DUMMYFUNCTION("""COMPUTED_VALUE"""),63.4)</f>
        <v>63.4</v>
      </c>
      <c r="E21" s="160">
        <f ca="1">IFERROR(__xludf.DUMMYFUNCTION("""COMPUTED_VALUE"""),63.0999999999999)</f>
        <v>63.099999999999902</v>
      </c>
      <c r="F21" s="160">
        <f ca="1">IFERROR(__xludf.DUMMYFUNCTION("""COMPUTED_VALUE"""),76.6)</f>
        <v>76.599999999999994</v>
      </c>
      <c r="G21" s="160">
        <f ca="1">IFERROR(__xludf.DUMMYFUNCTION("""COMPUTED_VALUE"""),78.4)</f>
        <v>78.400000000000006</v>
      </c>
      <c r="H21" s="160">
        <f ca="1">IFERROR(__xludf.DUMMYFUNCTION("""COMPUTED_VALUE"""),105.699999999999)</f>
        <v>105.69999999999899</v>
      </c>
      <c r="I21" s="160">
        <f ca="1">IFERROR(__xludf.DUMMYFUNCTION("""COMPUTED_VALUE"""),87.4)</f>
        <v>87.4</v>
      </c>
      <c r="J21" s="160">
        <f ca="1">IFERROR(__xludf.DUMMYFUNCTION("""COMPUTED_VALUE"""),109.1)</f>
        <v>109.1</v>
      </c>
      <c r="K21" s="160">
        <f ca="1">IFERROR(__xludf.DUMMYFUNCTION("""COMPUTED_VALUE"""),98.4)</f>
        <v>98.4</v>
      </c>
      <c r="L21" s="160">
        <f ca="1">IFERROR(__xludf.DUMMYFUNCTION("""COMPUTED_VALUE"""),149)</f>
        <v>149</v>
      </c>
      <c r="M21" s="160">
        <f ca="1">IFERROR(__xludf.DUMMYFUNCTION("""COMPUTED_VALUE"""),123.9)</f>
        <v>123.9</v>
      </c>
      <c r="N21" s="160">
        <f ca="1">IFERROR(__xludf.DUMMYFUNCTION("""COMPUTED_VALUE"""),149.8)</f>
        <v>149.80000000000001</v>
      </c>
      <c r="O21" s="160">
        <f ca="1">IFERROR(__xludf.DUMMYFUNCTION("""COMPUTED_VALUE"""),215)</f>
        <v>215</v>
      </c>
      <c r="P21" s="160">
        <f ca="1">IFERROR(__xludf.DUMMYFUNCTION("""COMPUTED_VALUE"""),277.5)</f>
        <v>277.5</v>
      </c>
      <c r="Q21" s="160">
        <f ca="1">IFERROR(__xludf.DUMMYFUNCTION("""COMPUTED_VALUE"""),365.6)</f>
        <v>365.6</v>
      </c>
      <c r="R21" s="160">
        <f ca="1">IFERROR(__xludf.DUMMYFUNCTION("""COMPUTED_VALUE"""),256.9)</f>
        <v>256.89999999999998</v>
      </c>
      <c r="S21" s="160">
        <f ca="1">IFERROR(__xludf.DUMMYFUNCTION("""COMPUTED_VALUE"""),263.3)</f>
        <v>263.3</v>
      </c>
      <c r="T21" s="160">
        <f ca="1">IFERROR(__xludf.DUMMYFUNCTION("""COMPUTED_VALUE"""),299.9)</f>
        <v>299.89999999999998</v>
      </c>
      <c r="U21" s="160">
        <f ca="1">IFERROR(__xludf.DUMMYFUNCTION("""COMPUTED_VALUE"""),267.2)</f>
        <v>267.2</v>
      </c>
      <c r="V21" s="160">
        <f ca="1">IFERROR(__xludf.DUMMYFUNCTION("""COMPUTED_VALUE"""),290.1)</f>
        <v>290.10000000000002</v>
      </c>
      <c r="W21" s="160">
        <f ca="1">IFERROR(__xludf.DUMMYFUNCTION("""COMPUTED_VALUE"""),175.8)</f>
        <v>175.8</v>
      </c>
      <c r="X21" s="160">
        <f ca="1">IFERROR(__xludf.DUMMYFUNCTION("""COMPUTED_VALUE"""),215.1)</f>
        <v>215.1</v>
      </c>
      <c r="Y21" s="160">
        <f ca="1">IFERROR(__xludf.DUMMYFUNCTION("""COMPUTED_VALUE"""),223.980677679987)</f>
        <v>223.980677679987</v>
      </c>
      <c r="Z21" s="160">
        <f ca="1">IFERROR(__xludf.DUMMYFUNCTION("""COMPUTED_VALUE"""),211.07818253061)</f>
        <v>211.07818253061001</v>
      </c>
      <c r="AA21" s="160">
        <f ca="1">IFERROR(__xludf.DUMMYFUNCTION("""COMPUTED_VALUE"""),228.650523034037)</f>
        <v>228.65052303403701</v>
      </c>
      <c r="AB21" s="160">
        <f ca="1">IFERROR(__xludf.DUMMYFUNCTION("""COMPUTED_VALUE"""),235.050861304643)</f>
        <v>235.05086130464301</v>
      </c>
      <c r="AC21" s="160">
        <f ca="1">IFERROR(__xludf.DUMMYFUNCTION("""COMPUTED_VALUE"""),236.988865844192)</f>
        <v>236.98886584419199</v>
      </c>
      <c r="AD21" s="160">
        <f ca="1">IFERROR(__xludf.DUMMYFUNCTION("""COMPUTED_VALUE"""),235.682563616469)</f>
        <v>235.682563616469</v>
      </c>
      <c r="AE21" s="160">
        <f ca="1">IFERROR(__xludf.DUMMYFUNCTION("""COMPUTED_VALUE"""),233.255662256845)</f>
        <v>233.255662256845</v>
      </c>
      <c r="AF21" s="160">
        <f ca="1">IFERROR(__xludf.DUMMYFUNCTION("""COMPUTED_VALUE"""),209.210221930865)</f>
        <v>209.210221930865</v>
      </c>
      <c r="AG21" s="160">
        <f ca="1">IFERROR(__xludf.DUMMYFUNCTION("""COMPUTED_VALUE"""),216.225488148283)</f>
        <v>216.22548814828301</v>
      </c>
      <c r="AH21" s="160">
        <f ca="1">IFERROR(__xludf.DUMMYFUNCTION("""COMPUTED_VALUE"""),220.779348178991)</f>
        <v>220.779348178991</v>
      </c>
      <c r="AI21" s="160">
        <f ca="1">IFERROR(__xludf.DUMMYFUNCTION("""COMPUTED_VALUE"""),223.345606194353)</f>
        <v>223.345606194353</v>
      </c>
      <c r="AJ21" s="160">
        <f ca="1">IFERROR(__xludf.DUMMYFUNCTION("""COMPUTED_VALUE"""),228.369239606543)</f>
        <v>228.369239606543</v>
      </c>
      <c r="AK21" s="160">
        <f ca="1">IFERROR(__xludf.DUMMYFUNCTION("""COMPUTED_VALUE"""),232.769765308976)</f>
        <v>232.76976530897599</v>
      </c>
      <c r="AL21" s="160">
        <f ca="1">IFERROR(__xludf.DUMMYFUNCTION("""COMPUTED_VALUE"""),237.12344011864)</f>
        <v>237.12344011863999</v>
      </c>
      <c r="AM21" s="160">
        <f ca="1">IFERROR(__xludf.DUMMYFUNCTION("""COMPUTED_VALUE"""),242.03009131972)</f>
        <v>242.03009131971999</v>
      </c>
      <c r="AN21" s="160">
        <f ca="1">IFERROR(__xludf.DUMMYFUNCTION("""COMPUTED_VALUE"""),246.898514800239)</f>
        <v>246.89851480023901</v>
      </c>
      <c r="AO21" s="160">
        <f ca="1">IFERROR(__xludf.DUMMYFUNCTION("""COMPUTED_VALUE"""),251.911262365292)</f>
        <v>251.911262365292</v>
      </c>
      <c r="AP21" s="160">
        <f ca="1">IFERROR(__xludf.DUMMYFUNCTION("""COMPUTED_VALUE"""),257.127172510167)</f>
        <v>257.12717251016699</v>
      </c>
      <c r="AQ21" s="160">
        <f ca="1">IFERROR(__xludf.DUMMYFUNCTION("""COMPUTED_VALUE"""),262.437750321678)</f>
        <v>262.43775032167798</v>
      </c>
      <c r="AR21" s="160">
        <f ca="1">IFERROR(__xludf.DUMMYFUNCTION("""COMPUTED_VALUE"""),267.884457254646)</f>
        <v>267.88445725464601</v>
      </c>
      <c r="AS21" s="160">
        <f ca="1">IFERROR(__xludf.DUMMYFUNCTION("""COMPUTED_VALUE"""),273.464682487143)</f>
        <v>273.46468248714302</v>
      </c>
      <c r="AT21" s="160">
        <f ca="1">IFERROR(__xludf.DUMMYFUNCTION("""COMPUTED_VALUE"""),279.156871453762)</f>
        <v>279.15687145376199</v>
      </c>
      <c r="AU21" s="160">
        <f ca="1">IFERROR(__xludf.DUMMYFUNCTION("""COMPUTED_VALUE"""),284.966463626354)</f>
        <v>284.96646362635403</v>
      </c>
      <c r="AV21" s="160">
        <f ca="1">IFERROR(__xludf.DUMMYFUNCTION("""COMPUTED_VALUE"""),290.887664864911)</f>
        <v>290.88766486491102</v>
      </c>
      <c r="AW21" s="160">
        <f ca="1">IFERROR(__xludf.DUMMYFUNCTION("""COMPUTED_VALUE"""),296.913720227877)</f>
        <v>296.91372022787698</v>
      </c>
      <c r="AX21" s="160">
        <f ca="1">IFERROR(__xludf.DUMMYFUNCTION("""COMPUTED_VALUE"""),303.042465886878)</f>
        <v>303.04246588687801</v>
      </c>
      <c r="AY21" s="160">
        <f ca="1">IFERROR(__xludf.DUMMYFUNCTION("""COMPUTED_VALUE"""),309.269367231225)</f>
        <v>309.26936723122498</v>
      </c>
      <c r="AZ21" s="160">
        <f ca="1">IFERROR(__xludf.DUMMYFUNCTION("""COMPUTED_VALUE"""),302.122838581202)</f>
        <v>302.12283858120202</v>
      </c>
      <c r="BA21" s="160">
        <f ca="1">IFERROR(__xludf.DUMMYFUNCTION("""COMPUTED_VALUE"""),306.635708891399)</f>
        <v>306.63570889139902</v>
      </c>
      <c r="BB21" s="160">
        <f ca="1">IFERROR(__xludf.DUMMYFUNCTION("""COMPUTED_VALUE"""),310.366850855143)</f>
        <v>310.36685085514301</v>
      </c>
      <c r="BC21" s="160">
        <f ca="1">IFERROR(__xludf.DUMMYFUNCTION("""COMPUTED_VALUE"""),313.021315516675)</f>
        <v>313.02131551667497</v>
      </c>
      <c r="BD21" s="160">
        <f ca="1">IFERROR(__xludf.DUMMYFUNCTION("""COMPUTED_VALUE"""),314.307988088699)</f>
        <v>314.30798808869901</v>
      </c>
      <c r="BE21" s="160">
        <f ca="1">IFERROR(__xludf.DUMMYFUNCTION("""COMPUTED_VALUE"""),317.7852849314)</f>
        <v>317.78528493139999</v>
      </c>
      <c r="BF21" s="160">
        <f ca="1">IFERROR(__xludf.DUMMYFUNCTION("""COMPUTED_VALUE"""),320.980553470292)</f>
        <v>320.98055347029202</v>
      </c>
      <c r="BG21" s="160">
        <f ca="1">IFERROR(__xludf.DUMMYFUNCTION("""COMPUTED_VALUE"""),324.024771003922)</f>
        <v>324.02477100392201</v>
      </c>
      <c r="BH21" s="160">
        <f ca="1">IFERROR(__xludf.DUMMYFUNCTION("""COMPUTED_VALUE"""),327.160120846279)</f>
        <v>327.16012084627903</v>
      </c>
      <c r="BI21" s="160">
        <f ca="1">IFERROR(__xludf.DUMMYFUNCTION("""COMPUTED_VALUE"""),330.768087995178)</f>
        <v>330.76808799517801</v>
      </c>
      <c r="BJ21" s="160">
        <f ca="1">IFERROR(__xludf.DUMMYFUNCTION("""COMPUTED_VALUE"""),334.400345116898)</f>
        <v>334.400345116898</v>
      </c>
      <c r="BK21" s="160">
        <f ca="1">IFERROR(__xludf.DUMMYFUNCTION("""COMPUTED_VALUE"""),338.137282932849)</f>
        <v>338.13728293284902</v>
      </c>
      <c r="BL21" s="160">
        <f ca="1">IFERROR(__xludf.DUMMYFUNCTION("""COMPUTED_VALUE"""),342.046068755841)</f>
        <v>342.04606875584102</v>
      </c>
      <c r="BM21" s="160">
        <f ca="1">IFERROR(__xludf.DUMMYFUNCTION("""COMPUTED_VALUE"""),346.148140538291)</f>
        <v>346.14814053829099</v>
      </c>
      <c r="BN21" s="160">
        <f ca="1">IFERROR(__xludf.DUMMYFUNCTION("""COMPUTED_VALUE"""),350.37088110549)</f>
        <v>350.37088110549001</v>
      </c>
      <c r="BO21" s="160">
        <f ca="1">IFERROR(__xludf.DUMMYFUNCTION("""COMPUTED_VALUE"""),354.739792812819)</f>
        <v>354.73979281281902</v>
      </c>
      <c r="BP21" s="160">
        <f ca="1">IFERROR(__xludf.DUMMYFUNCTION("""COMPUTED_VALUE"""),359.266028307373)</f>
        <v>359.26602830737301</v>
      </c>
      <c r="BQ21" s="160">
        <f ca="1">IFERROR(__xludf.DUMMYFUNCTION("""COMPUTED_VALUE"""),363.94609738903)</f>
        <v>363.94609738903</v>
      </c>
      <c r="BR21" s="160">
        <f ca="1">IFERROR(__xludf.DUMMYFUNCTION("""COMPUTED_VALUE"""),368.769987048734)</f>
        <v>368.76998704873398</v>
      </c>
      <c r="BS21" s="160">
        <f ca="1">IFERROR(__xludf.DUMMYFUNCTION("""COMPUTED_VALUE"""),373.744024425224)</f>
        <v>373.74402442522398</v>
      </c>
      <c r="BT21" s="160">
        <f ca="1">IFERROR(__xludf.DUMMYFUNCTION("""COMPUTED_VALUE"""),378.86951730537)</f>
        <v>378.86951730536998</v>
      </c>
      <c r="BU21" s="160">
        <f ca="1">IFERROR(__xludf.DUMMYFUNCTION("""COMPUTED_VALUE"""),384.145191547366)</f>
        <v>384.14519154736598</v>
      </c>
      <c r="BV21" s="160">
        <f ca="1">IFERROR(__xludf.DUMMYFUNCTION("""COMPUTED_VALUE"""),389.570341673632)</f>
        <v>389.57034167363202</v>
      </c>
      <c r="BW21" s="160">
        <f ca="1">IFERROR(__xludf.DUMMYFUNCTION("""COMPUTED_VALUE"""),395.146683522124)</f>
        <v>395.14668352212402</v>
      </c>
      <c r="BX21" s="160"/>
      <c r="BY21" s="160"/>
      <c r="BZ21" s="160"/>
      <c r="CA21" s="160"/>
      <c r="CB21" s="160"/>
      <c r="CC21" s="160"/>
      <c r="CD21" s="160"/>
      <c r="CE21" s="160"/>
      <c r="CF21" s="160"/>
      <c r="CG21" s="160"/>
    </row>
    <row r="22" spans="1:85" ht="15.75" customHeight="1" x14ac:dyDescent="0.2">
      <c r="A22" s="155" t="str">
        <f ca="1">IFERROR(__xludf.DUMMYFUNCTION("""COMPUTED_VALUE"""),"  MQL-to-SQL Conversion Rate")</f>
        <v xml:space="preserve">  MQL-to-SQL Conversion Rate</v>
      </c>
      <c r="B22" s="155" t="str">
        <f ca="1">IFERROR(__xludf.DUMMYFUNCTION("""COMPUTED_VALUE"""),"")</f>
        <v/>
      </c>
      <c r="C22" s="155" t="str">
        <f ca="1">IFERROR(__xludf.DUMMYFUNCTION("""COMPUTED_VALUE"""),"")</f>
        <v/>
      </c>
      <c r="D22" s="162">
        <f ca="1">IFERROR(__xludf.DUMMYFUNCTION("""COMPUTED_VALUE"""),0.228963524738172)</f>
        <v>0.228963524738172</v>
      </c>
      <c r="E22" s="162">
        <f ca="1">IFERROR(__xludf.DUMMYFUNCTION("""COMPUTED_VALUE"""),0.217586206896551)</f>
        <v>0.217586206896551</v>
      </c>
      <c r="F22" s="162">
        <f ca="1">IFERROR(__xludf.DUMMYFUNCTION("""COMPUTED_VALUE"""),0.254738942467575)</f>
        <v>0.254738942467575</v>
      </c>
      <c r="G22" s="162">
        <f ca="1">IFERROR(__xludf.DUMMYFUNCTION("""COMPUTED_VALUE"""),0.231473280188957)</f>
        <v>0.23147328018895699</v>
      </c>
      <c r="H22" s="162">
        <f ca="1">IFERROR(__xludf.DUMMYFUNCTION("""COMPUTED_VALUE"""),0.305579647296906)</f>
        <v>0.30557964729690601</v>
      </c>
      <c r="I22" s="162">
        <f ca="1">IFERROR(__xludf.DUMMYFUNCTION("""COMPUTED_VALUE"""),0.2174670315999)</f>
        <v>0.2174670315999</v>
      </c>
      <c r="J22" s="162">
        <f ca="1">IFERROR(__xludf.DUMMYFUNCTION("""COMPUTED_VALUE"""),0.205306736921339)</f>
        <v>0.20530673692133899</v>
      </c>
      <c r="K22" s="162">
        <f ca="1">IFERROR(__xludf.DUMMYFUNCTION("""COMPUTED_VALUE"""),0.227304227304227)</f>
        <v>0.227304227304227</v>
      </c>
      <c r="L22" s="162">
        <f ca="1">IFERROR(__xludf.DUMMYFUNCTION("""COMPUTED_VALUE"""),0.217645340344726)</f>
        <v>0.21764534034472599</v>
      </c>
      <c r="M22" s="162">
        <f ca="1">IFERROR(__xludf.DUMMYFUNCTION("""COMPUTED_VALUE"""),0.191795665634674)</f>
        <v>0.19179566563467401</v>
      </c>
      <c r="N22" s="162">
        <f ca="1">IFERROR(__xludf.DUMMYFUNCTION("""COMPUTED_VALUE"""),0.181465778316172)</f>
        <v>0.181465778316172</v>
      </c>
      <c r="O22" s="162">
        <f ca="1">IFERROR(__xludf.DUMMYFUNCTION("""COMPUTED_VALUE"""),0.2721174534869)</f>
        <v>0.27211745348689997</v>
      </c>
      <c r="P22" s="162">
        <f ca="1">IFERROR(__xludf.DUMMYFUNCTION("""COMPUTED_VALUE"""),0.262833870051146)</f>
        <v>0.262833870051146</v>
      </c>
      <c r="Q22" s="162">
        <f ca="1">IFERROR(__xludf.DUMMYFUNCTION("""COMPUTED_VALUE"""),0.238876184253511)</f>
        <v>0.23887618425351101</v>
      </c>
      <c r="R22" s="162">
        <f ca="1">IFERROR(__xludf.DUMMYFUNCTION("""COMPUTED_VALUE"""),0.236034546122748)</f>
        <v>0.23603454612274799</v>
      </c>
      <c r="S22" s="162">
        <f ca="1">IFERROR(__xludf.DUMMYFUNCTION("""COMPUTED_VALUE"""),0.177330280172413)</f>
        <v>0.17733028017241301</v>
      </c>
      <c r="T22" s="162">
        <f ca="1">IFERROR(__xludf.DUMMYFUNCTION("""COMPUTED_VALUE"""),0.270009903664355)</f>
        <v>0.27000990366435501</v>
      </c>
      <c r="U22" s="162">
        <f ca="1">IFERROR(__xludf.DUMMYFUNCTION("""COMPUTED_VALUE"""),0.186202090592334)</f>
        <v>0.186202090592334</v>
      </c>
      <c r="V22" s="162">
        <f ca="1">IFERROR(__xludf.DUMMYFUNCTION("""COMPUTED_VALUE"""),0.177833629620548)</f>
        <v>0.17783362962054799</v>
      </c>
      <c r="W22" s="162">
        <f ca="1">IFERROR(__xludf.DUMMYFUNCTION("""COMPUTED_VALUE"""),0.184877484488379)</f>
        <v>0.18487748448837901</v>
      </c>
      <c r="X22" s="162">
        <f ca="1">IFERROR(__xludf.DUMMYFUNCTION("""COMPUTED_VALUE"""),0.160450544532298)</f>
        <v>0.16045054453229801</v>
      </c>
      <c r="Y22" s="162">
        <f ca="1">IFERROR(__xludf.DUMMYFUNCTION("""COMPUTED_VALUE"""),0.173122430752337)</f>
        <v>0.17312243075233699</v>
      </c>
      <c r="Z22" s="162">
        <f ca="1">IFERROR(__xludf.DUMMYFUNCTION("""COMPUTED_VALUE"""),0.171419375647116)</f>
        <v>0.17141937564711601</v>
      </c>
      <c r="AA22" s="162">
        <f ca="1">IFERROR(__xludf.DUMMYFUNCTION("""COMPUTED_VALUE"""),0.168230905676932)</f>
        <v>0.168230905676932</v>
      </c>
      <c r="AB22" s="162">
        <f ca="1">IFERROR(__xludf.DUMMYFUNCTION("""COMPUTED_VALUE"""),0.170971183309123)</f>
        <v>0.170971183309123</v>
      </c>
      <c r="AC22" s="162">
        <f ca="1">IFERROR(__xludf.DUMMYFUNCTION("""COMPUTED_VALUE"""),0.170223476091772)</f>
        <v>0.17022347609177199</v>
      </c>
      <c r="AD22" s="162">
        <f ca="1">IFERROR(__xludf.DUMMYFUNCTION("""COMPUTED_VALUE"""),0.169731633803525)</f>
        <v>0.16973163380352499</v>
      </c>
      <c r="AE22" s="162">
        <f ca="1">IFERROR(__xludf.DUMMYFUNCTION("""COMPUTED_VALUE"""),0.170142844402214)</f>
        <v>0.170142844402214</v>
      </c>
      <c r="AF22" s="162">
        <f ca="1">IFERROR(__xludf.DUMMYFUNCTION("""COMPUTED_VALUE"""),0.169924610116414)</f>
        <v>0.16992461011641399</v>
      </c>
      <c r="AG22" s="162">
        <f ca="1">IFERROR(__xludf.DUMMYFUNCTION("""COMPUTED_VALUE"""),0.170053214798486)</f>
        <v>0.17005321479848601</v>
      </c>
      <c r="AH22" s="162">
        <f ca="1">IFERROR(__xludf.DUMMYFUNCTION("""COMPUTED_VALUE"""),0.170327059100541)</f>
        <v>0.170327059100541</v>
      </c>
      <c r="AI22" s="162">
        <f ca="1">IFERROR(__xludf.DUMMYFUNCTION("""COMPUTED_VALUE"""),0.17046751507838)</f>
        <v>0.17046751507838001</v>
      </c>
      <c r="AJ22" s="162">
        <f ca="1">IFERROR(__xludf.DUMMYFUNCTION("""COMPUTED_VALUE"""),0.170631507175813)</f>
        <v>0.17063150717581299</v>
      </c>
      <c r="AK22" s="162">
        <f ca="1">IFERROR(__xludf.DUMMYFUNCTION("""COMPUTED_VALUE"""),0.170807285531454)</f>
        <v>0.170807285531454</v>
      </c>
      <c r="AL22" s="162">
        <f ca="1">IFERROR(__xludf.DUMMYFUNCTION("""COMPUTED_VALUE"""),0.170950995902216)</f>
        <v>0.17095099590221599</v>
      </c>
      <c r="AM22" s="162">
        <f ca="1">IFERROR(__xludf.DUMMYFUNCTION("""COMPUTED_VALUE"""),0.171096129797024)</f>
        <v>0.17109612979702399</v>
      </c>
      <c r="AN22" s="162">
        <f ca="1">IFERROR(__xludf.DUMMYFUNCTION("""COMPUTED_VALUE"""),0.171235312017354)</f>
        <v>0.17123531201735401</v>
      </c>
      <c r="AO22" s="162">
        <f ca="1">IFERROR(__xludf.DUMMYFUNCTION("""COMPUTED_VALUE"""),0.171362916744517)</f>
        <v>0.17136291674451701</v>
      </c>
      <c r="AP22" s="162">
        <f ca="1">IFERROR(__xludf.DUMMYFUNCTION("""COMPUTED_VALUE"""),0.171485669074989)</f>
        <v>0.17148566907498899</v>
      </c>
      <c r="AQ22" s="162">
        <f ca="1">IFERROR(__xludf.DUMMYFUNCTION("""COMPUTED_VALUE"""),0.17160150033307)</f>
        <v>0.17160150033307001</v>
      </c>
      <c r="AR22" s="162">
        <f ca="1">IFERROR(__xludf.DUMMYFUNCTION("""COMPUTED_VALUE"""),0.171710164720574)</f>
        <v>0.17171016472057399</v>
      </c>
      <c r="AS22" s="162">
        <f ca="1">IFERROR(__xludf.DUMMYFUNCTION("""COMPUTED_VALUE"""),0.171813101138801)</f>
        <v>0.17181310113880099</v>
      </c>
      <c r="AT22" s="162">
        <f ca="1">IFERROR(__xludf.DUMMYFUNCTION("""COMPUTED_VALUE"""),0.171910024470508)</f>
        <v>0.17191002447050799</v>
      </c>
      <c r="AU22" s="162">
        <f ca="1">IFERROR(__xludf.DUMMYFUNCTION("""COMPUTED_VALUE"""),0.172001245000918)</f>
        <v>0.17200124500091801</v>
      </c>
      <c r="AV22" s="162">
        <f ca="1">IFERROR(__xludf.DUMMYFUNCTION("""COMPUTED_VALUE"""),0.172087232746974)</f>
        <v>0.17208723274697399</v>
      </c>
      <c r="AW22" s="162">
        <f ca="1">IFERROR(__xludf.DUMMYFUNCTION("""COMPUTED_VALUE"""),0.172168142799979)</f>
        <v>0.172168142799979</v>
      </c>
      <c r="AX22" s="162">
        <f ca="1">IFERROR(__xludf.DUMMYFUNCTION("""COMPUTED_VALUE"""),0.172244273274568)</f>
        <v>0.17224427327456801</v>
      </c>
      <c r="AY22" s="162">
        <f ca="1">IFERROR(__xludf.DUMMYFUNCTION("""COMPUTED_VALUE"""),0.172315912317163)</f>
        <v>0.17231591231716301</v>
      </c>
      <c r="AZ22" s="162">
        <f ca="1">IFERROR(__xludf.DUMMYFUNCTION("""COMPUTED_VALUE"""),0.172334890133403)</f>
        <v>0.172334890133403</v>
      </c>
      <c r="BA22" s="162">
        <f ca="1">IFERROR(__xludf.DUMMYFUNCTION("""COMPUTED_VALUE"""),0.172395380144436)</f>
        <v>0.17239538014443601</v>
      </c>
      <c r="BB22" s="162">
        <f ca="1">IFERROR(__xludf.DUMMYFUNCTION("""COMPUTED_VALUE"""),0.172449902107869)</f>
        <v>0.17244990210786901</v>
      </c>
      <c r="BC22" s="162">
        <f ca="1">IFERROR(__xludf.DUMMYFUNCTION("""COMPUTED_VALUE"""),0.172498214004715)</f>
        <v>0.17249821400471499</v>
      </c>
      <c r="BD22" s="162">
        <f ca="1">IFERROR(__xludf.DUMMYFUNCTION("""COMPUTED_VALUE"""),0.172540163513716)</f>
        <v>0.17254016351371601</v>
      </c>
      <c r="BE22" s="162">
        <f ca="1">IFERROR(__xludf.DUMMYFUNCTION("""COMPUTED_VALUE"""),0.17258645273619)</f>
        <v>0.17258645273619</v>
      </c>
      <c r="BF22" s="162">
        <f ca="1">IFERROR(__xludf.DUMMYFUNCTION("""COMPUTED_VALUE"""),0.172629623422005)</f>
        <v>0.172629623422005</v>
      </c>
      <c r="BG22" s="162">
        <f ca="1">IFERROR(__xludf.DUMMYFUNCTION("""COMPUTED_VALUE"""),0.172670256134748)</f>
        <v>0.17267025613474801</v>
      </c>
      <c r="BH22" s="162">
        <f ca="1">IFERROR(__xludf.DUMMYFUNCTION("""COMPUTED_VALUE"""),0.172709092761683)</f>
        <v>0.172709092761683</v>
      </c>
      <c r="BI22" s="162">
        <f ca="1">IFERROR(__xludf.DUMMYFUNCTION("""COMPUTED_VALUE"""),0.172747038060042)</f>
        <v>0.17274703806004199</v>
      </c>
      <c r="BJ22" s="162">
        <f ca="1">IFERROR(__xludf.DUMMYFUNCTION("""COMPUTED_VALUE"""),0.172783082003533)</f>
        <v>0.17278308200353301</v>
      </c>
      <c r="BK22" s="162">
        <f ca="1">IFERROR(__xludf.DUMMYFUNCTION("""COMPUTED_VALUE"""),0.172817476855977)</f>
        <v>0.17281747685597701</v>
      </c>
      <c r="BL22" s="162">
        <f ca="1">IFERROR(__xludf.DUMMYFUNCTION("""COMPUTED_VALUE"""),0.172850408399077)</f>
        <v>0.172850408399077</v>
      </c>
      <c r="BM22" s="162">
        <f ca="1">IFERROR(__xludf.DUMMYFUNCTION("""COMPUTED_VALUE"""),0.172881952829218)</f>
        <v>0.17288195282921801</v>
      </c>
      <c r="BN22" s="162">
        <f ca="1">IFERROR(__xludf.DUMMYFUNCTION("""COMPUTED_VALUE"""),0.172912027188614)</f>
        <v>0.17291202718861401</v>
      </c>
      <c r="BO22" s="162">
        <f ca="1">IFERROR(__xludf.DUMMYFUNCTION("""COMPUTED_VALUE"""),0.17294072677521)</f>
        <v>0.17294072677521</v>
      </c>
      <c r="BP22" s="162">
        <f ca="1">IFERROR(__xludf.DUMMYFUNCTION("""COMPUTED_VALUE"""),0.172968115836911)</f>
        <v>0.17296811583691099</v>
      </c>
      <c r="BQ22" s="162">
        <f ca="1">IFERROR(__xludf.DUMMYFUNCTION("""COMPUTED_VALUE"""),0.172994234865363)</f>
        <v>0.172994234865363</v>
      </c>
      <c r="BR22" s="162">
        <f ca="1">IFERROR(__xludf.DUMMYFUNCTION("""COMPUTED_VALUE"""),0.17301911726628)</f>
        <v>0.17301911726628</v>
      </c>
      <c r="BS22" s="162">
        <f ca="1">IFERROR(__xludf.DUMMYFUNCTION("""COMPUTED_VALUE"""),0.173042818096593)</f>
        <v>0.173042818096593</v>
      </c>
      <c r="BT22" s="162">
        <f ca="1">IFERROR(__xludf.DUMMYFUNCTION("""COMPUTED_VALUE"""),0.173065384257012)</f>
        <v>0.17306538425701201</v>
      </c>
      <c r="BU22" s="162">
        <f ca="1">IFERROR(__xludf.DUMMYFUNCTION("""COMPUTED_VALUE"""),0.173086858924343)</f>
        <v>0.173086858924343</v>
      </c>
      <c r="BV22" s="162">
        <f ca="1">IFERROR(__xludf.DUMMYFUNCTION("""COMPUTED_VALUE"""),0.173107285353144)</f>
        <v>0.17310728535314401</v>
      </c>
      <c r="BW22" s="162">
        <f ca="1">IFERROR(__xludf.DUMMYFUNCTION("""COMPUTED_VALUE"""),0.17312670820436)</f>
        <v>0.17312670820435999</v>
      </c>
      <c r="BX22" s="162"/>
      <c r="BY22" s="162"/>
      <c r="BZ22" s="162"/>
      <c r="CA22" s="162"/>
      <c r="CB22" s="162"/>
      <c r="CC22" s="162"/>
      <c r="CD22" s="162"/>
      <c r="CE22" s="162"/>
      <c r="CF22" s="162"/>
      <c r="CG22" s="162"/>
    </row>
    <row r="23" spans="1:85" ht="15.75" customHeight="1" x14ac:dyDescent="0.2">
      <c r="A23" s="155" t="str">
        <f ca="1">IFERROR(__xludf.DUMMYFUNCTION("""COMPUTED_VALUE"""),"Opportunities")</f>
        <v>Opportunities</v>
      </c>
      <c r="B23" s="155" t="str">
        <f ca="1">IFERROR(__xludf.DUMMYFUNCTION("""COMPUTED_VALUE"""),"")</f>
        <v/>
      </c>
      <c r="C23" s="155" t="str">
        <f ca="1">IFERROR(__xludf.DUMMYFUNCTION("""COMPUTED_VALUE"""),"")</f>
        <v/>
      </c>
      <c r="D23" s="155" t="str">
        <f ca="1">IFERROR(__xludf.DUMMYFUNCTION("""COMPUTED_VALUE"""),"")</f>
        <v/>
      </c>
      <c r="E23" s="155" t="str">
        <f ca="1">IFERROR(__xludf.DUMMYFUNCTION("""COMPUTED_VALUE"""),"")</f>
        <v/>
      </c>
      <c r="F23" s="155" t="str">
        <f ca="1">IFERROR(__xludf.DUMMYFUNCTION("""COMPUTED_VALUE"""),"")</f>
        <v/>
      </c>
      <c r="G23" s="155" t="str">
        <f ca="1">IFERROR(__xludf.DUMMYFUNCTION("""COMPUTED_VALUE"""),"")</f>
        <v/>
      </c>
      <c r="H23" s="155" t="str">
        <f ca="1">IFERROR(__xludf.DUMMYFUNCTION("""COMPUTED_VALUE"""),"")</f>
        <v/>
      </c>
      <c r="I23" s="155" t="str">
        <f ca="1">IFERROR(__xludf.DUMMYFUNCTION("""COMPUTED_VALUE"""),"")</f>
        <v/>
      </c>
      <c r="J23" s="155" t="str">
        <f ca="1">IFERROR(__xludf.DUMMYFUNCTION("""COMPUTED_VALUE"""),"")</f>
        <v/>
      </c>
      <c r="K23" s="155" t="str">
        <f ca="1">IFERROR(__xludf.DUMMYFUNCTION("""COMPUTED_VALUE"""),"")</f>
        <v/>
      </c>
      <c r="L23" s="155" t="str">
        <f ca="1">IFERROR(__xludf.DUMMYFUNCTION("""COMPUTED_VALUE"""),"")</f>
        <v/>
      </c>
      <c r="M23" s="155" t="str">
        <f ca="1">IFERROR(__xludf.DUMMYFUNCTION("""COMPUTED_VALUE"""),"")</f>
        <v/>
      </c>
      <c r="N23" s="155" t="str">
        <f ca="1">IFERROR(__xludf.DUMMYFUNCTION("""COMPUTED_VALUE"""),"")</f>
        <v/>
      </c>
      <c r="O23" s="155" t="str">
        <f ca="1">IFERROR(__xludf.DUMMYFUNCTION("""COMPUTED_VALUE"""),"")</f>
        <v/>
      </c>
      <c r="P23" s="155" t="str">
        <f ca="1">IFERROR(__xludf.DUMMYFUNCTION("""COMPUTED_VALUE"""),"")</f>
        <v/>
      </c>
      <c r="Q23" s="155" t="str">
        <f ca="1">IFERROR(__xludf.DUMMYFUNCTION("""COMPUTED_VALUE"""),"")</f>
        <v/>
      </c>
      <c r="R23" s="155" t="str">
        <f ca="1">IFERROR(__xludf.DUMMYFUNCTION("""COMPUTED_VALUE"""),"")</f>
        <v/>
      </c>
      <c r="S23" s="155" t="str">
        <f ca="1">IFERROR(__xludf.DUMMYFUNCTION("""COMPUTED_VALUE"""),"")</f>
        <v/>
      </c>
      <c r="T23" s="155" t="str">
        <f ca="1">IFERROR(__xludf.DUMMYFUNCTION("""COMPUTED_VALUE"""),"")</f>
        <v/>
      </c>
      <c r="U23" s="155" t="str">
        <f ca="1">IFERROR(__xludf.DUMMYFUNCTION("""COMPUTED_VALUE"""),"")</f>
        <v/>
      </c>
      <c r="V23" s="155" t="str">
        <f ca="1">IFERROR(__xludf.DUMMYFUNCTION("""COMPUTED_VALUE"""),"")</f>
        <v/>
      </c>
      <c r="W23" s="155" t="str">
        <f ca="1">IFERROR(__xludf.DUMMYFUNCTION("""COMPUTED_VALUE"""),"")</f>
        <v/>
      </c>
      <c r="X23" s="155" t="str">
        <f ca="1">IFERROR(__xludf.DUMMYFUNCTION("""COMPUTED_VALUE"""),"")</f>
        <v/>
      </c>
      <c r="Y23" s="155" t="str">
        <f ca="1">IFERROR(__xludf.DUMMYFUNCTION("""COMPUTED_VALUE"""),"")</f>
        <v/>
      </c>
      <c r="Z23" s="155" t="str">
        <f ca="1">IFERROR(__xludf.DUMMYFUNCTION("""COMPUTED_VALUE"""),"")</f>
        <v/>
      </c>
      <c r="AA23" s="155" t="str">
        <f ca="1">IFERROR(__xludf.DUMMYFUNCTION("""COMPUTED_VALUE"""),"")</f>
        <v/>
      </c>
      <c r="AB23" s="155" t="str">
        <f ca="1">IFERROR(__xludf.DUMMYFUNCTION("""COMPUTED_VALUE"""),"")</f>
        <v/>
      </c>
      <c r="AC23" s="155" t="str">
        <f ca="1">IFERROR(__xludf.DUMMYFUNCTION("""COMPUTED_VALUE"""),"")</f>
        <v/>
      </c>
      <c r="AD23" s="155" t="str">
        <f ca="1">IFERROR(__xludf.DUMMYFUNCTION("""COMPUTED_VALUE"""),"")</f>
        <v/>
      </c>
      <c r="AE23" s="155" t="str">
        <f ca="1">IFERROR(__xludf.DUMMYFUNCTION("""COMPUTED_VALUE"""),"")</f>
        <v/>
      </c>
      <c r="AF23" s="155" t="str">
        <f ca="1">IFERROR(__xludf.DUMMYFUNCTION("""COMPUTED_VALUE"""),"")</f>
        <v/>
      </c>
      <c r="AG23" s="155" t="str">
        <f ca="1">IFERROR(__xludf.DUMMYFUNCTION("""COMPUTED_VALUE"""),"")</f>
        <v/>
      </c>
      <c r="AH23" s="155" t="str">
        <f ca="1">IFERROR(__xludf.DUMMYFUNCTION("""COMPUTED_VALUE"""),"")</f>
        <v/>
      </c>
      <c r="AI23" s="155" t="str">
        <f ca="1">IFERROR(__xludf.DUMMYFUNCTION("""COMPUTED_VALUE"""),"")</f>
        <v/>
      </c>
      <c r="AJ23" s="155" t="str">
        <f ca="1">IFERROR(__xludf.DUMMYFUNCTION("""COMPUTED_VALUE"""),"")</f>
        <v/>
      </c>
      <c r="AK23" s="155" t="str">
        <f ca="1">IFERROR(__xludf.DUMMYFUNCTION("""COMPUTED_VALUE"""),"")</f>
        <v/>
      </c>
      <c r="AL23" s="155" t="str">
        <f ca="1">IFERROR(__xludf.DUMMYFUNCTION("""COMPUTED_VALUE"""),"")</f>
        <v/>
      </c>
      <c r="AM23" s="155" t="str">
        <f ca="1">IFERROR(__xludf.DUMMYFUNCTION("""COMPUTED_VALUE"""),"")</f>
        <v/>
      </c>
      <c r="AN23" s="155" t="str">
        <f ca="1">IFERROR(__xludf.DUMMYFUNCTION("""COMPUTED_VALUE"""),"")</f>
        <v/>
      </c>
      <c r="AO23" s="155" t="str">
        <f ca="1">IFERROR(__xludf.DUMMYFUNCTION("""COMPUTED_VALUE"""),"")</f>
        <v/>
      </c>
      <c r="AP23" s="155" t="str">
        <f ca="1">IFERROR(__xludf.DUMMYFUNCTION("""COMPUTED_VALUE"""),"")</f>
        <v/>
      </c>
      <c r="AQ23" s="155" t="str">
        <f ca="1">IFERROR(__xludf.DUMMYFUNCTION("""COMPUTED_VALUE"""),"")</f>
        <v/>
      </c>
      <c r="AR23" s="155" t="str">
        <f ca="1">IFERROR(__xludf.DUMMYFUNCTION("""COMPUTED_VALUE"""),"")</f>
        <v/>
      </c>
      <c r="AS23" s="155" t="str">
        <f ca="1">IFERROR(__xludf.DUMMYFUNCTION("""COMPUTED_VALUE"""),"")</f>
        <v/>
      </c>
      <c r="AT23" s="155" t="str">
        <f ca="1">IFERROR(__xludf.DUMMYFUNCTION("""COMPUTED_VALUE"""),"")</f>
        <v/>
      </c>
      <c r="AU23" s="155" t="str">
        <f ca="1">IFERROR(__xludf.DUMMYFUNCTION("""COMPUTED_VALUE"""),"")</f>
        <v/>
      </c>
      <c r="AV23" s="155" t="str">
        <f ca="1">IFERROR(__xludf.DUMMYFUNCTION("""COMPUTED_VALUE"""),"")</f>
        <v/>
      </c>
      <c r="AW23" s="155" t="str">
        <f ca="1">IFERROR(__xludf.DUMMYFUNCTION("""COMPUTED_VALUE"""),"")</f>
        <v/>
      </c>
      <c r="AX23" s="155" t="str">
        <f ca="1">IFERROR(__xludf.DUMMYFUNCTION("""COMPUTED_VALUE"""),"")</f>
        <v/>
      </c>
      <c r="AY23" s="155" t="str">
        <f ca="1">IFERROR(__xludf.DUMMYFUNCTION("""COMPUTED_VALUE"""),"")</f>
        <v/>
      </c>
      <c r="AZ23" s="155" t="str">
        <f ca="1">IFERROR(__xludf.DUMMYFUNCTION("""COMPUTED_VALUE"""),"")</f>
        <v/>
      </c>
      <c r="BA23" s="155" t="str">
        <f ca="1">IFERROR(__xludf.DUMMYFUNCTION("""COMPUTED_VALUE"""),"")</f>
        <v/>
      </c>
      <c r="BB23" s="155" t="str">
        <f ca="1">IFERROR(__xludf.DUMMYFUNCTION("""COMPUTED_VALUE"""),"")</f>
        <v/>
      </c>
      <c r="BC23" s="155" t="str">
        <f ca="1">IFERROR(__xludf.DUMMYFUNCTION("""COMPUTED_VALUE"""),"")</f>
        <v/>
      </c>
      <c r="BD23" s="155" t="str">
        <f ca="1">IFERROR(__xludf.DUMMYFUNCTION("""COMPUTED_VALUE"""),"")</f>
        <v/>
      </c>
      <c r="BE23" s="155" t="str">
        <f ca="1">IFERROR(__xludf.DUMMYFUNCTION("""COMPUTED_VALUE"""),"")</f>
        <v/>
      </c>
      <c r="BF23" s="155" t="str">
        <f ca="1">IFERROR(__xludf.DUMMYFUNCTION("""COMPUTED_VALUE"""),"")</f>
        <v/>
      </c>
      <c r="BG23" s="155" t="str">
        <f ca="1">IFERROR(__xludf.DUMMYFUNCTION("""COMPUTED_VALUE"""),"")</f>
        <v/>
      </c>
      <c r="BH23" s="155" t="str">
        <f ca="1">IFERROR(__xludf.DUMMYFUNCTION("""COMPUTED_VALUE"""),"")</f>
        <v/>
      </c>
      <c r="BI23" s="155" t="str">
        <f ca="1">IFERROR(__xludf.DUMMYFUNCTION("""COMPUTED_VALUE"""),"")</f>
        <v/>
      </c>
      <c r="BJ23" s="155" t="str">
        <f ca="1">IFERROR(__xludf.DUMMYFUNCTION("""COMPUTED_VALUE"""),"")</f>
        <v/>
      </c>
      <c r="BK23" s="155" t="str">
        <f ca="1">IFERROR(__xludf.DUMMYFUNCTION("""COMPUTED_VALUE"""),"")</f>
        <v/>
      </c>
      <c r="BL23" s="155" t="str">
        <f ca="1">IFERROR(__xludf.DUMMYFUNCTION("""COMPUTED_VALUE"""),"")</f>
        <v/>
      </c>
      <c r="BM23" s="155" t="str">
        <f ca="1">IFERROR(__xludf.DUMMYFUNCTION("""COMPUTED_VALUE"""),"")</f>
        <v/>
      </c>
      <c r="BN23" s="155" t="str">
        <f ca="1">IFERROR(__xludf.DUMMYFUNCTION("""COMPUTED_VALUE"""),"")</f>
        <v/>
      </c>
      <c r="BO23" s="155" t="str">
        <f ca="1">IFERROR(__xludf.DUMMYFUNCTION("""COMPUTED_VALUE"""),"")</f>
        <v/>
      </c>
      <c r="BP23" s="155" t="str">
        <f ca="1">IFERROR(__xludf.DUMMYFUNCTION("""COMPUTED_VALUE"""),"")</f>
        <v/>
      </c>
      <c r="BQ23" s="155" t="str">
        <f ca="1">IFERROR(__xludf.DUMMYFUNCTION("""COMPUTED_VALUE"""),"")</f>
        <v/>
      </c>
      <c r="BR23" s="155" t="str">
        <f ca="1">IFERROR(__xludf.DUMMYFUNCTION("""COMPUTED_VALUE"""),"")</f>
        <v/>
      </c>
      <c r="BS23" s="155" t="str">
        <f ca="1">IFERROR(__xludf.DUMMYFUNCTION("""COMPUTED_VALUE"""),"")</f>
        <v/>
      </c>
      <c r="BT23" s="155" t="str">
        <f ca="1">IFERROR(__xludf.DUMMYFUNCTION("""COMPUTED_VALUE"""),"")</f>
        <v/>
      </c>
      <c r="BU23" s="155" t="str">
        <f ca="1">IFERROR(__xludf.DUMMYFUNCTION("""COMPUTED_VALUE"""),"")</f>
        <v/>
      </c>
      <c r="BV23" s="155" t="str">
        <f ca="1">IFERROR(__xludf.DUMMYFUNCTION("""COMPUTED_VALUE"""),"")</f>
        <v/>
      </c>
      <c r="BW23" s="155" t="str">
        <f ca="1">IFERROR(__xludf.DUMMYFUNCTION("""COMPUTED_VALUE"""),"")</f>
        <v/>
      </c>
      <c r="BX23" s="155"/>
      <c r="BY23" s="155"/>
      <c r="BZ23" s="155"/>
      <c r="CA23" s="155"/>
      <c r="CB23" s="155"/>
      <c r="CC23" s="155"/>
      <c r="CD23" s="155"/>
      <c r="CE23" s="155"/>
      <c r="CF23" s="155"/>
      <c r="CG23" s="155"/>
    </row>
    <row r="24" spans="1:85" ht="15.75" customHeight="1" x14ac:dyDescent="0.2">
      <c r="A24" s="155" t="str">
        <f ca="1">IFERROR(__xludf.DUMMYFUNCTION("""COMPUTED_VALUE"""),"  Organic")</f>
        <v xml:space="preserve">  Organic</v>
      </c>
      <c r="B24" s="155" t="str">
        <f ca="1">IFERROR(__xludf.DUMMYFUNCTION("""COMPUTED_VALUE"""),"")</f>
        <v/>
      </c>
      <c r="C24" s="155" t="str">
        <f ca="1">IFERROR(__xludf.DUMMYFUNCTION("""COMPUTED_VALUE"""),"")</f>
        <v/>
      </c>
      <c r="D24" s="119">
        <f ca="1">IFERROR(__xludf.DUMMYFUNCTION("""COMPUTED_VALUE"""),15)</f>
        <v>15</v>
      </c>
      <c r="E24" s="119">
        <f ca="1">IFERROR(__xludf.DUMMYFUNCTION("""COMPUTED_VALUE"""),30)</f>
        <v>30</v>
      </c>
      <c r="F24" s="119">
        <f ca="1">IFERROR(__xludf.DUMMYFUNCTION("""COMPUTED_VALUE"""),33)</f>
        <v>33</v>
      </c>
      <c r="G24" s="119">
        <f ca="1">IFERROR(__xludf.DUMMYFUNCTION("""COMPUTED_VALUE"""),38)</f>
        <v>38</v>
      </c>
      <c r="H24" s="119">
        <f ca="1">IFERROR(__xludf.DUMMYFUNCTION("""COMPUTED_VALUE"""),30)</f>
        <v>30</v>
      </c>
      <c r="I24" s="119">
        <f ca="1">IFERROR(__xludf.DUMMYFUNCTION("""COMPUTED_VALUE"""),31)</f>
        <v>31</v>
      </c>
      <c r="J24" s="119">
        <f ca="1">IFERROR(__xludf.DUMMYFUNCTION("""COMPUTED_VALUE"""),47)</f>
        <v>47</v>
      </c>
      <c r="K24" s="119">
        <f ca="1">IFERROR(__xludf.DUMMYFUNCTION("""COMPUTED_VALUE"""),38)</f>
        <v>38</v>
      </c>
      <c r="L24" s="119">
        <f ca="1">IFERROR(__xludf.DUMMYFUNCTION("""COMPUTED_VALUE"""),46)</f>
        <v>46</v>
      </c>
      <c r="M24" s="119">
        <f ca="1">IFERROR(__xludf.DUMMYFUNCTION("""COMPUTED_VALUE"""),58)</f>
        <v>58</v>
      </c>
      <c r="N24" s="119">
        <f ca="1">IFERROR(__xludf.DUMMYFUNCTION("""COMPUTED_VALUE"""),73)</f>
        <v>73</v>
      </c>
      <c r="O24" s="119">
        <f ca="1">IFERROR(__xludf.DUMMYFUNCTION("""COMPUTED_VALUE"""),109)</f>
        <v>109</v>
      </c>
      <c r="P24" s="119">
        <f ca="1">IFERROR(__xludf.DUMMYFUNCTION("""COMPUTED_VALUE"""),150)</f>
        <v>150</v>
      </c>
      <c r="Q24" s="119">
        <f ca="1">IFERROR(__xludf.DUMMYFUNCTION("""COMPUTED_VALUE"""),153)</f>
        <v>153</v>
      </c>
      <c r="R24" s="119">
        <f ca="1">IFERROR(__xludf.DUMMYFUNCTION("""COMPUTED_VALUE"""),108)</f>
        <v>108</v>
      </c>
      <c r="S24" s="119">
        <f ca="1">IFERROR(__xludf.DUMMYFUNCTION("""COMPUTED_VALUE"""),127)</f>
        <v>127</v>
      </c>
      <c r="T24" s="119">
        <f ca="1">IFERROR(__xludf.DUMMYFUNCTION("""COMPUTED_VALUE"""),96)</f>
        <v>96</v>
      </c>
      <c r="U24" s="119">
        <f ca="1">IFERROR(__xludf.DUMMYFUNCTION("""COMPUTED_VALUE"""),114)</f>
        <v>114</v>
      </c>
      <c r="V24" s="119">
        <f ca="1">IFERROR(__xludf.DUMMYFUNCTION("""COMPUTED_VALUE"""),124)</f>
        <v>124</v>
      </c>
      <c r="W24" s="119">
        <f ca="1">IFERROR(__xludf.DUMMYFUNCTION("""COMPUTED_VALUE"""),80)</f>
        <v>80</v>
      </c>
      <c r="X24" s="119">
        <f ca="1">IFERROR(__xludf.DUMMYFUNCTION("""COMPUTED_VALUE"""),103)</f>
        <v>103</v>
      </c>
      <c r="Y24" s="119">
        <f ca="1">IFERROR(__xludf.DUMMYFUNCTION("""COMPUTED_VALUE"""),108.403768017676)</f>
        <v>108.403768017676</v>
      </c>
      <c r="Z24" s="119">
        <f ca="1">IFERROR(__xludf.DUMMYFUNCTION("""COMPUTED_VALUE"""),102.873891645036)</f>
        <v>102.873891645036</v>
      </c>
      <c r="AA24" s="119">
        <f ca="1">IFERROR(__xludf.DUMMYFUNCTION("""COMPUTED_VALUE"""),108.53331638088)</f>
        <v>108.53331638088</v>
      </c>
      <c r="AB24" s="119">
        <f ca="1">IFERROR(__xludf.DUMMYFUNCTION("""COMPUTED_VALUE"""),110.444203645492)</f>
        <v>110.444203645492</v>
      </c>
      <c r="AC24" s="119">
        <f ca="1">IFERROR(__xludf.DUMMYFUNCTION("""COMPUTED_VALUE"""),111.148852031211)</f>
        <v>111.14885203121101</v>
      </c>
      <c r="AD24" s="119">
        <f ca="1">IFERROR(__xludf.DUMMYFUNCTION("""COMPUTED_VALUE"""),114.006544476152)</f>
        <v>114.006544476152</v>
      </c>
      <c r="AE24" s="119">
        <f ca="1">IFERROR(__xludf.DUMMYFUNCTION("""COMPUTED_VALUE"""),115.896680724227)</f>
        <v>115.896680724227</v>
      </c>
      <c r="AF24" s="119">
        <f ca="1">IFERROR(__xludf.DUMMYFUNCTION("""COMPUTED_VALUE"""),104.377531119429)</f>
        <v>104.37753111942899</v>
      </c>
      <c r="AG24" s="119">
        <f ca="1">IFERROR(__xludf.DUMMYFUNCTION("""COMPUTED_VALUE"""),102.809136819178)</f>
        <v>102.80913681917799</v>
      </c>
      <c r="AH24" s="119">
        <f ca="1">IFERROR(__xludf.DUMMYFUNCTION("""COMPUTED_VALUE"""),99.3653375753939)</f>
        <v>99.365337575393895</v>
      </c>
      <c r="AI24" s="119">
        <f ca="1">IFERROR(__xludf.DUMMYFUNCTION("""COMPUTED_VALUE"""),94.2810690751537)</f>
        <v>94.281069075153695</v>
      </c>
      <c r="AJ24" s="119">
        <f ca="1">IFERROR(__xludf.DUMMYFUNCTION("""COMPUTED_VALUE"""),91.1758692451446)</f>
        <v>91.175869245144597</v>
      </c>
      <c r="AK24" s="119">
        <f ca="1">IFERROR(__xludf.DUMMYFUNCTION("""COMPUTED_VALUE"""),87.5980198623678)</f>
        <v>87.598019862367806</v>
      </c>
      <c r="AL24" s="119">
        <f ca="1">IFERROR(__xludf.DUMMYFUNCTION("""COMPUTED_VALUE"""),83.9789429221571)</f>
        <v>83.978942922157103</v>
      </c>
      <c r="AM24" s="119">
        <f ca="1">IFERROR(__xludf.DUMMYFUNCTION("""COMPUTED_VALUE"""),80.8104904247642)</f>
        <v>80.810490424764197</v>
      </c>
      <c r="AN24" s="119">
        <f ca="1">IFERROR(__xludf.DUMMYFUNCTION("""COMPUTED_VALUE"""),77.6225843632272)</f>
        <v>77.622584363227205</v>
      </c>
      <c r="AO24" s="119">
        <f ca="1">IFERROR(__xludf.DUMMYFUNCTION("""COMPUTED_VALUE"""),74.5546066418866)</f>
        <v>74.554606641886593</v>
      </c>
      <c r="AP24" s="119">
        <f ca="1">IFERROR(__xludf.DUMMYFUNCTION("""COMPUTED_VALUE"""),71.6561212826478)</f>
        <v>71.656121282647803</v>
      </c>
      <c r="AQ24" s="119">
        <f ca="1">IFERROR(__xludf.DUMMYFUNCTION("""COMPUTED_VALUE"""),68.8406651972107)</f>
        <v>68.840665197210697</v>
      </c>
      <c r="AR24" s="119">
        <f ca="1">IFERROR(__xludf.DUMMYFUNCTION("""COMPUTED_VALUE"""),66.1397573166201)</f>
        <v>66.139757316620106</v>
      </c>
      <c r="AS24" s="119">
        <f ca="1">IFERROR(__xludf.DUMMYFUNCTION("""COMPUTED_VALUE"""),63.5517429627025)</f>
        <v>63.551742962702498</v>
      </c>
      <c r="AT24" s="119">
        <f ca="1">IFERROR(__xludf.DUMMYFUNCTION("""COMPUTED_VALUE"""),61.0592149790321)</f>
        <v>61.059214979032099</v>
      </c>
      <c r="AU24" s="119">
        <f ca="1">IFERROR(__xludf.DUMMYFUNCTION("""COMPUTED_VALUE"""),58.6660045862478)</f>
        <v>58.666004586247801</v>
      </c>
      <c r="AV24" s="119">
        <f ca="1">IFERROR(__xludf.DUMMYFUNCTION("""COMPUTED_VALUE"""),56.3674275593536)</f>
        <v>56.367427559353601</v>
      </c>
      <c r="AW24" s="119">
        <f ca="1">IFERROR(__xludf.DUMMYFUNCTION("""COMPUTED_VALUE"""),54.1578679263474)</f>
        <v>54.1578679263474</v>
      </c>
      <c r="AX24" s="119">
        <f ca="1">IFERROR(__xludf.DUMMYFUNCTION("""COMPUTED_VALUE"""),52.0353361324523)</f>
        <v>52.035336132452301</v>
      </c>
      <c r="AY24" s="119">
        <f ca="1">IFERROR(__xludf.DUMMYFUNCTION("""COMPUTED_VALUE"""),49.9960524244284)</f>
        <v>49.996052424428399</v>
      </c>
      <c r="AZ24" s="119">
        <f ca="1">IFERROR(__xludf.DUMMYFUNCTION("""COMPUTED_VALUE"""),48.0365152222745)</f>
        <v>48.036515222274502</v>
      </c>
      <c r="BA24" s="119">
        <f ca="1">IFERROR(__xludf.DUMMYFUNCTION("""COMPUTED_VALUE"""),46.1538732341446)</f>
        <v>46.153873234144598</v>
      </c>
      <c r="BB24" s="119">
        <f ca="1">IFERROR(__xludf.DUMMYFUNCTION("""COMPUTED_VALUE"""),44.3450101381471)</f>
        <v>44.345010138147103</v>
      </c>
      <c r="BC24" s="119">
        <f ca="1">IFERROR(__xludf.DUMMYFUNCTION("""COMPUTED_VALUE"""),42.6070136528651)</f>
        <v>42.607013652865099</v>
      </c>
      <c r="BD24" s="119">
        <f ca="1">IFERROR(__xludf.DUMMYFUNCTION("""COMPUTED_VALUE"""),40.9371527375831)</f>
        <v>40.937152737583098</v>
      </c>
      <c r="BE24" s="119">
        <f ca="1">IFERROR(__xludf.DUMMYFUNCTION("""COMPUTED_VALUE"""),39.3327333352131)</f>
        <v>39.332733335213099</v>
      </c>
      <c r="BF24" s="119">
        <f ca="1">IFERROR(__xludf.DUMMYFUNCTION("""COMPUTED_VALUE"""),37.7911912575847)</f>
        <v>37.7911912575847</v>
      </c>
      <c r="BG24" s="119">
        <f ca="1">IFERROR(__xludf.DUMMYFUNCTION("""COMPUTED_VALUE"""),36.3100693737405)</f>
        <v>36.310069373740497</v>
      </c>
      <c r="BH24" s="119">
        <f ca="1">IFERROR(__xludf.DUMMYFUNCTION("""COMPUTED_VALUE"""),34.8869947945627)</f>
        <v>34.886994794562703</v>
      </c>
      <c r="BI24" s="119">
        <f ca="1">IFERROR(__xludf.DUMMYFUNCTION("""COMPUTED_VALUE"""),33.5196934071902)</f>
        <v>33.519693407190204</v>
      </c>
      <c r="BJ24" s="119">
        <f ca="1">IFERROR(__xludf.DUMMYFUNCTION("""COMPUTED_VALUE"""),32.2059803123691)</f>
        <v>32.2059803123691</v>
      </c>
      <c r="BK24" s="119">
        <f ca="1">IFERROR(__xludf.DUMMYFUNCTION("""COMPUTED_VALUE"""),30.943754336594)</f>
        <v>30.943754336594001</v>
      </c>
      <c r="BL24" s="119">
        <f ca="1">IFERROR(__xludf.DUMMYFUNCTION("""COMPUTED_VALUE"""),29.730997873382)</f>
        <v>29.730997873382002</v>
      </c>
      <c r="BM24" s="119">
        <f ca="1">IFERROR(__xludf.DUMMYFUNCTION("""COMPUTED_VALUE"""),28.5657722056238)</f>
        <v>28.565772205623801</v>
      </c>
      <c r="BN24" s="119">
        <f ca="1">IFERROR(__xludf.DUMMYFUNCTION("""COMPUTED_VALUE"""),27.446214330331)</f>
        <v>27.446214330330999</v>
      </c>
      <c r="BO24" s="119">
        <f ca="1">IFERROR(__xludf.DUMMYFUNCTION("""COMPUTED_VALUE"""),26.3705344946349)</f>
        <v>26.370534494634899</v>
      </c>
      <c r="BP24" s="119">
        <f ca="1">IFERROR(__xludf.DUMMYFUNCTION("""COMPUTED_VALUE"""),25.3370130227889)</f>
        <v>25.337013022788899</v>
      </c>
      <c r="BQ24" s="119">
        <f ca="1">IFERROR(__xludf.DUMMYFUNCTION("""COMPUTED_VALUE"""),24.3439976059317)</f>
        <v>24.343997605931701</v>
      </c>
      <c r="BR24" s="119">
        <f ca="1">IFERROR(__xludf.DUMMYFUNCTION("""COMPUTED_VALUE"""),23.3899007348681)</f>
        <v>23.3899007348681</v>
      </c>
      <c r="BS24" s="119">
        <f ca="1">IFERROR(__xludf.DUMMYFUNCTION("""COMPUTED_VALUE"""),22.4731971011042)</f>
        <v>22.473197101104201</v>
      </c>
      <c r="BT24" s="119">
        <f ca="1">IFERROR(__xludf.DUMMYFUNCTION("""COMPUTED_VALUE"""),21.5924211744285)</f>
        <v>21.592421174428502</v>
      </c>
      <c r="BU24" s="119">
        <f ca="1">IFERROR(__xludf.DUMMYFUNCTION("""COMPUTED_VALUE"""),20.7461648690126)</f>
        <v>20.746164869012599</v>
      </c>
      <c r="BV24" s="119">
        <f ca="1">IFERROR(__xludf.DUMMYFUNCTION("""COMPUTED_VALUE"""),19.9330752812695)</f>
        <v>19.933075281269499</v>
      </c>
      <c r="BW24" s="119">
        <f ca="1">IFERROR(__xludf.DUMMYFUNCTION("""COMPUTED_VALUE"""),19.1518525313039)</f>
        <v>19.151852531303899</v>
      </c>
      <c r="BX24" s="119"/>
      <c r="BY24" s="119"/>
      <c r="BZ24" s="119"/>
      <c r="CA24" s="119"/>
      <c r="CB24" s="119"/>
      <c r="CC24" s="119"/>
      <c r="CD24" s="119"/>
      <c r="CE24" s="119"/>
      <c r="CF24" s="119"/>
      <c r="CG24" s="119"/>
    </row>
    <row r="25" spans="1:85" ht="15.75" customHeight="1" x14ac:dyDescent="0.2">
      <c r="A25" s="157" t="str">
        <f ca="1">IFERROR(__xludf.DUMMYFUNCTION("""COMPUTED_VALUE"""),"  Adwords")</f>
        <v xml:space="preserve">  Adwords</v>
      </c>
      <c r="B25" s="157" t="str">
        <f ca="1">IFERROR(__xludf.DUMMYFUNCTION("""COMPUTED_VALUE"""),"")</f>
        <v/>
      </c>
      <c r="C25" s="157" t="str">
        <f ca="1">IFERROR(__xludf.DUMMYFUNCTION("""COMPUTED_VALUE"""),"")</f>
        <v/>
      </c>
      <c r="D25" s="158">
        <f ca="1">IFERROR(__xludf.DUMMYFUNCTION("""COMPUTED_VALUE"""),11.4)</f>
        <v>11.4</v>
      </c>
      <c r="E25" s="158">
        <f ca="1">IFERROR(__xludf.DUMMYFUNCTION("""COMPUTED_VALUE"""),27.5999999999999)</f>
        <v>27.599999999999898</v>
      </c>
      <c r="F25" s="158">
        <f ca="1">IFERROR(__xludf.DUMMYFUNCTION("""COMPUTED_VALUE"""),24.5999999999999)</f>
        <v>24.599999999999898</v>
      </c>
      <c r="G25" s="158">
        <f ca="1">IFERROR(__xludf.DUMMYFUNCTION("""COMPUTED_VALUE"""),30.9)</f>
        <v>30.9</v>
      </c>
      <c r="H25" s="158">
        <f ca="1">IFERROR(__xludf.DUMMYFUNCTION("""COMPUTED_VALUE"""),24.3)</f>
        <v>24.3</v>
      </c>
      <c r="I25" s="158">
        <f ca="1">IFERROR(__xludf.DUMMYFUNCTION("""COMPUTED_VALUE"""),27)</f>
        <v>27</v>
      </c>
      <c r="J25" s="158">
        <f ca="1">IFERROR(__xludf.DUMMYFUNCTION("""COMPUTED_VALUE"""),36.3)</f>
        <v>36.299999999999997</v>
      </c>
      <c r="K25" s="158">
        <f ca="1">IFERROR(__xludf.DUMMYFUNCTION("""COMPUTED_VALUE"""),32.6999999999999)</f>
        <v>32.699999999999903</v>
      </c>
      <c r="L25" s="158">
        <f ca="1">IFERROR(__xludf.DUMMYFUNCTION("""COMPUTED_VALUE"""),44.1)</f>
        <v>44.1</v>
      </c>
      <c r="M25" s="158">
        <f ca="1">IFERROR(__xludf.DUMMYFUNCTION("""COMPUTED_VALUE"""),50.1)</f>
        <v>50.1</v>
      </c>
      <c r="N25" s="158">
        <f ca="1">IFERROR(__xludf.DUMMYFUNCTION("""COMPUTED_VALUE"""),59.6999999999999)</f>
        <v>59.699999999999903</v>
      </c>
      <c r="O25" s="158">
        <f ca="1">IFERROR(__xludf.DUMMYFUNCTION("""COMPUTED_VALUE"""),78.8999999999999)</f>
        <v>78.899999999999906</v>
      </c>
      <c r="P25" s="158">
        <f ca="1">IFERROR(__xludf.DUMMYFUNCTION("""COMPUTED_VALUE"""),124.5)</f>
        <v>124.5</v>
      </c>
      <c r="Q25" s="158">
        <f ca="1">IFERROR(__xludf.DUMMYFUNCTION("""COMPUTED_VALUE"""),142.799999999999)</f>
        <v>142.79999999999899</v>
      </c>
      <c r="R25" s="158">
        <f ca="1">IFERROR(__xludf.DUMMYFUNCTION("""COMPUTED_VALUE"""),83.3999999999999)</f>
        <v>83.399999999999906</v>
      </c>
      <c r="S25" s="158">
        <f ca="1">IFERROR(__xludf.DUMMYFUNCTION("""COMPUTED_VALUE"""),106.2)</f>
        <v>106.2</v>
      </c>
      <c r="T25" s="158">
        <f ca="1">IFERROR(__xludf.DUMMYFUNCTION("""COMPUTED_VALUE"""),96.3)</f>
        <v>96.3</v>
      </c>
      <c r="U25" s="158">
        <f ca="1">IFERROR(__xludf.DUMMYFUNCTION("""COMPUTED_VALUE"""),88.2)</f>
        <v>88.2</v>
      </c>
      <c r="V25" s="158">
        <f ca="1">IFERROR(__xludf.DUMMYFUNCTION("""COMPUTED_VALUE"""),96.6)</f>
        <v>96.6</v>
      </c>
      <c r="W25" s="158">
        <f ca="1">IFERROR(__xludf.DUMMYFUNCTION("""COMPUTED_VALUE"""),70.5)</f>
        <v>70.5</v>
      </c>
      <c r="X25" s="158">
        <f ca="1">IFERROR(__xludf.DUMMYFUNCTION("""COMPUTED_VALUE"""),89.3999999999999)</f>
        <v>89.399999999999906</v>
      </c>
      <c r="Y25" s="158">
        <f ca="1">IFERROR(__xludf.DUMMYFUNCTION("""COMPUTED_VALUE"""),77.0192977640149)</f>
        <v>77.019297764014894</v>
      </c>
      <c r="Z25" s="158">
        <f ca="1">IFERROR(__xludf.DUMMYFUNCTION("""COMPUTED_VALUE"""),78.4689453147186)</f>
        <v>78.468945314718596</v>
      </c>
      <c r="AA25" s="158">
        <f ca="1">IFERROR(__xludf.DUMMYFUNCTION("""COMPUTED_VALUE"""),88.1799549830028)</f>
        <v>88.179954983002801</v>
      </c>
      <c r="AB25" s="158">
        <f ca="1">IFERROR(__xludf.DUMMYFUNCTION("""COMPUTED_VALUE"""),89.1392316313604)</f>
        <v>89.139231631360403</v>
      </c>
      <c r="AC25" s="158">
        <f ca="1">IFERROR(__xludf.DUMMYFUNCTION("""COMPUTED_VALUE"""),91.7549657043872)</f>
        <v>91.754965704387203</v>
      </c>
      <c r="AD25" s="158">
        <f ca="1">IFERROR(__xludf.DUMMYFUNCTION("""COMPUTED_VALUE"""),87.4815011656287)</f>
        <v>87.4815011656287</v>
      </c>
      <c r="AE25" s="158">
        <f ca="1">IFERROR(__xludf.DUMMYFUNCTION("""COMPUTED_VALUE"""),83.0838237049791)</f>
        <v>83.083823704979096</v>
      </c>
      <c r="AF25" s="158">
        <f ca="1">IFERROR(__xludf.DUMMYFUNCTION("""COMPUTED_VALUE"""),74.382356773761)</f>
        <v>74.382356773761003</v>
      </c>
      <c r="AG25" s="158">
        <f ca="1">IFERROR(__xludf.DUMMYFUNCTION("""COMPUTED_VALUE"""),81.9417343756822)</f>
        <v>81.941734375682202</v>
      </c>
      <c r="AH25" s="158">
        <f ca="1">IFERROR(__xludf.DUMMYFUNCTION("""COMPUTED_VALUE"""),89.3185358516216)</f>
        <v>89.318535851621604</v>
      </c>
      <c r="AI25" s="158">
        <f ca="1">IFERROR(__xludf.DUMMYFUNCTION("""COMPUTED_VALUE"""),96.7683076064801)</f>
        <v>96.768307606480107</v>
      </c>
      <c r="AJ25" s="158">
        <f ca="1">IFERROR(__xludf.DUMMYFUNCTION("""COMPUTED_VALUE"""),104.233335824249)</f>
        <v>104.233335824249</v>
      </c>
      <c r="AK25" s="158">
        <f ca="1">IFERROR(__xludf.DUMMYFUNCTION("""COMPUTED_VALUE"""),111.661607416288)</f>
        <v>111.66160741628801</v>
      </c>
      <c r="AL25" s="158">
        <f ca="1">IFERROR(__xludf.DUMMYFUNCTION("""COMPUTED_VALUE"""),119.109809846483)</f>
        <v>119.109809846483</v>
      </c>
      <c r="AM25" s="158">
        <f ca="1">IFERROR(__xludf.DUMMYFUNCTION("""COMPUTED_VALUE"""),126.557351166208)</f>
        <v>126.55735116620799</v>
      </c>
      <c r="AN25" s="158">
        <f ca="1">IFERROR(__xludf.DUMMYFUNCTION("""COMPUTED_VALUE"""),133.998288160867)</f>
        <v>133.99828816086699</v>
      </c>
      <c r="AO25" s="158">
        <f ca="1">IFERROR(__xludf.DUMMYFUNCTION("""COMPUTED_VALUE"""),141.44399086858)</f>
        <v>141.44399086857999</v>
      </c>
      <c r="AP25" s="158">
        <f ca="1">IFERROR(__xludf.DUMMYFUNCTION("""COMPUTED_VALUE"""),148.888751924317)</f>
        <v>148.88875192431701</v>
      </c>
      <c r="AQ25" s="158">
        <f ca="1">IFERROR(__xludf.DUMMYFUNCTION("""COMPUTED_VALUE"""),156.332485088229)</f>
        <v>156.33248508822899</v>
      </c>
      <c r="AR25" s="158">
        <f ca="1">IFERROR(__xludf.DUMMYFUNCTION("""COMPUTED_VALUE"""),163.77725022308)</f>
        <v>163.77725022307999</v>
      </c>
      <c r="AS25" s="158">
        <f ca="1">IFERROR(__xludf.DUMMYFUNCTION("""COMPUTED_VALUE"""),171.221669943165)</f>
        <v>171.22166994316501</v>
      </c>
      <c r="AT25" s="158">
        <f ca="1">IFERROR(__xludf.DUMMYFUNCTION("""COMPUTED_VALUE"""),178.665965547081)</f>
        <v>178.66596554708099</v>
      </c>
      <c r="AU25" s="158">
        <f ca="1">IFERROR(__xludf.DUMMYFUNCTION("""COMPUTED_VALUE"""),186.110465838161)</f>
        <v>186.11046583816099</v>
      </c>
      <c r="AV25" s="158">
        <f ca="1">IFERROR(__xludf.DUMMYFUNCTION("""COMPUTED_VALUE"""),193.554869924147)</f>
        <v>193.554869924147</v>
      </c>
      <c r="AW25" s="158">
        <f ca="1">IFERROR(__xludf.DUMMYFUNCTION("""COMPUTED_VALUE"""),200.99926847138)</f>
        <v>200.99926847137999</v>
      </c>
      <c r="AX25" s="158">
        <f ca="1">IFERROR(__xludf.DUMMYFUNCTION("""COMPUTED_VALUE"""),208.443704083888)</f>
        <v>208.44370408388801</v>
      </c>
      <c r="AY25" s="158">
        <f ca="1">IFERROR(__xludf.DUMMYFUNCTION("""COMPUTED_VALUE"""),215.888116443248)</f>
        <v>215.88811644324801</v>
      </c>
      <c r="AZ25" s="158">
        <f ca="1">IFERROR(__xludf.DUMMYFUNCTION("""COMPUTED_VALUE"""),211.717335536113)</f>
        <v>211.71733553611301</v>
      </c>
      <c r="BA25" s="158">
        <f ca="1">IFERROR(__xludf.DUMMYFUNCTION("""COMPUTED_VALUE"""),217.524164497767)</f>
        <v>217.524164497767</v>
      </c>
      <c r="BB25" s="158">
        <f ca="1">IFERROR(__xludf.DUMMYFUNCTION("""COMPUTED_VALUE"""),222.581746015942)</f>
        <v>222.581746015942</v>
      </c>
      <c r="BC25" s="158">
        <f ca="1">IFERROR(__xludf.DUMMYFUNCTION("""COMPUTED_VALUE"""),226.638663863356)</f>
        <v>226.63866386335599</v>
      </c>
      <c r="BD25" s="158">
        <f ca="1">IFERROR(__xludf.DUMMYFUNCTION("""COMPUTED_VALUE"""),229.446614145693)</f>
        <v>229.44661414569299</v>
      </c>
      <c r="BE25" s="158">
        <f ca="1">IFERROR(__xludf.DUMMYFUNCTION("""COMPUTED_VALUE"""),234.077346603576)</f>
        <v>234.07734660357599</v>
      </c>
      <c r="BF25" s="158">
        <f ca="1">IFERROR(__xludf.DUMMYFUNCTION("""COMPUTED_VALUE"""),238.400894255867)</f>
        <v>238.400894255867</v>
      </c>
      <c r="BG25" s="158">
        <f ca="1">IFERROR(__xludf.DUMMYFUNCTION("""COMPUTED_VALUE"""),242.532718308262)</f>
        <v>242.53271830826199</v>
      </c>
      <c r="BH25" s="158">
        <f ca="1">IFERROR(__xludf.DUMMYFUNCTION("""COMPUTED_VALUE"""),246.684106968529)</f>
        <v>246.68410696852899</v>
      </c>
      <c r="BI25" s="158">
        <f ca="1">IFERROR(__xludf.DUMMYFUNCTION("""COMPUTED_VALUE"""),251.186390329439)</f>
        <v>251.18639032943901</v>
      </c>
      <c r="BJ25" s="119">
        <f ca="1">IFERROR(__xludf.DUMMYFUNCTION("""COMPUTED_VALUE"""),255.655123799217)</f>
        <v>255.65512379921699</v>
      </c>
      <c r="BK25" s="119">
        <f ca="1">IFERROR(__xludf.DUMMYFUNCTION("""COMPUTED_VALUE"""),260.161778518356)</f>
        <v>260.16177851835602</v>
      </c>
      <c r="BL25" s="119">
        <f ca="1">IFERROR(__xludf.DUMMYFUNCTION("""COMPUTED_VALUE"""),264.766335800166)</f>
        <v>264.76633580016602</v>
      </c>
      <c r="BM25" s="119">
        <f ca="1">IFERROR(__xludf.DUMMYFUNCTION("""COMPUTED_VALUE"""),269.489256759706)</f>
        <v>269.489256759706</v>
      </c>
      <c r="BN25" s="119">
        <f ca="1">IFERROR(__xludf.DUMMYFUNCTION("""COMPUTED_VALUE"""),274.269806342126)</f>
        <v>274.269806342126</v>
      </c>
      <c r="BO25" s="119">
        <f ca="1">IFERROR(__xludf.DUMMYFUNCTION("""COMPUTED_VALUE"""),279.131799590963)</f>
        <v>279.131799590963</v>
      </c>
      <c r="BP25" s="119">
        <f ca="1">IFERROR(__xludf.DUMMYFUNCTION("""COMPUTED_VALUE"""),284.086604168469)</f>
        <v>284.08660416846902</v>
      </c>
      <c r="BQ25" s="119">
        <f ca="1">IFERROR(__xludf.DUMMYFUNCTION("""COMPUTED_VALUE"""),289.132890295628)</f>
        <v>289.13289029562799</v>
      </c>
      <c r="BR25" s="119">
        <f ca="1">IFERROR(__xludf.DUMMYFUNCTION("""COMPUTED_VALUE"""),294.263636594551)</f>
        <v>294.26363659455097</v>
      </c>
      <c r="BS25" s="119">
        <f ca="1">IFERROR(__xludf.DUMMYFUNCTION("""COMPUTED_VALUE"""),299.485851229973)</f>
        <v>299.48585122997298</v>
      </c>
      <c r="BT25" s="119">
        <f ca="1">IFERROR(__xludf.DUMMYFUNCTION("""COMPUTED_VALUE"""),304.802152560203)</f>
        <v>304.80215256020301</v>
      </c>
      <c r="BU25" s="119">
        <f ca="1">IFERROR(__xludf.DUMMYFUNCTION("""COMPUTED_VALUE"""),310.212873699556)</f>
        <v>310.21287369955598</v>
      </c>
      <c r="BV25" s="119">
        <f ca="1">IFERROR(__xludf.DUMMYFUNCTION("""COMPUTED_VALUE"""),315.71878209546)</f>
        <v>315.71878209546003</v>
      </c>
      <c r="BW25" s="119">
        <f ca="1">IFERROR(__xludf.DUMMYFUNCTION("""COMPUTED_VALUE"""),321.322679569548)</f>
        <v>321.32267956954797</v>
      </c>
      <c r="BX25" s="119"/>
      <c r="BY25" s="119"/>
      <c r="BZ25" s="119"/>
      <c r="CA25" s="119"/>
      <c r="CB25" s="119"/>
      <c r="CC25" s="119"/>
      <c r="CD25" s="119"/>
      <c r="CE25" s="119"/>
      <c r="CF25" s="119"/>
      <c r="CG25" s="119"/>
    </row>
    <row r="26" spans="1:85" ht="15.75" customHeight="1" x14ac:dyDescent="0.2">
      <c r="A26" s="159" t="str">
        <f ca="1">IFERROR(__xludf.DUMMYFUNCTION("""COMPUTED_VALUE"""),"Total Opportunities")</f>
        <v>Total Opportunities</v>
      </c>
      <c r="B26" s="155" t="str">
        <f ca="1">IFERROR(__xludf.DUMMYFUNCTION("""COMPUTED_VALUE"""),"")</f>
        <v/>
      </c>
      <c r="C26" s="155" t="str">
        <f ca="1">IFERROR(__xludf.DUMMYFUNCTION("""COMPUTED_VALUE"""),"")</f>
        <v/>
      </c>
      <c r="D26" s="160">
        <f ca="1">IFERROR(__xludf.DUMMYFUNCTION("""COMPUTED_VALUE"""),26.4)</f>
        <v>26.4</v>
      </c>
      <c r="E26" s="160">
        <f ca="1">IFERROR(__xludf.DUMMYFUNCTION("""COMPUTED_VALUE"""),57.5999999999999)</f>
        <v>57.599999999999902</v>
      </c>
      <c r="F26" s="160">
        <f ca="1">IFERROR(__xludf.DUMMYFUNCTION("""COMPUTED_VALUE"""),57.5999999999999)</f>
        <v>57.599999999999902</v>
      </c>
      <c r="G26" s="160">
        <f ca="1">IFERROR(__xludf.DUMMYFUNCTION("""COMPUTED_VALUE"""),68.9)</f>
        <v>68.900000000000006</v>
      </c>
      <c r="H26" s="160">
        <f ca="1">IFERROR(__xludf.DUMMYFUNCTION("""COMPUTED_VALUE"""),54.3)</f>
        <v>54.3</v>
      </c>
      <c r="I26" s="160">
        <f ca="1">IFERROR(__xludf.DUMMYFUNCTION("""COMPUTED_VALUE"""),58)</f>
        <v>58</v>
      </c>
      <c r="J26" s="160">
        <f ca="1">IFERROR(__xludf.DUMMYFUNCTION("""COMPUTED_VALUE"""),83.3)</f>
        <v>83.3</v>
      </c>
      <c r="K26" s="160">
        <f ca="1">IFERROR(__xludf.DUMMYFUNCTION("""COMPUTED_VALUE"""),70.6999999999999)</f>
        <v>70.699999999999903</v>
      </c>
      <c r="L26" s="160">
        <f ca="1">IFERROR(__xludf.DUMMYFUNCTION("""COMPUTED_VALUE"""),90.1)</f>
        <v>90.1</v>
      </c>
      <c r="M26" s="160">
        <f ca="1">IFERROR(__xludf.DUMMYFUNCTION("""COMPUTED_VALUE"""),108.1)</f>
        <v>108.1</v>
      </c>
      <c r="N26" s="160">
        <f ca="1">IFERROR(__xludf.DUMMYFUNCTION("""COMPUTED_VALUE"""),132.7)</f>
        <v>132.69999999999999</v>
      </c>
      <c r="O26" s="160">
        <f ca="1">IFERROR(__xludf.DUMMYFUNCTION("""COMPUTED_VALUE"""),187.899999999999)</f>
        <v>187.89999999999901</v>
      </c>
      <c r="P26" s="160">
        <f ca="1">IFERROR(__xludf.DUMMYFUNCTION("""COMPUTED_VALUE"""),274.5)</f>
        <v>274.5</v>
      </c>
      <c r="Q26" s="160">
        <f ca="1">IFERROR(__xludf.DUMMYFUNCTION("""COMPUTED_VALUE"""),295.799999999999)</f>
        <v>295.79999999999899</v>
      </c>
      <c r="R26" s="160">
        <f ca="1">IFERROR(__xludf.DUMMYFUNCTION("""COMPUTED_VALUE"""),191.399999999999)</f>
        <v>191.39999999999901</v>
      </c>
      <c r="S26" s="160">
        <f ca="1">IFERROR(__xludf.DUMMYFUNCTION("""COMPUTED_VALUE"""),233.2)</f>
        <v>233.2</v>
      </c>
      <c r="T26" s="160">
        <f ca="1">IFERROR(__xludf.DUMMYFUNCTION("""COMPUTED_VALUE"""),192.3)</f>
        <v>192.3</v>
      </c>
      <c r="U26" s="160">
        <f ca="1">IFERROR(__xludf.DUMMYFUNCTION("""COMPUTED_VALUE"""),202.2)</f>
        <v>202.2</v>
      </c>
      <c r="V26" s="160">
        <f ca="1">IFERROR(__xludf.DUMMYFUNCTION("""COMPUTED_VALUE"""),220.6)</f>
        <v>220.6</v>
      </c>
      <c r="W26" s="160">
        <f ca="1">IFERROR(__xludf.DUMMYFUNCTION("""COMPUTED_VALUE"""),150.5)</f>
        <v>150.5</v>
      </c>
      <c r="X26" s="160">
        <f ca="1">IFERROR(__xludf.DUMMYFUNCTION("""COMPUTED_VALUE"""),192.399999999999)</f>
        <v>192.39999999999901</v>
      </c>
      <c r="Y26" s="160">
        <f ca="1">IFERROR(__xludf.DUMMYFUNCTION("""COMPUTED_VALUE"""),185.423065781691)</f>
        <v>185.42306578169101</v>
      </c>
      <c r="Z26" s="160">
        <f ca="1">IFERROR(__xludf.DUMMYFUNCTION("""COMPUTED_VALUE"""),181.342836959755)</f>
        <v>181.342836959755</v>
      </c>
      <c r="AA26" s="160">
        <f ca="1">IFERROR(__xludf.DUMMYFUNCTION("""COMPUTED_VALUE"""),196.713271363883)</f>
        <v>196.713271363883</v>
      </c>
      <c r="AB26" s="160">
        <f ca="1">IFERROR(__xludf.DUMMYFUNCTION("""COMPUTED_VALUE"""),199.583435276853)</f>
        <v>199.58343527685301</v>
      </c>
      <c r="AC26" s="160">
        <f ca="1">IFERROR(__xludf.DUMMYFUNCTION("""COMPUTED_VALUE"""),202.903817735598)</f>
        <v>202.90381773559801</v>
      </c>
      <c r="AD26" s="160">
        <f ca="1">IFERROR(__xludf.DUMMYFUNCTION("""COMPUTED_VALUE"""),201.488045641781)</f>
        <v>201.48804564178101</v>
      </c>
      <c r="AE26" s="160">
        <f ca="1">IFERROR(__xludf.DUMMYFUNCTION("""COMPUTED_VALUE"""),198.980504429206)</f>
        <v>198.98050442920601</v>
      </c>
      <c r="AF26" s="160">
        <f ca="1">IFERROR(__xludf.DUMMYFUNCTION("""COMPUTED_VALUE"""),178.75988789319)</f>
        <v>178.75988789319001</v>
      </c>
      <c r="AG26" s="160">
        <f ca="1">IFERROR(__xludf.DUMMYFUNCTION("""COMPUTED_VALUE"""),184.75087119486)</f>
        <v>184.75087119486</v>
      </c>
      <c r="AH26" s="160">
        <f ca="1">IFERROR(__xludf.DUMMYFUNCTION("""COMPUTED_VALUE"""),188.683873427015)</f>
        <v>188.68387342701499</v>
      </c>
      <c r="AI26" s="160">
        <f ca="1">IFERROR(__xludf.DUMMYFUNCTION("""COMPUTED_VALUE"""),191.049376681633)</f>
        <v>191.04937668163299</v>
      </c>
      <c r="AJ26" s="160">
        <f ca="1">IFERROR(__xludf.DUMMYFUNCTION("""COMPUTED_VALUE"""),195.409205069393)</f>
        <v>195.40920506939301</v>
      </c>
      <c r="AK26" s="160">
        <f ca="1">IFERROR(__xludf.DUMMYFUNCTION("""COMPUTED_VALUE"""),199.259627278656)</f>
        <v>199.25962727865601</v>
      </c>
      <c r="AL26" s="160">
        <f ca="1">IFERROR(__xludf.DUMMYFUNCTION("""COMPUTED_VALUE"""),203.08875276864)</f>
        <v>203.08875276864001</v>
      </c>
      <c r="AM26" s="160">
        <f ca="1">IFERROR(__xludf.DUMMYFUNCTION("""COMPUTED_VALUE"""),207.367841590972)</f>
        <v>207.36784159097201</v>
      </c>
      <c r="AN26" s="160">
        <f ca="1">IFERROR(__xludf.DUMMYFUNCTION("""COMPUTED_VALUE"""),211.620872524094)</f>
        <v>211.62087252409401</v>
      </c>
      <c r="AO26" s="160">
        <f ca="1">IFERROR(__xludf.DUMMYFUNCTION("""COMPUTED_VALUE"""),215.998597510467)</f>
        <v>215.99859751046699</v>
      </c>
      <c r="AP26" s="160">
        <f ca="1">IFERROR(__xludf.DUMMYFUNCTION("""COMPUTED_VALUE"""),220.544873206965)</f>
        <v>220.54487320696501</v>
      </c>
      <c r="AQ26" s="160">
        <f ca="1">IFERROR(__xludf.DUMMYFUNCTION("""COMPUTED_VALUE"""),225.17315028544)</f>
        <v>225.17315028543999</v>
      </c>
      <c r="AR26" s="160">
        <f ca="1">IFERROR(__xludf.DUMMYFUNCTION("""COMPUTED_VALUE"""),229.9170075397)</f>
        <v>229.91700753969999</v>
      </c>
      <c r="AS26" s="160">
        <f ca="1">IFERROR(__xludf.DUMMYFUNCTION("""COMPUTED_VALUE"""),234.773412905867)</f>
        <v>234.77341290586699</v>
      </c>
      <c r="AT26" s="160">
        <f ca="1">IFERROR(__xludf.DUMMYFUNCTION("""COMPUTED_VALUE"""),239.725180526113)</f>
        <v>239.72518052611301</v>
      </c>
      <c r="AU26" s="160">
        <f ca="1">IFERROR(__xludf.DUMMYFUNCTION("""COMPUTED_VALUE"""),244.776470424409)</f>
        <v>244.77647042440901</v>
      </c>
      <c r="AV26" s="160">
        <f ca="1">IFERROR(__xludf.DUMMYFUNCTION("""COMPUTED_VALUE"""),249.922297483501)</f>
        <v>249.92229748350101</v>
      </c>
      <c r="AW26" s="160">
        <f ca="1">IFERROR(__xludf.DUMMYFUNCTION("""COMPUTED_VALUE"""),255.157136397728)</f>
        <v>255.15713639772801</v>
      </c>
      <c r="AX26" s="160">
        <f ca="1">IFERROR(__xludf.DUMMYFUNCTION("""COMPUTED_VALUE"""),260.479040216341)</f>
        <v>260.47904021634099</v>
      </c>
      <c r="AY26" s="160">
        <f ca="1">IFERROR(__xludf.DUMMYFUNCTION("""COMPUTED_VALUE"""),265.884168867676)</f>
        <v>265.88416886767601</v>
      </c>
      <c r="AZ26" s="160">
        <f ca="1">IFERROR(__xludf.DUMMYFUNCTION("""COMPUTED_VALUE"""),259.753850758388)</f>
        <v>259.75385075838801</v>
      </c>
      <c r="BA26" s="160">
        <f ca="1">IFERROR(__xludf.DUMMYFUNCTION("""COMPUTED_VALUE"""),263.678037731912)</f>
        <v>263.67803773191201</v>
      </c>
      <c r="BB26" s="160">
        <f ca="1">IFERROR(__xludf.DUMMYFUNCTION("""COMPUTED_VALUE"""),266.926756154089)</f>
        <v>266.92675615408899</v>
      </c>
      <c r="BC26" s="160">
        <f ca="1">IFERROR(__xludf.DUMMYFUNCTION("""COMPUTED_VALUE"""),269.245677516221)</f>
        <v>269.24567751622101</v>
      </c>
      <c r="BD26" s="160">
        <f ca="1">IFERROR(__xludf.DUMMYFUNCTION("""COMPUTED_VALUE"""),270.383766883277)</f>
        <v>270.38376688327702</v>
      </c>
      <c r="BE26" s="160">
        <f ca="1">IFERROR(__xludf.DUMMYFUNCTION("""COMPUTED_VALUE"""),273.410079938789)</f>
        <v>273.41007993878901</v>
      </c>
      <c r="BF26" s="160">
        <f ca="1">IFERROR(__xludf.DUMMYFUNCTION("""COMPUTED_VALUE"""),276.192085513451)</f>
        <v>276.19208551345099</v>
      </c>
      <c r="BG26" s="160">
        <f ca="1">IFERROR(__xludf.DUMMYFUNCTION("""COMPUTED_VALUE"""),278.842787682003)</f>
        <v>278.84278768200301</v>
      </c>
      <c r="BH26" s="160">
        <f ca="1">IFERROR(__xludf.DUMMYFUNCTION("""COMPUTED_VALUE"""),281.571101763092)</f>
        <v>281.57110176309197</v>
      </c>
      <c r="BI26" s="160">
        <f ca="1">IFERROR(__xludf.DUMMYFUNCTION("""COMPUTED_VALUE"""),284.706083736629)</f>
        <v>284.70608373662901</v>
      </c>
      <c r="BJ26" s="160">
        <f ca="1">IFERROR(__xludf.DUMMYFUNCTION("""COMPUTED_VALUE"""),287.861104111586)</f>
        <v>287.86110411158597</v>
      </c>
      <c r="BK26" s="160">
        <f ca="1">IFERROR(__xludf.DUMMYFUNCTION("""COMPUTED_VALUE"""),291.10553285495)</f>
        <v>291.10553285495001</v>
      </c>
      <c r="BL26" s="160">
        <f ca="1">IFERROR(__xludf.DUMMYFUNCTION("""COMPUTED_VALUE"""),294.497333673548)</f>
        <v>294.49733367354798</v>
      </c>
      <c r="BM26" s="160">
        <f ca="1">IFERROR(__xludf.DUMMYFUNCTION("""COMPUTED_VALUE"""),298.05502896533)</f>
        <v>298.05502896533</v>
      </c>
      <c r="BN26" s="160">
        <f ca="1">IFERROR(__xludf.DUMMYFUNCTION("""COMPUTED_VALUE"""),301.716020672457)</f>
        <v>301.71602067245698</v>
      </c>
      <c r="BO26" s="160">
        <f ca="1">IFERROR(__xludf.DUMMYFUNCTION("""COMPUTED_VALUE"""),305.502334085598)</f>
        <v>305.50233408559802</v>
      </c>
      <c r="BP26" s="160">
        <f ca="1">IFERROR(__xludf.DUMMYFUNCTION("""COMPUTED_VALUE"""),309.423617191258)</f>
        <v>309.42361719125802</v>
      </c>
      <c r="BQ26" s="160">
        <f ca="1">IFERROR(__xludf.DUMMYFUNCTION("""COMPUTED_VALUE"""),313.47688790156)</f>
        <v>313.47688790156002</v>
      </c>
      <c r="BR26" s="160">
        <f ca="1">IFERROR(__xludf.DUMMYFUNCTION("""COMPUTED_VALUE"""),317.653537329419)</f>
        <v>317.65353732941901</v>
      </c>
      <c r="BS26" s="160">
        <f ca="1">IFERROR(__xludf.DUMMYFUNCTION("""COMPUTED_VALUE"""),321.959048331077)</f>
        <v>321.95904833107699</v>
      </c>
      <c r="BT26" s="160">
        <f ca="1">IFERROR(__xludf.DUMMYFUNCTION("""COMPUTED_VALUE"""),326.394573734632)</f>
        <v>326.39457373463199</v>
      </c>
      <c r="BU26" s="160">
        <f ca="1">IFERROR(__xludf.DUMMYFUNCTION("""COMPUTED_VALUE"""),330.959038568568)</f>
        <v>330.95903856856802</v>
      </c>
      <c r="BV26" s="160">
        <f ca="1">IFERROR(__xludf.DUMMYFUNCTION("""COMPUTED_VALUE"""),335.651857376729)</f>
        <v>335.65185737672903</v>
      </c>
      <c r="BW26" s="160">
        <f ca="1">IFERROR(__xludf.DUMMYFUNCTION("""COMPUTED_VALUE"""),340.474532100852)</f>
        <v>340.474532100852</v>
      </c>
      <c r="BX26" s="160"/>
      <c r="BY26" s="160"/>
      <c r="BZ26" s="160"/>
      <c r="CA26" s="160"/>
      <c r="CB26" s="160"/>
      <c r="CC26" s="160"/>
      <c r="CD26" s="160"/>
      <c r="CE26" s="160"/>
      <c r="CF26" s="160"/>
      <c r="CG26" s="160"/>
    </row>
    <row r="27" spans="1:85" ht="15.75" customHeight="1" x14ac:dyDescent="0.2">
      <c r="A27" s="155" t="str">
        <f ca="1">IFERROR(__xludf.DUMMYFUNCTION("""COMPUTED_VALUE"""),"  SQL-to-Opp Conversion Rate")</f>
        <v xml:space="preserve">  SQL-to-Opp Conversion Rate</v>
      </c>
      <c r="B27" s="155" t="str">
        <f ca="1">IFERROR(__xludf.DUMMYFUNCTION("""COMPUTED_VALUE"""),"")</f>
        <v/>
      </c>
      <c r="C27" s="155" t="str">
        <f ca="1">IFERROR(__xludf.DUMMYFUNCTION("""COMPUTED_VALUE"""),"")</f>
        <v/>
      </c>
      <c r="D27" s="162">
        <f ca="1">IFERROR(__xludf.DUMMYFUNCTION("""COMPUTED_VALUE"""),0.416403785488958)</f>
        <v>0.41640378548895801</v>
      </c>
      <c r="E27" s="162">
        <f ca="1">IFERROR(__xludf.DUMMYFUNCTION("""COMPUTED_VALUE"""),0.91283676703645)</f>
        <v>0.91283676703645</v>
      </c>
      <c r="F27" s="162">
        <f ca="1">IFERROR(__xludf.DUMMYFUNCTION("""COMPUTED_VALUE"""),0.75195822454308)</f>
        <v>0.75195822454308003</v>
      </c>
      <c r="G27" s="162">
        <f ca="1">IFERROR(__xludf.DUMMYFUNCTION("""COMPUTED_VALUE"""),0.878826530612244)</f>
        <v>0.87882653061224403</v>
      </c>
      <c r="H27" s="162">
        <f ca="1">IFERROR(__xludf.DUMMYFUNCTION("""COMPUTED_VALUE"""),0.51371807000946)</f>
        <v>0.51371807000946001</v>
      </c>
      <c r="I27" s="162">
        <f ca="1">IFERROR(__xludf.DUMMYFUNCTION("""COMPUTED_VALUE"""),0.663615560640732)</f>
        <v>0.66361556064073202</v>
      </c>
      <c r="J27" s="162">
        <f ca="1">IFERROR(__xludf.DUMMYFUNCTION("""COMPUTED_VALUE"""),0.763519706691109)</f>
        <v>0.76351970669110902</v>
      </c>
      <c r="K27" s="162">
        <f ca="1">IFERROR(__xludf.DUMMYFUNCTION("""COMPUTED_VALUE"""),0.718495934959349)</f>
        <v>0.71849593495934905</v>
      </c>
      <c r="L27" s="162">
        <f ca="1">IFERROR(__xludf.DUMMYFUNCTION("""COMPUTED_VALUE"""),0.604697986577181)</f>
        <v>0.60469798657718099</v>
      </c>
      <c r="M27" s="162">
        <f ca="1">IFERROR(__xludf.DUMMYFUNCTION("""COMPUTED_VALUE"""),0.872477804681194)</f>
        <v>0.87247780468119396</v>
      </c>
      <c r="N27" s="162">
        <f ca="1">IFERROR(__xludf.DUMMYFUNCTION("""COMPUTED_VALUE"""),0.88584779706275)</f>
        <v>0.88584779706274996</v>
      </c>
      <c r="O27" s="162">
        <f ca="1">IFERROR(__xludf.DUMMYFUNCTION("""COMPUTED_VALUE"""),0.873953488372093)</f>
        <v>0.87395348837209297</v>
      </c>
      <c r="P27" s="162">
        <f ca="1">IFERROR(__xludf.DUMMYFUNCTION("""COMPUTED_VALUE"""),0.989189189189189)</f>
        <v>0.98918918918918897</v>
      </c>
      <c r="Q27" s="162">
        <f ca="1">IFERROR(__xludf.DUMMYFUNCTION("""COMPUTED_VALUE"""),0.809080962800875)</f>
        <v>0.80908096280087505</v>
      </c>
      <c r="R27" s="162">
        <f ca="1">IFERROR(__xludf.DUMMYFUNCTION("""COMPUTED_VALUE"""),0.745036979369404)</f>
        <v>0.74503697936940405</v>
      </c>
      <c r="S27" s="162">
        <f ca="1">IFERROR(__xludf.DUMMYFUNCTION("""COMPUTED_VALUE"""),0.885681731864792)</f>
        <v>0.88568173186479204</v>
      </c>
      <c r="T27" s="162">
        <f ca="1">IFERROR(__xludf.DUMMYFUNCTION("""COMPUTED_VALUE"""),0.641213737912637)</f>
        <v>0.64121373791263703</v>
      </c>
      <c r="U27" s="162">
        <f ca="1">IFERROR(__xludf.DUMMYFUNCTION("""COMPUTED_VALUE"""),0.756736526946107)</f>
        <v>0.75673652694610705</v>
      </c>
      <c r="V27" s="162">
        <f ca="1">IFERROR(__xludf.DUMMYFUNCTION("""COMPUTED_VALUE"""),0.760427438814201)</f>
        <v>0.76042743881420105</v>
      </c>
      <c r="W27" s="162">
        <f ca="1">IFERROR(__xludf.DUMMYFUNCTION("""COMPUTED_VALUE"""),0.856086461888509)</f>
        <v>0.85608646188850901</v>
      </c>
      <c r="X27" s="162">
        <f ca="1">IFERROR(__xludf.DUMMYFUNCTION("""COMPUTED_VALUE"""),0.894467689446768)</f>
        <v>0.89446768944676802</v>
      </c>
      <c r="Y27" s="162">
        <f ca="1">IFERROR(__xludf.DUMMYFUNCTION("""COMPUTED_VALUE"""),0.827852954559833)</f>
        <v>0.82785295455983299</v>
      </c>
      <c r="Z27" s="162">
        <f ca="1">IFERROR(__xludf.DUMMYFUNCTION("""COMPUTED_VALUE"""),0.859126389973803)</f>
        <v>0.85912638997380297</v>
      </c>
      <c r="AA27" s="162">
        <f ca="1">IFERROR(__xludf.DUMMYFUNCTION("""COMPUTED_VALUE"""),0.860322857580343)</f>
        <v>0.86032285758034299</v>
      </c>
      <c r="AB27" s="162">
        <f ca="1">IFERROR(__xludf.DUMMYFUNCTION("""COMPUTED_VALUE"""),0.849107440700584)</f>
        <v>0.84910744070058397</v>
      </c>
      <c r="AC27" s="162">
        <f ca="1">IFERROR(__xludf.DUMMYFUNCTION("""COMPUTED_VALUE"""),0.85617447474936)</f>
        <v>0.85617447474936004</v>
      </c>
      <c r="AD27" s="162">
        <f ca="1">IFERROR(__xludf.DUMMYFUNCTION("""COMPUTED_VALUE"""),0.85491282235739)</f>
        <v>0.85491282235738997</v>
      </c>
      <c r="AE27" s="162">
        <f ca="1">IFERROR(__xludf.DUMMYFUNCTION("""COMPUTED_VALUE"""),0.853057552832749)</f>
        <v>0.85305755283274898</v>
      </c>
      <c r="AF27" s="162">
        <f ca="1">IFERROR(__xludf.DUMMYFUNCTION("""COMPUTED_VALUE"""),0.854451021768252)</f>
        <v>0.85445102176825205</v>
      </c>
      <c r="AG27" s="162">
        <f ca="1">IFERROR(__xludf.DUMMYFUNCTION("""COMPUTED_VALUE"""),0.854436138759748)</f>
        <v>0.854436138759748</v>
      </c>
      <c r="AH27" s="162">
        <f ca="1">IFERROR(__xludf.DUMMYFUNCTION("""COMPUTED_VALUE"""),0.854626462951801)</f>
        <v>0.854626462951801</v>
      </c>
      <c r="AI27" s="162">
        <f ca="1">IFERROR(__xludf.DUMMYFUNCTION("""COMPUTED_VALUE"""),0.855397963438707)</f>
        <v>0.855397963438707</v>
      </c>
      <c r="AJ27" s="162">
        <f ca="1">IFERROR(__xludf.DUMMYFUNCTION("""COMPUTED_VALUE"""),0.855672179870038)</f>
        <v>0.85567217987003796</v>
      </c>
      <c r="AK27" s="162">
        <f ca="1">IFERROR(__xludf.DUMMYFUNCTION("""COMPUTED_VALUE"""),0.856037411105181)</f>
        <v>0.85603741110518095</v>
      </c>
      <c r="AL27" s="162">
        <f ca="1">IFERROR(__xludf.DUMMYFUNCTION("""COMPUTED_VALUE"""),0.856468481846535)</f>
        <v>0.85646848184653501</v>
      </c>
      <c r="AM27" s="162">
        <f ca="1">IFERROR(__xludf.DUMMYFUNCTION("""COMPUTED_VALUE"""),0.856785371026614)</f>
        <v>0.85678537102661401</v>
      </c>
      <c r="AN27" s="162">
        <f ca="1">IFERROR(__xludf.DUMMYFUNCTION("""COMPUTED_VALUE"""),0.85711683075661)</f>
        <v>0.85711683075661005</v>
      </c>
      <c r="AO27" s="162">
        <f ca="1">IFERROR(__xludf.DUMMYFUNCTION("""COMPUTED_VALUE"""),0.857439224758643)</f>
        <v>0.85743922475864298</v>
      </c>
      <c r="AP27" s="162">
        <f ca="1">IFERROR(__xludf.DUMMYFUNCTION("""COMPUTED_VALUE"""),0.8577268246445)</f>
        <v>0.85772682464450001</v>
      </c>
      <c r="AQ27" s="162">
        <f ca="1">IFERROR(__xludf.DUMMYFUNCTION("""COMPUTED_VALUE"""),0.858005946207959)</f>
        <v>0.858005946207959</v>
      </c>
      <c r="AR27" s="162">
        <f ca="1">IFERROR(__xludf.DUMMYFUNCTION("""COMPUTED_VALUE"""),0.858269307207864)</f>
        <v>0.85826930720786399</v>
      </c>
      <c r="AS27" s="162">
        <f ca="1">IFERROR(__xludf.DUMMYFUNCTION("""COMPUTED_VALUE"""),0.858514564917922)</f>
        <v>0.858514564917922</v>
      </c>
      <c r="AT27" s="162">
        <f ca="1">IFERROR(__xludf.DUMMYFUNCTION("""COMPUTED_VALUE"""),0.858747195717229)</f>
        <v>0.85874719571722902</v>
      </c>
      <c r="AU27" s="162">
        <f ca="1">IFERROR(__xludf.DUMMYFUNCTION("""COMPUTED_VALUE"""),0.858965884299137)</f>
        <v>0.85896588429913701</v>
      </c>
      <c r="AV27" s="162">
        <f ca="1">IFERROR(__xludf.DUMMYFUNCTION("""COMPUTED_VALUE"""),0.859171177298169)</f>
        <v>0.85917117729816905</v>
      </c>
      <c r="AW27" s="162">
        <f ca="1">IFERROR(__xludf.DUMMYFUNCTION("""COMPUTED_VALUE"""),0.859364586459319)</f>
        <v>0.85936458645931901</v>
      </c>
      <c r="AX27" s="162">
        <f ca="1">IFERROR(__xludf.DUMMYFUNCTION("""COMPUTED_VALUE"""),0.859546332736002)</f>
        <v>0.85954633273600201</v>
      </c>
      <c r="AY27" s="162">
        <f ca="1">IFERROR(__xludf.DUMMYFUNCTION("""COMPUTED_VALUE"""),0.85971711730793)</f>
        <v>0.85971711730792999</v>
      </c>
      <c r="AZ27" s="162">
        <f ca="1">IFERROR(__xludf.DUMMYFUNCTION("""COMPUTED_VALUE"""),0.859762380024685)</f>
        <v>0.85976238002468497</v>
      </c>
      <c r="BA27" s="162">
        <f ca="1">IFERROR(__xludf.DUMMYFUNCTION("""COMPUTED_VALUE"""),0.859906495186764)</f>
        <v>0.85990649518676399</v>
      </c>
      <c r="BB27" s="162">
        <f ca="1">IFERROR(__xludf.DUMMYFUNCTION("""COMPUTED_VALUE"""),0.860036293884593)</f>
        <v>0.86003629388459302</v>
      </c>
      <c r="BC27" s="162">
        <f ca="1">IFERROR(__xludf.DUMMYFUNCTION("""COMPUTED_VALUE"""),0.860151255424259)</f>
        <v>0.86015125542425896</v>
      </c>
      <c r="BD27" s="162">
        <f ca="1">IFERROR(__xludf.DUMMYFUNCTION("""COMPUTED_VALUE"""),0.860251018523185)</f>
        <v>0.86025101852318497</v>
      </c>
      <c r="BE27" s="162">
        <f ca="1">IFERROR(__xludf.DUMMYFUNCTION("""COMPUTED_VALUE"""),0.860361045344846)</f>
        <v>0.86036104534484603</v>
      </c>
      <c r="BF27" s="162">
        <f ca="1">IFERROR(__xludf.DUMMYFUNCTION("""COMPUTED_VALUE"""),0.860463609173177)</f>
        <v>0.86046360917317699</v>
      </c>
      <c r="BG27" s="162">
        <f ca="1">IFERROR(__xludf.DUMMYFUNCTION("""COMPUTED_VALUE"""),0.860560094890487)</f>
        <v>0.86056009489048702</v>
      </c>
      <c r="BH27" s="162">
        <f ca="1">IFERROR(__xludf.DUMMYFUNCTION("""COMPUTED_VALUE"""),0.860652273372255)</f>
        <v>0.86065227337225503</v>
      </c>
      <c r="BI27" s="162">
        <f ca="1">IFERROR(__xludf.DUMMYFUNCTION("""COMPUTED_VALUE"""),0.860742296701791)</f>
        <v>0.86074229670179103</v>
      </c>
      <c r="BJ27" s="162">
        <f ca="1">IFERROR(__xludf.DUMMYFUNCTION("""COMPUTED_VALUE"""),0.860827772205072)</f>
        <v>0.86082777220507201</v>
      </c>
      <c r="BK27" s="162">
        <f ca="1">IFERROR(__xludf.DUMMYFUNCTION("""COMPUTED_VALUE"""),0.860909303848523)</f>
        <v>0.86090930384852304</v>
      </c>
      <c r="BL27" s="162">
        <f ca="1">IFERROR(__xludf.DUMMYFUNCTION("""COMPUTED_VALUE"""),0.86098733642738)</f>
        <v>0.86098733642738001</v>
      </c>
      <c r="BM27" s="162">
        <f ca="1">IFERROR(__xludf.DUMMYFUNCTION("""COMPUTED_VALUE"""),0.861062054245987)</f>
        <v>0.86106205424598703</v>
      </c>
      <c r="BN27" s="162">
        <f ca="1">IFERROR(__xludf.DUMMYFUNCTION("""COMPUTED_VALUE"""),0.861133264615151)</f>
        <v>0.86113326461515105</v>
      </c>
      <c r="BO27" s="162">
        <f ca="1">IFERROR(__xludf.DUMMYFUNCTION("""COMPUTED_VALUE"""),0.86120119669461)</f>
        <v>0.86120119669461004</v>
      </c>
      <c r="BP27" s="162">
        <f ca="1">IFERROR(__xludf.DUMMYFUNCTION("""COMPUTED_VALUE"""),0.861266005720217)</f>
        <v>0.86126600572021705</v>
      </c>
      <c r="BQ27" s="162">
        <f ca="1">IFERROR(__xludf.DUMMYFUNCTION("""COMPUTED_VALUE"""),0.86132779043507)</f>
        <v>0.86132779043507002</v>
      </c>
      <c r="BR27" s="162">
        <f ca="1">IFERROR(__xludf.DUMMYFUNCTION("""COMPUTED_VALUE"""),0.861386632550007)</f>
        <v>0.86138663255000703</v>
      </c>
      <c r="BS27" s="162">
        <f ca="1">IFERROR(__xludf.DUMMYFUNCTION("""COMPUTED_VALUE"""),0.861442664738824)</f>
        <v>0.86144266473882403</v>
      </c>
      <c r="BT27" s="162">
        <f ca="1">IFERROR(__xludf.DUMMYFUNCTION("""COMPUTED_VALUE"""),0.861496000142858)</f>
        <v>0.86149600014285799</v>
      </c>
      <c r="BU27" s="162">
        <f ca="1">IFERROR(__xludf.DUMMYFUNCTION("""COMPUTED_VALUE"""),0.86154674287459)</f>
        <v>0.86154674287458999</v>
      </c>
      <c r="BV27" s="162">
        <f ca="1">IFERROR(__xludf.DUMMYFUNCTION("""COMPUTED_VALUE"""),0.861594997028614)</f>
        <v>0.86159499702861397</v>
      </c>
      <c r="BW27" s="162">
        <f ca="1">IFERROR(__xludf.DUMMYFUNCTION("""COMPUTED_VALUE"""),0.861640869831035)</f>
        <v>0.86164086983103505</v>
      </c>
      <c r="BX27" s="162"/>
      <c r="BY27" s="162"/>
      <c r="BZ27" s="162"/>
      <c r="CA27" s="162"/>
      <c r="CB27" s="162"/>
      <c r="CC27" s="162"/>
      <c r="CD27" s="162"/>
      <c r="CE27" s="162"/>
      <c r="CF27" s="162"/>
      <c r="CG27" s="162"/>
    </row>
    <row r="28" spans="1:85" ht="15.75" customHeight="1" x14ac:dyDescent="0.2">
      <c r="A28" s="155" t="str">
        <f ca="1">IFERROR(__xludf.DUMMYFUNCTION("""COMPUTED_VALUE"""),"Trials")</f>
        <v>Trials</v>
      </c>
      <c r="B28" s="155" t="str">
        <f ca="1">IFERROR(__xludf.DUMMYFUNCTION("""COMPUTED_VALUE"""),"")</f>
        <v/>
      </c>
      <c r="C28" s="155" t="str">
        <f ca="1">IFERROR(__xludf.DUMMYFUNCTION("""COMPUTED_VALUE"""),"")</f>
        <v/>
      </c>
      <c r="D28" s="155" t="str">
        <f ca="1">IFERROR(__xludf.DUMMYFUNCTION("""COMPUTED_VALUE"""),"")</f>
        <v/>
      </c>
      <c r="E28" s="155" t="str">
        <f ca="1">IFERROR(__xludf.DUMMYFUNCTION("""COMPUTED_VALUE"""),"")</f>
        <v/>
      </c>
      <c r="F28" s="155" t="str">
        <f ca="1">IFERROR(__xludf.DUMMYFUNCTION("""COMPUTED_VALUE"""),"")</f>
        <v/>
      </c>
      <c r="G28" s="155" t="str">
        <f ca="1">IFERROR(__xludf.DUMMYFUNCTION("""COMPUTED_VALUE"""),"")</f>
        <v/>
      </c>
      <c r="H28" s="155" t="str">
        <f ca="1">IFERROR(__xludf.DUMMYFUNCTION("""COMPUTED_VALUE"""),"")</f>
        <v/>
      </c>
      <c r="I28" s="155" t="str">
        <f ca="1">IFERROR(__xludf.DUMMYFUNCTION("""COMPUTED_VALUE"""),"")</f>
        <v/>
      </c>
      <c r="J28" s="155" t="str">
        <f ca="1">IFERROR(__xludf.DUMMYFUNCTION("""COMPUTED_VALUE"""),"")</f>
        <v/>
      </c>
      <c r="K28" s="155" t="str">
        <f ca="1">IFERROR(__xludf.DUMMYFUNCTION("""COMPUTED_VALUE"""),"")</f>
        <v/>
      </c>
      <c r="L28" s="155" t="str">
        <f ca="1">IFERROR(__xludf.DUMMYFUNCTION("""COMPUTED_VALUE"""),"")</f>
        <v/>
      </c>
      <c r="M28" s="155" t="str">
        <f ca="1">IFERROR(__xludf.DUMMYFUNCTION("""COMPUTED_VALUE"""),"")</f>
        <v/>
      </c>
      <c r="N28" s="155" t="str">
        <f ca="1">IFERROR(__xludf.DUMMYFUNCTION("""COMPUTED_VALUE"""),"")</f>
        <v/>
      </c>
      <c r="O28" s="155" t="str">
        <f ca="1">IFERROR(__xludf.DUMMYFUNCTION("""COMPUTED_VALUE"""),"")</f>
        <v/>
      </c>
      <c r="P28" s="155" t="str">
        <f ca="1">IFERROR(__xludf.DUMMYFUNCTION("""COMPUTED_VALUE"""),"")</f>
        <v/>
      </c>
      <c r="Q28" s="155" t="str">
        <f ca="1">IFERROR(__xludf.DUMMYFUNCTION("""COMPUTED_VALUE"""),"")</f>
        <v/>
      </c>
      <c r="R28" s="155" t="str">
        <f ca="1">IFERROR(__xludf.DUMMYFUNCTION("""COMPUTED_VALUE"""),"")</f>
        <v/>
      </c>
      <c r="S28" s="155" t="str">
        <f ca="1">IFERROR(__xludf.DUMMYFUNCTION("""COMPUTED_VALUE"""),"")</f>
        <v/>
      </c>
      <c r="T28" s="155" t="str">
        <f ca="1">IFERROR(__xludf.DUMMYFUNCTION("""COMPUTED_VALUE"""),"")</f>
        <v/>
      </c>
      <c r="U28" s="155" t="str">
        <f ca="1">IFERROR(__xludf.DUMMYFUNCTION("""COMPUTED_VALUE"""),"")</f>
        <v/>
      </c>
      <c r="V28" s="155" t="str">
        <f ca="1">IFERROR(__xludf.DUMMYFUNCTION("""COMPUTED_VALUE"""),"")</f>
        <v/>
      </c>
      <c r="W28" s="155" t="str">
        <f ca="1">IFERROR(__xludf.DUMMYFUNCTION("""COMPUTED_VALUE"""),"")</f>
        <v/>
      </c>
      <c r="X28" s="155" t="str">
        <f ca="1">IFERROR(__xludf.DUMMYFUNCTION("""COMPUTED_VALUE"""),"")</f>
        <v/>
      </c>
      <c r="Y28" s="155" t="str">
        <f ca="1">IFERROR(__xludf.DUMMYFUNCTION("""COMPUTED_VALUE"""),"")</f>
        <v/>
      </c>
      <c r="Z28" s="155" t="str">
        <f ca="1">IFERROR(__xludf.DUMMYFUNCTION("""COMPUTED_VALUE"""),"")</f>
        <v/>
      </c>
      <c r="AA28" s="155" t="str">
        <f ca="1">IFERROR(__xludf.DUMMYFUNCTION("""COMPUTED_VALUE"""),"")</f>
        <v/>
      </c>
      <c r="AB28" s="155" t="str">
        <f ca="1">IFERROR(__xludf.DUMMYFUNCTION("""COMPUTED_VALUE"""),"")</f>
        <v/>
      </c>
      <c r="AC28" s="155" t="str">
        <f ca="1">IFERROR(__xludf.DUMMYFUNCTION("""COMPUTED_VALUE"""),"")</f>
        <v/>
      </c>
      <c r="AD28" s="155" t="str">
        <f ca="1">IFERROR(__xludf.DUMMYFUNCTION("""COMPUTED_VALUE"""),"")</f>
        <v/>
      </c>
      <c r="AE28" s="155" t="str">
        <f ca="1">IFERROR(__xludf.DUMMYFUNCTION("""COMPUTED_VALUE"""),"")</f>
        <v/>
      </c>
      <c r="AF28" s="155" t="str">
        <f ca="1">IFERROR(__xludf.DUMMYFUNCTION("""COMPUTED_VALUE"""),"")</f>
        <v/>
      </c>
      <c r="AG28" s="155" t="str">
        <f ca="1">IFERROR(__xludf.DUMMYFUNCTION("""COMPUTED_VALUE"""),"")</f>
        <v/>
      </c>
      <c r="AH28" s="155" t="str">
        <f ca="1">IFERROR(__xludf.DUMMYFUNCTION("""COMPUTED_VALUE"""),"")</f>
        <v/>
      </c>
      <c r="AI28" s="155" t="str">
        <f ca="1">IFERROR(__xludf.DUMMYFUNCTION("""COMPUTED_VALUE"""),"")</f>
        <v/>
      </c>
      <c r="AJ28" s="155" t="str">
        <f ca="1">IFERROR(__xludf.DUMMYFUNCTION("""COMPUTED_VALUE"""),"")</f>
        <v/>
      </c>
      <c r="AK28" s="155" t="str">
        <f ca="1">IFERROR(__xludf.DUMMYFUNCTION("""COMPUTED_VALUE"""),"")</f>
        <v/>
      </c>
      <c r="AL28" s="155" t="str">
        <f ca="1">IFERROR(__xludf.DUMMYFUNCTION("""COMPUTED_VALUE"""),"")</f>
        <v/>
      </c>
      <c r="AM28" s="155" t="str">
        <f ca="1">IFERROR(__xludf.DUMMYFUNCTION("""COMPUTED_VALUE"""),"")</f>
        <v/>
      </c>
      <c r="AN28" s="155" t="str">
        <f ca="1">IFERROR(__xludf.DUMMYFUNCTION("""COMPUTED_VALUE"""),"")</f>
        <v/>
      </c>
      <c r="AO28" s="155" t="str">
        <f ca="1">IFERROR(__xludf.DUMMYFUNCTION("""COMPUTED_VALUE"""),"")</f>
        <v/>
      </c>
      <c r="AP28" s="155" t="str">
        <f ca="1">IFERROR(__xludf.DUMMYFUNCTION("""COMPUTED_VALUE"""),"")</f>
        <v/>
      </c>
      <c r="AQ28" s="155" t="str">
        <f ca="1">IFERROR(__xludf.DUMMYFUNCTION("""COMPUTED_VALUE"""),"")</f>
        <v/>
      </c>
      <c r="AR28" s="155" t="str">
        <f ca="1">IFERROR(__xludf.DUMMYFUNCTION("""COMPUTED_VALUE"""),"")</f>
        <v/>
      </c>
      <c r="AS28" s="155" t="str">
        <f ca="1">IFERROR(__xludf.DUMMYFUNCTION("""COMPUTED_VALUE"""),"")</f>
        <v/>
      </c>
      <c r="AT28" s="155" t="str">
        <f ca="1">IFERROR(__xludf.DUMMYFUNCTION("""COMPUTED_VALUE"""),"")</f>
        <v/>
      </c>
      <c r="AU28" s="155" t="str">
        <f ca="1">IFERROR(__xludf.DUMMYFUNCTION("""COMPUTED_VALUE"""),"")</f>
        <v/>
      </c>
      <c r="AV28" s="155" t="str">
        <f ca="1">IFERROR(__xludf.DUMMYFUNCTION("""COMPUTED_VALUE"""),"")</f>
        <v/>
      </c>
      <c r="AW28" s="155" t="str">
        <f ca="1">IFERROR(__xludf.DUMMYFUNCTION("""COMPUTED_VALUE"""),"")</f>
        <v/>
      </c>
      <c r="AX28" s="155" t="str">
        <f ca="1">IFERROR(__xludf.DUMMYFUNCTION("""COMPUTED_VALUE"""),"")</f>
        <v/>
      </c>
      <c r="AY28" s="155" t="str">
        <f ca="1">IFERROR(__xludf.DUMMYFUNCTION("""COMPUTED_VALUE"""),"")</f>
        <v/>
      </c>
      <c r="AZ28" s="155" t="str">
        <f ca="1">IFERROR(__xludf.DUMMYFUNCTION("""COMPUTED_VALUE"""),"")</f>
        <v/>
      </c>
      <c r="BA28" s="155" t="str">
        <f ca="1">IFERROR(__xludf.DUMMYFUNCTION("""COMPUTED_VALUE"""),"")</f>
        <v/>
      </c>
      <c r="BB28" s="155" t="str">
        <f ca="1">IFERROR(__xludf.DUMMYFUNCTION("""COMPUTED_VALUE"""),"")</f>
        <v/>
      </c>
      <c r="BC28" s="155" t="str">
        <f ca="1">IFERROR(__xludf.DUMMYFUNCTION("""COMPUTED_VALUE"""),"")</f>
        <v/>
      </c>
      <c r="BD28" s="155" t="str">
        <f ca="1">IFERROR(__xludf.DUMMYFUNCTION("""COMPUTED_VALUE"""),"")</f>
        <v/>
      </c>
      <c r="BE28" s="155" t="str">
        <f ca="1">IFERROR(__xludf.DUMMYFUNCTION("""COMPUTED_VALUE"""),"")</f>
        <v/>
      </c>
      <c r="BF28" s="155" t="str">
        <f ca="1">IFERROR(__xludf.DUMMYFUNCTION("""COMPUTED_VALUE"""),"")</f>
        <v/>
      </c>
      <c r="BG28" s="155" t="str">
        <f ca="1">IFERROR(__xludf.DUMMYFUNCTION("""COMPUTED_VALUE"""),"")</f>
        <v/>
      </c>
      <c r="BH28" s="155" t="str">
        <f ca="1">IFERROR(__xludf.DUMMYFUNCTION("""COMPUTED_VALUE"""),"")</f>
        <v/>
      </c>
      <c r="BI28" s="155" t="str">
        <f ca="1">IFERROR(__xludf.DUMMYFUNCTION("""COMPUTED_VALUE"""),"")</f>
        <v/>
      </c>
      <c r="BJ28" s="155" t="str">
        <f ca="1">IFERROR(__xludf.DUMMYFUNCTION("""COMPUTED_VALUE"""),"")</f>
        <v/>
      </c>
      <c r="BK28" s="155" t="str">
        <f ca="1">IFERROR(__xludf.DUMMYFUNCTION("""COMPUTED_VALUE"""),"")</f>
        <v/>
      </c>
      <c r="BL28" s="155" t="str">
        <f ca="1">IFERROR(__xludf.DUMMYFUNCTION("""COMPUTED_VALUE"""),"")</f>
        <v/>
      </c>
      <c r="BM28" s="155" t="str">
        <f ca="1">IFERROR(__xludf.DUMMYFUNCTION("""COMPUTED_VALUE"""),"")</f>
        <v/>
      </c>
      <c r="BN28" s="155" t="str">
        <f ca="1">IFERROR(__xludf.DUMMYFUNCTION("""COMPUTED_VALUE"""),"")</f>
        <v/>
      </c>
      <c r="BO28" s="155" t="str">
        <f ca="1">IFERROR(__xludf.DUMMYFUNCTION("""COMPUTED_VALUE"""),"")</f>
        <v/>
      </c>
      <c r="BP28" s="155" t="str">
        <f ca="1">IFERROR(__xludf.DUMMYFUNCTION("""COMPUTED_VALUE"""),"")</f>
        <v/>
      </c>
      <c r="BQ28" s="155" t="str">
        <f ca="1">IFERROR(__xludf.DUMMYFUNCTION("""COMPUTED_VALUE"""),"")</f>
        <v/>
      </c>
      <c r="BR28" s="155" t="str">
        <f ca="1">IFERROR(__xludf.DUMMYFUNCTION("""COMPUTED_VALUE"""),"")</f>
        <v/>
      </c>
      <c r="BS28" s="155" t="str">
        <f ca="1">IFERROR(__xludf.DUMMYFUNCTION("""COMPUTED_VALUE"""),"")</f>
        <v/>
      </c>
      <c r="BT28" s="155" t="str">
        <f ca="1">IFERROR(__xludf.DUMMYFUNCTION("""COMPUTED_VALUE"""),"")</f>
        <v/>
      </c>
      <c r="BU28" s="155" t="str">
        <f ca="1">IFERROR(__xludf.DUMMYFUNCTION("""COMPUTED_VALUE"""),"")</f>
        <v/>
      </c>
      <c r="BV28" s="155" t="str">
        <f ca="1">IFERROR(__xludf.DUMMYFUNCTION("""COMPUTED_VALUE"""),"")</f>
        <v/>
      </c>
      <c r="BW28" s="155" t="str">
        <f ca="1">IFERROR(__xludf.DUMMYFUNCTION("""COMPUTED_VALUE"""),"")</f>
        <v/>
      </c>
      <c r="BX28" s="155"/>
      <c r="BY28" s="155"/>
      <c r="BZ28" s="155"/>
      <c r="CA28" s="155"/>
      <c r="CB28" s="155"/>
      <c r="CC28" s="155"/>
      <c r="CD28" s="155"/>
      <c r="CE28" s="155"/>
      <c r="CF28" s="155"/>
      <c r="CG28" s="155"/>
    </row>
    <row r="29" spans="1:85" ht="15.75" customHeight="1" x14ac:dyDescent="0.2">
      <c r="A29" s="155" t="str">
        <f ca="1">IFERROR(__xludf.DUMMYFUNCTION("""COMPUTED_VALUE"""),"  Organic")</f>
        <v xml:space="preserve">  Organic</v>
      </c>
      <c r="B29" s="155" t="str">
        <f ca="1">IFERROR(__xludf.DUMMYFUNCTION("""COMPUTED_VALUE"""),"")</f>
        <v/>
      </c>
      <c r="C29" s="155" t="str">
        <f ca="1">IFERROR(__xludf.DUMMYFUNCTION("""COMPUTED_VALUE"""),"")</f>
        <v/>
      </c>
      <c r="D29" s="119">
        <f ca="1">IFERROR(__xludf.DUMMYFUNCTION("""COMPUTED_VALUE"""),9)</f>
        <v>9</v>
      </c>
      <c r="E29" s="119">
        <f ca="1">IFERROR(__xludf.DUMMYFUNCTION("""COMPUTED_VALUE"""),24)</f>
        <v>24</v>
      </c>
      <c r="F29" s="119">
        <f ca="1">IFERROR(__xludf.DUMMYFUNCTION("""COMPUTED_VALUE"""),18)</f>
        <v>18</v>
      </c>
      <c r="G29" s="119">
        <f ca="1">IFERROR(__xludf.DUMMYFUNCTION("""COMPUTED_VALUE"""),24)</f>
        <v>24</v>
      </c>
      <c r="H29" s="119">
        <f ca="1">IFERROR(__xludf.DUMMYFUNCTION("""COMPUTED_VALUE"""),18)</f>
        <v>18</v>
      </c>
      <c r="I29" s="119">
        <f ca="1">IFERROR(__xludf.DUMMYFUNCTION("""COMPUTED_VALUE"""),24)</f>
        <v>24</v>
      </c>
      <c r="J29" s="119">
        <f ca="1">IFERROR(__xludf.DUMMYFUNCTION("""COMPUTED_VALUE"""),30)</f>
        <v>30</v>
      </c>
      <c r="K29" s="119">
        <f ca="1">IFERROR(__xludf.DUMMYFUNCTION("""COMPUTED_VALUE"""),31)</f>
        <v>31</v>
      </c>
      <c r="L29" s="119">
        <f ca="1">IFERROR(__xludf.DUMMYFUNCTION("""COMPUTED_VALUE"""),27)</f>
        <v>27</v>
      </c>
      <c r="M29" s="119">
        <f ca="1">IFERROR(__xludf.DUMMYFUNCTION("""COMPUTED_VALUE"""),29)</f>
        <v>29</v>
      </c>
      <c r="N29" s="119">
        <f ca="1">IFERROR(__xludf.DUMMYFUNCTION("""COMPUTED_VALUE"""),32)</f>
        <v>32</v>
      </c>
      <c r="O29" s="119">
        <f ca="1">IFERROR(__xludf.DUMMYFUNCTION("""COMPUTED_VALUE"""),32)</f>
        <v>32</v>
      </c>
      <c r="P29" s="119">
        <f ca="1">IFERROR(__xludf.DUMMYFUNCTION("""COMPUTED_VALUE"""),32)</f>
        <v>32</v>
      </c>
      <c r="Q29" s="119">
        <f ca="1">IFERROR(__xludf.DUMMYFUNCTION("""COMPUTED_VALUE"""),36)</f>
        <v>36</v>
      </c>
      <c r="R29" s="119">
        <f ca="1">IFERROR(__xludf.DUMMYFUNCTION("""COMPUTED_VALUE"""),33)</f>
        <v>33</v>
      </c>
      <c r="S29" s="119">
        <f ca="1">IFERROR(__xludf.DUMMYFUNCTION("""COMPUTED_VALUE"""),39)</f>
        <v>39</v>
      </c>
      <c r="T29" s="119">
        <f ca="1">IFERROR(__xludf.DUMMYFUNCTION("""COMPUTED_VALUE"""),29)</f>
        <v>29</v>
      </c>
      <c r="U29" s="119">
        <f ca="1">IFERROR(__xludf.DUMMYFUNCTION("""COMPUTED_VALUE"""),35)</f>
        <v>35</v>
      </c>
      <c r="V29" s="119">
        <f ca="1">IFERROR(__xludf.DUMMYFUNCTION("""COMPUTED_VALUE"""),35)</f>
        <v>35</v>
      </c>
      <c r="W29" s="119">
        <f ca="1">IFERROR(__xludf.DUMMYFUNCTION("""COMPUTED_VALUE"""),42)</f>
        <v>42</v>
      </c>
      <c r="X29" s="119">
        <f ca="1">IFERROR(__xludf.DUMMYFUNCTION("""COMPUTED_VALUE"""),43)</f>
        <v>43</v>
      </c>
      <c r="Y29" s="119">
        <f ca="1">IFERROR(__xludf.DUMMYFUNCTION("""COMPUTED_VALUE"""),42.3728083456716)</f>
        <v>42.372808345671601</v>
      </c>
      <c r="Z29" s="119">
        <f ca="1">IFERROR(__xludf.DUMMYFUNCTION("""COMPUTED_VALUE"""),44.966256179233)</f>
        <v>44.966256179233</v>
      </c>
      <c r="AA29" s="119">
        <f ca="1">IFERROR(__xludf.DUMMYFUNCTION("""COMPUTED_VALUE"""),45.0115701575839)</f>
        <v>45.011570157583897</v>
      </c>
      <c r="AB29" s="119">
        <f ca="1">IFERROR(__xludf.DUMMYFUNCTION("""COMPUTED_VALUE"""),45.7062500803302)</f>
        <v>45.7062500803302</v>
      </c>
      <c r="AC29" s="119">
        <f ca="1">IFERROR(__xludf.DUMMYFUNCTION("""COMPUTED_VALUE"""),46.8574279490124)</f>
        <v>46.857427949012397</v>
      </c>
      <c r="AD29" s="119">
        <f ca="1">IFERROR(__xludf.DUMMYFUNCTION("""COMPUTED_VALUE"""),47.5105292360728)</f>
        <v>47.510529236072799</v>
      </c>
      <c r="AE29" s="119">
        <f ca="1">IFERROR(__xludf.DUMMYFUNCTION("""COMPUTED_VALUE"""),48.3735250868742)</f>
        <v>48.373525086874203</v>
      </c>
      <c r="AF29" s="119">
        <f ca="1">IFERROR(__xludf.DUMMYFUNCTION("""COMPUTED_VALUE"""),43.685420797944)</f>
        <v>43.685420797943998</v>
      </c>
      <c r="AG29" s="119">
        <f ca="1">IFERROR(__xludf.DUMMYFUNCTION("""COMPUTED_VALUE"""),42.9250472610418)</f>
        <v>42.925047261041797</v>
      </c>
      <c r="AH29" s="119">
        <f ca="1">IFERROR(__xludf.DUMMYFUNCTION("""COMPUTED_VALUE"""),41.5147673246705)</f>
        <v>41.514767324670501</v>
      </c>
      <c r="AI29" s="119">
        <f ca="1">IFERROR(__xludf.DUMMYFUNCTION("""COMPUTED_VALUE"""),39.4053340059623)</f>
        <v>39.405334005962303</v>
      </c>
      <c r="AJ29" s="119">
        <f ca="1">IFERROR(__xludf.DUMMYFUNCTION("""COMPUTED_VALUE"""),38.0889793541443)</f>
        <v>38.0889793541443</v>
      </c>
      <c r="AK29" s="119">
        <f ca="1">IFERROR(__xludf.DUMMYFUNCTION("""COMPUTED_VALUE"""),36.6016308971742)</f>
        <v>36.601630897174203</v>
      </c>
      <c r="AL29" s="119">
        <f ca="1">IFERROR(__xludf.DUMMYFUNCTION("""COMPUTED_VALUE"""),35.090579765345)</f>
        <v>35.090579765344998</v>
      </c>
      <c r="AM29" s="119">
        <f ca="1">IFERROR(__xludf.DUMMYFUNCTION("""COMPUTED_VALUE"""),33.7635630266358)</f>
        <v>33.763563026635801</v>
      </c>
      <c r="AN29" s="119">
        <f ca="1">IFERROR(__xludf.DUMMYFUNCTION("""COMPUTED_VALUE"""),32.4332671283303)</f>
        <v>32.4332671283303</v>
      </c>
      <c r="AO29" s="119">
        <f ca="1">IFERROR(__xludf.DUMMYFUNCTION("""COMPUTED_VALUE"""),31.1512732566484)</f>
        <v>31.151273256648398</v>
      </c>
      <c r="AP29" s="119">
        <f ca="1">IFERROR(__xludf.DUMMYFUNCTION("""COMPUTED_VALUE"""),29.9397266923651)</f>
        <v>29.939726692365099</v>
      </c>
      <c r="AQ29" s="119">
        <f ca="1">IFERROR(__xludf.DUMMYFUNCTION("""COMPUTED_VALUE"""),28.7636933568175)</f>
        <v>28.763693356817502</v>
      </c>
      <c r="AR29" s="119">
        <f ca="1">IFERROR(__xludf.DUMMYFUNCTION("""COMPUTED_VALUE"""),27.6351039755532)</f>
        <v>27.6351039755532</v>
      </c>
      <c r="AS29" s="119">
        <f ca="1">IFERROR(__xludf.DUMMYFUNCTION("""COMPUTED_VALUE"""),26.5536946456255)</f>
        <v>26.553694645625502</v>
      </c>
      <c r="AT29" s="119">
        <f ca="1">IFERROR(__xludf.DUMMYFUNCTION("""COMPUTED_VALUE"""),25.5123094465496)</f>
        <v>25.512309446549601</v>
      </c>
      <c r="AU29" s="119">
        <f ca="1">IFERROR(__xludf.DUMMYFUNCTION("""COMPUTED_VALUE"""),24.5123357209828)</f>
        <v>24.512335720982801</v>
      </c>
      <c r="AV29" s="119">
        <f ca="1">IFERROR(__xludf.DUMMYFUNCTION("""COMPUTED_VALUE"""),23.5519181597889)</f>
        <v>23.551918159788901</v>
      </c>
      <c r="AW29" s="119">
        <f ca="1">IFERROR(__xludf.DUMMYFUNCTION("""COMPUTED_VALUE"""),22.6287120116679)</f>
        <v>22.628712011667901</v>
      </c>
      <c r="AX29" s="119">
        <f ca="1">IFERROR(__xludf.DUMMYFUNCTION("""COMPUTED_VALUE"""),21.7418522160937)</f>
        <v>21.741852216093701</v>
      </c>
      <c r="AY29" s="119">
        <f ca="1">IFERROR(__xludf.DUMMYFUNCTION("""COMPUTED_VALUE"""),20.8897809785951)</f>
        <v>20.889780978595098</v>
      </c>
      <c r="AZ29" s="119">
        <f ca="1">IFERROR(__xludf.DUMMYFUNCTION("""COMPUTED_VALUE"""),20.0710320063062)</f>
        <v>20.071032006306201</v>
      </c>
      <c r="BA29" s="119">
        <f ca="1">IFERROR(__xludf.DUMMYFUNCTION("""COMPUTED_VALUE"""),19.284409179118)</f>
        <v>19.284409179118001</v>
      </c>
      <c r="BB29" s="119">
        <f ca="1">IFERROR(__xludf.DUMMYFUNCTION("""COMPUTED_VALUE"""),18.5286145584666)</f>
        <v>18.5286145584666</v>
      </c>
      <c r="BC29" s="119">
        <f ca="1">IFERROR(__xludf.DUMMYFUNCTION("""COMPUTED_VALUE"""),17.8024301253203)</f>
        <v>17.802430125320299</v>
      </c>
      <c r="BD29" s="119">
        <f ca="1">IFERROR(__xludf.DUMMYFUNCTION("""COMPUTED_VALUE"""),17.1047142180744)</f>
        <v>17.104714218074399</v>
      </c>
      <c r="BE29" s="119">
        <f ca="1">IFERROR(__xludf.DUMMYFUNCTION("""COMPUTED_VALUE"""),16.434341924015)</f>
        <v>16.434341924015001</v>
      </c>
      <c r="BF29" s="119">
        <f ca="1">IFERROR(__xludf.DUMMYFUNCTION("""COMPUTED_VALUE"""),15.7902415450928)</f>
        <v>15.790241545092799</v>
      </c>
      <c r="BG29" s="119">
        <f ca="1">IFERROR(__xludf.DUMMYFUNCTION("""COMPUTED_VALUE"""),15.1713863847536)</f>
        <v>15.1713863847536</v>
      </c>
      <c r="BH29" s="119">
        <f ca="1">IFERROR(__xludf.DUMMYFUNCTION("""COMPUTED_VALUE"""),14.5767851043196)</f>
        <v>14.576785104319599</v>
      </c>
      <c r="BI29" s="119">
        <f ca="1">IFERROR(__xludf.DUMMYFUNCTION("""COMPUTED_VALUE"""),14.0054874462433)</f>
        <v>14.005487446243301</v>
      </c>
      <c r="BJ29" s="119">
        <f ca="1">IFERROR(__xludf.DUMMYFUNCTION("""COMPUTED_VALUE"""),13.4565805023999)</f>
        <v>13.4565805023999</v>
      </c>
      <c r="BK29" s="119">
        <f ca="1">IFERROR(__xludf.DUMMYFUNCTION("""COMPUTED_VALUE"""),12.9291863606666)</f>
        <v>12.9291863606666</v>
      </c>
      <c r="BL29" s="119">
        <f ca="1">IFERROR(__xludf.DUMMYFUNCTION("""COMPUTED_VALUE"""),12.422461993628)</f>
        <v>12.422461993628</v>
      </c>
      <c r="BM29" s="119">
        <f ca="1">IFERROR(__xludf.DUMMYFUNCTION("""COMPUTED_VALUE"""),11.9355973528454)</f>
        <v>11.9355973528454</v>
      </c>
      <c r="BN29" s="119">
        <f ca="1">IFERROR(__xludf.DUMMYFUNCTION("""COMPUTED_VALUE"""),11.4678140247121)</f>
        <v>11.4678140247121</v>
      </c>
      <c r="BO29" s="119">
        <f ca="1">IFERROR(__xludf.DUMMYFUNCTION("""COMPUTED_VALUE"""),11.0183641967143)</f>
        <v>11.0183641967143</v>
      </c>
      <c r="BP29" s="119">
        <f ca="1">IFERROR(__xludf.DUMMYFUNCTION("""COMPUTED_VALUE"""),10.586529339992)</f>
        <v>10.586529339992</v>
      </c>
      <c r="BQ29" s="119">
        <f ca="1">IFERROR(__xludf.DUMMYFUNCTION("""COMPUTED_VALUE"""),10.1716190728298)</f>
        <v>10.171619072829801</v>
      </c>
      <c r="BR29" s="119">
        <f ca="1">IFERROR(__xludf.DUMMYFUNCTION("""COMPUTED_VALUE"""),9.77297008800791)</f>
        <v>9.7729700880079093</v>
      </c>
      <c r="BS29" s="119">
        <f ca="1">IFERROR(__xludf.DUMMYFUNCTION("""COMPUTED_VALUE"""),9.38994506818503)</f>
        <v>9.3899450681850301</v>
      </c>
      <c r="BT29" s="119">
        <f ca="1">IFERROR(__xludf.DUMMYFUNCTION("""COMPUTED_VALUE"""),9.02193167288749)</f>
        <v>9.0219316728874901</v>
      </c>
      <c r="BU29" s="119">
        <f ca="1">IFERROR(__xludf.DUMMYFUNCTION("""COMPUTED_VALUE"""),8.66834156347995)</f>
        <v>8.6683415634799506</v>
      </c>
      <c r="BV29" s="119">
        <f ca="1">IFERROR(__xludf.DUMMYFUNCTION("""COMPUTED_VALUE"""),8.32860945815974)</f>
        <v>8.3286094581597396</v>
      </c>
      <c r="BW29" s="119">
        <f ca="1">IFERROR(__xludf.DUMMYFUNCTION("""COMPUTED_VALUE"""),8.002192229889)</f>
        <v>8.0021922298889994</v>
      </c>
      <c r="BX29" s="119"/>
      <c r="BY29" s="119"/>
      <c r="BZ29" s="119"/>
      <c r="CA29" s="119"/>
      <c r="CB29" s="119"/>
      <c r="CC29" s="119"/>
      <c r="CD29" s="119"/>
      <c r="CE29" s="119"/>
      <c r="CF29" s="119"/>
      <c r="CG29" s="119"/>
    </row>
    <row r="30" spans="1:85" ht="15.75" customHeight="1" x14ac:dyDescent="0.2">
      <c r="A30" s="157" t="str">
        <f ca="1">IFERROR(__xludf.DUMMYFUNCTION("""COMPUTED_VALUE"""),"  Adwords")</f>
        <v xml:space="preserve">  Adwords</v>
      </c>
      <c r="B30" s="157" t="str">
        <f ca="1">IFERROR(__xludf.DUMMYFUNCTION("""COMPUTED_VALUE"""),"")</f>
        <v/>
      </c>
      <c r="C30" s="157" t="str">
        <f ca="1">IFERROR(__xludf.DUMMYFUNCTION("""COMPUTED_VALUE"""),"")</f>
        <v/>
      </c>
      <c r="D30" s="158">
        <f ca="1">IFERROR(__xludf.DUMMYFUNCTION("""COMPUTED_VALUE"""),8.7)</f>
        <v>8.6999999999999993</v>
      </c>
      <c r="E30" s="158">
        <f ca="1">IFERROR(__xludf.DUMMYFUNCTION("""COMPUTED_VALUE"""),20)</f>
        <v>20</v>
      </c>
      <c r="F30" s="158">
        <f ca="1">IFERROR(__xludf.DUMMYFUNCTION("""COMPUTED_VALUE"""),16.2)</f>
        <v>16.2</v>
      </c>
      <c r="G30" s="158">
        <f ca="1">IFERROR(__xludf.DUMMYFUNCTION("""COMPUTED_VALUE"""),22)</f>
        <v>22</v>
      </c>
      <c r="H30" s="158">
        <f ca="1">IFERROR(__xludf.DUMMYFUNCTION("""COMPUTED_VALUE"""),17.7)</f>
        <v>17.7</v>
      </c>
      <c r="I30" s="158">
        <f ca="1">IFERROR(__xludf.DUMMYFUNCTION("""COMPUTED_VALUE"""),21)</f>
        <v>21</v>
      </c>
      <c r="J30" s="158">
        <f ca="1">IFERROR(__xludf.DUMMYFUNCTION("""COMPUTED_VALUE"""),27)</f>
        <v>27</v>
      </c>
      <c r="K30" s="158">
        <f ca="1">IFERROR(__xludf.DUMMYFUNCTION("""COMPUTED_VALUE"""),25.8)</f>
        <v>25.8</v>
      </c>
      <c r="L30" s="158">
        <f ca="1">IFERROR(__xludf.DUMMYFUNCTION("""COMPUTED_VALUE"""),25)</f>
        <v>25</v>
      </c>
      <c r="M30" s="158">
        <f ca="1">IFERROR(__xludf.DUMMYFUNCTION("""COMPUTED_VALUE"""),29)</f>
        <v>29</v>
      </c>
      <c r="N30" s="158">
        <f ca="1">IFERROR(__xludf.DUMMYFUNCTION("""COMPUTED_VALUE"""),27)</f>
        <v>27</v>
      </c>
      <c r="O30" s="158">
        <f ca="1">IFERROR(__xludf.DUMMYFUNCTION("""COMPUTED_VALUE"""),27)</f>
        <v>27</v>
      </c>
      <c r="P30" s="158">
        <f ca="1">IFERROR(__xludf.DUMMYFUNCTION("""COMPUTED_VALUE"""),29)</f>
        <v>29</v>
      </c>
      <c r="Q30" s="158">
        <f ca="1">IFERROR(__xludf.DUMMYFUNCTION("""COMPUTED_VALUE"""),32)</f>
        <v>32</v>
      </c>
      <c r="R30" s="158">
        <f ca="1">IFERROR(__xludf.DUMMYFUNCTION("""COMPUTED_VALUE"""),32)</f>
        <v>32</v>
      </c>
      <c r="S30" s="158">
        <f ca="1">IFERROR(__xludf.DUMMYFUNCTION("""COMPUTED_VALUE"""),35)</f>
        <v>35</v>
      </c>
      <c r="T30" s="158">
        <f ca="1">IFERROR(__xludf.DUMMYFUNCTION("""COMPUTED_VALUE"""),27)</f>
        <v>27</v>
      </c>
      <c r="U30" s="158">
        <f ca="1">IFERROR(__xludf.DUMMYFUNCTION("""COMPUTED_VALUE"""),29)</f>
        <v>29</v>
      </c>
      <c r="V30" s="158">
        <f ca="1">IFERROR(__xludf.DUMMYFUNCTION("""COMPUTED_VALUE"""),35)</f>
        <v>35</v>
      </c>
      <c r="W30" s="158">
        <f ca="1">IFERROR(__xludf.DUMMYFUNCTION("""COMPUTED_VALUE"""),42)</f>
        <v>42</v>
      </c>
      <c r="X30" s="158">
        <f ca="1">IFERROR(__xludf.DUMMYFUNCTION("""COMPUTED_VALUE"""),39)</f>
        <v>39</v>
      </c>
      <c r="Y30" s="158">
        <f ca="1">IFERROR(__xludf.DUMMYFUNCTION("""COMPUTED_VALUE"""),34.8313393396714)</f>
        <v>34.831339339671402</v>
      </c>
      <c r="Z30" s="158">
        <f ca="1">IFERROR(__xludf.DUMMYFUNCTION("""COMPUTED_VALUE"""),38.3639624047367)</f>
        <v>38.363962404736696</v>
      </c>
      <c r="AA30" s="158">
        <f ca="1">IFERROR(__xludf.DUMMYFUNCTION("""COMPUTED_VALUE"""),40.3995574991549)</f>
        <v>40.399557499154902</v>
      </c>
      <c r="AB30" s="158">
        <f ca="1">IFERROR(__xludf.DUMMYFUNCTION("""COMPUTED_VALUE"""),41.5555191477152)</f>
        <v>41.555519147715202</v>
      </c>
      <c r="AC30" s="158">
        <f ca="1">IFERROR(__xludf.DUMMYFUNCTION("""COMPUTED_VALUE"""),43.1602092657913)</f>
        <v>43.160209265791302</v>
      </c>
      <c r="AD30" s="158">
        <f ca="1">IFERROR(__xludf.DUMMYFUNCTION("""COMPUTED_VALUE"""),40.6775341893133)</f>
        <v>40.677534189313299</v>
      </c>
      <c r="AE30" s="158">
        <f ca="1">IFERROR(__xludf.DUMMYFUNCTION("""COMPUTED_VALUE"""),38.8192812615312)</f>
        <v>38.819281261531202</v>
      </c>
      <c r="AF30" s="158">
        <f ca="1">IFERROR(__xludf.DUMMYFUNCTION("""COMPUTED_VALUE"""),34.7800719238396)</f>
        <v>34.7800719238396</v>
      </c>
      <c r="AG30" s="158">
        <f ca="1">IFERROR(__xludf.DUMMYFUNCTION("""COMPUTED_VALUE"""),38.2287608834423)</f>
        <v>38.228760883442298</v>
      </c>
      <c r="AH30" s="158">
        <f ca="1">IFERROR(__xludf.DUMMYFUNCTION("""COMPUTED_VALUE"""),41.7209406871454)</f>
        <v>41.720940687145401</v>
      </c>
      <c r="AI30" s="158">
        <f ca="1">IFERROR(__xludf.DUMMYFUNCTION("""COMPUTED_VALUE"""),45.1965774371986)</f>
        <v>45.196577437198599</v>
      </c>
      <c r="AJ30" s="158">
        <f ca="1">IFERROR(__xludf.DUMMYFUNCTION("""COMPUTED_VALUE"""),48.6679973919169)</f>
        <v>48.667997391916899</v>
      </c>
      <c r="AK30" s="158">
        <f ca="1">IFERROR(__xludf.DUMMYFUNCTION("""COMPUTED_VALUE"""),52.1482751985619)</f>
        <v>52.148275198561898</v>
      </c>
      <c r="AL30" s="158">
        <f ca="1">IFERROR(__xludf.DUMMYFUNCTION("""COMPUTED_VALUE"""),55.6239428676867)</f>
        <v>55.623942867686701</v>
      </c>
      <c r="AM30" s="158">
        <f ca="1">IFERROR(__xludf.DUMMYFUNCTION("""COMPUTED_VALUE"""),59.0996369508625)</f>
        <v>59.099636950862497</v>
      </c>
      <c r="AN30" s="158">
        <f ca="1">IFERROR(__xludf.DUMMYFUNCTION("""COMPUTED_VALUE"""),62.5769456314167)</f>
        <v>62.576945631416699</v>
      </c>
      <c r="AO30" s="158">
        <f ca="1">IFERROR(__xludf.DUMMYFUNCTION("""COMPUTED_VALUE"""),66.0531369323402)</f>
        <v>66.053136932340195</v>
      </c>
      <c r="AP30" s="158">
        <f ca="1">IFERROR(__xludf.DUMMYFUNCTION("""COMPUTED_VALUE"""),69.5295257461554)</f>
        <v>69.5295257461554</v>
      </c>
      <c r="AQ30" s="158">
        <f ca="1">IFERROR(__xludf.DUMMYFUNCTION("""COMPUTED_VALUE"""),73.0061714825993)</f>
        <v>73.006171482599299</v>
      </c>
      <c r="AR30" s="158">
        <f ca="1">IFERROR(__xludf.DUMMYFUNCTION("""COMPUTED_VALUE"""),76.4825725257348)</f>
        <v>76.482572525734795</v>
      </c>
      <c r="AS30" s="158">
        <f ca="1">IFERROR(__xludf.DUMMYFUNCTION("""COMPUTED_VALUE"""),79.9590508627501)</f>
        <v>79.959050862750104</v>
      </c>
      <c r="AT30" s="158">
        <f ca="1">IFERROR(__xludf.DUMMYFUNCTION("""COMPUTED_VALUE"""),83.4355617713033)</f>
        <v>83.435561771303298</v>
      </c>
      <c r="AU30" s="158">
        <f ca="1">IFERROR(__xludf.DUMMYFUNCTION("""COMPUTED_VALUE"""),86.9120236086189)</f>
        <v>86.912023608618895</v>
      </c>
      <c r="AV30" s="158">
        <f ca="1">IFERROR(__xludf.DUMMYFUNCTION("""COMPUTED_VALUE"""),90.3885075320761)</f>
        <v>90.388507532076105</v>
      </c>
      <c r="AW30" s="158">
        <f ca="1">IFERROR(__xludf.DUMMYFUNCTION("""COMPUTED_VALUE"""),93.8649934483194)</f>
        <v>93.864993448319396</v>
      </c>
      <c r="AX30" s="158">
        <f ca="1">IFERROR(__xludf.DUMMYFUNCTION("""COMPUTED_VALUE"""),97.3414703652873)</f>
        <v>97.341470365287293</v>
      </c>
      <c r="AY30" s="158">
        <f ca="1">IFERROR(__xludf.DUMMYFUNCTION("""COMPUTED_VALUE"""),100.817952704009)</f>
        <v>100.817952704009</v>
      </c>
      <c r="AZ30" s="158">
        <f ca="1">IFERROR(__xludf.DUMMYFUNCTION("""COMPUTED_VALUE"""),98.8702344475066)</f>
        <v>98.870234447506604</v>
      </c>
      <c r="BA30" s="158">
        <f ca="1">IFERROR(__xludf.DUMMYFUNCTION("""COMPUTED_VALUE"""),101.581972818427)</f>
        <v>101.581972818427</v>
      </c>
      <c r="BB30" s="158">
        <f ca="1">IFERROR(__xludf.DUMMYFUNCTION("""COMPUTED_VALUE"""),103.943822320223)</f>
        <v>103.94382232022301</v>
      </c>
      <c r="BC30" s="158">
        <f ca="1">IFERROR(__xludf.DUMMYFUNCTION("""COMPUTED_VALUE"""),105.838369295353)</f>
        <v>105.838369295353</v>
      </c>
      <c r="BD30" s="158">
        <f ca="1">IFERROR(__xludf.DUMMYFUNCTION("""COMPUTED_VALUE"""),107.149658266709)</f>
        <v>107.149658266709</v>
      </c>
      <c r="BE30" s="158">
        <f ca="1">IFERROR(__xludf.DUMMYFUNCTION("""COMPUTED_VALUE"""),109.312172020128)</f>
        <v>109.312172020128</v>
      </c>
      <c r="BF30" s="158">
        <f ca="1">IFERROR(__xludf.DUMMYFUNCTION("""COMPUTED_VALUE"""),111.331232754549)</f>
        <v>111.33123275454901</v>
      </c>
      <c r="BG30" s="158">
        <f ca="1">IFERROR(__xludf.DUMMYFUNCTION("""COMPUTED_VALUE"""),113.260760115749)</f>
        <v>113.26076011574899</v>
      </c>
      <c r="BH30" s="158">
        <f ca="1">IFERROR(__xludf.DUMMYFUNCTION("""COMPUTED_VALUE"""),115.199424110851)</f>
        <v>115.199424110851</v>
      </c>
      <c r="BI30" s="158">
        <f ca="1">IFERROR(__xludf.DUMMYFUNCTION("""COMPUTED_VALUE"""),117.301952942048)</f>
        <v>117.301952942048</v>
      </c>
      <c r="BJ30" s="119">
        <f ca="1">IFERROR(__xludf.DUMMYFUNCTION("""COMPUTED_VALUE"""),119.388814256507)</f>
        <v>119.388814256507</v>
      </c>
      <c r="BK30" s="119">
        <f ca="1">IFERROR(__xludf.DUMMYFUNCTION("""COMPUTED_VALUE"""),121.493384499546)</f>
        <v>121.493384499546</v>
      </c>
      <c r="BL30" s="119">
        <f ca="1">IFERROR(__xludf.DUMMYFUNCTION("""COMPUTED_VALUE"""),123.643674409155)</f>
        <v>123.643674409155</v>
      </c>
      <c r="BM30" s="119">
        <f ca="1">IFERROR(__xludf.DUMMYFUNCTION("""COMPUTED_VALUE"""),125.849239173846)</f>
        <v>125.849239173846</v>
      </c>
      <c r="BN30" s="119">
        <f ca="1">IFERROR(__xludf.DUMMYFUNCTION("""COMPUTED_VALUE"""),128.081716028668)</f>
        <v>128.08171602866801</v>
      </c>
      <c r="BO30" s="119">
        <f ca="1">IFERROR(__xludf.DUMMYFUNCTION("""COMPUTED_VALUE"""),130.352226394525)</f>
        <v>130.35222639452499</v>
      </c>
      <c r="BP30" s="119">
        <f ca="1">IFERROR(__xludf.DUMMYFUNCTION("""COMPUTED_VALUE"""),132.666078879179)</f>
        <v>132.666078879179</v>
      </c>
      <c r="BQ30" s="119">
        <f ca="1">IFERROR(__xludf.DUMMYFUNCTION("""COMPUTED_VALUE"""),135.022652486205)</f>
        <v>135.022652486205</v>
      </c>
      <c r="BR30" s="119">
        <f ca="1">IFERROR(__xludf.DUMMYFUNCTION("""COMPUTED_VALUE"""),137.418668289653)</f>
        <v>137.418668289653</v>
      </c>
      <c r="BS30" s="119">
        <f ca="1">IFERROR(__xludf.DUMMYFUNCTION("""COMPUTED_VALUE"""),139.85739904497)</f>
        <v>139.85739904497001</v>
      </c>
      <c r="BT30" s="119">
        <f ca="1">IFERROR(__xludf.DUMMYFUNCTION("""COMPUTED_VALUE"""),142.340067503422)</f>
        <v>142.34006750342201</v>
      </c>
      <c r="BU30" s="119">
        <f ca="1">IFERROR(__xludf.DUMMYFUNCTION("""COMPUTED_VALUE"""),144.866829226505)</f>
        <v>144.86682922650499</v>
      </c>
      <c r="BV30" s="119">
        <f ca="1">IFERROR(__xludf.DUMMYFUNCTION("""COMPUTED_VALUE"""),147.438042605946)</f>
        <v>147.43804260594601</v>
      </c>
      <c r="BW30" s="119">
        <f ca="1">IFERROR(__xludf.DUMMYFUNCTION("""COMPUTED_VALUE"""),150.055016069046)</f>
        <v>150.05501606904599</v>
      </c>
      <c r="BX30" s="119"/>
      <c r="BY30" s="119"/>
      <c r="BZ30" s="119"/>
      <c r="CA30" s="119"/>
      <c r="CB30" s="119"/>
      <c r="CC30" s="119"/>
      <c r="CD30" s="119"/>
      <c r="CE30" s="119"/>
      <c r="CF30" s="119"/>
      <c r="CG30" s="119"/>
    </row>
    <row r="31" spans="1:85" ht="15.75" customHeight="1" x14ac:dyDescent="0.2">
      <c r="A31" s="159" t="str">
        <f ca="1">IFERROR(__xludf.DUMMYFUNCTION("""COMPUTED_VALUE"""),"Total Trials")</f>
        <v>Total Trials</v>
      </c>
      <c r="B31" s="155" t="str">
        <f ca="1">IFERROR(__xludf.DUMMYFUNCTION("""COMPUTED_VALUE"""),"")</f>
        <v/>
      </c>
      <c r="C31" s="155" t="str">
        <f ca="1">IFERROR(__xludf.DUMMYFUNCTION("""COMPUTED_VALUE"""),"")</f>
        <v/>
      </c>
      <c r="D31" s="160">
        <f ca="1">IFERROR(__xludf.DUMMYFUNCTION("""COMPUTED_VALUE"""),17.7)</f>
        <v>17.7</v>
      </c>
      <c r="E31" s="160">
        <f ca="1">IFERROR(__xludf.DUMMYFUNCTION("""COMPUTED_VALUE"""),44)</f>
        <v>44</v>
      </c>
      <c r="F31" s="160">
        <f ca="1">IFERROR(__xludf.DUMMYFUNCTION("""COMPUTED_VALUE"""),34.2)</f>
        <v>34.200000000000003</v>
      </c>
      <c r="G31" s="160">
        <f ca="1">IFERROR(__xludf.DUMMYFUNCTION("""COMPUTED_VALUE"""),46)</f>
        <v>46</v>
      </c>
      <c r="H31" s="160">
        <f ca="1">IFERROR(__xludf.DUMMYFUNCTION("""COMPUTED_VALUE"""),35.7)</f>
        <v>35.700000000000003</v>
      </c>
      <c r="I31" s="160">
        <f ca="1">IFERROR(__xludf.DUMMYFUNCTION("""COMPUTED_VALUE"""),45)</f>
        <v>45</v>
      </c>
      <c r="J31" s="160">
        <f ca="1">IFERROR(__xludf.DUMMYFUNCTION("""COMPUTED_VALUE"""),57)</f>
        <v>57</v>
      </c>
      <c r="K31" s="160">
        <f ca="1">IFERROR(__xludf.DUMMYFUNCTION("""COMPUTED_VALUE"""),56.8)</f>
        <v>56.8</v>
      </c>
      <c r="L31" s="160">
        <f ca="1">IFERROR(__xludf.DUMMYFUNCTION("""COMPUTED_VALUE"""),52)</f>
        <v>52</v>
      </c>
      <c r="M31" s="160">
        <f ca="1">IFERROR(__xludf.DUMMYFUNCTION("""COMPUTED_VALUE"""),58)</f>
        <v>58</v>
      </c>
      <c r="N31" s="160">
        <f ca="1">IFERROR(__xludf.DUMMYFUNCTION("""COMPUTED_VALUE"""),59)</f>
        <v>59</v>
      </c>
      <c r="O31" s="160">
        <f ca="1">IFERROR(__xludf.DUMMYFUNCTION("""COMPUTED_VALUE"""),59)</f>
        <v>59</v>
      </c>
      <c r="P31" s="160">
        <f ca="1">IFERROR(__xludf.DUMMYFUNCTION("""COMPUTED_VALUE"""),61)</f>
        <v>61</v>
      </c>
      <c r="Q31" s="160">
        <f ca="1">IFERROR(__xludf.DUMMYFUNCTION("""COMPUTED_VALUE"""),68)</f>
        <v>68</v>
      </c>
      <c r="R31" s="160">
        <f ca="1">IFERROR(__xludf.DUMMYFUNCTION("""COMPUTED_VALUE"""),65)</f>
        <v>65</v>
      </c>
      <c r="S31" s="160">
        <f ca="1">IFERROR(__xludf.DUMMYFUNCTION("""COMPUTED_VALUE"""),74)</f>
        <v>74</v>
      </c>
      <c r="T31" s="160">
        <f ca="1">IFERROR(__xludf.DUMMYFUNCTION("""COMPUTED_VALUE"""),56)</f>
        <v>56</v>
      </c>
      <c r="U31" s="160">
        <f ca="1">IFERROR(__xludf.DUMMYFUNCTION("""COMPUTED_VALUE"""),64)</f>
        <v>64</v>
      </c>
      <c r="V31" s="160">
        <f ca="1">IFERROR(__xludf.DUMMYFUNCTION("""COMPUTED_VALUE"""),70)</f>
        <v>70</v>
      </c>
      <c r="W31" s="160">
        <f ca="1">IFERROR(__xludf.DUMMYFUNCTION("""COMPUTED_VALUE"""),84)</f>
        <v>84</v>
      </c>
      <c r="X31" s="160">
        <f ca="1">IFERROR(__xludf.DUMMYFUNCTION("""COMPUTED_VALUE"""),82)</f>
        <v>82</v>
      </c>
      <c r="Y31" s="160">
        <f ca="1">IFERROR(__xludf.DUMMYFUNCTION("""COMPUTED_VALUE"""),77.204147685343)</f>
        <v>77.204147685343003</v>
      </c>
      <c r="Z31" s="160">
        <f ca="1">IFERROR(__xludf.DUMMYFUNCTION("""COMPUTED_VALUE"""),83.3302185839698)</f>
        <v>83.330218583969796</v>
      </c>
      <c r="AA31" s="160">
        <f ca="1">IFERROR(__xludf.DUMMYFUNCTION("""COMPUTED_VALUE"""),85.4111276567389)</f>
        <v>85.411127656738898</v>
      </c>
      <c r="AB31" s="160">
        <f ca="1">IFERROR(__xludf.DUMMYFUNCTION("""COMPUTED_VALUE"""),87.2617692280455)</f>
        <v>87.261769228045495</v>
      </c>
      <c r="AC31" s="160">
        <f ca="1">IFERROR(__xludf.DUMMYFUNCTION("""COMPUTED_VALUE"""),90.0176372148038)</f>
        <v>90.017637214803798</v>
      </c>
      <c r="AD31" s="160">
        <f ca="1">IFERROR(__xludf.DUMMYFUNCTION("""COMPUTED_VALUE"""),88.1880634253861)</f>
        <v>88.188063425386105</v>
      </c>
      <c r="AE31" s="160">
        <f ca="1">IFERROR(__xludf.DUMMYFUNCTION("""COMPUTED_VALUE"""),87.1928063484055)</f>
        <v>87.192806348405497</v>
      </c>
      <c r="AF31" s="160">
        <f ca="1">IFERROR(__xludf.DUMMYFUNCTION("""COMPUTED_VALUE"""),78.4654927217837)</f>
        <v>78.465492721783704</v>
      </c>
      <c r="AG31" s="160">
        <f ca="1">IFERROR(__xludf.DUMMYFUNCTION("""COMPUTED_VALUE"""),81.1538081444841)</f>
        <v>81.153808144484103</v>
      </c>
      <c r="AH31" s="160">
        <f ca="1">IFERROR(__xludf.DUMMYFUNCTION("""COMPUTED_VALUE"""),83.235708011816)</f>
        <v>83.235708011816001</v>
      </c>
      <c r="AI31" s="160">
        <f ca="1">IFERROR(__xludf.DUMMYFUNCTION("""COMPUTED_VALUE"""),84.6019114431609)</f>
        <v>84.601911443160901</v>
      </c>
      <c r="AJ31" s="160">
        <f ca="1">IFERROR(__xludf.DUMMYFUNCTION("""COMPUTED_VALUE"""),86.7569767460613)</f>
        <v>86.756976746061298</v>
      </c>
      <c r="AK31" s="160">
        <f ca="1">IFERROR(__xludf.DUMMYFUNCTION("""COMPUTED_VALUE"""),88.7499060957362)</f>
        <v>88.749906095736193</v>
      </c>
      <c r="AL31" s="160">
        <f ca="1">IFERROR(__xludf.DUMMYFUNCTION("""COMPUTED_VALUE"""),90.7145226330317)</f>
        <v>90.714522633031706</v>
      </c>
      <c r="AM31" s="160">
        <f ca="1">IFERROR(__xludf.DUMMYFUNCTION("""COMPUTED_VALUE"""),92.8631999774984)</f>
        <v>92.863199977498397</v>
      </c>
      <c r="AN31" s="160">
        <f ca="1">IFERROR(__xludf.DUMMYFUNCTION("""COMPUTED_VALUE"""),95.010212759747)</f>
        <v>95.010212759747006</v>
      </c>
      <c r="AO31" s="160">
        <f ca="1">IFERROR(__xludf.DUMMYFUNCTION("""COMPUTED_VALUE"""),97.2044101889887)</f>
        <v>97.204410188988703</v>
      </c>
      <c r="AP31" s="160">
        <f ca="1">IFERROR(__xludf.DUMMYFUNCTION("""COMPUTED_VALUE"""),99.4692524385205)</f>
        <v>99.469252438520499</v>
      </c>
      <c r="AQ31" s="160">
        <f ca="1">IFERROR(__xludf.DUMMYFUNCTION("""COMPUTED_VALUE"""),101.769864839416)</f>
        <v>101.769864839416</v>
      </c>
      <c r="AR31" s="160">
        <f ca="1">IFERROR(__xludf.DUMMYFUNCTION("""COMPUTED_VALUE"""),104.117676501288)</f>
        <v>104.117676501288</v>
      </c>
      <c r="AS31" s="160">
        <f ca="1">IFERROR(__xludf.DUMMYFUNCTION("""COMPUTED_VALUE"""),106.512745508375)</f>
        <v>106.512745508375</v>
      </c>
      <c r="AT31" s="160">
        <f ca="1">IFERROR(__xludf.DUMMYFUNCTION("""COMPUTED_VALUE"""),108.947871217853)</f>
        <v>108.94787121785301</v>
      </c>
      <c r="AU31" s="160">
        <f ca="1">IFERROR(__xludf.DUMMYFUNCTION("""COMPUTED_VALUE"""),111.424359329601)</f>
        <v>111.424359329601</v>
      </c>
      <c r="AV31" s="160">
        <f ca="1">IFERROR(__xludf.DUMMYFUNCTION("""COMPUTED_VALUE"""),113.940425691865)</f>
        <v>113.940425691865</v>
      </c>
      <c r="AW31" s="160">
        <f ca="1">IFERROR(__xludf.DUMMYFUNCTION("""COMPUTED_VALUE"""),116.493705459987)</f>
        <v>116.493705459987</v>
      </c>
      <c r="AX31" s="160">
        <f ca="1">IFERROR(__xludf.DUMMYFUNCTION("""COMPUTED_VALUE"""),119.083322581381)</f>
        <v>119.083322581381</v>
      </c>
      <c r="AY31" s="160">
        <f ca="1">IFERROR(__xludf.DUMMYFUNCTION("""COMPUTED_VALUE"""),121.707733682605)</f>
        <v>121.707733682605</v>
      </c>
      <c r="AZ31" s="160">
        <f ca="1">IFERROR(__xludf.DUMMYFUNCTION("""COMPUTED_VALUE"""),118.941266453812)</f>
        <v>118.94126645381201</v>
      </c>
      <c r="BA31" s="160">
        <f ca="1">IFERROR(__xludf.DUMMYFUNCTION("""COMPUTED_VALUE"""),120.866381997545)</f>
        <v>120.86638199754501</v>
      </c>
      <c r="BB31" s="160">
        <f ca="1">IFERROR(__xludf.DUMMYFUNCTION("""COMPUTED_VALUE"""),122.472436878689)</f>
        <v>122.472436878689</v>
      </c>
      <c r="BC31" s="160">
        <f ca="1">IFERROR(__xludf.DUMMYFUNCTION("""COMPUTED_VALUE"""),123.640799420673)</f>
        <v>123.64079942067301</v>
      </c>
      <c r="BD31" s="160">
        <f ca="1">IFERROR(__xludf.DUMMYFUNCTION("""COMPUTED_VALUE"""),124.254372484783)</f>
        <v>124.254372484783</v>
      </c>
      <c r="BE31" s="160">
        <f ca="1">IFERROR(__xludf.DUMMYFUNCTION("""COMPUTED_VALUE"""),125.746513944143)</f>
        <v>125.746513944143</v>
      </c>
      <c r="BF31" s="160">
        <f ca="1">IFERROR(__xludf.DUMMYFUNCTION("""COMPUTED_VALUE"""),127.121474299641)</f>
        <v>127.12147429964099</v>
      </c>
      <c r="BG31" s="160">
        <f ca="1">IFERROR(__xludf.DUMMYFUNCTION("""COMPUTED_VALUE"""),128.432146500503)</f>
        <v>128.43214650050299</v>
      </c>
      <c r="BH31" s="160">
        <f ca="1">IFERROR(__xludf.DUMMYFUNCTION("""COMPUTED_VALUE"""),129.776209215171)</f>
        <v>129.77620921517101</v>
      </c>
      <c r="BI31" s="160">
        <f ca="1">IFERROR(__xludf.DUMMYFUNCTION("""COMPUTED_VALUE"""),131.307440388291)</f>
        <v>131.30744038829101</v>
      </c>
      <c r="BJ31" s="160">
        <f ca="1">IFERROR(__xludf.DUMMYFUNCTION("""COMPUTED_VALUE"""),132.845394758907)</f>
        <v>132.84539475890699</v>
      </c>
      <c r="BK31" s="160">
        <f ca="1">IFERROR(__xludf.DUMMYFUNCTION("""COMPUTED_VALUE"""),134.422570860213)</f>
        <v>134.422570860213</v>
      </c>
      <c r="BL31" s="160">
        <f ca="1">IFERROR(__xludf.DUMMYFUNCTION("""COMPUTED_VALUE"""),136.066136402783)</f>
        <v>136.066136402783</v>
      </c>
      <c r="BM31" s="160">
        <f ca="1">IFERROR(__xludf.DUMMYFUNCTION("""COMPUTED_VALUE"""),137.784836526692)</f>
        <v>137.784836526692</v>
      </c>
      <c r="BN31" s="160">
        <f ca="1">IFERROR(__xludf.DUMMYFUNCTION("""COMPUTED_VALUE"""),139.54953005338)</f>
        <v>139.54953005338001</v>
      </c>
      <c r="BO31" s="160">
        <f ca="1">IFERROR(__xludf.DUMMYFUNCTION("""COMPUTED_VALUE"""),141.370590591239)</f>
        <v>141.37059059123899</v>
      </c>
      <c r="BP31" s="160">
        <f ca="1">IFERROR(__xludf.DUMMYFUNCTION("""COMPUTED_VALUE"""),143.252608219171)</f>
        <v>143.25260821917101</v>
      </c>
      <c r="BQ31" s="160">
        <f ca="1">IFERROR(__xludf.DUMMYFUNCTION("""COMPUTED_VALUE"""),145.194271559035)</f>
        <v>145.194271559035</v>
      </c>
      <c r="BR31" s="160">
        <f ca="1">IFERROR(__xludf.DUMMYFUNCTION("""COMPUTED_VALUE"""),147.191638377661)</f>
        <v>147.19163837766101</v>
      </c>
      <c r="BS31" s="160">
        <f ca="1">IFERROR(__xludf.DUMMYFUNCTION("""COMPUTED_VALUE"""),149.247344113155)</f>
        <v>149.24734411315501</v>
      </c>
      <c r="BT31" s="160">
        <f ca="1">IFERROR(__xludf.DUMMYFUNCTION("""COMPUTED_VALUE"""),151.36199917631)</f>
        <v>151.36199917631001</v>
      </c>
      <c r="BU31" s="160">
        <f ca="1">IFERROR(__xludf.DUMMYFUNCTION("""COMPUTED_VALUE"""),153.535170789985)</f>
        <v>153.53517078998499</v>
      </c>
      <c r="BV31" s="160">
        <f ca="1">IFERROR(__xludf.DUMMYFUNCTION("""COMPUTED_VALUE"""),155.766652064106)</f>
        <v>155.76665206410601</v>
      </c>
      <c r="BW31" s="160">
        <f ca="1">IFERROR(__xludf.DUMMYFUNCTION("""COMPUTED_VALUE"""),158.057208298935)</f>
        <v>158.057208298935</v>
      </c>
      <c r="BX31" s="160"/>
      <c r="BY31" s="160"/>
      <c r="BZ31" s="160"/>
      <c r="CA31" s="160"/>
      <c r="CB31" s="160"/>
      <c r="CC31" s="160"/>
      <c r="CD31" s="160"/>
      <c r="CE31" s="160"/>
      <c r="CF31" s="160"/>
      <c r="CG31" s="160"/>
    </row>
    <row r="32" spans="1:85" ht="15.75" customHeight="1" x14ac:dyDescent="0.2">
      <c r="A32" s="155" t="str">
        <f ca="1">IFERROR(__xludf.DUMMYFUNCTION("""COMPUTED_VALUE"""),"  Opp-to-Trial Conversion Rate")</f>
        <v xml:space="preserve">  Opp-to-Trial Conversion Rate</v>
      </c>
      <c r="B32" s="155" t="str">
        <f ca="1">IFERROR(__xludf.DUMMYFUNCTION("""COMPUTED_VALUE"""),"")</f>
        <v/>
      </c>
      <c r="C32" s="155" t="str">
        <f ca="1">IFERROR(__xludf.DUMMYFUNCTION("""COMPUTED_VALUE"""),"")</f>
        <v/>
      </c>
      <c r="D32" s="162">
        <f ca="1">IFERROR(__xludf.DUMMYFUNCTION("""COMPUTED_VALUE"""),0.670454545454545)</f>
        <v>0.67045454545454497</v>
      </c>
      <c r="E32" s="162">
        <f ca="1">IFERROR(__xludf.DUMMYFUNCTION("""COMPUTED_VALUE"""),0.763888888888889)</f>
        <v>0.76388888888888895</v>
      </c>
      <c r="F32" s="162">
        <f ca="1">IFERROR(__xludf.DUMMYFUNCTION("""COMPUTED_VALUE"""),0.59375)</f>
        <v>0.59375</v>
      </c>
      <c r="G32" s="162">
        <f ca="1">IFERROR(__xludf.DUMMYFUNCTION("""COMPUTED_VALUE"""),0.667634252539912)</f>
        <v>0.66763425253991204</v>
      </c>
      <c r="H32" s="162">
        <f ca="1">IFERROR(__xludf.DUMMYFUNCTION("""COMPUTED_VALUE"""),0.657458563535911)</f>
        <v>0.65745856353591103</v>
      </c>
      <c r="I32" s="162">
        <f ca="1">IFERROR(__xludf.DUMMYFUNCTION("""COMPUTED_VALUE"""),0.775862068965517)</f>
        <v>0.77586206896551702</v>
      </c>
      <c r="J32" s="162">
        <f ca="1">IFERROR(__xludf.DUMMYFUNCTION("""COMPUTED_VALUE"""),0.684273709483793)</f>
        <v>0.68427370948379296</v>
      </c>
      <c r="K32" s="162">
        <f ca="1">IFERROR(__xludf.DUMMYFUNCTION("""COMPUTED_VALUE"""),0.803394625176803)</f>
        <v>0.80339462517680305</v>
      </c>
      <c r="L32" s="162">
        <f ca="1">IFERROR(__xludf.DUMMYFUNCTION("""COMPUTED_VALUE"""),0.577136514983351)</f>
        <v>0.57713651498335095</v>
      </c>
      <c r="M32" s="162">
        <f ca="1">IFERROR(__xludf.DUMMYFUNCTION("""COMPUTED_VALUE"""),0.536540240518038)</f>
        <v>0.53654024051803795</v>
      </c>
      <c r="N32" s="162">
        <f ca="1">IFERROR(__xludf.DUMMYFUNCTION("""COMPUTED_VALUE"""),0.444611906556141)</f>
        <v>0.44461190655614102</v>
      </c>
      <c r="O32" s="162">
        <f ca="1">IFERROR(__xludf.DUMMYFUNCTION("""COMPUTED_VALUE"""),0.313996806812134)</f>
        <v>0.31399680681213399</v>
      </c>
      <c r="P32" s="162">
        <f ca="1">IFERROR(__xludf.DUMMYFUNCTION("""COMPUTED_VALUE"""),0.222222222222222)</f>
        <v>0.22222222222222199</v>
      </c>
      <c r="Q32" s="162">
        <f ca="1">IFERROR(__xludf.DUMMYFUNCTION("""COMPUTED_VALUE"""),0.229885057471264)</f>
        <v>0.229885057471264</v>
      </c>
      <c r="R32" s="162">
        <f ca="1">IFERROR(__xludf.DUMMYFUNCTION("""COMPUTED_VALUE"""),0.339602925809822)</f>
        <v>0.33960292580982199</v>
      </c>
      <c r="S32" s="162">
        <f ca="1">IFERROR(__xludf.DUMMYFUNCTION("""COMPUTED_VALUE"""),0.317324185248713)</f>
        <v>0.31732418524871298</v>
      </c>
      <c r="T32" s="162">
        <f ca="1">IFERROR(__xludf.DUMMYFUNCTION("""COMPUTED_VALUE"""),0.291211648465938)</f>
        <v>0.291211648465938</v>
      </c>
      <c r="U32" s="162">
        <f ca="1">IFERROR(__xludf.DUMMYFUNCTION("""COMPUTED_VALUE"""),0.316518298714144)</f>
        <v>0.316518298714144</v>
      </c>
      <c r="V32" s="162">
        <f ca="1">IFERROR(__xludf.DUMMYFUNCTION("""COMPUTED_VALUE"""),0.317316409791477)</f>
        <v>0.31731640979147702</v>
      </c>
      <c r="W32" s="162">
        <f ca="1">IFERROR(__xludf.DUMMYFUNCTION("""COMPUTED_VALUE"""),0.55813953488372)</f>
        <v>0.55813953488372003</v>
      </c>
      <c r="X32" s="162">
        <f ca="1">IFERROR(__xludf.DUMMYFUNCTION("""COMPUTED_VALUE"""),0.426195426195426)</f>
        <v>0.426195426195426</v>
      </c>
      <c r="Y32" s="162">
        <f ca="1">IFERROR(__xludf.DUMMYFUNCTION("""COMPUTED_VALUE"""),0.416367550390088)</f>
        <v>0.41636755039008799</v>
      </c>
      <c r="Z32" s="162">
        <f ca="1">IFERROR(__xludf.DUMMYFUNCTION("""COMPUTED_VALUE"""),0.459517563423047)</f>
        <v>0.459517563423047</v>
      </c>
      <c r="AA32" s="162">
        <f ca="1">IFERROR(__xludf.DUMMYFUNCTION("""COMPUTED_VALUE"""),0.434190977886509)</f>
        <v>0.43419097788650901</v>
      </c>
      <c r="AB32" s="162">
        <f ca="1">IFERROR(__xludf.DUMMYFUNCTION("""COMPUTED_VALUE"""),0.437219497234326)</f>
        <v>0.43721949723432602</v>
      </c>
      <c r="AC32" s="162">
        <f ca="1">IFERROR(__xludf.DUMMYFUNCTION("""COMPUTED_VALUE"""),0.443646838287216)</f>
        <v>0.44364683828721602</v>
      </c>
      <c r="AD32" s="162">
        <f ca="1">IFERROR(__xludf.DUMMYFUNCTION("""COMPUTED_VALUE"""),0.437683849404013)</f>
        <v>0.437683849404013</v>
      </c>
      <c r="AE32" s="162">
        <f ca="1">IFERROR(__xludf.DUMMYFUNCTION("""COMPUTED_VALUE"""),0.438197734991806)</f>
        <v>0.43819773499180598</v>
      </c>
      <c r="AF32" s="162">
        <f ca="1">IFERROR(__xludf.DUMMYFUNCTION("""COMPUTED_VALUE"""),0.438943510462855)</f>
        <v>0.43894351046285501</v>
      </c>
      <c r="AG32" s="162">
        <f ca="1">IFERROR(__xludf.DUMMYFUNCTION("""COMPUTED_VALUE"""),0.439260760285614)</f>
        <v>0.439260760285614</v>
      </c>
      <c r="AH32" s="162">
        <f ca="1">IFERROR(__xludf.DUMMYFUNCTION("""COMPUTED_VALUE"""),0.441138431706047)</f>
        <v>0.441138431706047</v>
      </c>
      <c r="AI32" s="162">
        <f ca="1">IFERROR(__xludf.DUMMYFUNCTION("""COMPUTED_VALUE"""),0.442827466451995)</f>
        <v>0.442827466451995</v>
      </c>
      <c r="AJ32" s="162">
        <f ca="1">IFERROR(__xludf.DUMMYFUNCTION("""COMPUTED_VALUE"""),0.443975895174703)</f>
        <v>0.44397589517470298</v>
      </c>
      <c r="AK32" s="162">
        <f ca="1">IFERROR(__xludf.DUMMYFUNCTION("""COMPUTED_VALUE"""),0.445398334363151)</f>
        <v>0.44539833436315102</v>
      </c>
      <c r="AL32" s="162">
        <f ca="1">IFERROR(__xludf.DUMMYFUNCTION("""COMPUTED_VALUE"""),0.446674281053733)</f>
        <v>0.44667428105373302</v>
      </c>
      <c r="AM32" s="162">
        <f ca="1">IFERROR(__xludf.DUMMYFUNCTION("""COMPUTED_VALUE"""),0.447818713186342)</f>
        <v>0.44781871318634198</v>
      </c>
      <c r="AN32" s="162">
        <f ca="1">IFERROR(__xludf.DUMMYFUNCTION("""COMPUTED_VALUE"""),0.448964280444167)</f>
        <v>0.44896428044416697</v>
      </c>
      <c r="AO32" s="162">
        <f ca="1">IFERROR(__xludf.DUMMYFUNCTION("""COMPUTED_VALUE"""),0.450023339546351)</f>
        <v>0.45002333954635099</v>
      </c>
      <c r="AP32" s="162">
        <f ca="1">IFERROR(__xludf.DUMMYFUNCTION("""COMPUTED_VALUE"""),0.451015936086512)</f>
        <v>0.45101593608651203</v>
      </c>
      <c r="AQ32" s="162">
        <f ca="1">IFERROR(__xludf.DUMMYFUNCTION("""COMPUTED_VALUE"""),0.451962699417796)</f>
        <v>0.45196269941779599</v>
      </c>
      <c r="AR32" s="162">
        <f ca="1">IFERROR(__xludf.DUMMYFUNCTION("""COMPUTED_VALUE"""),0.452848954565963)</f>
        <v>0.45284895456596302</v>
      </c>
      <c r="AS32" s="162">
        <f ca="1">IFERROR(__xludf.DUMMYFUNCTION("""COMPUTED_VALUE"""),0.453683167058963)</f>
        <v>0.453683167058963</v>
      </c>
      <c r="AT32" s="162">
        <f ca="1">IFERROR(__xludf.DUMMYFUNCTION("""COMPUTED_VALUE"""),0.454469868283131)</f>
        <v>0.45446986828313102</v>
      </c>
      <c r="AU32" s="162">
        <f ca="1">IFERROR(__xludf.DUMMYFUNCTION("""COMPUTED_VALUE"""),0.455208620078583)</f>
        <v>0.45520862007858298</v>
      </c>
      <c r="AV32" s="162">
        <f ca="1">IFERROR(__xludf.DUMMYFUNCTION("""COMPUTED_VALUE"""),0.455903402133964)</f>
        <v>0.45590340213396402</v>
      </c>
      <c r="AW32" s="162">
        <f ca="1">IFERROR(__xludf.DUMMYFUNCTION("""COMPUTED_VALUE"""),0.456556720711906)</f>
        <v>0.45655672071190601</v>
      </c>
      <c r="AX32" s="162">
        <f ca="1">IFERROR(__xludf.DUMMYFUNCTION("""COMPUTED_VALUE"""),0.45717045979007)</f>
        <v>0.45717045979006998</v>
      </c>
      <c r="AY32" s="162">
        <f ca="1">IFERROR(__xludf.DUMMYFUNCTION("""COMPUTED_VALUE"""),0.457747199470065)</f>
        <v>0.45774719947006498</v>
      </c>
      <c r="AZ32" s="162">
        <f ca="1">IFERROR(__xludf.DUMMYFUNCTION("""COMPUTED_VALUE"""),0.457899916041848)</f>
        <v>0.45789991604184799</v>
      </c>
      <c r="BA32" s="162">
        <f ca="1">IFERROR(__xludf.DUMMYFUNCTION("""COMPUTED_VALUE"""),0.458386231319094)</f>
        <v>0.45838623131909401</v>
      </c>
      <c r="BB32" s="162">
        <f ca="1">IFERROR(__xludf.DUMMYFUNCTION("""COMPUTED_VALUE"""),0.458824130796351)</f>
        <v>0.45882413079635098</v>
      </c>
      <c r="BC32" s="162">
        <f ca="1">IFERROR(__xludf.DUMMYFUNCTION("""COMPUTED_VALUE"""),0.459211826764515)</f>
        <v>0.459211826764515</v>
      </c>
      <c r="BD32" s="162">
        <f ca="1">IFERROR(__xludf.DUMMYFUNCTION("""COMPUTED_VALUE"""),0.459548196687501)</f>
        <v>0.45954819668750102</v>
      </c>
      <c r="BE32" s="162">
        <f ca="1">IFERROR(__xludf.DUMMYFUNCTION("""COMPUTED_VALUE"""),0.45991908554467)</f>
        <v>0.45991908554466998</v>
      </c>
      <c r="BF32" s="162">
        <f ca="1">IFERROR(__xludf.DUMMYFUNCTION("""COMPUTED_VALUE"""),0.4602647250493)</f>
        <v>0.46026472504929999</v>
      </c>
      <c r="BG32" s="162">
        <f ca="1">IFERROR(__xludf.DUMMYFUNCTION("""COMPUTED_VALUE"""),0.460589809649189)</f>
        <v>0.460589809649189</v>
      </c>
      <c r="BH32" s="162">
        <f ca="1">IFERROR(__xludf.DUMMYFUNCTION("""COMPUTED_VALUE"""),0.460900313997287)</f>
        <v>0.46090031399728698</v>
      </c>
      <c r="BI32" s="162">
        <f ca="1">IFERROR(__xludf.DUMMYFUNCTION("""COMPUTED_VALUE"""),0.461203493318249)</f>
        <v>0.461203493318249</v>
      </c>
      <c r="BJ32" s="162">
        <f ca="1">IFERROR(__xludf.DUMMYFUNCTION("""COMPUTED_VALUE"""),0.461491298620917)</f>
        <v>0.46149129862091698</v>
      </c>
      <c r="BK32" s="162">
        <f ca="1">IFERROR(__xludf.DUMMYFUNCTION("""COMPUTED_VALUE"""),0.461765771134251)</f>
        <v>0.46176577113425099</v>
      </c>
      <c r="BL32" s="162">
        <f ca="1">IFERROR(__xludf.DUMMYFUNCTION("""COMPUTED_VALUE"""),0.462028415352695)</f>
        <v>0.46202841535269501</v>
      </c>
      <c r="BM32" s="162">
        <f ca="1">IFERROR(__xludf.DUMMYFUNCTION("""COMPUTED_VALUE"""),0.462279858202692)</f>
        <v>0.46227985820269202</v>
      </c>
      <c r="BN32" s="162">
        <f ca="1">IFERROR(__xludf.DUMMYFUNCTION("""COMPUTED_VALUE"""),0.462519457012445)</f>
        <v>0.46251945701244501</v>
      </c>
      <c r="BO32" s="162">
        <f ca="1">IFERROR(__xludf.DUMMYFUNCTION("""COMPUTED_VALUE"""),0.462747988536248)</f>
        <v>0.46274798853624799</v>
      </c>
      <c r="BP32" s="162">
        <f ca="1">IFERROR(__xludf.DUMMYFUNCTION("""COMPUTED_VALUE"""),0.462965980165067)</f>
        <v>0.46296598016506701</v>
      </c>
      <c r="BQ32" s="162">
        <f ca="1">IFERROR(__xludf.DUMMYFUNCTION("""COMPUTED_VALUE"""),0.463173768665937)</f>
        <v>0.46317376866593701</v>
      </c>
      <c r="BR32" s="162">
        <f ca="1">IFERROR(__xludf.DUMMYFUNCTION("""COMPUTED_VALUE"""),0.463371633179761)</f>
        <v>0.46337163317976099</v>
      </c>
      <c r="BS32" s="162">
        <f ca="1">IFERROR(__xludf.DUMMYFUNCTION("""COMPUTED_VALUE"""),0.463560023819182)</f>
        <v>0.46356002381918199</v>
      </c>
      <c r="BT32" s="162">
        <f ca="1">IFERROR(__xludf.DUMMYFUNCTION("""COMPUTED_VALUE"""),0.463739324598489)</f>
        <v>0.46373932459848899</v>
      </c>
      <c r="BU32" s="162">
        <f ca="1">IFERROR(__xludf.DUMMYFUNCTION("""COMPUTED_VALUE"""),0.463909888831079)</f>
        <v>0.46390988883107898</v>
      </c>
      <c r="BV32" s="162">
        <f ca="1">IFERROR(__xludf.DUMMYFUNCTION("""COMPUTED_VALUE"""),0.464072069439724)</f>
        <v>0.46407206943972401</v>
      </c>
      <c r="BW32" s="162">
        <f ca="1">IFERROR(__xludf.DUMMYFUNCTION("""COMPUTED_VALUE"""),0.464226229561619)</f>
        <v>0.46422622956161902</v>
      </c>
      <c r="BX32" s="162"/>
      <c r="BY32" s="162"/>
      <c r="BZ32" s="162"/>
      <c r="CA32" s="162"/>
      <c r="CB32" s="162"/>
      <c r="CC32" s="162"/>
      <c r="CD32" s="162"/>
      <c r="CE32" s="162"/>
      <c r="CF32" s="162"/>
      <c r="CG32" s="162"/>
    </row>
    <row r="33" spans="1:85" ht="15.75" customHeight="1" x14ac:dyDescent="0.2">
      <c r="A33" s="155" t="str">
        <f ca="1">IFERROR(__xludf.DUMMYFUNCTION("""COMPUTED_VALUE"""),"New Customers")</f>
        <v>New Customers</v>
      </c>
      <c r="B33" s="155" t="str">
        <f ca="1">IFERROR(__xludf.DUMMYFUNCTION("""COMPUTED_VALUE"""),"")</f>
        <v/>
      </c>
      <c r="C33" s="155" t="str">
        <f ca="1">IFERROR(__xludf.DUMMYFUNCTION("""COMPUTED_VALUE"""),"")</f>
        <v/>
      </c>
      <c r="D33" s="155" t="str">
        <f ca="1">IFERROR(__xludf.DUMMYFUNCTION("""COMPUTED_VALUE"""),"")</f>
        <v/>
      </c>
      <c r="E33" s="155" t="str">
        <f ca="1">IFERROR(__xludf.DUMMYFUNCTION("""COMPUTED_VALUE"""),"")</f>
        <v/>
      </c>
      <c r="F33" s="155" t="str">
        <f ca="1">IFERROR(__xludf.DUMMYFUNCTION("""COMPUTED_VALUE"""),"")</f>
        <v/>
      </c>
      <c r="G33" s="155" t="str">
        <f ca="1">IFERROR(__xludf.DUMMYFUNCTION("""COMPUTED_VALUE"""),"")</f>
        <v/>
      </c>
      <c r="H33" s="155" t="str">
        <f ca="1">IFERROR(__xludf.DUMMYFUNCTION("""COMPUTED_VALUE"""),"")</f>
        <v/>
      </c>
      <c r="I33" s="155" t="str">
        <f ca="1">IFERROR(__xludf.DUMMYFUNCTION("""COMPUTED_VALUE"""),"")</f>
        <v/>
      </c>
      <c r="J33" s="155" t="str">
        <f ca="1">IFERROR(__xludf.DUMMYFUNCTION("""COMPUTED_VALUE"""),"")</f>
        <v/>
      </c>
      <c r="K33" s="155" t="str">
        <f ca="1">IFERROR(__xludf.DUMMYFUNCTION("""COMPUTED_VALUE"""),"")</f>
        <v/>
      </c>
      <c r="L33" s="155" t="str">
        <f ca="1">IFERROR(__xludf.DUMMYFUNCTION("""COMPUTED_VALUE"""),"")</f>
        <v/>
      </c>
      <c r="M33" s="155" t="str">
        <f ca="1">IFERROR(__xludf.DUMMYFUNCTION("""COMPUTED_VALUE"""),"")</f>
        <v/>
      </c>
      <c r="N33" s="155" t="str">
        <f ca="1">IFERROR(__xludf.DUMMYFUNCTION("""COMPUTED_VALUE"""),"")</f>
        <v/>
      </c>
      <c r="O33" s="155" t="str">
        <f ca="1">IFERROR(__xludf.DUMMYFUNCTION("""COMPUTED_VALUE"""),"")</f>
        <v/>
      </c>
      <c r="P33" s="155" t="str">
        <f ca="1">IFERROR(__xludf.DUMMYFUNCTION("""COMPUTED_VALUE"""),"")</f>
        <v/>
      </c>
      <c r="Q33" s="155" t="str">
        <f ca="1">IFERROR(__xludf.DUMMYFUNCTION("""COMPUTED_VALUE"""),"")</f>
        <v/>
      </c>
      <c r="R33" s="155" t="str">
        <f ca="1">IFERROR(__xludf.DUMMYFUNCTION("""COMPUTED_VALUE"""),"")</f>
        <v/>
      </c>
      <c r="S33" s="155" t="str">
        <f ca="1">IFERROR(__xludf.DUMMYFUNCTION("""COMPUTED_VALUE"""),"")</f>
        <v/>
      </c>
      <c r="T33" s="155" t="str">
        <f ca="1">IFERROR(__xludf.DUMMYFUNCTION("""COMPUTED_VALUE"""),"")</f>
        <v/>
      </c>
      <c r="U33" s="155" t="str">
        <f ca="1">IFERROR(__xludf.DUMMYFUNCTION("""COMPUTED_VALUE"""),"")</f>
        <v/>
      </c>
      <c r="V33" s="155" t="str">
        <f ca="1">IFERROR(__xludf.DUMMYFUNCTION("""COMPUTED_VALUE"""),"")</f>
        <v/>
      </c>
      <c r="W33" s="155" t="str">
        <f ca="1">IFERROR(__xludf.DUMMYFUNCTION("""COMPUTED_VALUE"""),"")</f>
        <v/>
      </c>
      <c r="X33" s="155" t="str">
        <f ca="1">IFERROR(__xludf.DUMMYFUNCTION("""COMPUTED_VALUE"""),"")</f>
        <v/>
      </c>
      <c r="Y33" s="155" t="str">
        <f ca="1">IFERROR(__xludf.DUMMYFUNCTION("""COMPUTED_VALUE"""),"")</f>
        <v/>
      </c>
      <c r="Z33" s="155" t="str">
        <f ca="1">IFERROR(__xludf.DUMMYFUNCTION("""COMPUTED_VALUE"""),"")</f>
        <v/>
      </c>
      <c r="AA33" s="155" t="str">
        <f ca="1">IFERROR(__xludf.DUMMYFUNCTION("""COMPUTED_VALUE"""),"")</f>
        <v/>
      </c>
      <c r="AB33" s="155" t="str">
        <f ca="1">IFERROR(__xludf.DUMMYFUNCTION("""COMPUTED_VALUE"""),"")</f>
        <v/>
      </c>
      <c r="AC33" s="155" t="str">
        <f ca="1">IFERROR(__xludf.DUMMYFUNCTION("""COMPUTED_VALUE"""),"")</f>
        <v/>
      </c>
      <c r="AD33" s="155" t="str">
        <f ca="1">IFERROR(__xludf.DUMMYFUNCTION("""COMPUTED_VALUE"""),"")</f>
        <v/>
      </c>
      <c r="AE33" s="155" t="str">
        <f ca="1">IFERROR(__xludf.DUMMYFUNCTION("""COMPUTED_VALUE"""),"")</f>
        <v/>
      </c>
      <c r="AF33" s="155" t="str">
        <f ca="1">IFERROR(__xludf.DUMMYFUNCTION("""COMPUTED_VALUE"""),"")</f>
        <v/>
      </c>
      <c r="AG33" s="155" t="str">
        <f ca="1">IFERROR(__xludf.DUMMYFUNCTION("""COMPUTED_VALUE"""),"")</f>
        <v/>
      </c>
      <c r="AH33" s="155" t="str">
        <f ca="1">IFERROR(__xludf.DUMMYFUNCTION("""COMPUTED_VALUE"""),"")</f>
        <v/>
      </c>
      <c r="AI33" s="155" t="str">
        <f ca="1">IFERROR(__xludf.DUMMYFUNCTION("""COMPUTED_VALUE"""),"")</f>
        <v/>
      </c>
      <c r="AJ33" s="155" t="str">
        <f ca="1">IFERROR(__xludf.DUMMYFUNCTION("""COMPUTED_VALUE"""),"")</f>
        <v/>
      </c>
      <c r="AK33" s="155" t="str">
        <f ca="1">IFERROR(__xludf.DUMMYFUNCTION("""COMPUTED_VALUE"""),"")</f>
        <v/>
      </c>
      <c r="AL33" s="155" t="str">
        <f ca="1">IFERROR(__xludf.DUMMYFUNCTION("""COMPUTED_VALUE"""),"")</f>
        <v/>
      </c>
      <c r="AM33" s="155" t="str">
        <f ca="1">IFERROR(__xludf.DUMMYFUNCTION("""COMPUTED_VALUE"""),"")</f>
        <v/>
      </c>
      <c r="AN33" s="155" t="str">
        <f ca="1">IFERROR(__xludf.DUMMYFUNCTION("""COMPUTED_VALUE"""),"")</f>
        <v/>
      </c>
      <c r="AO33" s="155" t="str">
        <f ca="1">IFERROR(__xludf.DUMMYFUNCTION("""COMPUTED_VALUE"""),"")</f>
        <v/>
      </c>
      <c r="AP33" s="155" t="str">
        <f ca="1">IFERROR(__xludf.DUMMYFUNCTION("""COMPUTED_VALUE"""),"")</f>
        <v/>
      </c>
      <c r="AQ33" s="155" t="str">
        <f ca="1">IFERROR(__xludf.DUMMYFUNCTION("""COMPUTED_VALUE"""),"")</f>
        <v/>
      </c>
      <c r="AR33" s="155" t="str">
        <f ca="1">IFERROR(__xludf.DUMMYFUNCTION("""COMPUTED_VALUE"""),"")</f>
        <v/>
      </c>
      <c r="AS33" s="155" t="str">
        <f ca="1">IFERROR(__xludf.DUMMYFUNCTION("""COMPUTED_VALUE"""),"")</f>
        <v/>
      </c>
      <c r="AT33" s="155" t="str">
        <f ca="1">IFERROR(__xludf.DUMMYFUNCTION("""COMPUTED_VALUE"""),"")</f>
        <v/>
      </c>
      <c r="AU33" s="155" t="str">
        <f ca="1">IFERROR(__xludf.DUMMYFUNCTION("""COMPUTED_VALUE"""),"")</f>
        <v/>
      </c>
      <c r="AV33" s="155" t="str">
        <f ca="1">IFERROR(__xludf.DUMMYFUNCTION("""COMPUTED_VALUE"""),"")</f>
        <v/>
      </c>
      <c r="AW33" s="155" t="str">
        <f ca="1">IFERROR(__xludf.DUMMYFUNCTION("""COMPUTED_VALUE"""),"")</f>
        <v/>
      </c>
      <c r="AX33" s="155" t="str">
        <f ca="1">IFERROR(__xludf.DUMMYFUNCTION("""COMPUTED_VALUE"""),"")</f>
        <v/>
      </c>
      <c r="AY33" s="155" t="str">
        <f ca="1">IFERROR(__xludf.DUMMYFUNCTION("""COMPUTED_VALUE"""),"")</f>
        <v/>
      </c>
      <c r="AZ33" s="155" t="str">
        <f ca="1">IFERROR(__xludf.DUMMYFUNCTION("""COMPUTED_VALUE"""),"")</f>
        <v/>
      </c>
      <c r="BA33" s="155" t="str">
        <f ca="1">IFERROR(__xludf.DUMMYFUNCTION("""COMPUTED_VALUE"""),"")</f>
        <v/>
      </c>
      <c r="BB33" s="155" t="str">
        <f ca="1">IFERROR(__xludf.DUMMYFUNCTION("""COMPUTED_VALUE"""),"")</f>
        <v/>
      </c>
      <c r="BC33" s="155" t="str">
        <f ca="1">IFERROR(__xludf.DUMMYFUNCTION("""COMPUTED_VALUE"""),"")</f>
        <v/>
      </c>
      <c r="BD33" s="155" t="str">
        <f ca="1">IFERROR(__xludf.DUMMYFUNCTION("""COMPUTED_VALUE"""),"")</f>
        <v/>
      </c>
      <c r="BE33" s="155" t="str">
        <f ca="1">IFERROR(__xludf.DUMMYFUNCTION("""COMPUTED_VALUE"""),"")</f>
        <v/>
      </c>
      <c r="BF33" s="155" t="str">
        <f ca="1">IFERROR(__xludf.DUMMYFUNCTION("""COMPUTED_VALUE"""),"")</f>
        <v/>
      </c>
      <c r="BG33" s="155" t="str">
        <f ca="1">IFERROR(__xludf.DUMMYFUNCTION("""COMPUTED_VALUE"""),"")</f>
        <v/>
      </c>
      <c r="BH33" s="155" t="str">
        <f ca="1">IFERROR(__xludf.DUMMYFUNCTION("""COMPUTED_VALUE"""),"")</f>
        <v/>
      </c>
      <c r="BI33" s="155" t="str">
        <f ca="1">IFERROR(__xludf.DUMMYFUNCTION("""COMPUTED_VALUE"""),"")</f>
        <v/>
      </c>
      <c r="BJ33" s="155" t="str">
        <f ca="1">IFERROR(__xludf.DUMMYFUNCTION("""COMPUTED_VALUE"""),"")</f>
        <v/>
      </c>
      <c r="BK33" s="155" t="str">
        <f ca="1">IFERROR(__xludf.DUMMYFUNCTION("""COMPUTED_VALUE"""),"")</f>
        <v/>
      </c>
      <c r="BL33" s="155" t="str">
        <f ca="1">IFERROR(__xludf.DUMMYFUNCTION("""COMPUTED_VALUE"""),"")</f>
        <v/>
      </c>
      <c r="BM33" s="155" t="str">
        <f ca="1">IFERROR(__xludf.DUMMYFUNCTION("""COMPUTED_VALUE"""),"")</f>
        <v/>
      </c>
      <c r="BN33" s="155" t="str">
        <f ca="1">IFERROR(__xludf.DUMMYFUNCTION("""COMPUTED_VALUE"""),"")</f>
        <v/>
      </c>
      <c r="BO33" s="155" t="str">
        <f ca="1">IFERROR(__xludf.DUMMYFUNCTION("""COMPUTED_VALUE"""),"")</f>
        <v/>
      </c>
      <c r="BP33" s="155" t="str">
        <f ca="1">IFERROR(__xludf.DUMMYFUNCTION("""COMPUTED_VALUE"""),"")</f>
        <v/>
      </c>
      <c r="BQ33" s="155" t="str">
        <f ca="1">IFERROR(__xludf.DUMMYFUNCTION("""COMPUTED_VALUE"""),"")</f>
        <v/>
      </c>
      <c r="BR33" s="155" t="str">
        <f ca="1">IFERROR(__xludf.DUMMYFUNCTION("""COMPUTED_VALUE"""),"")</f>
        <v/>
      </c>
      <c r="BS33" s="155" t="str">
        <f ca="1">IFERROR(__xludf.DUMMYFUNCTION("""COMPUTED_VALUE"""),"")</f>
        <v/>
      </c>
      <c r="BT33" s="155" t="str">
        <f ca="1">IFERROR(__xludf.DUMMYFUNCTION("""COMPUTED_VALUE"""),"")</f>
        <v/>
      </c>
      <c r="BU33" s="155" t="str">
        <f ca="1">IFERROR(__xludf.DUMMYFUNCTION("""COMPUTED_VALUE"""),"")</f>
        <v/>
      </c>
      <c r="BV33" s="155" t="str">
        <f ca="1">IFERROR(__xludf.DUMMYFUNCTION("""COMPUTED_VALUE"""),"")</f>
        <v/>
      </c>
      <c r="BW33" s="155" t="str">
        <f ca="1">IFERROR(__xludf.DUMMYFUNCTION("""COMPUTED_VALUE"""),"")</f>
        <v/>
      </c>
      <c r="BX33" s="155"/>
      <c r="BY33" s="155"/>
      <c r="BZ33" s="155"/>
      <c r="CA33" s="155"/>
      <c r="CB33" s="155"/>
      <c r="CC33" s="155"/>
      <c r="CD33" s="155"/>
      <c r="CE33" s="155"/>
      <c r="CF33" s="155"/>
      <c r="CG33" s="155"/>
    </row>
    <row r="34" spans="1:85" ht="15.75" customHeight="1" x14ac:dyDescent="0.2">
      <c r="A34" s="155" t="str">
        <f ca="1">IFERROR(__xludf.DUMMYFUNCTION("""COMPUTED_VALUE"""),"  Organic")</f>
        <v xml:space="preserve">  Organic</v>
      </c>
      <c r="B34" s="155" t="str">
        <f ca="1">IFERROR(__xludf.DUMMYFUNCTION("""COMPUTED_VALUE"""),"")</f>
        <v/>
      </c>
      <c r="C34" s="155" t="str">
        <f ca="1">IFERROR(__xludf.DUMMYFUNCTION("""COMPUTED_VALUE"""),"")</f>
        <v/>
      </c>
      <c r="D34" s="119">
        <f ca="1">IFERROR(__xludf.DUMMYFUNCTION("""COMPUTED_VALUE"""),5)</f>
        <v>5</v>
      </c>
      <c r="E34" s="119">
        <f ca="1">IFERROR(__xludf.DUMMYFUNCTION("""COMPUTED_VALUE"""),5)</f>
        <v>5</v>
      </c>
      <c r="F34" s="119">
        <f ca="1">IFERROR(__xludf.DUMMYFUNCTION("""COMPUTED_VALUE"""),6)</f>
        <v>6</v>
      </c>
      <c r="G34" s="119">
        <f ca="1">IFERROR(__xludf.DUMMYFUNCTION("""COMPUTED_VALUE"""),7)</f>
        <v>7</v>
      </c>
      <c r="H34" s="119">
        <f ca="1">IFERROR(__xludf.DUMMYFUNCTION("""COMPUTED_VALUE"""),7)</f>
        <v>7</v>
      </c>
      <c r="I34" s="119">
        <f ca="1">IFERROR(__xludf.DUMMYFUNCTION("""COMPUTED_VALUE"""),4)</f>
        <v>4</v>
      </c>
      <c r="J34" s="119">
        <f ca="1">IFERROR(__xludf.DUMMYFUNCTION("""COMPUTED_VALUE"""),11)</f>
        <v>11</v>
      </c>
      <c r="K34" s="119">
        <f ca="1">IFERROR(__xludf.DUMMYFUNCTION("""COMPUTED_VALUE"""),7)</f>
        <v>7</v>
      </c>
      <c r="L34" s="119">
        <f ca="1">IFERROR(__xludf.DUMMYFUNCTION("""COMPUTED_VALUE"""),8)</f>
        <v>8</v>
      </c>
      <c r="M34" s="119">
        <f ca="1">IFERROR(__xludf.DUMMYFUNCTION("""COMPUTED_VALUE"""),6)</f>
        <v>6</v>
      </c>
      <c r="N34" s="119">
        <f ca="1">IFERROR(__xludf.DUMMYFUNCTION("""COMPUTED_VALUE"""),6)</f>
        <v>6</v>
      </c>
      <c r="O34" s="119">
        <f ca="1">IFERROR(__xludf.DUMMYFUNCTION("""COMPUTED_VALUE"""),8)</f>
        <v>8</v>
      </c>
      <c r="P34" s="119">
        <f ca="1">IFERROR(__xludf.DUMMYFUNCTION("""COMPUTED_VALUE"""),7)</f>
        <v>7</v>
      </c>
      <c r="Q34" s="119">
        <f ca="1">IFERROR(__xludf.DUMMYFUNCTION("""COMPUTED_VALUE"""),13)</f>
        <v>13</v>
      </c>
      <c r="R34" s="119">
        <f ca="1">IFERROR(__xludf.DUMMYFUNCTION("""COMPUTED_VALUE"""),8)</f>
        <v>8</v>
      </c>
      <c r="S34" s="119">
        <f ca="1">IFERROR(__xludf.DUMMYFUNCTION("""COMPUTED_VALUE"""),18)</f>
        <v>18</v>
      </c>
      <c r="T34" s="119">
        <f ca="1">IFERROR(__xludf.DUMMYFUNCTION("""COMPUTED_VALUE"""),10)</f>
        <v>10</v>
      </c>
      <c r="U34" s="119">
        <f ca="1">IFERROR(__xludf.DUMMYFUNCTION("""COMPUTED_VALUE"""),19)</f>
        <v>19</v>
      </c>
      <c r="V34" s="119">
        <f ca="1">IFERROR(__xludf.DUMMYFUNCTION("""COMPUTED_VALUE"""),17)</f>
        <v>17</v>
      </c>
      <c r="W34" s="119">
        <f ca="1">IFERROR(__xludf.DUMMYFUNCTION("""COMPUTED_VALUE"""),13)</f>
        <v>13</v>
      </c>
      <c r="X34" s="119">
        <f ca="1">IFERROR(__xludf.DUMMYFUNCTION("""COMPUTED_VALUE"""),12)</f>
        <v>12</v>
      </c>
      <c r="Y34" s="119">
        <f ca="1">IFERROR(__xludf.DUMMYFUNCTION("""COMPUTED_VALUE"""),11)</f>
        <v>11</v>
      </c>
      <c r="Z34" s="119">
        <f ca="1">IFERROR(__xludf.DUMMYFUNCTION("""COMPUTED_VALUE"""),11)</f>
        <v>11</v>
      </c>
      <c r="AA34" s="119">
        <f ca="1">IFERROR(__xludf.DUMMYFUNCTION("""COMPUTED_VALUE"""),13)</f>
        <v>13</v>
      </c>
      <c r="AB34" s="119">
        <f ca="1">IFERROR(__xludf.DUMMYFUNCTION("""COMPUTED_VALUE"""),13)</f>
        <v>13</v>
      </c>
      <c r="AC34" s="119">
        <f ca="1">IFERROR(__xludf.DUMMYFUNCTION("""COMPUTED_VALUE"""),14)</f>
        <v>14</v>
      </c>
      <c r="AD34" s="119">
        <f ca="1">IFERROR(__xludf.DUMMYFUNCTION("""COMPUTED_VALUE"""),10)</f>
        <v>10</v>
      </c>
      <c r="AE34" s="119">
        <f ca="1">IFERROR(__xludf.DUMMYFUNCTION("""COMPUTED_VALUE"""),7)</f>
        <v>7</v>
      </c>
      <c r="AF34" s="119">
        <f ca="1">IFERROR(__xludf.DUMMYFUNCTION("""COMPUTED_VALUE"""),9.4874175550179)</f>
        <v>9.4874175550179007</v>
      </c>
      <c r="AG34" s="119">
        <f ca="1">IFERROR(__xludf.DUMMYFUNCTION("""COMPUTED_VALUE"""),8.14629165429817)</f>
        <v>8.1462916542981691</v>
      </c>
      <c r="AH34" s="119">
        <f ca="1">IFERROR(__xludf.DUMMYFUNCTION("""COMPUTED_VALUE"""),7.57617760694995)</f>
        <v>7.5761776069499502</v>
      </c>
      <c r="AI34" s="119">
        <f ca="1">IFERROR(__xludf.DUMMYFUNCTION("""COMPUTED_VALUE"""),7.7533829090954)</f>
        <v>7.7533829090954001</v>
      </c>
      <c r="AJ34" s="119">
        <f ca="1">IFERROR(__xludf.DUMMYFUNCTION("""COMPUTED_VALUE"""),7.22007489841445)</f>
        <v>7.2200748984144498</v>
      </c>
      <c r="AK34" s="119">
        <f ca="1">IFERROR(__xludf.DUMMYFUNCTION("""COMPUTED_VALUE"""),6.93521391440745)</f>
        <v>6.9352139144074503</v>
      </c>
      <c r="AL34" s="119">
        <f ca="1">IFERROR(__xludf.DUMMYFUNCTION("""COMPUTED_VALUE"""),6.73808344034665)</f>
        <v>6.7380834403466503</v>
      </c>
      <c r="AM34" s="119">
        <f ca="1">IFERROR(__xludf.DUMMYFUNCTION("""COMPUTED_VALUE"""),6.42582477746638)</f>
        <v>6.4258247774663797</v>
      </c>
      <c r="AN34" s="119">
        <f ca="1">IFERROR(__xludf.DUMMYFUNCTION("""COMPUTED_VALUE"""),6.18155056242578)</f>
        <v>6.1815505624257803</v>
      </c>
      <c r="AO34" s="119">
        <f ca="1">IFERROR(__xludf.DUMMYFUNCTION("""COMPUTED_VALUE"""),5.94975894054924)</f>
        <v>5.9497589405492404</v>
      </c>
      <c r="AP34" s="119">
        <f ca="1">IFERROR(__xludf.DUMMYFUNCTION("""COMPUTED_VALUE"""),5.70730716961917)</f>
        <v>5.7073071696191704</v>
      </c>
      <c r="AQ34" s="119">
        <f ca="1">IFERROR(__xludf.DUMMYFUNCTION("""COMPUTED_VALUE"""),5.48632473597444)</f>
        <v>5.4863247359744403</v>
      </c>
      <c r="AR34" s="119">
        <f ca="1">IFERROR(__xludf.DUMMYFUNCTION("""COMPUTED_VALUE"""),5.27250576566111)</f>
        <v>5.2725057656611103</v>
      </c>
      <c r="AS34" s="119">
        <f ca="1">IFERROR(__xludf.DUMMYFUNCTION("""COMPUTED_VALUE"""),5.0642143429515)</f>
        <v>5.0642143429514999</v>
      </c>
      <c r="AT34" s="119">
        <f ca="1">IFERROR(__xludf.DUMMYFUNCTION("""COMPUTED_VALUE"""),4.86642904674661)</f>
        <v>4.8664290467466103</v>
      </c>
      <c r="AU34" s="119">
        <f ca="1">IFERROR(__xludf.DUMMYFUNCTION("""COMPUTED_VALUE"""),4.67577810581577)</f>
        <v>4.6757781058157697</v>
      </c>
      <c r="AV34" s="119">
        <f ca="1">IFERROR(__xludf.DUMMYFUNCTION("""COMPUTED_VALUE"""),4.49225256788103)</f>
        <v>4.4922525678810299</v>
      </c>
      <c r="AW34" s="119">
        <f ca="1">IFERROR(__xludf.DUMMYFUNCTION("""COMPUTED_VALUE"""),4.31634385857949)</f>
        <v>4.31634385857949</v>
      </c>
      <c r="AX34" s="119">
        <f ca="1">IFERROR(__xludf.DUMMYFUNCTION("""COMPUTED_VALUE"""),4.1471633649277)</f>
        <v>4.1471633649277004</v>
      </c>
      <c r="AY34" s="119">
        <f ca="1">IFERROR(__xludf.DUMMYFUNCTION("""COMPUTED_VALUE"""),3.98458617735965)</f>
        <v>3.9845861773596498</v>
      </c>
      <c r="AZ34" s="119">
        <f ca="1">IFERROR(__xludf.DUMMYFUNCTION("""COMPUTED_VALUE"""),3.82845172326718)</f>
        <v>3.8284517232671802</v>
      </c>
      <c r="BA34" s="119">
        <f ca="1">IFERROR(__xludf.DUMMYFUNCTION("""COMPUTED_VALUE"""),3.67839890585541)</f>
        <v>3.6783989058554099</v>
      </c>
      <c r="BB34" s="119">
        <f ca="1">IFERROR(__xludf.DUMMYFUNCTION("""COMPUTED_VALUE"""),3.53422886765368)</f>
        <v>3.5342288676536802</v>
      </c>
      <c r="BC34" s="119">
        <f ca="1">IFERROR(__xludf.DUMMYFUNCTION("""COMPUTED_VALUE"""),3.39572000827207)</f>
        <v>3.39572000827207</v>
      </c>
      <c r="BD34" s="119">
        <f ca="1">IFERROR(__xludf.DUMMYFUNCTION("""COMPUTED_VALUE"""),3.26263195802736)</f>
        <v>3.2626319580273599</v>
      </c>
      <c r="BE34" s="119">
        <f ca="1">IFERROR(__xludf.DUMMYFUNCTION("""COMPUTED_VALUE"""),3.13476147725325)</f>
        <v>3.1347614772532499</v>
      </c>
      <c r="BF34" s="119">
        <f ca="1">IFERROR(__xludf.DUMMYFUNCTION("""COMPUTED_VALUE"""),3.01190397852489)</f>
        <v>3.0119039785248898</v>
      </c>
      <c r="BG34" s="119">
        <f ca="1">IFERROR(__xludf.DUMMYFUNCTION("""COMPUTED_VALUE"""),2.8938601068103)</f>
        <v>2.8938601068102998</v>
      </c>
      <c r="BH34" s="119">
        <f ca="1">IFERROR(__xludf.DUMMYFUNCTION("""COMPUTED_VALUE"""),2.78044312126727)</f>
        <v>2.78044312126727</v>
      </c>
      <c r="BI34" s="119">
        <f ca="1">IFERROR(__xludf.DUMMYFUNCTION("""COMPUTED_VALUE"""),2.67147135532075)</f>
        <v>2.6714713553207501</v>
      </c>
      <c r="BJ34" s="119">
        <f ca="1">IFERROR(__xludf.DUMMYFUNCTION("""COMPUTED_VALUE"""),2.56677019177778)</f>
        <v>2.5667701917777799</v>
      </c>
      <c r="BK34" s="119">
        <f ca="1">IFERROR(__xludf.DUMMYFUNCTION("""COMPUTED_VALUE"""),2.4661726216485)</f>
        <v>2.4661726216485</v>
      </c>
      <c r="BL34" s="119">
        <f ca="1">IFERROR(__xludf.DUMMYFUNCTION("""COMPUTED_VALUE"""),2.36951770453857)</f>
        <v>2.3695177045385698</v>
      </c>
      <c r="BM34" s="119">
        <f ca="1">IFERROR(__xludf.DUMMYFUNCTION("""COMPUTED_VALUE"""),2.27665087445812)</f>
        <v>2.2766508744581202</v>
      </c>
      <c r="BN34" s="119">
        <f ca="1">IFERROR(__xludf.DUMMYFUNCTION("""COMPUTED_VALUE"""),2.1874237322302)</f>
        <v>2.1874237322301999</v>
      </c>
      <c r="BO34" s="119">
        <f ca="1">IFERROR(__xludf.DUMMYFUNCTION("""COMPUTED_VALUE"""),2.10169360218651)</f>
        <v>2.10169360218651</v>
      </c>
      <c r="BP34" s="119">
        <f ca="1">IFERROR(__xludf.DUMMYFUNCTION("""COMPUTED_VALUE"""),2.01932342603481)</f>
        <v>2.0193234260348101</v>
      </c>
      <c r="BQ34" s="119">
        <f ca="1">IFERROR(__xludf.DUMMYFUNCTION("""COMPUTED_VALUE"""),1.94018153003236)</f>
        <v>1.9401815300323599</v>
      </c>
      <c r="BR34" s="119">
        <f ca="1">IFERROR(__xludf.DUMMYFUNCTION("""COMPUTED_VALUE"""),1.86414138439826)</f>
        <v>1.8641413843982599</v>
      </c>
      <c r="BS34" s="119">
        <f ca="1">IFERROR(__xludf.DUMMYFUNCTION("""COMPUTED_VALUE"""),1.79108142507196)</f>
        <v>1.79108142507196</v>
      </c>
      <c r="BT34" s="119">
        <f ca="1">IFERROR(__xludf.DUMMYFUNCTION("""COMPUTED_VALUE"""),1.72088485329437)</f>
        <v>1.7208848532943699</v>
      </c>
      <c r="BU34" s="119">
        <f ca="1">IFERROR(__xludf.DUMMYFUNCTION("""COMPUTED_VALUE"""),1.65343944515613)</f>
        <v>1.6534394451561301</v>
      </c>
      <c r="BV34" s="119">
        <f ca="1">IFERROR(__xludf.DUMMYFUNCTION("""COMPUTED_VALUE"""),1.58863737656537)</f>
        <v>1.5886373765653701</v>
      </c>
      <c r="BW34" s="119">
        <f ca="1">IFERROR(__xludf.DUMMYFUNCTION("""COMPUTED_VALUE"""),1.52637504920234)</f>
        <v>1.52637504920234</v>
      </c>
      <c r="BX34" s="119"/>
      <c r="BY34" s="119"/>
      <c r="BZ34" s="119"/>
      <c r="CA34" s="119"/>
      <c r="CB34" s="119"/>
      <c r="CC34" s="119"/>
      <c r="CD34" s="119"/>
      <c r="CE34" s="119"/>
      <c r="CF34" s="119"/>
      <c r="CG34" s="119"/>
    </row>
    <row r="35" spans="1:85" ht="15.75" customHeight="1" x14ac:dyDescent="0.2">
      <c r="A35" s="157" t="str">
        <f ca="1">IFERROR(__xludf.DUMMYFUNCTION("""COMPUTED_VALUE"""),"  Adwords")</f>
        <v xml:space="preserve">  Adwords</v>
      </c>
      <c r="B35" s="157" t="str">
        <f ca="1">IFERROR(__xludf.DUMMYFUNCTION("""COMPUTED_VALUE"""),"")</f>
        <v/>
      </c>
      <c r="C35" s="157" t="str">
        <f ca="1">IFERROR(__xludf.DUMMYFUNCTION("""COMPUTED_VALUE"""),"")</f>
        <v/>
      </c>
      <c r="D35" s="158">
        <f ca="1">IFERROR(__xludf.DUMMYFUNCTION("""COMPUTED_VALUE"""),5)</f>
        <v>5</v>
      </c>
      <c r="E35" s="158">
        <f ca="1">IFERROR(__xludf.DUMMYFUNCTION("""COMPUTED_VALUE"""),6)</f>
        <v>6</v>
      </c>
      <c r="F35" s="158">
        <f ca="1">IFERROR(__xludf.DUMMYFUNCTION("""COMPUTED_VALUE"""),6)</f>
        <v>6</v>
      </c>
      <c r="G35" s="158">
        <f ca="1">IFERROR(__xludf.DUMMYFUNCTION("""COMPUTED_VALUE"""),6)</f>
        <v>6</v>
      </c>
      <c r="H35" s="158">
        <f ca="1">IFERROR(__xludf.DUMMYFUNCTION("""COMPUTED_VALUE"""),7)</f>
        <v>7</v>
      </c>
      <c r="I35" s="158">
        <f ca="1">IFERROR(__xludf.DUMMYFUNCTION("""COMPUTED_VALUE"""),6)</f>
        <v>6</v>
      </c>
      <c r="J35" s="158">
        <f ca="1">IFERROR(__xludf.DUMMYFUNCTION("""COMPUTED_VALUE"""),10)</f>
        <v>10</v>
      </c>
      <c r="K35" s="158">
        <f ca="1">IFERROR(__xludf.DUMMYFUNCTION("""COMPUTED_VALUE"""),7)</f>
        <v>7</v>
      </c>
      <c r="L35" s="158">
        <f ca="1">IFERROR(__xludf.DUMMYFUNCTION("""COMPUTED_VALUE"""),6)</f>
        <v>6</v>
      </c>
      <c r="M35" s="158">
        <f ca="1">IFERROR(__xludf.DUMMYFUNCTION("""COMPUTED_VALUE"""),8)</f>
        <v>8</v>
      </c>
      <c r="N35" s="158">
        <f ca="1">IFERROR(__xludf.DUMMYFUNCTION("""COMPUTED_VALUE"""),8)</f>
        <v>8</v>
      </c>
      <c r="O35" s="158">
        <f ca="1">IFERROR(__xludf.DUMMYFUNCTION("""COMPUTED_VALUE"""),8)</f>
        <v>8</v>
      </c>
      <c r="P35" s="158">
        <f ca="1">IFERROR(__xludf.DUMMYFUNCTION("""COMPUTED_VALUE"""),8)</f>
        <v>8</v>
      </c>
      <c r="Q35" s="158">
        <f ca="1">IFERROR(__xludf.DUMMYFUNCTION("""COMPUTED_VALUE"""),12)</f>
        <v>12</v>
      </c>
      <c r="R35" s="158">
        <f ca="1">IFERROR(__xludf.DUMMYFUNCTION("""COMPUTED_VALUE"""),9)</f>
        <v>9</v>
      </c>
      <c r="S35" s="158">
        <f ca="1">IFERROR(__xludf.DUMMYFUNCTION("""COMPUTED_VALUE"""),20)</f>
        <v>20</v>
      </c>
      <c r="T35" s="158">
        <f ca="1">IFERROR(__xludf.DUMMYFUNCTION("""COMPUTED_VALUE"""),10)</f>
        <v>10</v>
      </c>
      <c r="U35" s="158">
        <f ca="1">IFERROR(__xludf.DUMMYFUNCTION("""COMPUTED_VALUE"""),10)</f>
        <v>10</v>
      </c>
      <c r="V35" s="158">
        <f ca="1">IFERROR(__xludf.DUMMYFUNCTION("""COMPUTED_VALUE"""),15)</f>
        <v>15</v>
      </c>
      <c r="W35" s="158">
        <f ca="1">IFERROR(__xludf.DUMMYFUNCTION("""COMPUTED_VALUE"""),17)</f>
        <v>17</v>
      </c>
      <c r="X35" s="158">
        <f ca="1">IFERROR(__xludf.DUMMYFUNCTION("""COMPUTED_VALUE"""),14)</f>
        <v>14</v>
      </c>
      <c r="Y35" s="158">
        <f ca="1">IFERROR(__xludf.DUMMYFUNCTION("""COMPUTED_VALUE"""),10)</f>
        <v>10</v>
      </c>
      <c r="Z35" s="158">
        <f ca="1">IFERROR(__xludf.DUMMYFUNCTION("""COMPUTED_VALUE"""),11)</f>
        <v>11</v>
      </c>
      <c r="AA35" s="158">
        <f ca="1">IFERROR(__xludf.DUMMYFUNCTION("""COMPUTED_VALUE"""),12)</f>
        <v>12</v>
      </c>
      <c r="AB35" s="158">
        <f ca="1">IFERROR(__xludf.DUMMYFUNCTION("""COMPUTED_VALUE"""),12)</f>
        <v>12</v>
      </c>
      <c r="AC35" s="158">
        <f ca="1">IFERROR(__xludf.DUMMYFUNCTION("""COMPUTED_VALUE"""),14)</f>
        <v>14</v>
      </c>
      <c r="AD35" s="158">
        <f ca="1">IFERROR(__xludf.DUMMYFUNCTION("""COMPUTED_VALUE"""),10)</f>
        <v>10</v>
      </c>
      <c r="AE35" s="158">
        <f ca="1">IFERROR(__xludf.DUMMYFUNCTION("""COMPUTED_VALUE"""),7)</f>
        <v>7</v>
      </c>
      <c r="AF35" s="158">
        <f ca="1">IFERROR(__xludf.DUMMYFUNCTION("""COMPUTED_VALUE"""),8.79021998234394)</f>
        <v>8.79021998234394</v>
      </c>
      <c r="AG35" s="158">
        <f ca="1">IFERROR(__xludf.DUMMYFUNCTION("""COMPUTED_VALUE"""),8.62753768925994)</f>
        <v>8.62753768925994</v>
      </c>
      <c r="AH35" s="158">
        <f ca="1">IFERROR(__xludf.DUMMYFUNCTION("""COMPUTED_VALUE"""),9.1098005900663)</f>
        <v>9.1098005900662997</v>
      </c>
      <c r="AI35" s="158">
        <f ca="1">IFERROR(__xludf.DUMMYFUNCTION("""COMPUTED_VALUE"""),10.4502502242943)</f>
        <v>10.450250224294299</v>
      </c>
      <c r="AJ35" s="158">
        <f ca="1">IFERROR(__xludf.DUMMYFUNCTION("""COMPUTED_VALUE"""),10.9618399736302)</f>
        <v>10.9618399736302</v>
      </c>
      <c r="AK35" s="158">
        <f ca="1">IFERROR(__xludf.DUMMYFUNCTION("""COMPUTED_VALUE"""),11.7391887646118)</f>
        <v>11.7391887646118</v>
      </c>
      <c r="AL35" s="158">
        <f ca="1">IFERROR(__xludf.DUMMYFUNCTION("""COMPUTED_VALUE"""),12.6290586523948)</f>
        <v>12.6290586523948</v>
      </c>
      <c r="AM35" s="158">
        <f ca="1">IFERROR(__xludf.DUMMYFUNCTION("""COMPUTED_VALUE"""),13.3469219031295)</f>
        <v>13.3469219031295</v>
      </c>
      <c r="AN35" s="158">
        <f ca="1">IFERROR(__xludf.DUMMYFUNCTION("""COMPUTED_VALUE"""),14.143188495051)</f>
        <v>14.143188495051</v>
      </c>
      <c r="AO35" s="158">
        <f ca="1">IFERROR(__xludf.DUMMYFUNCTION("""COMPUTED_VALUE"""),14.9463570972731)</f>
        <v>14.946357097273101</v>
      </c>
      <c r="AP35" s="158">
        <f ca="1">IFERROR(__xludf.DUMMYFUNCTION("""COMPUTED_VALUE"""),15.7172101835013)</f>
        <v>15.717210183501299</v>
      </c>
      <c r="AQ35" s="158">
        <f ca="1">IFERROR(__xludf.DUMMYFUNCTION("""COMPUTED_VALUE"""),16.5077521279357)</f>
        <v>16.507752127935699</v>
      </c>
      <c r="AR35" s="158">
        <f ca="1">IFERROR(__xludf.DUMMYFUNCTION("""COMPUTED_VALUE"""),17.2961504498604)</f>
        <v>17.296150449860399</v>
      </c>
      <c r="AS35" s="158">
        <f ca="1">IFERROR(__xludf.DUMMYFUNCTION("""COMPUTED_VALUE"""),18.0791364049181)</f>
        <v>18.079136404918099</v>
      </c>
      <c r="AT35" s="158">
        <f ca="1">IFERROR(__xludf.DUMMYFUNCTION("""COMPUTED_VALUE"""),18.8665596300779)</f>
        <v>18.866559630077901</v>
      </c>
      <c r="AU35" s="158">
        <f ca="1">IFERROR(__xludf.DUMMYFUNCTION("""COMPUTED_VALUE"""),19.6528429292958)</f>
        <v>19.652842929295801</v>
      </c>
      <c r="AV35" s="158">
        <f ca="1">IFERROR(__xludf.DUMMYFUNCTION("""COMPUTED_VALUE"""),20.438361292661)</f>
        <v>20.438361292661</v>
      </c>
      <c r="AW35" s="158">
        <f ca="1">IFERROR(__xludf.DUMMYFUNCTION("""COMPUTED_VALUE"""),21.2247949867325)</f>
        <v>21.224794986732501</v>
      </c>
      <c r="AX35" s="158">
        <f ca="1">IFERROR(__xludf.DUMMYFUNCTION("""COMPUTED_VALUE"""),22.0108715108115)</f>
        <v>22.010871510811501</v>
      </c>
      <c r="AY35" s="158">
        <f ca="1">IFERROR(__xludf.DUMMYFUNCTION("""COMPUTED_VALUE"""),22.7968741471104)</f>
        <v>22.796874147110401</v>
      </c>
      <c r="AZ35" s="158">
        <f ca="1">IFERROR(__xludf.DUMMYFUNCTION("""COMPUTED_VALUE"""),22.3565305002763)</f>
        <v>22.3565305002763</v>
      </c>
      <c r="BA35" s="158">
        <f ca="1">IFERROR(__xludf.DUMMYFUNCTION("""COMPUTED_VALUE"""),22.9696917543848)</f>
        <v>22.969691754384801</v>
      </c>
      <c r="BB35" s="158">
        <f ca="1">IFERROR(__xludf.DUMMYFUNCTION("""COMPUTED_VALUE"""),23.5037384020893)</f>
        <v>23.503738402089301</v>
      </c>
      <c r="BC35" s="158">
        <f ca="1">IFERROR(__xludf.DUMMYFUNCTION("""COMPUTED_VALUE"""),23.9321478814226)</f>
        <v>23.932147881422601</v>
      </c>
      <c r="BD35" s="158">
        <f ca="1">IFERROR(__xludf.DUMMYFUNCTION("""COMPUTED_VALUE"""),24.2286508485782)</f>
        <v>24.228650848578202</v>
      </c>
      <c r="BE35" s="158">
        <f ca="1">IFERROR(__xludf.DUMMYFUNCTION("""COMPUTED_VALUE"""),24.7176363424361)</f>
        <v>24.717636342436101</v>
      </c>
      <c r="BF35" s="158">
        <f ca="1">IFERROR(__xludf.DUMMYFUNCTION("""COMPUTED_VALUE"""),25.1741886240057)</f>
        <v>25.174188624005701</v>
      </c>
      <c r="BG35" s="158">
        <f ca="1">IFERROR(__xludf.DUMMYFUNCTION("""COMPUTED_VALUE"""),25.6104914273011)</f>
        <v>25.610491427301099</v>
      </c>
      <c r="BH35" s="158">
        <f ca="1">IFERROR(__xludf.DUMMYFUNCTION("""COMPUTED_VALUE"""),26.0488615661586)</f>
        <v>26.0488615661586</v>
      </c>
      <c r="BI35" s="158">
        <f ca="1">IFERROR(__xludf.DUMMYFUNCTION("""COMPUTED_VALUE"""),26.5242852902397)</f>
        <v>26.5242852902397</v>
      </c>
      <c r="BJ35" s="119">
        <f ca="1">IFERROR(__xludf.DUMMYFUNCTION("""COMPUTED_VALUE"""),26.9961654719807)</f>
        <v>26.996165471980699</v>
      </c>
      <c r="BK35" s="119">
        <f ca="1">IFERROR(__xludf.DUMMYFUNCTION("""COMPUTED_VALUE"""),27.4720503606655)</f>
        <v>27.472050360665499</v>
      </c>
      <c r="BL35" s="119">
        <f ca="1">IFERROR(__xludf.DUMMYFUNCTION("""COMPUTED_VALUE"""),27.9582733935749)</f>
        <v>27.958273393574899</v>
      </c>
      <c r="BM35" s="119">
        <f ca="1">IFERROR(__xludf.DUMMYFUNCTION("""COMPUTED_VALUE"""),28.4569950188141)</f>
        <v>28.456995018814101</v>
      </c>
      <c r="BN35" s="119">
        <f ca="1">IFERROR(__xludf.DUMMYFUNCTION("""COMPUTED_VALUE"""),28.9618020854937)</f>
        <v>28.961802085493701</v>
      </c>
      <c r="BO35" s="119">
        <f ca="1">IFERROR(__xludf.DUMMYFUNCTION("""COMPUTED_VALUE"""),29.4752092689263)</f>
        <v>29.475209268926299</v>
      </c>
      <c r="BP35" s="119">
        <f ca="1">IFERROR(__xludf.DUMMYFUNCTION("""COMPUTED_VALUE"""),29.9984169375581)</f>
        <v>29.998416937558101</v>
      </c>
      <c r="BQ35" s="119">
        <f ca="1">IFERROR(__xludf.DUMMYFUNCTION("""COMPUTED_VALUE"""),30.5312847132388)</f>
        <v>30.531284713238801</v>
      </c>
      <c r="BR35" s="119">
        <f ca="1">IFERROR(__xludf.DUMMYFUNCTION("""COMPUTED_VALUE"""),31.073071142537)</f>
        <v>31.073071142537</v>
      </c>
      <c r="BS35" s="119">
        <f ca="1">IFERROR(__xludf.DUMMYFUNCTION("""COMPUTED_VALUE"""),31.6245162618415)</f>
        <v>31.624516261841499</v>
      </c>
      <c r="BT35" s="119">
        <f ca="1">IFERROR(__xludf.DUMMYFUNCTION("""COMPUTED_VALUE"""),32.1858965661023)</f>
        <v>32.185896566102301</v>
      </c>
      <c r="BU35" s="119">
        <f ca="1">IFERROR(__xludf.DUMMYFUNCTION("""COMPUTED_VALUE"""),32.7572472256642)</f>
        <v>32.757247225664202</v>
      </c>
      <c r="BV35" s="119">
        <f ca="1">IFERROR(__xludf.DUMMYFUNCTION("""COMPUTED_VALUE"""),33.3386492811494)</f>
        <v>33.338649281149401</v>
      </c>
      <c r="BW35" s="119">
        <f ca="1">IFERROR(__xludf.DUMMYFUNCTION("""COMPUTED_VALUE"""),33.930398594736)</f>
        <v>33.930398594735998</v>
      </c>
      <c r="BX35" s="119"/>
      <c r="BY35" s="119"/>
      <c r="BZ35" s="119"/>
      <c r="CA35" s="119"/>
      <c r="CB35" s="119"/>
      <c r="CC35" s="119"/>
      <c r="CD35" s="119"/>
      <c r="CE35" s="119"/>
      <c r="CF35" s="119"/>
      <c r="CG35" s="119"/>
    </row>
    <row r="36" spans="1:85" ht="15.75" customHeight="1" x14ac:dyDescent="0.2">
      <c r="A36" s="196" t="str">
        <f ca="1">IFERROR(__xludf.DUMMYFUNCTION("""COMPUTED_VALUE"""),"Total New Customers")</f>
        <v>Total New Customers</v>
      </c>
      <c r="B36" s="197" t="str">
        <f ca="1">IFERROR(__xludf.DUMMYFUNCTION("""COMPUTED_VALUE"""),"")</f>
        <v/>
      </c>
      <c r="C36" s="197" t="str">
        <f ca="1">IFERROR(__xludf.DUMMYFUNCTION("""COMPUTED_VALUE"""),"")</f>
        <v/>
      </c>
      <c r="D36" s="198">
        <f ca="1">IFERROR(__xludf.DUMMYFUNCTION("""COMPUTED_VALUE"""),10)</f>
        <v>10</v>
      </c>
      <c r="E36" s="198">
        <f ca="1">IFERROR(__xludf.DUMMYFUNCTION("""COMPUTED_VALUE"""),11)</f>
        <v>11</v>
      </c>
      <c r="F36" s="198">
        <f ca="1">IFERROR(__xludf.DUMMYFUNCTION("""COMPUTED_VALUE"""),12)</f>
        <v>12</v>
      </c>
      <c r="G36" s="198">
        <f ca="1">IFERROR(__xludf.DUMMYFUNCTION("""COMPUTED_VALUE"""),13)</f>
        <v>13</v>
      </c>
      <c r="H36" s="198">
        <f ca="1">IFERROR(__xludf.DUMMYFUNCTION("""COMPUTED_VALUE"""),14)</f>
        <v>14</v>
      </c>
      <c r="I36" s="198">
        <f ca="1">IFERROR(__xludf.DUMMYFUNCTION("""COMPUTED_VALUE"""),10)</f>
        <v>10</v>
      </c>
      <c r="J36" s="198">
        <f ca="1">IFERROR(__xludf.DUMMYFUNCTION("""COMPUTED_VALUE"""),21)</f>
        <v>21</v>
      </c>
      <c r="K36" s="198">
        <f ca="1">IFERROR(__xludf.DUMMYFUNCTION("""COMPUTED_VALUE"""),14)</f>
        <v>14</v>
      </c>
      <c r="L36" s="198">
        <f ca="1">IFERROR(__xludf.DUMMYFUNCTION("""COMPUTED_VALUE"""),14)</f>
        <v>14</v>
      </c>
      <c r="M36" s="198">
        <f ca="1">IFERROR(__xludf.DUMMYFUNCTION("""COMPUTED_VALUE"""),14)</f>
        <v>14</v>
      </c>
      <c r="N36" s="198">
        <f ca="1">IFERROR(__xludf.DUMMYFUNCTION("""COMPUTED_VALUE"""),14)</f>
        <v>14</v>
      </c>
      <c r="O36" s="198">
        <f ca="1">IFERROR(__xludf.DUMMYFUNCTION("""COMPUTED_VALUE"""),16)</f>
        <v>16</v>
      </c>
      <c r="P36" s="198">
        <f ca="1">IFERROR(__xludf.DUMMYFUNCTION("""COMPUTED_VALUE"""),15)</f>
        <v>15</v>
      </c>
      <c r="Q36" s="198">
        <f ca="1">IFERROR(__xludf.DUMMYFUNCTION("""COMPUTED_VALUE"""),25)</f>
        <v>25</v>
      </c>
      <c r="R36" s="198">
        <f ca="1">IFERROR(__xludf.DUMMYFUNCTION("""COMPUTED_VALUE"""),17)</f>
        <v>17</v>
      </c>
      <c r="S36" s="198">
        <f ca="1">IFERROR(__xludf.DUMMYFUNCTION("""COMPUTED_VALUE"""),38)</f>
        <v>38</v>
      </c>
      <c r="T36" s="198">
        <f ca="1">IFERROR(__xludf.DUMMYFUNCTION("""COMPUTED_VALUE"""),20)</f>
        <v>20</v>
      </c>
      <c r="U36" s="198">
        <f ca="1">IFERROR(__xludf.DUMMYFUNCTION("""COMPUTED_VALUE"""),29)</f>
        <v>29</v>
      </c>
      <c r="V36" s="198">
        <f ca="1">IFERROR(__xludf.DUMMYFUNCTION("""COMPUTED_VALUE"""),32)</f>
        <v>32</v>
      </c>
      <c r="W36" s="198">
        <f ca="1">IFERROR(__xludf.DUMMYFUNCTION("""COMPUTED_VALUE"""),30)</f>
        <v>30</v>
      </c>
      <c r="X36" s="198">
        <f ca="1">IFERROR(__xludf.DUMMYFUNCTION("""COMPUTED_VALUE"""),26)</f>
        <v>26</v>
      </c>
      <c r="Y36" s="198">
        <f ca="1">IFERROR(__xludf.DUMMYFUNCTION("""COMPUTED_VALUE"""),21)</f>
        <v>21</v>
      </c>
      <c r="Z36" s="198">
        <f ca="1">IFERROR(__xludf.DUMMYFUNCTION("""COMPUTED_VALUE"""),22)</f>
        <v>22</v>
      </c>
      <c r="AA36" s="198">
        <f ca="1">IFERROR(__xludf.DUMMYFUNCTION("""COMPUTED_VALUE"""),25)</f>
        <v>25</v>
      </c>
      <c r="AB36" s="198">
        <f ca="1">IFERROR(__xludf.DUMMYFUNCTION("""COMPUTED_VALUE"""),25)</f>
        <v>25</v>
      </c>
      <c r="AC36" s="198">
        <f ca="1">IFERROR(__xludf.DUMMYFUNCTION("""COMPUTED_VALUE"""),28)</f>
        <v>28</v>
      </c>
      <c r="AD36" s="198">
        <f ca="1">IFERROR(__xludf.DUMMYFUNCTION("""COMPUTED_VALUE"""),20)</f>
        <v>20</v>
      </c>
      <c r="AE36" s="198">
        <f ca="1">IFERROR(__xludf.DUMMYFUNCTION("""COMPUTED_VALUE"""),14)</f>
        <v>14</v>
      </c>
      <c r="AF36" s="198">
        <f ca="1">IFERROR(__xludf.DUMMYFUNCTION("""COMPUTED_VALUE"""),18.2776375373618)</f>
        <v>18.277637537361802</v>
      </c>
      <c r="AG36" s="198">
        <f ca="1">IFERROR(__xludf.DUMMYFUNCTION("""COMPUTED_VALUE"""),16.7738293435581)</f>
        <v>16.773829343558099</v>
      </c>
      <c r="AH36" s="198">
        <f ca="1">IFERROR(__xludf.DUMMYFUNCTION("""COMPUTED_VALUE"""),16.6859781970162)</f>
        <v>16.685978197016201</v>
      </c>
      <c r="AI36" s="198">
        <f ca="1">IFERROR(__xludf.DUMMYFUNCTION("""COMPUTED_VALUE"""),18.2036331333897)</f>
        <v>18.203633133389701</v>
      </c>
      <c r="AJ36" s="198">
        <f ca="1">IFERROR(__xludf.DUMMYFUNCTION("""COMPUTED_VALUE"""),18.1819148720446)</f>
        <v>18.181914872044601</v>
      </c>
      <c r="AK36" s="198">
        <f ca="1">IFERROR(__xludf.DUMMYFUNCTION("""COMPUTED_VALUE"""),18.6744026790193)</f>
        <v>18.674402679019298</v>
      </c>
      <c r="AL36" s="198">
        <f ca="1">IFERROR(__xludf.DUMMYFUNCTION("""COMPUTED_VALUE"""),19.3671420927414)</f>
        <v>19.3671420927414</v>
      </c>
      <c r="AM36" s="198">
        <f ca="1">IFERROR(__xludf.DUMMYFUNCTION("""COMPUTED_VALUE"""),19.7727466805958)</f>
        <v>19.772746680595802</v>
      </c>
      <c r="AN36" s="198">
        <f ca="1">IFERROR(__xludf.DUMMYFUNCTION("""COMPUTED_VALUE"""),20.3247390574768)</f>
        <v>20.324739057476801</v>
      </c>
      <c r="AO36" s="198">
        <f ca="1">IFERROR(__xludf.DUMMYFUNCTION("""COMPUTED_VALUE"""),20.8961160378224)</f>
        <v>20.896116037822399</v>
      </c>
      <c r="AP36" s="198">
        <f ca="1">IFERROR(__xludf.DUMMYFUNCTION("""COMPUTED_VALUE"""),21.4245173531205)</f>
        <v>21.4245173531205</v>
      </c>
      <c r="AQ36" s="198">
        <f ca="1">IFERROR(__xludf.DUMMYFUNCTION("""COMPUTED_VALUE"""),21.9940768639102)</f>
        <v>21.994076863910198</v>
      </c>
      <c r="AR36" s="198">
        <f ca="1">IFERROR(__xludf.DUMMYFUNCTION("""COMPUTED_VALUE"""),22.5686562155215)</f>
        <v>22.5686562155215</v>
      </c>
      <c r="AS36" s="198">
        <f ca="1">IFERROR(__xludf.DUMMYFUNCTION("""COMPUTED_VALUE"""),23.1433507478696)</f>
        <v>23.143350747869601</v>
      </c>
      <c r="AT36" s="198">
        <f ca="1">IFERROR(__xludf.DUMMYFUNCTION("""COMPUTED_VALUE"""),23.7329886768245)</f>
        <v>23.732988676824501</v>
      </c>
      <c r="AU36" s="198">
        <f ca="1">IFERROR(__xludf.DUMMYFUNCTION("""COMPUTED_VALUE"""),24.3286210351116)</f>
        <v>24.328621035111599</v>
      </c>
      <c r="AV36" s="198">
        <f ca="1">IFERROR(__xludf.DUMMYFUNCTION("""COMPUTED_VALUE"""),24.930613860542)</f>
        <v>24.930613860542</v>
      </c>
      <c r="AW36" s="198">
        <f ca="1">IFERROR(__xludf.DUMMYFUNCTION("""COMPUTED_VALUE"""),25.541138845312)</f>
        <v>25.541138845311998</v>
      </c>
      <c r="AX36" s="198">
        <f ca="1">IFERROR(__xludf.DUMMYFUNCTION("""COMPUTED_VALUE"""),26.1580348757392)</f>
        <v>26.158034875739201</v>
      </c>
      <c r="AY36" s="198">
        <f ca="1">IFERROR(__xludf.DUMMYFUNCTION("""COMPUTED_VALUE"""),26.7814603244701)</f>
        <v>26.7814603244701</v>
      </c>
      <c r="AZ36" s="198">
        <f ca="1">IFERROR(__xludf.DUMMYFUNCTION("""COMPUTED_VALUE"""),26.1849822235435)</f>
        <v>26.1849822235435</v>
      </c>
      <c r="BA36" s="198">
        <f ca="1">IFERROR(__xludf.DUMMYFUNCTION("""COMPUTED_VALUE"""),26.6480906602402)</f>
        <v>26.6480906602402</v>
      </c>
      <c r="BB36" s="198">
        <f ca="1">IFERROR(__xludf.DUMMYFUNCTION("""COMPUTED_VALUE"""),27.037967269743)</f>
        <v>27.037967269743</v>
      </c>
      <c r="BC36" s="198">
        <f ca="1">IFERROR(__xludf.DUMMYFUNCTION("""COMPUTED_VALUE"""),27.3278678896947)</f>
        <v>27.327867889694701</v>
      </c>
      <c r="BD36" s="198">
        <f ca="1">IFERROR(__xludf.DUMMYFUNCTION("""COMPUTED_VALUE"""),27.4912828066055)</f>
        <v>27.491282806605501</v>
      </c>
      <c r="BE36" s="198">
        <f ca="1">IFERROR(__xludf.DUMMYFUNCTION("""COMPUTED_VALUE"""),27.8523978196893)</f>
        <v>27.852397819689301</v>
      </c>
      <c r="BF36" s="198">
        <f ca="1">IFERROR(__xludf.DUMMYFUNCTION("""COMPUTED_VALUE"""),28.1860926025306)</f>
        <v>28.1860926025306</v>
      </c>
      <c r="BG36" s="198">
        <f ca="1">IFERROR(__xludf.DUMMYFUNCTION("""COMPUTED_VALUE"""),28.5043515341114)</f>
        <v>28.5043515341114</v>
      </c>
      <c r="BH36" s="198">
        <f ca="1">IFERROR(__xludf.DUMMYFUNCTION("""COMPUTED_VALUE"""),28.8293046874258)</f>
        <v>28.8293046874258</v>
      </c>
      <c r="BI36" s="198">
        <f ca="1">IFERROR(__xludf.DUMMYFUNCTION("""COMPUTED_VALUE"""),29.1957566455605)</f>
        <v>29.1957566455605</v>
      </c>
      <c r="BJ36" s="198">
        <f ca="1">IFERROR(__xludf.DUMMYFUNCTION("""COMPUTED_VALUE"""),29.5629356637585)</f>
        <v>29.562935663758498</v>
      </c>
      <c r="BK36" s="198">
        <f ca="1">IFERROR(__xludf.DUMMYFUNCTION("""COMPUTED_VALUE"""),29.938222982314)</f>
        <v>29.938222982313999</v>
      </c>
      <c r="BL36" s="198">
        <f ca="1">IFERROR(__xludf.DUMMYFUNCTION("""COMPUTED_VALUE"""),30.3277910981135)</f>
        <v>30.327791098113501</v>
      </c>
      <c r="BM36" s="198">
        <f ca="1">IFERROR(__xludf.DUMMYFUNCTION("""COMPUTED_VALUE"""),30.7336458932722)</f>
        <v>30.7336458932722</v>
      </c>
      <c r="BN36" s="198">
        <f ca="1">IFERROR(__xludf.DUMMYFUNCTION("""COMPUTED_VALUE"""),31.1492258177239)</f>
        <v>31.149225817723899</v>
      </c>
      <c r="BO36" s="198">
        <f ca="1">IFERROR(__xludf.DUMMYFUNCTION("""COMPUTED_VALUE"""),31.5769028711128)</f>
        <v>31.5769028711128</v>
      </c>
      <c r="BP36" s="198">
        <f ca="1">IFERROR(__xludf.DUMMYFUNCTION("""COMPUTED_VALUE"""),32.0177403635929)</f>
        <v>32.0177403635929</v>
      </c>
      <c r="BQ36" s="198">
        <f ca="1">IFERROR(__xludf.DUMMYFUNCTION("""COMPUTED_VALUE"""),32.4714662432712)</f>
        <v>32.471466243271202</v>
      </c>
      <c r="BR36" s="198">
        <f ca="1">IFERROR(__xludf.DUMMYFUNCTION("""COMPUTED_VALUE"""),32.9372125269352)</f>
        <v>32.937212526935198</v>
      </c>
      <c r="BS36" s="198">
        <f ca="1">IFERROR(__xludf.DUMMYFUNCTION("""COMPUTED_VALUE"""),33.4155976869135)</f>
        <v>33.4155976869135</v>
      </c>
      <c r="BT36" s="198">
        <f ca="1">IFERROR(__xludf.DUMMYFUNCTION("""COMPUTED_VALUE"""),33.9067814193967)</f>
        <v>33.906781419396701</v>
      </c>
      <c r="BU36" s="198">
        <f ca="1">IFERROR(__xludf.DUMMYFUNCTION("""COMPUTED_VALUE"""),34.4106866708203)</f>
        <v>34.410686670820297</v>
      </c>
      <c r="BV36" s="198">
        <f ca="1">IFERROR(__xludf.DUMMYFUNCTION("""COMPUTED_VALUE"""),34.9272866577147)</f>
        <v>34.927286657714703</v>
      </c>
      <c r="BW36" s="198">
        <f ca="1">IFERROR(__xludf.DUMMYFUNCTION("""COMPUTED_VALUE"""),35.4567736439383)</f>
        <v>35.456773643938298</v>
      </c>
      <c r="BX36" s="198"/>
      <c r="BY36" s="198"/>
      <c r="BZ36" s="198"/>
      <c r="CA36" s="198"/>
      <c r="CB36" s="198"/>
      <c r="CC36" s="198"/>
      <c r="CD36" s="198"/>
      <c r="CE36" s="198"/>
      <c r="CF36" s="198"/>
      <c r="CG36" s="198"/>
    </row>
    <row r="37" spans="1:85" ht="15.75" customHeight="1" x14ac:dyDescent="0.2">
      <c r="A37" s="155" t="str">
        <f ca="1">IFERROR(__xludf.DUMMYFUNCTION("""COMPUTED_VALUE"""),"  Trial-to-Customer Conversion Rate")</f>
        <v xml:space="preserve">  Trial-to-Customer Conversion Rate</v>
      </c>
      <c r="B37" s="155" t="str">
        <f ca="1">IFERROR(__xludf.DUMMYFUNCTION("""COMPUTED_VALUE"""),"")</f>
        <v/>
      </c>
      <c r="C37" s="155" t="str">
        <f ca="1">IFERROR(__xludf.DUMMYFUNCTION("""COMPUTED_VALUE"""),"")</f>
        <v/>
      </c>
      <c r="D37" s="162">
        <f ca="1">IFERROR(__xludf.DUMMYFUNCTION("""COMPUTED_VALUE"""),0.564971751412429)</f>
        <v>0.56497175141242895</v>
      </c>
      <c r="E37" s="162">
        <f ca="1">IFERROR(__xludf.DUMMYFUNCTION("""COMPUTED_VALUE"""),0.25)</f>
        <v>0.25</v>
      </c>
      <c r="F37" s="162">
        <f ca="1">IFERROR(__xludf.DUMMYFUNCTION("""COMPUTED_VALUE"""),0.350877192982456)</f>
        <v>0.35087719298245601</v>
      </c>
      <c r="G37" s="162">
        <f ca="1">IFERROR(__xludf.DUMMYFUNCTION("""COMPUTED_VALUE"""),0.282608695652173)</f>
        <v>0.282608695652173</v>
      </c>
      <c r="H37" s="162">
        <f ca="1">IFERROR(__xludf.DUMMYFUNCTION("""COMPUTED_VALUE"""),0.392156862745098)</f>
        <v>0.39215686274509798</v>
      </c>
      <c r="I37" s="162">
        <f ca="1">IFERROR(__xludf.DUMMYFUNCTION("""COMPUTED_VALUE"""),0.222222222222222)</f>
        <v>0.22222222222222199</v>
      </c>
      <c r="J37" s="162">
        <f ca="1">IFERROR(__xludf.DUMMYFUNCTION("""COMPUTED_VALUE"""),0.368421052631578)</f>
        <v>0.36842105263157798</v>
      </c>
      <c r="K37" s="162">
        <f ca="1">IFERROR(__xludf.DUMMYFUNCTION("""COMPUTED_VALUE"""),0.246478873239436)</f>
        <v>0.24647887323943601</v>
      </c>
      <c r="L37" s="162">
        <f ca="1">IFERROR(__xludf.DUMMYFUNCTION("""COMPUTED_VALUE"""),0.269230769230769)</f>
        <v>0.269230769230769</v>
      </c>
      <c r="M37" s="162">
        <f ca="1">IFERROR(__xludf.DUMMYFUNCTION("""COMPUTED_VALUE"""),0.241379310344827)</f>
        <v>0.24137931034482701</v>
      </c>
      <c r="N37" s="162">
        <f ca="1">IFERROR(__xludf.DUMMYFUNCTION("""COMPUTED_VALUE"""),0.23728813559322)</f>
        <v>0.23728813559322001</v>
      </c>
      <c r="O37" s="162">
        <f ca="1">IFERROR(__xludf.DUMMYFUNCTION("""COMPUTED_VALUE"""),0.271186440677966)</f>
        <v>0.27118644067796599</v>
      </c>
      <c r="P37" s="162">
        <f ca="1">IFERROR(__xludf.DUMMYFUNCTION("""COMPUTED_VALUE"""),0.245901639344262)</f>
        <v>0.24590163934426201</v>
      </c>
      <c r="Q37" s="162">
        <f ca="1">IFERROR(__xludf.DUMMYFUNCTION("""COMPUTED_VALUE"""),0.367647058823529)</f>
        <v>0.36764705882352899</v>
      </c>
      <c r="R37" s="162">
        <f ca="1">IFERROR(__xludf.DUMMYFUNCTION("""COMPUTED_VALUE"""),0.261538461538461)</f>
        <v>0.261538461538461</v>
      </c>
      <c r="S37" s="162">
        <f ca="1">IFERROR(__xludf.DUMMYFUNCTION("""COMPUTED_VALUE"""),0.513513513513513)</f>
        <v>0.51351351351351304</v>
      </c>
      <c r="T37" s="162">
        <f ca="1">IFERROR(__xludf.DUMMYFUNCTION("""COMPUTED_VALUE"""),0.357142857142857)</f>
        <v>0.35714285714285698</v>
      </c>
      <c r="U37" s="162">
        <f ca="1">IFERROR(__xludf.DUMMYFUNCTION("""COMPUTED_VALUE"""),0.453125)</f>
        <v>0.453125</v>
      </c>
      <c r="V37" s="162">
        <f ca="1">IFERROR(__xludf.DUMMYFUNCTION("""COMPUTED_VALUE"""),0.457142857142857)</f>
        <v>0.45714285714285702</v>
      </c>
      <c r="W37" s="162">
        <f ca="1">IFERROR(__xludf.DUMMYFUNCTION("""COMPUTED_VALUE"""),0.357142857142857)</f>
        <v>0.35714285714285698</v>
      </c>
      <c r="X37" s="162">
        <f ca="1">IFERROR(__xludf.DUMMYFUNCTION("""COMPUTED_VALUE"""),0.317073170731707)</f>
        <v>0.31707317073170699</v>
      </c>
      <c r="Y37" s="162">
        <f ca="1">IFERROR(__xludf.DUMMYFUNCTION("""COMPUTED_VALUE"""),0.272006111453864)</f>
        <v>0.272006111453864</v>
      </c>
      <c r="Z37" s="162">
        <f ca="1">IFERROR(__xludf.DUMMYFUNCTION("""COMPUTED_VALUE"""),0.264009867894815)</f>
        <v>0.26400986789481501</v>
      </c>
      <c r="AA37" s="162">
        <f ca="1">IFERROR(__xludf.DUMMYFUNCTION("""COMPUTED_VALUE"""),0.29270190765392)</f>
        <v>0.29270190765392001</v>
      </c>
      <c r="AB37" s="162">
        <f ca="1">IFERROR(__xludf.DUMMYFUNCTION("""COMPUTED_VALUE"""),0.286494305824424)</f>
        <v>0.28649430582442398</v>
      </c>
      <c r="AC37" s="162">
        <f ca="1">IFERROR(__xludf.DUMMYFUNCTION("""COMPUTED_VALUE"""),0.311050154906701)</f>
        <v>0.31105015490670102</v>
      </c>
      <c r="AD37" s="162">
        <f ca="1">IFERROR(__xludf.DUMMYFUNCTION("""COMPUTED_VALUE"""),0.226788062047892)</f>
        <v>0.22678806204789201</v>
      </c>
      <c r="AE37" s="162">
        <f ca="1">IFERROR(__xludf.DUMMYFUNCTION("""COMPUTED_VALUE"""),0.160563704579695)</f>
        <v>0.16056370457969499</v>
      </c>
      <c r="AF37" s="162">
        <f ca="1">IFERROR(__xludf.DUMMYFUNCTION("""COMPUTED_VALUE"""),0.23293854283397)</f>
        <v>0.23293854283397</v>
      </c>
      <c r="AG37" s="162">
        <f ca="1">IFERROR(__xludf.DUMMYFUNCTION("""COMPUTED_VALUE"""),0.206691832793532)</f>
        <v>0.20669183279353201</v>
      </c>
      <c r="AH37" s="162">
        <f ca="1">IFERROR(__xludf.DUMMYFUNCTION("""COMPUTED_VALUE"""),0.200466585742834)</f>
        <v>0.20046658574283399</v>
      </c>
      <c r="AI37" s="162">
        <f ca="1">IFERROR(__xludf.DUMMYFUNCTION("""COMPUTED_VALUE"""),0.215168106995072)</f>
        <v>0.21516810699507199</v>
      </c>
      <c r="AJ37" s="162">
        <f ca="1">IFERROR(__xludf.DUMMYFUNCTION("""COMPUTED_VALUE"""),0.209572942188423)</f>
        <v>0.20957294218842301</v>
      </c>
      <c r="AK37" s="162">
        <f ca="1">IFERROR(__xludf.DUMMYFUNCTION("""COMPUTED_VALUE"""),0.210416027470213)</f>
        <v>0.21041602747021301</v>
      </c>
      <c r="AL37" s="162">
        <f ca="1">IFERROR(__xludf.DUMMYFUNCTION("""COMPUTED_VALUE"""),0.213495496978885)</f>
        <v>0.21349549697888501</v>
      </c>
      <c r="AM37" s="162">
        <f ca="1">IFERROR(__xludf.DUMMYFUNCTION("""COMPUTED_VALUE"""),0.212923382840425)</f>
        <v>0.212923382840425</v>
      </c>
      <c r="AN37" s="162">
        <f ca="1">IFERROR(__xludf.DUMMYFUNCTION("""COMPUTED_VALUE"""),0.213921624498117)</f>
        <v>0.213921624498117</v>
      </c>
      <c r="AO37" s="162">
        <f ca="1">IFERROR(__xludf.DUMMYFUNCTION("""COMPUTED_VALUE"""),0.21497086394738)</f>
        <v>0.21497086394737999</v>
      </c>
      <c r="AP37" s="162">
        <f ca="1">IFERROR(__xludf.DUMMYFUNCTION("""COMPUTED_VALUE"""),0.215388341903569)</f>
        <v>0.21538834190356901</v>
      </c>
      <c r="AQ37" s="162">
        <f ca="1">IFERROR(__xludf.DUMMYFUNCTION("""COMPUTED_VALUE"""),0.216115810889743)</f>
        <v>0.21611581088974299</v>
      </c>
      <c r="AR37" s="162">
        <f ca="1">IFERROR(__xludf.DUMMYFUNCTION("""COMPUTED_VALUE"""),0.216761043598993)</f>
        <v>0.21676104359899301</v>
      </c>
      <c r="AS37" s="162">
        <f ca="1">IFERROR(__xludf.DUMMYFUNCTION("""COMPUTED_VALUE"""),0.217282454202157)</f>
        <v>0.217282454202157</v>
      </c>
      <c r="AT37" s="162">
        <f ca="1">IFERROR(__xludf.DUMMYFUNCTION("""COMPUTED_VALUE"""),0.217838021170399)</f>
        <v>0.21783802117039899</v>
      </c>
      <c r="AU37" s="162">
        <f ca="1">IFERROR(__xludf.DUMMYFUNCTION("""COMPUTED_VALUE"""),0.218342032042972)</f>
        <v>0.21834203204297201</v>
      </c>
      <c r="AV37" s="162">
        <f ca="1">IFERROR(__xludf.DUMMYFUNCTION("""COMPUTED_VALUE"""),0.218803938191025)</f>
        <v>0.218803938191025</v>
      </c>
      <c r="AW37" s="162">
        <f ca="1">IFERROR(__xludf.DUMMYFUNCTION("""COMPUTED_VALUE"""),0.219249089420412)</f>
        <v>0.21924908942041199</v>
      </c>
      <c r="AX37" s="162">
        <f ca="1">IFERROR(__xludf.DUMMYFUNCTION("""COMPUTED_VALUE"""),0.219661614310962)</f>
        <v>0.21966161431096201</v>
      </c>
      <c r="AY37" s="162">
        <f ca="1">IFERROR(__xludf.DUMMYFUNCTION("""COMPUTED_VALUE"""),0.22004731757073)</f>
        <v>0.22004731757073001</v>
      </c>
      <c r="AZ37" s="162">
        <f ca="1">IFERROR(__xludf.DUMMYFUNCTION("""COMPUTED_VALUE"""),0.220150524744174)</f>
        <v>0.22015052474417399</v>
      </c>
      <c r="BA37" s="162">
        <f ca="1">IFERROR(__xludf.DUMMYFUNCTION("""COMPUTED_VALUE"""),0.220475621259031)</f>
        <v>0.220475621259031</v>
      </c>
      <c r="BB37" s="162">
        <f ca="1">IFERROR(__xludf.DUMMYFUNCTION("""COMPUTED_VALUE"""),0.220767774030041)</f>
        <v>0.220767774030041</v>
      </c>
      <c r="BC37" s="162">
        <f ca="1">IFERROR(__xludf.DUMMYFUNCTION("""COMPUTED_VALUE"""),0.221026295670531)</f>
        <v>0.221026295670531</v>
      </c>
      <c r="BD37" s="162">
        <f ca="1">IFERROR(__xludf.DUMMYFUNCTION("""COMPUTED_VALUE"""),0.221250023293724)</f>
        <v>0.22125002329372401</v>
      </c>
      <c r="BE37" s="162">
        <f ca="1">IFERROR(__xludf.DUMMYFUNCTION("""COMPUTED_VALUE"""),0.221496381458825)</f>
        <v>0.221496381458825</v>
      </c>
      <c r="BF37" s="162">
        <f ca="1">IFERROR(__xludf.DUMMYFUNCTION("""COMPUTED_VALUE"""),0.221725658531086)</f>
        <v>0.221725658531086</v>
      </c>
      <c r="BG37" s="162">
        <f ca="1">IFERROR(__xludf.DUMMYFUNCTION("""COMPUTED_VALUE"""),0.221940941662917)</f>
        <v>0.221940941662917</v>
      </c>
      <c r="BH37" s="162">
        <f ca="1">IFERROR(__xludf.DUMMYFUNCTION("""COMPUTED_VALUE"""),0.222146299863223)</f>
        <v>0.22214629986322301</v>
      </c>
      <c r="BI37" s="162">
        <f ca="1">IFERROR(__xludf.DUMMYFUNCTION("""COMPUTED_VALUE"""),0.22234655217728)</f>
        <v>0.22234655217728</v>
      </c>
      <c r="BJ37" s="162">
        <f ca="1">IFERROR(__xludf.DUMMYFUNCTION("""COMPUTED_VALUE"""),0.222536398174813)</f>
        <v>0.22253639817481299</v>
      </c>
      <c r="BK37" s="162">
        <f ca="1">IFERROR(__xludf.DUMMYFUNCTION("""COMPUTED_VALUE"""),0.222717232610042)</f>
        <v>0.222717232610042</v>
      </c>
      <c r="BL37" s="162">
        <f ca="1">IFERROR(__xludf.DUMMYFUNCTION("""COMPUTED_VALUE"""),0.222890073165134)</f>
        <v>0.22289007316513401</v>
      </c>
      <c r="BM37" s="162">
        <f ca="1">IFERROR(__xludf.DUMMYFUNCTION("""COMPUTED_VALUE"""),0.223055356946468)</f>
        <v>0.223055356946468</v>
      </c>
      <c r="BN37" s="162">
        <f ca="1">IFERROR(__xludf.DUMMYFUNCTION("""COMPUTED_VALUE"""),0.223212688755087)</f>
        <v>0.22321268875508701</v>
      </c>
      <c r="BO37" s="162">
        <f ca="1">IFERROR(__xludf.DUMMYFUNCTION("""COMPUTED_VALUE"""),0.223362601366041)</f>
        <v>0.223362601366041</v>
      </c>
      <c r="BP37" s="162">
        <f ca="1">IFERROR(__xludf.DUMMYFUNCTION("""COMPUTED_VALUE"""),0.223505461866404)</f>
        <v>0.22350546186640399</v>
      </c>
      <c r="BQ37" s="162">
        <f ca="1">IFERROR(__xludf.DUMMYFUNCTION("""COMPUTED_VALUE"""),0.223641510746988)</f>
        <v>0.22364151074698799</v>
      </c>
      <c r="BR37" s="162">
        <f ca="1">IFERROR(__xludf.DUMMYFUNCTION("""COMPUTED_VALUE"""),0.223770948472125)</f>
        <v>0.223770948472125</v>
      </c>
      <c r="BS37" s="162">
        <f ca="1">IFERROR(__xludf.DUMMYFUNCTION("""COMPUTED_VALUE"""),0.223894085924762)</f>
        <v>0.22389408592476201</v>
      </c>
      <c r="BT37" s="162">
        <f ca="1">IFERROR(__xludf.DUMMYFUNCTION("""COMPUTED_VALUE"""),0.22401118909576)</f>
        <v>0.22401118909576001</v>
      </c>
      <c r="BU37" s="162">
        <f ca="1">IFERROR(__xludf.DUMMYFUNCTION("""COMPUTED_VALUE"""),0.224122502315051)</f>
        <v>0.22412250231505099</v>
      </c>
      <c r="BV37" s="162">
        <f ca="1">IFERROR(__xludf.DUMMYFUNCTION("""COMPUTED_VALUE"""),0.224228268341675)</f>
        <v>0.224228268341675</v>
      </c>
      <c r="BW37" s="162">
        <f ca="1">IFERROR(__xludf.DUMMYFUNCTION("""COMPUTED_VALUE"""),0.224328735307526)</f>
        <v>0.22432873530752601</v>
      </c>
      <c r="BX37" s="162"/>
      <c r="BY37" s="162"/>
      <c r="BZ37" s="162"/>
      <c r="CA37" s="162"/>
      <c r="CB37" s="162"/>
      <c r="CC37" s="162"/>
      <c r="CD37" s="162"/>
      <c r="CE37" s="162"/>
      <c r="CF37" s="162"/>
      <c r="CG37" s="162"/>
    </row>
    <row r="38" spans="1:85" ht="15.75" customHeight="1" x14ac:dyDescent="0.2">
      <c r="A38" s="155"/>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row>
    <row r="39" spans="1:85" ht="15.75" customHeight="1" x14ac:dyDescent="0.2">
      <c r="A39" s="155"/>
      <c r="B39" s="155"/>
      <c r="C39" s="155"/>
      <c r="D39" s="200"/>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c r="BJ39" s="155"/>
      <c r="BK39" s="155"/>
      <c r="BL39" s="155"/>
      <c r="BM39" s="155"/>
      <c r="BN39" s="155"/>
      <c r="BO39" s="155"/>
      <c r="BP39" s="155"/>
      <c r="BQ39" s="155"/>
      <c r="BR39" s="155"/>
      <c r="BS39" s="155"/>
      <c r="BT39" s="155"/>
      <c r="BU39" s="155"/>
      <c r="BV39" s="155"/>
      <c r="BW39" s="155"/>
      <c r="BX39" s="155"/>
      <c r="BY39" s="155"/>
      <c r="BZ39" s="155"/>
      <c r="CA39" s="155"/>
      <c r="CB39" s="155"/>
      <c r="CC39" s="155"/>
      <c r="CD39" s="155"/>
      <c r="CE39" s="155"/>
      <c r="CF39" s="155"/>
      <c r="CG39" s="155"/>
    </row>
    <row r="40" spans="1:85" ht="15.75" customHeight="1" x14ac:dyDescent="0.2">
      <c r="A40" s="155"/>
      <c r="B40" s="155"/>
      <c r="C40" s="155"/>
      <c r="D40" s="200"/>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c r="BJ40" s="155"/>
      <c r="BK40" s="155"/>
      <c r="BL40" s="155"/>
      <c r="BM40" s="155"/>
      <c r="BN40" s="155"/>
      <c r="BO40" s="155"/>
      <c r="BP40" s="155"/>
      <c r="BQ40" s="155"/>
      <c r="BR40" s="155"/>
      <c r="BS40" s="155"/>
      <c r="BT40" s="155"/>
      <c r="BU40" s="155"/>
      <c r="BV40" s="155"/>
      <c r="BW40" s="155"/>
      <c r="BX40" s="155"/>
      <c r="BY40" s="155"/>
      <c r="BZ40" s="155"/>
      <c r="CA40" s="155"/>
      <c r="CB40" s="155"/>
      <c r="CC40" s="155"/>
      <c r="CD40" s="155"/>
      <c r="CE40" s="155"/>
      <c r="CF40" s="155"/>
      <c r="CG40" s="155"/>
    </row>
    <row r="41" spans="1:85" ht="15.75" customHeight="1" x14ac:dyDescent="0.2">
      <c r="A41" s="201" t="s">
        <v>169</v>
      </c>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c r="BJ41" s="155"/>
      <c r="BK41" s="155"/>
      <c r="BL41" s="155"/>
      <c r="BM41" s="155"/>
      <c r="BN41" s="155"/>
      <c r="BO41" s="155"/>
      <c r="BP41" s="155"/>
      <c r="BQ41" s="155"/>
      <c r="BR41" s="155"/>
      <c r="BS41" s="155"/>
      <c r="BT41" s="155"/>
      <c r="BU41" s="155"/>
      <c r="BV41" s="155"/>
      <c r="BW41" s="155"/>
      <c r="BX41" s="155"/>
      <c r="BY41" s="155"/>
      <c r="BZ41" s="155"/>
      <c r="CA41" s="155"/>
      <c r="CB41" s="155"/>
      <c r="CC41" s="155"/>
      <c r="CD41" s="155"/>
      <c r="CE41" s="155"/>
      <c r="CF41" s="155"/>
      <c r="CG41" s="155"/>
    </row>
    <row r="42" spans="1:85" ht="15.75" customHeight="1" x14ac:dyDescent="0.2">
      <c r="A42" s="203" t="s">
        <v>171</v>
      </c>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5"/>
      <c r="AN42" s="155"/>
      <c r="AO42" s="155"/>
      <c r="AP42" s="155"/>
      <c r="AQ42" s="155"/>
      <c r="AR42" s="155"/>
      <c r="AS42" s="155"/>
      <c r="AT42" s="155"/>
      <c r="AU42" s="155"/>
      <c r="AV42" s="155"/>
      <c r="AW42" s="155"/>
      <c r="AX42" s="155"/>
      <c r="AY42" s="155"/>
      <c r="AZ42" s="155"/>
      <c r="BA42" s="155"/>
      <c r="BB42" s="155"/>
      <c r="BC42" s="155"/>
      <c r="BD42" s="155"/>
      <c r="BE42" s="155"/>
      <c r="BF42" s="155"/>
      <c r="BG42" s="155"/>
      <c r="BH42" s="155"/>
      <c r="BI42" s="155"/>
      <c r="BJ42" s="155"/>
      <c r="BK42" s="155"/>
      <c r="BL42" s="155"/>
      <c r="BM42" s="155"/>
      <c r="BN42" s="155"/>
      <c r="BO42" s="155"/>
      <c r="BP42" s="155"/>
      <c r="BQ42" s="155"/>
      <c r="BR42" s="155"/>
      <c r="BS42" s="155"/>
      <c r="BT42" s="155"/>
      <c r="BU42" s="155"/>
      <c r="BV42" s="155"/>
      <c r="BW42" s="155"/>
      <c r="BX42" s="155"/>
      <c r="BY42" s="155"/>
      <c r="BZ42" s="155"/>
      <c r="CA42" s="155"/>
      <c r="CB42" s="155"/>
      <c r="CC42" s="155"/>
      <c r="CD42" s="155"/>
      <c r="CE42" s="155"/>
      <c r="CF42" s="155"/>
      <c r="CG42" s="155"/>
    </row>
    <row r="43" spans="1:85" ht="15.75" customHeight="1" x14ac:dyDescent="0.2">
      <c r="A43" s="155"/>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5"/>
      <c r="BZ43" s="155"/>
      <c r="CA43" s="155"/>
      <c r="CB43" s="155"/>
      <c r="CC43" s="155"/>
      <c r="CD43" s="155"/>
      <c r="CE43" s="155"/>
      <c r="CF43" s="155"/>
      <c r="CG43" s="155"/>
    </row>
    <row r="44" spans="1:85" ht="15.75" customHeight="1" x14ac:dyDescent="0.2">
      <c r="A44" s="201" t="s">
        <v>172</v>
      </c>
      <c r="B44" s="155"/>
      <c r="C44" s="15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c r="BJ44" s="155"/>
      <c r="BK44" s="155"/>
      <c r="BL44" s="155"/>
      <c r="BM44" s="155"/>
      <c r="BN44" s="155"/>
      <c r="BO44" s="155"/>
      <c r="BP44" s="155"/>
      <c r="BQ44" s="155"/>
      <c r="BR44" s="155"/>
      <c r="BS44" s="155"/>
      <c r="BT44" s="155"/>
      <c r="BU44" s="155"/>
      <c r="BV44" s="155"/>
      <c r="BW44" s="155"/>
      <c r="BX44" s="155"/>
      <c r="BY44" s="155"/>
      <c r="BZ44" s="155"/>
      <c r="CA44" s="155"/>
      <c r="CB44" s="155"/>
      <c r="CC44" s="155"/>
      <c r="CD44" s="155"/>
      <c r="CE44" s="155"/>
      <c r="CF44" s="155"/>
      <c r="CG44" s="155"/>
    </row>
    <row r="45" spans="1:85" ht="15.75" customHeight="1" x14ac:dyDescent="0.2">
      <c r="A45" s="204" t="s">
        <v>173</v>
      </c>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c r="AH45" s="155"/>
      <c r="AI45" s="155"/>
      <c r="AJ45" s="155"/>
      <c r="AK45" s="155"/>
      <c r="AL45" s="155"/>
      <c r="AM45" s="155"/>
      <c r="AN45" s="155"/>
      <c r="AO45" s="155"/>
      <c r="AP45" s="155"/>
      <c r="AQ45" s="155"/>
      <c r="AR45" s="155"/>
      <c r="AS45" s="155"/>
      <c r="AT45" s="155"/>
      <c r="AU45" s="155"/>
      <c r="AV45" s="155"/>
      <c r="AW45" s="155"/>
      <c r="AX45" s="155"/>
      <c r="AY45" s="155"/>
      <c r="AZ45" s="155"/>
      <c r="BA45" s="155"/>
      <c r="BB45" s="155"/>
      <c r="BC45" s="155"/>
      <c r="BD45" s="155"/>
      <c r="BE45" s="155"/>
      <c r="BF45" s="155"/>
      <c r="BG45" s="155"/>
      <c r="BH45" s="155"/>
      <c r="BI45" s="155"/>
      <c r="BJ45" s="155"/>
      <c r="BK45" s="155"/>
      <c r="BL45" s="155"/>
      <c r="BM45" s="155"/>
      <c r="BN45" s="155"/>
      <c r="BO45" s="155"/>
      <c r="BP45" s="155"/>
      <c r="BQ45" s="155"/>
      <c r="BR45" s="155"/>
      <c r="BS45" s="155"/>
      <c r="BT45" s="155"/>
      <c r="BU45" s="155"/>
      <c r="BV45" s="155"/>
      <c r="BW45" s="155"/>
      <c r="BX45" s="155"/>
      <c r="BY45" s="155"/>
      <c r="BZ45" s="155"/>
      <c r="CA45" s="155"/>
      <c r="CB45" s="155"/>
      <c r="CC45" s="155"/>
      <c r="CD45" s="155"/>
      <c r="CE45" s="155"/>
      <c r="CF45" s="155"/>
      <c r="CG45" s="155"/>
    </row>
    <row r="46" spans="1:85" ht="15.75" customHeight="1" x14ac:dyDescent="0.2">
      <c r="A46" s="155"/>
      <c r="B46" s="155"/>
      <c r="C46" s="155"/>
      <c r="D46" s="155"/>
      <c r="E46" s="155"/>
      <c r="F46" s="155"/>
      <c r="G46" s="155"/>
      <c r="H46" s="155"/>
      <c r="I46" s="155"/>
      <c r="J46" s="155"/>
      <c r="K46" s="155"/>
      <c r="L46" s="155"/>
      <c r="M46" s="155"/>
      <c r="N46" s="155"/>
      <c r="O46" s="155"/>
      <c r="P46" s="155"/>
      <c r="Q46" s="155"/>
      <c r="R46" s="155"/>
      <c r="S46" s="155"/>
      <c r="T46" s="155"/>
      <c r="U46" s="155"/>
      <c r="V46" s="155"/>
      <c r="W46" s="155"/>
      <c r="X46" s="155"/>
      <c r="Y46" s="155"/>
      <c r="Z46" s="155"/>
      <c r="AA46" s="155"/>
      <c r="AB46" s="155"/>
      <c r="AC46" s="155"/>
      <c r="AD46" s="155"/>
      <c r="AE46" s="155"/>
      <c r="AF46" s="155"/>
      <c r="AG46" s="155"/>
      <c r="AH46" s="155"/>
      <c r="AI46" s="155"/>
      <c r="AJ46" s="155"/>
      <c r="AK46" s="155"/>
      <c r="AL46" s="155"/>
      <c r="AM46" s="155"/>
      <c r="AN46" s="155"/>
      <c r="AO46" s="155"/>
      <c r="AP46" s="155"/>
      <c r="AQ46" s="155"/>
      <c r="AR46" s="155"/>
      <c r="AS46" s="155"/>
      <c r="AT46" s="155"/>
      <c r="AU46" s="155"/>
      <c r="AV46" s="155"/>
      <c r="AW46" s="155"/>
      <c r="AX46" s="155"/>
      <c r="AY46" s="155"/>
      <c r="AZ46" s="155"/>
      <c r="BA46" s="155"/>
      <c r="BB46" s="155"/>
      <c r="BC46" s="155"/>
      <c r="BD46" s="155"/>
      <c r="BE46" s="155"/>
      <c r="BF46" s="155"/>
      <c r="BG46" s="155"/>
      <c r="BH46" s="155"/>
      <c r="BI46" s="155"/>
      <c r="BJ46" s="155"/>
      <c r="BK46" s="155"/>
      <c r="BL46" s="155"/>
      <c r="BM46" s="155"/>
      <c r="BN46" s="155"/>
      <c r="BO46" s="155"/>
      <c r="BP46" s="155"/>
      <c r="BQ46" s="155"/>
      <c r="BR46" s="155"/>
      <c r="BS46" s="155"/>
      <c r="BT46" s="155"/>
      <c r="BU46" s="155"/>
      <c r="BV46" s="155"/>
      <c r="BW46" s="155"/>
      <c r="BX46" s="155"/>
      <c r="BY46" s="155"/>
      <c r="BZ46" s="155"/>
      <c r="CA46" s="155"/>
      <c r="CB46" s="155"/>
      <c r="CC46" s="155"/>
      <c r="CD46" s="155"/>
      <c r="CE46" s="155"/>
      <c r="CF46" s="155"/>
      <c r="CG46" s="155"/>
    </row>
    <row r="47" spans="1:85" ht="15.75" customHeight="1" x14ac:dyDescent="0.2">
      <c r="A47" s="155"/>
      <c r="B47" s="155"/>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5"/>
      <c r="BZ47" s="155"/>
      <c r="CA47" s="155"/>
      <c r="CB47" s="155"/>
      <c r="CC47" s="155"/>
      <c r="CD47" s="155"/>
      <c r="CE47" s="155"/>
      <c r="CF47" s="155"/>
      <c r="CG47" s="155"/>
    </row>
    <row r="48" spans="1:85" ht="15.75" customHeight="1" x14ac:dyDescent="0.2">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c r="AP48" s="155"/>
      <c r="AQ48" s="155"/>
      <c r="AR48" s="155"/>
      <c r="AS48" s="155"/>
      <c r="AT48" s="155"/>
      <c r="AU48" s="155"/>
      <c r="AV48" s="155"/>
      <c r="AW48" s="155"/>
      <c r="AX48" s="155"/>
      <c r="AY48" s="155"/>
      <c r="AZ48" s="155"/>
      <c r="BA48" s="155"/>
      <c r="BB48" s="155"/>
      <c r="BC48" s="155"/>
      <c r="BD48" s="155"/>
      <c r="BE48" s="155"/>
      <c r="BF48" s="155"/>
      <c r="BG48" s="155"/>
      <c r="BH48" s="155"/>
      <c r="BI48" s="155"/>
      <c r="BJ48" s="155"/>
      <c r="BK48" s="155"/>
      <c r="BL48" s="155"/>
      <c r="BM48" s="155"/>
      <c r="BN48" s="155"/>
      <c r="BO48" s="155"/>
      <c r="BP48" s="155"/>
      <c r="BQ48" s="155"/>
      <c r="BR48" s="155"/>
      <c r="BS48" s="155"/>
      <c r="BT48" s="155"/>
      <c r="BU48" s="155"/>
      <c r="BV48" s="155"/>
      <c r="BW48" s="155"/>
      <c r="BX48" s="155"/>
      <c r="BY48" s="155"/>
      <c r="BZ48" s="155"/>
      <c r="CA48" s="155"/>
      <c r="CB48" s="155"/>
      <c r="CC48" s="155"/>
      <c r="CD48" s="155"/>
      <c r="CE48" s="155"/>
      <c r="CF48" s="155"/>
      <c r="CG48" s="155"/>
    </row>
    <row r="49" spans="1:85" ht="15.75" customHeight="1" x14ac:dyDescent="0.2">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c r="AA49" s="15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c r="BJ49" s="155"/>
      <c r="BK49" s="155"/>
      <c r="BL49" s="155"/>
      <c r="BM49" s="155"/>
      <c r="BN49" s="155"/>
      <c r="BO49" s="155"/>
      <c r="BP49" s="155"/>
      <c r="BQ49" s="155"/>
      <c r="BR49" s="155"/>
      <c r="BS49" s="155"/>
      <c r="BT49" s="155"/>
      <c r="BU49" s="155"/>
      <c r="BV49" s="155"/>
      <c r="BW49" s="155"/>
      <c r="BX49" s="155"/>
      <c r="BY49" s="155"/>
      <c r="BZ49" s="155"/>
      <c r="CA49" s="155"/>
      <c r="CB49" s="155"/>
      <c r="CC49" s="155"/>
      <c r="CD49" s="155"/>
      <c r="CE49" s="155"/>
      <c r="CF49" s="155"/>
      <c r="CG49" s="155"/>
    </row>
    <row r="50" spans="1:85" ht="15.75" customHeight="1" x14ac:dyDescent="0.2">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c r="AP50" s="155"/>
      <c r="AQ50" s="155"/>
      <c r="AR50" s="155"/>
      <c r="AS50" s="155"/>
      <c r="AT50" s="155"/>
      <c r="AU50" s="155"/>
      <c r="AV50" s="155"/>
      <c r="AW50" s="155"/>
      <c r="AX50" s="155"/>
      <c r="AY50" s="155"/>
      <c r="AZ50" s="155"/>
      <c r="BA50" s="155"/>
      <c r="BB50" s="155"/>
      <c r="BC50" s="155"/>
      <c r="BD50" s="155"/>
      <c r="BE50" s="155"/>
      <c r="BF50" s="155"/>
      <c r="BG50" s="155"/>
      <c r="BH50" s="155"/>
      <c r="BI50" s="155"/>
      <c r="BJ50" s="155"/>
      <c r="BK50" s="155"/>
      <c r="BL50" s="155"/>
      <c r="BM50" s="155"/>
      <c r="BN50" s="155"/>
      <c r="BO50" s="155"/>
      <c r="BP50" s="155"/>
      <c r="BQ50" s="155"/>
      <c r="BR50" s="155"/>
      <c r="BS50" s="155"/>
      <c r="BT50" s="155"/>
      <c r="BU50" s="155"/>
      <c r="BV50" s="155"/>
      <c r="BW50" s="155"/>
      <c r="BX50" s="155"/>
      <c r="BY50" s="155"/>
      <c r="BZ50" s="155"/>
      <c r="CA50" s="155"/>
      <c r="CB50" s="155"/>
      <c r="CC50" s="155"/>
      <c r="CD50" s="155"/>
      <c r="CE50" s="155"/>
      <c r="CF50" s="155"/>
      <c r="CG50" s="155"/>
    </row>
    <row r="51" spans="1:85" ht="15.75" customHeight="1" x14ac:dyDescent="0.2">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c r="AP51" s="155"/>
      <c r="AQ51" s="155"/>
      <c r="AR51" s="155"/>
      <c r="AS51" s="155"/>
      <c r="AT51" s="155"/>
      <c r="AU51" s="155"/>
      <c r="AV51" s="155"/>
      <c r="AW51" s="155"/>
      <c r="AX51" s="155"/>
      <c r="AY51" s="155"/>
      <c r="AZ51" s="155"/>
      <c r="BA51" s="155"/>
      <c r="BB51" s="155"/>
      <c r="BC51" s="155"/>
      <c r="BD51" s="155"/>
      <c r="BE51" s="155"/>
      <c r="BF51" s="155"/>
      <c r="BG51" s="155"/>
      <c r="BH51" s="155"/>
      <c r="BI51" s="155"/>
      <c r="BJ51" s="155"/>
      <c r="BK51" s="155"/>
      <c r="BL51" s="155"/>
      <c r="BM51" s="155"/>
      <c r="BN51" s="155"/>
      <c r="BO51" s="155"/>
      <c r="BP51" s="155"/>
      <c r="BQ51" s="155"/>
      <c r="BR51" s="155"/>
      <c r="BS51" s="155"/>
      <c r="BT51" s="155"/>
      <c r="BU51" s="155"/>
      <c r="BV51" s="155"/>
      <c r="BW51" s="155"/>
      <c r="BX51" s="155"/>
      <c r="BY51" s="155"/>
      <c r="BZ51" s="155"/>
      <c r="CA51" s="155"/>
      <c r="CB51" s="155"/>
      <c r="CC51" s="155"/>
      <c r="CD51" s="155"/>
      <c r="CE51" s="155"/>
      <c r="CF51" s="155"/>
      <c r="CG51" s="155"/>
    </row>
    <row r="52" spans="1:85" ht="15.75" customHeight="1" x14ac:dyDescent="0.2">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c r="AP52" s="155"/>
      <c r="AQ52" s="155"/>
      <c r="AR52" s="155"/>
      <c r="AS52" s="155"/>
      <c r="AT52" s="155"/>
      <c r="AU52" s="155"/>
      <c r="AV52" s="155"/>
      <c r="AW52" s="155"/>
      <c r="AX52" s="155"/>
      <c r="AY52" s="155"/>
      <c r="AZ52" s="155"/>
      <c r="BA52" s="155"/>
      <c r="BB52" s="155"/>
      <c r="BC52" s="155"/>
      <c r="BD52" s="155"/>
      <c r="BE52" s="155"/>
      <c r="BF52" s="155"/>
      <c r="BG52" s="155"/>
      <c r="BH52" s="155"/>
      <c r="BI52" s="155"/>
      <c r="BJ52" s="155"/>
      <c r="BK52" s="155"/>
      <c r="BL52" s="155"/>
      <c r="BM52" s="155"/>
      <c r="BN52" s="155"/>
      <c r="BO52" s="155"/>
      <c r="BP52" s="155"/>
      <c r="BQ52" s="155"/>
      <c r="BR52" s="155"/>
      <c r="BS52" s="155"/>
      <c r="BT52" s="155"/>
      <c r="BU52" s="155"/>
      <c r="BV52" s="155"/>
      <c r="BW52" s="155"/>
      <c r="BX52" s="155"/>
      <c r="BY52" s="155"/>
      <c r="BZ52" s="155"/>
      <c r="CA52" s="155"/>
      <c r="CB52" s="155"/>
      <c r="CC52" s="155"/>
      <c r="CD52" s="155"/>
      <c r="CE52" s="155"/>
      <c r="CF52" s="155"/>
      <c r="CG52" s="155"/>
    </row>
    <row r="53" spans="1:85" ht="15.75" customHeight="1" x14ac:dyDescent="0.2">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c r="AP53" s="155"/>
      <c r="AQ53" s="155"/>
      <c r="AR53" s="155"/>
      <c r="AS53" s="155"/>
      <c r="AT53" s="155"/>
      <c r="AU53" s="155"/>
      <c r="AV53" s="155"/>
      <c r="AW53" s="155"/>
      <c r="AX53" s="155"/>
      <c r="AY53" s="155"/>
      <c r="AZ53" s="155"/>
      <c r="BA53" s="155"/>
      <c r="BB53" s="155"/>
      <c r="BC53" s="155"/>
      <c r="BD53" s="155"/>
      <c r="BE53" s="155"/>
      <c r="BF53" s="155"/>
      <c r="BG53" s="155"/>
      <c r="BH53" s="155"/>
      <c r="BI53" s="155"/>
      <c r="BJ53" s="155"/>
      <c r="BK53" s="155"/>
      <c r="BL53" s="155"/>
      <c r="BM53" s="155"/>
      <c r="BN53" s="155"/>
      <c r="BO53" s="155"/>
      <c r="BP53" s="155"/>
      <c r="BQ53" s="155"/>
      <c r="BR53" s="155"/>
      <c r="BS53" s="155"/>
      <c r="BT53" s="155"/>
      <c r="BU53" s="155"/>
      <c r="BV53" s="155"/>
      <c r="BW53" s="155"/>
      <c r="BX53" s="155"/>
      <c r="BY53" s="155"/>
      <c r="BZ53" s="155"/>
      <c r="CA53" s="155"/>
      <c r="CB53" s="155"/>
      <c r="CC53" s="155"/>
      <c r="CD53" s="155"/>
      <c r="CE53" s="155"/>
      <c r="CF53" s="155"/>
      <c r="CG53" s="155"/>
    </row>
    <row r="54" spans="1:85" ht="15.75" customHeight="1" x14ac:dyDescent="0.2">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c r="AP54" s="155"/>
      <c r="AQ54" s="155"/>
      <c r="AR54" s="155"/>
      <c r="AS54" s="155"/>
      <c r="AT54" s="155"/>
      <c r="AU54" s="155"/>
      <c r="AV54" s="155"/>
      <c r="AW54" s="155"/>
      <c r="AX54" s="155"/>
      <c r="AY54" s="155"/>
      <c r="AZ54" s="155"/>
      <c r="BA54" s="155"/>
      <c r="BB54" s="155"/>
      <c r="BC54" s="155"/>
      <c r="BD54" s="155"/>
      <c r="BE54" s="155"/>
      <c r="BF54" s="155"/>
      <c r="BG54" s="155"/>
      <c r="BH54" s="155"/>
      <c r="BI54" s="155"/>
      <c r="BJ54" s="155"/>
      <c r="BK54" s="155"/>
      <c r="BL54" s="155"/>
      <c r="BM54" s="155"/>
      <c r="BN54" s="155"/>
      <c r="BO54" s="155"/>
      <c r="BP54" s="155"/>
      <c r="BQ54" s="155"/>
      <c r="BR54" s="155"/>
      <c r="BS54" s="155"/>
      <c r="BT54" s="155"/>
      <c r="BU54" s="155"/>
      <c r="BV54" s="155"/>
      <c r="BW54" s="155"/>
      <c r="BX54" s="155"/>
      <c r="BY54" s="155"/>
      <c r="BZ54" s="155"/>
      <c r="CA54" s="155"/>
      <c r="CB54" s="155"/>
      <c r="CC54" s="155"/>
      <c r="CD54" s="155"/>
      <c r="CE54" s="155"/>
      <c r="CF54" s="155"/>
      <c r="CG54" s="155"/>
    </row>
    <row r="55" spans="1:85" ht="12.75" x14ac:dyDescent="0.2">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c r="AP55" s="155"/>
      <c r="AQ55" s="155"/>
      <c r="AR55" s="155"/>
      <c r="AS55" s="155"/>
      <c r="AT55" s="155"/>
      <c r="AU55" s="155"/>
      <c r="AV55" s="155"/>
      <c r="AW55" s="155"/>
      <c r="AX55" s="155"/>
      <c r="AY55" s="155"/>
      <c r="AZ55" s="155"/>
      <c r="BA55" s="155"/>
      <c r="BB55" s="155"/>
      <c r="BC55" s="155"/>
      <c r="BD55" s="155"/>
      <c r="BE55" s="155"/>
      <c r="BF55" s="155"/>
      <c r="BG55" s="155"/>
      <c r="BH55" s="155"/>
      <c r="BI55" s="155"/>
      <c r="BJ55" s="155"/>
      <c r="BK55" s="155"/>
      <c r="BL55" s="155"/>
      <c r="BM55" s="155"/>
      <c r="BN55" s="155"/>
      <c r="BO55" s="155"/>
      <c r="BP55" s="155"/>
      <c r="BQ55" s="155"/>
      <c r="BR55" s="155"/>
      <c r="BS55" s="155"/>
      <c r="BT55" s="155"/>
      <c r="BU55" s="155"/>
      <c r="BV55" s="155"/>
      <c r="BW55" s="155"/>
      <c r="BX55" s="155"/>
      <c r="BY55" s="155"/>
      <c r="BZ55" s="155"/>
      <c r="CA55" s="155"/>
      <c r="CB55" s="155"/>
      <c r="CC55" s="155"/>
      <c r="CD55" s="155"/>
      <c r="CE55" s="155"/>
      <c r="CF55" s="155"/>
      <c r="CG55" s="155"/>
    </row>
    <row r="56" spans="1:85" ht="12.75" x14ac:dyDescent="0.2">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c r="AP56" s="155"/>
      <c r="AQ56" s="155"/>
      <c r="AR56" s="155"/>
      <c r="AS56" s="155"/>
      <c r="AT56" s="155"/>
      <c r="AU56" s="155"/>
      <c r="AV56" s="155"/>
      <c r="AW56" s="155"/>
      <c r="AX56" s="155"/>
      <c r="AY56" s="155"/>
      <c r="AZ56" s="155"/>
      <c r="BA56" s="155"/>
      <c r="BB56" s="155"/>
      <c r="BC56" s="155"/>
      <c r="BD56" s="155"/>
      <c r="BE56" s="155"/>
      <c r="BF56" s="155"/>
      <c r="BG56" s="155"/>
      <c r="BH56" s="155"/>
      <c r="BI56" s="155"/>
      <c r="BJ56" s="155"/>
      <c r="BK56" s="155"/>
      <c r="BL56" s="155"/>
      <c r="BM56" s="155"/>
      <c r="BN56" s="155"/>
      <c r="BO56" s="155"/>
      <c r="BP56" s="155"/>
      <c r="BQ56" s="155"/>
      <c r="BR56" s="155"/>
      <c r="BS56" s="155"/>
      <c r="BT56" s="155"/>
      <c r="BU56" s="155"/>
      <c r="BV56" s="155"/>
      <c r="BW56" s="155"/>
      <c r="BX56" s="155"/>
      <c r="BY56" s="155"/>
      <c r="BZ56" s="155"/>
      <c r="CA56" s="155"/>
      <c r="CB56" s="155"/>
      <c r="CC56" s="155"/>
      <c r="CD56" s="155"/>
      <c r="CE56" s="155"/>
      <c r="CF56" s="155"/>
      <c r="CG56" s="155"/>
    </row>
    <row r="57" spans="1:85" ht="12.75" x14ac:dyDescent="0.2">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row>
    <row r="58" spans="1:85" ht="12.75" x14ac:dyDescent="0.2">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c r="AP58" s="155"/>
      <c r="AQ58" s="155"/>
      <c r="AR58" s="155"/>
      <c r="AS58" s="155"/>
      <c r="AT58" s="155"/>
      <c r="AU58" s="155"/>
      <c r="AV58" s="155"/>
      <c r="AW58" s="155"/>
      <c r="AX58" s="155"/>
      <c r="AY58" s="155"/>
      <c r="AZ58" s="155"/>
      <c r="BA58" s="155"/>
      <c r="BB58" s="155"/>
      <c r="BC58" s="155"/>
      <c r="BD58" s="155"/>
      <c r="BE58" s="155"/>
      <c r="BF58" s="155"/>
      <c r="BG58" s="155"/>
      <c r="BH58" s="155"/>
      <c r="BI58" s="155"/>
      <c r="BJ58" s="155"/>
      <c r="BK58" s="155"/>
      <c r="BL58" s="155"/>
      <c r="BM58" s="155"/>
      <c r="BN58" s="155"/>
      <c r="BO58" s="155"/>
      <c r="BP58" s="155"/>
      <c r="BQ58" s="155"/>
      <c r="BR58" s="155"/>
      <c r="BS58" s="155"/>
      <c r="BT58" s="155"/>
      <c r="BU58" s="155"/>
      <c r="BV58" s="155"/>
      <c r="BW58" s="155"/>
      <c r="BX58" s="155"/>
      <c r="BY58" s="155"/>
      <c r="BZ58" s="155"/>
      <c r="CA58" s="155"/>
      <c r="CB58" s="155"/>
      <c r="CC58" s="155"/>
      <c r="CD58" s="155"/>
      <c r="CE58" s="155"/>
      <c r="CF58" s="155"/>
      <c r="CG58" s="155"/>
    </row>
    <row r="59" spans="1:85" ht="12.75" x14ac:dyDescent="0.2">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c r="AA59" s="155"/>
      <c r="AB59" s="155"/>
      <c r="AC59" s="155"/>
      <c r="AD59" s="155"/>
      <c r="AE59" s="155"/>
      <c r="AF59" s="155"/>
      <c r="AG59" s="155"/>
      <c r="AH59" s="155"/>
      <c r="AI59" s="155"/>
      <c r="AJ59" s="155"/>
      <c r="AK59" s="155"/>
      <c r="AL59" s="155"/>
      <c r="AM59" s="155"/>
      <c r="AN59" s="155"/>
      <c r="AO59" s="155"/>
      <c r="AP59" s="155"/>
      <c r="AQ59" s="155"/>
      <c r="AR59" s="155"/>
      <c r="AS59" s="155"/>
      <c r="AT59" s="155"/>
      <c r="AU59" s="155"/>
      <c r="AV59" s="155"/>
      <c r="AW59" s="155"/>
      <c r="AX59" s="155"/>
      <c r="AY59" s="155"/>
      <c r="AZ59" s="155"/>
      <c r="BA59" s="155"/>
      <c r="BB59" s="155"/>
      <c r="BC59" s="155"/>
      <c r="BD59" s="155"/>
      <c r="BE59" s="155"/>
      <c r="BF59" s="155"/>
      <c r="BG59" s="155"/>
      <c r="BH59" s="155"/>
      <c r="BI59" s="155"/>
      <c r="BJ59" s="155"/>
      <c r="BK59" s="155"/>
      <c r="BL59" s="155"/>
      <c r="BM59" s="155"/>
      <c r="BN59" s="155"/>
      <c r="BO59" s="155"/>
      <c r="BP59" s="155"/>
      <c r="BQ59" s="155"/>
      <c r="BR59" s="155"/>
      <c r="BS59" s="155"/>
      <c r="BT59" s="155"/>
      <c r="BU59" s="155"/>
      <c r="BV59" s="155"/>
      <c r="BW59" s="155"/>
      <c r="BX59" s="155"/>
      <c r="BY59" s="155"/>
      <c r="BZ59" s="155"/>
      <c r="CA59" s="155"/>
      <c r="CB59" s="155"/>
      <c r="CC59" s="155"/>
      <c r="CD59" s="155"/>
      <c r="CE59" s="155"/>
      <c r="CF59" s="155"/>
      <c r="CG59" s="155"/>
    </row>
    <row r="60" spans="1:85" ht="12.75" x14ac:dyDescent="0.2">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row>
    <row r="61" spans="1:85" ht="12.75" x14ac:dyDescent="0.2">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row>
    <row r="62" spans="1:85" ht="12.75" x14ac:dyDescent="0.2">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row>
    <row r="63" spans="1:85" ht="12.75" x14ac:dyDescent="0.2">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row>
    <row r="64" spans="1:85" ht="12.75" x14ac:dyDescent="0.2">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c r="AP64" s="155"/>
      <c r="AQ64" s="155"/>
      <c r="AR64" s="155"/>
      <c r="AS64" s="155"/>
      <c r="AT64" s="155"/>
      <c r="AU64" s="155"/>
      <c r="AV64" s="155"/>
      <c r="AW64" s="155"/>
      <c r="AX64" s="155"/>
      <c r="AY64" s="155"/>
      <c r="AZ64" s="155"/>
      <c r="BA64" s="155"/>
      <c r="BB64" s="155"/>
      <c r="BC64" s="155"/>
      <c r="BD64" s="155"/>
      <c r="BE64" s="155"/>
      <c r="BF64" s="155"/>
      <c r="BG64" s="155"/>
      <c r="BH64" s="155"/>
      <c r="BI64" s="155"/>
      <c r="BJ64" s="155"/>
      <c r="BK64" s="155"/>
      <c r="BL64" s="155"/>
      <c r="BM64" s="155"/>
      <c r="BN64" s="155"/>
      <c r="BO64" s="155"/>
      <c r="BP64" s="155"/>
      <c r="BQ64" s="155"/>
      <c r="BR64" s="155"/>
      <c r="BS64" s="155"/>
      <c r="BT64" s="155"/>
      <c r="BU64" s="155"/>
      <c r="BV64" s="155"/>
      <c r="BW64" s="155"/>
      <c r="BX64" s="155"/>
      <c r="BY64" s="155"/>
      <c r="BZ64" s="155"/>
      <c r="CA64" s="155"/>
      <c r="CB64" s="155"/>
      <c r="CC64" s="155"/>
      <c r="CD64" s="155"/>
      <c r="CE64" s="155"/>
      <c r="CF64" s="155"/>
      <c r="CG64" s="155"/>
    </row>
    <row r="65" spans="1:85" ht="12.75" x14ac:dyDescent="0.2">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c r="AP65" s="155"/>
      <c r="AQ65" s="155"/>
      <c r="AR65" s="155"/>
      <c r="AS65" s="155"/>
      <c r="AT65" s="155"/>
      <c r="AU65" s="155"/>
      <c r="AV65" s="155"/>
      <c r="AW65" s="155"/>
      <c r="AX65" s="155"/>
      <c r="AY65" s="155"/>
      <c r="AZ65" s="155"/>
      <c r="BA65" s="155"/>
      <c r="BB65" s="155"/>
      <c r="BC65" s="155"/>
      <c r="BD65" s="155"/>
      <c r="BE65" s="155"/>
      <c r="BF65" s="155"/>
      <c r="BG65" s="155"/>
      <c r="BH65" s="155"/>
      <c r="BI65" s="155"/>
      <c r="BJ65" s="155"/>
      <c r="BK65" s="155"/>
      <c r="BL65" s="155"/>
      <c r="BM65" s="155"/>
      <c r="BN65" s="155"/>
      <c r="BO65" s="155"/>
      <c r="BP65" s="155"/>
      <c r="BQ65" s="155"/>
      <c r="BR65" s="155"/>
      <c r="BS65" s="155"/>
      <c r="BT65" s="155"/>
      <c r="BU65" s="155"/>
      <c r="BV65" s="155"/>
      <c r="BW65" s="155"/>
      <c r="BX65" s="155"/>
      <c r="BY65" s="155"/>
      <c r="BZ65" s="155"/>
      <c r="CA65" s="155"/>
      <c r="CB65" s="155"/>
      <c r="CC65" s="155"/>
      <c r="CD65" s="155"/>
      <c r="CE65" s="155"/>
      <c r="CF65" s="155"/>
      <c r="CG65" s="155"/>
    </row>
    <row r="66" spans="1:85" ht="12.75" x14ac:dyDescent="0.2">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c r="AP66" s="155"/>
      <c r="AQ66" s="155"/>
      <c r="AR66" s="155"/>
      <c r="AS66" s="155"/>
      <c r="AT66" s="155"/>
      <c r="AU66" s="155"/>
      <c r="AV66" s="155"/>
      <c r="AW66" s="155"/>
      <c r="AX66" s="155"/>
      <c r="AY66" s="155"/>
      <c r="AZ66" s="155"/>
      <c r="BA66" s="155"/>
      <c r="BB66" s="155"/>
      <c r="BC66" s="155"/>
      <c r="BD66" s="155"/>
      <c r="BE66" s="155"/>
      <c r="BF66" s="155"/>
      <c r="BG66" s="155"/>
      <c r="BH66" s="155"/>
      <c r="BI66" s="155"/>
      <c r="BJ66" s="155"/>
      <c r="BK66" s="155"/>
      <c r="BL66" s="155"/>
      <c r="BM66" s="155"/>
      <c r="BN66" s="155"/>
      <c r="BO66" s="155"/>
      <c r="BP66" s="155"/>
      <c r="BQ66" s="155"/>
      <c r="BR66" s="155"/>
      <c r="BS66" s="155"/>
      <c r="BT66" s="155"/>
      <c r="BU66" s="155"/>
      <c r="BV66" s="155"/>
      <c r="BW66" s="155"/>
      <c r="BX66" s="155"/>
      <c r="BY66" s="155"/>
      <c r="BZ66" s="155"/>
      <c r="CA66" s="155"/>
      <c r="CB66" s="155"/>
      <c r="CC66" s="155"/>
      <c r="CD66" s="155"/>
      <c r="CE66" s="155"/>
      <c r="CF66" s="155"/>
      <c r="CG66" s="155"/>
    </row>
    <row r="67" spans="1:85" ht="12.75" x14ac:dyDescent="0.2">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c r="AP67" s="155"/>
      <c r="AQ67" s="155"/>
      <c r="AR67" s="155"/>
      <c r="AS67" s="155"/>
      <c r="AT67" s="155"/>
      <c r="AU67" s="155"/>
      <c r="AV67" s="155"/>
      <c r="AW67" s="155"/>
      <c r="AX67" s="155"/>
      <c r="AY67" s="155"/>
      <c r="AZ67" s="155"/>
      <c r="BA67" s="155"/>
      <c r="BB67" s="155"/>
      <c r="BC67" s="155"/>
      <c r="BD67" s="155"/>
      <c r="BE67" s="155"/>
      <c r="BF67" s="155"/>
      <c r="BG67" s="155"/>
      <c r="BH67" s="155"/>
      <c r="BI67" s="155"/>
      <c r="BJ67" s="155"/>
      <c r="BK67" s="155"/>
      <c r="BL67" s="155"/>
      <c r="BM67" s="155"/>
      <c r="BN67" s="155"/>
      <c r="BO67" s="155"/>
      <c r="BP67" s="155"/>
      <c r="BQ67" s="155"/>
      <c r="BR67" s="155"/>
      <c r="BS67" s="155"/>
      <c r="BT67" s="155"/>
      <c r="BU67" s="155"/>
      <c r="BV67" s="155"/>
      <c r="BW67" s="155"/>
      <c r="BX67" s="155"/>
      <c r="BY67" s="155"/>
      <c r="BZ67" s="155"/>
      <c r="CA67" s="155"/>
      <c r="CB67" s="155"/>
      <c r="CC67" s="155"/>
      <c r="CD67" s="155"/>
      <c r="CE67" s="155"/>
      <c r="CF67" s="155"/>
      <c r="CG67" s="155"/>
    </row>
    <row r="68" spans="1:85" ht="12.75" x14ac:dyDescent="0.2">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row>
    <row r="69" spans="1:85" ht="12.75" x14ac:dyDescent="0.2">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row>
    <row r="70" spans="1:85" ht="12.75" x14ac:dyDescent="0.2">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c r="AP70" s="155"/>
      <c r="AQ70" s="155"/>
      <c r="AR70" s="155"/>
      <c r="AS70" s="155"/>
      <c r="AT70" s="155"/>
      <c r="AU70" s="155"/>
      <c r="AV70" s="155"/>
      <c r="AW70" s="155"/>
      <c r="AX70" s="155"/>
      <c r="AY70" s="155"/>
      <c r="AZ70" s="155"/>
      <c r="BA70" s="155"/>
      <c r="BB70" s="155"/>
      <c r="BC70" s="155"/>
      <c r="BD70" s="155"/>
      <c r="BE70" s="155"/>
      <c r="BF70" s="155"/>
      <c r="BG70" s="155"/>
      <c r="BH70" s="155"/>
      <c r="BI70" s="155"/>
      <c r="BJ70" s="155"/>
      <c r="BK70" s="155"/>
      <c r="BL70" s="155"/>
      <c r="BM70" s="155"/>
      <c r="BN70" s="155"/>
      <c r="BO70" s="155"/>
      <c r="BP70" s="155"/>
      <c r="BQ70" s="155"/>
      <c r="BR70" s="155"/>
      <c r="BS70" s="155"/>
      <c r="BT70" s="155"/>
      <c r="BU70" s="155"/>
      <c r="BV70" s="155"/>
      <c r="BW70" s="155"/>
      <c r="BX70" s="155"/>
      <c r="BY70" s="155"/>
      <c r="BZ70" s="155"/>
      <c r="CA70" s="155"/>
      <c r="CB70" s="155"/>
      <c r="CC70" s="155"/>
      <c r="CD70" s="155"/>
      <c r="CE70" s="155"/>
      <c r="CF70" s="155"/>
      <c r="CG70" s="155"/>
    </row>
    <row r="71" spans="1:85" ht="12.75" x14ac:dyDescent="0.2">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c r="AP71" s="155"/>
      <c r="AQ71" s="155"/>
      <c r="AR71" s="155"/>
      <c r="AS71" s="155"/>
      <c r="AT71" s="155"/>
      <c r="AU71" s="155"/>
      <c r="AV71" s="155"/>
      <c r="AW71" s="155"/>
      <c r="AX71" s="155"/>
      <c r="AY71" s="155"/>
      <c r="AZ71" s="155"/>
      <c r="BA71" s="155"/>
      <c r="BB71" s="155"/>
      <c r="BC71" s="155"/>
      <c r="BD71" s="155"/>
      <c r="BE71" s="155"/>
      <c r="BF71" s="155"/>
      <c r="BG71" s="155"/>
      <c r="BH71" s="155"/>
      <c r="BI71" s="155"/>
      <c r="BJ71" s="155"/>
      <c r="BK71" s="155"/>
      <c r="BL71" s="155"/>
      <c r="BM71" s="155"/>
      <c r="BN71" s="155"/>
      <c r="BO71" s="155"/>
      <c r="BP71" s="155"/>
      <c r="BQ71" s="155"/>
      <c r="BR71" s="155"/>
      <c r="BS71" s="155"/>
      <c r="BT71" s="155"/>
      <c r="BU71" s="155"/>
      <c r="BV71" s="155"/>
      <c r="BW71" s="155"/>
      <c r="BX71" s="155"/>
      <c r="BY71" s="155"/>
      <c r="BZ71" s="155"/>
      <c r="CA71" s="155"/>
      <c r="CB71" s="155"/>
      <c r="CC71" s="155"/>
      <c r="CD71" s="155"/>
      <c r="CE71" s="155"/>
      <c r="CF71" s="155"/>
      <c r="CG71" s="155"/>
    </row>
    <row r="72" spans="1:85" ht="12.75" x14ac:dyDescent="0.2">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c r="AP72" s="155"/>
      <c r="AQ72" s="155"/>
      <c r="AR72" s="155"/>
      <c r="AS72" s="155"/>
      <c r="AT72" s="155"/>
      <c r="AU72" s="155"/>
      <c r="AV72" s="155"/>
      <c r="AW72" s="155"/>
      <c r="AX72" s="155"/>
      <c r="AY72" s="155"/>
      <c r="AZ72" s="155"/>
      <c r="BA72" s="155"/>
      <c r="BB72" s="155"/>
      <c r="BC72" s="155"/>
      <c r="BD72" s="155"/>
      <c r="BE72" s="155"/>
      <c r="BF72" s="155"/>
      <c r="BG72" s="155"/>
      <c r="BH72" s="155"/>
      <c r="BI72" s="155"/>
      <c r="BJ72" s="155"/>
      <c r="BK72" s="155"/>
      <c r="BL72" s="155"/>
      <c r="BM72" s="155"/>
      <c r="BN72" s="155"/>
      <c r="BO72" s="155"/>
      <c r="BP72" s="155"/>
      <c r="BQ72" s="155"/>
      <c r="BR72" s="155"/>
      <c r="BS72" s="155"/>
      <c r="BT72" s="155"/>
      <c r="BU72" s="155"/>
      <c r="BV72" s="155"/>
      <c r="BW72" s="155"/>
      <c r="BX72" s="155"/>
      <c r="BY72" s="155"/>
      <c r="BZ72" s="155"/>
      <c r="CA72" s="155"/>
      <c r="CB72" s="155"/>
      <c r="CC72" s="155"/>
      <c r="CD72" s="155"/>
      <c r="CE72" s="155"/>
      <c r="CF72" s="155"/>
      <c r="CG72" s="155"/>
    </row>
    <row r="73" spans="1:85" ht="12.75" x14ac:dyDescent="0.2">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5"/>
      <c r="AS73" s="155"/>
      <c r="AT73" s="155"/>
      <c r="AU73" s="155"/>
      <c r="AV73" s="155"/>
      <c r="AW73" s="155"/>
      <c r="AX73" s="155"/>
      <c r="AY73" s="155"/>
      <c r="AZ73" s="155"/>
      <c r="BA73" s="155"/>
      <c r="BB73" s="155"/>
      <c r="BC73" s="155"/>
      <c r="BD73" s="155"/>
      <c r="BE73" s="155"/>
      <c r="BF73" s="155"/>
      <c r="BG73" s="155"/>
      <c r="BH73" s="155"/>
      <c r="BI73" s="155"/>
      <c r="BJ73" s="155"/>
      <c r="BK73" s="155"/>
      <c r="BL73" s="155"/>
      <c r="BM73" s="155"/>
      <c r="BN73" s="155"/>
      <c r="BO73" s="155"/>
      <c r="BP73" s="155"/>
      <c r="BQ73" s="155"/>
      <c r="BR73" s="155"/>
      <c r="BS73" s="155"/>
      <c r="BT73" s="155"/>
      <c r="BU73" s="155"/>
      <c r="BV73" s="155"/>
      <c r="BW73" s="155"/>
      <c r="BX73" s="155"/>
      <c r="BY73" s="155"/>
      <c r="BZ73" s="155"/>
      <c r="CA73" s="155"/>
      <c r="CB73" s="155"/>
      <c r="CC73" s="155"/>
      <c r="CD73" s="155"/>
      <c r="CE73" s="155"/>
      <c r="CF73" s="155"/>
      <c r="CG73" s="155"/>
    </row>
    <row r="74" spans="1:85" ht="12.75" x14ac:dyDescent="0.2">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5"/>
      <c r="AS74" s="155"/>
      <c r="AT74" s="155"/>
      <c r="AU74" s="155"/>
      <c r="AV74" s="155"/>
      <c r="AW74" s="155"/>
      <c r="AX74" s="155"/>
      <c r="AY74" s="155"/>
      <c r="AZ74" s="155"/>
      <c r="BA74" s="155"/>
      <c r="BB74" s="155"/>
      <c r="BC74" s="155"/>
      <c r="BD74" s="155"/>
      <c r="BE74" s="155"/>
      <c r="BF74" s="155"/>
      <c r="BG74" s="155"/>
      <c r="BH74" s="155"/>
      <c r="BI74" s="155"/>
      <c r="BJ74" s="155"/>
      <c r="BK74" s="155"/>
      <c r="BL74" s="155"/>
      <c r="BM74" s="155"/>
      <c r="BN74" s="155"/>
      <c r="BO74" s="155"/>
      <c r="BP74" s="155"/>
      <c r="BQ74" s="155"/>
      <c r="BR74" s="155"/>
      <c r="BS74" s="155"/>
      <c r="BT74" s="155"/>
      <c r="BU74" s="155"/>
      <c r="BV74" s="155"/>
      <c r="BW74" s="155"/>
      <c r="BX74" s="155"/>
      <c r="BY74" s="155"/>
      <c r="BZ74" s="155"/>
      <c r="CA74" s="155"/>
      <c r="CB74" s="155"/>
      <c r="CC74" s="155"/>
      <c r="CD74" s="155"/>
      <c r="CE74" s="155"/>
      <c r="CF74" s="155"/>
      <c r="CG74" s="155"/>
    </row>
    <row r="75" spans="1:85" ht="12.75" x14ac:dyDescent="0.2">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5"/>
      <c r="AS75" s="155"/>
      <c r="AT75" s="155"/>
      <c r="AU75" s="155"/>
      <c r="AV75" s="155"/>
      <c r="AW75" s="155"/>
      <c r="AX75" s="155"/>
      <c r="AY75" s="155"/>
      <c r="AZ75" s="155"/>
      <c r="BA75" s="155"/>
      <c r="BB75" s="155"/>
      <c r="BC75" s="155"/>
      <c r="BD75" s="155"/>
      <c r="BE75" s="155"/>
      <c r="BF75" s="155"/>
      <c r="BG75" s="155"/>
      <c r="BH75" s="155"/>
      <c r="BI75" s="155"/>
      <c r="BJ75" s="155"/>
      <c r="BK75" s="155"/>
      <c r="BL75" s="155"/>
      <c r="BM75" s="155"/>
      <c r="BN75" s="155"/>
      <c r="BO75" s="155"/>
      <c r="BP75" s="155"/>
      <c r="BQ75" s="155"/>
      <c r="BR75" s="155"/>
      <c r="BS75" s="155"/>
      <c r="BT75" s="155"/>
      <c r="BU75" s="155"/>
      <c r="BV75" s="155"/>
      <c r="BW75" s="155"/>
      <c r="BX75" s="155"/>
      <c r="BY75" s="155"/>
      <c r="BZ75" s="155"/>
      <c r="CA75" s="155"/>
      <c r="CB75" s="155"/>
      <c r="CC75" s="155"/>
      <c r="CD75" s="155"/>
      <c r="CE75" s="155"/>
      <c r="CF75" s="155"/>
      <c r="CG75" s="155"/>
    </row>
    <row r="76" spans="1:85" ht="12.75" x14ac:dyDescent="0.2">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c r="AP76" s="155"/>
      <c r="AQ76" s="155"/>
      <c r="AR76" s="155"/>
      <c r="AS76" s="155"/>
      <c r="AT76" s="155"/>
      <c r="AU76" s="155"/>
      <c r="AV76" s="155"/>
      <c r="AW76" s="155"/>
      <c r="AX76" s="155"/>
      <c r="AY76" s="155"/>
      <c r="AZ76" s="155"/>
      <c r="BA76" s="155"/>
      <c r="BB76" s="155"/>
      <c r="BC76" s="155"/>
      <c r="BD76" s="155"/>
      <c r="BE76" s="155"/>
      <c r="BF76" s="155"/>
      <c r="BG76" s="155"/>
      <c r="BH76" s="155"/>
      <c r="BI76" s="155"/>
      <c r="BJ76" s="155"/>
      <c r="BK76" s="155"/>
      <c r="BL76" s="155"/>
      <c r="BM76" s="155"/>
      <c r="BN76" s="155"/>
      <c r="BO76" s="155"/>
      <c r="BP76" s="155"/>
      <c r="BQ76" s="155"/>
      <c r="BR76" s="155"/>
      <c r="BS76" s="155"/>
      <c r="BT76" s="155"/>
      <c r="BU76" s="155"/>
      <c r="BV76" s="155"/>
      <c r="BW76" s="155"/>
      <c r="BX76" s="155"/>
      <c r="BY76" s="155"/>
      <c r="BZ76" s="155"/>
      <c r="CA76" s="155"/>
      <c r="CB76" s="155"/>
      <c r="CC76" s="155"/>
      <c r="CD76" s="155"/>
      <c r="CE76" s="155"/>
      <c r="CF76" s="155"/>
      <c r="CG76" s="155"/>
    </row>
    <row r="77" spans="1:85" ht="12.75" x14ac:dyDescent="0.2">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c r="AP77" s="155"/>
      <c r="AQ77" s="155"/>
      <c r="AR77" s="155"/>
      <c r="AS77" s="155"/>
      <c r="AT77" s="155"/>
      <c r="AU77" s="155"/>
      <c r="AV77" s="155"/>
      <c r="AW77" s="155"/>
      <c r="AX77" s="155"/>
      <c r="AY77" s="155"/>
      <c r="AZ77" s="155"/>
      <c r="BA77" s="155"/>
      <c r="BB77" s="155"/>
      <c r="BC77" s="155"/>
      <c r="BD77" s="155"/>
      <c r="BE77" s="155"/>
      <c r="BF77" s="155"/>
      <c r="BG77" s="155"/>
      <c r="BH77" s="155"/>
      <c r="BI77" s="155"/>
      <c r="BJ77" s="155"/>
      <c r="BK77" s="155"/>
      <c r="BL77" s="155"/>
      <c r="BM77" s="155"/>
      <c r="BN77" s="155"/>
      <c r="BO77" s="155"/>
      <c r="BP77" s="155"/>
      <c r="BQ77" s="155"/>
      <c r="BR77" s="155"/>
      <c r="BS77" s="155"/>
      <c r="BT77" s="155"/>
      <c r="BU77" s="155"/>
      <c r="BV77" s="155"/>
      <c r="BW77" s="155"/>
      <c r="BX77" s="155"/>
      <c r="BY77" s="155"/>
      <c r="BZ77" s="155"/>
      <c r="CA77" s="155"/>
      <c r="CB77" s="155"/>
      <c r="CC77" s="155"/>
      <c r="CD77" s="155"/>
      <c r="CE77" s="155"/>
      <c r="CF77" s="155"/>
      <c r="CG77" s="155"/>
    </row>
    <row r="78" spans="1:85" ht="12.75" x14ac:dyDescent="0.2">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155"/>
      <c r="BH78" s="155"/>
      <c r="BI78" s="155"/>
      <c r="BJ78" s="155"/>
      <c r="BK78" s="155"/>
      <c r="BL78" s="155"/>
      <c r="BM78" s="155"/>
      <c r="BN78" s="155"/>
      <c r="BO78" s="155"/>
      <c r="BP78" s="155"/>
      <c r="BQ78" s="155"/>
      <c r="BR78" s="155"/>
      <c r="BS78" s="155"/>
      <c r="BT78" s="155"/>
      <c r="BU78" s="155"/>
      <c r="BV78" s="155"/>
      <c r="BW78" s="155"/>
      <c r="BX78" s="155"/>
      <c r="BY78" s="155"/>
      <c r="BZ78" s="155"/>
      <c r="CA78" s="155"/>
      <c r="CB78" s="155"/>
      <c r="CC78" s="155"/>
      <c r="CD78" s="155"/>
      <c r="CE78" s="155"/>
      <c r="CF78" s="155"/>
      <c r="CG78" s="155"/>
    </row>
    <row r="79" spans="1:85" ht="12.75" x14ac:dyDescent="0.2">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c r="AA79" s="155"/>
      <c r="AB79" s="155"/>
      <c r="AC79" s="155"/>
      <c r="AD79" s="155"/>
      <c r="AE79" s="155"/>
      <c r="AF79" s="155"/>
      <c r="AG79" s="155"/>
      <c r="AH79" s="155"/>
      <c r="AI79" s="155"/>
      <c r="AJ79" s="155"/>
      <c r="AK79" s="155"/>
      <c r="AL79" s="155"/>
      <c r="AM79" s="155"/>
      <c r="AN79" s="155"/>
      <c r="AO79" s="155"/>
      <c r="AP79" s="155"/>
      <c r="AQ79" s="155"/>
      <c r="AR79" s="155"/>
      <c r="AS79" s="155"/>
      <c r="AT79" s="155"/>
      <c r="AU79" s="155"/>
      <c r="AV79" s="155"/>
      <c r="AW79" s="155"/>
      <c r="AX79" s="155"/>
      <c r="AY79" s="155"/>
      <c r="AZ79" s="155"/>
      <c r="BA79" s="155"/>
      <c r="BB79" s="155"/>
      <c r="BC79" s="155"/>
      <c r="BD79" s="155"/>
      <c r="BE79" s="155"/>
      <c r="BF79" s="155"/>
      <c r="BG79" s="155"/>
      <c r="BH79" s="155"/>
      <c r="BI79" s="155"/>
      <c r="BJ79" s="155"/>
      <c r="BK79" s="155"/>
      <c r="BL79" s="155"/>
      <c r="BM79" s="155"/>
      <c r="BN79" s="155"/>
      <c r="BO79" s="155"/>
      <c r="BP79" s="155"/>
      <c r="BQ79" s="155"/>
      <c r="BR79" s="155"/>
      <c r="BS79" s="155"/>
      <c r="BT79" s="155"/>
      <c r="BU79" s="155"/>
      <c r="BV79" s="155"/>
      <c r="BW79" s="155"/>
      <c r="BX79" s="155"/>
      <c r="BY79" s="155"/>
      <c r="BZ79" s="155"/>
      <c r="CA79" s="155"/>
      <c r="CB79" s="155"/>
      <c r="CC79" s="155"/>
      <c r="CD79" s="155"/>
      <c r="CE79" s="155"/>
      <c r="CF79" s="155"/>
      <c r="CG79" s="155"/>
    </row>
    <row r="80" spans="1:85" ht="12.75" x14ac:dyDescent="0.2">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55"/>
      <c r="AP80" s="155"/>
      <c r="AQ80" s="155"/>
      <c r="AR80" s="155"/>
      <c r="AS80" s="155"/>
      <c r="AT80" s="155"/>
      <c r="AU80" s="155"/>
      <c r="AV80" s="155"/>
      <c r="AW80" s="155"/>
      <c r="AX80" s="155"/>
      <c r="AY80" s="155"/>
      <c r="AZ80" s="155"/>
      <c r="BA80" s="155"/>
      <c r="BB80" s="155"/>
      <c r="BC80" s="155"/>
      <c r="BD80" s="155"/>
      <c r="BE80" s="155"/>
      <c r="BF80" s="155"/>
      <c r="BG80" s="155"/>
      <c r="BH80" s="155"/>
      <c r="BI80" s="155"/>
      <c r="BJ80" s="155"/>
      <c r="BK80" s="155"/>
      <c r="BL80" s="155"/>
      <c r="BM80" s="155"/>
      <c r="BN80" s="155"/>
      <c r="BO80" s="155"/>
      <c r="BP80" s="155"/>
      <c r="BQ80" s="155"/>
      <c r="BR80" s="155"/>
      <c r="BS80" s="155"/>
      <c r="BT80" s="155"/>
      <c r="BU80" s="155"/>
      <c r="BV80" s="155"/>
      <c r="BW80" s="155"/>
      <c r="BX80" s="155"/>
      <c r="BY80" s="155"/>
      <c r="BZ80" s="155"/>
      <c r="CA80" s="155"/>
      <c r="CB80" s="155"/>
      <c r="CC80" s="155"/>
      <c r="CD80" s="155"/>
      <c r="CE80" s="155"/>
      <c r="CF80" s="155"/>
      <c r="CG80" s="155"/>
    </row>
    <row r="81" spans="1:85" ht="12.75" x14ac:dyDescent="0.2">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5"/>
      <c r="BH81" s="155"/>
      <c r="BI81" s="155"/>
      <c r="BJ81" s="155"/>
      <c r="BK81" s="155"/>
      <c r="BL81" s="155"/>
      <c r="BM81" s="155"/>
      <c r="BN81" s="155"/>
      <c r="BO81" s="155"/>
      <c r="BP81" s="155"/>
      <c r="BQ81" s="155"/>
      <c r="BR81" s="155"/>
      <c r="BS81" s="155"/>
      <c r="BT81" s="155"/>
      <c r="BU81" s="155"/>
      <c r="BV81" s="155"/>
      <c r="BW81" s="155"/>
      <c r="BX81" s="155"/>
      <c r="BY81" s="155"/>
      <c r="BZ81" s="155"/>
      <c r="CA81" s="155"/>
      <c r="CB81" s="155"/>
      <c r="CC81" s="155"/>
      <c r="CD81" s="155"/>
      <c r="CE81" s="155"/>
      <c r="CF81" s="155"/>
      <c r="CG81" s="155"/>
    </row>
    <row r="82" spans="1:85" ht="12.75" x14ac:dyDescent="0.2">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c r="AA82" s="155"/>
      <c r="AB82" s="155"/>
      <c r="AC82" s="155"/>
      <c r="AD82" s="155"/>
      <c r="AE82" s="155"/>
      <c r="AF82" s="155"/>
      <c r="AG82" s="155"/>
      <c r="AH82" s="155"/>
      <c r="AI82" s="155"/>
      <c r="AJ82" s="155"/>
      <c r="AK82" s="155"/>
      <c r="AL82" s="155"/>
      <c r="AM82" s="155"/>
      <c r="AN82" s="155"/>
      <c r="AO82" s="155"/>
      <c r="AP82" s="155"/>
      <c r="AQ82" s="155"/>
      <c r="AR82" s="155"/>
      <c r="AS82" s="155"/>
      <c r="AT82" s="155"/>
      <c r="AU82" s="155"/>
      <c r="AV82" s="155"/>
      <c r="AW82" s="155"/>
      <c r="AX82" s="155"/>
      <c r="AY82" s="155"/>
      <c r="AZ82" s="155"/>
      <c r="BA82" s="155"/>
      <c r="BB82" s="155"/>
      <c r="BC82" s="155"/>
      <c r="BD82" s="155"/>
      <c r="BE82" s="155"/>
      <c r="BF82" s="155"/>
      <c r="BG82" s="155"/>
      <c r="BH82" s="155"/>
      <c r="BI82" s="155"/>
      <c r="BJ82" s="155"/>
      <c r="BK82" s="155"/>
      <c r="BL82" s="155"/>
      <c r="BM82" s="155"/>
      <c r="BN82" s="155"/>
      <c r="BO82" s="155"/>
      <c r="BP82" s="155"/>
      <c r="BQ82" s="155"/>
      <c r="BR82" s="155"/>
      <c r="BS82" s="155"/>
      <c r="BT82" s="155"/>
      <c r="BU82" s="155"/>
      <c r="BV82" s="155"/>
      <c r="BW82" s="155"/>
      <c r="BX82" s="155"/>
      <c r="BY82" s="155"/>
      <c r="BZ82" s="155"/>
      <c r="CA82" s="155"/>
      <c r="CB82" s="155"/>
      <c r="CC82" s="155"/>
      <c r="CD82" s="155"/>
      <c r="CE82" s="155"/>
      <c r="CF82" s="155"/>
      <c r="CG82" s="155"/>
    </row>
    <row r="83" spans="1:85" ht="12.75" x14ac:dyDescent="0.2">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155"/>
      <c r="BH83" s="155"/>
      <c r="BI83" s="155"/>
      <c r="BJ83" s="155"/>
      <c r="BK83" s="155"/>
      <c r="BL83" s="155"/>
      <c r="BM83" s="155"/>
      <c r="BN83" s="155"/>
      <c r="BO83" s="155"/>
      <c r="BP83" s="155"/>
      <c r="BQ83" s="155"/>
      <c r="BR83" s="155"/>
      <c r="BS83" s="155"/>
      <c r="BT83" s="155"/>
      <c r="BU83" s="155"/>
      <c r="BV83" s="155"/>
      <c r="BW83" s="155"/>
      <c r="BX83" s="155"/>
      <c r="BY83" s="155"/>
      <c r="BZ83" s="155"/>
      <c r="CA83" s="155"/>
      <c r="CB83" s="155"/>
      <c r="CC83" s="155"/>
      <c r="CD83" s="155"/>
      <c r="CE83" s="155"/>
      <c r="CF83" s="155"/>
      <c r="CG83" s="155"/>
    </row>
    <row r="84" spans="1:85" ht="12.75" x14ac:dyDescent="0.2">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c r="AA84" s="155"/>
      <c r="AB84" s="155"/>
      <c r="AC84" s="155"/>
      <c r="AD84" s="155"/>
      <c r="AE84" s="155"/>
      <c r="AF84" s="155"/>
      <c r="AG84" s="155"/>
      <c r="AH84" s="155"/>
      <c r="AI84" s="155"/>
      <c r="AJ84" s="155"/>
      <c r="AK84" s="155"/>
      <c r="AL84" s="155"/>
      <c r="AM84" s="155"/>
      <c r="AN84" s="155"/>
      <c r="AO84" s="155"/>
      <c r="AP84" s="155"/>
      <c r="AQ84" s="155"/>
      <c r="AR84" s="155"/>
      <c r="AS84" s="155"/>
      <c r="AT84" s="155"/>
      <c r="AU84" s="155"/>
      <c r="AV84" s="155"/>
      <c r="AW84" s="155"/>
      <c r="AX84" s="155"/>
      <c r="AY84" s="155"/>
      <c r="AZ84" s="155"/>
      <c r="BA84" s="155"/>
      <c r="BB84" s="155"/>
      <c r="BC84" s="155"/>
      <c r="BD84" s="155"/>
      <c r="BE84" s="155"/>
      <c r="BF84" s="155"/>
      <c r="BG84" s="155"/>
      <c r="BH84" s="155"/>
      <c r="BI84" s="155"/>
      <c r="BJ84" s="155"/>
      <c r="BK84" s="155"/>
      <c r="BL84" s="155"/>
      <c r="BM84" s="155"/>
      <c r="BN84" s="155"/>
      <c r="BO84" s="155"/>
      <c r="BP84" s="155"/>
      <c r="BQ84" s="155"/>
      <c r="BR84" s="155"/>
      <c r="BS84" s="155"/>
      <c r="BT84" s="155"/>
      <c r="BU84" s="155"/>
      <c r="BV84" s="155"/>
      <c r="BW84" s="155"/>
      <c r="BX84" s="155"/>
      <c r="BY84" s="155"/>
      <c r="BZ84" s="155"/>
      <c r="CA84" s="155"/>
      <c r="CB84" s="155"/>
      <c r="CC84" s="155"/>
      <c r="CD84" s="155"/>
      <c r="CE84" s="155"/>
      <c r="CF84" s="155"/>
      <c r="CG84" s="155"/>
    </row>
    <row r="85" spans="1:85" ht="12.75" x14ac:dyDescent="0.2">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c r="AA85" s="155"/>
      <c r="AB85" s="155"/>
      <c r="AC85" s="155"/>
      <c r="AD85" s="155"/>
      <c r="AE85" s="155"/>
      <c r="AF85" s="155"/>
      <c r="AG85" s="155"/>
      <c r="AH85" s="155"/>
      <c r="AI85" s="155"/>
      <c r="AJ85" s="155"/>
      <c r="AK85" s="155"/>
      <c r="AL85" s="155"/>
      <c r="AM85" s="155"/>
      <c r="AN85" s="155"/>
      <c r="AO85" s="155"/>
      <c r="AP85" s="155"/>
      <c r="AQ85" s="155"/>
      <c r="AR85" s="155"/>
      <c r="AS85" s="155"/>
      <c r="AT85" s="155"/>
      <c r="AU85" s="155"/>
      <c r="AV85" s="155"/>
      <c r="AW85" s="155"/>
      <c r="AX85" s="155"/>
      <c r="AY85" s="155"/>
      <c r="AZ85" s="155"/>
      <c r="BA85" s="155"/>
      <c r="BB85" s="155"/>
      <c r="BC85" s="155"/>
      <c r="BD85" s="155"/>
      <c r="BE85" s="155"/>
      <c r="BF85" s="155"/>
      <c r="BG85" s="155"/>
      <c r="BH85" s="155"/>
      <c r="BI85" s="155"/>
      <c r="BJ85" s="155"/>
      <c r="BK85" s="155"/>
      <c r="BL85" s="155"/>
      <c r="BM85" s="155"/>
      <c r="BN85" s="155"/>
      <c r="BO85" s="155"/>
      <c r="BP85" s="155"/>
      <c r="BQ85" s="155"/>
      <c r="BR85" s="155"/>
      <c r="BS85" s="155"/>
      <c r="BT85" s="155"/>
      <c r="BU85" s="155"/>
      <c r="BV85" s="155"/>
      <c r="BW85" s="155"/>
      <c r="BX85" s="155"/>
      <c r="BY85" s="155"/>
      <c r="BZ85" s="155"/>
      <c r="CA85" s="155"/>
      <c r="CB85" s="155"/>
      <c r="CC85" s="155"/>
      <c r="CD85" s="155"/>
      <c r="CE85" s="155"/>
      <c r="CF85" s="155"/>
      <c r="CG85" s="155"/>
    </row>
    <row r="86" spans="1:85" ht="12.75" x14ac:dyDescent="0.2">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c r="AA86" s="155"/>
      <c r="AB86" s="155"/>
      <c r="AC86" s="155"/>
      <c r="AD86" s="155"/>
      <c r="AE86" s="155"/>
      <c r="AF86" s="155"/>
      <c r="AG86" s="155"/>
      <c r="AH86" s="155"/>
      <c r="AI86" s="155"/>
      <c r="AJ86" s="155"/>
      <c r="AK86" s="155"/>
      <c r="AL86" s="155"/>
      <c r="AM86" s="155"/>
      <c r="AN86" s="155"/>
      <c r="AO86" s="155"/>
      <c r="AP86" s="155"/>
      <c r="AQ86" s="155"/>
      <c r="AR86" s="155"/>
      <c r="AS86" s="155"/>
      <c r="AT86" s="155"/>
      <c r="AU86" s="155"/>
      <c r="AV86" s="155"/>
      <c r="AW86" s="155"/>
      <c r="AX86" s="155"/>
      <c r="AY86" s="155"/>
      <c r="AZ86" s="155"/>
      <c r="BA86" s="155"/>
      <c r="BB86" s="155"/>
      <c r="BC86" s="155"/>
      <c r="BD86" s="155"/>
      <c r="BE86" s="155"/>
      <c r="BF86" s="155"/>
      <c r="BG86" s="155"/>
      <c r="BH86" s="155"/>
      <c r="BI86" s="155"/>
      <c r="BJ86" s="155"/>
      <c r="BK86" s="155"/>
      <c r="BL86" s="155"/>
      <c r="BM86" s="155"/>
      <c r="BN86" s="155"/>
      <c r="BO86" s="155"/>
      <c r="BP86" s="155"/>
      <c r="BQ86" s="155"/>
      <c r="BR86" s="155"/>
      <c r="BS86" s="155"/>
      <c r="BT86" s="155"/>
      <c r="BU86" s="155"/>
      <c r="BV86" s="155"/>
      <c r="BW86" s="155"/>
      <c r="BX86" s="155"/>
      <c r="BY86" s="155"/>
      <c r="BZ86" s="155"/>
      <c r="CA86" s="155"/>
      <c r="CB86" s="155"/>
      <c r="CC86" s="155"/>
      <c r="CD86" s="155"/>
      <c r="CE86" s="155"/>
      <c r="CF86" s="155"/>
      <c r="CG86" s="155"/>
    </row>
    <row r="87" spans="1:85" ht="12.75" x14ac:dyDescent="0.2">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c r="AA87" s="155"/>
      <c r="AB87" s="155"/>
      <c r="AC87" s="155"/>
      <c r="AD87" s="155"/>
      <c r="AE87" s="155"/>
      <c r="AF87" s="155"/>
      <c r="AG87" s="155"/>
      <c r="AH87" s="155"/>
      <c r="AI87" s="155"/>
      <c r="AJ87" s="155"/>
      <c r="AK87" s="155"/>
      <c r="AL87" s="155"/>
      <c r="AM87" s="155"/>
      <c r="AN87" s="155"/>
      <c r="AO87" s="155"/>
      <c r="AP87" s="155"/>
      <c r="AQ87" s="155"/>
      <c r="AR87" s="155"/>
      <c r="AS87" s="155"/>
      <c r="AT87" s="155"/>
      <c r="AU87" s="155"/>
      <c r="AV87" s="155"/>
      <c r="AW87" s="155"/>
      <c r="AX87" s="155"/>
      <c r="AY87" s="155"/>
      <c r="AZ87" s="155"/>
      <c r="BA87" s="155"/>
      <c r="BB87" s="155"/>
      <c r="BC87" s="155"/>
      <c r="BD87" s="155"/>
      <c r="BE87" s="155"/>
      <c r="BF87" s="155"/>
      <c r="BG87" s="155"/>
      <c r="BH87" s="155"/>
      <c r="BI87" s="155"/>
      <c r="BJ87" s="155"/>
      <c r="BK87" s="155"/>
      <c r="BL87" s="155"/>
      <c r="BM87" s="155"/>
      <c r="BN87" s="155"/>
      <c r="BO87" s="155"/>
      <c r="BP87" s="155"/>
      <c r="BQ87" s="155"/>
      <c r="BR87" s="155"/>
      <c r="BS87" s="155"/>
      <c r="BT87" s="155"/>
      <c r="BU87" s="155"/>
      <c r="BV87" s="155"/>
      <c r="BW87" s="155"/>
      <c r="BX87" s="155"/>
      <c r="BY87" s="155"/>
      <c r="BZ87" s="155"/>
      <c r="CA87" s="155"/>
      <c r="CB87" s="155"/>
      <c r="CC87" s="155"/>
      <c r="CD87" s="155"/>
      <c r="CE87" s="155"/>
      <c r="CF87" s="155"/>
      <c r="CG87" s="155"/>
    </row>
    <row r="88" spans="1:85" ht="12.75" x14ac:dyDescent="0.2">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c r="AA88" s="155"/>
      <c r="AB88" s="155"/>
      <c r="AC88" s="155"/>
      <c r="AD88" s="155"/>
      <c r="AE88" s="155"/>
      <c r="AF88" s="155"/>
      <c r="AG88" s="155"/>
      <c r="AH88" s="155"/>
      <c r="AI88" s="155"/>
      <c r="AJ88" s="155"/>
      <c r="AK88" s="155"/>
      <c r="AL88" s="155"/>
      <c r="AM88" s="155"/>
      <c r="AN88" s="155"/>
      <c r="AO88" s="155"/>
      <c r="AP88" s="155"/>
      <c r="AQ88" s="155"/>
      <c r="AR88" s="155"/>
      <c r="AS88" s="155"/>
      <c r="AT88" s="155"/>
      <c r="AU88" s="155"/>
      <c r="AV88" s="155"/>
      <c r="AW88" s="155"/>
      <c r="AX88" s="155"/>
      <c r="AY88" s="155"/>
      <c r="AZ88" s="155"/>
      <c r="BA88" s="155"/>
      <c r="BB88" s="155"/>
      <c r="BC88" s="155"/>
      <c r="BD88" s="155"/>
      <c r="BE88" s="155"/>
      <c r="BF88" s="155"/>
      <c r="BG88" s="155"/>
      <c r="BH88" s="155"/>
      <c r="BI88" s="155"/>
      <c r="BJ88" s="155"/>
      <c r="BK88" s="155"/>
      <c r="BL88" s="155"/>
      <c r="BM88" s="155"/>
      <c r="BN88" s="155"/>
      <c r="BO88" s="155"/>
      <c r="BP88" s="155"/>
      <c r="BQ88" s="155"/>
      <c r="BR88" s="155"/>
      <c r="BS88" s="155"/>
      <c r="BT88" s="155"/>
      <c r="BU88" s="155"/>
      <c r="BV88" s="155"/>
      <c r="BW88" s="155"/>
      <c r="BX88" s="155"/>
      <c r="BY88" s="155"/>
      <c r="BZ88" s="155"/>
      <c r="CA88" s="155"/>
      <c r="CB88" s="155"/>
      <c r="CC88" s="155"/>
      <c r="CD88" s="155"/>
      <c r="CE88" s="155"/>
      <c r="CF88" s="155"/>
      <c r="CG88" s="155"/>
    </row>
    <row r="89" spans="1:85" ht="12.75" x14ac:dyDescent="0.2">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c r="AA89" s="155"/>
      <c r="AB89" s="155"/>
      <c r="AC89" s="155"/>
      <c r="AD89" s="155"/>
      <c r="AE89" s="155"/>
      <c r="AF89" s="155"/>
      <c r="AG89" s="155"/>
      <c r="AH89" s="155"/>
      <c r="AI89" s="155"/>
      <c r="AJ89" s="155"/>
      <c r="AK89" s="155"/>
      <c r="AL89" s="155"/>
      <c r="AM89" s="155"/>
      <c r="AN89" s="155"/>
      <c r="AO89" s="155"/>
      <c r="AP89" s="155"/>
      <c r="AQ89" s="155"/>
      <c r="AR89" s="155"/>
      <c r="AS89" s="155"/>
      <c r="AT89" s="155"/>
      <c r="AU89" s="155"/>
      <c r="AV89" s="155"/>
      <c r="AW89" s="155"/>
      <c r="AX89" s="155"/>
      <c r="AY89" s="155"/>
      <c r="AZ89" s="155"/>
      <c r="BA89" s="155"/>
      <c r="BB89" s="155"/>
      <c r="BC89" s="155"/>
      <c r="BD89" s="155"/>
      <c r="BE89" s="155"/>
      <c r="BF89" s="155"/>
      <c r="BG89" s="155"/>
      <c r="BH89" s="155"/>
      <c r="BI89" s="155"/>
      <c r="BJ89" s="155"/>
      <c r="BK89" s="155"/>
      <c r="BL89" s="155"/>
      <c r="BM89" s="155"/>
      <c r="BN89" s="155"/>
      <c r="BO89" s="155"/>
      <c r="BP89" s="155"/>
      <c r="BQ89" s="155"/>
      <c r="BR89" s="155"/>
      <c r="BS89" s="155"/>
      <c r="BT89" s="155"/>
      <c r="BU89" s="155"/>
      <c r="BV89" s="155"/>
      <c r="BW89" s="155"/>
      <c r="BX89" s="155"/>
      <c r="BY89" s="155"/>
      <c r="BZ89" s="155"/>
      <c r="CA89" s="155"/>
      <c r="CB89" s="155"/>
      <c r="CC89" s="155"/>
      <c r="CD89" s="155"/>
      <c r="CE89" s="155"/>
      <c r="CF89" s="155"/>
      <c r="CG89" s="155"/>
    </row>
    <row r="90" spans="1:85" ht="12.75" x14ac:dyDescent="0.2">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c r="AA90" s="155"/>
      <c r="AB90" s="155"/>
      <c r="AC90" s="155"/>
      <c r="AD90" s="155"/>
      <c r="AE90" s="155"/>
      <c r="AF90" s="155"/>
      <c r="AG90" s="155"/>
      <c r="AH90" s="155"/>
      <c r="AI90" s="155"/>
      <c r="AJ90" s="155"/>
      <c r="AK90" s="155"/>
      <c r="AL90" s="155"/>
      <c r="AM90" s="155"/>
      <c r="AN90" s="155"/>
      <c r="AO90" s="155"/>
      <c r="AP90" s="155"/>
      <c r="AQ90" s="155"/>
      <c r="AR90" s="155"/>
      <c r="AS90" s="155"/>
      <c r="AT90" s="155"/>
      <c r="AU90" s="155"/>
      <c r="AV90" s="155"/>
      <c r="AW90" s="155"/>
      <c r="AX90" s="155"/>
      <c r="AY90" s="155"/>
      <c r="AZ90" s="155"/>
      <c r="BA90" s="155"/>
      <c r="BB90" s="155"/>
      <c r="BC90" s="155"/>
      <c r="BD90" s="155"/>
      <c r="BE90" s="155"/>
      <c r="BF90" s="155"/>
      <c r="BG90" s="155"/>
      <c r="BH90" s="155"/>
      <c r="BI90" s="155"/>
      <c r="BJ90" s="155"/>
      <c r="BK90" s="155"/>
      <c r="BL90" s="155"/>
      <c r="BM90" s="155"/>
      <c r="BN90" s="155"/>
      <c r="BO90" s="155"/>
      <c r="BP90" s="155"/>
      <c r="BQ90" s="155"/>
      <c r="BR90" s="155"/>
      <c r="BS90" s="155"/>
      <c r="BT90" s="155"/>
      <c r="BU90" s="155"/>
      <c r="BV90" s="155"/>
      <c r="BW90" s="155"/>
      <c r="BX90" s="155"/>
      <c r="BY90" s="155"/>
      <c r="BZ90" s="155"/>
      <c r="CA90" s="155"/>
      <c r="CB90" s="155"/>
      <c r="CC90" s="155"/>
      <c r="CD90" s="155"/>
      <c r="CE90" s="155"/>
      <c r="CF90" s="155"/>
      <c r="CG90" s="155"/>
    </row>
    <row r="91" spans="1:85" ht="12.75" x14ac:dyDescent="0.2">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c r="AA91" s="155"/>
      <c r="AB91" s="155"/>
      <c r="AC91" s="155"/>
      <c r="AD91" s="155"/>
      <c r="AE91" s="155"/>
      <c r="AF91" s="155"/>
      <c r="AG91" s="155"/>
      <c r="AH91" s="155"/>
      <c r="AI91" s="155"/>
      <c r="AJ91" s="155"/>
      <c r="AK91" s="155"/>
      <c r="AL91" s="155"/>
      <c r="AM91" s="155"/>
      <c r="AN91" s="155"/>
      <c r="AO91" s="155"/>
      <c r="AP91" s="155"/>
      <c r="AQ91" s="155"/>
      <c r="AR91" s="155"/>
      <c r="AS91" s="155"/>
      <c r="AT91" s="155"/>
      <c r="AU91" s="155"/>
      <c r="AV91" s="155"/>
      <c r="AW91" s="155"/>
      <c r="AX91" s="155"/>
      <c r="AY91" s="155"/>
      <c r="AZ91" s="155"/>
      <c r="BA91" s="155"/>
      <c r="BB91" s="155"/>
      <c r="BC91" s="155"/>
      <c r="BD91" s="155"/>
      <c r="BE91" s="155"/>
      <c r="BF91" s="155"/>
      <c r="BG91" s="155"/>
      <c r="BH91" s="155"/>
      <c r="BI91" s="155"/>
      <c r="BJ91" s="155"/>
      <c r="BK91" s="155"/>
      <c r="BL91" s="155"/>
      <c r="BM91" s="155"/>
      <c r="BN91" s="155"/>
      <c r="BO91" s="155"/>
      <c r="BP91" s="155"/>
      <c r="BQ91" s="155"/>
      <c r="BR91" s="155"/>
      <c r="BS91" s="155"/>
      <c r="BT91" s="155"/>
      <c r="BU91" s="155"/>
      <c r="BV91" s="155"/>
      <c r="BW91" s="155"/>
      <c r="BX91" s="155"/>
      <c r="BY91" s="155"/>
      <c r="BZ91" s="155"/>
      <c r="CA91" s="155"/>
      <c r="CB91" s="155"/>
      <c r="CC91" s="155"/>
      <c r="CD91" s="155"/>
      <c r="CE91" s="155"/>
      <c r="CF91" s="155"/>
      <c r="CG91" s="155"/>
    </row>
    <row r="92" spans="1:85" ht="12.75" x14ac:dyDescent="0.2">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c r="AA92" s="155"/>
      <c r="AB92" s="155"/>
      <c r="AC92" s="155"/>
      <c r="AD92" s="155"/>
      <c r="AE92" s="155"/>
      <c r="AF92" s="155"/>
      <c r="AG92" s="155"/>
      <c r="AH92" s="155"/>
      <c r="AI92" s="155"/>
      <c r="AJ92" s="155"/>
      <c r="AK92" s="155"/>
      <c r="AL92" s="155"/>
      <c r="AM92" s="155"/>
      <c r="AN92" s="155"/>
      <c r="AO92" s="155"/>
      <c r="AP92" s="155"/>
      <c r="AQ92" s="155"/>
      <c r="AR92" s="155"/>
      <c r="AS92" s="155"/>
      <c r="AT92" s="155"/>
      <c r="AU92" s="155"/>
      <c r="AV92" s="155"/>
      <c r="AW92" s="155"/>
      <c r="AX92" s="155"/>
      <c r="AY92" s="155"/>
      <c r="AZ92" s="155"/>
      <c r="BA92" s="155"/>
      <c r="BB92" s="155"/>
      <c r="BC92" s="155"/>
      <c r="BD92" s="155"/>
      <c r="BE92" s="155"/>
      <c r="BF92" s="155"/>
      <c r="BG92" s="155"/>
      <c r="BH92" s="155"/>
      <c r="BI92" s="155"/>
      <c r="BJ92" s="155"/>
      <c r="BK92" s="155"/>
      <c r="BL92" s="155"/>
      <c r="BM92" s="155"/>
      <c r="BN92" s="155"/>
      <c r="BO92" s="155"/>
      <c r="BP92" s="155"/>
      <c r="BQ92" s="155"/>
      <c r="BR92" s="155"/>
      <c r="BS92" s="155"/>
      <c r="BT92" s="155"/>
      <c r="BU92" s="155"/>
      <c r="BV92" s="155"/>
      <c r="BW92" s="155"/>
      <c r="BX92" s="155"/>
      <c r="BY92" s="155"/>
      <c r="BZ92" s="155"/>
      <c r="CA92" s="155"/>
      <c r="CB92" s="155"/>
      <c r="CC92" s="155"/>
      <c r="CD92" s="155"/>
      <c r="CE92" s="155"/>
      <c r="CF92" s="155"/>
      <c r="CG92" s="155"/>
    </row>
    <row r="93" spans="1:85" ht="12.75" x14ac:dyDescent="0.2">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c r="AA93" s="155"/>
      <c r="AB93" s="155"/>
      <c r="AC93" s="155"/>
      <c r="AD93" s="155"/>
      <c r="AE93" s="155"/>
      <c r="AF93" s="155"/>
      <c r="AG93" s="155"/>
      <c r="AH93" s="155"/>
      <c r="AI93" s="155"/>
      <c r="AJ93" s="155"/>
      <c r="AK93" s="155"/>
      <c r="AL93" s="155"/>
      <c r="AM93" s="155"/>
      <c r="AN93" s="155"/>
      <c r="AO93" s="155"/>
      <c r="AP93" s="155"/>
      <c r="AQ93" s="155"/>
      <c r="AR93" s="155"/>
      <c r="AS93" s="155"/>
      <c r="AT93" s="155"/>
      <c r="AU93" s="155"/>
      <c r="AV93" s="155"/>
      <c r="AW93" s="155"/>
      <c r="AX93" s="155"/>
      <c r="AY93" s="155"/>
      <c r="AZ93" s="155"/>
      <c r="BA93" s="155"/>
      <c r="BB93" s="155"/>
      <c r="BC93" s="155"/>
      <c r="BD93" s="155"/>
      <c r="BE93" s="155"/>
      <c r="BF93" s="155"/>
      <c r="BG93" s="155"/>
      <c r="BH93" s="155"/>
      <c r="BI93" s="155"/>
      <c r="BJ93" s="155"/>
      <c r="BK93" s="155"/>
      <c r="BL93" s="155"/>
      <c r="BM93" s="155"/>
      <c r="BN93" s="155"/>
      <c r="BO93" s="155"/>
      <c r="BP93" s="155"/>
      <c r="BQ93" s="155"/>
      <c r="BR93" s="155"/>
      <c r="BS93" s="155"/>
      <c r="BT93" s="155"/>
      <c r="BU93" s="155"/>
      <c r="BV93" s="155"/>
      <c r="BW93" s="155"/>
      <c r="BX93" s="155"/>
      <c r="BY93" s="155"/>
      <c r="BZ93" s="155"/>
      <c r="CA93" s="155"/>
      <c r="CB93" s="155"/>
      <c r="CC93" s="155"/>
      <c r="CD93" s="155"/>
      <c r="CE93" s="155"/>
      <c r="CF93" s="155"/>
      <c r="CG93" s="155"/>
    </row>
    <row r="94" spans="1:85" ht="12.75" x14ac:dyDescent="0.2">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c r="AA94" s="155"/>
      <c r="AB94" s="155"/>
      <c r="AC94" s="155"/>
      <c r="AD94" s="155"/>
      <c r="AE94" s="155"/>
      <c r="AF94" s="155"/>
      <c r="AG94" s="155"/>
      <c r="AH94" s="155"/>
      <c r="AI94" s="155"/>
      <c r="AJ94" s="155"/>
      <c r="AK94" s="155"/>
      <c r="AL94" s="155"/>
      <c r="AM94" s="155"/>
      <c r="AN94" s="155"/>
      <c r="AO94" s="155"/>
      <c r="AP94" s="155"/>
      <c r="AQ94" s="155"/>
      <c r="AR94" s="155"/>
      <c r="AS94" s="155"/>
      <c r="AT94" s="155"/>
      <c r="AU94" s="155"/>
      <c r="AV94" s="155"/>
      <c r="AW94" s="155"/>
      <c r="AX94" s="155"/>
      <c r="AY94" s="155"/>
      <c r="AZ94" s="155"/>
      <c r="BA94" s="155"/>
      <c r="BB94" s="155"/>
      <c r="BC94" s="155"/>
      <c r="BD94" s="155"/>
      <c r="BE94" s="155"/>
      <c r="BF94" s="155"/>
      <c r="BG94" s="155"/>
      <c r="BH94" s="155"/>
      <c r="BI94" s="155"/>
      <c r="BJ94" s="155"/>
      <c r="BK94" s="155"/>
      <c r="BL94" s="155"/>
      <c r="BM94" s="155"/>
      <c r="BN94" s="155"/>
      <c r="BO94" s="155"/>
      <c r="BP94" s="155"/>
      <c r="BQ94" s="155"/>
      <c r="BR94" s="155"/>
      <c r="BS94" s="155"/>
      <c r="BT94" s="155"/>
      <c r="BU94" s="155"/>
      <c r="BV94" s="155"/>
      <c r="BW94" s="155"/>
      <c r="BX94" s="155"/>
      <c r="BY94" s="155"/>
      <c r="BZ94" s="155"/>
      <c r="CA94" s="155"/>
      <c r="CB94" s="155"/>
      <c r="CC94" s="155"/>
      <c r="CD94" s="155"/>
      <c r="CE94" s="155"/>
      <c r="CF94" s="155"/>
      <c r="CG94" s="155"/>
    </row>
    <row r="95" spans="1:85" ht="12.75" x14ac:dyDescent="0.2">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c r="AA95" s="155"/>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155"/>
      <c r="BH95" s="155"/>
      <c r="BI95" s="155"/>
      <c r="BJ95" s="155"/>
      <c r="BK95" s="155"/>
      <c r="BL95" s="155"/>
      <c r="BM95" s="155"/>
      <c r="BN95" s="155"/>
      <c r="BO95" s="155"/>
      <c r="BP95" s="155"/>
      <c r="BQ95" s="155"/>
      <c r="BR95" s="155"/>
      <c r="BS95" s="155"/>
      <c r="BT95" s="155"/>
      <c r="BU95" s="155"/>
      <c r="BV95" s="155"/>
      <c r="BW95" s="155"/>
      <c r="BX95" s="155"/>
      <c r="BY95" s="155"/>
      <c r="BZ95" s="155"/>
      <c r="CA95" s="155"/>
      <c r="CB95" s="155"/>
      <c r="CC95" s="155"/>
      <c r="CD95" s="155"/>
      <c r="CE95" s="155"/>
      <c r="CF95" s="155"/>
      <c r="CG95" s="155"/>
    </row>
    <row r="96" spans="1:85" ht="12.75" x14ac:dyDescent="0.2">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c r="AA96" s="155"/>
      <c r="AB96" s="155"/>
      <c r="AC96" s="155"/>
      <c r="AD96" s="155"/>
      <c r="AE96" s="155"/>
      <c r="AF96" s="155"/>
      <c r="AG96" s="155"/>
      <c r="AH96" s="155"/>
      <c r="AI96" s="155"/>
      <c r="AJ96" s="155"/>
      <c r="AK96" s="155"/>
      <c r="AL96" s="155"/>
      <c r="AM96" s="155"/>
      <c r="AN96" s="155"/>
      <c r="AO96" s="155"/>
      <c r="AP96" s="155"/>
      <c r="AQ96" s="155"/>
      <c r="AR96" s="155"/>
      <c r="AS96" s="155"/>
      <c r="AT96" s="155"/>
      <c r="AU96" s="155"/>
      <c r="AV96" s="155"/>
      <c r="AW96" s="155"/>
      <c r="AX96" s="155"/>
      <c r="AY96" s="155"/>
      <c r="AZ96" s="155"/>
      <c r="BA96" s="155"/>
      <c r="BB96" s="155"/>
      <c r="BC96" s="155"/>
      <c r="BD96" s="155"/>
      <c r="BE96" s="155"/>
      <c r="BF96" s="155"/>
      <c r="BG96" s="155"/>
      <c r="BH96" s="155"/>
      <c r="BI96" s="155"/>
      <c r="BJ96" s="155"/>
      <c r="BK96" s="155"/>
      <c r="BL96" s="155"/>
      <c r="BM96" s="155"/>
      <c r="BN96" s="155"/>
      <c r="BO96" s="155"/>
      <c r="BP96" s="155"/>
      <c r="BQ96" s="155"/>
      <c r="BR96" s="155"/>
      <c r="BS96" s="155"/>
      <c r="BT96" s="155"/>
      <c r="BU96" s="155"/>
      <c r="BV96" s="155"/>
      <c r="BW96" s="155"/>
      <c r="BX96" s="155"/>
      <c r="BY96" s="155"/>
      <c r="BZ96" s="155"/>
      <c r="CA96" s="155"/>
      <c r="CB96" s="155"/>
      <c r="CC96" s="155"/>
      <c r="CD96" s="155"/>
      <c r="CE96" s="155"/>
      <c r="CF96" s="155"/>
      <c r="CG96" s="155"/>
    </row>
    <row r="97" spans="1:85" ht="12.75" x14ac:dyDescent="0.2">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c r="AA97" s="155"/>
      <c r="AB97" s="155"/>
      <c r="AC97" s="155"/>
      <c r="AD97" s="155"/>
      <c r="AE97" s="155"/>
      <c r="AF97" s="155"/>
      <c r="AG97" s="155"/>
      <c r="AH97" s="155"/>
      <c r="AI97" s="155"/>
      <c r="AJ97" s="155"/>
      <c r="AK97" s="155"/>
      <c r="AL97" s="155"/>
      <c r="AM97" s="155"/>
      <c r="AN97" s="155"/>
      <c r="AO97" s="155"/>
      <c r="AP97" s="155"/>
      <c r="AQ97" s="155"/>
      <c r="AR97" s="155"/>
      <c r="AS97" s="155"/>
      <c r="AT97" s="155"/>
      <c r="AU97" s="155"/>
      <c r="AV97" s="155"/>
      <c r="AW97" s="155"/>
      <c r="AX97" s="155"/>
      <c r="AY97" s="155"/>
      <c r="AZ97" s="155"/>
      <c r="BA97" s="155"/>
      <c r="BB97" s="155"/>
      <c r="BC97" s="155"/>
      <c r="BD97" s="155"/>
      <c r="BE97" s="155"/>
      <c r="BF97" s="155"/>
      <c r="BG97" s="155"/>
      <c r="BH97" s="155"/>
      <c r="BI97" s="155"/>
      <c r="BJ97" s="155"/>
      <c r="BK97" s="155"/>
      <c r="BL97" s="155"/>
      <c r="BM97" s="155"/>
      <c r="BN97" s="155"/>
      <c r="BO97" s="155"/>
      <c r="BP97" s="155"/>
      <c r="BQ97" s="155"/>
      <c r="BR97" s="155"/>
      <c r="BS97" s="155"/>
      <c r="BT97" s="155"/>
      <c r="BU97" s="155"/>
      <c r="BV97" s="155"/>
      <c r="BW97" s="155"/>
      <c r="BX97" s="155"/>
      <c r="BY97" s="155"/>
      <c r="BZ97" s="155"/>
      <c r="CA97" s="155"/>
      <c r="CB97" s="155"/>
      <c r="CC97" s="155"/>
      <c r="CD97" s="155"/>
      <c r="CE97" s="155"/>
      <c r="CF97" s="155"/>
      <c r="CG97" s="155"/>
    </row>
    <row r="98" spans="1:85" ht="12.75" x14ac:dyDescent="0.2">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155"/>
      <c r="BH98" s="155"/>
      <c r="BI98" s="155"/>
      <c r="BJ98" s="155"/>
      <c r="BK98" s="155"/>
      <c r="BL98" s="155"/>
      <c r="BM98" s="155"/>
      <c r="BN98" s="155"/>
      <c r="BO98" s="155"/>
      <c r="BP98" s="155"/>
      <c r="BQ98" s="155"/>
      <c r="BR98" s="155"/>
      <c r="BS98" s="155"/>
      <c r="BT98" s="155"/>
      <c r="BU98" s="155"/>
      <c r="BV98" s="155"/>
      <c r="BW98" s="155"/>
      <c r="BX98" s="155"/>
      <c r="BY98" s="155"/>
      <c r="BZ98" s="155"/>
      <c r="CA98" s="155"/>
      <c r="CB98" s="155"/>
      <c r="CC98" s="155"/>
      <c r="CD98" s="155"/>
      <c r="CE98" s="155"/>
      <c r="CF98" s="155"/>
      <c r="CG98" s="155"/>
    </row>
    <row r="99" spans="1:85" ht="12.75" x14ac:dyDescent="0.2">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c r="AA99" s="155"/>
      <c r="AB99" s="155"/>
      <c r="AC99" s="155"/>
      <c r="AD99" s="155"/>
      <c r="AE99" s="155"/>
      <c r="AF99" s="155"/>
      <c r="AG99" s="155"/>
      <c r="AH99" s="155"/>
      <c r="AI99" s="155"/>
      <c r="AJ99" s="155"/>
      <c r="AK99" s="155"/>
      <c r="AL99" s="155"/>
      <c r="AM99" s="155"/>
      <c r="AN99" s="155"/>
      <c r="AO99" s="155"/>
      <c r="AP99" s="155"/>
      <c r="AQ99" s="155"/>
      <c r="AR99" s="155"/>
      <c r="AS99" s="155"/>
      <c r="AT99" s="155"/>
      <c r="AU99" s="155"/>
      <c r="AV99" s="155"/>
      <c r="AW99" s="155"/>
      <c r="AX99" s="155"/>
      <c r="AY99" s="155"/>
      <c r="AZ99" s="155"/>
      <c r="BA99" s="155"/>
      <c r="BB99" s="155"/>
      <c r="BC99" s="155"/>
      <c r="BD99" s="155"/>
      <c r="BE99" s="155"/>
      <c r="BF99" s="155"/>
      <c r="BG99" s="155"/>
      <c r="BH99" s="155"/>
      <c r="BI99" s="155"/>
      <c r="BJ99" s="155"/>
      <c r="BK99" s="155"/>
      <c r="BL99" s="155"/>
      <c r="BM99" s="155"/>
      <c r="BN99" s="155"/>
      <c r="BO99" s="155"/>
      <c r="BP99" s="155"/>
      <c r="BQ99" s="155"/>
      <c r="BR99" s="155"/>
      <c r="BS99" s="155"/>
      <c r="BT99" s="155"/>
      <c r="BU99" s="155"/>
      <c r="BV99" s="155"/>
      <c r="BW99" s="155"/>
      <c r="BX99" s="155"/>
      <c r="BY99" s="155"/>
      <c r="BZ99" s="155"/>
      <c r="CA99" s="155"/>
      <c r="CB99" s="155"/>
      <c r="CC99" s="155"/>
      <c r="CD99" s="155"/>
      <c r="CE99" s="155"/>
      <c r="CF99" s="155"/>
      <c r="CG99" s="155"/>
    </row>
    <row r="100" spans="1:85" ht="12.75" x14ac:dyDescent="0.2">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155"/>
      <c r="BH100" s="155"/>
      <c r="BI100" s="155"/>
      <c r="BJ100" s="155"/>
      <c r="BK100" s="155"/>
      <c r="BL100" s="155"/>
      <c r="BM100" s="155"/>
      <c r="BN100" s="155"/>
      <c r="BO100" s="155"/>
      <c r="BP100" s="155"/>
      <c r="BQ100" s="155"/>
      <c r="BR100" s="155"/>
      <c r="BS100" s="155"/>
      <c r="BT100" s="155"/>
      <c r="BU100" s="155"/>
      <c r="BV100" s="155"/>
      <c r="BW100" s="155"/>
      <c r="BX100" s="155"/>
      <c r="BY100" s="155"/>
      <c r="BZ100" s="155"/>
      <c r="CA100" s="155"/>
      <c r="CB100" s="155"/>
      <c r="CC100" s="155"/>
      <c r="CD100" s="155"/>
      <c r="CE100" s="155"/>
      <c r="CF100" s="155"/>
      <c r="CG100" s="155"/>
    </row>
    <row r="101" spans="1:85" ht="12.75" x14ac:dyDescent="0.2">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c r="AA101" s="155"/>
      <c r="AB101" s="155"/>
      <c r="AC101" s="155"/>
      <c r="AD101" s="155"/>
      <c r="AE101" s="155"/>
      <c r="AF101" s="155"/>
      <c r="AG101" s="155"/>
      <c r="AH101" s="155"/>
      <c r="AI101" s="155"/>
      <c r="AJ101" s="155"/>
      <c r="AK101" s="155"/>
      <c r="AL101" s="155"/>
      <c r="AM101" s="155"/>
      <c r="AN101" s="155"/>
      <c r="AO101" s="155"/>
      <c r="AP101" s="155"/>
      <c r="AQ101" s="155"/>
      <c r="AR101" s="155"/>
      <c r="AS101" s="155"/>
      <c r="AT101" s="155"/>
      <c r="AU101" s="155"/>
      <c r="AV101" s="155"/>
      <c r="AW101" s="155"/>
      <c r="AX101" s="155"/>
      <c r="AY101" s="155"/>
      <c r="AZ101" s="155"/>
      <c r="BA101" s="155"/>
      <c r="BB101" s="155"/>
      <c r="BC101" s="155"/>
      <c r="BD101" s="155"/>
      <c r="BE101" s="155"/>
      <c r="BF101" s="155"/>
      <c r="BG101" s="155"/>
      <c r="BH101" s="155"/>
      <c r="BI101" s="155"/>
      <c r="BJ101" s="155"/>
      <c r="BK101" s="155"/>
      <c r="BL101" s="155"/>
      <c r="BM101" s="155"/>
      <c r="BN101" s="155"/>
      <c r="BO101" s="155"/>
      <c r="BP101" s="155"/>
      <c r="BQ101" s="155"/>
      <c r="BR101" s="155"/>
      <c r="BS101" s="155"/>
      <c r="BT101" s="155"/>
      <c r="BU101" s="155"/>
      <c r="BV101" s="155"/>
      <c r="BW101" s="155"/>
      <c r="BX101" s="155"/>
      <c r="BY101" s="155"/>
      <c r="BZ101" s="155"/>
      <c r="CA101" s="155"/>
      <c r="CB101" s="155"/>
      <c r="CC101" s="155"/>
      <c r="CD101" s="155"/>
      <c r="CE101" s="155"/>
      <c r="CF101" s="155"/>
      <c r="CG101" s="155"/>
    </row>
    <row r="102" spans="1:85" ht="12.75" x14ac:dyDescent="0.2">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c r="AA102" s="155"/>
      <c r="AB102" s="155"/>
      <c r="AC102" s="155"/>
      <c r="AD102" s="155"/>
      <c r="AE102" s="155"/>
      <c r="AF102" s="155"/>
      <c r="AG102" s="155"/>
      <c r="AH102" s="155"/>
      <c r="AI102" s="155"/>
      <c r="AJ102" s="155"/>
      <c r="AK102" s="155"/>
      <c r="AL102" s="155"/>
      <c r="AM102" s="155"/>
      <c r="AN102" s="155"/>
      <c r="AO102" s="155"/>
      <c r="AP102" s="155"/>
      <c r="AQ102" s="155"/>
      <c r="AR102" s="155"/>
      <c r="AS102" s="155"/>
      <c r="AT102" s="155"/>
      <c r="AU102" s="155"/>
      <c r="AV102" s="155"/>
      <c r="AW102" s="155"/>
      <c r="AX102" s="155"/>
      <c r="AY102" s="155"/>
      <c r="AZ102" s="155"/>
      <c r="BA102" s="155"/>
      <c r="BB102" s="155"/>
      <c r="BC102" s="155"/>
      <c r="BD102" s="155"/>
      <c r="BE102" s="155"/>
      <c r="BF102" s="155"/>
      <c r="BG102" s="155"/>
      <c r="BH102" s="155"/>
      <c r="BI102" s="155"/>
      <c r="BJ102" s="155"/>
      <c r="BK102" s="155"/>
      <c r="BL102" s="155"/>
      <c r="BM102" s="155"/>
      <c r="BN102" s="155"/>
      <c r="BO102" s="155"/>
      <c r="BP102" s="155"/>
      <c r="BQ102" s="155"/>
      <c r="BR102" s="155"/>
      <c r="BS102" s="155"/>
      <c r="BT102" s="155"/>
      <c r="BU102" s="155"/>
      <c r="BV102" s="155"/>
      <c r="BW102" s="155"/>
      <c r="BX102" s="155"/>
      <c r="BY102" s="155"/>
      <c r="BZ102" s="155"/>
      <c r="CA102" s="155"/>
      <c r="CB102" s="155"/>
      <c r="CC102" s="155"/>
      <c r="CD102" s="155"/>
      <c r="CE102" s="155"/>
      <c r="CF102" s="155"/>
      <c r="CG102" s="155"/>
    </row>
    <row r="103" spans="1:85" ht="12.75" x14ac:dyDescent="0.2">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5"/>
      <c r="AF103" s="155"/>
      <c r="AG103" s="155"/>
      <c r="AH103" s="155"/>
      <c r="AI103" s="155"/>
      <c r="AJ103" s="155"/>
      <c r="AK103" s="155"/>
      <c r="AL103" s="155"/>
      <c r="AM103" s="155"/>
      <c r="AN103" s="155"/>
      <c r="AO103" s="155"/>
      <c r="AP103" s="155"/>
      <c r="AQ103" s="155"/>
      <c r="AR103" s="155"/>
      <c r="AS103" s="155"/>
      <c r="AT103" s="155"/>
      <c r="AU103" s="155"/>
      <c r="AV103" s="155"/>
      <c r="AW103" s="155"/>
      <c r="AX103" s="155"/>
      <c r="AY103" s="155"/>
      <c r="AZ103" s="155"/>
      <c r="BA103" s="155"/>
      <c r="BB103" s="155"/>
      <c r="BC103" s="155"/>
      <c r="BD103" s="155"/>
      <c r="BE103" s="155"/>
      <c r="BF103" s="155"/>
      <c r="BG103" s="155"/>
      <c r="BH103" s="155"/>
      <c r="BI103" s="155"/>
      <c r="BJ103" s="155"/>
      <c r="BK103" s="155"/>
      <c r="BL103" s="155"/>
      <c r="BM103" s="155"/>
      <c r="BN103" s="155"/>
      <c r="BO103" s="155"/>
      <c r="BP103" s="155"/>
      <c r="BQ103" s="155"/>
      <c r="BR103" s="155"/>
      <c r="BS103" s="155"/>
      <c r="BT103" s="155"/>
      <c r="BU103" s="155"/>
      <c r="BV103" s="155"/>
      <c r="BW103" s="155"/>
      <c r="BX103" s="155"/>
      <c r="BY103" s="155"/>
      <c r="BZ103" s="155"/>
      <c r="CA103" s="155"/>
      <c r="CB103" s="155"/>
      <c r="CC103" s="155"/>
      <c r="CD103" s="155"/>
      <c r="CE103" s="155"/>
      <c r="CF103" s="155"/>
      <c r="CG103" s="155"/>
    </row>
    <row r="104" spans="1:85" ht="12.75" x14ac:dyDescent="0.2">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5"/>
      <c r="AF104" s="155"/>
      <c r="AG104" s="155"/>
      <c r="AH104" s="155"/>
      <c r="AI104" s="155"/>
      <c r="AJ104" s="155"/>
      <c r="AK104" s="155"/>
      <c r="AL104" s="155"/>
      <c r="AM104" s="155"/>
      <c r="AN104" s="155"/>
      <c r="AO104" s="155"/>
      <c r="AP104" s="155"/>
      <c r="AQ104" s="155"/>
      <c r="AR104" s="155"/>
      <c r="AS104" s="155"/>
      <c r="AT104" s="155"/>
      <c r="AU104" s="155"/>
      <c r="AV104" s="155"/>
      <c r="AW104" s="155"/>
      <c r="AX104" s="155"/>
      <c r="AY104" s="155"/>
      <c r="AZ104" s="155"/>
      <c r="BA104" s="155"/>
      <c r="BB104" s="155"/>
      <c r="BC104" s="155"/>
      <c r="BD104" s="155"/>
      <c r="BE104" s="155"/>
      <c r="BF104" s="155"/>
      <c r="BG104" s="155"/>
      <c r="BH104" s="155"/>
      <c r="BI104" s="155"/>
      <c r="BJ104" s="155"/>
      <c r="BK104" s="155"/>
      <c r="BL104" s="155"/>
      <c r="BM104" s="155"/>
      <c r="BN104" s="155"/>
      <c r="BO104" s="155"/>
      <c r="BP104" s="155"/>
      <c r="BQ104" s="155"/>
      <c r="BR104" s="155"/>
      <c r="BS104" s="155"/>
      <c r="BT104" s="155"/>
      <c r="BU104" s="155"/>
      <c r="BV104" s="155"/>
      <c r="BW104" s="155"/>
      <c r="BX104" s="155"/>
      <c r="BY104" s="155"/>
      <c r="BZ104" s="155"/>
      <c r="CA104" s="155"/>
      <c r="CB104" s="155"/>
      <c r="CC104" s="155"/>
      <c r="CD104" s="155"/>
      <c r="CE104" s="155"/>
      <c r="CF104" s="155"/>
      <c r="CG104" s="155"/>
    </row>
    <row r="105" spans="1:85" ht="12.75" x14ac:dyDescent="0.2">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5"/>
      <c r="AF105" s="155"/>
      <c r="AG105" s="155"/>
      <c r="AH105" s="155"/>
      <c r="AI105" s="155"/>
      <c r="AJ105" s="155"/>
      <c r="AK105" s="155"/>
      <c r="AL105" s="155"/>
      <c r="AM105" s="155"/>
      <c r="AN105" s="155"/>
      <c r="AO105" s="155"/>
      <c r="AP105" s="155"/>
      <c r="AQ105" s="155"/>
      <c r="AR105" s="155"/>
      <c r="AS105" s="155"/>
      <c r="AT105" s="155"/>
      <c r="AU105" s="155"/>
      <c r="AV105" s="155"/>
      <c r="AW105" s="155"/>
      <c r="AX105" s="155"/>
      <c r="AY105" s="155"/>
      <c r="AZ105" s="155"/>
      <c r="BA105" s="155"/>
      <c r="BB105" s="155"/>
      <c r="BC105" s="155"/>
      <c r="BD105" s="155"/>
      <c r="BE105" s="155"/>
      <c r="BF105" s="155"/>
      <c r="BG105" s="155"/>
      <c r="BH105" s="155"/>
      <c r="BI105" s="155"/>
      <c r="BJ105" s="155"/>
      <c r="BK105" s="155"/>
      <c r="BL105" s="155"/>
      <c r="BM105" s="155"/>
      <c r="BN105" s="155"/>
      <c r="BO105" s="155"/>
      <c r="BP105" s="155"/>
      <c r="BQ105" s="155"/>
      <c r="BR105" s="155"/>
      <c r="BS105" s="155"/>
      <c r="BT105" s="155"/>
      <c r="BU105" s="155"/>
      <c r="BV105" s="155"/>
      <c r="BW105" s="155"/>
      <c r="BX105" s="155"/>
      <c r="BY105" s="155"/>
      <c r="BZ105" s="155"/>
      <c r="CA105" s="155"/>
      <c r="CB105" s="155"/>
      <c r="CC105" s="155"/>
      <c r="CD105" s="155"/>
      <c r="CE105" s="155"/>
      <c r="CF105" s="155"/>
      <c r="CG105" s="155"/>
    </row>
    <row r="106" spans="1:85" ht="12.75" x14ac:dyDescent="0.2">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5"/>
      <c r="AF106" s="155"/>
      <c r="AG106" s="155"/>
      <c r="AH106" s="155"/>
      <c r="AI106" s="155"/>
      <c r="AJ106" s="155"/>
      <c r="AK106" s="155"/>
      <c r="AL106" s="155"/>
      <c r="AM106" s="155"/>
      <c r="AN106" s="155"/>
      <c r="AO106" s="155"/>
      <c r="AP106" s="155"/>
      <c r="AQ106" s="155"/>
      <c r="AR106" s="155"/>
      <c r="AS106" s="155"/>
      <c r="AT106" s="155"/>
      <c r="AU106" s="155"/>
      <c r="AV106" s="155"/>
      <c r="AW106" s="155"/>
      <c r="AX106" s="155"/>
      <c r="AY106" s="155"/>
      <c r="AZ106" s="155"/>
      <c r="BA106" s="155"/>
      <c r="BB106" s="155"/>
      <c r="BC106" s="155"/>
      <c r="BD106" s="155"/>
      <c r="BE106" s="155"/>
      <c r="BF106" s="155"/>
      <c r="BG106" s="155"/>
      <c r="BH106" s="155"/>
      <c r="BI106" s="155"/>
      <c r="BJ106" s="155"/>
      <c r="BK106" s="155"/>
      <c r="BL106" s="155"/>
      <c r="BM106" s="155"/>
      <c r="BN106" s="155"/>
      <c r="BO106" s="155"/>
      <c r="BP106" s="155"/>
      <c r="BQ106" s="155"/>
      <c r="BR106" s="155"/>
      <c r="BS106" s="155"/>
      <c r="BT106" s="155"/>
      <c r="BU106" s="155"/>
      <c r="BV106" s="155"/>
      <c r="BW106" s="155"/>
      <c r="BX106" s="155"/>
      <c r="BY106" s="155"/>
      <c r="BZ106" s="155"/>
      <c r="CA106" s="155"/>
      <c r="CB106" s="155"/>
      <c r="CC106" s="155"/>
      <c r="CD106" s="155"/>
      <c r="CE106" s="155"/>
      <c r="CF106" s="155"/>
      <c r="CG106" s="155"/>
    </row>
    <row r="107" spans="1:85" ht="12.75" x14ac:dyDescent="0.2">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5"/>
      <c r="AF107" s="155"/>
      <c r="AG107" s="155"/>
      <c r="AH107" s="155"/>
      <c r="AI107" s="155"/>
      <c r="AJ107" s="155"/>
      <c r="AK107" s="155"/>
      <c r="AL107" s="155"/>
      <c r="AM107" s="155"/>
      <c r="AN107" s="155"/>
      <c r="AO107" s="155"/>
      <c r="AP107" s="155"/>
      <c r="AQ107" s="155"/>
      <c r="AR107" s="155"/>
      <c r="AS107" s="155"/>
      <c r="AT107" s="155"/>
      <c r="AU107" s="155"/>
      <c r="AV107" s="155"/>
      <c r="AW107" s="155"/>
      <c r="AX107" s="155"/>
      <c r="AY107" s="155"/>
      <c r="AZ107" s="155"/>
      <c r="BA107" s="155"/>
      <c r="BB107" s="155"/>
      <c r="BC107" s="155"/>
      <c r="BD107" s="155"/>
      <c r="BE107" s="155"/>
      <c r="BF107" s="155"/>
      <c r="BG107" s="155"/>
      <c r="BH107" s="155"/>
      <c r="BI107" s="155"/>
      <c r="BJ107" s="155"/>
      <c r="BK107" s="155"/>
      <c r="BL107" s="155"/>
      <c r="BM107" s="155"/>
      <c r="BN107" s="155"/>
      <c r="BO107" s="155"/>
      <c r="BP107" s="155"/>
      <c r="BQ107" s="155"/>
      <c r="BR107" s="155"/>
      <c r="BS107" s="155"/>
      <c r="BT107" s="155"/>
      <c r="BU107" s="155"/>
      <c r="BV107" s="155"/>
      <c r="BW107" s="155"/>
      <c r="BX107" s="155"/>
      <c r="BY107" s="155"/>
      <c r="BZ107" s="155"/>
      <c r="CA107" s="155"/>
      <c r="CB107" s="155"/>
      <c r="CC107" s="155"/>
      <c r="CD107" s="155"/>
      <c r="CE107" s="155"/>
      <c r="CF107" s="155"/>
      <c r="CG107" s="155"/>
    </row>
    <row r="108" spans="1:85" ht="12.75" x14ac:dyDescent="0.2">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row>
    <row r="109" spans="1:85" ht="12.75" x14ac:dyDescent="0.2">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row>
    <row r="110" spans="1:85" ht="12.75" x14ac:dyDescent="0.2">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row>
    <row r="111" spans="1:85" ht="12.75" x14ac:dyDescent="0.2">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row>
    <row r="112" spans="1:85" ht="12.75" x14ac:dyDescent="0.2">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row>
    <row r="113" spans="1:85" ht="12.75" x14ac:dyDescent="0.2">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row>
    <row r="114" spans="1:85" ht="12.75" x14ac:dyDescent="0.2">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row>
    <row r="115" spans="1:85" ht="12.75" x14ac:dyDescent="0.2">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row>
    <row r="116" spans="1:85" ht="12.75" x14ac:dyDescent="0.2">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row>
    <row r="117" spans="1:85" ht="12.75" x14ac:dyDescent="0.2">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row>
    <row r="118" spans="1:85" ht="12.75" x14ac:dyDescent="0.2">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row>
    <row r="119" spans="1:85" ht="12.75" x14ac:dyDescent="0.2">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row>
    <row r="120" spans="1:85" ht="12.75"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row>
    <row r="121" spans="1:85" ht="12.75" x14ac:dyDescent="0.2">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row>
    <row r="122" spans="1:85" ht="12.75" x14ac:dyDescent="0.2">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row>
    <row r="123" spans="1:85" ht="12.75" x14ac:dyDescent="0.2">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row>
    <row r="124" spans="1:85" ht="12.75" x14ac:dyDescent="0.2">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row>
    <row r="125" spans="1:85" ht="12.75" x14ac:dyDescent="0.2">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row>
    <row r="126" spans="1:85" ht="12.75" x14ac:dyDescent="0.2">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row>
    <row r="127" spans="1:85" ht="12.75" x14ac:dyDescent="0.2">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row>
    <row r="128" spans="1:85" ht="12.75" x14ac:dyDescent="0.2">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row>
    <row r="129" spans="1:85" ht="12.75" x14ac:dyDescent="0.2">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row>
    <row r="130" spans="1:85" ht="12.75" x14ac:dyDescent="0.2">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row>
    <row r="131" spans="1:85" ht="12.75" x14ac:dyDescent="0.2">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row>
    <row r="132" spans="1:85" ht="12.75" x14ac:dyDescent="0.2">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row>
    <row r="133" spans="1:85" ht="12.75" x14ac:dyDescent="0.2">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row>
    <row r="134" spans="1:85" ht="12.75" x14ac:dyDescent="0.2">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row>
    <row r="135" spans="1:85" ht="12.75" x14ac:dyDescent="0.2">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row>
    <row r="136" spans="1:85" ht="12.75" x14ac:dyDescent="0.2">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row>
    <row r="137" spans="1:85" ht="12.75" x14ac:dyDescent="0.2">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row>
    <row r="138" spans="1:85" ht="12.75" x14ac:dyDescent="0.2">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row>
    <row r="139" spans="1:85" ht="12.75" x14ac:dyDescent="0.2">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row>
    <row r="140" spans="1:85" ht="12.75" x14ac:dyDescent="0.2">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row>
    <row r="141" spans="1:85" ht="12.75" x14ac:dyDescent="0.2">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row>
    <row r="142" spans="1:85" ht="12.75" x14ac:dyDescent="0.2">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row>
    <row r="143" spans="1:85" ht="12.75" x14ac:dyDescent="0.2">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row>
    <row r="144" spans="1:85" ht="12.75" x14ac:dyDescent="0.2">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row>
    <row r="145" spans="1:85" ht="12.75" x14ac:dyDescent="0.2">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row>
    <row r="146" spans="1:85" ht="12.75" x14ac:dyDescent="0.2">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row>
    <row r="147" spans="1:85" ht="12.75" x14ac:dyDescent="0.2">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row>
    <row r="148" spans="1:85" ht="12.75" x14ac:dyDescent="0.2">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row>
    <row r="149" spans="1:85" ht="12.75" x14ac:dyDescent="0.2">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row>
    <row r="150" spans="1:85" ht="12.75" x14ac:dyDescent="0.2">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row>
    <row r="151" spans="1:85" ht="12.75" x14ac:dyDescent="0.2">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row>
    <row r="152" spans="1:85" ht="12.75" x14ac:dyDescent="0.2">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row>
    <row r="153" spans="1:85" ht="12.75" x14ac:dyDescent="0.2">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row>
    <row r="154" spans="1:85" ht="12.75" x14ac:dyDescent="0.2">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row>
    <row r="155" spans="1:85" ht="12.75" x14ac:dyDescent="0.2">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row>
    <row r="156" spans="1:85" ht="12.75" x14ac:dyDescent="0.2">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row>
    <row r="157" spans="1:85" ht="12.75" x14ac:dyDescent="0.2">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row>
    <row r="158" spans="1:85" ht="12.75" x14ac:dyDescent="0.2">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row>
    <row r="159" spans="1:85" ht="12.75" x14ac:dyDescent="0.2">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row>
    <row r="160" spans="1:85" ht="12.75" x14ac:dyDescent="0.2">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row>
    <row r="161" spans="1:85" ht="12.75" x14ac:dyDescent="0.2">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row>
    <row r="162" spans="1:85" ht="12.75" x14ac:dyDescent="0.2">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row>
    <row r="163" spans="1:85" ht="12.75" x14ac:dyDescent="0.2">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row>
    <row r="164" spans="1:85" ht="12.75" x14ac:dyDescent="0.2">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row>
    <row r="165" spans="1:85" ht="12.75" x14ac:dyDescent="0.2">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row>
    <row r="166" spans="1:85" ht="12.75" x14ac:dyDescent="0.2">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row>
    <row r="167" spans="1:85" ht="12.75" x14ac:dyDescent="0.2">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row>
    <row r="168" spans="1:85" ht="12.75" x14ac:dyDescent="0.2">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row>
    <row r="169" spans="1:85" ht="12.75" x14ac:dyDescent="0.2">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row>
    <row r="170" spans="1:85" ht="12.75" x14ac:dyDescent="0.2">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row>
    <row r="171" spans="1:85" ht="12.75" x14ac:dyDescent="0.2">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row>
    <row r="172" spans="1:85" ht="12.75" x14ac:dyDescent="0.2">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row>
    <row r="173" spans="1:85" ht="12.75" x14ac:dyDescent="0.2">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row>
    <row r="174" spans="1:85" ht="12.75" x14ac:dyDescent="0.2">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c r="AA174" s="155"/>
      <c r="AB174" s="155"/>
      <c r="AC174" s="155"/>
      <c r="AD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row>
    <row r="175" spans="1:85" ht="12.75" x14ac:dyDescent="0.2">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c r="AA175" s="155"/>
      <c r="AB175" s="155"/>
      <c r="AC175" s="155"/>
      <c r="AD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row>
    <row r="176" spans="1:85" ht="12.75" x14ac:dyDescent="0.2">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c r="AA176" s="155"/>
      <c r="AB176" s="155"/>
      <c r="AC176" s="155"/>
      <c r="AD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row>
    <row r="177" spans="1:85" ht="12.75" x14ac:dyDescent="0.2">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c r="AA177" s="155"/>
      <c r="AB177" s="155"/>
      <c r="AC177" s="155"/>
      <c r="AD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row>
    <row r="178" spans="1:85" ht="12.75" x14ac:dyDescent="0.2">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c r="AA178" s="155"/>
      <c r="AB178" s="155"/>
      <c r="AC178" s="155"/>
      <c r="AD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row>
    <row r="179" spans="1:85" ht="12.75" x14ac:dyDescent="0.2">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c r="AA179" s="155"/>
      <c r="AB179" s="155"/>
      <c r="AC179" s="155"/>
      <c r="AD179" s="155"/>
      <c r="AE179" s="155"/>
      <c r="AF179" s="155"/>
      <c r="AG179" s="155"/>
      <c r="AH179" s="155"/>
      <c r="AI179" s="155"/>
      <c r="AJ179" s="155"/>
      <c r="AK179" s="155"/>
      <c r="AL179" s="155"/>
      <c r="AM179" s="155"/>
      <c r="AN179" s="155"/>
      <c r="AO179" s="155"/>
      <c r="AP179" s="155"/>
      <c r="AQ179" s="155"/>
      <c r="AR179" s="155"/>
      <c r="AS179" s="155"/>
      <c r="AT179" s="155"/>
      <c r="AU179" s="155"/>
      <c r="AV179" s="155"/>
      <c r="AW179" s="155"/>
      <c r="AX179" s="155"/>
      <c r="AY179" s="155"/>
      <c r="AZ179" s="155"/>
      <c r="BA179" s="155"/>
      <c r="BB179" s="155"/>
      <c r="BC179" s="155"/>
      <c r="BD179" s="155"/>
      <c r="BE179" s="155"/>
      <c r="BF179" s="155"/>
      <c r="BG179" s="155"/>
      <c r="BH179" s="155"/>
      <c r="BI179" s="155"/>
      <c r="BJ179" s="155"/>
      <c r="BK179" s="155"/>
      <c r="BL179" s="155"/>
      <c r="BM179" s="155"/>
      <c r="BN179" s="155"/>
      <c r="BO179" s="155"/>
      <c r="BP179" s="155"/>
      <c r="BQ179" s="155"/>
      <c r="BR179" s="155"/>
      <c r="BS179" s="155"/>
      <c r="BT179" s="155"/>
      <c r="BU179" s="155"/>
      <c r="BV179" s="155"/>
      <c r="BW179" s="155"/>
      <c r="BX179" s="155"/>
      <c r="BY179" s="155"/>
      <c r="BZ179" s="155"/>
      <c r="CA179" s="155"/>
      <c r="CB179" s="155"/>
      <c r="CC179" s="155"/>
      <c r="CD179" s="155"/>
      <c r="CE179" s="155"/>
      <c r="CF179" s="155"/>
      <c r="CG179" s="155"/>
    </row>
    <row r="180" spans="1:85" ht="12.75" x14ac:dyDescent="0.2">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155"/>
      <c r="AL180" s="155"/>
      <c r="AM180" s="155"/>
      <c r="AN180" s="155"/>
      <c r="AO180" s="155"/>
      <c r="AP180" s="155"/>
      <c r="AQ180" s="155"/>
      <c r="AR180" s="155"/>
      <c r="AS180" s="155"/>
      <c r="AT180" s="155"/>
      <c r="AU180" s="155"/>
      <c r="AV180" s="155"/>
      <c r="AW180" s="155"/>
      <c r="AX180" s="155"/>
      <c r="AY180" s="155"/>
      <c r="AZ180" s="155"/>
      <c r="BA180" s="155"/>
      <c r="BB180" s="155"/>
      <c r="BC180" s="155"/>
      <c r="BD180" s="155"/>
      <c r="BE180" s="155"/>
      <c r="BF180" s="155"/>
      <c r="BG180" s="155"/>
      <c r="BH180" s="155"/>
      <c r="BI180" s="155"/>
      <c r="BJ180" s="155"/>
      <c r="BK180" s="155"/>
      <c r="BL180" s="155"/>
      <c r="BM180" s="155"/>
      <c r="BN180" s="155"/>
      <c r="BO180" s="155"/>
      <c r="BP180" s="155"/>
      <c r="BQ180" s="155"/>
      <c r="BR180" s="155"/>
      <c r="BS180" s="155"/>
      <c r="BT180" s="155"/>
      <c r="BU180" s="155"/>
      <c r="BV180" s="155"/>
      <c r="BW180" s="155"/>
      <c r="BX180" s="155"/>
      <c r="BY180" s="155"/>
      <c r="BZ180" s="155"/>
      <c r="CA180" s="155"/>
      <c r="CB180" s="155"/>
      <c r="CC180" s="155"/>
      <c r="CD180" s="155"/>
      <c r="CE180" s="155"/>
      <c r="CF180" s="155"/>
      <c r="CG180" s="155"/>
    </row>
    <row r="181" spans="1:85" ht="12.75" x14ac:dyDescent="0.2">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c r="AA181" s="155"/>
      <c r="AB181" s="155"/>
      <c r="AC181" s="155"/>
      <c r="AD181" s="155"/>
      <c r="AE181" s="155"/>
      <c r="AF181" s="155"/>
      <c r="AG181" s="155"/>
      <c r="AH181" s="155"/>
      <c r="AI181" s="155"/>
      <c r="AJ181" s="155"/>
      <c r="AK181" s="155"/>
      <c r="AL181" s="155"/>
      <c r="AM181" s="155"/>
      <c r="AN181" s="155"/>
      <c r="AO181" s="155"/>
      <c r="AP181" s="155"/>
      <c r="AQ181" s="155"/>
      <c r="AR181" s="155"/>
      <c r="AS181" s="155"/>
      <c r="AT181" s="155"/>
      <c r="AU181" s="155"/>
      <c r="AV181" s="155"/>
      <c r="AW181" s="155"/>
      <c r="AX181" s="155"/>
      <c r="AY181" s="155"/>
      <c r="AZ181" s="155"/>
      <c r="BA181" s="155"/>
      <c r="BB181" s="155"/>
      <c r="BC181" s="155"/>
      <c r="BD181" s="155"/>
      <c r="BE181" s="155"/>
      <c r="BF181" s="155"/>
      <c r="BG181" s="155"/>
      <c r="BH181" s="155"/>
      <c r="BI181" s="155"/>
      <c r="BJ181" s="155"/>
      <c r="BK181" s="155"/>
      <c r="BL181" s="155"/>
      <c r="BM181" s="155"/>
      <c r="BN181" s="155"/>
      <c r="BO181" s="155"/>
      <c r="BP181" s="155"/>
      <c r="BQ181" s="155"/>
      <c r="BR181" s="155"/>
      <c r="BS181" s="155"/>
      <c r="BT181" s="155"/>
      <c r="BU181" s="155"/>
      <c r="BV181" s="155"/>
      <c r="BW181" s="155"/>
      <c r="BX181" s="155"/>
      <c r="BY181" s="155"/>
      <c r="BZ181" s="155"/>
      <c r="CA181" s="155"/>
      <c r="CB181" s="155"/>
      <c r="CC181" s="155"/>
      <c r="CD181" s="155"/>
      <c r="CE181" s="155"/>
      <c r="CF181" s="155"/>
      <c r="CG181" s="155"/>
    </row>
    <row r="182" spans="1:85" ht="12.75" x14ac:dyDescent="0.2">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c r="AA182" s="155"/>
      <c r="AB182" s="155"/>
      <c r="AC182" s="155"/>
      <c r="AD182" s="155"/>
      <c r="AE182" s="155"/>
      <c r="AF182" s="155"/>
      <c r="AG182" s="155"/>
      <c r="AH182" s="155"/>
      <c r="AI182" s="155"/>
      <c r="AJ182" s="155"/>
      <c r="AK182" s="155"/>
      <c r="AL182" s="155"/>
      <c r="AM182" s="155"/>
      <c r="AN182" s="155"/>
      <c r="AO182" s="155"/>
      <c r="AP182" s="155"/>
      <c r="AQ182" s="155"/>
      <c r="AR182" s="155"/>
      <c r="AS182" s="155"/>
      <c r="AT182" s="155"/>
      <c r="AU182" s="155"/>
      <c r="AV182" s="155"/>
      <c r="AW182" s="155"/>
      <c r="AX182" s="155"/>
      <c r="AY182" s="155"/>
      <c r="AZ182" s="155"/>
      <c r="BA182" s="155"/>
      <c r="BB182" s="155"/>
      <c r="BC182" s="155"/>
      <c r="BD182" s="155"/>
      <c r="BE182" s="155"/>
      <c r="BF182" s="155"/>
      <c r="BG182" s="155"/>
      <c r="BH182" s="155"/>
      <c r="BI182" s="155"/>
      <c r="BJ182" s="155"/>
      <c r="BK182" s="155"/>
      <c r="BL182" s="155"/>
      <c r="BM182" s="155"/>
      <c r="BN182" s="155"/>
      <c r="BO182" s="155"/>
      <c r="BP182" s="155"/>
      <c r="BQ182" s="155"/>
      <c r="BR182" s="155"/>
      <c r="BS182" s="155"/>
      <c r="BT182" s="155"/>
      <c r="BU182" s="155"/>
      <c r="BV182" s="155"/>
      <c r="BW182" s="155"/>
      <c r="BX182" s="155"/>
      <c r="BY182" s="155"/>
      <c r="BZ182" s="155"/>
      <c r="CA182" s="155"/>
      <c r="CB182" s="155"/>
      <c r="CC182" s="155"/>
      <c r="CD182" s="155"/>
      <c r="CE182" s="155"/>
      <c r="CF182" s="155"/>
      <c r="CG182" s="155"/>
    </row>
    <row r="183" spans="1:85" ht="12.75" x14ac:dyDescent="0.2">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5"/>
      <c r="AM183" s="155"/>
      <c r="AN183" s="155"/>
      <c r="AO183" s="155"/>
      <c r="AP183" s="155"/>
      <c r="AQ183" s="155"/>
      <c r="AR183" s="155"/>
      <c r="AS183" s="155"/>
      <c r="AT183" s="155"/>
      <c r="AU183" s="155"/>
      <c r="AV183" s="155"/>
      <c r="AW183" s="155"/>
      <c r="AX183" s="155"/>
      <c r="AY183" s="155"/>
      <c r="AZ183" s="155"/>
      <c r="BA183" s="155"/>
      <c r="BB183" s="155"/>
      <c r="BC183" s="155"/>
      <c r="BD183" s="155"/>
      <c r="BE183" s="155"/>
      <c r="BF183" s="155"/>
      <c r="BG183" s="155"/>
      <c r="BH183" s="155"/>
      <c r="BI183" s="155"/>
      <c r="BJ183" s="155"/>
      <c r="BK183" s="155"/>
      <c r="BL183" s="155"/>
      <c r="BM183" s="155"/>
      <c r="BN183" s="155"/>
      <c r="BO183" s="155"/>
      <c r="BP183" s="155"/>
      <c r="BQ183" s="155"/>
      <c r="BR183" s="155"/>
      <c r="BS183" s="155"/>
      <c r="BT183" s="155"/>
      <c r="BU183" s="155"/>
      <c r="BV183" s="155"/>
      <c r="BW183" s="155"/>
      <c r="BX183" s="155"/>
      <c r="BY183" s="155"/>
      <c r="BZ183" s="155"/>
      <c r="CA183" s="155"/>
      <c r="CB183" s="155"/>
      <c r="CC183" s="155"/>
      <c r="CD183" s="155"/>
      <c r="CE183" s="155"/>
      <c r="CF183" s="155"/>
      <c r="CG183" s="155"/>
    </row>
    <row r="184" spans="1:85" ht="12.75" x14ac:dyDescent="0.2">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c r="AA184" s="155"/>
      <c r="AB184" s="155"/>
      <c r="AC184" s="155"/>
      <c r="AD184" s="155"/>
      <c r="AE184" s="155"/>
      <c r="AF184" s="155"/>
      <c r="AG184" s="155"/>
      <c r="AH184" s="155"/>
      <c r="AI184" s="155"/>
      <c r="AJ184" s="155"/>
      <c r="AK184" s="155"/>
      <c r="AL184" s="155"/>
      <c r="AM184" s="155"/>
      <c r="AN184" s="155"/>
      <c r="AO184" s="155"/>
      <c r="AP184" s="155"/>
      <c r="AQ184" s="155"/>
      <c r="AR184" s="155"/>
      <c r="AS184" s="155"/>
      <c r="AT184" s="155"/>
      <c r="AU184" s="155"/>
      <c r="AV184" s="155"/>
      <c r="AW184" s="155"/>
      <c r="AX184" s="155"/>
      <c r="AY184" s="155"/>
      <c r="AZ184" s="155"/>
      <c r="BA184" s="155"/>
      <c r="BB184" s="155"/>
      <c r="BC184" s="155"/>
      <c r="BD184" s="155"/>
      <c r="BE184" s="155"/>
      <c r="BF184" s="155"/>
      <c r="BG184" s="155"/>
      <c r="BH184" s="155"/>
      <c r="BI184" s="155"/>
      <c r="BJ184" s="155"/>
      <c r="BK184" s="155"/>
      <c r="BL184" s="155"/>
      <c r="BM184" s="155"/>
      <c r="BN184" s="155"/>
      <c r="BO184" s="155"/>
      <c r="BP184" s="155"/>
      <c r="BQ184" s="155"/>
      <c r="BR184" s="155"/>
      <c r="BS184" s="155"/>
      <c r="BT184" s="155"/>
      <c r="BU184" s="155"/>
      <c r="BV184" s="155"/>
      <c r="BW184" s="155"/>
      <c r="BX184" s="155"/>
      <c r="BY184" s="155"/>
      <c r="BZ184" s="155"/>
      <c r="CA184" s="155"/>
      <c r="CB184" s="155"/>
      <c r="CC184" s="155"/>
      <c r="CD184" s="155"/>
      <c r="CE184" s="155"/>
      <c r="CF184" s="155"/>
      <c r="CG184" s="155"/>
    </row>
    <row r="185" spans="1:85" ht="12.75" x14ac:dyDescent="0.2">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c r="AA185" s="155"/>
      <c r="AB185" s="155"/>
      <c r="AC185" s="155"/>
      <c r="AD185" s="155"/>
      <c r="AE185" s="155"/>
      <c r="AF185" s="155"/>
      <c r="AG185" s="155"/>
      <c r="AH185" s="155"/>
      <c r="AI185" s="155"/>
      <c r="AJ185" s="155"/>
      <c r="AK185" s="155"/>
      <c r="AL185" s="155"/>
      <c r="AM185" s="155"/>
      <c r="AN185" s="155"/>
      <c r="AO185" s="155"/>
      <c r="AP185" s="155"/>
      <c r="AQ185" s="155"/>
      <c r="AR185" s="155"/>
      <c r="AS185" s="155"/>
      <c r="AT185" s="155"/>
      <c r="AU185" s="155"/>
      <c r="AV185" s="155"/>
      <c r="AW185" s="155"/>
      <c r="AX185" s="155"/>
      <c r="AY185" s="155"/>
      <c r="AZ185" s="155"/>
      <c r="BA185" s="155"/>
      <c r="BB185" s="155"/>
      <c r="BC185" s="155"/>
      <c r="BD185" s="155"/>
      <c r="BE185" s="155"/>
      <c r="BF185" s="155"/>
      <c r="BG185" s="155"/>
      <c r="BH185" s="155"/>
      <c r="BI185" s="155"/>
      <c r="BJ185" s="155"/>
      <c r="BK185" s="155"/>
      <c r="BL185" s="155"/>
      <c r="BM185" s="155"/>
      <c r="BN185" s="155"/>
      <c r="BO185" s="155"/>
      <c r="BP185" s="155"/>
      <c r="BQ185" s="155"/>
      <c r="BR185" s="155"/>
      <c r="BS185" s="155"/>
      <c r="BT185" s="155"/>
      <c r="BU185" s="155"/>
      <c r="BV185" s="155"/>
      <c r="BW185" s="155"/>
      <c r="BX185" s="155"/>
      <c r="BY185" s="155"/>
      <c r="BZ185" s="155"/>
      <c r="CA185" s="155"/>
      <c r="CB185" s="155"/>
      <c r="CC185" s="155"/>
      <c r="CD185" s="155"/>
      <c r="CE185" s="155"/>
      <c r="CF185" s="155"/>
      <c r="CG185" s="155"/>
    </row>
    <row r="186" spans="1:85" ht="12.75" x14ac:dyDescent="0.2">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5"/>
      <c r="AN186" s="155"/>
      <c r="AO186" s="155"/>
      <c r="AP186" s="155"/>
      <c r="AQ186" s="155"/>
      <c r="AR186" s="155"/>
      <c r="AS186" s="155"/>
      <c r="AT186" s="155"/>
      <c r="AU186" s="155"/>
      <c r="AV186" s="155"/>
      <c r="AW186" s="155"/>
      <c r="AX186" s="155"/>
      <c r="AY186" s="155"/>
      <c r="AZ186" s="155"/>
      <c r="BA186" s="155"/>
      <c r="BB186" s="155"/>
      <c r="BC186" s="155"/>
      <c r="BD186" s="155"/>
      <c r="BE186" s="155"/>
      <c r="BF186" s="155"/>
      <c r="BG186" s="155"/>
      <c r="BH186" s="155"/>
      <c r="BI186" s="155"/>
      <c r="BJ186" s="155"/>
      <c r="BK186" s="155"/>
      <c r="BL186" s="155"/>
      <c r="BM186" s="155"/>
      <c r="BN186" s="155"/>
      <c r="BO186" s="155"/>
      <c r="BP186" s="155"/>
      <c r="BQ186" s="155"/>
      <c r="BR186" s="155"/>
      <c r="BS186" s="155"/>
      <c r="BT186" s="155"/>
      <c r="BU186" s="155"/>
      <c r="BV186" s="155"/>
      <c r="BW186" s="155"/>
      <c r="BX186" s="155"/>
      <c r="BY186" s="155"/>
      <c r="BZ186" s="155"/>
      <c r="CA186" s="155"/>
      <c r="CB186" s="155"/>
      <c r="CC186" s="155"/>
      <c r="CD186" s="155"/>
      <c r="CE186" s="155"/>
      <c r="CF186" s="155"/>
      <c r="CG186" s="155"/>
    </row>
    <row r="187" spans="1:85" ht="12.75" x14ac:dyDescent="0.2">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5"/>
      <c r="AY187" s="155"/>
      <c r="AZ187" s="155"/>
      <c r="BA187" s="155"/>
      <c r="BB187" s="155"/>
      <c r="BC187" s="155"/>
      <c r="BD187" s="155"/>
      <c r="BE187" s="155"/>
      <c r="BF187" s="155"/>
      <c r="BG187" s="155"/>
      <c r="BH187" s="155"/>
      <c r="BI187" s="155"/>
      <c r="BJ187" s="155"/>
      <c r="BK187" s="155"/>
      <c r="BL187" s="155"/>
      <c r="BM187" s="155"/>
      <c r="BN187" s="155"/>
      <c r="BO187" s="155"/>
      <c r="BP187" s="155"/>
      <c r="BQ187" s="155"/>
      <c r="BR187" s="155"/>
      <c r="BS187" s="155"/>
      <c r="BT187" s="155"/>
      <c r="BU187" s="155"/>
      <c r="BV187" s="155"/>
      <c r="BW187" s="155"/>
      <c r="BX187" s="155"/>
      <c r="BY187" s="155"/>
      <c r="BZ187" s="155"/>
      <c r="CA187" s="155"/>
      <c r="CB187" s="155"/>
      <c r="CC187" s="155"/>
      <c r="CD187" s="155"/>
      <c r="CE187" s="155"/>
      <c r="CF187" s="155"/>
      <c r="CG187" s="155"/>
    </row>
    <row r="188" spans="1:85" ht="12.75" x14ac:dyDescent="0.2">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c r="AA188" s="155"/>
      <c r="AB188" s="155"/>
      <c r="AC188" s="155"/>
      <c r="AD188" s="155"/>
      <c r="AE188" s="155"/>
      <c r="AF188" s="155"/>
      <c r="AG188" s="155"/>
      <c r="AH188" s="155"/>
      <c r="AI188" s="155"/>
      <c r="AJ188" s="155"/>
      <c r="AK188" s="155"/>
      <c r="AL188" s="155"/>
      <c r="AM188" s="155"/>
      <c r="AN188" s="155"/>
      <c r="AO188" s="155"/>
      <c r="AP188" s="155"/>
      <c r="AQ188" s="155"/>
      <c r="AR188" s="155"/>
      <c r="AS188" s="155"/>
      <c r="AT188" s="155"/>
      <c r="AU188" s="155"/>
      <c r="AV188" s="155"/>
      <c r="AW188" s="155"/>
      <c r="AX188" s="155"/>
      <c r="AY188" s="155"/>
      <c r="AZ188" s="155"/>
      <c r="BA188" s="155"/>
      <c r="BB188" s="155"/>
      <c r="BC188" s="155"/>
      <c r="BD188" s="155"/>
      <c r="BE188" s="155"/>
      <c r="BF188" s="155"/>
      <c r="BG188" s="155"/>
      <c r="BH188" s="155"/>
      <c r="BI188" s="155"/>
      <c r="BJ188" s="155"/>
      <c r="BK188" s="155"/>
      <c r="BL188" s="155"/>
      <c r="BM188" s="155"/>
      <c r="BN188" s="155"/>
      <c r="BO188" s="155"/>
      <c r="BP188" s="155"/>
      <c r="BQ188" s="155"/>
      <c r="BR188" s="155"/>
      <c r="BS188" s="155"/>
      <c r="BT188" s="155"/>
      <c r="BU188" s="155"/>
      <c r="BV188" s="155"/>
      <c r="BW188" s="155"/>
      <c r="BX188" s="155"/>
      <c r="BY188" s="155"/>
      <c r="BZ188" s="155"/>
      <c r="CA188" s="155"/>
      <c r="CB188" s="155"/>
      <c r="CC188" s="155"/>
      <c r="CD188" s="155"/>
      <c r="CE188" s="155"/>
      <c r="CF188" s="155"/>
      <c r="CG188" s="155"/>
    </row>
    <row r="189" spans="1:85" ht="12.75" x14ac:dyDescent="0.2">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c r="AA189" s="155"/>
      <c r="AB189" s="155"/>
      <c r="AC189" s="155"/>
      <c r="AD189" s="155"/>
      <c r="AE189" s="155"/>
      <c r="AF189" s="155"/>
      <c r="AG189" s="155"/>
      <c r="AH189" s="155"/>
      <c r="AI189" s="155"/>
      <c r="AJ189" s="155"/>
      <c r="AK189" s="155"/>
      <c r="AL189" s="155"/>
      <c r="AM189" s="155"/>
      <c r="AN189" s="155"/>
      <c r="AO189" s="155"/>
      <c r="AP189" s="155"/>
      <c r="AQ189" s="155"/>
      <c r="AR189" s="155"/>
      <c r="AS189" s="155"/>
      <c r="AT189" s="155"/>
      <c r="AU189" s="155"/>
      <c r="AV189" s="155"/>
      <c r="AW189" s="155"/>
      <c r="AX189" s="155"/>
      <c r="AY189" s="155"/>
      <c r="AZ189" s="155"/>
      <c r="BA189" s="155"/>
      <c r="BB189" s="155"/>
      <c r="BC189" s="155"/>
      <c r="BD189" s="155"/>
      <c r="BE189" s="155"/>
      <c r="BF189" s="155"/>
      <c r="BG189" s="155"/>
      <c r="BH189" s="155"/>
      <c r="BI189" s="155"/>
      <c r="BJ189" s="155"/>
      <c r="BK189" s="155"/>
      <c r="BL189" s="155"/>
      <c r="BM189" s="155"/>
      <c r="BN189" s="155"/>
      <c r="BO189" s="155"/>
      <c r="BP189" s="155"/>
      <c r="BQ189" s="155"/>
      <c r="BR189" s="155"/>
      <c r="BS189" s="155"/>
      <c r="BT189" s="155"/>
      <c r="BU189" s="155"/>
      <c r="BV189" s="155"/>
      <c r="BW189" s="155"/>
      <c r="BX189" s="155"/>
      <c r="BY189" s="155"/>
      <c r="BZ189" s="155"/>
      <c r="CA189" s="155"/>
      <c r="CB189" s="155"/>
      <c r="CC189" s="155"/>
      <c r="CD189" s="155"/>
      <c r="CE189" s="155"/>
      <c r="CF189" s="155"/>
      <c r="CG189" s="155"/>
    </row>
    <row r="190" spans="1:85" ht="12.75" x14ac:dyDescent="0.2">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c r="AA190" s="155"/>
      <c r="AB190" s="155"/>
      <c r="AC190" s="155"/>
      <c r="AD190" s="155"/>
      <c r="AE190" s="155"/>
      <c r="AF190" s="155"/>
      <c r="AG190" s="155"/>
      <c r="AH190" s="155"/>
      <c r="AI190" s="155"/>
      <c r="AJ190" s="155"/>
      <c r="AK190" s="155"/>
      <c r="AL190" s="155"/>
      <c r="AM190" s="155"/>
      <c r="AN190" s="155"/>
      <c r="AO190" s="155"/>
      <c r="AP190" s="155"/>
      <c r="AQ190" s="155"/>
      <c r="AR190" s="155"/>
      <c r="AS190" s="155"/>
      <c r="AT190" s="155"/>
      <c r="AU190" s="155"/>
      <c r="AV190" s="155"/>
      <c r="AW190" s="155"/>
      <c r="AX190" s="155"/>
      <c r="AY190" s="155"/>
      <c r="AZ190" s="155"/>
      <c r="BA190" s="155"/>
      <c r="BB190" s="155"/>
      <c r="BC190" s="155"/>
      <c r="BD190" s="155"/>
      <c r="BE190" s="155"/>
      <c r="BF190" s="155"/>
      <c r="BG190" s="155"/>
      <c r="BH190" s="155"/>
      <c r="BI190" s="155"/>
      <c r="BJ190" s="155"/>
      <c r="BK190" s="155"/>
      <c r="BL190" s="155"/>
      <c r="BM190" s="155"/>
      <c r="BN190" s="155"/>
      <c r="BO190" s="155"/>
      <c r="BP190" s="155"/>
      <c r="BQ190" s="155"/>
      <c r="BR190" s="155"/>
      <c r="BS190" s="155"/>
      <c r="BT190" s="155"/>
      <c r="BU190" s="155"/>
      <c r="BV190" s="155"/>
      <c r="BW190" s="155"/>
      <c r="BX190" s="155"/>
      <c r="BY190" s="155"/>
      <c r="BZ190" s="155"/>
      <c r="CA190" s="155"/>
      <c r="CB190" s="155"/>
      <c r="CC190" s="155"/>
      <c r="CD190" s="155"/>
      <c r="CE190" s="155"/>
      <c r="CF190" s="155"/>
      <c r="CG190" s="155"/>
    </row>
    <row r="191" spans="1:85" ht="12.75" x14ac:dyDescent="0.2">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c r="AA191" s="155"/>
      <c r="AB191" s="155"/>
      <c r="AC191" s="155"/>
      <c r="AD191" s="155"/>
      <c r="AE191" s="155"/>
      <c r="AF191" s="155"/>
      <c r="AG191" s="155"/>
      <c r="AH191" s="155"/>
      <c r="AI191" s="155"/>
      <c r="AJ191" s="155"/>
      <c r="AK191" s="155"/>
      <c r="AL191" s="155"/>
      <c r="AM191" s="155"/>
      <c r="AN191" s="155"/>
      <c r="AO191" s="155"/>
      <c r="AP191" s="155"/>
      <c r="AQ191" s="155"/>
      <c r="AR191" s="155"/>
      <c r="AS191" s="155"/>
      <c r="AT191" s="155"/>
      <c r="AU191" s="155"/>
      <c r="AV191" s="155"/>
      <c r="AW191" s="155"/>
      <c r="AX191" s="155"/>
      <c r="AY191" s="155"/>
      <c r="AZ191" s="155"/>
      <c r="BA191" s="155"/>
      <c r="BB191" s="155"/>
      <c r="BC191" s="155"/>
      <c r="BD191" s="155"/>
      <c r="BE191" s="155"/>
      <c r="BF191" s="155"/>
      <c r="BG191" s="155"/>
      <c r="BH191" s="155"/>
      <c r="BI191" s="155"/>
      <c r="BJ191" s="155"/>
      <c r="BK191" s="155"/>
      <c r="BL191" s="155"/>
      <c r="BM191" s="155"/>
      <c r="BN191" s="155"/>
      <c r="BO191" s="155"/>
      <c r="BP191" s="155"/>
      <c r="BQ191" s="155"/>
      <c r="BR191" s="155"/>
      <c r="BS191" s="155"/>
      <c r="BT191" s="155"/>
      <c r="BU191" s="155"/>
      <c r="BV191" s="155"/>
      <c r="BW191" s="155"/>
      <c r="BX191" s="155"/>
      <c r="BY191" s="155"/>
      <c r="BZ191" s="155"/>
      <c r="CA191" s="155"/>
      <c r="CB191" s="155"/>
      <c r="CC191" s="155"/>
      <c r="CD191" s="155"/>
      <c r="CE191" s="155"/>
      <c r="CF191" s="155"/>
      <c r="CG191" s="155"/>
    </row>
    <row r="192" spans="1:85" ht="12.75" x14ac:dyDescent="0.2">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c r="AA192" s="155"/>
      <c r="AB192" s="155"/>
      <c r="AC192" s="155"/>
      <c r="AD192" s="155"/>
      <c r="AE192" s="155"/>
      <c r="AF192" s="155"/>
      <c r="AG192" s="155"/>
      <c r="AH192" s="155"/>
      <c r="AI192" s="155"/>
      <c r="AJ192" s="155"/>
      <c r="AK192" s="155"/>
      <c r="AL192" s="155"/>
      <c r="AM192" s="155"/>
      <c r="AN192" s="155"/>
      <c r="AO192" s="155"/>
      <c r="AP192" s="155"/>
      <c r="AQ192" s="155"/>
      <c r="AR192" s="155"/>
      <c r="AS192" s="155"/>
      <c r="AT192" s="155"/>
      <c r="AU192" s="155"/>
      <c r="AV192" s="155"/>
      <c r="AW192" s="155"/>
      <c r="AX192" s="155"/>
      <c r="AY192" s="155"/>
      <c r="AZ192" s="155"/>
      <c r="BA192" s="155"/>
      <c r="BB192" s="155"/>
      <c r="BC192" s="155"/>
      <c r="BD192" s="155"/>
      <c r="BE192" s="155"/>
      <c r="BF192" s="155"/>
      <c r="BG192" s="155"/>
      <c r="BH192" s="155"/>
      <c r="BI192" s="155"/>
      <c r="BJ192" s="155"/>
      <c r="BK192" s="155"/>
      <c r="BL192" s="155"/>
      <c r="BM192" s="155"/>
      <c r="BN192" s="155"/>
      <c r="BO192" s="155"/>
      <c r="BP192" s="155"/>
      <c r="BQ192" s="155"/>
      <c r="BR192" s="155"/>
      <c r="BS192" s="155"/>
      <c r="BT192" s="155"/>
      <c r="BU192" s="155"/>
      <c r="BV192" s="155"/>
      <c r="BW192" s="155"/>
      <c r="BX192" s="155"/>
      <c r="BY192" s="155"/>
      <c r="BZ192" s="155"/>
      <c r="CA192" s="155"/>
      <c r="CB192" s="155"/>
      <c r="CC192" s="155"/>
      <c r="CD192" s="155"/>
      <c r="CE192" s="155"/>
      <c r="CF192" s="155"/>
      <c r="CG192" s="155"/>
    </row>
    <row r="193" spans="1:85" ht="12.75" x14ac:dyDescent="0.2">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c r="AA193" s="155"/>
      <c r="AB193" s="155"/>
      <c r="AC193" s="155"/>
      <c r="AD193" s="155"/>
      <c r="AE193" s="155"/>
      <c r="AF193" s="155"/>
      <c r="AG193" s="155"/>
      <c r="AH193" s="155"/>
      <c r="AI193" s="155"/>
      <c r="AJ193" s="155"/>
      <c r="AK193" s="155"/>
      <c r="AL193" s="155"/>
      <c r="AM193" s="155"/>
      <c r="AN193" s="155"/>
      <c r="AO193" s="155"/>
      <c r="AP193" s="155"/>
      <c r="AQ193" s="155"/>
      <c r="AR193" s="155"/>
      <c r="AS193" s="155"/>
      <c r="AT193" s="155"/>
      <c r="AU193" s="155"/>
      <c r="AV193" s="155"/>
      <c r="AW193" s="155"/>
      <c r="AX193" s="155"/>
      <c r="AY193" s="155"/>
      <c r="AZ193" s="155"/>
      <c r="BA193" s="155"/>
      <c r="BB193" s="155"/>
      <c r="BC193" s="155"/>
      <c r="BD193" s="155"/>
      <c r="BE193" s="155"/>
      <c r="BF193" s="155"/>
      <c r="BG193" s="155"/>
      <c r="BH193" s="155"/>
      <c r="BI193" s="155"/>
      <c r="BJ193" s="155"/>
      <c r="BK193" s="155"/>
      <c r="BL193" s="155"/>
      <c r="BM193" s="155"/>
      <c r="BN193" s="155"/>
      <c r="BO193" s="155"/>
      <c r="BP193" s="155"/>
      <c r="BQ193" s="155"/>
      <c r="BR193" s="155"/>
      <c r="BS193" s="155"/>
      <c r="BT193" s="155"/>
      <c r="BU193" s="155"/>
      <c r="BV193" s="155"/>
      <c r="BW193" s="155"/>
      <c r="BX193" s="155"/>
      <c r="BY193" s="155"/>
      <c r="BZ193" s="155"/>
      <c r="CA193" s="155"/>
      <c r="CB193" s="155"/>
      <c r="CC193" s="155"/>
      <c r="CD193" s="155"/>
      <c r="CE193" s="155"/>
      <c r="CF193" s="155"/>
      <c r="CG193" s="155"/>
    </row>
    <row r="194" spans="1:85" ht="12.75" x14ac:dyDescent="0.2">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c r="AA194" s="155"/>
      <c r="AB194" s="155"/>
      <c r="AC194" s="155"/>
      <c r="AD194" s="155"/>
      <c r="AE194" s="155"/>
      <c r="AF194" s="155"/>
      <c r="AG194" s="155"/>
      <c r="AH194" s="155"/>
      <c r="AI194" s="155"/>
      <c r="AJ194" s="155"/>
      <c r="AK194" s="155"/>
      <c r="AL194" s="155"/>
      <c r="AM194" s="155"/>
      <c r="AN194" s="155"/>
      <c r="AO194" s="155"/>
      <c r="AP194" s="155"/>
      <c r="AQ194" s="155"/>
      <c r="AR194" s="155"/>
      <c r="AS194" s="155"/>
      <c r="AT194" s="155"/>
      <c r="AU194" s="155"/>
      <c r="AV194" s="155"/>
      <c r="AW194" s="155"/>
      <c r="AX194" s="155"/>
      <c r="AY194" s="155"/>
      <c r="AZ194" s="155"/>
      <c r="BA194" s="155"/>
      <c r="BB194" s="155"/>
      <c r="BC194" s="155"/>
      <c r="BD194" s="155"/>
      <c r="BE194" s="155"/>
      <c r="BF194" s="155"/>
      <c r="BG194" s="155"/>
      <c r="BH194" s="155"/>
      <c r="BI194" s="155"/>
      <c r="BJ194" s="155"/>
      <c r="BK194" s="155"/>
      <c r="BL194" s="155"/>
      <c r="BM194" s="155"/>
      <c r="BN194" s="155"/>
      <c r="BO194" s="155"/>
      <c r="BP194" s="155"/>
      <c r="BQ194" s="155"/>
      <c r="BR194" s="155"/>
      <c r="BS194" s="155"/>
      <c r="BT194" s="155"/>
      <c r="BU194" s="155"/>
      <c r="BV194" s="155"/>
      <c r="BW194" s="155"/>
      <c r="BX194" s="155"/>
      <c r="BY194" s="155"/>
      <c r="BZ194" s="155"/>
      <c r="CA194" s="155"/>
      <c r="CB194" s="155"/>
      <c r="CC194" s="155"/>
      <c r="CD194" s="155"/>
      <c r="CE194" s="155"/>
      <c r="CF194" s="155"/>
      <c r="CG194" s="155"/>
    </row>
    <row r="195" spans="1:85" ht="12.75" x14ac:dyDescent="0.2">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c r="AA195" s="155"/>
      <c r="AB195" s="155"/>
      <c r="AC195" s="155"/>
      <c r="AD195" s="155"/>
      <c r="AE195" s="155"/>
      <c r="AF195" s="155"/>
      <c r="AG195" s="155"/>
      <c r="AH195" s="155"/>
      <c r="AI195" s="155"/>
      <c r="AJ195" s="155"/>
      <c r="AK195" s="155"/>
      <c r="AL195" s="155"/>
      <c r="AM195" s="155"/>
      <c r="AN195" s="155"/>
      <c r="AO195" s="155"/>
      <c r="AP195" s="155"/>
      <c r="AQ195" s="155"/>
      <c r="AR195" s="155"/>
      <c r="AS195" s="155"/>
      <c r="AT195" s="155"/>
      <c r="AU195" s="155"/>
      <c r="AV195" s="155"/>
      <c r="AW195" s="155"/>
      <c r="AX195" s="155"/>
      <c r="AY195" s="155"/>
      <c r="AZ195" s="155"/>
      <c r="BA195" s="155"/>
      <c r="BB195" s="155"/>
      <c r="BC195" s="155"/>
      <c r="BD195" s="155"/>
      <c r="BE195" s="155"/>
      <c r="BF195" s="155"/>
      <c r="BG195" s="155"/>
      <c r="BH195" s="155"/>
      <c r="BI195" s="155"/>
      <c r="BJ195" s="155"/>
      <c r="BK195" s="155"/>
      <c r="BL195" s="155"/>
      <c r="BM195" s="155"/>
      <c r="BN195" s="155"/>
      <c r="BO195" s="155"/>
      <c r="BP195" s="155"/>
      <c r="BQ195" s="155"/>
      <c r="BR195" s="155"/>
      <c r="BS195" s="155"/>
      <c r="BT195" s="155"/>
      <c r="BU195" s="155"/>
      <c r="BV195" s="155"/>
      <c r="BW195" s="155"/>
      <c r="BX195" s="155"/>
      <c r="BY195" s="155"/>
      <c r="BZ195" s="155"/>
      <c r="CA195" s="155"/>
      <c r="CB195" s="155"/>
      <c r="CC195" s="155"/>
      <c r="CD195" s="155"/>
      <c r="CE195" s="155"/>
      <c r="CF195" s="155"/>
      <c r="CG195" s="155"/>
    </row>
    <row r="196" spans="1:85" ht="12.75" x14ac:dyDescent="0.2">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c r="AA196" s="155"/>
      <c r="AB196" s="155"/>
      <c r="AC196" s="155"/>
      <c r="AD196" s="155"/>
      <c r="AE196" s="155"/>
      <c r="AF196" s="155"/>
      <c r="AG196" s="155"/>
      <c r="AH196" s="155"/>
      <c r="AI196" s="155"/>
      <c r="AJ196" s="155"/>
      <c r="AK196" s="155"/>
      <c r="AL196" s="155"/>
      <c r="AM196" s="155"/>
      <c r="AN196" s="155"/>
      <c r="AO196" s="155"/>
      <c r="AP196" s="155"/>
      <c r="AQ196" s="155"/>
      <c r="AR196" s="155"/>
      <c r="AS196" s="155"/>
      <c r="AT196" s="155"/>
      <c r="AU196" s="155"/>
      <c r="AV196" s="155"/>
      <c r="AW196" s="155"/>
      <c r="AX196" s="155"/>
      <c r="AY196" s="155"/>
      <c r="AZ196" s="155"/>
      <c r="BA196" s="155"/>
      <c r="BB196" s="155"/>
      <c r="BC196" s="155"/>
      <c r="BD196" s="155"/>
      <c r="BE196" s="155"/>
      <c r="BF196" s="155"/>
      <c r="BG196" s="155"/>
      <c r="BH196" s="155"/>
      <c r="BI196" s="155"/>
      <c r="BJ196" s="155"/>
      <c r="BK196" s="155"/>
      <c r="BL196" s="155"/>
      <c r="BM196" s="155"/>
      <c r="BN196" s="155"/>
      <c r="BO196" s="155"/>
      <c r="BP196" s="155"/>
      <c r="BQ196" s="155"/>
      <c r="BR196" s="155"/>
      <c r="BS196" s="155"/>
      <c r="BT196" s="155"/>
      <c r="BU196" s="155"/>
      <c r="BV196" s="155"/>
      <c r="BW196" s="155"/>
      <c r="BX196" s="155"/>
      <c r="BY196" s="155"/>
      <c r="BZ196" s="155"/>
      <c r="CA196" s="155"/>
      <c r="CB196" s="155"/>
      <c r="CC196" s="155"/>
      <c r="CD196" s="155"/>
      <c r="CE196" s="155"/>
      <c r="CF196" s="155"/>
      <c r="CG196" s="155"/>
    </row>
    <row r="197" spans="1:85" ht="12.75" x14ac:dyDescent="0.2">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c r="AA197" s="155"/>
      <c r="AB197" s="155"/>
      <c r="AC197" s="155"/>
      <c r="AD197" s="155"/>
      <c r="AE197" s="155"/>
      <c r="AF197" s="155"/>
      <c r="AG197" s="155"/>
      <c r="AH197" s="155"/>
      <c r="AI197" s="155"/>
      <c r="AJ197" s="155"/>
      <c r="AK197" s="155"/>
      <c r="AL197" s="155"/>
      <c r="AM197" s="155"/>
      <c r="AN197" s="155"/>
      <c r="AO197" s="155"/>
      <c r="AP197" s="155"/>
      <c r="AQ197" s="155"/>
      <c r="AR197" s="155"/>
      <c r="AS197" s="155"/>
      <c r="AT197" s="155"/>
      <c r="AU197" s="155"/>
      <c r="AV197" s="155"/>
      <c r="AW197" s="155"/>
      <c r="AX197" s="155"/>
      <c r="AY197" s="155"/>
      <c r="AZ197" s="155"/>
      <c r="BA197" s="155"/>
      <c r="BB197" s="155"/>
      <c r="BC197" s="155"/>
      <c r="BD197" s="155"/>
      <c r="BE197" s="155"/>
      <c r="BF197" s="155"/>
      <c r="BG197" s="155"/>
      <c r="BH197" s="155"/>
      <c r="BI197" s="155"/>
      <c r="BJ197" s="155"/>
      <c r="BK197" s="155"/>
      <c r="BL197" s="155"/>
      <c r="BM197" s="155"/>
      <c r="BN197" s="155"/>
      <c r="BO197" s="155"/>
      <c r="BP197" s="155"/>
      <c r="BQ197" s="155"/>
      <c r="BR197" s="155"/>
      <c r="BS197" s="155"/>
      <c r="BT197" s="155"/>
      <c r="BU197" s="155"/>
      <c r="BV197" s="155"/>
      <c r="BW197" s="155"/>
      <c r="BX197" s="155"/>
      <c r="BY197" s="155"/>
      <c r="BZ197" s="155"/>
      <c r="CA197" s="155"/>
      <c r="CB197" s="155"/>
      <c r="CC197" s="155"/>
      <c r="CD197" s="155"/>
      <c r="CE197" s="155"/>
      <c r="CF197" s="155"/>
      <c r="CG197" s="155"/>
    </row>
    <row r="198" spans="1:85" ht="12.75" x14ac:dyDescent="0.2">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c r="AA198" s="155"/>
      <c r="AB198" s="155"/>
      <c r="AC198" s="155"/>
      <c r="AD198" s="155"/>
      <c r="AE198" s="155"/>
      <c r="AF198" s="155"/>
      <c r="AG198" s="155"/>
      <c r="AH198" s="155"/>
      <c r="AI198" s="155"/>
      <c r="AJ198" s="155"/>
      <c r="AK198" s="155"/>
      <c r="AL198" s="155"/>
      <c r="AM198" s="155"/>
      <c r="AN198" s="155"/>
      <c r="AO198" s="155"/>
      <c r="AP198" s="155"/>
      <c r="AQ198" s="155"/>
      <c r="AR198" s="155"/>
      <c r="AS198" s="155"/>
      <c r="AT198" s="155"/>
      <c r="AU198" s="155"/>
      <c r="AV198" s="155"/>
      <c r="AW198" s="155"/>
      <c r="AX198" s="155"/>
      <c r="AY198" s="155"/>
      <c r="AZ198" s="155"/>
      <c r="BA198" s="155"/>
      <c r="BB198" s="155"/>
      <c r="BC198" s="155"/>
      <c r="BD198" s="155"/>
      <c r="BE198" s="155"/>
      <c r="BF198" s="155"/>
      <c r="BG198" s="155"/>
      <c r="BH198" s="155"/>
      <c r="BI198" s="155"/>
      <c r="BJ198" s="155"/>
      <c r="BK198" s="155"/>
      <c r="BL198" s="155"/>
      <c r="BM198" s="155"/>
      <c r="BN198" s="155"/>
      <c r="BO198" s="155"/>
      <c r="BP198" s="155"/>
      <c r="BQ198" s="155"/>
      <c r="BR198" s="155"/>
      <c r="BS198" s="155"/>
      <c r="BT198" s="155"/>
      <c r="BU198" s="155"/>
      <c r="BV198" s="155"/>
      <c r="BW198" s="155"/>
      <c r="BX198" s="155"/>
      <c r="BY198" s="155"/>
      <c r="BZ198" s="155"/>
      <c r="CA198" s="155"/>
      <c r="CB198" s="155"/>
      <c r="CC198" s="155"/>
      <c r="CD198" s="155"/>
      <c r="CE198" s="155"/>
      <c r="CF198" s="155"/>
      <c r="CG198" s="155"/>
    </row>
    <row r="199" spans="1:85" ht="12.75" x14ac:dyDescent="0.2">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c r="AA199" s="155"/>
      <c r="AB199" s="155"/>
      <c r="AC199" s="155"/>
      <c r="AD199" s="155"/>
      <c r="AE199" s="155"/>
      <c r="AF199" s="155"/>
      <c r="AG199" s="155"/>
      <c r="AH199" s="155"/>
      <c r="AI199" s="155"/>
      <c r="AJ199" s="155"/>
      <c r="AK199" s="155"/>
      <c r="AL199" s="155"/>
      <c r="AM199" s="155"/>
      <c r="AN199" s="155"/>
      <c r="AO199" s="155"/>
      <c r="AP199" s="155"/>
      <c r="AQ199" s="155"/>
      <c r="AR199" s="155"/>
      <c r="AS199" s="155"/>
      <c r="AT199" s="155"/>
      <c r="AU199" s="155"/>
      <c r="AV199" s="155"/>
      <c r="AW199" s="155"/>
      <c r="AX199" s="155"/>
      <c r="AY199" s="155"/>
      <c r="AZ199" s="155"/>
      <c r="BA199" s="155"/>
      <c r="BB199" s="155"/>
      <c r="BC199" s="155"/>
      <c r="BD199" s="155"/>
      <c r="BE199" s="155"/>
      <c r="BF199" s="155"/>
      <c r="BG199" s="155"/>
      <c r="BH199" s="155"/>
      <c r="BI199" s="155"/>
      <c r="BJ199" s="155"/>
      <c r="BK199" s="155"/>
      <c r="BL199" s="155"/>
      <c r="BM199" s="155"/>
      <c r="BN199" s="155"/>
      <c r="BO199" s="155"/>
      <c r="BP199" s="155"/>
      <c r="BQ199" s="155"/>
      <c r="BR199" s="155"/>
      <c r="BS199" s="155"/>
      <c r="BT199" s="155"/>
      <c r="BU199" s="155"/>
      <c r="BV199" s="155"/>
      <c r="BW199" s="155"/>
      <c r="BX199" s="155"/>
      <c r="BY199" s="155"/>
      <c r="BZ199" s="155"/>
      <c r="CA199" s="155"/>
      <c r="CB199" s="155"/>
      <c r="CC199" s="155"/>
      <c r="CD199" s="155"/>
      <c r="CE199" s="155"/>
      <c r="CF199" s="155"/>
      <c r="CG199" s="155"/>
    </row>
    <row r="200" spans="1:85" ht="12.75" x14ac:dyDescent="0.2">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c r="AA200" s="155"/>
      <c r="AB200" s="155"/>
      <c r="AC200" s="155"/>
      <c r="AD200" s="155"/>
      <c r="AE200" s="155"/>
      <c r="AF200" s="155"/>
      <c r="AG200" s="155"/>
      <c r="AH200" s="155"/>
      <c r="AI200" s="155"/>
      <c r="AJ200" s="155"/>
      <c r="AK200" s="155"/>
      <c r="AL200" s="155"/>
      <c r="AM200" s="155"/>
      <c r="AN200" s="155"/>
      <c r="AO200" s="155"/>
      <c r="AP200" s="155"/>
      <c r="AQ200" s="155"/>
      <c r="AR200" s="155"/>
      <c r="AS200" s="155"/>
      <c r="AT200" s="155"/>
      <c r="AU200" s="155"/>
      <c r="AV200" s="155"/>
      <c r="AW200" s="155"/>
      <c r="AX200" s="155"/>
      <c r="AY200" s="155"/>
      <c r="AZ200" s="155"/>
      <c r="BA200" s="155"/>
      <c r="BB200" s="155"/>
      <c r="BC200" s="155"/>
      <c r="BD200" s="155"/>
      <c r="BE200" s="155"/>
      <c r="BF200" s="155"/>
      <c r="BG200" s="155"/>
      <c r="BH200" s="155"/>
      <c r="BI200" s="155"/>
      <c r="BJ200" s="155"/>
      <c r="BK200" s="155"/>
      <c r="BL200" s="155"/>
      <c r="BM200" s="155"/>
      <c r="BN200" s="155"/>
      <c r="BO200" s="155"/>
      <c r="BP200" s="155"/>
      <c r="BQ200" s="155"/>
      <c r="BR200" s="155"/>
      <c r="BS200" s="155"/>
      <c r="BT200" s="155"/>
      <c r="BU200" s="155"/>
      <c r="BV200" s="155"/>
      <c r="BW200" s="155"/>
      <c r="BX200" s="155"/>
      <c r="BY200" s="155"/>
      <c r="BZ200" s="155"/>
      <c r="CA200" s="155"/>
      <c r="CB200" s="155"/>
      <c r="CC200" s="155"/>
      <c r="CD200" s="155"/>
      <c r="CE200" s="155"/>
      <c r="CF200" s="155"/>
      <c r="CG200" s="155"/>
    </row>
    <row r="201" spans="1:85" ht="12.75" x14ac:dyDescent="0.2">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55"/>
      <c r="AD201" s="155"/>
      <c r="AE201" s="155"/>
      <c r="AF201" s="155"/>
      <c r="AG201" s="155"/>
      <c r="AH201" s="155"/>
      <c r="AI201" s="155"/>
      <c r="AJ201" s="155"/>
      <c r="AK201" s="155"/>
      <c r="AL201" s="155"/>
      <c r="AM201" s="155"/>
      <c r="AN201" s="155"/>
      <c r="AO201" s="155"/>
      <c r="AP201" s="155"/>
      <c r="AQ201" s="155"/>
      <c r="AR201" s="155"/>
      <c r="AS201" s="155"/>
      <c r="AT201" s="155"/>
      <c r="AU201" s="155"/>
      <c r="AV201" s="155"/>
      <c r="AW201" s="155"/>
      <c r="AX201" s="155"/>
      <c r="AY201" s="155"/>
      <c r="AZ201" s="155"/>
      <c r="BA201" s="155"/>
      <c r="BB201" s="155"/>
      <c r="BC201" s="155"/>
      <c r="BD201" s="155"/>
      <c r="BE201" s="155"/>
      <c r="BF201" s="155"/>
      <c r="BG201" s="155"/>
      <c r="BH201" s="155"/>
      <c r="BI201" s="155"/>
      <c r="BJ201" s="155"/>
      <c r="BK201" s="155"/>
      <c r="BL201" s="155"/>
      <c r="BM201" s="155"/>
      <c r="BN201" s="155"/>
      <c r="BO201" s="155"/>
      <c r="BP201" s="155"/>
      <c r="BQ201" s="155"/>
      <c r="BR201" s="155"/>
      <c r="BS201" s="155"/>
      <c r="BT201" s="155"/>
      <c r="BU201" s="155"/>
      <c r="BV201" s="155"/>
      <c r="BW201" s="155"/>
      <c r="BX201" s="155"/>
      <c r="BY201" s="155"/>
      <c r="BZ201" s="155"/>
      <c r="CA201" s="155"/>
      <c r="CB201" s="155"/>
      <c r="CC201" s="155"/>
      <c r="CD201" s="155"/>
      <c r="CE201" s="155"/>
      <c r="CF201" s="155"/>
      <c r="CG201" s="155"/>
    </row>
    <row r="202" spans="1:85" ht="12.75" x14ac:dyDescent="0.2">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c r="AA202" s="155"/>
      <c r="AB202" s="155"/>
      <c r="AC202" s="155"/>
      <c r="AD202" s="155"/>
      <c r="AE202" s="155"/>
      <c r="AF202" s="155"/>
      <c r="AG202" s="155"/>
      <c r="AH202" s="155"/>
      <c r="AI202" s="155"/>
      <c r="AJ202" s="155"/>
      <c r="AK202" s="155"/>
      <c r="AL202" s="155"/>
      <c r="AM202" s="155"/>
      <c r="AN202" s="155"/>
      <c r="AO202" s="155"/>
      <c r="AP202" s="155"/>
      <c r="AQ202" s="155"/>
      <c r="AR202" s="155"/>
      <c r="AS202" s="155"/>
      <c r="AT202" s="155"/>
      <c r="AU202" s="155"/>
      <c r="AV202" s="155"/>
      <c r="AW202" s="155"/>
      <c r="AX202" s="155"/>
      <c r="AY202" s="155"/>
      <c r="AZ202" s="155"/>
      <c r="BA202" s="155"/>
      <c r="BB202" s="155"/>
      <c r="BC202" s="155"/>
      <c r="BD202" s="155"/>
      <c r="BE202" s="155"/>
      <c r="BF202" s="155"/>
      <c r="BG202" s="155"/>
      <c r="BH202" s="155"/>
      <c r="BI202" s="155"/>
      <c r="BJ202" s="155"/>
      <c r="BK202" s="155"/>
      <c r="BL202" s="155"/>
      <c r="BM202" s="155"/>
      <c r="BN202" s="155"/>
      <c r="BO202" s="155"/>
      <c r="BP202" s="155"/>
      <c r="BQ202" s="155"/>
      <c r="BR202" s="155"/>
      <c r="BS202" s="155"/>
      <c r="BT202" s="155"/>
      <c r="BU202" s="155"/>
      <c r="BV202" s="155"/>
      <c r="BW202" s="155"/>
      <c r="BX202" s="155"/>
      <c r="BY202" s="155"/>
      <c r="BZ202" s="155"/>
      <c r="CA202" s="155"/>
      <c r="CB202" s="155"/>
      <c r="CC202" s="155"/>
      <c r="CD202" s="155"/>
      <c r="CE202" s="155"/>
      <c r="CF202" s="155"/>
      <c r="CG202" s="155"/>
    </row>
    <row r="203" spans="1:85" ht="12.75" x14ac:dyDescent="0.2">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c r="AA203" s="155"/>
      <c r="AB203" s="155"/>
      <c r="AC203" s="155"/>
      <c r="AD203" s="155"/>
      <c r="AE203" s="155"/>
      <c r="AF203" s="155"/>
      <c r="AG203" s="155"/>
      <c r="AH203" s="155"/>
      <c r="AI203" s="155"/>
      <c r="AJ203" s="155"/>
      <c r="AK203" s="155"/>
      <c r="AL203" s="155"/>
      <c r="AM203" s="155"/>
      <c r="AN203" s="155"/>
      <c r="AO203" s="155"/>
      <c r="AP203" s="155"/>
      <c r="AQ203" s="155"/>
      <c r="AR203" s="155"/>
      <c r="AS203" s="155"/>
      <c r="AT203" s="155"/>
      <c r="AU203" s="155"/>
      <c r="AV203" s="155"/>
      <c r="AW203" s="155"/>
      <c r="AX203" s="155"/>
      <c r="AY203" s="155"/>
      <c r="AZ203" s="155"/>
      <c r="BA203" s="155"/>
      <c r="BB203" s="155"/>
      <c r="BC203" s="155"/>
      <c r="BD203" s="155"/>
      <c r="BE203" s="155"/>
      <c r="BF203" s="155"/>
      <c r="BG203" s="155"/>
      <c r="BH203" s="155"/>
      <c r="BI203" s="155"/>
      <c r="BJ203" s="155"/>
      <c r="BK203" s="155"/>
      <c r="BL203" s="155"/>
      <c r="BM203" s="155"/>
      <c r="BN203" s="155"/>
      <c r="BO203" s="155"/>
      <c r="BP203" s="155"/>
      <c r="BQ203" s="155"/>
      <c r="BR203" s="155"/>
      <c r="BS203" s="155"/>
      <c r="BT203" s="155"/>
      <c r="BU203" s="155"/>
      <c r="BV203" s="155"/>
      <c r="BW203" s="155"/>
      <c r="BX203" s="155"/>
      <c r="BY203" s="155"/>
      <c r="BZ203" s="155"/>
      <c r="CA203" s="155"/>
      <c r="CB203" s="155"/>
      <c r="CC203" s="155"/>
      <c r="CD203" s="155"/>
      <c r="CE203" s="155"/>
      <c r="CF203" s="155"/>
      <c r="CG203" s="155"/>
    </row>
    <row r="204" spans="1:85" ht="12.75" x14ac:dyDescent="0.2">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c r="AA204" s="155"/>
      <c r="AB204" s="155"/>
      <c r="AC204" s="155"/>
      <c r="AD204" s="155"/>
      <c r="AE204" s="155"/>
      <c r="AF204" s="155"/>
      <c r="AG204" s="155"/>
      <c r="AH204" s="155"/>
      <c r="AI204" s="155"/>
      <c r="AJ204" s="155"/>
      <c r="AK204" s="155"/>
      <c r="AL204" s="155"/>
      <c r="AM204" s="155"/>
      <c r="AN204" s="155"/>
      <c r="AO204" s="155"/>
      <c r="AP204" s="155"/>
      <c r="AQ204" s="155"/>
      <c r="AR204" s="155"/>
      <c r="AS204" s="155"/>
      <c r="AT204" s="155"/>
      <c r="AU204" s="155"/>
      <c r="AV204" s="155"/>
      <c r="AW204" s="155"/>
      <c r="AX204" s="155"/>
      <c r="AY204" s="155"/>
      <c r="AZ204" s="155"/>
      <c r="BA204" s="155"/>
      <c r="BB204" s="155"/>
      <c r="BC204" s="155"/>
      <c r="BD204" s="155"/>
      <c r="BE204" s="155"/>
      <c r="BF204" s="155"/>
      <c r="BG204" s="155"/>
      <c r="BH204" s="155"/>
      <c r="BI204" s="155"/>
      <c r="BJ204" s="155"/>
      <c r="BK204" s="155"/>
      <c r="BL204" s="155"/>
      <c r="BM204" s="155"/>
      <c r="BN204" s="155"/>
      <c r="BO204" s="155"/>
      <c r="BP204" s="155"/>
      <c r="BQ204" s="155"/>
      <c r="BR204" s="155"/>
      <c r="BS204" s="155"/>
      <c r="BT204" s="155"/>
      <c r="BU204" s="155"/>
      <c r="BV204" s="155"/>
      <c r="BW204" s="155"/>
      <c r="BX204" s="155"/>
      <c r="BY204" s="155"/>
      <c r="BZ204" s="155"/>
      <c r="CA204" s="155"/>
      <c r="CB204" s="155"/>
      <c r="CC204" s="155"/>
      <c r="CD204" s="155"/>
      <c r="CE204" s="155"/>
      <c r="CF204" s="155"/>
      <c r="CG204" s="155"/>
    </row>
    <row r="205" spans="1:85" ht="12.75" x14ac:dyDescent="0.2">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c r="AA205" s="155"/>
      <c r="AB205" s="155"/>
      <c r="AC205" s="155"/>
      <c r="AD205" s="155"/>
      <c r="AE205" s="155"/>
      <c r="AF205" s="155"/>
      <c r="AG205" s="155"/>
      <c r="AH205" s="155"/>
      <c r="AI205" s="155"/>
      <c r="AJ205" s="155"/>
      <c r="AK205" s="155"/>
      <c r="AL205" s="155"/>
      <c r="AM205" s="155"/>
      <c r="AN205" s="155"/>
      <c r="AO205" s="155"/>
      <c r="AP205" s="155"/>
      <c r="AQ205" s="155"/>
      <c r="AR205" s="155"/>
      <c r="AS205" s="155"/>
      <c r="AT205" s="155"/>
      <c r="AU205" s="155"/>
      <c r="AV205" s="155"/>
      <c r="AW205" s="155"/>
      <c r="AX205" s="155"/>
      <c r="AY205" s="155"/>
      <c r="AZ205" s="155"/>
      <c r="BA205" s="155"/>
      <c r="BB205" s="155"/>
      <c r="BC205" s="155"/>
      <c r="BD205" s="155"/>
      <c r="BE205" s="155"/>
      <c r="BF205" s="155"/>
      <c r="BG205" s="155"/>
      <c r="BH205" s="155"/>
      <c r="BI205" s="155"/>
      <c r="BJ205" s="155"/>
      <c r="BK205" s="155"/>
      <c r="BL205" s="155"/>
      <c r="BM205" s="155"/>
      <c r="BN205" s="155"/>
      <c r="BO205" s="155"/>
      <c r="BP205" s="155"/>
      <c r="BQ205" s="155"/>
      <c r="BR205" s="155"/>
      <c r="BS205" s="155"/>
      <c r="BT205" s="155"/>
      <c r="BU205" s="155"/>
      <c r="BV205" s="155"/>
      <c r="BW205" s="155"/>
      <c r="BX205" s="155"/>
      <c r="BY205" s="155"/>
      <c r="BZ205" s="155"/>
      <c r="CA205" s="155"/>
      <c r="CB205" s="155"/>
      <c r="CC205" s="155"/>
      <c r="CD205" s="155"/>
      <c r="CE205" s="155"/>
      <c r="CF205" s="155"/>
      <c r="CG205" s="155"/>
    </row>
    <row r="206" spans="1:85" ht="12.75" x14ac:dyDescent="0.2">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c r="AA206" s="155"/>
      <c r="AB206" s="155"/>
      <c r="AC206" s="155"/>
      <c r="AD206" s="155"/>
      <c r="AE206" s="155"/>
      <c r="AF206" s="155"/>
      <c r="AG206" s="155"/>
      <c r="AH206" s="155"/>
      <c r="AI206" s="155"/>
      <c r="AJ206" s="155"/>
      <c r="AK206" s="155"/>
      <c r="AL206" s="155"/>
      <c r="AM206" s="155"/>
      <c r="AN206" s="155"/>
      <c r="AO206" s="155"/>
      <c r="AP206" s="155"/>
      <c r="AQ206" s="155"/>
      <c r="AR206" s="155"/>
      <c r="AS206" s="155"/>
      <c r="AT206" s="155"/>
      <c r="AU206" s="155"/>
      <c r="AV206" s="155"/>
      <c r="AW206" s="155"/>
      <c r="AX206" s="155"/>
      <c r="AY206" s="155"/>
      <c r="AZ206" s="155"/>
      <c r="BA206" s="155"/>
      <c r="BB206" s="155"/>
      <c r="BC206" s="155"/>
      <c r="BD206" s="155"/>
      <c r="BE206" s="155"/>
      <c r="BF206" s="155"/>
      <c r="BG206" s="155"/>
      <c r="BH206" s="155"/>
      <c r="BI206" s="155"/>
      <c r="BJ206" s="155"/>
      <c r="BK206" s="155"/>
      <c r="BL206" s="155"/>
      <c r="BM206" s="155"/>
      <c r="BN206" s="155"/>
      <c r="BO206" s="155"/>
      <c r="BP206" s="155"/>
      <c r="BQ206" s="155"/>
      <c r="BR206" s="155"/>
      <c r="BS206" s="155"/>
      <c r="BT206" s="155"/>
      <c r="BU206" s="155"/>
      <c r="BV206" s="155"/>
      <c r="BW206" s="155"/>
      <c r="BX206" s="155"/>
      <c r="BY206" s="155"/>
      <c r="BZ206" s="155"/>
      <c r="CA206" s="155"/>
      <c r="CB206" s="155"/>
      <c r="CC206" s="155"/>
      <c r="CD206" s="155"/>
      <c r="CE206" s="155"/>
      <c r="CF206" s="155"/>
      <c r="CG206" s="155"/>
    </row>
    <row r="207" spans="1:85" ht="12.75" x14ac:dyDescent="0.2">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row>
    <row r="208" spans="1:85" ht="12.75" x14ac:dyDescent="0.2">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c r="AA208" s="155"/>
      <c r="AB208" s="155"/>
      <c r="AC208" s="155"/>
      <c r="AD208" s="155"/>
      <c r="AE208" s="155"/>
      <c r="AF208" s="155"/>
      <c r="AG208" s="155"/>
      <c r="AH208" s="155"/>
      <c r="AI208" s="155"/>
      <c r="AJ208" s="155"/>
      <c r="AK208" s="155"/>
      <c r="AL208" s="155"/>
      <c r="AM208" s="155"/>
      <c r="AN208" s="155"/>
      <c r="AO208" s="155"/>
      <c r="AP208" s="155"/>
      <c r="AQ208" s="155"/>
      <c r="AR208" s="155"/>
      <c r="AS208" s="155"/>
      <c r="AT208" s="155"/>
      <c r="AU208" s="155"/>
      <c r="AV208" s="155"/>
      <c r="AW208" s="155"/>
      <c r="AX208" s="155"/>
      <c r="AY208" s="155"/>
      <c r="AZ208" s="155"/>
      <c r="BA208" s="155"/>
      <c r="BB208" s="155"/>
      <c r="BC208" s="155"/>
      <c r="BD208" s="155"/>
      <c r="BE208" s="155"/>
      <c r="BF208" s="155"/>
      <c r="BG208" s="155"/>
      <c r="BH208" s="155"/>
      <c r="BI208" s="155"/>
      <c r="BJ208" s="155"/>
      <c r="BK208" s="155"/>
      <c r="BL208" s="155"/>
      <c r="BM208" s="155"/>
      <c r="BN208" s="155"/>
      <c r="BO208" s="155"/>
      <c r="BP208" s="155"/>
      <c r="BQ208" s="155"/>
      <c r="BR208" s="155"/>
      <c r="BS208" s="155"/>
      <c r="BT208" s="155"/>
      <c r="BU208" s="155"/>
      <c r="BV208" s="155"/>
      <c r="BW208" s="155"/>
      <c r="BX208" s="155"/>
      <c r="BY208" s="155"/>
      <c r="BZ208" s="155"/>
      <c r="CA208" s="155"/>
      <c r="CB208" s="155"/>
      <c r="CC208" s="155"/>
      <c r="CD208" s="155"/>
      <c r="CE208" s="155"/>
      <c r="CF208" s="155"/>
      <c r="CG208" s="155"/>
    </row>
    <row r="209" spans="1:85" ht="12.75" x14ac:dyDescent="0.2">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c r="AA209" s="155"/>
      <c r="AB209" s="155"/>
      <c r="AC209" s="155"/>
      <c r="AD209" s="155"/>
      <c r="AE209" s="155"/>
      <c r="AF209" s="155"/>
      <c r="AG209" s="155"/>
      <c r="AH209" s="155"/>
      <c r="AI209" s="155"/>
      <c r="AJ209" s="155"/>
      <c r="AK209" s="155"/>
      <c r="AL209" s="155"/>
      <c r="AM209" s="155"/>
      <c r="AN209" s="155"/>
      <c r="AO209" s="155"/>
      <c r="AP209" s="155"/>
      <c r="AQ209" s="155"/>
      <c r="AR209" s="155"/>
      <c r="AS209" s="155"/>
      <c r="AT209" s="155"/>
      <c r="AU209" s="155"/>
      <c r="AV209" s="155"/>
      <c r="AW209" s="155"/>
      <c r="AX209" s="155"/>
      <c r="AY209" s="155"/>
      <c r="AZ209" s="155"/>
      <c r="BA209" s="155"/>
      <c r="BB209" s="155"/>
      <c r="BC209" s="155"/>
      <c r="BD209" s="155"/>
      <c r="BE209" s="155"/>
      <c r="BF209" s="155"/>
      <c r="BG209" s="155"/>
      <c r="BH209" s="155"/>
      <c r="BI209" s="155"/>
      <c r="BJ209" s="155"/>
      <c r="BK209" s="155"/>
      <c r="BL209" s="155"/>
      <c r="BM209" s="155"/>
      <c r="BN209" s="155"/>
      <c r="BO209" s="155"/>
      <c r="BP209" s="155"/>
      <c r="BQ209" s="155"/>
      <c r="BR209" s="155"/>
      <c r="BS209" s="155"/>
      <c r="BT209" s="155"/>
      <c r="BU209" s="155"/>
      <c r="BV209" s="155"/>
      <c r="BW209" s="155"/>
      <c r="BX209" s="155"/>
      <c r="BY209" s="155"/>
      <c r="BZ209" s="155"/>
      <c r="CA209" s="155"/>
      <c r="CB209" s="155"/>
      <c r="CC209" s="155"/>
      <c r="CD209" s="155"/>
      <c r="CE209" s="155"/>
      <c r="CF209" s="155"/>
      <c r="CG209" s="155"/>
    </row>
    <row r="210" spans="1:85" ht="12.75" x14ac:dyDescent="0.2">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c r="AA210" s="155"/>
      <c r="AB210" s="155"/>
      <c r="AC210" s="155"/>
      <c r="AD210" s="155"/>
      <c r="AE210" s="155"/>
      <c r="AF210" s="155"/>
      <c r="AG210" s="155"/>
      <c r="AH210" s="155"/>
      <c r="AI210" s="155"/>
      <c r="AJ210" s="155"/>
      <c r="AK210" s="155"/>
      <c r="AL210" s="155"/>
      <c r="AM210" s="155"/>
      <c r="AN210" s="155"/>
      <c r="AO210" s="155"/>
      <c r="AP210" s="155"/>
      <c r="AQ210" s="155"/>
      <c r="AR210" s="155"/>
      <c r="AS210" s="155"/>
      <c r="AT210" s="155"/>
      <c r="AU210" s="155"/>
      <c r="AV210" s="155"/>
      <c r="AW210" s="155"/>
      <c r="AX210" s="155"/>
      <c r="AY210" s="155"/>
      <c r="AZ210" s="155"/>
      <c r="BA210" s="155"/>
      <c r="BB210" s="155"/>
      <c r="BC210" s="155"/>
      <c r="BD210" s="155"/>
      <c r="BE210" s="155"/>
      <c r="BF210" s="155"/>
      <c r="BG210" s="155"/>
      <c r="BH210" s="155"/>
      <c r="BI210" s="155"/>
      <c r="BJ210" s="155"/>
      <c r="BK210" s="155"/>
      <c r="BL210" s="155"/>
      <c r="BM210" s="155"/>
      <c r="BN210" s="155"/>
      <c r="BO210" s="155"/>
      <c r="BP210" s="155"/>
      <c r="BQ210" s="155"/>
      <c r="BR210" s="155"/>
      <c r="BS210" s="155"/>
      <c r="BT210" s="155"/>
      <c r="BU210" s="155"/>
      <c r="BV210" s="155"/>
      <c r="BW210" s="155"/>
      <c r="BX210" s="155"/>
      <c r="BY210" s="155"/>
      <c r="BZ210" s="155"/>
      <c r="CA210" s="155"/>
      <c r="CB210" s="155"/>
      <c r="CC210" s="155"/>
      <c r="CD210" s="155"/>
      <c r="CE210" s="155"/>
      <c r="CF210" s="155"/>
      <c r="CG210" s="155"/>
    </row>
    <row r="211" spans="1:85" ht="12.75" x14ac:dyDescent="0.2">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c r="AA211" s="155"/>
      <c r="AB211" s="155"/>
      <c r="AC211" s="155"/>
      <c r="AD211" s="155"/>
      <c r="AE211" s="155"/>
      <c r="AF211" s="155"/>
      <c r="AG211" s="155"/>
      <c r="AH211" s="155"/>
      <c r="AI211" s="155"/>
      <c r="AJ211" s="155"/>
      <c r="AK211" s="155"/>
      <c r="AL211" s="155"/>
      <c r="AM211" s="155"/>
      <c r="AN211" s="155"/>
      <c r="AO211" s="155"/>
      <c r="AP211" s="155"/>
      <c r="AQ211" s="155"/>
      <c r="AR211" s="155"/>
      <c r="AS211" s="155"/>
      <c r="AT211" s="155"/>
      <c r="AU211" s="155"/>
      <c r="AV211" s="155"/>
      <c r="AW211" s="155"/>
      <c r="AX211" s="155"/>
      <c r="AY211" s="155"/>
      <c r="AZ211" s="155"/>
      <c r="BA211" s="155"/>
      <c r="BB211" s="155"/>
      <c r="BC211" s="155"/>
      <c r="BD211" s="155"/>
      <c r="BE211" s="155"/>
      <c r="BF211" s="155"/>
      <c r="BG211" s="155"/>
      <c r="BH211" s="155"/>
      <c r="BI211" s="155"/>
      <c r="BJ211" s="155"/>
      <c r="BK211" s="155"/>
      <c r="BL211" s="155"/>
      <c r="BM211" s="155"/>
      <c r="BN211" s="155"/>
      <c r="BO211" s="155"/>
      <c r="BP211" s="155"/>
      <c r="BQ211" s="155"/>
      <c r="BR211" s="155"/>
      <c r="BS211" s="155"/>
      <c r="BT211" s="155"/>
      <c r="BU211" s="155"/>
      <c r="BV211" s="155"/>
      <c r="BW211" s="155"/>
      <c r="BX211" s="155"/>
      <c r="BY211" s="155"/>
      <c r="BZ211" s="155"/>
      <c r="CA211" s="155"/>
      <c r="CB211" s="155"/>
      <c r="CC211" s="155"/>
      <c r="CD211" s="155"/>
      <c r="CE211" s="155"/>
      <c r="CF211" s="155"/>
      <c r="CG211" s="155"/>
    </row>
    <row r="212" spans="1:85" ht="12.75" x14ac:dyDescent="0.2">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c r="AA212" s="155"/>
      <c r="AB212" s="155"/>
      <c r="AC212" s="155"/>
      <c r="AD212" s="155"/>
      <c r="AE212" s="155"/>
      <c r="AF212" s="155"/>
      <c r="AG212" s="155"/>
      <c r="AH212" s="155"/>
      <c r="AI212" s="155"/>
      <c r="AJ212" s="155"/>
      <c r="AK212" s="155"/>
      <c r="AL212" s="155"/>
      <c r="AM212" s="155"/>
      <c r="AN212" s="155"/>
      <c r="AO212" s="155"/>
      <c r="AP212" s="155"/>
      <c r="AQ212" s="155"/>
      <c r="AR212" s="155"/>
      <c r="AS212" s="155"/>
      <c r="AT212" s="155"/>
      <c r="AU212" s="155"/>
      <c r="AV212" s="155"/>
      <c r="AW212" s="155"/>
      <c r="AX212" s="155"/>
      <c r="AY212" s="155"/>
      <c r="AZ212" s="155"/>
      <c r="BA212" s="155"/>
      <c r="BB212" s="155"/>
      <c r="BC212" s="155"/>
      <c r="BD212" s="155"/>
      <c r="BE212" s="155"/>
      <c r="BF212" s="155"/>
      <c r="BG212" s="155"/>
      <c r="BH212" s="155"/>
      <c r="BI212" s="155"/>
      <c r="BJ212" s="155"/>
      <c r="BK212" s="155"/>
      <c r="BL212" s="155"/>
      <c r="BM212" s="155"/>
      <c r="BN212" s="155"/>
      <c r="BO212" s="155"/>
      <c r="BP212" s="155"/>
      <c r="BQ212" s="155"/>
      <c r="BR212" s="155"/>
      <c r="BS212" s="155"/>
      <c r="BT212" s="155"/>
      <c r="BU212" s="155"/>
      <c r="BV212" s="155"/>
      <c r="BW212" s="155"/>
      <c r="BX212" s="155"/>
      <c r="BY212" s="155"/>
      <c r="BZ212" s="155"/>
      <c r="CA212" s="155"/>
      <c r="CB212" s="155"/>
      <c r="CC212" s="155"/>
      <c r="CD212" s="155"/>
      <c r="CE212" s="155"/>
      <c r="CF212" s="155"/>
      <c r="CG212" s="155"/>
    </row>
    <row r="213" spans="1:85" ht="12.75" x14ac:dyDescent="0.2">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55"/>
      <c r="AH213" s="155"/>
      <c r="AI213" s="155"/>
      <c r="AJ213" s="155"/>
      <c r="AK213" s="155"/>
      <c r="AL213" s="155"/>
      <c r="AM213" s="155"/>
      <c r="AN213" s="155"/>
      <c r="AO213" s="155"/>
      <c r="AP213" s="155"/>
      <c r="AQ213" s="155"/>
      <c r="AR213" s="155"/>
      <c r="AS213" s="155"/>
      <c r="AT213" s="155"/>
      <c r="AU213" s="155"/>
      <c r="AV213" s="155"/>
      <c r="AW213" s="155"/>
      <c r="AX213" s="155"/>
      <c r="AY213" s="155"/>
      <c r="AZ213" s="155"/>
      <c r="BA213" s="155"/>
      <c r="BB213" s="155"/>
      <c r="BC213" s="155"/>
      <c r="BD213" s="155"/>
      <c r="BE213" s="155"/>
      <c r="BF213" s="155"/>
      <c r="BG213" s="155"/>
      <c r="BH213" s="155"/>
      <c r="BI213" s="155"/>
      <c r="BJ213" s="155"/>
      <c r="BK213" s="155"/>
      <c r="BL213" s="155"/>
      <c r="BM213" s="155"/>
      <c r="BN213" s="155"/>
      <c r="BO213" s="155"/>
      <c r="BP213" s="155"/>
      <c r="BQ213" s="155"/>
      <c r="BR213" s="155"/>
      <c r="BS213" s="155"/>
      <c r="BT213" s="155"/>
      <c r="BU213" s="155"/>
      <c r="BV213" s="155"/>
      <c r="BW213" s="155"/>
      <c r="BX213" s="155"/>
      <c r="BY213" s="155"/>
      <c r="BZ213" s="155"/>
      <c r="CA213" s="155"/>
      <c r="CB213" s="155"/>
      <c r="CC213" s="155"/>
      <c r="CD213" s="155"/>
      <c r="CE213" s="155"/>
      <c r="CF213" s="155"/>
      <c r="CG213" s="155"/>
    </row>
    <row r="214" spans="1:85" ht="12.75" x14ac:dyDescent="0.2">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55"/>
      <c r="AH214" s="155"/>
      <c r="AI214" s="155"/>
      <c r="AJ214" s="155"/>
      <c r="AK214" s="155"/>
      <c r="AL214" s="155"/>
      <c r="AM214" s="155"/>
      <c r="AN214" s="155"/>
      <c r="AO214" s="155"/>
      <c r="AP214" s="155"/>
      <c r="AQ214" s="155"/>
      <c r="AR214" s="155"/>
      <c r="AS214" s="155"/>
      <c r="AT214" s="155"/>
      <c r="AU214" s="155"/>
      <c r="AV214" s="155"/>
      <c r="AW214" s="155"/>
      <c r="AX214" s="155"/>
      <c r="AY214" s="155"/>
      <c r="AZ214" s="155"/>
      <c r="BA214" s="155"/>
      <c r="BB214" s="155"/>
      <c r="BC214" s="155"/>
      <c r="BD214" s="155"/>
      <c r="BE214" s="155"/>
      <c r="BF214" s="155"/>
      <c r="BG214" s="155"/>
      <c r="BH214" s="155"/>
      <c r="BI214" s="155"/>
      <c r="BJ214" s="155"/>
      <c r="BK214" s="155"/>
      <c r="BL214" s="155"/>
      <c r="BM214" s="155"/>
      <c r="BN214" s="155"/>
      <c r="BO214" s="155"/>
      <c r="BP214" s="155"/>
      <c r="BQ214" s="155"/>
      <c r="BR214" s="155"/>
      <c r="BS214" s="155"/>
      <c r="BT214" s="155"/>
      <c r="BU214" s="155"/>
      <c r="BV214" s="155"/>
      <c r="BW214" s="155"/>
      <c r="BX214" s="155"/>
      <c r="BY214" s="155"/>
      <c r="BZ214" s="155"/>
      <c r="CA214" s="155"/>
      <c r="CB214" s="155"/>
      <c r="CC214" s="155"/>
      <c r="CD214" s="155"/>
      <c r="CE214" s="155"/>
      <c r="CF214" s="155"/>
      <c r="CG214" s="155"/>
    </row>
    <row r="215" spans="1:85" ht="12.75" x14ac:dyDescent="0.2">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c r="AA215" s="155"/>
      <c r="AB215" s="155"/>
      <c r="AC215" s="155"/>
      <c r="AD215" s="155"/>
      <c r="AE215" s="155"/>
      <c r="AF215" s="155"/>
      <c r="AG215" s="155"/>
      <c r="AH215" s="155"/>
      <c r="AI215" s="155"/>
      <c r="AJ215" s="155"/>
      <c r="AK215" s="155"/>
      <c r="AL215" s="155"/>
      <c r="AM215" s="155"/>
      <c r="AN215" s="155"/>
      <c r="AO215" s="155"/>
      <c r="AP215" s="155"/>
      <c r="AQ215" s="155"/>
      <c r="AR215" s="155"/>
      <c r="AS215" s="155"/>
      <c r="AT215" s="155"/>
      <c r="AU215" s="155"/>
      <c r="AV215" s="155"/>
      <c r="AW215" s="155"/>
      <c r="AX215" s="155"/>
      <c r="AY215" s="155"/>
      <c r="AZ215" s="155"/>
      <c r="BA215" s="155"/>
      <c r="BB215" s="155"/>
      <c r="BC215" s="155"/>
      <c r="BD215" s="155"/>
      <c r="BE215" s="155"/>
      <c r="BF215" s="155"/>
      <c r="BG215" s="155"/>
      <c r="BH215" s="155"/>
      <c r="BI215" s="155"/>
      <c r="BJ215" s="155"/>
      <c r="BK215" s="155"/>
      <c r="BL215" s="155"/>
      <c r="BM215" s="155"/>
      <c r="BN215" s="155"/>
      <c r="BO215" s="155"/>
      <c r="BP215" s="155"/>
      <c r="BQ215" s="155"/>
      <c r="BR215" s="155"/>
      <c r="BS215" s="155"/>
      <c r="BT215" s="155"/>
      <c r="BU215" s="155"/>
      <c r="BV215" s="155"/>
      <c r="BW215" s="155"/>
      <c r="BX215" s="155"/>
      <c r="BY215" s="155"/>
      <c r="BZ215" s="155"/>
      <c r="CA215" s="155"/>
      <c r="CB215" s="155"/>
      <c r="CC215" s="155"/>
      <c r="CD215" s="155"/>
      <c r="CE215" s="155"/>
      <c r="CF215" s="155"/>
      <c r="CG215" s="155"/>
    </row>
    <row r="216" spans="1:85" ht="12.75" x14ac:dyDescent="0.2">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c r="AA216" s="155"/>
      <c r="AB216" s="155"/>
      <c r="AC216" s="155"/>
      <c r="AD216" s="155"/>
      <c r="AE216" s="155"/>
      <c r="AF216" s="155"/>
      <c r="AG216" s="155"/>
      <c r="AH216" s="155"/>
      <c r="AI216" s="155"/>
      <c r="AJ216" s="155"/>
      <c r="AK216" s="155"/>
      <c r="AL216" s="155"/>
      <c r="AM216" s="155"/>
      <c r="AN216" s="155"/>
      <c r="AO216" s="155"/>
      <c r="AP216" s="155"/>
      <c r="AQ216" s="155"/>
      <c r="AR216" s="155"/>
      <c r="AS216" s="155"/>
      <c r="AT216" s="155"/>
      <c r="AU216" s="155"/>
      <c r="AV216" s="155"/>
      <c r="AW216" s="155"/>
      <c r="AX216" s="155"/>
      <c r="AY216" s="155"/>
      <c r="AZ216" s="155"/>
      <c r="BA216" s="155"/>
      <c r="BB216" s="155"/>
      <c r="BC216" s="155"/>
      <c r="BD216" s="155"/>
      <c r="BE216" s="155"/>
      <c r="BF216" s="155"/>
      <c r="BG216" s="155"/>
      <c r="BH216" s="155"/>
      <c r="BI216" s="155"/>
      <c r="BJ216" s="155"/>
      <c r="BK216" s="155"/>
      <c r="BL216" s="155"/>
      <c r="BM216" s="155"/>
      <c r="BN216" s="155"/>
      <c r="BO216" s="155"/>
      <c r="BP216" s="155"/>
      <c r="BQ216" s="155"/>
      <c r="BR216" s="155"/>
      <c r="BS216" s="155"/>
      <c r="BT216" s="155"/>
      <c r="BU216" s="155"/>
      <c r="BV216" s="155"/>
      <c r="BW216" s="155"/>
      <c r="BX216" s="155"/>
      <c r="BY216" s="155"/>
      <c r="BZ216" s="155"/>
      <c r="CA216" s="155"/>
      <c r="CB216" s="155"/>
      <c r="CC216" s="155"/>
      <c r="CD216" s="155"/>
      <c r="CE216" s="155"/>
      <c r="CF216" s="155"/>
      <c r="CG216" s="155"/>
    </row>
    <row r="217" spans="1:85" ht="12.75" x14ac:dyDescent="0.2">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c r="AA217" s="155"/>
      <c r="AB217" s="155"/>
      <c r="AC217" s="155"/>
      <c r="AD217" s="155"/>
      <c r="AE217" s="155"/>
      <c r="AF217" s="155"/>
      <c r="AG217" s="155"/>
      <c r="AH217" s="155"/>
      <c r="AI217" s="155"/>
      <c r="AJ217" s="155"/>
      <c r="AK217" s="155"/>
      <c r="AL217" s="155"/>
      <c r="AM217" s="155"/>
      <c r="AN217" s="155"/>
      <c r="AO217" s="155"/>
      <c r="AP217" s="155"/>
      <c r="AQ217" s="155"/>
      <c r="AR217" s="155"/>
      <c r="AS217" s="155"/>
      <c r="AT217" s="155"/>
      <c r="AU217" s="155"/>
      <c r="AV217" s="155"/>
      <c r="AW217" s="155"/>
      <c r="AX217" s="155"/>
      <c r="AY217" s="155"/>
      <c r="AZ217" s="155"/>
      <c r="BA217" s="155"/>
      <c r="BB217" s="155"/>
      <c r="BC217" s="155"/>
      <c r="BD217" s="155"/>
      <c r="BE217" s="155"/>
      <c r="BF217" s="155"/>
      <c r="BG217" s="155"/>
      <c r="BH217" s="155"/>
      <c r="BI217" s="155"/>
      <c r="BJ217" s="155"/>
      <c r="BK217" s="155"/>
      <c r="BL217" s="155"/>
      <c r="BM217" s="155"/>
      <c r="BN217" s="155"/>
      <c r="BO217" s="155"/>
      <c r="BP217" s="155"/>
      <c r="BQ217" s="155"/>
      <c r="BR217" s="155"/>
      <c r="BS217" s="155"/>
      <c r="BT217" s="155"/>
      <c r="BU217" s="155"/>
      <c r="BV217" s="155"/>
      <c r="BW217" s="155"/>
      <c r="BX217" s="155"/>
      <c r="BY217" s="155"/>
      <c r="BZ217" s="155"/>
      <c r="CA217" s="155"/>
      <c r="CB217" s="155"/>
      <c r="CC217" s="155"/>
      <c r="CD217" s="155"/>
      <c r="CE217" s="155"/>
      <c r="CF217" s="155"/>
      <c r="CG217" s="155"/>
    </row>
    <row r="218" spans="1:85" ht="12.75" x14ac:dyDescent="0.2">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c r="AA218" s="155"/>
      <c r="AB218" s="155"/>
      <c r="AC218" s="155"/>
      <c r="AD218" s="155"/>
      <c r="AE218" s="155"/>
      <c r="AF218" s="155"/>
      <c r="AG218" s="155"/>
      <c r="AH218" s="155"/>
      <c r="AI218" s="155"/>
      <c r="AJ218" s="155"/>
      <c r="AK218" s="155"/>
      <c r="AL218" s="155"/>
      <c r="AM218" s="155"/>
      <c r="AN218" s="155"/>
      <c r="AO218" s="155"/>
      <c r="AP218" s="155"/>
      <c r="AQ218" s="155"/>
      <c r="AR218" s="155"/>
      <c r="AS218" s="155"/>
      <c r="AT218" s="155"/>
      <c r="AU218" s="155"/>
      <c r="AV218" s="155"/>
      <c r="AW218" s="155"/>
      <c r="AX218" s="155"/>
      <c r="AY218" s="155"/>
      <c r="AZ218" s="155"/>
      <c r="BA218" s="155"/>
      <c r="BB218" s="155"/>
      <c r="BC218" s="155"/>
      <c r="BD218" s="155"/>
      <c r="BE218" s="155"/>
      <c r="BF218" s="155"/>
      <c r="BG218" s="155"/>
      <c r="BH218" s="155"/>
      <c r="BI218" s="155"/>
      <c r="BJ218" s="155"/>
      <c r="BK218" s="155"/>
      <c r="BL218" s="155"/>
      <c r="BM218" s="155"/>
      <c r="BN218" s="155"/>
      <c r="BO218" s="155"/>
      <c r="BP218" s="155"/>
      <c r="BQ218" s="155"/>
      <c r="BR218" s="155"/>
      <c r="BS218" s="155"/>
      <c r="BT218" s="155"/>
      <c r="BU218" s="155"/>
      <c r="BV218" s="155"/>
      <c r="BW218" s="155"/>
      <c r="BX218" s="155"/>
      <c r="BY218" s="155"/>
      <c r="BZ218" s="155"/>
      <c r="CA218" s="155"/>
      <c r="CB218" s="155"/>
      <c r="CC218" s="155"/>
      <c r="CD218" s="155"/>
      <c r="CE218" s="155"/>
      <c r="CF218" s="155"/>
      <c r="CG218" s="155"/>
    </row>
    <row r="219" spans="1:85" ht="12.75" x14ac:dyDescent="0.2">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c r="AA219" s="155"/>
      <c r="AB219" s="155"/>
      <c r="AC219" s="155"/>
      <c r="AD219" s="155"/>
      <c r="AE219" s="155"/>
      <c r="AF219" s="155"/>
      <c r="AG219" s="155"/>
      <c r="AH219" s="155"/>
      <c r="AI219" s="155"/>
      <c r="AJ219" s="155"/>
      <c r="AK219" s="155"/>
      <c r="AL219" s="155"/>
      <c r="AM219" s="155"/>
      <c r="AN219" s="155"/>
      <c r="AO219" s="155"/>
      <c r="AP219" s="155"/>
      <c r="AQ219" s="155"/>
      <c r="AR219" s="155"/>
      <c r="AS219" s="155"/>
      <c r="AT219" s="155"/>
      <c r="AU219" s="155"/>
      <c r="AV219" s="155"/>
      <c r="AW219" s="155"/>
      <c r="AX219" s="155"/>
      <c r="AY219" s="155"/>
      <c r="AZ219" s="155"/>
      <c r="BA219" s="155"/>
      <c r="BB219" s="155"/>
      <c r="BC219" s="155"/>
      <c r="BD219" s="155"/>
      <c r="BE219" s="155"/>
      <c r="BF219" s="155"/>
      <c r="BG219" s="155"/>
      <c r="BH219" s="155"/>
      <c r="BI219" s="155"/>
      <c r="BJ219" s="155"/>
      <c r="BK219" s="155"/>
      <c r="BL219" s="155"/>
      <c r="BM219" s="155"/>
      <c r="BN219" s="155"/>
      <c r="BO219" s="155"/>
      <c r="BP219" s="155"/>
      <c r="BQ219" s="155"/>
      <c r="BR219" s="155"/>
      <c r="BS219" s="155"/>
      <c r="BT219" s="155"/>
      <c r="BU219" s="155"/>
      <c r="BV219" s="155"/>
      <c r="BW219" s="155"/>
      <c r="BX219" s="155"/>
      <c r="BY219" s="155"/>
      <c r="BZ219" s="155"/>
      <c r="CA219" s="155"/>
      <c r="CB219" s="155"/>
      <c r="CC219" s="155"/>
      <c r="CD219" s="155"/>
      <c r="CE219" s="155"/>
      <c r="CF219" s="155"/>
      <c r="CG219" s="155"/>
    </row>
    <row r="220" spans="1:85" ht="12.75" x14ac:dyDescent="0.2">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c r="AA220" s="155"/>
      <c r="AB220" s="155"/>
      <c r="AC220" s="155"/>
      <c r="AD220" s="155"/>
      <c r="AE220" s="155"/>
      <c r="AF220" s="155"/>
      <c r="AG220" s="155"/>
      <c r="AH220" s="155"/>
      <c r="AI220" s="155"/>
      <c r="AJ220" s="155"/>
      <c r="AK220" s="155"/>
      <c r="AL220" s="155"/>
      <c r="AM220" s="155"/>
      <c r="AN220" s="155"/>
      <c r="AO220" s="155"/>
      <c r="AP220" s="155"/>
      <c r="AQ220" s="155"/>
      <c r="AR220" s="155"/>
      <c r="AS220" s="155"/>
      <c r="AT220" s="155"/>
      <c r="AU220" s="155"/>
      <c r="AV220" s="155"/>
      <c r="AW220" s="155"/>
      <c r="AX220" s="155"/>
      <c r="AY220" s="155"/>
      <c r="AZ220" s="155"/>
      <c r="BA220" s="155"/>
      <c r="BB220" s="155"/>
      <c r="BC220" s="155"/>
      <c r="BD220" s="155"/>
      <c r="BE220" s="155"/>
      <c r="BF220" s="155"/>
      <c r="BG220" s="155"/>
      <c r="BH220" s="155"/>
      <c r="BI220" s="155"/>
      <c r="BJ220" s="155"/>
      <c r="BK220" s="155"/>
      <c r="BL220" s="155"/>
      <c r="BM220" s="155"/>
      <c r="BN220" s="155"/>
      <c r="BO220" s="155"/>
      <c r="BP220" s="155"/>
      <c r="BQ220" s="155"/>
      <c r="BR220" s="155"/>
      <c r="BS220" s="155"/>
      <c r="BT220" s="155"/>
      <c r="BU220" s="155"/>
      <c r="BV220" s="155"/>
      <c r="BW220" s="155"/>
      <c r="BX220" s="155"/>
      <c r="BY220" s="155"/>
      <c r="BZ220" s="155"/>
      <c r="CA220" s="155"/>
      <c r="CB220" s="155"/>
      <c r="CC220" s="155"/>
      <c r="CD220" s="155"/>
      <c r="CE220" s="155"/>
      <c r="CF220" s="155"/>
      <c r="CG220" s="155"/>
    </row>
    <row r="221" spans="1:85" ht="12.75" x14ac:dyDescent="0.2">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c r="AA221" s="155"/>
      <c r="AB221" s="155"/>
      <c r="AC221" s="155"/>
      <c r="AD221" s="155"/>
      <c r="AE221" s="155"/>
      <c r="AF221" s="155"/>
      <c r="AG221" s="155"/>
      <c r="AH221" s="155"/>
      <c r="AI221" s="155"/>
      <c r="AJ221" s="155"/>
      <c r="AK221" s="155"/>
      <c r="AL221" s="155"/>
      <c r="AM221" s="155"/>
      <c r="AN221" s="155"/>
      <c r="AO221" s="155"/>
      <c r="AP221" s="155"/>
      <c r="AQ221" s="155"/>
      <c r="AR221" s="155"/>
      <c r="AS221" s="155"/>
      <c r="AT221" s="155"/>
      <c r="AU221" s="155"/>
      <c r="AV221" s="155"/>
      <c r="AW221" s="155"/>
      <c r="AX221" s="155"/>
      <c r="AY221" s="155"/>
      <c r="AZ221" s="155"/>
      <c r="BA221" s="155"/>
      <c r="BB221" s="155"/>
      <c r="BC221" s="155"/>
      <c r="BD221" s="155"/>
      <c r="BE221" s="155"/>
      <c r="BF221" s="155"/>
      <c r="BG221" s="155"/>
      <c r="BH221" s="155"/>
      <c r="BI221" s="155"/>
      <c r="BJ221" s="155"/>
      <c r="BK221" s="155"/>
      <c r="BL221" s="155"/>
      <c r="BM221" s="155"/>
      <c r="BN221" s="155"/>
      <c r="BO221" s="155"/>
      <c r="BP221" s="155"/>
      <c r="BQ221" s="155"/>
      <c r="BR221" s="155"/>
      <c r="BS221" s="155"/>
      <c r="BT221" s="155"/>
      <c r="BU221" s="155"/>
      <c r="BV221" s="155"/>
      <c r="BW221" s="155"/>
      <c r="BX221" s="155"/>
      <c r="BY221" s="155"/>
      <c r="BZ221" s="155"/>
      <c r="CA221" s="155"/>
      <c r="CB221" s="155"/>
      <c r="CC221" s="155"/>
      <c r="CD221" s="155"/>
      <c r="CE221" s="155"/>
      <c r="CF221" s="155"/>
      <c r="CG221" s="155"/>
    </row>
    <row r="222" spans="1:85" ht="12.75" x14ac:dyDescent="0.2">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c r="AA222" s="155"/>
      <c r="AB222" s="155"/>
      <c r="AC222" s="155"/>
      <c r="AD222" s="155"/>
      <c r="AE222" s="155"/>
      <c r="AF222" s="155"/>
      <c r="AG222" s="155"/>
      <c r="AH222" s="155"/>
      <c r="AI222" s="155"/>
      <c r="AJ222" s="155"/>
      <c r="AK222" s="155"/>
      <c r="AL222" s="155"/>
      <c r="AM222" s="155"/>
      <c r="AN222" s="155"/>
      <c r="AO222" s="155"/>
      <c r="AP222" s="155"/>
      <c r="AQ222" s="155"/>
      <c r="AR222" s="155"/>
      <c r="AS222" s="155"/>
      <c r="AT222" s="155"/>
      <c r="AU222" s="155"/>
      <c r="AV222" s="155"/>
      <c r="AW222" s="155"/>
      <c r="AX222" s="155"/>
      <c r="AY222" s="155"/>
      <c r="AZ222" s="155"/>
      <c r="BA222" s="155"/>
      <c r="BB222" s="155"/>
      <c r="BC222" s="155"/>
      <c r="BD222" s="155"/>
      <c r="BE222" s="155"/>
      <c r="BF222" s="155"/>
      <c r="BG222" s="155"/>
      <c r="BH222" s="155"/>
      <c r="BI222" s="155"/>
      <c r="BJ222" s="155"/>
      <c r="BK222" s="155"/>
      <c r="BL222" s="155"/>
      <c r="BM222" s="155"/>
      <c r="BN222" s="155"/>
      <c r="BO222" s="155"/>
      <c r="BP222" s="155"/>
      <c r="BQ222" s="155"/>
      <c r="BR222" s="155"/>
      <c r="BS222" s="155"/>
      <c r="BT222" s="155"/>
      <c r="BU222" s="155"/>
      <c r="BV222" s="155"/>
      <c r="BW222" s="155"/>
      <c r="BX222" s="155"/>
      <c r="BY222" s="155"/>
      <c r="BZ222" s="155"/>
      <c r="CA222" s="155"/>
      <c r="CB222" s="155"/>
      <c r="CC222" s="155"/>
      <c r="CD222" s="155"/>
      <c r="CE222" s="155"/>
      <c r="CF222" s="155"/>
      <c r="CG222" s="155"/>
    </row>
    <row r="223" spans="1:85" ht="12.75" x14ac:dyDescent="0.2">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c r="AA223" s="155"/>
      <c r="AB223" s="155"/>
      <c r="AC223" s="155"/>
      <c r="AD223" s="155"/>
      <c r="AE223" s="155"/>
      <c r="AF223" s="155"/>
      <c r="AG223" s="155"/>
      <c r="AH223" s="155"/>
      <c r="AI223" s="155"/>
      <c r="AJ223" s="155"/>
      <c r="AK223" s="155"/>
      <c r="AL223" s="155"/>
      <c r="AM223" s="155"/>
      <c r="AN223" s="155"/>
      <c r="AO223" s="155"/>
      <c r="AP223" s="155"/>
      <c r="AQ223" s="155"/>
      <c r="AR223" s="155"/>
      <c r="AS223" s="155"/>
      <c r="AT223" s="155"/>
      <c r="AU223" s="155"/>
      <c r="AV223" s="155"/>
      <c r="AW223" s="155"/>
      <c r="AX223" s="155"/>
      <c r="AY223" s="155"/>
      <c r="AZ223" s="155"/>
      <c r="BA223" s="155"/>
      <c r="BB223" s="155"/>
      <c r="BC223" s="155"/>
      <c r="BD223" s="155"/>
      <c r="BE223" s="155"/>
      <c r="BF223" s="155"/>
      <c r="BG223" s="155"/>
      <c r="BH223" s="155"/>
      <c r="BI223" s="155"/>
      <c r="BJ223" s="155"/>
      <c r="BK223" s="155"/>
      <c r="BL223" s="155"/>
      <c r="BM223" s="155"/>
      <c r="BN223" s="155"/>
      <c r="BO223" s="155"/>
      <c r="BP223" s="155"/>
      <c r="BQ223" s="155"/>
      <c r="BR223" s="155"/>
      <c r="BS223" s="155"/>
      <c r="BT223" s="155"/>
      <c r="BU223" s="155"/>
      <c r="BV223" s="155"/>
      <c r="BW223" s="155"/>
      <c r="BX223" s="155"/>
      <c r="BY223" s="155"/>
      <c r="BZ223" s="155"/>
      <c r="CA223" s="155"/>
      <c r="CB223" s="155"/>
      <c r="CC223" s="155"/>
      <c r="CD223" s="155"/>
      <c r="CE223" s="155"/>
      <c r="CF223" s="155"/>
      <c r="CG223" s="155"/>
    </row>
    <row r="224" spans="1:85" ht="12.75" x14ac:dyDescent="0.2">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c r="AA224" s="155"/>
      <c r="AB224" s="155"/>
      <c r="AC224" s="155"/>
      <c r="AD224" s="155"/>
      <c r="AE224" s="155"/>
      <c r="AF224" s="155"/>
      <c r="AG224" s="155"/>
      <c r="AH224" s="155"/>
      <c r="AI224" s="155"/>
      <c r="AJ224" s="155"/>
      <c r="AK224" s="155"/>
      <c r="AL224" s="155"/>
      <c r="AM224" s="155"/>
      <c r="AN224" s="155"/>
      <c r="AO224" s="155"/>
      <c r="AP224" s="155"/>
      <c r="AQ224" s="155"/>
      <c r="AR224" s="155"/>
      <c r="AS224" s="155"/>
      <c r="AT224" s="155"/>
      <c r="AU224" s="155"/>
      <c r="AV224" s="155"/>
      <c r="AW224" s="155"/>
      <c r="AX224" s="155"/>
      <c r="AY224" s="155"/>
      <c r="AZ224" s="155"/>
      <c r="BA224" s="155"/>
      <c r="BB224" s="155"/>
      <c r="BC224" s="155"/>
      <c r="BD224" s="155"/>
      <c r="BE224" s="155"/>
      <c r="BF224" s="155"/>
      <c r="BG224" s="155"/>
      <c r="BH224" s="155"/>
      <c r="BI224" s="155"/>
      <c r="BJ224" s="155"/>
      <c r="BK224" s="155"/>
      <c r="BL224" s="155"/>
      <c r="BM224" s="155"/>
      <c r="BN224" s="155"/>
      <c r="BO224" s="155"/>
      <c r="BP224" s="155"/>
      <c r="BQ224" s="155"/>
      <c r="BR224" s="155"/>
      <c r="BS224" s="155"/>
      <c r="BT224" s="155"/>
      <c r="BU224" s="155"/>
      <c r="BV224" s="155"/>
      <c r="BW224" s="155"/>
      <c r="BX224" s="155"/>
      <c r="BY224" s="155"/>
      <c r="BZ224" s="155"/>
      <c r="CA224" s="155"/>
      <c r="CB224" s="155"/>
      <c r="CC224" s="155"/>
      <c r="CD224" s="155"/>
      <c r="CE224" s="155"/>
      <c r="CF224" s="155"/>
      <c r="CG224" s="155"/>
    </row>
    <row r="225" spans="1:85" ht="12.75" x14ac:dyDescent="0.2">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c r="AA225" s="155"/>
      <c r="AB225" s="155"/>
      <c r="AC225" s="155"/>
      <c r="AD225" s="155"/>
      <c r="AE225" s="155"/>
      <c r="AF225" s="155"/>
      <c r="AG225" s="155"/>
      <c r="AH225" s="155"/>
      <c r="AI225" s="155"/>
      <c r="AJ225" s="155"/>
      <c r="AK225" s="155"/>
      <c r="AL225" s="155"/>
      <c r="AM225" s="155"/>
      <c r="AN225" s="155"/>
      <c r="AO225" s="155"/>
      <c r="AP225" s="155"/>
      <c r="AQ225" s="155"/>
      <c r="AR225" s="155"/>
      <c r="AS225" s="155"/>
      <c r="AT225" s="155"/>
      <c r="AU225" s="155"/>
      <c r="AV225" s="155"/>
      <c r="AW225" s="155"/>
      <c r="AX225" s="155"/>
      <c r="AY225" s="155"/>
      <c r="AZ225" s="155"/>
      <c r="BA225" s="155"/>
      <c r="BB225" s="155"/>
      <c r="BC225" s="155"/>
      <c r="BD225" s="155"/>
      <c r="BE225" s="155"/>
      <c r="BF225" s="155"/>
      <c r="BG225" s="155"/>
      <c r="BH225" s="155"/>
      <c r="BI225" s="155"/>
      <c r="BJ225" s="155"/>
      <c r="BK225" s="155"/>
      <c r="BL225" s="155"/>
      <c r="BM225" s="155"/>
      <c r="BN225" s="155"/>
      <c r="BO225" s="155"/>
      <c r="BP225" s="155"/>
      <c r="BQ225" s="155"/>
      <c r="BR225" s="155"/>
      <c r="BS225" s="155"/>
      <c r="BT225" s="155"/>
      <c r="BU225" s="155"/>
      <c r="BV225" s="155"/>
      <c r="BW225" s="155"/>
      <c r="BX225" s="155"/>
      <c r="BY225" s="155"/>
      <c r="BZ225" s="155"/>
      <c r="CA225" s="155"/>
      <c r="CB225" s="155"/>
      <c r="CC225" s="155"/>
      <c r="CD225" s="155"/>
      <c r="CE225" s="155"/>
      <c r="CF225" s="155"/>
      <c r="CG225" s="155"/>
    </row>
    <row r="226" spans="1:85" ht="12.75" x14ac:dyDescent="0.2">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c r="AA226" s="155"/>
      <c r="AB226" s="155"/>
      <c r="AC226" s="155"/>
      <c r="AD226" s="155"/>
      <c r="AE226" s="155"/>
      <c r="AF226" s="155"/>
      <c r="AG226" s="155"/>
      <c r="AH226" s="155"/>
      <c r="AI226" s="155"/>
      <c r="AJ226" s="155"/>
      <c r="AK226" s="155"/>
      <c r="AL226" s="155"/>
      <c r="AM226" s="155"/>
      <c r="AN226" s="155"/>
      <c r="AO226" s="155"/>
      <c r="AP226" s="155"/>
      <c r="AQ226" s="155"/>
      <c r="AR226" s="155"/>
      <c r="AS226" s="155"/>
      <c r="AT226" s="155"/>
      <c r="AU226" s="155"/>
      <c r="AV226" s="155"/>
      <c r="AW226" s="155"/>
      <c r="AX226" s="155"/>
      <c r="AY226" s="155"/>
      <c r="AZ226" s="155"/>
      <c r="BA226" s="155"/>
      <c r="BB226" s="155"/>
      <c r="BC226" s="155"/>
      <c r="BD226" s="155"/>
      <c r="BE226" s="155"/>
      <c r="BF226" s="155"/>
      <c r="BG226" s="155"/>
      <c r="BH226" s="155"/>
      <c r="BI226" s="155"/>
      <c r="BJ226" s="155"/>
      <c r="BK226" s="155"/>
      <c r="BL226" s="155"/>
      <c r="BM226" s="155"/>
      <c r="BN226" s="155"/>
      <c r="BO226" s="155"/>
      <c r="BP226" s="155"/>
      <c r="BQ226" s="155"/>
      <c r="BR226" s="155"/>
      <c r="BS226" s="155"/>
      <c r="BT226" s="155"/>
      <c r="BU226" s="155"/>
      <c r="BV226" s="155"/>
      <c r="BW226" s="155"/>
      <c r="BX226" s="155"/>
      <c r="BY226" s="155"/>
      <c r="BZ226" s="155"/>
      <c r="CA226" s="155"/>
      <c r="CB226" s="155"/>
      <c r="CC226" s="155"/>
      <c r="CD226" s="155"/>
      <c r="CE226" s="155"/>
      <c r="CF226" s="155"/>
      <c r="CG226" s="155"/>
    </row>
    <row r="227" spans="1:85" ht="12.75" x14ac:dyDescent="0.2">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c r="AA227" s="155"/>
      <c r="AB227" s="155"/>
      <c r="AC227" s="155"/>
      <c r="AD227" s="155"/>
      <c r="AE227" s="155"/>
      <c r="AF227" s="155"/>
      <c r="AG227" s="155"/>
      <c r="AH227" s="155"/>
      <c r="AI227" s="155"/>
      <c r="AJ227" s="155"/>
      <c r="AK227" s="155"/>
      <c r="AL227" s="155"/>
      <c r="AM227" s="155"/>
      <c r="AN227" s="155"/>
      <c r="AO227" s="155"/>
      <c r="AP227" s="155"/>
      <c r="AQ227" s="155"/>
      <c r="AR227" s="155"/>
      <c r="AS227" s="155"/>
      <c r="AT227" s="155"/>
      <c r="AU227" s="155"/>
      <c r="AV227" s="155"/>
      <c r="AW227" s="155"/>
      <c r="AX227" s="155"/>
      <c r="AY227" s="155"/>
      <c r="AZ227" s="155"/>
      <c r="BA227" s="155"/>
      <c r="BB227" s="155"/>
      <c r="BC227" s="155"/>
      <c r="BD227" s="155"/>
      <c r="BE227" s="155"/>
      <c r="BF227" s="155"/>
      <c r="BG227" s="155"/>
      <c r="BH227" s="155"/>
      <c r="BI227" s="155"/>
      <c r="BJ227" s="155"/>
      <c r="BK227" s="155"/>
      <c r="BL227" s="155"/>
      <c r="BM227" s="155"/>
      <c r="BN227" s="155"/>
      <c r="BO227" s="155"/>
      <c r="BP227" s="155"/>
      <c r="BQ227" s="155"/>
      <c r="BR227" s="155"/>
      <c r="BS227" s="155"/>
      <c r="BT227" s="155"/>
      <c r="BU227" s="155"/>
      <c r="BV227" s="155"/>
      <c r="BW227" s="155"/>
      <c r="BX227" s="155"/>
      <c r="BY227" s="155"/>
      <c r="BZ227" s="155"/>
      <c r="CA227" s="155"/>
      <c r="CB227" s="155"/>
      <c r="CC227" s="155"/>
      <c r="CD227" s="155"/>
      <c r="CE227" s="155"/>
      <c r="CF227" s="155"/>
      <c r="CG227" s="155"/>
    </row>
    <row r="228" spans="1:85" ht="12.75" x14ac:dyDescent="0.2">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c r="AA228" s="155"/>
      <c r="AB228" s="155"/>
      <c r="AC228" s="155"/>
      <c r="AD228" s="155"/>
      <c r="AE228" s="155"/>
      <c r="AF228" s="155"/>
      <c r="AG228" s="155"/>
      <c r="AH228" s="155"/>
      <c r="AI228" s="155"/>
      <c r="AJ228" s="155"/>
      <c r="AK228" s="155"/>
      <c r="AL228" s="155"/>
      <c r="AM228" s="155"/>
      <c r="AN228" s="155"/>
      <c r="AO228" s="155"/>
      <c r="AP228" s="155"/>
      <c r="AQ228" s="155"/>
      <c r="AR228" s="155"/>
      <c r="AS228" s="155"/>
      <c r="AT228" s="155"/>
      <c r="AU228" s="155"/>
      <c r="AV228" s="155"/>
      <c r="AW228" s="155"/>
      <c r="AX228" s="155"/>
      <c r="AY228" s="155"/>
      <c r="AZ228" s="155"/>
      <c r="BA228" s="155"/>
      <c r="BB228" s="155"/>
      <c r="BC228" s="155"/>
      <c r="BD228" s="155"/>
      <c r="BE228" s="155"/>
      <c r="BF228" s="155"/>
      <c r="BG228" s="155"/>
      <c r="BH228" s="155"/>
      <c r="BI228" s="155"/>
      <c r="BJ228" s="155"/>
      <c r="BK228" s="155"/>
      <c r="BL228" s="155"/>
      <c r="BM228" s="155"/>
      <c r="BN228" s="155"/>
      <c r="BO228" s="155"/>
      <c r="BP228" s="155"/>
      <c r="BQ228" s="155"/>
      <c r="BR228" s="155"/>
      <c r="BS228" s="155"/>
      <c r="BT228" s="155"/>
      <c r="BU228" s="155"/>
      <c r="BV228" s="155"/>
      <c r="BW228" s="155"/>
      <c r="BX228" s="155"/>
      <c r="BY228" s="155"/>
      <c r="BZ228" s="155"/>
      <c r="CA228" s="155"/>
      <c r="CB228" s="155"/>
      <c r="CC228" s="155"/>
      <c r="CD228" s="155"/>
      <c r="CE228" s="155"/>
      <c r="CF228" s="155"/>
      <c r="CG228" s="155"/>
    </row>
    <row r="229" spans="1:85" ht="12.75" x14ac:dyDescent="0.2">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c r="AA229" s="155"/>
      <c r="AB229" s="155"/>
      <c r="AC229" s="155"/>
      <c r="AD229" s="155"/>
      <c r="AE229" s="155"/>
      <c r="AF229" s="155"/>
      <c r="AG229" s="155"/>
      <c r="AH229" s="155"/>
      <c r="AI229" s="155"/>
      <c r="AJ229" s="155"/>
      <c r="AK229" s="155"/>
      <c r="AL229" s="155"/>
      <c r="AM229" s="155"/>
      <c r="AN229" s="155"/>
      <c r="AO229" s="155"/>
      <c r="AP229" s="155"/>
      <c r="AQ229" s="155"/>
      <c r="AR229" s="155"/>
      <c r="AS229" s="155"/>
      <c r="AT229" s="155"/>
      <c r="AU229" s="155"/>
      <c r="AV229" s="155"/>
      <c r="AW229" s="155"/>
      <c r="AX229" s="155"/>
      <c r="AY229" s="155"/>
      <c r="AZ229" s="155"/>
      <c r="BA229" s="155"/>
      <c r="BB229" s="155"/>
      <c r="BC229" s="155"/>
      <c r="BD229" s="155"/>
      <c r="BE229" s="155"/>
      <c r="BF229" s="155"/>
      <c r="BG229" s="155"/>
      <c r="BH229" s="155"/>
      <c r="BI229" s="155"/>
      <c r="BJ229" s="155"/>
      <c r="BK229" s="155"/>
      <c r="BL229" s="155"/>
      <c r="BM229" s="155"/>
      <c r="BN229" s="155"/>
      <c r="BO229" s="155"/>
      <c r="BP229" s="155"/>
      <c r="BQ229" s="155"/>
      <c r="BR229" s="155"/>
      <c r="BS229" s="155"/>
      <c r="BT229" s="155"/>
      <c r="BU229" s="155"/>
      <c r="BV229" s="155"/>
      <c r="BW229" s="155"/>
      <c r="BX229" s="155"/>
      <c r="BY229" s="155"/>
      <c r="BZ229" s="155"/>
      <c r="CA229" s="155"/>
      <c r="CB229" s="155"/>
      <c r="CC229" s="155"/>
      <c r="CD229" s="155"/>
      <c r="CE229" s="155"/>
      <c r="CF229" s="155"/>
      <c r="CG229" s="155"/>
    </row>
    <row r="230" spans="1:85" ht="12.75" x14ac:dyDescent="0.2">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c r="AA230" s="155"/>
      <c r="AB230" s="155"/>
      <c r="AC230" s="155"/>
      <c r="AD230" s="155"/>
      <c r="AE230" s="155"/>
      <c r="AF230" s="155"/>
      <c r="AG230" s="155"/>
      <c r="AH230" s="155"/>
      <c r="AI230" s="155"/>
      <c r="AJ230" s="155"/>
      <c r="AK230" s="155"/>
      <c r="AL230" s="155"/>
      <c r="AM230" s="155"/>
      <c r="AN230" s="155"/>
      <c r="AO230" s="155"/>
      <c r="AP230" s="155"/>
      <c r="AQ230" s="155"/>
      <c r="AR230" s="155"/>
      <c r="AS230" s="155"/>
      <c r="AT230" s="155"/>
      <c r="AU230" s="155"/>
      <c r="AV230" s="155"/>
      <c r="AW230" s="155"/>
      <c r="AX230" s="155"/>
      <c r="AY230" s="155"/>
      <c r="AZ230" s="155"/>
      <c r="BA230" s="155"/>
      <c r="BB230" s="155"/>
      <c r="BC230" s="155"/>
      <c r="BD230" s="155"/>
      <c r="BE230" s="155"/>
      <c r="BF230" s="155"/>
      <c r="BG230" s="155"/>
      <c r="BH230" s="155"/>
      <c r="BI230" s="155"/>
      <c r="BJ230" s="155"/>
      <c r="BK230" s="155"/>
      <c r="BL230" s="155"/>
      <c r="BM230" s="155"/>
      <c r="BN230" s="155"/>
      <c r="BO230" s="155"/>
      <c r="BP230" s="155"/>
      <c r="BQ230" s="155"/>
      <c r="BR230" s="155"/>
      <c r="BS230" s="155"/>
      <c r="BT230" s="155"/>
      <c r="BU230" s="155"/>
      <c r="BV230" s="155"/>
      <c r="BW230" s="155"/>
      <c r="BX230" s="155"/>
      <c r="BY230" s="155"/>
      <c r="BZ230" s="155"/>
      <c r="CA230" s="155"/>
      <c r="CB230" s="155"/>
      <c r="CC230" s="155"/>
      <c r="CD230" s="155"/>
      <c r="CE230" s="155"/>
      <c r="CF230" s="155"/>
      <c r="CG230" s="155"/>
    </row>
    <row r="231" spans="1:85" ht="12.75" x14ac:dyDescent="0.2">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c r="AA231" s="155"/>
      <c r="AB231" s="155"/>
      <c r="AC231" s="155"/>
      <c r="AD231" s="155"/>
      <c r="AE231" s="155"/>
      <c r="AF231" s="155"/>
      <c r="AG231" s="155"/>
      <c r="AH231" s="155"/>
      <c r="AI231" s="155"/>
      <c r="AJ231" s="155"/>
      <c r="AK231" s="155"/>
      <c r="AL231" s="155"/>
      <c r="AM231" s="155"/>
      <c r="AN231" s="155"/>
      <c r="AO231" s="155"/>
      <c r="AP231" s="155"/>
      <c r="AQ231" s="155"/>
      <c r="AR231" s="155"/>
      <c r="AS231" s="155"/>
      <c r="AT231" s="155"/>
      <c r="AU231" s="155"/>
      <c r="AV231" s="155"/>
      <c r="AW231" s="155"/>
      <c r="AX231" s="155"/>
      <c r="AY231" s="155"/>
      <c r="AZ231" s="155"/>
      <c r="BA231" s="155"/>
      <c r="BB231" s="155"/>
      <c r="BC231" s="155"/>
      <c r="BD231" s="155"/>
      <c r="BE231" s="155"/>
      <c r="BF231" s="155"/>
      <c r="BG231" s="155"/>
      <c r="BH231" s="155"/>
      <c r="BI231" s="155"/>
      <c r="BJ231" s="155"/>
      <c r="BK231" s="155"/>
      <c r="BL231" s="155"/>
      <c r="BM231" s="155"/>
      <c r="BN231" s="155"/>
      <c r="BO231" s="155"/>
      <c r="BP231" s="155"/>
      <c r="BQ231" s="155"/>
      <c r="BR231" s="155"/>
      <c r="BS231" s="155"/>
      <c r="BT231" s="155"/>
      <c r="BU231" s="155"/>
      <c r="BV231" s="155"/>
      <c r="BW231" s="155"/>
      <c r="BX231" s="155"/>
      <c r="BY231" s="155"/>
      <c r="BZ231" s="155"/>
      <c r="CA231" s="155"/>
      <c r="CB231" s="155"/>
      <c r="CC231" s="155"/>
      <c r="CD231" s="155"/>
      <c r="CE231" s="155"/>
      <c r="CF231" s="155"/>
      <c r="CG231" s="155"/>
    </row>
    <row r="232" spans="1:85" ht="12.75" x14ac:dyDescent="0.2">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c r="AA232" s="155"/>
      <c r="AB232" s="155"/>
      <c r="AC232" s="155"/>
      <c r="AD232" s="155"/>
      <c r="AE232" s="155"/>
      <c r="AF232" s="155"/>
      <c r="AG232" s="155"/>
      <c r="AH232" s="155"/>
      <c r="AI232" s="155"/>
      <c r="AJ232" s="155"/>
      <c r="AK232" s="155"/>
      <c r="AL232" s="155"/>
      <c r="AM232" s="155"/>
      <c r="AN232" s="155"/>
      <c r="AO232" s="155"/>
      <c r="AP232" s="155"/>
      <c r="AQ232" s="155"/>
      <c r="AR232" s="155"/>
      <c r="AS232" s="155"/>
      <c r="AT232" s="155"/>
      <c r="AU232" s="155"/>
      <c r="AV232" s="155"/>
      <c r="AW232" s="155"/>
      <c r="AX232" s="155"/>
      <c r="AY232" s="155"/>
      <c r="AZ232" s="155"/>
      <c r="BA232" s="155"/>
      <c r="BB232" s="155"/>
      <c r="BC232" s="155"/>
      <c r="BD232" s="155"/>
      <c r="BE232" s="155"/>
      <c r="BF232" s="155"/>
      <c r="BG232" s="155"/>
      <c r="BH232" s="155"/>
      <c r="BI232" s="155"/>
      <c r="BJ232" s="155"/>
      <c r="BK232" s="155"/>
      <c r="BL232" s="155"/>
      <c r="BM232" s="155"/>
      <c r="BN232" s="155"/>
      <c r="BO232" s="155"/>
      <c r="BP232" s="155"/>
      <c r="BQ232" s="155"/>
      <c r="BR232" s="155"/>
      <c r="BS232" s="155"/>
      <c r="BT232" s="155"/>
      <c r="BU232" s="155"/>
      <c r="BV232" s="155"/>
      <c r="BW232" s="155"/>
      <c r="BX232" s="155"/>
      <c r="BY232" s="155"/>
      <c r="BZ232" s="155"/>
      <c r="CA232" s="155"/>
      <c r="CB232" s="155"/>
      <c r="CC232" s="155"/>
      <c r="CD232" s="155"/>
      <c r="CE232" s="155"/>
      <c r="CF232" s="155"/>
      <c r="CG232" s="155"/>
    </row>
    <row r="233" spans="1:85" ht="12.75" x14ac:dyDescent="0.2">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c r="AA233" s="155"/>
      <c r="AB233" s="155"/>
      <c r="AC233" s="155"/>
      <c r="AD233" s="155"/>
      <c r="AE233" s="155"/>
      <c r="AF233" s="155"/>
      <c r="AG233" s="155"/>
      <c r="AH233" s="155"/>
      <c r="AI233" s="155"/>
      <c r="AJ233" s="155"/>
      <c r="AK233" s="155"/>
      <c r="AL233" s="155"/>
      <c r="AM233" s="155"/>
      <c r="AN233" s="155"/>
      <c r="AO233" s="155"/>
      <c r="AP233" s="155"/>
      <c r="AQ233" s="155"/>
      <c r="AR233" s="155"/>
      <c r="AS233" s="155"/>
      <c r="AT233" s="155"/>
      <c r="AU233" s="155"/>
      <c r="AV233" s="155"/>
      <c r="AW233" s="155"/>
      <c r="AX233" s="155"/>
      <c r="AY233" s="155"/>
      <c r="AZ233" s="155"/>
      <c r="BA233" s="155"/>
      <c r="BB233" s="155"/>
      <c r="BC233" s="155"/>
      <c r="BD233" s="155"/>
      <c r="BE233" s="155"/>
      <c r="BF233" s="155"/>
      <c r="BG233" s="155"/>
      <c r="BH233" s="155"/>
      <c r="BI233" s="155"/>
      <c r="BJ233" s="155"/>
      <c r="BK233" s="155"/>
      <c r="BL233" s="155"/>
      <c r="BM233" s="155"/>
      <c r="BN233" s="155"/>
      <c r="BO233" s="155"/>
      <c r="BP233" s="155"/>
      <c r="BQ233" s="155"/>
      <c r="BR233" s="155"/>
      <c r="BS233" s="155"/>
      <c r="BT233" s="155"/>
      <c r="BU233" s="155"/>
      <c r="BV233" s="155"/>
      <c r="BW233" s="155"/>
      <c r="BX233" s="155"/>
      <c r="BY233" s="155"/>
      <c r="BZ233" s="155"/>
      <c r="CA233" s="155"/>
      <c r="CB233" s="155"/>
      <c r="CC233" s="155"/>
      <c r="CD233" s="155"/>
      <c r="CE233" s="155"/>
      <c r="CF233" s="155"/>
      <c r="CG233" s="155"/>
    </row>
    <row r="234" spans="1:85" ht="12.75" x14ac:dyDescent="0.2">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c r="AA234" s="155"/>
      <c r="AB234" s="155"/>
      <c r="AC234" s="155"/>
      <c r="AD234" s="155"/>
      <c r="AE234" s="155"/>
      <c r="AF234" s="155"/>
      <c r="AG234" s="155"/>
      <c r="AH234" s="155"/>
      <c r="AI234" s="155"/>
      <c r="AJ234" s="155"/>
      <c r="AK234" s="155"/>
      <c r="AL234" s="155"/>
      <c r="AM234" s="155"/>
      <c r="AN234" s="155"/>
      <c r="AO234" s="155"/>
      <c r="AP234" s="155"/>
      <c r="AQ234" s="155"/>
      <c r="AR234" s="155"/>
      <c r="AS234" s="155"/>
      <c r="AT234" s="155"/>
      <c r="AU234" s="155"/>
      <c r="AV234" s="155"/>
      <c r="AW234" s="155"/>
      <c r="AX234" s="155"/>
      <c r="AY234" s="155"/>
      <c r="AZ234" s="155"/>
      <c r="BA234" s="155"/>
      <c r="BB234" s="155"/>
      <c r="BC234" s="155"/>
      <c r="BD234" s="155"/>
      <c r="BE234" s="155"/>
      <c r="BF234" s="155"/>
      <c r="BG234" s="155"/>
      <c r="BH234" s="155"/>
      <c r="BI234" s="155"/>
      <c r="BJ234" s="155"/>
      <c r="BK234" s="155"/>
      <c r="BL234" s="155"/>
      <c r="BM234" s="155"/>
      <c r="BN234" s="155"/>
      <c r="BO234" s="155"/>
      <c r="BP234" s="155"/>
      <c r="BQ234" s="155"/>
      <c r="BR234" s="155"/>
      <c r="BS234" s="155"/>
      <c r="BT234" s="155"/>
      <c r="BU234" s="155"/>
      <c r="BV234" s="155"/>
      <c r="BW234" s="155"/>
      <c r="BX234" s="155"/>
      <c r="BY234" s="155"/>
      <c r="BZ234" s="155"/>
      <c r="CA234" s="155"/>
      <c r="CB234" s="155"/>
      <c r="CC234" s="155"/>
      <c r="CD234" s="155"/>
      <c r="CE234" s="155"/>
      <c r="CF234" s="155"/>
      <c r="CG234" s="155"/>
    </row>
    <row r="235" spans="1:85" ht="12.75" x14ac:dyDescent="0.2">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c r="AA235" s="155"/>
      <c r="AB235" s="155"/>
      <c r="AC235" s="155"/>
      <c r="AD235" s="155"/>
      <c r="AE235" s="155"/>
      <c r="AF235" s="155"/>
      <c r="AG235" s="155"/>
      <c r="AH235" s="155"/>
      <c r="AI235" s="155"/>
      <c r="AJ235" s="155"/>
      <c r="AK235" s="155"/>
      <c r="AL235" s="155"/>
      <c r="AM235" s="155"/>
      <c r="AN235" s="155"/>
      <c r="AO235" s="155"/>
      <c r="AP235" s="155"/>
      <c r="AQ235" s="155"/>
      <c r="AR235" s="155"/>
      <c r="AS235" s="155"/>
      <c r="AT235" s="155"/>
      <c r="AU235" s="155"/>
      <c r="AV235" s="155"/>
      <c r="AW235" s="155"/>
      <c r="AX235" s="155"/>
      <c r="AY235" s="155"/>
      <c r="AZ235" s="155"/>
      <c r="BA235" s="155"/>
      <c r="BB235" s="155"/>
      <c r="BC235" s="155"/>
      <c r="BD235" s="155"/>
      <c r="BE235" s="155"/>
      <c r="BF235" s="155"/>
      <c r="BG235" s="155"/>
      <c r="BH235" s="155"/>
      <c r="BI235" s="155"/>
      <c r="BJ235" s="155"/>
      <c r="BK235" s="155"/>
      <c r="BL235" s="155"/>
      <c r="BM235" s="155"/>
      <c r="BN235" s="155"/>
      <c r="BO235" s="155"/>
      <c r="BP235" s="155"/>
      <c r="BQ235" s="155"/>
      <c r="BR235" s="155"/>
      <c r="BS235" s="155"/>
      <c r="BT235" s="155"/>
      <c r="BU235" s="155"/>
      <c r="BV235" s="155"/>
      <c r="BW235" s="155"/>
      <c r="BX235" s="155"/>
      <c r="BY235" s="155"/>
      <c r="BZ235" s="155"/>
      <c r="CA235" s="155"/>
      <c r="CB235" s="155"/>
      <c r="CC235" s="155"/>
      <c r="CD235" s="155"/>
      <c r="CE235" s="155"/>
      <c r="CF235" s="155"/>
      <c r="CG235" s="155"/>
    </row>
    <row r="236" spans="1:85" ht="12.75" x14ac:dyDescent="0.2">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c r="AA236" s="155"/>
      <c r="AB236" s="155"/>
      <c r="AC236" s="155"/>
      <c r="AD236" s="155"/>
      <c r="AE236" s="155"/>
      <c r="AF236" s="155"/>
      <c r="AG236" s="155"/>
      <c r="AH236" s="155"/>
      <c r="AI236" s="155"/>
      <c r="AJ236" s="155"/>
      <c r="AK236" s="155"/>
      <c r="AL236" s="155"/>
      <c r="AM236" s="155"/>
      <c r="AN236" s="155"/>
      <c r="AO236" s="155"/>
      <c r="AP236" s="155"/>
      <c r="AQ236" s="155"/>
      <c r="AR236" s="155"/>
      <c r="AS236" s="155"/>
      <c r="AT236" s="155"/>
      <c r="AU236" s="155"/>
      <c r="AV236" s="155"/>
      <c r="AW236" s="155"/>
      <c r="AX236" s="155"/>
      <c r="AY236" s="155"/>
      <c r="AZ236" s="155"/>
      <c r="BA236" s="155"/>
      <c r="BB236" s="155"/>
      <c r="BC236" s="155"/>
      <c r="BD236" s="155"/>
      <c r="BE236" s="155"/>
      <c r="BF236" s="155"/>
      <c r="BG236" s="155"/>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row>
    <row r="237" spans="1:85" ht="12.75" x14ac:dyDescent="0.2">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c r="AA237" s="155"/>
      <c r="AB237" s="155"/>
      <c r="AC237" s="155"/>
      <c r="AD237" s="155"/>
      <c r="AE237" s="155"/>
      <c r="AF237" s="155"/>
      <c r="AG237" s="155"/>
      <c r="AH237" s="155"/>
      <c r="AI237" s="155"/>
      <c r="AJ237" s="155"/>
      <c r="AK237" s="155"/>
      <c r="AL237" s="155"/>
      <c r="AM237" s="155"/>
      <c r="AN237" s="155"/>
      <c r="AO237" s="155"/>
      <c r="AP237" s="155"/>
      <c r="AQ237" s="155"/>
      <c r="AR237" s="155"/>
      <c r="AS237" s="155"/>
      <c r="AT237" s="155"/>
      <c r="AU237" s="155"/>
      <c r="AV237" s="155"/>
      <c r="AW237" s="155"/>
      <c r="AX237" s="155"/>
      <c r="AY237" s="155"/>
      <c r="AZ237" s="155"/>
      <c r="BA237" s="155"/>
      <c r="BB237" s="155"/>
      <c r="BC237" s="155"/>
      <c r="BD237" s="155"/>
      <c r="BE237" s="155"/>
      <c r="BF237" s="155"/>
      <c r="BG237" s="155"/>
      <c r="BH237" s="155"/>
      <c r="BI237" s="155"/>
      <c r="BJ237" s="155"/>
      <c r="BK237" s="155"/>
      <c r="BL237" s="155"/>
      <c r="BM237" s="155"/>
      <c r="BN237" s="155"/>
      <c r="BO237" s="155"/>
      <c r="BP237" s="155"/>
      <c r="BQ237" s="155"/>
      <c r="BR237" s="155"/>
      <c r="BS237" s="155"/>
      <c r="BT237" s="155"/>
      <c r="BU237" s="155"/>
      <c r="BV237" s="155"/>
      <c r="BW237" s="155"/>
      <c r="BX237" s="155"/>
      <c r="BY237" s="155"/>
      <c r="BZ237" s="155"/>
      <c r="CA237" s="155"/>
      <c r="CB237" s="155"/>
      <c r="CC237" s="155"/>
      <c r="CD237" s="155"/>
      <c r="CE237" s="155"/>
      <c r="CF237" s="155"/>
      <c r="CG237" s="155"/>
    </row>
    <row r="238" spans="1:85" ht="12.75" x14ac:dyDescent="0.2">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c r="AA238" s="155"/>
      <c r="AB238" s="155"/>
      <c r="AC238" s="155"/>
      <c r="AD238" s="155"/>
      <c r="AE238" s="155"/>
      <c r="AF238" s="155"/>
      <c r="AG238" s="155"/>
      <c r="AH238" s="155"/>
      <c r="AI238" s="155"/>
      <c r="AJ238" s="155"/>
      <c r="AK238" s="155"/>
      <c r="AL238" s="155"/>
      <c r="AM238" s="155"/>
      <c r="AN238" s="155"/>
      <c r="AO238" s="155"/>
      <c r="AP238" s="155"/>
      <c r="AQ238" s="155"/>
      <c r="AR238" s="155"/>
      <c r="AS238" s="155"/>
      <c r="AT238" s="155"/>
      <c r="AU238" s="155"/>
      <c r="AV238" s="155"/>
      <c r="AW238" s="155"/>
      <c r="AX238" s="155"/>
      <c r="AY238" s="155"/>
      <c r="AZ238" s="155"/>
      <c r="BA238" s="155"/>
      <c r="BB238" s="155"/>
      <c r="BC238" s="155"/>
      <c r="BD238" s="155"/>
      <c r="BE238" s="155"/>
      <c r="BF238" s="155"/>
      <c r="BG238" s="155"/>
      <c r="BH238" s="155"/>
      <c r="BI238" s="155"/>
      <c r="BJ238" s="155"/>
      <c r="BK238" s="155"/>
      <c r="BL238" s="155"/>
      <c r="BM238" s="155"/>
      <c r="BN238" s="155"/>
      <c r="BO238" s="155"/>
      <c r="BP238" s="155"/>
      <c r="BQ238" s="155"/>
      <c r="BR238" s="155"/>
      <c r="BS238" s="155"/>
      <c r="BT238" s="155"/>
      <c r="BU238" s="155"/>
      <c r="BV238" s="155"/>
      <c r="BW238" s="155"/>
      <c r="BX238" s="155"/>
      <c r="BY238" s="155"/>
      <c r="BZ238" s="155"/>
      <c r="CA238" s="155"/>
      <c r="CB238" s="155"/>
      <c r="CC238" s="155"/>
      <c r="CD238" s="155"/>
      <c r="CE238" s="155"/>
      <c r="CF238" s="155"/>
      <c r="CG238" s="155"/>
    </row>
    <row r="239" spans="1:85" ht="12.75" x14ac:dyDescent="0.2">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c r="AA239" s="155"/>
      <c r="AB239" s="155"/>
      <c r="AC239" s="155"/>
      <c r="AD239" s="155"/>
      <c r="AE239" s="155"/>
      <c r="AF239" s="155"/>
      <c r="AG239" s="155"/>
      <c r="AH239" s="155"/>
      <c r="AI239" s="155"/>
      <c r="AJ239" s="155"/>
      <c r="AK239" s="155"/>
      <c r="AL239" s="155"/>
      <c r="AM239" s="155"/>
      <c r="AN239" s="155"/>
      <c r="AO239" s="155"/>
      <c r="AP239" s="155"/>
      <c r="AQ239" s="155"/>
      <c r="AR239" s="155"/>
      <c r="AS239" s="155"/>
      <c r="AT239" s="155"/>
      <c r="AU239" s="155"/>
      <c r="AV239" s="155"/>
      <c r="AW239" s="155"/>
      <c r="AX239" s="155"/>
      <c r="AY239" s="155"/>
      <c r="AZ239" s="155"/>
      <c r="BA239" s="155"/>
      <c r="BB239" s="155"/>
      <c r="BC239" s="155"/>
      <c r="BD239" s="155"/>
      <c r="BE239" s="155"/>
      <c r="BF239" s="155"/>
      <c r="BG239" s="155"/>
      <c r="BH239" s="155"/>
      <c r="BI239" s="155"/>
      <c r="BJ239" s="155"/>
      <c r="BK239" s="155"/>
      <c r="BL239" s="155"/>
      <c r="BM239" s="155"/>
      <c r="BN239" s="155"/>
      <c r="BO239" s="155"/>
      <c r="BP239" s="155"/>
      <c r="BQ239" s="155"/>
      <c r="BR239" s="155"/>
      <c r="BS239" s="155"/>
      <c r="BT239" s="155"/>
      <c r="BU239" s="155"/>
      <c r="BV239" s="155"/>
      <c r="BW239" s="155"/>
      <c r="BX239" s="155"/>
      <c r="BY239" s="155"/>
      <c r="BZ239" s="155"/>
      <c r="CA239" s="155"/>
      <c r="CB239" s="155"/>
      <c r="CC239" s="155"/>
      <c r="CD239" s="155"/>
      <c r="CE239" s="155"/>
      <c r="CF239" s="155"/>
      <c r="CG239" s="155"/>
    </row>
    <row r="240" spans="1:85" ht="12.75" x14ac:dyDescent="0.2">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c r="AA240" s="155"/>
      <c r="AB240" s="155"/>
      <c r="AC240" s="155"/>
      <c r="AD240" s="155"/>
      <c r="AE240" s="155"/>
      <c r="AF240" s="155"/>
      <c r="AG240" s="155"/>
      <c r="AH240" s="155"/>
      <c r="AI240" s="155"/>
      <c r="AJ240" s="155"/>
      <c r="AK240" s="155"/>
      <c r="AL240" s="155"/>
      <c r="AM240" s="155"/>
      <c r="AN240" s="155"/>
      <c r="AO240" s="155"/>
      <c r="AP240" s="155"/>
      <c r="AQ240" s="155"/>
      <c r="AR240" s="155"/>
      <c r="AS240" s="155"/>
      <c r="AT240" s="155"/>
      <c r="AU240" s="155"/>
      <c r="AV240" s="155"/>
      <c r="AW240" s="155"/>
      <c r="AX240" s="155"/>
      <c r="AY240" s="155"/>
      <c r="AZ240" s="155"/>
      <c r="BA240" s="155"/>
      <c r="BB240" s="155"/>
      <c r="BC240" s="155"/>
      <c r="BD240" s="155"/>
      <c r="BE240" s="155"/>
      <c r="BF240" s="155"/>
      <c r="BG240" s="155"/>
      <c r="BH240" s="155"/>
      <c r="BI240" s="155"/>
      <c r="BJ240" s="155"/>
      <c r="BK240" s="155"/>
      <c r="BL240" s="155"/>
      <c r="BM240" s="155"/>
      <c r="BN240" s="155"/>
      <c r="BO240" s="155"/>
      <c r="BP240" s="155"/>
      <c r="BQ240" s="155"/>
      <c r="BR240" s="155"/>
      <c r="BS240" s="155"/>
      <c r="BT240" s="155"/>
      <c r="BU240" s="155"/>
      <c r="BV240" s="155"/>
      <c r="BW240" s="155"/>
      <c r="BX240" s="155"/>
      <c r="BY240" s="155"/>
      <c r="BZ240" s="155"/>
      <c r="CA240" s="155"/>
      <c r="CB240" s="155"/>
      <c r="CC240" s="155"/>
      <c r="CD240" s="155"/>
      <c r="CE240" s="155"/>
      <c r="CF240" s="155"/>
      <c r="CG240" s="155"/>
    </row>
    <row r="241" spans="1:85" ht="12.75" x14ac:dyDescent="0.2">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c r="AA241" s="155"/>
      <c r="AB241" s="155"/>
      <c r="AC241" s="155"/>
      <c r="AD241" s="155"/>
      <c r="AE241" s="155"/>
      <c r="AF241" s="155"/>
      <c r="AG241" s="155"/>
      <c r="AH241" s="155"/>
      <c r="AI241" s="155"/>
      <c r="AJ241" s="155"/>
      <c r="AK241" s="155"/>
      <c r="AL241" s="155"/>
      <c r="AM241" s="155"/>
      <c r="AN241" s="155"/>
      <c r="AO241" s="155"/>
      <c r="AP241" s="155"/>
      <c r="AQ241" s="155"/>
      <c r="AR241" s="155"/>
      <c r="AS241" s="155"/>
      <c r="AT241" s="155"/>
      <c r="AU241" s="155"/>
      <c r="AV241" s="155"/>
      <c r="AW241" s="155"/>
      <c r="AX241" s="155"/>
      <c r="AY241" s="155"/>
      <c r="AZ241" s="155"/>
      <c r="BA241" s="155"/>
      <c r="BB241" s="155"/>
      <c r="BC241" s="155"/>
      <c r="BD241" s="155"/>
      <c r="BE241" s="155"/>
      <c r="BF241" s="155"/>
      <c r="BG241" s="155"/>
      <c r="BH241" s="155"/>
      <c r="BI241" s="155"/>
      <c r="BJ241" s="155"/>
      <c r="BK241" s="155"/>
      <c r="BL241" s="155"/>
      <c r="BM241" s="155"/>
      <c r="BN241" s="155"/>
      <c r="BO241" s="155"/>
      <c r="BP241" s="155"/>
      <c r="BQ241" s="155"/>
      <c r="BR241" s="155"/>
      <c r="BS241" s="155"/>
      <c r="BT241" s="155"/>
      <c r="BU241" s="155"/>
      <c r="BV241" s="155"/>
      <c r="BW241" s="155"/>
      <c r="BX241" s="155"/>
      <c r="BY241" s="155"/>
      <c r="BZ241" s="155"/>
      <c r="CA241" s="155"/>
      <c r="CB241" s="155"/>
      <c r="CC241" s="155"/>
      <c r="CD241" s="155"/>
      <c r="CE241" s="155"/>
      <c r="CF241" s="155"/>
      <c r="CG241" s="155"/>
    </row>
    <row r="242" spans="1:85" ht="12.75" x14ac:dyDescent="0.2">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c r="AA242" s="155"/>
      <c r="AB242" s="155"/>
      <c r="AC242" s="155"/>
      <c r="AD242" s="155"/>
      <c r="AE242" s="155"/>
      <c r="AF242" s="155"/>
      <c r="AG242" s="155"/>
      <c r="AH242" s="155"/>
      <c r="AI242" s="155"/>
      <c r="AJ242" s="155"/>
      <c r="AK242" s="155"/>
      <c r="AL242" s="155"/>
      <c r="AM242" s="155"/>
      <c r="AN242" s="155"/>
      <c r="AO242" s="155"/>
      <c r="AP242" s="155"/>
      <c r="AQ242" s="155"/>
      <c r="AR242" s="155"/>
      <c r="AS242" s="155"/>
      <c r="AT242" s="155"/>
      <c r="AU242" s="155"/>
      <c r="AV242" s="155"/>
      <c r="AW242" s="155"/>
      <c r="AX242" s="155"/>
      <c r="AY242" s="155"/>
      <c r="AZ242" s="155"/>
      <c r="BA242" s="155"/>
      <c r="BB242" s="155"/>
      <c r="BC242" s="155"/>
      <c r="BD242" s="155"/>
      <c r="BE242" s="155"/>
      <c r="BF242" s="155"/>
      <c r="BG242" s="155"/>
      <c r="BH242" s="155"/>
      <c r="BI242" s="155"/>
      <c r="BJ242" s="155"/>
      <c r="BK242" s="155"/>
      <c r="BL242" s="155"/>
      <c r="BM242" s="155"/>
      <c r="BN242" s="155"/>
      <c r="BO242" s="155"/>
      <c r="BP242" s="155"/>
      <c r="BQ242" s="155"/>
      <c r="BR242" s="155"/>
      <c r="BS242" s="155"/>
      <c r="BT242" s="155"/>
      <c r="BU242" s="155"/>
      <c r="BV242" s="155"/>
      <c r="BW242" s="155"/>
      <c r="BX242" s="155"/>
      <c r="BY242" s="155"/>
      <c r="BZ242" s="155"/>
      <c r="CA242" s="155"/>
      <c r="CB242" s="155"/>
      <c r="CC242" s="155"/>
      <c r="CD242" s="155"/>
      <c r="CE242" s="155"/>
      <c r="CF242" s="155"/>
      <c r="CG242" s="155"/>
    </row>
    <row r="243" spans="1:85" ht="12.75" x14ac:dyDescent="0.2">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c r="AA243" s="155"/>
      <c r="AB243" s="155"/>
      <c r="AC243" s="155"/>
      <c r="AD243" s="155"/>
      <c r="AE243" s="155"/>
      <c r="AF243" s="155"/>
      <c r="AG243" s="155"/>
      <c r="AH243" s="155"/>
      <c r="AI243" s="155"/>
      <c r="AJ243" s="155"/>
      <c r="AK243" s="155"/>
      <c r="AL243" s="155"/>
      <c r="AM243" s="155"/>
      <c r="AN243" s="155"/>
      <c r="AO243" s="155"/>
      <c r="AP243" s="155"/>
      <c r="AQ243" s="155"/>
      <c r="AR243" s="155"/>
      <c r="AS243" s="155"/>
      <c r="AT243" s="155"/>
      <c r="AU243" s="155"/>
      <c r="AV243" s="155"/>
      <c r="AW243" s="155"/>
      <c r="AX243" s="155"/>
      <c r="AY243" s="155"/>
      <c r="AZ243" s="155"/>
      <c r="BA243" s="155"/>
      <c r="BB243" s="155"/>
      <c r="BC243" s="155"/>
      <c r="BD243" s="155"/>
      <c r="BE243" s="155"/>
      <c r="BF243" s="155"/>
      <c r="BG243" s="155"/>
      <c r="BH243" s="155"/>
      <c r="BI243" s="155"/>
      <c r="BJ243" s="155"/>
      <c r="BK243" s="155"/>
      <c r="BL243" s="155"/>
      <c r="BM243" s="155"/>
      <c r="BN243" s="155"/>
      <c r="BO243" s="155"/>
      <c r="BP243" s="155"/>
      <c r="BQ243" s="155"/>
      <c r="BR243" s="155"/>
      <c r="BS243" s="155"/>
      <c r="BT243" s="155"/>
      <c r="BU243" s="155"/>
      <c r="BV243" s="155"/>
      <c r="BW243" s="155"/>
      <c r="BX243" s="155"/>
      <c r="BY243" s="155"/>
      <c r="BZ243" s="155"/>
      <c r="CA243" s="155"/>
      <c r="CB243" s="155"/>
      <c r="CC243" s="155"/>
      <c r="CD243" s="155"/>
      <c r="CE243" s="155"/>
      <c r="CF243" s="155"/>
      <c r="CG243" s="155"/>
    </row>
    <row r="244" spans="1:85" ht="12.75" x14ac:dyDescent="0.2">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c r="AA244" s="155"/>
      <c r="AB244" s="155"/>
      <c r="AC244" s="155"/>
      <c r="AD244" s="155"/>
      <c r="AE244" s="155"/>
      <c r="AF244" s="155"/>
      <c r="AG244" s="155"/>
      <c r="AH244" s="155"/>
      <c r="AI244" s="155"/>
      <c r="AJ244" s="155"/>
      <c r="AK244" s="155"/>
      <c r="AL244" s="155"/>
      <c r="AM244" s="155"/>
      <c r="AN244" s="155"/>
      <c r="AO244" s="155"/>
      <c r="AP244" s="155"/>
      <c r="AQ244" s="155"/>
      <c r="AR244" s="155"/>
      <c r="AS244" s="155"/>
      <c r="AT244" s="155"/>
      <c r="AU244" s="155"/>
      <c r="AV244" s="155"/>
      <c r="AW244" s="155"/>
      <c r="AX244" s="155"/>
      <c r="AY244" s="155"/>
      <c r="AZ244" s="155"/>
      <c r="BA244" s="155"/>
      <c r="BB244" s="155"/>
      <c r="BC244" s="155"/>
      <c r="BD244" s="155"/>
      <c r="BE244" s="155"/>
      <c r="BF244" s="155"/>
      <c r="BG244" s="155"/>
      <c r="BH244" s="155"/>
      <c r="BI244" s="155"/>
      <c r="BJ244" s="155"/>
      <c r="BK244" s="155"/>
      <c r="BL244" s="155"/>
      <c r="BM244" s="155"/>
      <c r="BN244" s="155"/>
      <c r="BO244" s="155"/>
      <c r="BP244" s="155"/>
      <c r="BQ244" s="155"/>
      <c r="BR244" s="155"/>
      <c r="BS244" s="155"/>
      <c r="BT244" s="155"/>
      <c r="BU244" s="155"/>
      <c r="BV244" s="155"/>
      <c r="BW244" s="155"/>
      <c r="BX244" s="155"/>
      <c r="BY244" s="155"/>
      <c r="BZ244" s="155"/>
      <c r="CA244" s="155"/>
      <c r="CB244" s="155"/>
      <c r="CC244" s="155"/>
      <c r="CD244" s="155"/>
      <c r="CE244" s="155"/>
      <c r="CF244" s="155"/>
      <c r="CG244" s="155"/>
    </row>
    <row r="245" spans="1:85" ht="12.75" x14ac:dyDescent="0.2">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c r="AA245" s="155"/>
      <c r="AB245" s="155"/>
      <c r="AC245" s="155"/>
      <c r="AD245" s="155"/>
      <c r="AE245" s="155"/>
      <c r="AF245" s="155"/>
      <c r="AG245" s="155"/>
      <c r="AH245" s="155"/>
      <c r="AI245" s="155"/>
      <c r="AJ245" s="155"/>
      <c r="AK245" s="155"/>
      <c r="AL245" s="155"/>
      <c r="AM245" s="155"/>
      <c r="AN245" s="155"/>
      <c r="AO245" s="155"/>
      <c r="AP245" s="155"/>
      <c r="AQ245" s="155"/>
      <c r="AR245" s="155"/>
      <c r="AS245" s="155"/>
      <c r="AT245" s="155"/>
      <c r="AU245" s="155"/>
      <c r="AV245" s="155"/>
      <c r="AW245" s="155"/>
      <c r="AX245" s="155"/>
      <c r="AY245" s="155"/>
      <c r="AZ245" s="155"/>
      <c r="BA245" s="155"/>
      <c r="BB245" s="155"/>
      <c r="BC245" s="155"/>
      <c r="BD245" s="155"/>
      <c r="BE245" s="155"/>
      <c r="BF245" s="155"/>
      <c r="BG245" s="155"/>
      <c r="BH245" s="155"/>
      <c r="BI245" s="155"/>
      <c r="BJ245" s="155"/>
      <c r="BK245" s="155"/>
      <c r="BL245" s="155"/>
      <c r="BM245" s="155"/>
      <c r="BN245" s="155"/>
      <c r="BO245" s="155"/>
      <c r="BP245" s="155"/>
      <c r="BQ245" s="155"/>
      <c r="BR245" s="155"/>
      <c r="BS245" s="155"/>
      <c r="BT245" s="155"/>
      <c r="BU245" s="155"/>
      <c r="BV245" s="155"/>
      <c r="BW245" s="155"/>
      <c r="BX245" s="155"/>
      <c r="BY245" s="155"/>
      <c r="BZ245" s="155"/>
      <c r="CA245" s="155"/>
      <c r="CB245" s="155"/>
      <c r="CC245" s="155"/>
      <c r="CD245" s="155"/>
      <c r="CE245" s="155"/>
      <c r="CF245" s="155"/>
      <c r="CG245" s="155"/>
    </row>
    <row r="246" spans="1:85" ht="12.75" x14ac:dyDescent="0.2">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c r="AA246" s="155"/>
      <c r="AB246" s="155"/>
      <c r="AC246" s="155"/>
      <c r="AD246" s="155"/>
      <c r="AE246" s="155"/>
      <c r="AF246" s="155"/>
      <c r="AG246" s="155"/>
      <c r="AH246" s="155"/>
      <c r="AI246" s="155"/>
      <c r="AJ246" s="155"/>
      <c r="AK246" s="155"/>
      <c r="AL246" s="155"/>
      <c r="AM246" s="155"/>
      <c r="AN246" s="155"/>
      <c r="AO246" s="155"/>
      <c r="AP246" s="155"/>
      <c r="AQ246" s="155"/>
      <c r="AR246" s="155"/>
      <c r="AS246" s="155"/>
      <c r="AT246" s="155"/>
      <c r="AU246" s="155"/>
      <c r="AV246" s="155"/>
      <c r="AW246" s="155"/>
      <c r="AX246" s="155"/>
      <c r="AY246" s="155"/>
      <c r="AZ246" s="155"/>
      <c r="BA246" s="155"/>
      <c r="BB246" s="155"/>
      <c r="BC246" s="155"/>
      <c r="BD246" s="155"/>
      <c r="BE246" s="155"/>
      <c r="BF246" s="155"/>
      <c r="BG246" s="155"/>
      <c r="BH246" s="155"/>
      <c r="BI246" s="155"/>
      <c r="BJ246" s="155"/>
      <c r="BK246" s="155"/>
      <c r="BL246" s="155"/>
      <c r="BM246" s="155"/>
      <c r="BN246" s="155"/>
      <c r="BO246" s="155"/>
      <c r="BP246" s="155"/>
      <c r="BQ246" s="155"/>
      <c r="BR246" s="155"/>
      <c r="BS246" s="155"/>
      <c r="BT246" s="155"/>
      <c r="BU246" s="155"/>
      <c r="BV246" s="155"/>
      <c r="BW246" s="155"/>
      <c r="BX246" s="155"/>
      <c r="BY246" s="155"/>
      <c r="BZ246" s="155"/>
      <c r="CA246" s="155"/>
      <c r="CB246" s="155"/>
      <c r="CC246" s="155"/>
      <c r="CD246" s="155"/>
      <c r="CE246" s="155"/>
      <c r="CF246" s="155"/>
      <c r="CG246" s="155"/>
    </row>
    <row r="247" spans="1:85" ht="12.75" x14ac:dyDescent="0.2">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5"/>
      <c r="AY247" s="155"/>
      <c r="AZ247" s="155"/>
      <c r="BA247" s="155"/>
      <c r="BB247" s="155"/>
      <c r="BC247" s="155"/>
      <c r="BD247" s="155"/>
      <c r="BE247" s="155"/>
      <c r="BF247" s="155"/>
      <c r="BG247" s="155"/>
      <c r="BH247" s="155"/>
      <c r="BI247" s="155"/>
      <c r="BJ247" s="155"/>
      <c r="BK247" s="155"/>
      <c r="BL247" s="155"/>
      <c r="BM247" s="155"/>
      <c r="BN247" s="155"/>
      <c r="BO247" s="155"/>
      <c r="BP247" s="155"/>
      <c r="BQ247" s="155"/>
      <c r="BR247" s="155"/>
      <c r="BS247" s="155"/>
      <c r="BT247" s="155"/>
      <c r="BU247" s="155"/>
      <c r="BV247" s="155"/>
      <c r="BW247" s="155"/>
      <c r="BX247" s="155"/>
      <c r="BY247" s="155"/>
      <c r="BZ247" s="155"/>
      <c r="CA247" s="155"/>
      <c r="CB247" s="155"/>
      <c r="CC247" s="155"/>
      <c r="CD247" s="155"/>
      <c r="CE247" s="155"/>
      <c r="CF247" s="155"/>
      <c r="CG247" s="155"/>
    </row>
    <row r="248" spans="1:85" ht="12.75" x14ac:dyDescent="0.2">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c r="AA248" s="155"/>
      <c r="AB248" s="155"/>
      <c r="AC248" s="155"/>
      <c r="AD248" s="155"/>
      <c r="AE248" s="155"/>
      <c r="AF248" s="155"/>
      <c r="AG248" s="155"/>
      <c r="AH248" s="155"/>
      <c r="AI248" s="155"/>
      <c r="AJ248" s="155"/>
      <c r="AK248" s="155"/>
      <c r="AL248" s="155"/>
      <c r="AM248" s="155"/>
      <c r="AN248" s="155"/>
      <c r="AO248" s="155"/>
      <c r="AP248" s="155"/>
      <c r="AQ248" s="155"/>
      <c r="AR248" s="155"/>
      <c r="AS248" s="155"/>
      <c r="AT248" s="155"/>
      <c r="AU248" s="155"/>
      <c r="AV248" s="155"/>
      <c r="AW248" s="155"/>
      <c r="AX248" s="155"/>
      <c r="AY248" s="155"/>
      <c r="AZ248" s="155"/>
      <c r="BA248" s="155"/>
      <c r="BB248" s="155"/>
      <c r="BC248" s="155"/>
      <c r="BD248" s="155"/>
      <c r="BE248" s="155"/>
      <c r="BF248" s="155"/>
      <c r="BG248" s="155"/>
      <c r="BH248" s="155"/>
      <c r="BI248" s="155"/>
      <c r="BJ248" s="155"/>
      <c r="BK248" s="155"/>
      <c r="BL248" s="155"/>
      <c r="BM248" s="155"/>
      <c r="BN248" s="155"/>
      <c r="BO248" s="155"/>
      <c r="BP248" s="155"/>
      <c r="BQ248" s="155"/>
      <c r="BR248" s="155"/>
      <c r="BS248" s="155"/>
      <c r="BT248" s="155"/>
      <c r="BU248" s="155"/>
      <c r="BV248" s="155"/>
      <c r="BW248" s="155"/>
      <c r="BX248" s="155"/>
      <c r="BY248" s="155"/>
      <c r="BZ248" s="155"/>
      <c r="CA248" s="155"/>
      <c r="CB248" s="155"/>
      <c r="CC248" s="155"/>
      <c r="CD248" s="155"/>
      <c r="CE248" s="155"/>
      <c r="CF248" s="155"/>
      <c r="CG248" s="155"/>
    </row>
    <row r="249" spans="1:85" ht="12.75" x14ac:dyDescent="0.2">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c r="AA249" s="155"/>
      <c r="AB249" s="155"/>
      <c r="AC249" s="155"/>
      <c r="AD249" s="155"/>
      <c r="AE249" s="155"/>
      <c r="AF249" s="155"/>
      <c r="AG249" s="155"/>
      <c r="AH249" s="155"/>
      <c r="AI249" s="155"/>
      <c r="AJ249" s="155"/>
      <c r="AK249" s="155"/>
      <c r="AL249" s="155"/>
      <c r="AM249" s="155"/>
      <c r="AN249" s="155"/>
      <c r="AO249" s="155"/>
      <c r="AP249" s="155"/>
      <c r="AQ249" s="155"/>
      <c r="AR249" s="155"/>
      <c r="AS249" s="155"/>
      <c r="AT249" s="155"/>
      <c r="AU249" s="155"/>
      <c r="AV249" s="155"/>
      <c r="AW249" s="155"/>
      <c r="AX249" s="155"/>
      <c r="AY249" s="155"/>
      <c r="AZ249" s="155"/>
      <c r="BA249" s="155"/>
      <c r="BB249" s="155"/>
      <c r="BC249" s="155"/>
      <c r="BD249" s="155"/>
      <c r="BE249" s="155"/>
      <c r="BF249" s="155"/>
      <c r="BG249" s="155"/>
      <c r="BH249" s="155"/>
      <c r="BI249" s="155"/>
      <c r="BJ249" s="155"/>
      <c r="BK249" s="155"/>
      <c r="BL249" s="155"/>
      <c r="BM249" s="155"/>
      <c r="BN249" s="155"/>
      <c r="BO249" s="155"/>
      <c r="BP249" s="155"/>
      <c r="BQ249" s="155"/>
      <c r="BR249" s="155"/>
      <c r="BS249" s="155"/>
      <c r="BT249" s="155"/>
      <c r="BU249" s="155"/>
      <c r="BV249" s="155"/>
      <c r="BW249" s="155"/>
      <c r="BX249" s="155"/>
      <c r="BY249" s="155"/>
      <c r="BZ249" s="155"/>
      <c r="CA249" s="155"/>
      <c r="CB249" s="155"/>
      <c r="CC249" s="155"/>
      <c r="CD249" s="155"/>
      <c r="CE249" s="155"/>
      <c r="CF249" s="155"/>
      <c r="CG249" s="155"/>
    </row>
    <row r="250" spans="1:85" ht="12.75" x14ac:dyDescent="0.2">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c r="AA250" s="155"/>
      <c r="AB250" s="155"/>
      <c r="AC250" s="155"/>
      <c r="AD250" s="155"/>
      <c r="AE250" s="155"/>
      <c r="AF250" s="155"/>
      <c r="AG250" s="155"/>
      <c r="AH250" s="155"/>
      <c r="AI250" s="155"/>
      <c r="AJ250" s="155"/>
      <c r="AK250" s="155"/>
      <c r="AL250" s="155"/>
      <c r="AM250" s="155"/>
      <c r="AN250" s="155"/>
      <c r="AO250" s="155"/>
      <c r="AP250" s="155"/>
      <c r="AQ250" s="155"/>
      <c r="AR250" s="155"/>
      <c r="AS250" s="155"/>
      <c r="AT250" s="155"/>
      <c r="AU250" s="155"/>
      <c r="AV250" s="155"/>
      <c r="AW250" s="155"/>
      <c r="AX250" s="155"/>
      <c r="AY250" s="155"/>
      <c r="AZ250" s="155"/>
      <c r="BA250" s="155"/>
      <c r="BB250" s="155"/>
      <c r="BC250" s="155"/>
      <c r="BD250" s="155"/>
      <c r="BE250" s="155"/>
      <c r="BF250" s="155"/>
      <c r="BG250" s="155"/>
      <c r="BH250" s="155"/>
      <c r="BI250" s="155"/>
      <c r="BJ250" s="155"/>
      <c r="BK250" s="155"/>
      <c r="BL250" s="155"/>
      <c r="BM250" s="155"/>
      <c r="BN250" s="155"/>
      <c r="BO250" s="155"/>
      <c r="BP250" s="155"/>
      <c r="BQ250" s="155"/>
      <c r="BR250" s="155"/>
      <c r="BS250" s="155"/>
      <c r="BT250" s="155"/>
      <c r="BU250" s="155"/>
      <c r="BV250" s="155"/>
      <c r="BW250" s="155"/>
      <c r="BX250" s="155"/>
      <c r="BY250" s="155"/>
      <c r="BZ250" s="155"/>
      <c r="CA250" s="155"/>
      <c r="CB250" s="155"/>
      <c r="CC250" s="155"/>
      <c r="CD250" s="155"/>
      <c r="CE250" s="155"/>
      <c r="CF250" s="155"/>
      <c r="CG250" s="155"/>
    </row>
    <row r="251" spans="1:85" ht="12.75" x14ac:dyDescent="0.2">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c r="AA251" s="155"/>
      <c r="AB251" s="155"/>
      <c r="AC251" s="155"/>
      <c r="AD251" s="155"/>
      <c r="AE251" s="155"/>
      <c r="AF251" s="155"/>
      <c r="AG251" s="155"/>
      <c r="AH251" s="155"/>
      <c r="AI251" s="155"/>
      <c r="AJ251" s="155"/>
      <c r="AK251" s="155"/>
      <c r="AL251" s="155"/>
      <c r="AM251" s="155"/>
      <c r="AN251" s="155"/>
      <c r="AO251" s="155"/>
      <c r="AP251" s="155"/>
      <c r="AQ251" s="155"/>
      <c r="AR251" s="155"/>
      <c r="AS251" s="155"/>
      <c r="AT251" s="155"/>
      <c r="AU251" s="155"/>
      <c r="AV251" s="155"/>
      <c r="AW251" s="155"/>
      <c r="AX251" s="155"/>
      <c r="AY251" s="155"/>
      <c r="AZ251" s="155"/>
      <c r="BA251" s="155"/>
      <c r="BB251" s="155"/>
      <c r="BC251" s="155"/>
      <c r="BD251" s="155"/>
      <c r="BE251" s="155"/>
      <c r="BF251" s="155"/>
      <c r="BG251" s="155"/>
      <c r="BH251" s="155"/>
      <c r="BI251" s="155"/>
      <c r="BJ251" s="155"/>
      <c r="BK251" s="155"/>
      <c r="BL251" s="155"/>
      <c r="BM251" s="155"/>
      <c r="BN251" s="155"/>
      <c r="BO251" s="155"/>
      <c r="BP251" s="155"/>
      <c r="BQ251" s="155"/>
      <c r="BR251" s="155"/>
      <c r="BS251" s="155"/>
      <c r="BT251" s="155"/>
      <c r="BU251" s="155"/>
      <c r="BV251" s="155"/>
      <c r="BW251" s="155"/>
      <c r="BX251" s="155"/>
      <c r="BY251" s="155"/>
      <c r="BZ251" s="155"/>
      <c r="CA251" s="155"/>
      <c r="CB251" s="155"/>
      <c r="CC251" s="155"/>
      <c r="CD251" s="155"/>
      <c r="CE251" s="155"/>
      <c r="CF251" s="155"/>
      <c r="CG251" s="155"/>
    </row>
    <row r="252" spans="1:85" ht="12.75" x14ac:dyDescent="0.2">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c r="AA252" s="155"/>
      <c r="AB252" s="155"/>
      <c r="AC252" s="155"/>
      <c r="AD252" s="155"/>
      <c r="AE252" s="155"/>
      <c r="AF252" s="155"/>
      <c r="AG252" s="155"/>
      <c r="AH252" s="155"/>
      <c r="AI252" s="155"/>
      <c r="AJ252" s="155"/>
      <c r="AK252" s="155"/>
      <c r="AL252" s="155"/>
      <c r="AM252" s="155"/>
      <c r="AN252" s="155"/>
      <c r="AO252" s="155"/>
      <c r="AP252" s="155"/>
      <c r="AQ252" s="155"/>
      <c r="AR252" s="155"/>
      <c r="AS252" s="155"/>
      <c r="AT252" s="155"/>
      <c r="AU252" s="155"/>
      <c r="AV252" s="155"/>
      <c r="AW252" s="155"/>
      <c r="AX252" s="155"/>
      <c r="AY252" s="155"/>
      <c r="AZ252" s="155"/>
      <c r="BA252" s="155"/>
      <c r="BB252" s="155"/>
      <c r="BC252" s="155"/>
      <c r="BD252" s="155"/>
      <c r="BE252" s="155"/>
      <c r="BF252" s="155"/>
      <c r="BG252" s="155"/>
      <c r="BH252" s="155"/>
      <c r="BI252" s="155"/>
      <c r="BJ252" s="155"/>
      <c r="BK252" s="155"/>
      <c r="BL252" s="155"/>
      <c r="BM252" s="155"/>
      <c r="BN252" s="155"/>
      <c r="BO252" s="155"/>
      <c r="BP252" s="155"/>
      <c r="BQ252" s="155"/>
      <c r="BR252" s="155"/>
      <c r="BS252" s="155"/>
      <c r="BT252" s="155"/>
      <c r="BU252" s="155"/>
      <c r="BV252" s="155"/>
      <c r="BW252" s="155"/>
      <c r="BX252" s="155"/>
      <c r="BY252" s="155"/>
      <c r="BZ252" s="155"/>
      <c r="CA252" s="155"/>
      <c r="CB252" s="155"/>
      <c r="CC252" s="155"/>
      <c r="CD252" s="155"/>
      <c r="CE252" s="155"/>
      <c r="CF252" s="155"/>
      <c r="CG252" s="155"/>
    </row>
    <row r="253" spans="1:85" ht="12.75" x14ac:dyDescent="0.2">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c r="AA253" s="155"/>
      <c r="AB253" s="155"/>
      <c r="AC253" s="155"/>
      <c r="AD253" s="155"/>
      <c r="AE253" s="155"/>
      <c r="AF253" s="155"/>
      <c r="AG253" s="155"/>
      <c r="AH253" s="155"/>
      <c r="AI253" s="155"/>
      <c r="AJ253" s="155"/>
      <c r="AK253" s="155"/>
      <c r="AL253" s="155"/>
      <c r="AM253" s="155"/>
      <c r="AN253" s="155"/>
      <c r="AO253" s="155"/>
      <c r="AP253" s="155"/>
      <c r="AQ253" s="155"/>
      <c r="AR253" s="155"/>
      <c r="AS253" s="155"/>
      <c r="AT253" s="155"/>
      <c r="AU253" s="155"/>
      <c r="AV253" s="155"/>
      <c r="AW253" s="155"/>
      <c r="AX253" s="155"/>
      <c r="AY253" s="155"/>
      <c r="AZ253" s="155"/>
      <c r="BA253" s="155"/>
      <c r="BB253" s="155"/>
      <c r="BC253" s="155"/>
      <c r="BD253" s="155"/>
      <c r="BE253" s="155"/>
      <c r="BF253" s="155"/>
      <c r="BG253" s="155"/>
      <c r="BH253" s="155"/>
      <c r="BI253" s="155"/>
      <c r="BJ253" s="155"/>
      <c r="BK253" s="155"/>
      <c r="BL253" s="155"/>
      <c r="BM253" s="155"/>
      <c r="BN253" s="155"/>
      <c r="BO253" s="155"/>
      <c r="BP253" s="155"/>
      <c r="BQ253" s="155"/>
      <c r="BR253" s="155"/>
      <c r="BS253" s="155"/>
      <c r="BT253" s="155"/>
      <c r="BU253" s="155"/>
      <c r="BV253" s="155"/>
      <c r="BW253" s="155"/>
      <c r="BX253" s="155"/>
      <c r="BY253" s="155"/>
      <c r="BZ253" s="155"/>
      <c r="CA253" s="155"/>
      <c r="CB253" s="155"/>
      <c r="CC253" s="155"/>
      <c r="CD253" s="155"/>
      <c r="CE253" s="155"/>
      <c r="CF253" s="155"/>
      <c r="CG253" s="155"/>
    </row>
    <row r="254" spans="1:85" ht="12.75" x14ac:dyDescent="0.2">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c r="AA254" s="155"/>
      <c r="AB254" s="155"/>
      <c r="AC254" s="155"/>
      <c r="AD254" s="155"/>
      <c r="AE254" s="155"/>
      <c r="AF254" s="155"/>
      <c r="AG254" s="155"/>
      <c r="AH254" s="155"/>
      <c r="AI254" s="155"/>
      <c r="AJ254" s="155"/>
      <c r="AK254" s="155"/>
      <c r="AL254" s="155"/>
      <c r="AM254" s="155"/>
      <c r="AN254" s="155"/>
      <c r="AO254" s="155"/>
      <c r="AP254" s="155"/>
      <c r="AQ254" s="155"/>
      <c r="AR254" s="155"/>
      <c r="AS254" s="155"/>
      <c r="AT254" s="155"/>
      <c r="AU254" s="155"/>
      <c r="AV254" s="155"/>
      <c r="AW254" s="155"/>
      <c r="AX254" s="155"/>
      <c r="AY254" s="155"/>
      <c r="AZ254" s="155"/>
      <c r="BA254" s="155"/>
      <c r="BB254" s="155"/>
      <c r="BC254" s="155"/>
      <c r="BD254" s="155"/>
      <c r="BE254" s="155"/>
      <c r="BF254" s="155"/>
      <c r="BG254" s="155"/>
      <c r="BH254" s="155"/>
      <c r="BI254" s="155"/>
      <c r="BJ254" s="155"/>
      <c r="BK254" s="155"/>
      <c r="BL254" s="155"/>
      <c r="BM254" s="155"/>
      <c r="BN254" s="155"/>
      <c r="BO254" s="155"/>
      <c r="BP254" s="155"/>
      <c r="BQ254" s="155"/>
      <c r="BR254" s="155"/>
      <c r="BS254" s="155"/>
      <c r="BT254" s="155"/>
      <c r="BU254" s="155"/>
      <c r="BV254" s="155"/>
      <c r="BW254" s="155"/>
      <c r="BX254" s="155"/>
      <c r="BY254" s="155"/>
      <c r="BZ254" s="155"/>
      <c r="CA254" s="155"/>
      <c r="CB254" s="155"/>
      <c r="CC254" s="155"/>
      <c r="CD254" s="155"/>
      <c r="CE254" s="155"/>
      <c r="CF254" s="155"/>
      <c r="CG254" s="155"/>
    </row>
    <row r="255" spans="1:85" ht="12.75" x14ac:dyDescent="0.2">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c r="AA255" s="155"/>
      <c r="AB255" s="155"/>
      <c r="AC255" s="155"/>
      <c r="AD255" s="155"/>
      <c r="AE255" s="155"/>
      <c r="AF255" s="155"/>
      <c r="AG255" s="155"/>
      <c r="AH255" s="155"/>
      <c r="AI255" s="155"/>
      <c r="AJ255" s="155"/>
      <c r="AK255" s="155"/>
      <c r="AL255" s="155"/>
      <c r="AM255" s="155"/>
      <c r="AN255" s="155"/>
      <c r="AO255" s="155"/>
      <c r="AP255" s="155"/>
      <c r="AQ255" s="155"/>
      <c r="AR255" s="155"/>
      <c r="AS255" s="155"/>
      <c r="AT255" s="155"/>
      <c r="AU255" s="155"/>
      <c r="AV255" s="155"/>
      <c r="AW255" s="155"/>
      <c r="AX255" s="155"/>
      <c r="AY255" s="155"/>
      <c r="AZ255" s="155"/>
      <c r="BA255" s="155"/>
      <c r="BB255" s="155"/>
      <c r="BC255" s="155"/>
      <c r="BD255" s="155"/>
      <c r="BE255" s="155"/>
      <c r="BF255" s="155"/>
      <c r="BG255" s="155"/>
      <c r="BH255" s="155"/>
      <c r="BI255" s="155"/>
      <c r="BJ255" s="155"/>
      <c r="BK255" s="155"/>
      <c r="BL255" s="155"/>
      <c r="BM255" s="155"/>
      <c r="BN255" s="155"/>
      <c r="BO255" s="155"/>
      <c r="BP255" s="155"/>
      <c r="BQ255" s="155"/>
      <c r="BR255" s="155"/>
      <c r="BS255" s="155"/>
      <c r="BT255" s="155"/>
      <c r="BU255" s="155"/>
      <c r="BV255" s="155"/>
      <c r="BW255" s="155"/>
      <c r="BX255" s="155"/>
      <c r="BY255" s="155"/>
      <c r="BZ255" s="155"/>
      <c r="CA255" s="155"/>
      <c r="CB255" s="155"/>
      <c r="CC255" s="155"/>
      <c r="CD255" s="155"/>
      <c r="CE255" s="155"/>
      <c r="CF255" s="155"/>
      <c r="CG255" s="155"/>
    </row>
    <row r="256" spans="1:85" ht="12.75" x14ac:dyDescent="0.2">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c r="AA256" s="155"/>
      <c r="AB256" s="155"/>
      <c r="AC256" s="155"/>
      <c r="AD256" s="155"/>
      <c r="AE256" s="155"/>
      <c r="AF256" s="155"/>
      <c r="AG256" s="155"/>
      <c r="AH256" s="155"/>
      <c r="AI256" s="155"/>
      <c r="AJ256" s="155"/>
      <c r="AK256" s="155"/>
      <c r="AL256" s="155"/>
      <c r="AM256" s="155"/>
      <c r="AN256" s="155"/>
      <c r="AO256" s="155"/>
      <c r="AP256" s="155"/>
      <c r="AQ256" s="155"/>
      <c r="AR256" s="155"/>
      <c r="AS256" s="155"/>
      <c r="AT256" s="155"/>
      <c r="AU256" s="155"/>
      <c r="AV256" s="155"/>
      <c r="AW256" s="155"/>
      <c r="AX256" s="155"/>
      <c r="AY256" s="155"/>
      <c r="AZ256" s="155"/>
      <c r="BA256" s="155"/>
      <c r="BB256" s="155"/>
      <c r="BC256" s="155"/>
      <c r="BD256" s="155"/>
      <c r="BE256" s="155"/>
      <c r="BF256" s="155"/>
      <c r="BG256" s="155"/>
      <c r="BH256" s="155"/>
      <c r="BI256" s="155"/>
      <c r="BJ256" s="155"/>
      <c r="BK256" s="155"/>
      <c r="BL256" s="155"/>
      <c r="BM256" s="155"/>
      <c r="BN256" s="155"/>
      <c r="BO256" s="155"/>
      <c r="BP256" s="155"/>
      <c r="BQ256" s="155"/>
      <c r="BR256" s="155"/>
      <c r="BS256" s="155"/>
      <c r="BT256" s="155"/>
      <c r="BU256" s="155"/>
      <c r="BV256" s="155"/>
      <c r="BW256" s="155"/>
      <c r="BX256" s="155"/>
      <c r="BY256" s="155"/>
      <c r="BZ256" s="155"/>
      <c r="CA256" s="155"/>
      <c r="CB256" s="155"/>
      <c r="CC256" s="155"/>
      <c r="CD256" s="155"/>
      <c r="CE256" s="155"/>
      <c r="CF256" s="155"/>
      <c r="CG256" s="155"/>
    </row>
    <row r="257" spans="1:85" ht="12.75" x14ac:dyDescent="0.2">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c r="AA257" s="155"/>
      <c r="AB257" s="155"/>
      <c r="AC257" s="155"/>
      <c r="AD257" s="155"/>
      <c r="AE257" s="155"/>
      <c r="AF257" s="155"/>
      <c r="AG257" s="155"/>
      <c r="AH257" s="155"/>
      <c r="AI257" s="155"/>
      <c r="AJ257" s="155"/>
      <c r="AK257" s="155"/>
      <c r="AL257" s="155"/>
      <c r="AM257" s="155"/>
      <c r="AN257" s="155"/>
      <c r="AO257" s="155"/>
      <c r="AP257" s="155"/>
      <c r="AQ257" s="155"/>
      <c r="AR257" s="155"/>
      <c r="AS257" s="155"/>
      <c r="AT257" s="155"/>
      <c r="AU257" s="155"/>
      <c r="AV257" s="155"/>
      <c r="AW257" s="155"/>
      <c r="AX257" s="155"/>
      <c r="AY257" s="155"/>
      <c r="AZ257" s="155"/>
      <c r="BA257" s="155"/>
      <c r="BB257" s="155"/>
      <c r="BC257" s="155"/>
      <c r="BD257" s="155"/>
      <c r="BE257" s="155"/>
      <c r="BF257" s="155"/>
      <c r="BG257" s="155"/>
      <c r="BH257" s="155"/>
      <c r="BI257" s="155"/>
      <c r="BJ257" s="155"/>
      <c r="BK257" s="155"/>
      <c r="BL257" s="155"/>
      <c r="BM257" s="155"/>
      <c r="BN257" s="155"/>
      <c r="BO257" s="155"/>
      <c r="BP257" s="155"/>
      <c r="BQ257" s="155"/>
      <c r="BR257" s="155"/>
      <c r="BS257" s="155"/>
      <c r="BT257" s="155"/>
      <c r="BU257" s="155"/>
      <c r="BV257" s="155"/>
      <c r="BW257" s="155"/>
      <c r="BX257" s="155"/>
      <c r="BY257" s="155"/>
      <c r="BZ257" s="155"/>
      <c r="CA257" s="155"/>
      <c r="CB257" s="155"/>
      <c r="CC257" s="155"/>
      <c r="CD257" s="155"/>
      <c r="CE257" s="155"/>
      <c r="CF257" s="155"/>
      <c r="CG257" s="155"/>
    </row>
    <row r="258" spans="1:85" ht="12.75" x14ac:dyDescent="0.2">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c r="AA258" s="155"/>
      <c r="AB258" s="155"/>
      <c r="AC258" s="155"/>
      <c r="AD258" s="155"/>
      <c r="AE258" s="155"/>
      <c r="AF258" s="155"/>
      <c r="AG258" s="155"/>
      <c r="AH258" s="155"/>
      <c r="AI258" s="155"/>
      <c r="AJ258" s="155"/>
      <c r="AK258" s="155"/>
      <c r="AL258" s="155"/>
      <c r="AM258" s="155"/>
      <c r="AN258" s="155"/>
      <c r="AO258" s="155"/>
      <c r="AP258" s="155"/>
      <c r="AQ258" s="155"/>
      <c r="AR258" s="155"/>
      <c r="AS258" s="155"/>
      <c r="AT258" s="155"/>
      <c r="AU258" s="155"/>
      <c r="AV258" s="155"/>
      <c r="AW258" s="155"/>
      <c r="AX258" s="155"/>
      <c r="AY258" s="155"/>
      <c r="AZ258" s="155"/>
      <c r="BA258" s="155"/>
      <c r="BB258" s="155"/>
      <c r="BC258" s="155"/>
      <c r="BD258" s="155"/>
      <c r="BE258" s="155"/>
      <c r="BF258" s="155"/>
      <c r="BG258" s="155"/>
      <c r="BH258" s="155"/>
      <c r="BI258" s="155"/>
      <c r="BJ258" s="155"/>
      <c r="BK258" s="155"/>
      <c r="BL258" s="155"/>
      <c r="BM258" s="155"/>
      <c r="BN258" s="155"/>
      <c r="BO258" s="155"/>
      <c r="BP258" s="155"/>
      <c r="BQ258" s="155"/>
      <c r="BR258" s="155"/>
      <c r="BS258" s="155"/>
      <c r="BT258" s="155"/>
      <c r="BU258" s="155"/>
      <c r="BV258" s="155"/>
      <c r="BW258" s="155"/>
      <c r="BX258" s="155"/>
      <c r="BY258" s="155"/>
      <c r="BZ258" s="155"/>
      <c r="CA258" s="155"/>
      <c r="CB258" s="155"/>
      <c r="CC258" s="155"/>
      <c r="CD258" s="155"/>
      <c r="CE258" s="155"/>
      <c r="CF258" s="155"/>
      <c r="CG258" s="155"/>
    </row>
    <row r="259" spans="1:85" ht="12.75" x14ac:dyDescent="0.2">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c r="AA259" s="155"/>
      <c r="AB259" s="155"/>
      <c r="AC259" s="155"/>
      <c r="AD259" s="155"/>
      <c r="AE259" s="155"/>
      <c r="AF259" s="155"/>
      <c r="AG259" s="155"/>
      <c r="AH259" s="155"/>
      <c r="AI259" s="155"/>
      <c r="AJ259" s="155"/>
      <c r="AK259" s="155"/>
      <c r="AL259" s="155"/>
      <c r="AM259" s="155"/>
      <c r="AN259" s="155"/>
      <c r="AO259" s="155"/>
      <c r="AP259" s="155"/>
      <c r="AQ259" s="155"/>
      <c r="AR259" s="155"/>
      <c r="AS259" s="155"/>
      <c r="AT259" s="155"/>
      <c r="AU259" s="155"/>
      <c r="AV259" s="155"/>
      <c r="AW259" s="155"/>
      <c r="AX259" s="155"/>
      <c r="AY259" s="155"/>
      <c r="AZ259" s="155"/>
      <c r="BA259" s="155"/>
      <c r="BB259" s="155"/>
      <c r="BC259" s="155"/>
      <c r="BD259" s="155"/>
      <c r="BE259" s="155"/>
      <c r="BF259" s="155"/>
      <c r="BG259" s="155"/>
      <c r="BH259" s="155"/>
      <c r="BI259" s="155"/>
      <c r="BJ259" s="155"/>
      <c r="BK259" s="155"/>
      <c r="BL259" s="155"/>
      <c r="BM259" s="155"/>
      <c r="BN259" s="155"/>
      <c r="BO259" s="155"/>
      <c r="BP259" s="155"/>
      <c r="BQ259" s="155"/>
      <c r="BR259" s="155"/>
      <c r="BS259" s="155"/>
      <c r="BT259" s="155"/>
      <c r="BU259" s="155"/>
      <c r="BV259" s="155"/>
      <c r="BW259" s="155"/>
      <c r="BX259" s="155"/>
      <c r="BY259" s="155"/>
      <c r="BZ259" s="155"/>
      <c r="CA259" s="155"/>
      <c r="CB259" s="155"/>
      <c r="CC259" s="155"/>
      <c r="CD259" s="155"/>
      <c r="CE259" s="155"/>
      <c r="CF259" s="155"/>
      <c r="CG259" s="155"/>
    </row>
    <row r="260" spans="1:85" ht="12.75" x14ac:dyDescent="0.2">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c r="AA260" s="155"/>
      <c r="AB260" s="155"/>
      <c r="AC260" s="155"/>
      <c r="AD260" s="155"/>
      <c r="AE260" s="155"/>
      <c r="AF260" s="155"/>
      <c r="AG260" s="155"/>
      <c r="AH260" s="155"/>
      <c r="AI260" s="155"/>
      <c r="AJ260" s="155"/>
      <c r="AK260" s="155"/>
      <c r="AL260" s="155"/>
      <c r="AM260" s="155"/>
      <c r="AN260" s="155"/>
      <c r="AO260" s="155"/>
      <c r="AP260" s="155"/>
      <c r="AQ260" s="155"/>
      <c r="AR260" s="155"/>
      <c r="AS260" s="155"/>
      <c r="AT260" s="155"/>
      <c r="AU260" s="155"/>
      <c r="AV260" s="155"/>
      <c r="AW260" s="155"/>
      <c r="AX260" s="155"/>
      <c r="AY260" s="155"/>
      <c r="AZ260" s="155"/>
      <c r="BA260" s="155"/>
      <c r="BB260" s="155"/>
      <c r="BC260" s="155"/>
      <c r="BD260" s="155"/>
      <c r="BE260" s="155"/>
      <c r="BF260" s="155"/>
      <c r="BG260" s="155"/>
      <c r="BH260" s="155"/>
      <c r="BI260" s="155"/>
      <c r="BJ260" s="155"/>
      <c r="BK260" s="155"/>
      <c r="BL260" s="155"/>
      <c r="BM260" s="155"/>
      <c r="BN260" s="155"/>
      <c r="BO260" s="155"/>
      <c r="BP260" s="155"/>
      <c r="BQ260" s="155"/>
      <c r="BR260" s="155"/>
      <c r="BS260" s="155"/>
      <c r="BT260" s="155"/>
      <c r="BU260" s="155"/>
      <c r="BV260" s="155"/>
      <c r="BW260" s="155"/>
      <c r="BX260" s="155"/>
      <c r="BY260" s="155"/>
      <c r="BZ260" s="155"/>
      <c r="CA260" s="155"/>
      <c r="CB260" s="155"/>
      <c r="CC260" s="155"/>
      <c r="CD260" s="155"/>
      <c r="CE260" s="155"/>
      <c r="CF260" s="155"/>
      <c r="CG260" s="155"/>
    </row>
    <row r="261" spans="1:85" ht="12.75" x14ac:dyDescent="0.2">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c r="AA261" s="155"/>
      <c r="AB261" s="155"/>
      <c r="AC261" s="155"/>
      <c r="AD261" s="155"/>
      <c r="AE261" s="155"/>
      <c r="AF261" s="155"/>
      <c r="AG261" s="155"/>
      <c r="AH261" s="155"/>
      <c r="AI261" s="155"/>
      <c r="AJ261" s="155"/>
      <c r="AK261" s="155"/>
      <c r="AL261" s="155"/>
      <c r="AM261" s="155"/>
      <c r="AN261" s="155"/>
      <c r="AO261" s="155"/>
      <c r="AP261" s="155"/>
      <c r="AQ261" s="155"/>
      <c r="AR261" s="155"/>
      <c r="AS261" s="155"/>
      <c r="AT261" s="155"/>
      <c r="AU261" s="155"/>
      <c r="AV261" s="155"/>
      <c r="AW261" s="155"/>
      <c r="AX261" s="155"/>
      <c r="AY261" s="155"/>
      <c r="AZ261" s="155"/>
      <c r="BA261" s="155"/>
      <c r="BB261" s="155"/>
      <c r="BC261" s="155"/>
      <c r="BD261" s="155"/>
      <c r="BE261" s="155"/>
      <c r="BF261" s="155"/>
      <c r="BG261" s="155"/>
      <c r="BH261" s="155"/>
      <c r="BI261" s="155"/>
      <c r="BJ261" s="155"/>
      <c r="BK261" s="155"/>
      <c r="BL261" s="155"/>
      <c r="BM261" s="155"/>
      <c r="BN261" s="155"/>
      <c r="BO261" s="155"/>
      <c r="BP261" s="155"/>
      <c r="BQ261" s="155"/>
      <c r="BR261" s="155"/>
      <c r="BS261" s="155"/>
      <c r="BT261" s="155"/>
      <c r="BU261" s="155"/>
      <c r="BV261" s="155"/>
      <c r="BW261" s="155"/>
      <c r="BX261" s="155"/>
      <c r="BY261" s="155"/>
      <c r="BZ261" s="155"/>
      <c r="CA261" s="155"/>
      <c r="CB261" s="155"/>
      <c r="CC261" s="155"/>
      <c r="CD261" s="155"/>
      <c r="CE261" s="155"/>
      <c r="CF261" s="155"/>
      <c r="CG261" s="155"/>
    </row>
    <row r="262" spans="1:85" ht="12.75" x14ac:dyDescent="0.2">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c r="AA262" s="155"/>
      <c r="AB262" s="155"/>
      <c r="AC262" s="155"/>
      <c r="AD262" s="155"/>
      <c r="AE262" s="155"/>
      <c r="AF262" s="155"/>
      <c r="AG262" s="155"/>
      <c r="AH262" s="155"/>
      <c r="AI262" s="155"/>
      <c r="AJ262" s="155"/>
      <c r="AK262" s="155"/>
      <c r="AL262" s="155"/>
      <c r="AM262" s="155"/>
      <c r="AN262" s="155"/>
      <c r="AO262" s="155"/>
      <c r="AP262" s="155"/>
      <c r="AQ262" s="155"/>
      <c r="AR262" s="155"/>
      <c r="AS262" s="155"/>
      <c r="AT262" s="155"/>
      <c r="AU262" s="155"/>
      <c r="AV262" s="155"/>
      <c r="AW262" s="155"/>
      <c r="AX262" s="155"/>
      <c r="AY262" s="155"/>
      <c r="AZ262" s="155"/>
      <c r="BA262" s="155"/>
      <c r="BB262" s="155"/>
      <c r="BC262" s="155"/>
      <c r="BD262" s="155"/>
      <c r="BE262" s="155"/>
      <c r="BF262" s="155"/>
      <c r="BG262" s="155"/>
      <c r="BH262" s="155"/>
      <c r="BI262" s="155"/>
      <c r="BJ262" s="155"/>
      <c r="BK262" s="155"/>
      <c r="BL262" s="155"/>
      <c r="BM262" s="155"/>
      <c r="BN262" s="155"/>
      <c r="BO262" s="155"/>
      <c r="BP262" s="155"/>
      <c r="BQ262" s="155"/>
      <c r="BR262" s="155"/>
      <c r="BS262" s="155"/>
      <c r="BT262" s="155"/>
      <c r="BU262" s="155"/>
      <c r="BV262" s="155"/>
      <c r="BW262" s="155"/>
      <c r="BX262" s="155"/>
      <c r="BY262" s="155"/>
      <c r="BZ262" s="155"/>
      <c r="CA262" s="155"/>
      <c r="CB262" s="155"/>
      <c r="CC262" s="155"/>
      <c r="CD262" s="155"/>
      <c r="CE262" s="155"/>
      <c r="CF262" s="155"/>
      <c r="CG262" s="155"/>
    </row>
    <row r="263" spans="1:85" ht="12.75" x14ac:dyDescent="0.2">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c r="AA263" s="155"/>
      <c r="AB263" s="155"/>
      <c r="AC263" s="155"/>
      <c r="AD263" s="155"/>
      <c r="AE263" s="155"/>
      <c r="AF263" s="155"/>
      <c r="AG263" s="155"/>
      <c r="AH263" s="155"/>
      <c r="AI263" s="155"/>
      <c r="AJ263" s="155"/>
      <c r="AK263" s="155"/>
      <c r="AL263" s="155"/>
      <c r="AM263" s="155"/>
      <c r="AN263" s="155"/>
      <c r="AO263" s="155"/>
      <c r="AP263" s="155"/>
      <c r="AQ263" s="155"/>
      <c r="AR263" s="155"/>
      <c r="AS263" s="155"/>
      <c r="AT263" s="155"/>
      <c r="AU263" s="155"/>
      <c r="AV263" s="155"/>
      <c r="AW263" s="155"/>
      <c r="AX263" s="155"/>
      <c r="AY263" s="155"/>
      <c r="AZ263" s="155"/>
      <c r="BA263" s="155"/>
      <c r="BB263" s="155"/>
      <c r="BC263" s="155"/>
      <c r="BD263" s="155"/>
      <c r="BE263" s="155"/>
      <c r="BF263" s="155"/>
      <c r="BG263" s="155"/>
      <c r="BH263" s="155"/>
      <c r="BI263" s="155"/>
      <c r="BJ263" s="155"/>
      <c r="BK263" s="155"/>
      <c r="BL263" s="155"/>
      <c r="BM263" s="155"/>
      <c r="BN263" s="155"/>
      <c r="BO263" s="155"/>
      <c r="BP263" s="155"/>
      <c r="BQ263" s="155"/>
      <c r="BR263" s="155"/>
      <c r="BS263" s="155"/>
      <c r="BT263" s="155"/>
      <c r="BU263" s="155"/>
      <c r="BV263" s="155"/>
      <c r="BW263" s="155"/>
      <c r="BX263" s="155"/>
      <c r="BY263" s="155"/>
      <c r="BZ263" s="155"/>
      <c r="CA263" s="155"/>
      <c r="CB263" s="155"/>
      <c r="CC263" s="155"/>
      <c r="CD263" s="155"/>
      <c r="CE263" s="155"/>
      <c r="CF263" s="155"/>
      <c r="CG263" s="155"/>
    </row>
    <row r="264" spans="1:85" ht="12.75" x14ac:dyDescent="0.2">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c r="AA264" s="155"/>
      <c r="AB264" s="155"/>
      <c r="AC264" s="155"/>
      <c r="AD264" s="155"/>
      <c r="AE264" s="155"/>
      <c r="AF264" s="155"/>
      <c r="AG264" s="155"/>
      <c r="AH264" s="155"/>
      <c r="AI264" s="155"/>
      <c r="AJ264" s="155"/>
      <c r="AK264" s="155"/>
      <c r="AL264" s="155"/>
      <c r="AM264" s="155"/>
      <c r="AN264" s="155"/>
      <c r="AO264" s="155"/>
      <c r="AP264" s="155"/>
      <c r="AQ264" s="155"/>
      <c r="AR264" s="155"/>
      <c r="AS264" s="155"/>
      <c r="AT264" s="155"/>
      <c r="AU264" s="155"/>
      <c r="AV264" s="155"/>
      <c r="AW264" s="155"/>
      <c r="AX264" s="155"/>
      <c r="AY264" s="155"/>
      <c r="AZ264" s="155"/>
      <c r="BA264" s="155"/>
      <c r="BB264" s="155"/>
      <c r="BC264" s="155"/>
      <c r="BD264" s="155"/>
      <c r="BE264" s="155"/>
      <c r="BF264" s="155"/>
      <c r="BG264" s="155"/>
      <c r="BH264" s="155"/>
      <c r="BI264" s="155"/>
      <c r="BJ264" s="155"/>
      <c r="BK264" s="155"/>
      <c r="BL264" s="155"/>
      <c r="BM264" s="155"/>
      <c r="BN264" s="155"/>
      <c r="BO264" s="155"/>
      <c r="BP264" s="155"/>
      <c r="BQ264" s="155"/>
      <c r="BR264" s="155"/>
      <c r="BS264" s="155"/>
      <c r="BT264" s="155"/>
      <c r="BU264" s="155"/>
      <c r="BV264" s="155"/>
      <c r="BW264" s="155"/>
      <c r="BX264" s="155"/>
      <c r="BY264" s="155"/>
      <c r="BZ264" s="155"/>
      <c r="CA264" s="155"/>
      <c r="CB264" s="155"/>
      <c r="CC264" s="155"/>
      <c r="CD264" s="155"/>
      <c r="CE264" s="155"/>
      <c r="CF264" s="155"/>
      <c r="CG264" s="155"/>
    </row>
    <row r="265" spans="1:85" ht="12.75" x14ac:dyDescent="0.2">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c r="AA265" s="155"/>
      <c r="AB265" s="155"/>
      <c r="AC265" s="155"/>
      <c r="AD265" s="155"/>
      <c r="AE265" s="155"/>
      <c r="AF265" s="155"/>
      <c r="AG265" s="155"/>
      <c r="AH265" s="155"/>
      <c r="AI265" s="155"/>
      <c r="AJ265" s="155"/>
      <c r="AK265" s="155"/>
      <c r="AL265" s="155"/>
      <c r="AM265" s="155"/>
      <c r="AN265" s="155"/>
      <c r="AO265" s="155"/>
      <c r="AP265" s="155"/>
      <c r="AQ265" s="155"/>
      <c r="AR265" s="155"/>
      <c r="AS265" s="155"/>
      <c r="AT265" s="155"/>
      <c r="AU265" s="155"/>
      <c r="AV265" s="155"/>
      <c r="AW265" s="155"/>
      <c r="AX265" s="155"/>
      <c r="AY265" s="155"/>
      <c r="AZ265" s="155"/>
      <c r="BA265" s="155"/>
      <c r="BB265" s="155"/>
      <c r="BC265" s="155"/>
      <c r="BD265" s="155"/>
      <c r="BE265" s="155"/>
      <c r="BF265" s="155"/>
      <c r="BG265" s="155"/>
      <c r="BH265" s="155"/>
      <c r="BI265" s="155"/>
      <c r="BJ265" s="155"/>
      <c r="BK265" s="155"/>
      <c r="BL265" s="155"/>
      <c r="BM265" s="155"/>
      <c r="BN265" s="155"/>
      <c r="BO265" s="155"/>
      <c r="BP265" s="155"/>
      <c r="BQ265" s="155"/>
      <c r="BR265" s="155"/>
      <c r="BS265" s="155"/>
      <c r="BT265" s="155"/>
      <c r="BU265" s="155"/>
      <c r="BV265" s="155"/>
      <c r="BW265" s="155"/>
      <c r="BX265" s="155"/>
      <c r="BY265" s="155"/>
      <c r="BZ265" s="155"/>
      <c r="CA265" s="155"/>
      <c r="CB265" s="155"/>
      <c r="CC265" s="155"/>
      <c r="CD265" s="155"/>
      <c r="CE265" s="155"/>
      <c r="CF265" s="155"/>
      <c r="CG265" s="155"/>
    </row>
    <row r="266" spans="1:85" ht="12.75" x14ac:dyDescent="0.2">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c r="AA266" s="155"/>
      <c r="AB266" s="155"/>
      <c r="AC266" s="155"/>
      <c r="AD266" s="155"/>
      <c r="AE266" s="155"/>
      <c r="AF266" s="155"/>
      <c r="AG266" s="155"/>
      <c r="AH266" s="155"/>
      <c r="AI266" s="155"/>
      <c r="AJ266" s="155"/>
      <c r="AK266" s="155"/>
      <c r="AL266" s="155"/>
      <c r="AM266" s="155"/>
      <c r="AN266" s="155"/>
      <c r="AO266" s="155"/>
      <c r="AP266" s="155"/>
      <c r="AQ266" s="155"/>
      <c r="AR266" s="155"/>
      <c r="AS266" s="155"/>
      <c r="AT266" s="155"/>
      <c r="AU266" s="155"/>
      <c r="AV266" s="155"/>
      <c r="AW266" s="155"/>
      <c r="AX266" s="155"/>
      <c r="AY266" s="155"/>
      <c r="AZ266" s="155"/>
      <c r="BA266" s="155"/>
      <c r="BB266" s="155"/>
      <c r="BC266" s="155"/>
      <c r="BD266" s="155"/>
      <c r="BE266" s="155"/>
      <c r="BF266" s="155"/>
      <c r="BG266" s="155"/>
      <c r="BH266" s="155"/>
      <c r="BI266" s="155"/>
      <c r="BJ266" s="155"/>
      <c r="BK266" s="155"/>
      <c r="BL266" s="155"/>
      <c r="BM266" s="155"/>
      <c r="BN266" s="155"/>
      <c r="BO266" s="155"/>
      <c r="BP266" s="155"/>
      <c r="BQ266" s="155"/>
      <c r="BR266" s="155"/>
      <c r="BS266" s="155"/>
      <c r="BT266" s="155"/>
      <c r="BU266" s="155"/>
      <c r="BV266" s="155"/>
      <c r="BW266" s="155"/>
      <c r="BX266" s="155"/>
      <c r="BY266" s="155"/>
      <c r="BZ266" s="155"/>
      <c r="CA266" s="155"/>
      <c r="CB266" s="155"/>
      <c r="CC266" s="155"/>
      <c r="CD266" s="155"/>
      <c r="CE266" s="155"/>
      <c r="CF266" s="155"/>
      <c r="CG266" s="155"/>
    </row>
    <row r="267" spans="1:85" ht="12.75" x14ac:dyDescent="0.2">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c r="AA267" s="155"/>
      <c r="AB267" s="155"/>
      <c r="AC267" s="155"/>
      <c r="AD267" s="155"/>
      <c r="AE267" s="155"/>
      <c r="AF267" s="155"/>
      <c r="AG267" s="155"/>
      <c r="AH267" s="155"/>
      <c r="AI267" s="155"/>
      <c r="AJ267" s="155"/>
      <c r="AK267" s="155"/>
      <c r="AL267" s="155"/>
      <c r="AM267" s="155"/>
      <c r="AN267" s="155"/>
      <c r="AO267" s="155"/>
      <c r="AP267" s="155"/>
      <c r="AQ267" s="155"/>
      <c r="AR267" s="155"/>
      <c r="AS267" s="155"/>
      <c r="AT267" s="155"/>
      <c r="AU267" s="155"/>
      <c r="AV267" s="155"/>
      <c r="AW267" s="155"/>
      <c r="AX267" s="155"/>
      <c r="AY267" s="155"/>
      <c r="AZ267" s="155"/>
      <c r="BA267" s="155"/>
      <c r="BB267" s="155"/>
      <c r="BC267" s="155"/>
      <c r="BD267" s="155"/>
      <c r="BE267" s="155"/>
      <c r="BF267" s="155"/>
      <c r="BG267" s="155"/>
      <c r="BH267" s="155"/>
      <c r="BI267" s="155"/>
      <c r="BJ267" s="155"/>
      <c r="BK267" s="155"/>
      <c r="BL267" s="155"/>
      <c r="BM267" s="155"/>
      <c r="BN267" s="155"/>
      <c r="BO267" s="155"/>
      <c r="BP267" s="155"/>
      <c r="BQ267" s="155"/>
      <c r="BR267" s="155"/>
      <c r="BS267" s="155"/>
      <c r="BT267" s="155"/>
      <c r="BU267" s="155"/>
      <c r="BV267" s="155"/>
      <c r="BW267" s="155"/>
      <c r="BX267" s="155"/>
      <c r="BY267" s="155"/>
      <c r="BZ267" s="155"/>
      <c r="CA267" s="155"/>
      <c r="CB267" s="155"/>
      <c r="CC267" s="155"/>
      <c r="CD267" s="155"/>
      <c r="CE267" s="155"/>
      <c r="CF267" s="155"/>
      <c r="CG267" s="155"/>
    </row>
    <row r="268" spans="1:85" ht="12.75" x14ac:dyDescent="0.2">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55"/>
      <c r="AH268" s="155"/>
      <c r="AI268" s="155"/>
      <c r="AJ268" s="155"/>
      <c r="AK268" s="155"/>
      <c r="AL268" s="155"/>
      <c r="AM268" s="155"/>
      <c r="AN268" s="155"/>
      <c r="AO268" s="155"/>
      <c r="AP268" s="155"/>
      <c r="AQ268" s="155"/>
      <c r="AR268" s="155"/>
      <c r="AS268" s="155"/>
      <c r="AT268" s="155"/>
      <c r="AU268" s="155"/>
      <c r="AV268" s="155"/>
      <c r="AW268" s="155"/>
      <c r="AX268" s="155"/>
      <c r="AY268" s="155"/>
      <c r="AZ268" s="155"/>
      <c r="BA268" s="155"/>
      <c r="BB268" s="155"/>
      <c r="BC268" s="155"/>
      <c r="BD268" s="155"/>
      <c r="BE268" s="155"/>
      <c r="BF268" s="155"/>
      <c r="BG268" s="155"/>
      <c r="BH268" s="155"/>
      <c r="BI268" s="155"/>
      <c r="BJ268" s="155"/>
      <c r="BK268" s="155"/>
      <c r="BL268" s="155"/>
      <c r="BM268" s="155"/>
      <c r="BN268" s="155"/>
      <c r="BO268" s="155"/>
      <c r="BP268" s="155"/>
      <c r="BQ268" s="155"/>
      <c r="BR268" s="155"/>
      <c r="BS268" s="155"/>
      <c r="BT268" s="155"/>
      <c r="BU268" s="155"/>
      <c r="BV268" s="155"/>
      <c r="BW268" s="155"/>
      <c r="BX268" s="155"/>
      <c r="BY268" s="155"/>
      <c r="BZ268" s="155"/>
      <c r="CA268" s="155"/>
      <c r="CB268" s="155"/>
      <c r="CC268" s="155"/>
      <c r="CD268" s="155"/>
      <c r="CE268" s="155"/>
      <c r="CF268" s="155"/>
      <c r="CG268" s="155"/>
    </row>
    <row r="269" spans="1:85" ht="12.75" x14ac:dyDescent="0.2">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c r="AA269" s="155"/>
      <c r="AB269" s="155"/>
      <c r="AC269" s="155"/>
      <c r="AD269" s="155"/>
      <c r="AE269" s="155"/>
      <c r="AF269" s="155"/>
      <c r="AG269" s="155"/>
      <c r="AH269" s="155"/>
      <c r="AI269" s="155"/>
      <c r="AJ269" s="155"/>
      <c r="AK269" s="155"/>
      <c r="AL269" s="155"/>
      <c r="AM269" s="155"/>
      <c r="AN269" s="155"/>
      <c r="AO269" s="155"/>
      <c r="AP269" s="155"/>
      <c r="AQ269" s="155"/>
      <c r="AR269" s="155"/>
      <c r="AS269" s="155"/>
      <c r="AT269" s="155"/>
      <c r="AU269" s="155"/>
      <c r="AV269" s="155"/>
      <c r="AW269" s="155"/>
      <c r="AX269" s="155"/>
      <c r="AY269" s="155"/>
      <c r="AZ269" s="155"/>
      <c r="BA269" s="155"/>
      <c r="BB269" s="155"/>
      <c r="BC269" s="155"/>
      <c r="BD269" s="155"/>
      <c r="BE269" s="155"/>
      <c r="BF269" s="155"/>
      <c r="BG269" s="155"/>
      <c r="BH269" s="155"/>
      <c r="BI269" s="155"/>
      <c r="BJ269" s="155"/>
      <c r="BK269" s="155"/>
      <c r="BL269" s="155"/>
      <c r="BM269" s="155"/>
      <c r="BN269" s="155"/>
      <c r="BO269" s="155"/>
      <c r="BP269" s="155"/>
      <c r="BQ269" s="155"/>
      <c r="BR269" s="155"/>
      <c r="BS269" s="155"/>
      <c r="BT269" s="155"/>
      <c r="BU269" s="155"/>
      <c r="BV269" s="155"/>
      <c r="BW269" s="155"/>
      <c r="BX269" s="155"/>
      <c r="BY269" s="155"/>
      <c r="BZ269" s="155"/>
      <c r="CA269" s="155"/>
      <c r="CB269" s="155"/>
      <c r="CC269" s="155"/>
      <c r="CD269" s="155"/>
      <c r="CE269" s="155"/>
      <c r="CF269" s="155"/>
      <c r="CG269" s="155"/>
    </row>
    <row r="270" spans="1:85" ht="12.75" x14ac:dyDescent="0.2">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c r="AA270" s="155"/>
      <c r="AB270" s="155"/>
      <c r="AC270" s="155"/>
      <c r="AD270" s="155"/>
      <c r="AE270" s="155"/>
      <c r="AF270" s="155"/>
      <c r="AG270" s="155"/>
      <c r="AH270" s="155"/>
      <c r="AI270" s="155"/>
      <c r="AJ270" s="155"/>
      <c r="AK270" s="155"/>
      <c r="AL270" s="155"/>
      <c r="AM270" s="155"/>
      <c r="AN270" s="155"/>
      <c r="AO270" s="155"/>
      <c r="AP270" s="155"/>
      <c r="AQ270" s="155"/>
      <c r="AR270" s="155"/>
      <c r="AS270" s="155"/>
      <c r="AT270" s="155"/>
      <c r="AU270" s="155"/>
      <c r="AV270" s="155"/>
      <c r="AW270" s="155"/>
      <c r="AX270" s="155"/>
      <c r="AY270" s="155"/>
      <c r="AZ270" s="155"/>
      <c r="BA270" s="155"/>
      <c r="BB270" s="155"/>
      <c r="BC270" s="155"/>
      <c r="BD270" s="155"/>
      <c r="BE270" s="155"/>
      <c r="BF270" s="155"/>
      <c r="BG270" s="155"/>
      <c r="BH270" s="155"/>
      <c r="BI270" s="155"/>
      <c r="BJ270" s="155"/>
      <c r="BK270" s="155"/>
      <c r="BL270" s="155"/>
      <c r="BM270" s="155"/>
      <c r="BN270" s="155"/>
      <c r="BO270" s="155"/>
      <c r="BP270" s="155"/>
      <c r="BQ270" s="155"/>
      <c r="BR270" s="155"/>
      <c r="BS270" s="155"/>
      <c r="BT270" s="155"/>
      <c r="BU270" s="155"/>
      <c r="BV270" s="155"/>
      <c r="BW270" s="155"/>
      <c r="BX270" s="155"/>
      <c r="BY270" s="155"/>
      <c r="BZ270" s="155"/>
      <c r="CA270" s="155"/>
      <c r="CB270" s="155"/>
      <c r="CC270" s="155"/>
      <c r="CD270" s="155"/>
      <c r="CE270" s="155"/>
      <c r="CF270" s="155"/>
      <c r="CG270" s="155"/>
    </row>
    <row r="271" spans="1:85" ht="12.75" x14ac:dyDescent="0.2">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55"/>
      <c r="AH271" s="155"/>
      <c r="AI271" s="155"/>
      <c r="AJ271" s="155"/>
      <c r="AK271" s="155"/>
      <c r="AL271" s="155"/>
      <c r="AM271" s="155"/>
      <c r="AN271" s="155"/>
      <c r="AO271" s="155"/>
      <c r="AP271" s="155"/>
      <c r="AQ271" s="155"/>
      <c r="AR271" s="155"/>
      <c r="AS271" s="155"/>
      <c r="AT271" s="155"/>
      <c r="AU271" s="155"/>
      <c r="AV271" s="155"/>
      <c r="AW271" s="155"/>
      <c r="AX271" s="155"/>
      <c r="AY271" s="155"/>
      <c r="AZ271" s="155"/>
      <c r="BA271" s="155"/>
      <c r="BB271" s="155"/>
      <c r="BC271" s="155"/>
      <c r="BD271" s="155"/>
      <c r="BE271" s="155"/>
      <c r="BF271" s="155"/>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row>
    <row r="272" spans="1:85" ht="12.75" x14ac:dyDescent="0.2">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c r="AA272" s="155"/>
      <c r="AB272" s="155"/>
      <c r="AC272" s="155"/>
      <c r="AD272" s="155"/>
      <c r="AE272" s="155"/>
      <c r="AF272" s="155"/>
      <c r="AG272" s="155"/>
      <c r="AH272" s="155"/>
      <c r="AI272" s="155"/>
      <c r="AJ272" s="155"/>
      <c r="AK272" s="155"/>
      <c r="AL272" s="155"/>
      <c r="AM272" s="155"/>
      <c r="AN272" s="155"/>
      <c r="AO272" s="155"/>
      <c r="AP272" s="155"/>
      <c r="AQ272" s="155"/>
      <c r="AR272" s="155"/>
      <c r="AS272" s="155"/>
      <c r="AT272" s="155"/>
      <c r="AU272" s="155"/>
      <c r="AV272" s="155"/>
      <c r="AW272" s="155"/>
      <c r="AX272" s="155"/>
      <c r="AY272" s="155"/>
      <c r="AZ272" s="155"/>
      <c r="BA272" s="155"/>
      <c r="BB272" s="155"/>
      <c r="BC272" s="155"/>
      <c r="BD272" s="155"/>
      <c r="BE272" s="155"/>
      <c r="BF272" s="155"/>
      <c r="BG272" s="155"/>
      <c r="BH272" s="155"/>
      <c r="BI272" s="155"/>
      <c r="BJ272" s="155"/>
      <c r="BK272" s="155"/>
      <c r="BL272" s="155"/>
      <c r="BM272" s="155"/>
      <c r="BN272" s="155"/>
      <c r="BO272" s="155"/>
      <c r="BP272" s="155"/>
      <c r="BQ272" s="155"/>
      <c r="BR272" s="155"/>
      <c r="BS272" s="155"/>
      <c r="BT272" s="155"/>
      <c r="BU272" s="155"/>
      <c r="BV272" s="155"/>
      <c r="BW272" s="155"/>
      <c r="BX272" s="155"/>
      <c r="BY272" s="155"/>
      <c r="BZ272" s="155"/>
      <c r="CA272" s="155"/>
      <c r="CB272" s="155"/>
      <c r="CC272" s="155"/>
      <c r="CD272" s="155"/>
      <c r="CE272" s="155"/>
      <c r="CF272" s="155"/>
      <c r="CG272" s="155"/>
    </row>
    <row r="273" spans="1:85" ht="12.75" x14ac:dyDescent="0.2">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c r="AA273" s="155"/>
      <c r="AB273" s="155"/>
      <c r="AC273" s="155"/>
      <c r="AD273" s="155"/>
      <c r="AE273" s="155"/>
      <c r="AF273" s="155"/>
      <c r="AG273" s="155"/>
      <c r="AH273" s="155"/>
      <c r="AI273" s="155"/>
      <c r="AJ273" s="155"/>
      <c r="AK273" s="155"/>
      <c r="AL273" s="155"/>
      <c r="AM273" s="155"/>
      <c r="AN273" s="155"/>
      <c r="AO273" s="155"/>
      <c r="AP273" s="155"/>
      <c r="AQ273" s="155"/>
      <c r="AR273" s="155"/>
      <c r="AS273" s="155"/>
      <c r="AT273" s="155"/>
      <c r="AU273" s="155"/>
      <c r="AV273" s="155"/>
      <c r="AW273" s="155"/>
      <c r="AX273" s="155"/>
      <c r="AY273" s="155"/>
      <c r="AZ273" s="155"/>
      <c r="BA273" s="155"/>
      <c r="BB273" s="155"/>
      <c r="BC273" s="155"/>
      <c r="BD273" s="155"/>
      <c r="BE273" s="155"/>
      <c r="BF273" s="155"/>
      <c r="BG273" s="155"/>
      <c r="BH273" s="155"/>
      <c r="BI273" s="155"/>
      <c r="BJ273" s="155"/>
      <c r="BK273" s="155"/>
      <c r="BL273" s="155"/>
      <c r="BM273" s="155"/>
      <c r="BN273" s="155"/>
      <c r="BO273" s="155"/>
      <c r="BP273" s="155"/>
      <c r="BQ273" s="155"/>
      <c r="BR273" s="155"/>
      <c r="BS273" s="155"/>
      <c r="BT273" s="155"/>
      <c r="BU273" s="155"/>
      <c r="BV273" s="155"/>
      <c r="BW273" s="155"/>
      <c r="BX273" s="155"/>
      <c r="BY273" s="155"/>
      <c r="BZ273" s="155"/>
      <c r="CA273" s="155"/>
      <c r="CB273" s="155"/>
      <c r="CC273" s="155"/>
      <c r="CD273" s="155"/>
      <c r="CE273" s="155"/>
      <c r="CF273" s="155"/>
      <c r="CG273" s="155"/>
    </row>
    <row r="274" spans="1:85" ht="12.75" x14ac:dyDescent="0.2">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c r="AA274" s="155"/>
      <c r="AB274" s="155"/>
      <c r="AC274" s="155"/>
      <c r="AD274" s="155"/>
      <c r="AE274" s="155"/>
      <c r="AF274" s="155"/>
      <c r="AG274" s="155"/>
      <c r="AH274" s="155"/>
      <c r="AI274" s="155"/>
      <c r="AJ274" s="155"/>
      <c r="AK274" s="155"/>
      <c r="AL274" s="155"/>
      <c r="AM274" s="155"/>
      <c r="AN274" s="155"/>
      <c r="AO274" s="155"/>
      <c r="AP274" s="155"/>
      <c r="AQ274" s="155"/>
      <c r="AR274" s="155"/>
      <c r="AS274" s="155"/>
      <c r="AT274" s="155"/>
      <c r="AU274" s="155"/>
      <c r="AV274" s="155"/>
      <c r="AW274" s="155"/>
      <c r="AX274" s="155"/>
      <c r="AY274" s="155"/>
      <c r="AZ274" s="155"/>
      <c r="BA274" s="155"/>
      <c r="BB274" s="155"/>
      <c r="BC274" s="155"/>
      <c r="BD274" s="155"/>
      <c r="BE274" s="155"/>
      <c r="BF274" s="155"/>
      <c r="BG274" s="155"/>
      <c r="BH274" s="155"/>
      <c r="BI274" s="155"/>
      <c r="BJ274" s="155"/>
      <c r="BK274" s="155"/>
      <c r="BL274" s="155"/>
      <c r="BM274" s="155"/>
      <c r="BN274" s="155"/>
      <c r="BO274" s="155"/>
      <c r="BP274" s="155"/>
      <c r="BQ274" s="155"/>
      <c r="BR274" s="155"/>
      <c r="BS274" s="155"/>
      <c r="BT274" s="155"/>
      <c r="BU274" s="155"/>
      <c r="BV274" s="155"/>
      <c r="BW274" s="155"/>
      <c r="BX274" s="155"/>
      <c r="BY274" s="155"/>
      <c r="BZ274" s="155"/>
      <c r="CA274" s="155"/>
      <c r="CB274" s="155"/>
      <c r="CC274" s="155"/>
      <c r="CD274" s="155"/>
      <c r="CE274" s="155"/>
      <c r="CF274" s="155"/>
      <c r="CG274" s="155"/>
    </row>
    <row r="275" spans="1:85" ht="12.75" x14ac:dyDescent="0.2">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c r="AA275" s="155"/>
      <c r="AB275" s="155"/>
      <c r="AC275" s="155"/>
      <c r="AD275" s="155"/>
      <c r="AE275" s="155"/>
      <c r="AF275" s="155"/>
      <c r="AG275" s="155"/>
      <c r="AH275" s="155"/>
      <c r="AI275" s="155"/>
      <c r="AJ275" s="155"/>
      <c r="AK275" s="155"/>
      <c r="AL275" s="155"/>
      <c r="AM275" s="155"/>
      <c r="AN275" s="155"/>
      <c r="AO275" s="155"/>
      <c r="AP275" s="155"/>
      <c r="AQ275" s="155"/>
      <c r="AR275" s="155"/>
      <c r="AS275" s="155"/>
      <c r="AT275" s="155"/>
      <c r="AU275" s="155"/>
      <c r="AV275" s="155"/>
      <c r="AW275" s="155"/>
      <c r="AX275" s="155"/>
      <c r="AY275" s="155"/>
      <c r="AZ275" s="155"/>
      <c r="BA275" s="155"/>
      <c r="BB275" s="155"/>
      <c r="BC275" s="155"/>
      <c r="BD275" s="155"/>
      <c r="BE275" s="155"/>
      <c r="BF275" s="155"/>
      <c r="BG275" s="155"/>
      <c r="BH275" s="155"/>
      <c r="BI275" s="155"/>
      <c r="BJ275" s="155"/>
      <c r="BK275" s="155"/>
      <c r="BL275" s="155"/>
      <c r="BM275" s="155"/>
      <c r="BN275" s="155"/>
      <c r="BO275" s="155"/>
      <c r="BP275" s="155"/>
      <c r="BQ275" s="155"/>
      <c r="BR275" s="155"/>
      <c r="BS275" s="155"/>
      <c r="BT275" s="155"/>
      <c r="BU275" s="155"/>
      <c r="BV275" s="155"/>
      <c r="BW275" s="155"/>
      <c r="BX275" s="155"/>
      <c r="BY275" s="155"/>
      <c r="BZ275" s="155"/>
      <c r="CA275" s="155"/>
      <c r="CB275" s="155"/>
      <c r="CC275" s="155"/>
      <c r="CD275" s="155"/>
      <c r="CE275" s="155"/>
      <c r="CF275" s="155"/>
      <c r="CG275" s="155"/>
    </row>
    <row r="276" spans="1:85" ht="12.75" x14ac:dyDescent="0.2">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c r="AA276" s="155"/>
      <c r="AB276" s="155"/>
      <c r="AC276" s="155"/>
      <c r="AD276" s="155"/>
      <c r="AE276" s="155"/>
      <c r="AF276" s="155"/>
      <c r="AG276" s="155"/>
      <c r="AH276" s="155"/>
      <c r="AI276" s="155"/>
      <c r="AJ276" s="155"/>
      <c r="AK276" s="155"/>
      <c r="AL276" s="155"/>
      <c r="AM276" s="155"/>
      <c r="AN276" s="155"/>
      <c r="AO276" s="155"/>
      <c r="AP276" s="155"/>
      <c r="AQ276" s="155"/>
      <c r="AR276" s="155"/>
      <c r="AS276" s="155"/>
      <c r="AT276" s="155"/>
      <c r="AU276" s="155"/>
      <c r="AV276" s="155"/>
      <c r="AW276" s="155"/>
      <c r="AX276" s="155"/>
      <c r="AY276" s="155"/>
      <c r="AZ276" s="155"/>
      <c r="BA276" s="155"/>
      <c r="BB276" s="155"/>
      <c r="BC276" s="155"/>
      <c r="BD276" s="155"/>
      <c r="BE276" s="155"/>
      <c r="BF276" s="155"/>
      <c r="BG276" s="155"/>
      <c r="BH276" s="155"/>
      <c r="BI276" s="155"/>
      <c r="BJ276" s="155"/>
      <c r="BK276" s="155"/>
      <c r="BL276" s="155"/>
      <c r="BM276" s="155"/>
      <c r="BN276" s="155"/>
      <c r="BO276" s="155"/>
      <c r="BP276" s="155"/>
      <c r="BQ276" s="155"/>
      <c r="BR276" s="155"/>
      <c r="BS276" s="155"/>
      <c r="BT276" s="155"/>
      <c r="BU276" s="155"/>
      <c r="BV276" s="155"/>
      <c r="BW276" s="155"/>
      <c r="BX276" s="155"/>
      <c r="BY276" s="155"/>
      <c r="BZ276" s="155"/>
      <c r="CA276" s="155"/>
      <c r="CB276" s="155"/>
      <c r="CC276" s="155"/>
      <c r="CD276" s="155"/>
      <c r="CE276" s="155"/>
      <c r="CF276" s="155"/>
      <c r="CG276" s="155"/>
    </row>
    <row r="277" spans="1:85" ht="12.75" x14ac:dyDescent="0.2">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c r="AA277" s="155"/>
      <c r="AB277" s="155"/>
      <c r="AC277" s="155"/>
      <c r="AD277" s="155"/>
      <c r="AE277" s="155"/>
      <c r="AF277" s="155"/>
      <c r="AG277" s="155"/>
      <c r="AH277" s="155"/>
      <c r="AI277" s="155"/>
      <c r="AJ277" s="155"/>
      <c r="AK277" s="155"/>
      <c r="AL277" s="155"/>
      <c r="AM277" s="155"/>
      <c r="AN277" s="155"/>
      <c r="AO277" s="155"/>
      <c r="AP277" s="155"/>
      <c r="AQ277" s="155"/>
      <c r="AR277" s="155"/>
      <c r="AS277" s="155"/>
      <c r="AT277" s="155"/>
      <c r="AU277" s="155"/>
      <c r="AV277" s="155"/>
      <c r="AW277" s="155"/>
      <c r="AX277" s="155"/>
      <c r="AY277" s="155"/>
      <c r="AZ277" s="155"/>
      <c r="BA277" s="155"/>
      <c r="BB277" s="155"/>
      <c r="BC277" s="155"/>
      <c r="BD277" s="155"/>
      <c r="BE277" s="155"/>
      <c r="BF277" s="155"/>
      <c r="BG277" s="155"/>
      <c r="BH277" s="155"/>
      <c r="BI277" s="155"/>
      <c r="BJ277" s="155"/>
      <c r="BK277" s="155"/>
      <c r="BL277" s="155"/>
      <c r="BM277" s="155"/>
      <c r="BN277" s="155"/>
      <c r="BO277" s="155"/>
      <c r="BP277" s="155"/>
      <c r="BQ277" s="155"/>
      <c r="BR277" s="155"/>
      <c r="BS277" s="155"/>
      <c r="BT277" s="155"/>
      <c r="BU277" s="155"/>
      <c r="BV277" s="155"/>
      <c r="BW277" s="155"/>
      <c r="BX277" s="155"/>
      <c r="BY277" s="155"/>
      <c r="BZ277" s="155"/>
      <c r="CA277" s="155"/>
      <c r="CB277" s="155"/>
      <c r="CC277" s="155"/>
      <c r="CD277" s="155"/>
      <c r="CE277" s="155"/>
      <c r="CF277" s="155"/>
      <c r="CG277" s="155"/>
    </row>
    <row r="278" spans="1:85" ht="12.75" x14ac:dyDescent="0.2">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c r="AA278" s="155"/>
      <c r="AB278" s="155"/>
      <c r="AC278" s="155"/>
      <c r="AD278" s="155"/>
      <c r="AE278" s="155"/>
      <c r="AF278" s="155"/>
      <c r="AG278" s="155"/>
      <c r="AH278" s="155"/>
      <c r="AI278" s="155"/>
      <c r="AJ278" s="155"/>
      <c r="AK278" s="155"/>
      <c r="AL278" s="155"/>
      <c r="AM278" s="155"/>
      <c r="AN278" s="155"/>
      <c r="AO278" s="155"/>
      <c r="AP278" s="155"/>
      <c r="AQ278" s="155"/>
      <c r="AR278" s="155"/>
      <c r="AS278" s="155"/>
      <c r="AT278" s="155"/>
      <c r="AU278" s="155"/>
      <c r="AV278" s="155"/>
      <c r="AW278" s="155"/>
      <c r="AX278" s="155"/>
      <c r="AY278" s="155"/>
      <c r="AZ278" s="155"/>
      <c r="BA278" s="155"/>
      <c r="BB278" s="155"/>
      <c r="BC278" s="155"/>
      <c r="BD278" s="155"/>
      <c r="BE278" s="155"/>
      <c r="BF278" s="155"/>
      <c r="BG278" s="155"/>
      <c r="BH278" s="155"/>
      <c r="BI278" s="155"/>
      <c r="BJ278" s="155"/>
      <c r="BK278" s="155"/>
      <c r="BL278" s="155"/>
      <c r="BM278" s="155"/>
      <c r="BN278" s="155"/>
      <c r="BO278" s="155"/>
      <c r="BP278" s="155"/>
      <c r="BQ278" s="155"/>
      <c r="BR278" s="155"/>
      <c r="BS278" s="155"/>
      <c r="BT278" s="155"/>
      <c r="BU278" s="155"/>
      <c r="BV278" s="155"/>
      <c r="BW278" s="155"/>
      <c r="BX278" s="155"/>
      <c r="BY278" s="155"/>
      <c r="BZ278" s="155"/>
      <c r="CA278" s="155"/>
      <c r="CB278" s="155"/>
      <c r="CC278" s="155"/>
      <c r="CD278" s="155"/>
      <c r="CE278" s="155"/>
      <c r="CF278" s="155"/>
      <c r="CG278" s="155"/>
    </row>
    <row r="279" spans="1:85" ht="12.75" x14ac:dyDescent="0.2">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c r="AA279" s="155"/>
      <c r="AB279" s="155"/>
      <c r="AC279" s="155"/>
      <c r="AD279" s="155"/>
      <c r="AE279" s="155"/>
      <c r="AF279" s="155"/>
      <c r="AG279" s="155"/>
      <c r="AH279" s="155"/>
      <c r="AI279" s="155"/>
      <c r="AJ279" s="155"/>
      <c r="AK279" s="155"/>
      <c r="AL279" s="155"/>
      <c r="AM279" s="155"/>
      <c r="AN279" s="155"/>
      <c r="AO279" s="155"/>
      <c r="AP279" s="155"/>
      <c r="AQ279" s="155"/>
      <c r="AR279" s="155"/>
      <c r="AS279" s="155"/>
      <c r="AT279" s="155"/>
      <c r="AU279" s="155"/>
      <c r="AV279" s="155"/>
      <c r="AW279" s="155"/>
      <c r="AX279" s="155"/>
      <c r="AY279" s="155"/>
      <c r="AZ279" s="155"/>
      <c r="BA279" s="155"/>
      <c r="BB279" s="155"/>
      <c r="BC279" s="155"/>
      <c r="BD279" s="155"/>
      <c r="BE279" s="155"/>
      <c r="BF279" s="155"/>
      <c r="BG279" s="155"/>
      <c r="BH279" s="155"/>
      <c r="BI279" s="155"/>
      <c r="BJ279" s="155"/>
      <c r="BK279" s="155"/>
      <c r="BL279" s="155"/>
      <c r="BM279" s="155"/>
      <c r="BN279" s="155"/>
      <c r="BO279" s="155"/>
      <c r="BP279" s="155"/>
      <c r="BQ279" s="155"/>
      <c r="BR279" s="155"/>
      <c r="BS279" s="155"/>
      <c r="BT279" s="155"/>
      <c r="BU279" s="155"/>
      <c r="BV279" s="155"/>
      <c r="BW279" s="155"/>
      <c r="BX279" s="155"/>
      <c r="BY279" s="155"/>
      <c r="BZ279" s="155"/>
      <c r="CA279" s="155"/>
      <c r="CB279" s="155"/>
      <c r="CC279" s="155"/>
      <c r="CD279" s="155"/>
      <c r="CE279" s="155"/>
      <c r="CF279" s="155"/>
      <c r="CG279" s="155"/>
    </row>
    <row r="280" spans="1:85" ht="12.75" x14ac:dyDescent="0.2">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c r="AA280" s="155"/>
      <c r="AB280" s="155"/>
      <c r="AC280" s="155"/>
      <c r="AD280" s="155"/>
      <c r="AE280" s="155"/>
      <c r="AF280" s="155"/>
      <c r="AG280" s="155"/>
      <c r="AH280" s="155"/>
      <c r="AI280" s="155"/>
      <c r="AJ280" s="155"/>
      <c r="AK280" s="155"/>
      <c r="AL280" s="155"/>
      <c r="AM280" s="155"/>
      <c r="AN280" s="155"/>
      <c r="AO280" s="155"/>
      <c r="AP280" s="155"/>
      <c r="AQ280" s="155"/>
      <c r="AR280" s="155"/>
      <c r="AS280" s="155"/>
      <c r="AT280" s="155"/>
      <c r="AU280" s="155"/>
      <c r="AV280" s="155"/>
      <c r="AW280" s="155"/>
      <c r="AX280" s="155"/>
      <c r="AY280" s="155"/>
      <c r="AZ280" s="155"/>
      <c r="BA280" s="155"/>
      <c r="BB280" s="155"/>
      <c r="BC280" s="155"/>
      <c r="BD280" s="155"/>
      <c r="BE280" s="155"/>
      <c r="BF280" s="155"/>
      <c r="BG280" s="155"/>
      <c r="BH280" s="155"/>
      <c r="BI280" s="155"/>
      <c r="BJ280" s="155"/>
      <c r="BK280" s="155"/>
      <c r="BL280" s="155"/>
      <c r="BM280" s="155"/>
      <c r="BN280" s="155"/>
      <c r="BO280" s="155"/>
      <c r="BP280" s="155"/>
      <c r="BQ280" s="155"/>
      <c r="BR280" s="155"/>
      <c r="BS280" s="155"/>
      <c r="BT280" s="155"/>
      <c r="BU280" s="155"/>
      <c r="BV280" s="155"/>
      <c r="BW280" s="155"/>
      <c r="BX280" s="155"/>
      <c r="BY280" s="155"/>
      <c r="BZ280" s="155"/>
      <c r="CA280" s="155"/>
      <c r="CB280" s="155"/>
      <c r="CC280" s="155"/>
      <c r="CD280" s="155"/>
      <c r="CE280" s="155"/>
      <c r="CF280" s="155"/>
      <c r="CG280" s="155"/>
    </row>
    <row r="281" spans="1:85" ht="12.75" x14ac:dyDescent="0.2">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c r="AA281" s="155"/>
      <c r="AB281" s="155"/>
      <c r="AC281" s="155"/>
      <c r="AD281" s="155"/>
      <c r="AE281" s="155"/>
      <c r="AF281" s="155"/>
      <c r="AG281" s="155"/>
      <c r="AH281" s="155"/>
      <c r="AI281" s="155"/>
      <c r="AJ281" s="155"/>
      <c r="AK281" s="155"/>
      <c r="AL281" s="155"/>
      <c r="AM281" s="155"/>
      <c r="AN281" s="155"/>
      <c r="AO281" s="155"/>
      <c r="AP281" s="155"/>
      <c r="AQ281" s="155"/>
      <c r="AR281" s="155"/>
      <c r="AS281" s="155"/>
      <c r="AT281" s="155"/>
      <c r="AU281" s="155"/>
      <c r="AV281" s="155"/>
      <c r="AW281" s="155"/>
      <c r="AX281" s="155"/>
      <c r="AY281" s="155"/>
      <c r="AZ281" s="155"/>
      <c r="BA281" s="155"/>
      <c r="BB281" s="155"/>
      <c r="BC281" s="155"/>
      <c r="BD281" s="155"/>
      <c r="BE281" s="155"/>
      <c r="BF281" s="155"/>
      <c r="BG281" s="155"/>
      <c r="BH281" s="155"/>
      <c r="BI281" s="155"/>
      <c r="BJ281" s="155"/>
      <c r="BK281" s="155"/>
      <c r="BL281" s="155"/>
      <c r="BM281" s="155"/>
      <c r="BN281" s="155"/>
      <c r="BO281" s="155"/>
      <c r="BP281" s="155"/>
      <c r="BQ281" s="155"/>
      <c r="BR281" s="155"/>
      <c r="BS281" s="155"/>
      <c r="BT281" s="155"/>
      <c r="BU281" s="155"/>
      <c r="BV281" s="155"/>
      <c r="BW281" s="155"/>
      <c r="BX281" s="155"/>
      <c r="BY281" s="155"/>
      <c r="BZ281" s="155"/>
      <c r="CA281" s="155"/>
      <c r="CB281" s="155"/>
      <c r="CC281" s="155"/>
      <c r="CD281" s="155"/>
      <c r="CE281" s="155"/>
      <c r="CF281" s="155"/>
      <c r="CG281" s="155"/>
    </row>
    <row r="282" spans="1:85" ht="12.75" x14ac:dyDescent="0.2">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c r="AA282" s="155"/>
      <c r="AB282" s="155"/>
      <c r="AC282" s="155"/>
      <c r="AD282" s="155"/>
      <c r="AE282" s="155"/>
      <c r="AF282" s="155"/>
      <c r="AG282" s="155"/>
      <c r="AH282" s="155"/>
      <c r="AI282" s="155"/>
      <c r="AJ282" s="155"/>
      <c r="AK282" s="155"/>
      <c r="AL282" s="155"/>
      <c r="AM282" s="155"/>
      <c r="AN282" s="155"/>
      <c r="AO282" s="155"/>
      <c r="AP282" s="155"/>
      <c r="AQ282" s="155"/>
      <c r="AR282" s="155"/>
      <c r="AS282" s="155"/>
      <c r="AT282" s="155"/>
      <c r="AU282" s="155"/>
      <c r="AV282" s="155"/>
      <c r="AW282" s="155"/>
      <c r="AX282" s="155"/>
      <c r="AY282" s="155"/>
      <c r="AZ282" s="155"/>
      <c r="BA282" s="155"/>
      <c r="BB282" s="155"/>
      <c r="BC282" s="155"/>
      <c r="BD282" s="155"/>
      <c r="BE282" s="155"/>
      <c r="BF282" s="155"/>
      <c r="BG282" s="155"/>
      <c r="BH282" s="155"/>
      <c r="BI282" s="155"/>
      <c r="BJ282" s="155"/>
      <c r="BK282" s="155"/>
      <c r="BL282" s="155"/>
      <c r="BM282" s="155"/>
      <c r="BN282" s="155"/>
      <c r="BO282" s="155"/>
      <c r="BP282" s="155"/>
      <c r="BQ282" s="155"/>
      <c r="BR282" s="155"/>
      <c r="BS282" s="155"/>
      <c r="BT282" s="155"/>
      <c r="BU282" s="155"/>
      <c r="BV282" s="155"/>
      <c r="BW282" s="155"/>
      <c r="BX282" s="155"/>
      <c r="BY282" s="155"/>
      <c r="BZ282" s="155"/>
      <c r="CA282" s="155"/>
      <c r="CB282" s="155"/>
      <c r="CC282" s="155"/>
      <c r="CD282" s="155"/>
      <c r="CE282" s="155"/>
      <c r="CF282" s="155"/>
      <c r="CG282" s="155"/>
    </row>
    <row r="283" spans="1:85" ht="12.75" x14ac:dyDescent="0.2">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c r="AA283" s="155"/>
      <c r="AB283" s="155"/>
      <c r="AC283" s="155"/>
      <c r="AD283" s="155"/>
      <c r="AE283" s="155"/>
      <c r="AF283" s="155"/>
      <c r="AG283" s="155"/>
      <c r="AH283" s="155"/>
      <c r="AI283" s="155"/>
      <c r="AJ283" s="155"/>
      <c r="AK283" s="155"/>
      <c r="AL283" s="155"/>
      <c r="AM283" s="155"/>
      <c r="AN283" s="155"/>
      <c r="AO283" s="155"/>
      <c r="AP283" s="155"/>
      <c r="AQ283" s="155"/>
      <c r="AR283" s="155"/>
      <c r="AS283" s="155"/>
      <c r="AT283" s="155"/>
      <c r="AU283" s="155"/>
      <c r="AV283" s="155"/>
      <c r="AW283" s="155"/>
      <c r="AX283" s="155"/>
      <c r="AY283" s="155"/>
      <c r="AZ283" s="155"/>
      <c r="BA283" s="155"/>
      <c r="BB283" s="155"/>
      <c r="BC283" s="155"/>
      <c r="BD283" s="155"/>
      <c r="BE283" s="155"/>
      <c r="BF283" s="155"/>
      <c r="BG283" s="155"/>
      <c r="BH283" s="155"/>
      <c r="BI283" s="155"/>
      <c r="BJ283" s="155"/>
      <c r="BK283" s="155"/>
      <c r="BL283" s="155"/>
      <c r="BM283" s="155"/>
      <c r="BN283" s="155"/>
      <c r="BO283" s="155"/>
      <c r="BP283" s="155"/>
      <c r="BQ283" s="155"/>
      <c r="BR283" s="155"/>
      <c r="BS283" s="155"/>
      <c r="BT283" s="155"/>
      <c r="BU283" s="155"/>
      <c r="BV283" s="155"/>
      <c r="BW283" s="155"/>
      <c r="BX283" s="155"/>
      <c r="BY283" s="155"/>
      <c r="BZ283" s="155"/>
      <c r="CA283" s="155"/>
      <c r="CB283" s="155"/>
      <c r="CC283" s="155"/>
      <c r="CD283" s="155"/>
      <c r="CE283" s="155"/>
      <c r="CF283" s="155"/>
      <c r="CG283" s="155"/>
    </row>
    <row r="284" spans="1:85" ht="12.75" x14ac:dyDescent="0.2">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c r="AA284" s="155"/>
      <c r="AB284" s="155"/>
      <c r="AC284" s="155"/>
      <c r="AD284" s="155"/>
      <c r="AE284" s="155"/>
      <c r="AF284" s="155"/>
      <c r="AG284" s="155"/>
      <c r="AH284" s="155"/>
      <c r="AI284" s="155"/>
      <c r="AJ284" s="155"/>
      <c r="AK284" s="155"/>
      <c r="AL284" s="155"/>
      <c r="AM284" s="155"/>
      <c r="AN284" s="155"/>
      <c r="AO284" s="155"/>
      <c r="AP284" s="155"/>
      <c r="AQ284" s="155"/>
      <c r="AR284" s="155"/>
      <c r="AS284" s="155"/>
      <c r="AT284" s="155"/>
      <c r="AU284" s="155"/>
      <c r="AV284" s="155"/>
      <c r="AW284" s="155"/>
      <c r="AX284" s="155"/>
      <c r="AY284" s="155"/>
      <c r="AZ284" s="155"/>
      <c r="BA284" s="155"/>
      <c r="BB284" s="155"/>
      <c r="BC284" s="155"/>
      <c r="BD284" s="155"/>
      <c r="BE284" s="155"/>
      <c r="BF284" s="155"/>
      <c r="BG284" s="155"/>
      <c r="BH284" s="155"/>
      <c r="BI284" s="155"/>
      <c r="BJ284" s="155"/>
      <c r="BK284" s="155"/>
      <c r="BL284" s="155"/>
      <c r="BM284" s="155"/>
      <c r="BN284" s="155"/>
      <c r="BO284" s="155"/>
      <c r="BP284" s="155"/>
      <c r="BQ284" s="155"/>
      <c r="BR284" s="155"/>
      <c r="BS284" s="155"/>
      <c r="BT284" s="155"/>
      <c r="BU284" s="155"/>
      <c r="BV284" s="155"/>
      <c r="BW284" s="155"/>
      <c r="BX284" s="155"/>
      <c r="BY284" s="155"/>
      <c r="BZ284" s="155"/>
      <c r="CA284" s="155"/>
      <c r="CB284" s="155"/>
      <c r="CC284" s="155"/>
      <c r="CD284" s="155"/>
      <c r="CE284" s="155"/>
      <c r="CF284" s="155"/>
      <c r="CG284" s="155"/>
    </row>
    <row r="285" spans="1:85" ht="12.75" x14ac:dyDescent="0.2">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c r="AA285" s="155"/>
      <c r="AB285" s="155"/>
      <c r="AC285" s="155"/>
      <c r="AD285" s="155"/>
      <c r="AE285" s="155"/>
      <c r="AF285" s="155"/>
      <c r="AG285" s="155"/>
      <c r="AH285" s="155"/>
      <c r="AI285" s="155"/>
      <c r="AJ285" s="155"/>
      <c r="AK285" s="155"/>
      <c r="AL285" s="155"/>
      <c r="AM285" s="155"/>
      <c r="AN285" s="155"/>
      <c r="AO285" s="155"/>
      <c r="AP285" s="155"/>
      <c r="AQ285" s="155"/>
      <c r="AR285" s="155"/>
      <c r="AS285" s="155"/>
      <c r="AT285" s="155"/>
      <c r="AU285" s="155"/>
      <c r="AV285" s="155"/>
      <c r="AW285" s="155"/>
      <c r="AX285" s="155"/>
      <c r="AY285" s="155"/>
      <c r="AZ285" s="155"/>
      <c r="BA285" s="155"/>
      <c r="BB285" s="155"/>
      <c r="BC285" s="155"/>
      <c r="BD285" s="155"/>
      <c r="BE285" s="155"/>
      <c r="BF285" s="155"/>
      <c r="BG285" s="155"/>
      <c r="BH285" s="155"/>
      <c r="BI285" s="155"/>
      <c r="BJ285" s="155"/>
      <c r="BK285" s="155"/>
      <c r="BL285" s="155"/>
      <c r="BM285" s="155"/>
      <c r="BN285" s="155"/>
      <c r="BO285" s="155"/>
      <c r="BP285" s="155"/>
      <c r="BQ285" s="155"/>
      <c r="BR285" s="155"/>
      <c r="BS285" s="155"/>
      <c r="BT285" s="155"/>
      <c r="BU285" s="155"/>
      <c r="BV285" s="155"/>
      <c r="BW285" s="155"/>
      <c r="BX285" s="155"/>
      <c r="BY285" s="155"/>
      <c r="BZ285" s="155"/>
      <c r="CA285" s="155"/>
      <c r="CB285" s="155"/>
      <c r="CC285" s="155"/>
      <c r="CD285" s="155"/>
      <c r="CE285" s="155"/>
      <c r="CF285" s="155"/>
      <c r="CG285" s="155"/>
    </row>
    <row r="286" spans="1:85" ht="12.75" x14ac:dyDescent="0.2">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c r="AA286" s="155"/>
      <c r="AB286" s="155"/>
      <c r="AC286" s="155"/>
      <c r="AD286" s="155"/>
      <c r="AE286" s="155"/>
      <c r="AF286" s="155"/>
      <c r="AG286" s="155"/>
      <c r="AH286" s="155"/>
      <c r="AI286" s="155"/>
      <c r="AJ286" s="155"/>
      <c r="AK286" s="155"/>
      <c r="AL286" s="155"/>
      <c r="AM286" s="155"/>
      <c r="AN286" s="155"/>
      <c r="AO286" s="155"/>
      <c r="AP286" s="155"/>
      <c r="AQ286" s="155"/>
      <c r="AR286" s="155"/>
      <c r="AS286" s="155"/>
      <c r="AT286" s="155"/>
      <c r="AU286" s="155"/>
      <c r="AV286" s="155"/>
      <c r="AW286" s="155"/>
      <c r="AX286" s="155"/>
      <c r="AY286" s="155"/>
      <c r="AZ286" s="155"/>
      <c r="BA286" s="155"/>
      <c r="BB286" s="155"/>
      <c r="BC286" s="155"/>
      <c r="BD286" s="155"/>
      <c r="BE286" s="155"/>
      <c r="BF286" s="155"/>
      <c r="BG286" s="155"/>
      <c r="BH286" s="155"/>
      <c r="BI286" s="155"/>
      <c r="BJ286" s="155"/>
      <c r="BK286" s="155"/>
      <c r="BL286" s="155"/>
      <c r="BM286" s="155"/>
      <c r="BN286" s="155"/>
      <c r="BO286" s="155"/>
      <c r="BP286" s="155"/>
      <c r="BQ286" s="155"/>
      <c r="BR286" s="155"/>
      <c r="BS286" s="155"/>
      <c r="BT286" s="155"/>
      <c r="BU286" s="155"/>
      <c r="BV286" s="155"/>
      <c r="BW286" s="155"/>
      <c r="BX286" s="155"/>
      <c r="BY286" s="155"/>
      <c r="BZ286" s="155"/>
      <c r="CA286" s="155"/>
      <c r="CB286" s="155"/>
      <c r="CC286" s="155"/>
      <c r="CD286" s="155"/>
      <c r="CE286" s="155"/>
      <c r="CF286" s="155"/>
      <c r="CG286" s="155"/>
    </row>
    <row r="287" spans="1:85" ht="12.75" x14ac:dyDescent="0.2">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c r="AA287" s="155"/>
      <c r="AB287" s="155"/>
      <c r="AC287" s="155"/>
      <c r="AD287" s="155"/>
      <c r="AE287" s="155"/>
      <c r="AF287" s="155"/>
      <c r="AG287" s="155"/>
      <c r="AH287" s="155"/>
      <c r="AI287" s="155"/>
      <c r="AJ287" s="155"/>
      <c r="AK287" s="155"/>
      <c r="AL287" s="155"/>
      <c r="AM287" s="155"/>
      <c r="AN287" s="155"/>
      <c r="AO287" s="155"/>
      <c r="AP287" s="155"/>
      <c r="AQ287" s="155"/>
      <c r="AR287" s="155"/>
      <c r="AS287" s="155"/>
      <c r="AT287" s="155"/>
      <c r="AU287" s="155"/>
      <c r="AV287" s="155"/>
      <c r="AW287" s="155"/>
      <c r="AX287" s="155"/>
      <c r="AY287" s="155"/>
      <c r="AZ287" s="155"/>
      <c r="BA287" s="155"/>
      <c r="BB287" s="155"/>
      <c r="BC287" s="155"/>
      <c r="BD287" s="155"/>
      <c r="BE287" s="155"/>
      <c r="BF287" s="155"/>
      <c r="BG287" s="155"/>
      <c r="BH287" s="155"/>
      <c r="BI287" s="155"/>
      <c r="BJ287" s="155"/>
      <c r="BK287" s="155"/>
      <c r="BL287" s="155"/>
      <c r="BM287" s="155"/>
      <c r="BN287" s="155"/>
      <c r="BO287" s="155"/>
      <c r="BP287" s="155"/>
      <c r="BQ287" s="155"/>
      <c r="BR287" s="155"/>
      <c r="BS287" s="155"/>
      <c r="BT287" s="155"/>
      <c r="BU287" s="155"/>
      <c r="BV287" s="155"/>
      <c r="BW287" s="155"/>
      <c r="BX287" s="155"/>
      <c r="BY287" s="155"/>
      <c r="BZ287" s="155"/>
      <c r="CA287" s="155"/>
      <c r="CB287" s="155"/>
      <c r="CC287" s="155"/>
      <c r="CD287" s="155"/>
      <c r="CE287" s="155"/>
      <c r="CF287" s="155"/>
      <c r="CG287" s="155"/>
    </row>
    <row r="288" spans="1:85" ht="12.75" x14ac:dyDescent="0.2">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c r="AA288" s="155"/>
      <c r="AB288" s="155"/>
      <c r="AC288" s="155"/>
      <c r="AD288" s="155"/>
      <c r="AE288" s="155"/>
      <c r="AF288" s="155"/>
      <c r="AG288" s="155"/>
      <c r="AH288" s="155"/>
      <c r="AI288" s="155"/>
      <c r="AJ288" s="155"/>
      <c r="AK288" s="155"/>
      <c r="AL288" s="155"/>
      <c r="AM288" s="155"/>
      <c r="AN288" s="155"/>
      <c r="AO288" s="155"/>
      <c r="AP288" s="155"/>
      <c r="AQ288" s="155"/>
      <c r="AR288" s="155"/>
      <c r="AS288" s="155"/>
      <c r="AT288" s="155"/>
      <c r="AU288" s="155"/>
      <c r="AV288" s="155"/>
      <c r="AW288" s="155"/>
      <c r="AX288" s="155"/>
      <c r="AY288" s="155"/>
      <c r="AZ288" s="155"/>
      <c r="BA288" s="155"/>
      <c r="BB288" s="155"/>
      <c r="BC288" s="155"/>
      <c r="BD288" s="155"/>
      <c r="BE288" s="155"/>
      <c r="BF288" s="155"/>
      <c r="BG288" s="155"/>
      <c r="BH288" s="155"/>
      <c r="BI288" s="155"/>
      <c r="BJ288" s="155"/>
      <c r="BK288" s="155"/>
      <c r="BL288" s="155"/>
      <c r="BM288" s="155"/>
      <c r="BN288" s="155"/>
      <c r="BO288" s="155"/>
      <c r="BP288" s="155"/>
      <c r="BQ288" s="155"/>
      <c r="BR288" s="155"/>
      <c r="BS288" s="155"/>
      <c r="BT288" s="155"/>
      <c r="BU288" s="155"/>
      <c r="BV288" s="155"/>
      <c r="BW288" s="155"/>
      <c r="BX288" s="155"/>
      <c r="BY288" s="155"/>
      <c r="BZ288" s="155"/>
      <c r="CA288" s="155"/>
      <c r="CB288" s="155"/>
      <c r="CC288" s="155"/>
      <c r="CD288" s="155"/>
      <c r="CE288" s="155"/>
      <c r="CF288" s="155"/>
      <c r="CG288" s="155"/>
    </row>
    <row r="289" spans="1:85" ht="12.75" x14ac:dyDescent="0.2">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c r="AA289" s="155"/>
      <c r="AB289" s="155"/>
      <c r="AC289" s="155"/>
      <c r="AD289" s="155"/>
      <c r="AE289" s="155"/>
      <c r="AF289" s="155"/>
      <c r="AG289" s="155"/>
      <c r="AH289" s="155"/>
      <c r="AI289" s="155"/>
      <c r="AJ289" s="155"/>
      <c r="AK289" s="155"/>
      <c r="AL289" s="155"/>
      <c r="AM289" s="155"/>
      <c r="AN289" s="155"/>
      <c r="AO289" s="155"/>
      <c r="AP289" s="155"/>
      <c r="AQ289" s="155"/>
      <c r="AR289" s="155"/>
      <c r="AS289" s="155"/>
      <c r="AT289" s="155"/>
      <c r="AU289" s="155"/>
      <c r="AV289" s="155"/>
      <c r="AW289" s="155"/>
      <c r="AX289" s="155"/>
      <c r="AY289" s="155"/>
      <c r="AZ289" s="155"/>
      <c r="BA289" s="155"/>
      <c r="BB289" s="155"/>
      <c r="BC289" s="155"/>
      <c r="BD289" s="155"/>
      <c r="BE289" s="155"/>
      <c r="BF289" s="155"/>
      <c r="BG289" s="155"/>
      <c r="BH289" s="155"/>
      <c r="BI289" s="155"/>
      <c r="BJ289" s="155"/>
      <c r="BK289" s="155"/>
      <c r="BL289" s="155"/>
      <c r="BM289" s="155"/>
      <c r="BN289" s="155"/>
      <c r="BO289" s="155"/>
      <c r="BP289" s="155"/>
      <c r="BQ289" s="155"/>
      <c r="BR289" s="155"/>
      <c r="BS289" s="155"/>
      <c r="BT289" s="155"/>
      <c r="BU289" s="155"/>
      <c r="BV289" s="155"/>
      <c r="BW289" s="155"/>
      <c r="BX289" s="155"/>
      <c r="BY289" s="155"/>
      <c r="BZ289" s="155"/>
      <c r="CA289" s="155"/>
      <c r="CB289" s="155"/>
      <c r="CC289" s="155"/>
      <c r="CD289" s="155"/>
      <c r="CE289" s="155"/>
      <c r="CF289" s="155"/>
      <c r="CG289" s="155"/>
    </row>
    <row r="290" spans="1:85" ht="12.75" x14ac:dyDescent="0.2">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c r="AA290" s="155"/>
      <c r="AB290" s="155"/>
      <c r="AC290" s="155"/>
      <c r="AD290" s="155"/>
      <c r="AE290" s="155"/>
      <c r="AF290" s="155"/>
      <c r="AG290" s="155"/>
      <c r="AH290" s="155"/>
      <c r="AI290" s="155"/>
      <c r="AJ290" s="155"/>
      <c r="AK290" s="155"/>
      <c r="AL290" s="155"/>
      <c r="AM290" s="155"/>
      <c r="AN290" s="155"/>
      <c r="AO290" s="155"/>
      <c r="AP290" s="155"/>
      <c r="AQ290" s="155"/>
      <c r="AR290" s="155"/>
      <c r="AS290" s="155"/>
      <c r="AT290" s="155"/>
      <c r="AU290" s="155"/>
      <c r="AV290" s="155"/>
      <c r="AW290" s="155"/>
      <c r="AX290" s="155"/>
      <c r="AY290" s="155"/>
      <c r="AZ290" s="155"/>
      <c r="BA290" s="155"/>
      <c r="BB290" s="155"/>
      <c r="BC290" s="155"/>
      <c r="BD290" s="155"/>
      <c r="BE290" s="155"/>
      <c r="BF290" s="155"/>
      <c r="BG290" s="155"/>
      <c r="BH290" s="155"/>
      <c r="BI290" s="155"/>
      <c r="BJ290" s="155"/>
      <c r="BK290" s="155"/>
      <c r="BL290" s="155"/>
      <c r="BM290" s="155"/>
      <c r="BN290" s="155"/>
      <c r="BO290" s="155"/>
      <c r="BP290" s="155"/>
      <c r="BQ290" s="155"/>
      <c r="BR290" s="155"/>
      <c r="BS290" s="155"/>
      <c r="BT290" s="155"/>
      <c r="BU290" s="155"/>
      <c r="BV290" s="155"/>
      <c r="BW290" s="155"/>
      <c r="BX290" s="155"/>
      <c r="BY290" s="155"/>
      <c r="BZ290" s="155"/>
      <c r="CA290" s="155"/>
      <c r="CB290" s="155"/>
      <c r="CC290" s="155"/>
      <c r="CD290" s="155"/>
      <c r="CE290" s="155"/>
      <c r="CF290" s="155"/>
      <c r="CG290" s="155"/>
    </row>
    <row r="291" spans="1:85" ht="12.75" x14ac:dyDescent="0.2">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c r="AA291" s="155"/>
      <c r="AB291" s="155"/>
      <c r="AC291" s="155"/>
      <c r="AD291" s="155"/>
      <c r="AE291" s="155"/>
      <c r="AF291" s="155"/>
      <c r="AG291" s="155"/>
      <c r="AH291" s="155"/>
      <c r="AI291" s="155"/>
      <c r="AJ291" s="155"/>
      <c r="AK291" s="155"/>
      <c r="AL291" s="155"/>
      <c r="AM291" s="155"/>
      <c r="AN291" s="155"/>
      <c r="AO291" s="155"/>
      <c r="AP291" s="155"/>
      <c r="AQ291" s="155"/>
      <c r="AR291" s="155"/>
      <c r="AS291" s="155"/>
      <c r="AT291" s="155"/>
      <c r="AU291" s="155"/>
      <c r="AV291" s="155"/>
      <c r="AW291" s="155"/>
      <c r="AX291" s="155"/>
      <c r="AY291" s="155"/>
      <c r="AZ291" s="155"/>
      <c r="BA291" s="155"/>
      <c r="BB291" s="155"/>
      <c r="BC291" s="155"/>
      <c r="BD291" s="155"/>
      <c r="BE291" s="155"/>
      <c r="BF291" s="155"/>
      <c r="BG291" s="155"/>
      <c r="BH291" s="155"/>
      <c r="BI291" s="155"/>
      <c r="BJ291" s="155"/>
      <c r="BK291" s="155"/>
      <c r="BL291" s="155"/>
      <c r="BM291" s="155"/>
      <c r="BN291" s="155"/>
      <c r="BO291" s="155"/>
      <c r="BP291" s="155"/>
      <c r="BQ291" s="155"/>
      <c r="BR291" s="155"/>
      <c r="BS291" s="155"/>
      <c r="BT291" s="155"/>
      <c r="BU291" s="155"/>
      <c r="BV291" s="155"/>
      <c r="BW291" s="155"/>
      <c r="BX291" s="155"/>
      <c r="BY291" s="155"/>
      <c r="BZ291" s="155"/>
      <c r="CA291" s="155"/>
      <c r="CB291" s="155"/>
      <c r="CC291" s="155"/>
      <c r="CD291" s="155"/>
      <c r="CE291" s="155"/>
      <c r="CF291" s="155"/>
      <c r="CG291" s="155"/>
    </row>
    <row r="292" spans="1:85" ht="12.75" x14ac:dyDescent="0.2">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c r="AA292" s="155"/>
      <c r="AB292" s="155"/>
      <c r="AC292" s="155"/>
      <c r="AD292" s="155"/>
      <c r="AE292" s="155"/>
      <c r="AF292" s="155"/>
      <c r="AG292" s="155"/>
      <c r="AH292" s="155"/>
      <c r="AI292" s="155"/>
      <c r="AJ292" s="155"/>
      <c r="AK292" s="155"/>
      <c r="AL292" s="155"/>
      <c r="AM292" s="155"/>
      <c r="AN292" s="155"/>
      <c r="AO292" s="155"/>
      <c r="AP292" s="155"/>
      <c r="AQ292" s="155"/>
      <c r="AR292" s="155"/>
      <c r="AS292" s="155"/>
      <c r="AT292" s="155"/>
      <c r="AU292" s="155"/>
      <c r="AV292" s="155"/>
      <c r="AW292" s="155"/>
      <c r="AX292" s="155"/>
      <c r="AY292" s="155"/>
      <c r="AZ292" s="155"/>
      <c r="BA292" s="155"/>
      <c r="BB292" s="155"/>
      <c r="BC292" s="155"/>
      <c r="BD292" s="155"/>
      <c r="BE292" s="155"/>
      <c r="BF292" s="155"/>
      <c r="BG292" s="155"/>
      <c r="BH292" s="155"/>
      <c r="BI292" s="155"/>
      <c r="BJ292" s="155"/>
      <c r="BK292" s="155"/>
      <c r="BL292" s="155"/>
      <c r="BM292" s="155"/>
      <c r="BN292" s="155"/>
      <c r="BO292" s="155"/>
      <c r="BP292" s="155"/>
      <c r="BQ292" s="155"/>
      <c r="BR292" s="155"/>
      <c r="BS292" s="155"/>
      <c r="BT292" s="155"/>
      <c r="BU292" s="155"/>
      <c r="BV292" s="155"/>
      <c r="BW292" s="155"/>
      <c r="BX292" s="155"/>
      <c r="BY292" s="155"/>
      <c r="BZ292" s="155"/>
      <c r="CA292" s="155"/>
      <c r="CB292" s="155"/>
      <c r="CC292" s="155"/>
      <c r="CD292" s="155"/>
      <c r="CE292" s="155"/>
      <c r="CF292" s="155"/>
      <c r="CG292" s="155"/>
    </row>
    <row r="293" spans="1:85" ht="12.75" x14ac:dyDescent="0.2">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c r="AA293" s="155"/>
      <c r="AB293" s="155"/>
      <c r="AC293" s="155"/>
      <c r="AD293" s="155"/>
      <c r="AE293" s="155"/>
      <c r="AF293" s="155"/>
      <c r="AG293" s="155"/>
      <c r="AH293" s="155"/>
      <c r="AI293" s="155"/>
      <c r="AJ293" s="155"/>
      <c r="AK293" s="155"/>
      <c r="AL293" s="155"/>
      <c r="AM293" s="155"/>
      <c r="AN293" s="155"/>
      <c r="AO293" s="155"/>
      <c r="AP293" s="155"/>
      <c r="AQ293" s="155"/>
      <c r="AR293" s="155"/>
      <c r="AS293" s="155"/>
      <c r="AT293" s="155"/>
      <c r="AU293" s="155"/>
      <c r="AV293" s="155"/>
      <c r="AW293" s="155"/>
      <c r="AX293" s="155"/>
      <c r="AY293" s="155"/>
      <c r="AZ293" s="155"/>
      <c r="BA293" s="155"/>
      <c r="BB293" s="155"/>
      <c r="BC293" s="155"/>
      <c r="BD293" s="155"/>
      <c r="BE293" s="155"/>
      <c r="BF293" s="155"/>
      <c r="BG293" s="155"/>
      <c r="BH293" s="155"/>
      <c r="BI293" s="155"/>
      <c r="BJ293" s="155"/>
      <c r="BK293" s="155"/>
      <c r="BL293" s="155"/>
      <c r="BM293" s="155"/>
      <c r="BN293" s="155"/>
      <c r="BO293" s="155"/>
      <c r="BP293" s="155"/>
      <c r="BQ293" s="155"/>
      <c r="BR293" s="155"/>
      <c r="BS293" s="155"/>
      <c r="BT293" s="155"/>
      <c r="BU293" s="155"/>
      <c r="BV293" s="155"/>
      <c r="BW293" s="155"/>
      <c r="BX293" s="155"/>
      <c r="BY293" s="155"/>
      <c r="BZ293" s="155"/>
      <c r="CA293" s="155"/>
      <c r="CB293" s="155"/>
      <c r="CC293" s="155"/>
      <c r="CD293" s="155"/>
      <c r="CE293" s="155"/>
      <c r="CF293" s="155"/>
      <c r="CG293" s="155"/>
    </row>
    <row r="294" spans="1:85" ht="12.75" x14ac:dyDescent="0.2">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c r="AA294" s="155"/>
      <c r="AB294" s="155"/>
      <c r="AC294" s="155"/>
      <c r="AD294" s="155"/>
      <c r="AE294" s="155"/>
      <c r="AF294" s="155"/>
      <c r="AG294" s="155"/>
      <c r="AH294" s="155"/>
      <c r="AI294" s="155"/>
      <c r="AJ294" s="155"/>
      <c r="AK294" s="155"/>
      <c r="AL294" s="155"/>
      <c r="AM294" s="155"/>
      <c r="AN294" s="155"/>
      <c r="AO294" s="155"/>
      <c r="AP294" s="155"/>
      <c r="AQ294" s="155"/>
      <c r="AR294" s="155"/>
      <c r="AS294" s="155"/>
      <c r="AT294" s="155"/>
      <c r="AU294" s="155"/>
      <c r="AV294" s="155"/>
      <c r="AW294" s="155"/>
      <c r="AX294" s="155"/>
      <c r="AY294" s="155"/>
      <c r="AZ294" s="155"/>
      <c r="BA294" s="155"/>
      <c r="BB294" s="155"/>
      <c r="BC294" s="155"/>
      <c r="BD294" s="155"/>
      <c r="BE294" s="155"/>
      <c r="BF294" s="155"/>
      <c r="BG294" s="155"/>
      <c r="BH294" s="155"/>
      <c r="BI294" s="155"/>
      <c r="BJ294" s="155"/>
      <c r="BK294" s="155"/>
      <c r="BL294" s="155"/>
      <c r="BM294" s="155"/>
      <c r="BN294" s="155"/>
      <c r="BO294" s="155"/>
      <c r="BP294" s="155"/>
      <c r="BQ294" s="155"/>
      <c r="BR294" s="155"/>
      <c r="BS294" s="155"/>
      <c r="BT294" s="155"/>
      <c r="BU294" s="155"/>
      <c r="BV294" s="155"/>
      <c r="BW294" s="155"/>
      <c r="BX294" s="155"/>
      <c r="BY294" s="155"/>
      <c r="BZ294" s="155"/>
      <c r="CA294" s="155"/>
      <c r="CB294" s="155"/>
      <c r="CC294" s="155"/>
      <c r="CD294" s="155"/>
      <c r="CE294" s="155"/>
      <c r="CF294" s="155"/>
      <c r="CG294" s="155"/>
    </row>
    <row r="295" spans="1:85" ht="12.75" x14ac:dyDescent="0.2">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c r="AA295" s="155"/>
      <c r="AB295" s="155"/>
      <c r="AC295" s="155"/>
      <c r="AD295" s="155"/>
      <c r="AE295" s="155"/>
      <c r="AF295" s="155"/>
      <c r="AG295" s="155"/>
      <c r="AH295" s="155"/>
      <c r="AI295" s="155"/>
      <c r="AJ295" s="155"/>
      <c r="AK295" s="155"/>
      <c r="AL295" s="155"/>
      <c r="AM295" s="155"/>
      <c r="AN295" s="155"/>
      <c r="AO295" s="155"/>
      <c r="AP295" s="155"/>
      <c r="AQ295" s="155"/>
      <c r="AR295" s="155"/>
      <c r="AS295" s="155"/>
      <c r="AT295" s="155"/>
      <c r="AU295" s="155"/>
      <c r="AV295" s="155"/>
      <c r="AW295" s="155"/>
      <c r="AX295" s="155"/>
      <c r="AY295" s="155"/>
      <c r="AZ295" s="155"/>
      <c r="BA295" s="155"/>
      <c r="BB295" s="155"/>
      <c r="BC295" s="155"/>
      <c r="BD295" s="155"/>
      <c r="BE295" s="155"/>
      <c r="BF295" s="155"/>
      <c r="BG295" s="155"/>
      <c r="BH295" s="155"/>
      <c r="BI295" s="155"/>
      <c r="BJ295" s="155"/>
      <c r="BK295" s="155"/>
      <c r="BL295" s="155"/>
      <c r="BM295" s="155"/>
      <c r="BN295" s="155"/>
      <c r="BO295" s="155"/>
      <c r="BP295" s="155"/>
      <c r="BQ295" s="155"/>
      <c r="BR295" s="155"/>
      <c r="BS295" s="155"/>
      <c r="BT295" s="155"/>
      <c r="BU295" s="155"/>
      <c r="BV295" s="155"/>
      <c r="BW295" s="155"/>
      <c r="BX295" s="155"/>
      <c r="BY295" s="155"/>
      <c r="BZ295" s="155"/>
      <c r="CA295" s="155"/>
      <c r="CB295" s="155"/>
      <c r="CC295" s="155"/>
      <c r="CD295" s="155"/>
      <c r="CE295" s="155"/>
      <c r="CF295" s="155"/>
      <c r="CG295" s="155"/>
    </row>
    <row r="296" spans="1:85" ht="12.75" x14ac:dyDescent="0.2">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c r="AA296" s="155"/>
      <c r="AB296" s="155"/>
      <c r="AC296" s="155"/>
      <c r="AD296" s="155"/>
      <c r="AE296" s="155"/>
      <c r="AF296" s="155"/>
      <c r="AG296" s="155"/>
      <c r="AH296" s="155"/>
      <c r="AI296" s="155"/>
      <c r="AJ296" s="155"/>
      <c r="AK296" s="155"/>
      <c r="AL296" s="155"/>
      <c r="AM296" s="155"/>
      <c r="AN296" s="155"/>
      <c r="AO296" s="155"/>
      <c r="AP296" s="155"/>
      <c r="AQ296" s="155"/>
      <c r="AR296" s="155"/>
      <c r="AS296" s="155"/>
      <c r="AT296" s="155"/>
      <c r="AU296" s="155"/>
      <c r="AV296" s="155"/>
      <c r="AW296" s="155"/>
      <c r="AX296" s="155"/>
      <c r="AY296" s="155"/>
      <c r="AZ296" s="155"/>
      <c r="BA296" s="155"/>
      <c r="BB296" s="155"/>
      <c r="BC296" s="155"/>
      <c r="BD296" s="155"/>
      <c r="BE296" s="155"/>
      <c r="BF296" s="155"/>
      <c r="BG296" s="155"/>
      <c r="BH296" s="155"/>
      <c r="BI296" s="155"/>
      <c r="BJ296" s="155"/>
      <c r="BK296" s="155"/>
      <c r="BL296" s="155"/>
      <c r="BM296" s="155"/>
      <c r="BN296" s="155"/>
      <c r="BO296" s="155"/>
      <c r="BP296" s="155"/>
      <c r="BQ296" s="155"/>
      <c r="BR296" s="155"/>
      <c r="BS296" s="155"/>
      <c r="BT296" s="155"/>
      <c r="BU296" s="155"/>
      <c r="BV296" s="155"/>
      <c r="BW296" s="155"/>
      <c r="BX296" s="155"/>
      <c r="BY296" s="155"/>
      <c r="BZ296" s="155"/>
      <c r="CA296" s="155"/>
      <c r="CB296" s="155"/>
      <c r="CC296" s="155"/>
      <c r="CD296" s="155"/>
      <c r="CE296" s="155"/>
      <c r="CF296" s="155"/>
      <c r="CG296" s="155"/>
    </row>
    <row r="297" spans="1:85" ht="12.75" x14ac:dyDescent="0.2">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c r="AA297" s="155"/>
      <c r="AB297" s="155"/>
      <c r="AC297" s="155"/>
      <c r="AD297" s="155"/>
      <c r="AE297" s="155"/>
      <c r="AF297" s="155"/>
      <c r="AG297" s="155"/>
      <c r="AH297" s="155"/>
      <c r="AI297" s="155"/>
      <c r="AJ297" s="155"/>
      <c r="AK297" s="155"/>
      <c r="AL297" s="155"/>
      <c r="AM297" s="155"/>
      <c r="AN297" s="155"/>
      <c r="AO297" s="155"/>
      <c r="AP297" s="155"/>
      <c r="AQ297" s="155"/>
      <c r="AR297" s="155"/>
      <c r="AS297" s="155"/>
      <c r="AT297" s="155"/>
      <c r="AU297" s="155"/>
      <c r="AV297" s="155"/>
      <c r="AW297" s="155"/>
      <c r="AX297" s="155"/>
      <c r="AY297" s="155"/>
      <c r="AZ297" s="155"/>
      <c r="BA297" s="155"/>
      <c r="BB297" s="155"/>
      <c r="BC297" s="155"/>
      <c r="BD297" s="155"/>
      <c r="BE297" s="155"/>
      <c r="BF297" s="155"/>
      <c r="BG297" s="155"/>
      <c r="BH297" s="155"/>
      <c r="BI297" s="155"/>
      <c r="BJ297" s="155"/>
      <c r="BK297" s="155"/>
      <c r="BL297" s="155"/>
      <c r="BM297" s="155"/>
      <c r="BN297" s="155"/>
      <c r="BO297" s="155"/>
      <c r="BP297" s="155"/>
      <c r="BQ297" s="155"/>
      <c r="BR297" s="155"/>
      <c r="BS297" s="155"/>
      <c r="BT297" s="155"/>
      <c r="BU297" s="155"/>
      <c r="BV297" s="155"/>
      <c r="BW297" s="155"/>
      <c r="BX297" s="155"/>
      <c r="BY297" s="155"/>
      <c r="BZ297" s="155"/>
      <c r="CA297" s="155"/>
      <c r="CB297" s="155"/>
      <c r="CC297" s="155"/>
      <c r="CD297" s="155"/>
      <c r="CE297" s="155"/>
      <c r="CF297" s="155"/>
      <c r="CG297" s="155"/>
    </row>
    <row r="298" spans="1:85" ht="12.75" x14ac:dyDescent="0.2">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c r="AA298" s="155"/>
      <c r="AB298" s="155"/>
      <c r="AC298" s="155"/>
      <c r="AD298" s="155"/>
      <c r="AE298" s="155"/>
      <c r="AF298" s="155"/>
      <c r="AG298" s="155"/>
      <c r="AH298" s="155"/>
      <c r="AI298" s="155"/>
      <c r="AJ298" s="155"/>
      <c r="AK298" s="155"/>
      <c r="AL298" s="155"/>
      <c r="AM298" s="155"/>
      <c r="AN298" s="155"/>
      <c r="AO298" s="155"/>
      <c r="AP298" s="155"/>
      <c r="AQ298" s="155"/>
      <c r="AR298" s="155"/>
      <c r="AS298" s="155"/>
      <c r="AT298" s="155"/>
      <c r="AU298" s="155"/>
      <c r="AV298" s="155"/>
      <c r="AW298" s="155"/>
      <c r="AX298" s="155"/>
      <c r="AY298" s="155"/>
      <c r="AZ298" s="155"/>
      <c r="BA298" s="155"/>
      <c r="BB298" s="155"/>
      <c r="BC298" s="155"/>
      <c r="BD298" s="155"/>
      <c r="BE298" s="155"/>
      <c r="BF298" s="155"/>
      <c r="BG298" s="155"/>
      <c r="BH298" s="155"/>
      <c r="BI298" s="155"/>
      <c r="BJ298" s="155"/>
      <c r="BK298" s="155"/>
      <c r="BL298" s="155"/>
      <c r="BM298" s="155"/>
      <c r="BN298" s="155"/>
      <c r="BO298" s="155"/>
      <c r="BP298" s="155"/>
      <c r="BQ298" s="155"/>
      <c r="BR298" s="155"/>
      <c r="BS298" s="155"/>
      <c r="BT298" s="155"/>
      <c r="BU298" s="155"/>
      <c r="BV298" s="155"/>
      <c r="BW298" s="155"/>
      <c r="BX298" s="155"/>
      <c r="BY298" s="155"/>
      <c r="BZ298" s="155"/>
      <c r="CA298" s="155"/>
      <c r="CB298" s="155"/>
      <c r="CC298" s="155"/>
      <c r="CD298" s="155"/>
      <c r="CE298" s="155"/>
      <c r="CF298" s="155"/>
      <c r="CG298" s="155"/>
    </row>
    <row r="299" spans="1:85" ht="12.75" x14ac:dyDescent="0.2">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c r="AA299" s="155"/>
      <c r="AB299" s="155"/>
      <c r="AC299" s="155"/>
      <c r="AD299" s="155"/>
      <c r="AE299" s="155"/>
      <c r="AF299" s="155"/>
      <c r="AG299" s="155"/>
      <c r="AH299" s="155"/>
      <c r="AI299" s="155"/>
      <c r="AJ299" s="155"/>
      <c r="AK299" s="155"/>
      <c r="AL299" s="155"/>
      <c r="AM299" s="155"/>
      <c r="AN299" s="155"/>
      <c r="AO299" s="155"/>
      <c r="AP299" s="155"/>
      <c r="AQ299" s="155"/>
      <c r="AR299" s="155"/>
      <c r="AS299" s="155"/>
      <c r="AT299" s="155"/>
      <c r="AU299" s="155"/>
      <c r="AV299" s="155"/>
      <c r="AW299" s="155"/>
      <c r="AX299" s="155"/>
      <c r="AY299" s="155"/>
      <c r="AZ299" s="155"/>
      <c r="BA299" s="155"/>
      <c r="BB299" s="155"/>
      <c r="BC299" s="155"/>
      <c r="BD299" s="155"/>
      <c r="BE299" s="155"/>
      <c r="BF299" s="155"/>
      <c r="BG299" s="155"/>
      <c r="BH299" s="155"/>
      <c r="BI299" s="155"/>
      <c r="BJ299" s="155"/>
      <c r="BK299" s="155"/>
      <c r="BL299" s="155"/>
      <c r="BM299" s="155"/>
      <c r="BN299" s="155"/>
      <c r="BO299" s="155"/>
      <c r="BP299" s="155"/>
      <c r="BQ299" s="155"/>
      <c r="BR299" s="155"/>
      <c r="BS299" s="155"/>
      <c r="BT299" s="155"/>
      <c r="BU299" s="155"/>
      <c r="BV299" s="155"/>
      <c r="BW299" s="155"/>
      <c r="BX299" s="155"/>
      <c r="BY299" s="155"/>
      <c r="BZ299" s="155"/>
      <c r="CA299" s="155"/>
      <c r="CB299" s="155"/>
      <c r="CC299" s="155"/>
      <c r="CD299" s="155"/>
      <c r="CE299" s="155"/>
      <c r="CF299" s="155"/>
      <c r="CG299" s="155"/>
    </row>
    <row r="300" spans="1:85" ht="12.75" x14ac:dyDescent="0.2">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c r="AA300" s="155"/>
      <c r="AB300" s="155"/>
      <c r="AC300" s="155"/>
      <c r="AD300" s="155"/>
      <c r="AE300" s="155"/>
      <c r="AF300" s="155"/>
      <c r="AG300" s="155"/>
      <c r="AH300" s="155"/>
      <c r="AI300" s="155"/>
      <c r="AJ300" s="155"/>
      <c r="AK300" s="155"/>
      <c r="AL300" s="155"/>
      <c r="AM300" s="155"/>
      <c r="AN300" s="155"/>
      <c r="AO300" s="155"/>
      <c r="AP300" s="155"/>
      <c r="AQ300" s="155"/>
      <c r="AR300" s="155"/>
      <c r="AS300" s="155"/>
      <c r="AT300" s="155"/>
      <c r="AU300" s="155"/>
      <c r="AV300" s="155"/>
      <c r="AW300" s="155"/>
      <c r="AX300" s="155"/>
      <c r="AY300" s="155"/>
      <c r="AZ300" s="155"/>
      <c r="BA300" s="155"/>
      <c r="BB300" s="155"/>
      <c r="BC300" s="155"/>
      <c r="BD300" s="155"/>
      <c r="BE300" s="155"/>
      <c r="BF300" s="155"/>
      <c r="BG300" s="155"/>
      <c r="BH300" s="155"/>
      <c r="BI300" s="155"/>
      <c r="BJ300" s="155"/>
      <c r="BK300" s="155"/>
      <c r="BL300" s="155"/>
      <c r="BM300" s="155"/>
      <c r="BN300" s="155"/>
      <c r="BO300" s="155"/>
      <c r="BP300" s="155"/>
      <c r="BQ300" s="155"/>
      <c r="BR300" s="155"/>
      <c r="BS300" s="155"/>
      <c r="BT300" s="155"/>
      <c r="BU300" s="155"/>
      <c r="BV300" s="155"/>
      <c r="BW300" s="155"/>
      <c r="BX300" s="155"/>
      <c r="BY300" s="155"/>
      <c r="BZ300" s="155"/>
      <c r="CA300" s="155"/>
      <c r="CB300" s="155"/>
      <c r="CC300" s="155"/>
      <c r="CD300" s="155"/>
      <c r="CE300" s="155"/>
      <c r="CF300" s="155"/>
      <c r="CG300" s="155"/>
    </row>
    <row r="301" spans="1:85" ht="12.75" x14ac:dyDescent="0.2">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c r="AA301" s="155"/>
      <c r="AB301" s="155"/>
      <c r="AC301" s="155"/>
      <c r="AD301" s="155"/>
      <c r="AE301" s="155"/>
      <c r="AF301" s="155"/>
      <c r="AG301" s="155"/>
      <c r="AH301" s="155"/>
      <c r="AI301" s="155"/>
      <c r="AJ301" s="155"/>
      <c r="AK301" s="155"/>
      <c r="AL301" s="155"/>
      <c r="AM301" s="155"/>
      <c r="AN301" s="155"/>
      <c r="AO301" s="155"/>
      <c r="AP301" s="155"/>
      <c r="AQ301" s="155"/>
      <c r="AR301" s="155"/>
      <c r="AS301" s="155"/>
      <c r="AT301" s="155"/>
      <c r="AU301" s="155"/>
      <c r="AV301" s="155"/>
      <c r="AW301" s="155"/>
      <c r="AX301" s="155"/>
      <c r="AY301" s="155"/>
      <c r="AZ301" s="155"/>
      <c r="BA301" s="155"/>
      <c r="BB301" s="155"/>
      <c r="BC301" s="155"/>
      <c r="BD301" s="155"/>
      <c r="BE301" s="155"/>
      <c r="BF301" s="155"/>
      <c r="BG301" s="155"/>
      <c r="BH301" s="155"/>
      <c r="BI301" s="155"/>
      <c r="BJ301" s="155"/>
      <c r="BK301" s="155"/>
      <c r="BL301" s="155"/>
      <c r="BM301" s="155"/>
      <c r="BN301" s="155"/>
      <c r="BO301" s="155"/>
      <c r="BP301" s="155"/>
      <c r="BQ301" s="155"/>
      <c r="BR301" s="155"/>
      <c r="BS301" s="155"/>
      <c r="BT301" s="155"/>
      <c r="BU301" s="155"/>
      <c r="BV301" s="155"/>
      <c r="BW301" s="155"/>
      <c r="BX301" s="155"/>
      <c r="BY301" s="155"/>
      <c r="BZ301" s="155"/>
      <c r="CA301" s="155"/>
      <c r="CB301" s="155"/>
      <c r="CC301" s="155"/>
      <c r="CD301" s="155"/>
      <c r="CE301" s="155"/>
      <c r="CF301" s="155"/>
      <c r="CG301" s="155"/>
    </row>
    <row r="302" spans="1:85" ht="12.75" x14ac:dyDescent="0.2">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c r="AA302" s="155"/>
      <c r="AB302" s="155"/>
      <c r="AC302" s="155"/>
      <c r="AD302" s="155"/>
      <c r="AE302" s="155"/>
      <c r="AF302" s="155"/>
      <c r="AG302" s="155"/>
      <c r="AH302" s="155"/>
      <c r="AI302" s="155"/>
      <c r="AJ302" s="155"/>
      <c r="AK302" s="155"/>
      <c r="AL302" s="155"/>
      <c r="AM302" s="155"/>
      <c r="AN302" s="155"/>
      <c r="AO302" s="155"/>
      <c r="AP302" s="155"/>
      <c r="AQ302" s="155"/>
      <c r="AR302" s="155"/>
      <c r="AS302" s="155"/>
      <c r="AT302" s="155"/>
      <c r="AU302" s="155"/>
      <c r="AV302" s="155"/>
      <c r="AW302" s="155"/>
      <c r="AX302" s="155"/>
      <c r="AY302" s="155"/>
      <c r="AZ302" s="155"/>
      <c r="BA302" s="155"/>
      <c r="BB302" s="155"/>
      <c r="BC302" s="155"/>
      <c r="BD302" s="155"/>
      <c r="BE302" s="155"/>
      <c r="BF302" s="155"/>
      <c r="BG302" s="155"/>
      <c r="BH302" s="155"/>
      <c r="BI302" s="155"/>
      <c r="BJ302" s="155"/>
      <c r="BK302" s="155"/>
      <c r="BL302" s="155"/>
      <c r="BM302" s="155"/>
      <c r="BN302" s="155"/>
      <c r="BO302" s="155"/>
      <c r="BP302" s="155"/>
      <c r="BQ302" s="155"/>
      <c r="BR302" s="155"/>
      <c r="BS302" s="155"/>
      <c r="BT302" s="155"/>
      <c r="BU302" s="155"/>
      <c r="BV302" s="155"/>
      <c r="BW302" s="155"/>
      <c r="BX302" s="155"/>
      <c r="BY302" s="155"/>
      <c r="BZ302" s="155"/>
      <c r="CA302" s="155"/>
      <c r="CB302" s="155"/>
      <c r="CC302" s="155"/>
      <c r="CD302" s="155"/>
      <c r="CE302" s="155"/>
      <c r="CF302" s="155"/>
      <c r="CG302" s="155"/>
    </row>
    <row r="303" spans="1:85" ht="12.75" x14ac:dyDescent="0.2">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c r="AA303" s="155"/>
      <c r="AB303" s="155"/>
      <c r="AC303" s="155"/>
      <c r="AD303" s="155"/>
      <c r="AE303" s="155"/>
      <c r="AF303" s="155"/>
      <c r="AG303" s="155"/>
      <c r="AH303" s="155"/>
      <c r="AI303" s="155"/>
      <c r="AJ303" s="155"/>
      <c r="AK303" s="155"/>
      <c r="AL303" s="155"/>
      <c r="AM303" s="155"/>
      <c r="AN303" s="155"/>
      <c r="AO303" s="155"/>
      <c r="AP303" s="155"/>
      <c r="AQ303" s="155"/>
      <c r="AR303" s="155"/>
      <c r="AS303" s="155"/>
      <c r="AT303" s="155"/>
      <c r="AU303" s="155"/>
      <c r="AV303" s="155"/>
      <c r="AW303" s="155"/>
      <c r="AX303" s="155"/>
      <c r="AY303" s="155"/>
      <c r="AZ303" s="155"/>
      <c r="BA303" s="155"/>
      <c r="BB303" s="155"/>
      <c r="BC303" s="155"/>
      <c r="BD303" s="155"/>
      <c r="BE303" s="155"/>
      <c r="BF303" s="155"/>
      <c r="BG303" s="155"/>
      <c r="BH303" s="155"/>
      <c r="BI303" s="155"/>
      <c r="BJ303" s="155"/>
      <c r="BK303" s="155"/>
      <c r="BL303" s="155"/>
      <c r="BM303" s="155"/>
      <c r="BN303" s="155"/>
      <c r="BO303" s="155"/>
      <c r="BP303" s="155"/>
      <c r="BQ303" s="155"/>
      <c r="BR303" s="155"/>
      <c r="BS303" s="155"/>
      <c r="BT303" s="155"/>
      <c r="BU303" s="155"/>
      <c r="BV303" s="155"/>
      <c r="BW303" s="155"/>
      <c r="BX303" s="155"/>
      <c r="BY303" s="155"/>
      <c r="BZ303" s="155"/>
      <c r="CA303" s="155"/>
      <c r="CB303" s="155"/>
      <c r="CC303" s="155"/>
      <c r="CD303" s="155"/>
      <c r="CE303" s="155"/>
      <c r="CF303" s="155"/>
      <c r="CG303" s="155"/>
    </row>
    <row r="304" spans="1:85" ht="12.75" x14ac:dyDescent="0.2">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c r="AA304" s="155"/>
      <c r="AB304" s="155"/>
      <c r="AC304" s="155"/>
      <c r="AD304" s="155"/>
      <c r="AE304" s="155"/>
      <c r="AF304" s="155"/>
      <c r="AG304" s="155"/>
      <c r="AH304" s="155"/>
      <c r="AI304" s="155"/>
      <c r="AJ304" s="155"/>
      <c r="AK304" s="155"/>
      <c r="AL304" s="155"/>
      <c r="AM304" s="155"/>
      <c r="AN304" s="155"/>
      <c r="AO304" s="155"/>
      <c r="AP304" s="155"/>
      <c r="AQ304" s="155"/>
      <c r="AR304" s="155"/>
      <c r="AS304" s="155"/>
      <c r="AT304" s="155"/>
      <c r="AU304" s="155"/>
      <c r="AV304" s="155"/>
      <c r="AW304" s="155"/>
      <c r="AX304" s="155"/>
      <c r="AY304" s="155"/>
      <c r="AZ304" s="155"/>
      <c r="BA304" s="155"/>
      <c r="BB304" s="155"/>
      <c r="BC304" s="155"/>
      <c r="BD304" s="155"/>
      <c r="BE304" s="155"/>
      <c r="BF304" s="155"/>
      <c r="BG304" s="155"/>
      <c r="BH304" s="155"/>
      <c r="BI304" s="155"/>
      <c r="BJ304" s="155"/>
      <c r="BK304" s="155"/>
      <c r="BL304" s="155"/>
      <c r="BM304" s="155"/>
      <c r="BN304" s="155"/>
      <c r="BO304" s="155"/>
      <c r="BP304" s="155"/>
      <c r="BQ304" s="155"/>
      <c r="BR304" s="155"/>
      <c r="BS304" s="155"/>
      <c r="BT304" s="155"/>
      <c r="BU304" s="155"/>
      <c r="BV304" s="155"/>
      <c r="BW304" s="155"/>
      <c r="BX304" s="155"/>
      <c r="BY304" s="155"/>
      <c r="BZ304" s="155"/>
      <c r="CA304" s="155"/>
      <c r="CB304" s="155"/>
      <c r="CC304" s="155"/>
      <c r="CD304" s="155"/>
      <c r="CE304" s="155"/>
      <c r="CF304" s="155"/>
      <c r="CG304" s="155"/>
    </row>
    <row r="305" spans="1:85" ht="12.75" x14ac:dyDescent="0.2">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c r="AA305" s="155"/>
      <c r="AB305" s="155"/>
      <c r="AC305" s="155"/>
      <c r="AD305" s="155"/>
      <c r="AE305" s="155"/>
      <c r="AF305" s="155"/>
      <c r="AG305" s="155"/>
      <c r="AH305" s="155"/>
      <c r="AI305" s="155"/>
      <c r="AJ305" s="155"/>
      <c r="AK305" s="155"/>
      <c r="AL305" s="155"/>
      <c r="AM305" s="155"/>
      <c r="AN305" s="155"/>
      <c r="AO305" s="155"/>
      <c r="AP305" s="155"/>
      <c r="AQ305" s="155"/>
      <c r="AR305" s="155"/>
      <c r="AS305" s="155"/>
      <c r="AT305" s="155"/>
      <c r="AU305" s="155"/>
      <c r="AV305" s="155"/>
      <c r="AW305" s="155"/>
      <c r="AX305" s="155"/>
      <c r="AY305" s="155"/>
      <c r="AZ305" s="155"/>
      <c r="BA305" s="155"/>
      <c r="BB305" s="155"/>
      <c r="BC305" s="155"/>
      <c r="BD305" s="155"/>
      <c r="BE305" s="155"/>
      <c r="BF305" s="155"/>
      <c r="BG305" s="155"/>
      <c r="BH305" s="155"/>
      <c r="BI305" s="155"/>
      <c r="BJ305" s="155"/>
      <c r="BK305" s="155"/>
      <c r="BL305" s="155"/>
      <c r="BM305" s="155"/>
      <c r="BN305" s="155"/>
      <c r="BO305" s="155"/>
      <c r="BP305" s="155"/>
      <c r="BQ305" s="155"/>
      <c r="BR305" s="155"/>
      <c r="BS305" s="155"/>
      <c r="BT305" s="155"/>
      <c r="BU305" s="155"/>
      <c r="BV305" s="155"/>
      <c r="BW305" s="155"/>
      <c r="BX305" s="155"/>
      <c r="BY305" s="155"/>
      <c r="BZ305" s="155"/>
      <c r="CA305" s="155"/>
      <c r="CB305" s="155"/>
      <c r="CC305" s="155"/>
      <c r="CD305" s="155"/>
      <c r="CE305" s="155"/>
      <c r="CF305" s="155"/>
      <c r="CG305" s="155"/>
    </row>
    <row r="306" spans="1:85" ht="12.75" x14ac:dyDescent="0.2">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55"/>
      <c r="AD306" s="155"/>
      <c r="AE306" s="155"/>
      <c r="AF306" s="155"/>
      <c r="AG306" s="155"/>
      <c r="AH306" s="155"/>
      <c r="AI306" s="155"/>
      <c r="AJ306" s="155"/>
      <c r="AK306" s="155"/>
      <c r="AL306" s="155"/>
      <c r="AM306" s="155"/>
      <c r="AN306" s="155"/>
      <c r="AO306" s="155"/>
      <c r="AP306" s="155"/>
      <c r="AQ306" s="155"/>
      <c r="AR306" s="155"/>
      <c r="AS306" s="155"/>
      <c r="AT306" s="155"/>
      <c r="AU306" s="155"/>
      <c r="AV306" s="155"/>
      <c r="AW306" s="155"/>
      <c r="AX306" s="155"/>
      <c r="AY306" s="155"/>
      <c r="AZ306" s="155"/>
      <c r="BA306" s="155"/>
      <c r="BB306" s="155"/>
      <c r="BC306" s="155"/>
      <c r="BD306" s="155"/>
      <c r="BE306" s="155"/>
      <c r="BF306" s="155"/>
      <c r="BG306" s="155"/>
      <c r="BH306" s="155"/>
      <c r="BI306" s="155"/>
      <c r="BJ306" s="155"/>
      <c r="BK306" s="155"/>
      <c r="BL306" s="155"/>
      <c r="BM306" s="155"/>
      <c r="BN306" s="155"/>
      <c r="BO306" s="155"/>
      <c r="BP306" s="155"/>
      <c r="BQ306" s="155"/>
      <c r="BR306" s="155"/>
      <c r="BS306" s="155"/>
      <c r="BT306" s="155"/>
      <c r="BU306" s="155"/>
      <c r="BV306" s="155"/>
      <c r="BW306" s="155"/>
      <c r="BX306" s="155"/>
      <c r="BY306" s="155"/>
      <c r="BZ306" s="155"/>
      <c r="CA306" s="155"/>
      <c r="CB306" s="155"/>
      <c r="CC306" s="155"/>
      <c r="CD306" s="155"/>
      <c r="CE306" s="155"/>
      <c r="CF306" s="155"/>
      <c r="CG306" s="155"/>
    </row>
    <row r="307" spans="1:85" ht="12.75" x14ac:dyDescent="0.2">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5"/>
      <c r="AY307" s="155"/>
      <c r="AZ307" s="155"/>
      <c r="BA307" s="155"/>
      <c r="BB307" s="155"/>
      <c r="BC307" s="155"/>
      <c r="BD307" s="155"/>
      <c r="BE307" s="155"/>
      <c r="BF307" s="155"/>
      <c r="BG307" s="155"/>
      <c r="BH307" s="155"/>
      <c r="BI307" s="155"/>
      <c r="BJ307" s="155"/>
      <c r="BK307" s="155"/>
      <c r="BL307" s="155"/>
      <c r="BM307" s="155"/>
      <c r="BN307" s="155"/>
      <c r="BO307" s="155"/>
      <c r="BP307" s="155"/>
      <c r="BQ307" s="155"/>
      <c r="BR307" s="155"/>
      <c r="BS307" s="155"/>
      <c r="BT307" s="155"/>
      <c r="BU307" s="155"/>
      <c r="BV307" s="155"/>
      <c r="BW307" s="155"/>
      <c r="BX307" s="155"/>
      <c r="BY307" s="155"/>
      <c r="BZ307" s="155"/>
      <c r="CA307" s="155"/>
      <c r="CB307" s="155"/>
      <c r="CC307" s="155"/>
      <c r="CD307" s="155"/>
      <c r="CE307" s="155"/>
      <c r="CF307" s="155"/>
      <c r="CG307" s="155"/>
    </row>
    <row r="308" spans="1:85" ht="12.75" x14ac:dyDescent="0.2">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c r="AA308" s="155"/>
      <c r="AB308" s="155"/>
      <c r="AC308" s="155"/>
      <c r="AD308" s="155"/>
      <c r="AE308" s="155"/>
      <c r="AF308" s="155"/>
      <c r="AG308" s="155"/>
      <c r="AH308" s="155"/>
      <c r="AI308" s="155"/>
      <c r="AJ308" s="155"/>
      <c r="AK308" s="155"/>
      <c r="AL308" s="155"/>
      <c r="AM308" s="155"/>
      <c r="AN308" s="155"/>
      <c r="AO308" s="155"/>
      <c r="AP308" s="155"/>
      <c r="AQ308" s="155"/>
      <c r="AR308" s="155"/>
      <c r="AS308" s="155"/>
      <c r="AT308" s="155"/>
      <c r="AU308" s="155"/>
      <c r="AV308" s="155"/>
      <c r="AW308" s="155"/>
      <c r="AX308" s="155"/>
      <c r="AY308" s="155"/>
      <c r="AZ308" s="155"/>
      <c r="BA308" s="155"/>
      <c r="BB308" s="155"/>
      <c r="BC308" s="155"/>
      <c r="BD308" s="155"/>
      <c r="BE308" s="155"/>
      <c r="BF308" s="155"/>
      <c r="BG308" s="155"/>
      <c r="BH308" s="155"/>
      <c r="BI308" s="155"/>
      <c r="BJ308" s="155"/>
      <c r="BK308" s="155"/>
      <c r="BL308" s="155"/>
      <c r="BM308" s="155"/>
      <c r="BN308" s="155"/>
      <c r="BO308" s="155"/>
      <c r="BP308" s="155"/>
      <c r="BQ308" s="155"/>
      <c r="BR308" s="155"/>
      <c r="BS308" s="155"/>
      <c r="BT308" s="155"/>
      <c r="BU308" s="155"/>
      <c r="BV308" s="155"/>
      <c r="BW308" s="155"/>
      <c r="BX308" s="155"/>
      <c r="BY308" s="155"/>
      <c r="BZ308" s="155"/>
      <c r="CA308" s="155"/>
      <c r="CB308" s="155"/>
      <c r="CC308" s="155"/>
      <c r="CD308" s="155"/>
      <c r="CE308" s="155"/>
      <c r="CF308" s="155"/>
      <c r="CG308" s="155"/>
    </row>
    <row r="309" spans="1:85" ht="12.75" x14ac:dyDescent="0.2">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c r="AA309" s="155"/>
      <c r="AB309" s="155"/>
      <c r="AC309" s="155"/>
      <c r="AD309" s="155"/>
      <c r="AE309" s="155"/>
      <c r="AF309" s="155"/>
      <c r="AG309" s="155"/>
      <c r="AH309" s="155"/>
      <c r="AI309" s="155"/>
      <c r="AJ309" s="155"/>
      <c r="AK309" s="155"/>
      <c r="AL309" s="155"/>
      <c r="AM309" s="155"/>
      <c r="AN309" s="155"/>
      <c r="AO309" s="155"/>
      <c r="AP309" s="155"/>
      <c r="AQ309" s="155"/>
      <c r="AR309" s="155"/>
      <c r="AS309" s="155"/>
      <c r="AT309" s="155"/>
      <c r="AU309" s="155"/>
      <c r="AV309" s="155"/>
      <c r="AW309" s="155"/>
      <c r="AX309" s="155"/>
      <c r="AY309" s="155"/>
      <c r="AZ309" s="155"/>
      <c r="BA309" s="155"/>
      <c r="BB309" s="155"/>
      <c r="BC309" s="155"/>
      <c r="BD309" s="155"/>
      <c r="BE309" s="155"/>
      <c r="BF309" s="155"/>
      <c r="BG309" s="155"/>
      <c r="BH309" s="155"/>
      <c r="BI309" s="155"/>
      <c r="BJ309" s="155"/>
      <c r="BK309" s="155"/>
      <c r="BL309" s="155"/>
      <c r="BM309" s="155"/>
      <c r="BN309" s="155"/>
      <c r="BO309" s="155"/>
      <c r="BP309" s="155"/>
      <c r="BQ309" s="155"/>
      <c r="BR309" s="155"/>
      <c r="BS309" s="155"/>
      <c r="BT309" s="155"/>
      <c r="BU309" s="155"/>
      <c r="BV309" s="155"/>
      <c r="BW309" s="155"/>
      <c r="BX309" s="155"/>
      <c r="BY309" s="155"/>
      <c r="BZ309" s="155"/>
      <c r="CA309" s="155"/>
      <c r="CB309" s="155"/>
      <c r="CC309" s="155"/>
      <c r="CD309" s="155"/>
      <c r="CE309" s="155"/>
      <c r="CF309" s="155"/>
      <c r="CG309" s="155"/>
    </row>
    <row r="310" spans="1:85" ht="12.75" x14ac:dyDescent="0.2">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c r="AA310" s="155"/>
      <c r="AB310" s="155"/>
      <c r="AC310" s="155"/>
      <c r="AD310" s="155"/>
      <c r="AE310" s="155"/>
      <c r="AF310" s="155"/>
      <c r="AG310" s="155"/>
      <c r="AH310" s="155"/>
      <c r="AI310" s="155"/>
      <c r="AJ310" s="155"/>
      <c r="AK310" s="155"/>
      <c r="AL310" s="155"/>
      <c r="AM310" s="155"/>
      <c r="AN310" s="155"/>
      <c r="AO310" s="155"/>
      <c r="AP310" s="155"/>
      <c r="AQ310" s="155"/>
      <c r="AR310" s="155"/>
      <c r="AS310" s="155"/>
      <c r="AT310" s="155"/>
      <c r="AU310" s="155"/>
      <c r="AV310" s="155"/>
      <c r="AW310" s="155"/>
      <c r="AX310" s="155"/>
      <c r="AY310" s="155"/>
      <c r="AZ310" s="155"/>
      <c r="BA310" s="155"/>
      <c r="BB310" s="155"/>
      <c r="BC310" s="155"/>
      <c r="BD310" s="155"/>
      <c r="BE310" s="155"/>
      <c r="BF310" s="155"/>
      <c r="BG310" s="155"/>
      <c r="BH310" s="155"/>
      <c r="BI310" s="155"/>
      <c r="BJ310" s="155"/>
      <c r="BK310" s="155"/>
      <c r="BL310" s="155"/>
      <c r="BM310" s="155"/>
      <c r="BN310" s="155"/>
      <c r="BO310" s="155"/>
      <c r="BP310" s="155"/>
      <c r="BQ310" s="155"/>
      <c r="BR310" s="155"/>
      <c r="BS310" s="155"/>
      <c r="BT310" s="155"/>
      <c r="BU310" s="155"/>
      <c r="BV310" s="155"/>
      <c r="BW310" s="155"/>
      <c r="BX310" s="155"/>
      <c r="BY310" s="155"/>
      <c r="BZ310" s="155"/>
      <c r="CA310" s="155"/>
      <c r="CB310" s="155"/>
      <c r="CC310" s="155"/>
      <c r="CD310" s="155"/>
      <c r="CE310" s="155"/>
      <c r="CF310" s="155"/>
      <c r="CG310" s="155"/>
    </row>
    <row r="311" spans="1:85" ht="12.75" x14ac:dyDescent="0.2">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c r="AA311" s="155"/>
      <c r="AB311" s="155"/>
      <c r="AC311" s="155"/>
      <c r="AD311" s="155"/>
      <c r="AE311" s="155"/>
      <c r="AF311" s="155"/>
      <c r="AG311" s="155"/>
      <c r="AH311" s="155"/>
      <c r="AI311" s="155"/>
      <c r="AJ311" s="155"/>
      <c r="AK311" s="155"/>
      <c r="AL311" s="155"/>
      <c r="AM311" s="155"/>
      <c r="AN311" s="155"/>
      <c r="AO311" s="155"/>
      <c r="AP311" s="155"/>
      <c r="AQ311" s="155"/>
      <c r="AR311" s="155"/>
      <c r="AS311" s="155"/>
      <c r="AT311" s="155"/>
      <c r="AU311" s="155"/>
      <c r="AV311" s="155"/>
      <c r="AW311" s="155"/>
      <c r="AX311" s="155"/>
      <c r="AY311" s="155"/>
      <c r="AZ311" s="155"/>
      <c r="BA311" s="155"/>
      <c r="BB311" s="155"/>
      <c r="BC311" s="155"/>
      <c r="BD311" s="155"/>
      <c r="BE311" s="155"/>
      <c r="BF311" s="155"/>
      <c r="BG311" s="155"/>
      <c r="BH311" s="155"/>
      <c r="BI311" s="155"/>
      <c r="BJ311" s="155"/>
      <c r="BK311" s="155"/>
      <c r="BL311" s="155"/>
      <c r="BM311" s="155"/>
      <c r="BN311" s="155"/>
      <c r="BO311" s="155"/>
      <c r="BP311" s="155"/>
      <c r="BQ311" s="155"/>
      <c r="BR311" s="155"/>
      <c r="BS311" s="155"/>
      <c r="BT311" s="155"/>
      <c r="BU311" s="155"/>
      <c r="BV311" s="155"/>
      <c r="BW311" s="155"/>
      <c r="BX311" s="155"/>
      <c r="BY311" s="155"/>
      <c r="BZ311" s="155"/>
      <c r="CA311" s="155"/>
      <c r="CB311" s="155"/>
      <c r="CC311" s="155"/>
      <c r="CD311" s="155"/>
      <c r="CE311" s="155"/>
      <c r="CF311" s="155"/>
      <c r="CG311" s="155"/>
    </row>
    <row r="312" spans="1:85" ht="12.75" x14ac:dyDescent="0.2">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c r="AA312" s="155"/>
      <c r="AB312" s="155"/>
      <c r="AC312" s="155"/>
      <c r="AD312" s="155"/>
      <c r="AE312" s="155"/>
      <c r="AF312" s="155"/>
      <c r="AG312" s="155"/>
      <c r="AH312" s="155"/>
      <c r="AI312" s="155"/>
      <c r="AJ312" s="155"/>
      <c r="AK312" s="155"/>
      <c r="AL312" s="155"/>
      <c r="AM312" s="155"/>
      <c r="AN312" s="155"/>
      <c r="AO312" s="155"/>
      <c r="AP312" s="155"/>
      <c r="AQ312" s="155"/>
      <c r="AR312" s="155"/>
      <c r="AS312" s="155"/>
      <c r="AT312" s="155"/>
      <c r="AU312" s="155"/>
      <c r="AV312" s="155"/>
      <c r="AW312" s="155"/>
      <c r="AX312" s="155"/>
      <c r="AY312" s="155"/>
      <c r="AZ312" s="155"/>
      <c r="BA312" s="155"/>
      <c r="BB312" s="155"/>
      <c r="BC312" s="155"/>
      <c r="BD312" s="155"/>
      <c r="BE312" s="155"/>
      <c r="BF312" s="155"/>
      <c r="BG312" s="155"/>
      <c r="BH312" s="155"/>
      <c r="BI312" s="155"/>
      <c r="BJ312" s="155"/>
      <c r="BK312" s="155"/>
      <c r="BL312" s="155"/>
      <c r="BM312" s="155"/>
      <c r="BN312" s="155"/>
      <c r="BO312" s="155"/>
      <c r="BP312" s="155"/>
      <c r="BQ312" s="155"/>
      <c r="BR312" s="155"/>
      <c r="BS312" s="155"/>
      <c r="BT312" s="155"/>
      <c r="BU312" s="155"/>
      <c r="BV312" s="155"/>
      <c r="BW312" s="155"/>
      <c r="BX312" s="155"/>
      <c r="BY312" s="155"/>
      <c r="BZ312" s="155"/>
      <c r="CA312" s="155"/>
      <c r="CB312" s="155"/>
      <c r="CC312" s="155"/>
      <c r="CD312" s="155"/>
      <c r="CE312" s="155"/>
      <c r="CF312" s="155"/>
      <c r="CG312" s="155"/>
    </row>
    <row r="313" spans="1:85" ht="12.75" x14ac:dyDescent="0.2">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c r="AA313" s="155"/>
      <c r="AB313" s="155"/>
      <c r="AC313" s="155"/>
      <c r="AD313" s="155"/>
      <c r="AE313" s="155"/>
      <c r="AF313" s="155"/>
      <c r="AG313" s="155"/>
      <c r="AH313" s="155"/>
      <c r="AI313" s="155"/>
      <c r="AJ313" s="155"/>
      <c r="AK313" s="155"/>
      <c r="AL313" s="155"/>
      <c r="AM313" s="155"/>
      <c r="AN313" s="155"/>
      <c r="AO313" s="155"/>
      <c r="AP313" s="155"/>
      <c r="AQ313" s="155"/>
      <c r="AR313" s="155"/>
      <c r="AS313" s="155"/>
      <c r="AT313" s="155"/>
      <c r="AU313" s="155"/>
      <c r="AV313" s="155"/>
      <c r="AW313" s="155"/>
      <c r="AX313" s="155"/>
      <c r="AY313" s="155"/>
      <c r="AZ313" s="155"/>
      <c r="BA313" s="155"/>
      <c r="BB313" s="155"/>
      <c r="BC313" s="155"/>
      <c r="BD313" s="155"/>
      <c r="BE313" s="155"/>
      <c r="BF313" s="155"/>
      <c r="BG313" s="155"/>
      <c r="BH313" s="155"/>
      <c r="BI313" s="155"/>
      <c r="BJ313" s="155"/>
      <c r="BK313" s="155"/>
      <c r="BL313" s="155"/>
      <c r="BM313" s="155"/>
      <c r="BN313" s="155"/>
      <c r="BO313" s="155"/>
      <c r="BP313" s="155"/>
      <c r="BQ313" s="155"/>
      <c r="BR313" s="155"/>
      <c r="BS313" s="155"/>
      <c r="BT313" s="155"/>
      <c r="BU313" s="155"/>
      <c r="BV313" s="155"/>
      <c r="BW313" s="155"/>
      <c r="BX313" s="155"/>
      <c r="BY313" s="155"/>
      <c r="BZ313" s="155"/>
      <c r="CA313" s="155"/>
      <c r="CB313" s="155"/>
      <c r="CC313" s="155"/>
      <c r="CD313" s="155"/>
      <c r="CE313" s="155"/>
      <c r="CF313" s="155"/>
      <c r="CG313" s="155"/>
    </row>
    <row r="314" spans="1:85" ht="12.75" x14ac:dyDescent="0.2">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55"/>
      <c r="AH314" s="155"/>
      <c r="AI314" s="155"/>
      <c r="AJ314" s="155"/>
      <c r="AK314" s="155"/>
      <c r="AL314" s="155"/>
      <c r="AM314" s="155"/>
      <c r="AN314" s="155"/>
      <c r="AO314" s="155"/>
      <c r="AP314" s="155"/>
      <c r="AQ314" s="155"/>
      <c r="AR314" s="155"/>
      <c r="AS314" s="155"/>
      <c r="AT314" s="155"/>
      <c r="AU314" s="155"/>
      <c r="AV314" s="155"/>
      <c r="AW314" s="155"/>
      <c r="AX314" s="155"/>
      <c r="AY314" s="155"/>
      <c r="AZ314" s="155"/>
      <c r="BA314" s="155"/>
      <c r="BB314" s="155"/>
      <c r="BC314" s="155"/>
      <c r="BD314" s="155"/>
      <c r="BE314" s="155"/>
      <c r="BF314" s="155"/>
      <c r="BG314" s="155"/>
      <c r="BH314" s="155"/>
      <c r="BI314" s="155"/>
      <c r="BJ314" s="155"/>
      <c r="BK314" s="155"/>
      <c r="BL314" s="155"/>
      <c r="BM314" s="155"/>
      <c r="BN314" s="155"/>
      <c r="BO314" s="155"/>
      <c r="BP314" s="155"/>
      <c r="BQ314" s="155"/>
      <c r="BR314" s="155"/>
      <c r="BS314" s="155"/>
      <c r="BT314" s="155"/>
      <c r="BU314" s="155"/>
      <c r="BV314" s="155"/>
      <c r="BW314" s="155"/>
      <c r="BX314" s="155"/>
      <c r="BY314" s="155"/>
      <c r="BZ314" s="155"/>
      <c r="CA314" s="155"/>
      <c r="CB314" s="155"/>
      <c r="CC314" s="155"/>
      <c r="CD314" s="155"/>
      <c r="CE314" s="155"/>
      <c r="CF314" s="155"/>
      <c r="CG314" s="155"/>
    </row>
    <row r="315" spans="1:85" ht="12.75" x14ac:dyDescent="0.2">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55"/>
      <c r="AH315" s="155"/>
      <c r="AI315" s="155"/>
      <c r="AJ315" s="155"/>
      <c r="AK315" s="155"/>
      <c r="AL315" s="155"/>
      <c r="AM315" s="155"/>
      <c r="AN315" s="155"/>
      <c r="AO315" s="155"/>
      <c r="AP315" s="155"/>
      <c r="AQ315" s="155"/>
      <c r="AR315" s="155"/>
      <c r="AS315" s="155"/>
      <c r="AT315" s="155"/>
      <c r="AU315" s="155"/>
      <c r="AV315" s="155"/>
      <c r="AW315" s="155"/>
      <c r="AX315" s="155"/>
      <c r="AY315" s="155"/>
      <c r="AZ315" s="155"/>
      <c r="BA315" s="155"/>
      <c r="BB315" s="155"/>
      <c r="BC315" s="155"/>
      <c r="BD315" s="155"/>
      <c r="BE315" s="155"/>
      <c r="BF315" s="155"/>
      <c r="BG315" s="155"/>
      <c r="BH315" s="155"/>
      <c r="BI315" s="155"/>
      <c r="BJ315" s="155"/>
      <c r="BK315" s="155"/>
      <c r="BL315" s="155"/>
      <c r="BM315" s="155"/>
      <c r="BN315" s="155"/>
      <c r="BO315" s="155"/>
      <c r="BP315" s="155"/>
      <c r="BQ315" s="155"/>
      <c r="BR315" s="155"/>
      <c r="BS315" s="155"/>
      <c r="BT315" s="155"/>
      <c r="BU315" s="155"/>
      <c r="BV315" s="155"/>
      <c r="BW315" s="155"/>
      <c r="BX315" s="155"/>
      <c r="BY315" s="155"/>
      <c r="BZ315" s="155"/>
      <c r="CA315" s="155"/>
      <c r="CB315" s="155"/>
      <c r="CC315" s="155"/>
      <c r="CD315" s="155"/>
      <c r="CE315" s="155"/>
      <c r="CF315" s="155"/>
      <c r="CG315" s="155"/>
    </row>
    <row r="316" spans="1:85" ht="12.75" x14ac:dyDescent="0.2">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c r="AA316" s="155"/>
      <c r="AB316" s="155"/>
      <c r="AC316" s="155"/>
      <c r="AD316" s="155"/>
      <c r="AE316" s="155"/>
      <c r="AF316" s="155"/>
      <c r="AG316" s="155"/>
      <c r="AH316" s="155"/>
      <c r="AI316" s="155"/>
      <c r="AJ316" s="155"/>
      <c r="AK316" s="155"/>
      <c r="AL316" s="155"/>
      <c r="AM316" s="155"/>
      <c r="AN316" s="155"/>
      <c r="AO316" s="155"/>
      <c r="AP316" s="155"/>
      <c r="AQ316" s="155"/>
      <c r="AR316" s="155"/>
      <c r="AS316" s="155"/>
      <c r="AT316" s="155"/>
      <c r="AU316" s="155"/>
      <c r="AV316" s="155"/>
      <c r="AW316" s="155"/>
      <c r="AX316" s="155"/>
      <c r="AY316" s="155"/>
      <c r="AZ316" s="155"/>
      <c r="BA316" s="155"/>
      <c r="BB316" s="155"/>
      <c r="BC316" s="155"/>
      <c r="BD316" s="155"/>
      <c r="BE316" s="155"/>
      <c r="BF316" s="155"/>
      <c r="BG316" s="155"/>
      <c r="BH316" s="155"/>
      <c r="BI316" s="155"/>
      <c r="BJ316" s="155"/>
      <c r="BK316" s="155"/>
      <c r="BL316" s="155"/>
      <c r="BM316" s="155"/>
      <c r="BN316" s="155"/>
      <c r="BO316" s="155"/>
      <c r="BP316" s="155"/>
      <c r="BQ316" s="155"/>
      <c r="BR316" s="155"/>
      <c r="BS316" s="155"/>
      <c r="BT316" s="155"/>
      <c r="BU316" s="155"/>
      <c r="BV316" s="155"/>
      <c r="BW316" s="155"/>
      <c r="BX316" s="155"/>
      <c r="BY316" s="155"/>
      <c r="BZ316" s="155"/>
      <c r="CA316" s="155"/>
      <c r="CB316" s="155"/>
      <c r="CC316" s="155"/>
      <c r="CD316" s="155"/>
      <c r="CE316" s="155"/>
      <c r="CF316" s="155"/>
      <c r="CG316" s="155"/>
    </row>
    <row r="317" spans="1:85" ht="12.75" x14ac:dyDescent="0.2">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c r="AA317" s="155"/>
      <c r="AB317" s="155"/>
      <c r="AC317" s="155"/>
      <c r="AD317" s="155"/>
      <c r="AE317" s="155"/>
      <c r="AF317" s="155"/>
      <c r="AG317" s="155"/>
      <c r="AH317" s="155"/>
      <c r="AI317" s="155"/>
      <c r="AJ317" s="155"/>
      <c r="AK317" s="155"/>
      <c r="AL317" s="155"/>
      <c r="AM317" s="155"/>
      <c r="AN317" s="155"/>
      <c r="AO317" s="155"/>
      <c r="AP317" s="155"/>
      <c r="AQ317" s="155"/>
      <c r="AR317" s="155"/>
      <c r="AS317" s="155"/>
      <c r="AT317" s="155"/>
      <c r="AU317" s="155"/>
      <c r="AV317" s="155"/>
      <c r="AW317" s="155"/>
      <c r="AX317" s="155"/>
      <c r="AY317" s="155"/>
      <c r="AZ317" s="155"/>
      <c r="BA317" s="155"/>
      <c r="BB317" s="155"/>
      <c r="BC317" s="155"/>
      <c r="BD317" s="155"/>
      <c r="BE317" s="155"/>
      <c r="BF317" s="155"/>
      <c r="BG317" s="155"/>
      <c r="BH317" s="155"/>
      <c r="BI317" s="155"/>
      <c r="BJ317" s="155"/>
      <c r="BK317" s="155"/>
      <c r="BL317" s="155"/>
      <c r="BM317" s="155"/>
      <c r="BN317" s="155"/>
      <c r="BO317" s="155"/>
      <c r="BP317" s="155"/>
      <c r="BQ317" s="155"/>
      <c r="BR317" s="155"/>
      <c r="BS317" s="155"/>
      <c r="BT317" s="155"/>
      <c r="BU317" s="155"/>
      <c r="BV317" s="155"/>
      <c r="BW317" s="155"/>
      <c r="BX317" s="155"/>
      <c r="BY317" s="155"/>
      <c r="BZ317" s="155"/>
      <c r="CA317" s="155"/>
      <c r="CB317" s="155"/>
      <c r="CC317" s="155"/>
      <c r="CD317" s="155"/>
      <c r="CE317" s="155"/>
      <c r="CF317" s="155"/>
      <c r="CG317" s="155"/>
    </row>
    <row r="318" spans="1:85" ht="12.75" x14ac:dyDescent="0.2">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c r="AA318" s="155"/>
      <c r="AB318" s="155"/>
      <c r="AC318" s="155"/>
      <c r="AD318" s="155"/>
      <c r="AE318" s="155"/>
      <c r="AF318" s="155"/>
      <c r="AG318" s="155"/>
      <c r="AH318" s="155"/>
      <c r="AI318" s="155"/>
      <c r="AJ318" s="155"/>
      <c r="AK318" s="155"/>
      <c r="AL318" s="155"/>
      <c r="AM318" s="155"/>
      <c r="AN318" s="155"/>
      <c r="AO318" s="155"/>
      <c r="AP318" s="155"/>
      <c r="AQ318" s="155"/>
      <c r="AR318" s="155"/>
      <c r="AS318" s="155"/>
      <c r="AT318" s="155"/>
      <c r="AU318" s="155"/>
      <c r="AV318" s="155"/>
      <c r="AW318" s="155"/>
      <c r="AX318" s="155"/>
      <c r="AY318" s="155"/>
      <c r="AZ318" s="155"/>
      <c r="BA318" s="155"/>
      <c r="BB318" s="155"/>
      <c r="BC318" s="155"/>
      <c r="BD318" s="155"/>
      <c r="BE318" s="155"/>
      <c r="BF318" s="155"/>
      <c r="BG318" s="155"/>
      <c r="BH318" s="155"/>
      <c r="BI318" s="155"/>
      <c r="BJ318" s="155"/>
      <c r="BK318" s="155"/>
      <c r="BL318" s="155"/>
      <c r="BM318" s="155"/>
      <c r="BN318" s="155"/>
      <c r="BO318" s="155"/>
      <c r="BP318" s="155"/>
      <c r="BQ318" s="155"/>
      <c r="BR318" s="155"/>
      <c r="BS318" s="155"/>
      <c r="BT318" s="155"/>
      <c r="BU318" s="155"/>
      <c r="BV318" s="155"/>
      <c r="BW318" s="155"/>
      <c r="BX318" s="155"/>
      <c r="BY318" s="155"/>
      <c r="BZ318" s="155"/>
      <c r="CA318" s="155"/>
      <c r="CB318" s="155"/>
      <c r="CC318" s="155"/>
      <c r="CD318" s="155"/>
      <c r="CE318" s="155"/>
      <c r="CF318" s="155"/>
      <c r="CG318" s="155"/>
    </row>
    <row r="319" spans="1:85" ht="12.75" x14ac:dyDescent="0.2">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c r="AA319" s="155"/>
      <c r="AB319" s="155"/>
      <c r="AC319" s="155"/>
      <c r="AD319" s="155"/>
      <c r="AE319" s="155"/>
      <c r="AF319" s="155"/>
      <c r="AG319" s="155"/>
      <c r="AH319" s="155"/>
      <c r="AI319" s="155"/>
      <c r="AJ319" s="155"/>
      <c r="AK319" s="155"/>
      <c r="AL319" s="155"/>
      <c r="AM319" s="155"/>
      <c r="AN319" s="155"/>
      <c r="AO319" s="155"/>
      <c r="AP319" s="155"/>
      <c r="AQ319" s="155"/>
      <c r="AR319" s="155"/>
      <c r="AS319" s="155"/>
      <c r="AT319" s="155"/>
      <c r="AU319" s="155"/>
      <c r="AV319" s="155"/>
      <c r="AW319" s="155"/>
      <c r="AX319" s="155"/>
      <c r="AY319" s="155"/>
      <c r="AZ319" s="155"/>
      <c r="BA319" s="155"/>
      <c r="BB319" s="155"/>
      <c r="BC319" s="155"/>
      <c r="BD319" s="155"/>
      <c r="BE319" s="155"/>
      <c r="BF319" s="155"/>
      <c r="BG319" s="155"/>
      <c r="BH319" s="155"/>
      <c r="BI319" s="155"/>
      <c r="BJ319" s="155"/>
      <c r="BK319" s="155"/>
      <c r="BL319" s="155"/>
      <c r="BM319" s="155"/>
      <c r="BN319" s="155"/>
      <c r="BO319" s="155"/>
      <c r="BP319" s="155"/>
      <c r="BQ319" s="155"/>
      <c r="BR319" s="155"/>
      <c r="BS319" s="155"/>
      <c r="BT319" s="155"/>
      <c r="BU319" s="155"/>
      <c r="BV319" s="155"/>
      <c r="BW319" s="155"/>
      <c r="BX319" s="155"/>
      <c r="BY319" s="155"/>
      <c r="BZ319" s="155"/>
      <c r="CA319" s="155"/>
      <c r="CB319" s="155"/>
      <c r="CC319" s="155"/>
      <c r="CD319" s="155"/>
      <c r="CE319" s="155"/>
      <c r="CF319" s="155"/>
      <c r="CG319" s="155"/>
    </row>
    <row r="320" spans="1:85" ht="12.75" x14ac:dyDescent="0.2">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c r="AA320" s="155"/>
      <c r="AB320" s="155"/>
      <c r="AC320" s="155"/>
      <c r="AD320" s="155"/>
      <c r="AE320" s="155"/>
      <c r="AF320" s="155"/>
      <c r="AG320" s="155"/>
      <c r="AH320" s="155"/>
      <c r="AI320" s="155"/>
      <c r="AJ320" s="155"/>
      <c r="AK320" s="155"/>
      <c r="AL320" s="155"/>
      <c r="AM320" s="155"/>
      <c r="AN320" s="155"/>
      <c r="AO320" s="155"/>
      <c r="AP320" s="155"/>
      <c r="AQ320" s="155"/>
      <c r="AR320" s="155"/>
      <c r="AS320" s="155"/>
      <c r="AT320" s="155"/>
      <c r="AU320" s="155"/>
      <c r="AV320" s="155"/>
      <c r="AW320" s="155"/>
      <c r="AX320" s="155"/>
      <c r="AY320" s="155"/>
      <c r="AZ320" s="155"/>
      <c r="BA320" s="155"/>
      <c r="BB320" s="155"/>
      <c r="BC320" s="155"/>
      <c r="BD320" s="155"/>
      <c r="BE320" s="155"/>
      <c r="BF320" s="155"/>
      <c r="BG320" s="155"/>
      <c r="BH320" s="155"/>
      <c r="BI320" s="155"/>
      <c r="BJ320" s="155"/>
      <c r="BK320" s="155"/>
      <c r="BL320" s="155"/>
      <c r="BM320" s="155"/>
      <c r="BN320" s="155"/>
      <c r="BO320" s="155"/>
      <c r="BP320" s="155"/>
      <c r="BQ320" s="155"/>
      <c r="BR320" s="155"/>
      <c r="BS320" s="155"/>
      <c r="BT320" s="155"/>
      <c r="BU320" s="155"/>
      <c r="BV320" s="155"/>
      <c r="BW320" s="155"/>
      <c r="BX320" s="155"/>
      <c r="BY320" s="155"/>
      <c r="BZ320" s="155"/>
      <c r="CA320" s="155"/>
      <c r="CB320" s="155"/>
      <c r="CC320" s="155"/>
      <c r="CD320" s="155"/>
      <c r="CE320" s="155"/>
      <c r="CF320" s="155"/>
      <c r="CG320" s="155"/>
    </row>
    <row r="321" spans="1:85" ht="12.75" x14ac:dyDescent="0.2">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c r="AA321" s="155"/>
      <c r="AB321" s="155"/>
      <c r="AC321" s="155"/>
      <c r="AD321" s="155"/>
      <c r="AE321" s="155"/>
      <c r="AF321" s="155"/>
      <c r="AG321" s="155"/>
      <c r="AH321" s="155"/>
      <c r="AI321" s="155"/>
      <c r="AJ321" s="155"/>
      <c r="AK321" s="155"/>
      <c r="AL321" s="155"/>
      <c r="AM321" s="155"/>
      <c r="AN321" s="155"/>
      <c r="AO321" s="155"/>
      <c r="AP321" s="155"/>
      <c r="AQ321" s="155"/>
      <c r="AR321" s="155"/>
      <c r="AS321" s="155"/>
      <c r="AT321" s="155"/>
      <c r="AU321" s="155"/>
      <c r="AV321" s="155"/>
      <c r="AW321" s="155"/>
      <c r="AX321" s="155"/>
      <c r="AY321" s="155"/>
      <c r="AZ321" s="155"/>
      <c r="BA321" s="155"/>
      <c r="BB321" s="155"/>
      <c r="BC321" s="155"/>
      <c r="BD321" s="155"/>
      <c r="BE321" s="155"/>
      <c r="BF321" s="155"/>
      <c r="BG321" s="155"/>
      <c r="BH321" s="155"/>
      <c r="BI321" s="155"/>
      <c r="BJ321" s="155"/>
      <c r="BK321" s="155"/>
      <c r="BL321" s="155"/>
      <c r="BM321" s="155"/>
      <c r="BN321" s="155"/>
      <c r="BO321" s="155"/>
      <c r="BP321" s="155"/>
      <c r="BQ321" s="155"/>
      <c r="BR321" s="155"/>
      <c r="BS321" s="155"/>
      <c r="BT321" s="155"/>
      <c r="BU321" s="155"/>
      <c r="BV321" s="155"/>
      <c r="BW321" s="155"/>
      <c r="BX321" s="155"/>
      <c r="BY321" s="155"/>
      <c r="BZ321" s="155"/>
      <c r="CA321" s="155"/>
      <c r="CB321" s="155"/>
      <c r="CC321" s="155"/>
      <c r="CD321" s="155"/>
      <c r="CE321" s="155"/>
      <c r="CF321" s="155"/>
      <c r="CG321" s="155"/>
    </row>
    <row r="322" spans="1:85" ht="12.75" x14ac:dyDescent="0.2">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c r="AA322" s="155"/>
      <c r="AB322" s="155"/>
      <c r="AC322" s="155"/>
      <c r="AD322" s="155"/>
      <c r="AE322" s="155"/>
      <c r="AF322" s="155"/>
      <c r="AG322" s="155"/>
      <c r="AH322" s="155"/>
      <c r="AI322" s="155"/>
      <c r="AJ322" s="155"/>
      <c r="AK322" s="155"/>
      <c r="AL322" s="155"/>
      <c r="AM322" s="155"/>
      <c r="AN322" s="155"/>
      <c r="AO322" s="155"/>
      <c r="AP322" s="155"/>
      <c r="AQ322" s="155"/>
      <c r="AR322" s="155"/>
      <c r="AS322" s="155"/>
      <c r="AT322" s="155"/>
      <c r="AU322" s="155"/>
      <c r="AV322" s="155"/>
      <c r="AW322" s="155"/>
      <c r="AX322" s="155"/>
      <c r="AY322" s="155"/>
      <c r="AZ322" s="155"/>
      <c r="BA322" s="155"/>
      <c r="BB322" s="155"/>
      <c r="BC322" s="155"/>
      <c r="BD322" s="155"/>
      <c r="BE322" s="155"/>
      <c r="BF322" s="155"/>
      <c r="BG322" s="155"/>
      <c r="BH322" s="155"/>
      <c r="BI322" s="155"/>
      <c r="BJ322" s="155"/>
      <c r="BK322" s="155"/>
      <c r="BL322" s="155"/>
      <c r="BM322" s="155"/>
      <c r="BN322" s="155"/>
      <c r="BO322" s="155"/>
      <c r="BP322" s="155"/>
      <c r="BQ322" s="155"/>
      <c r="BR322" s="155"/>
      <c r="BS322" s="155"/>
      <c r="BT322" s="155"/>
      <c r="BU322" s="155"/>
      <c r="BV322" s="155"/>
      <c r="BW322" s="155"/>
      <c r="BX322" s="155"/>
      <c r="BY322" s="155"/>
      <c r="BZ322" s="155"/>
      <c r="CA322" s="155"/>
      <c r="CB322" s="155"/>
      <c r="CC322" s="155"/>
      <c r="CD322" s="155"/>
      <c r="CE322" s="155"/>
      <c r="CF322" s="155"/>
      <c r="CG322" s="155"/>
    </row>
    <row r="323" spans="1:85" ht="12.75" x14ac:dyDescent="0.2">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c r="AA323" s="155"/>
      <c r="AB323" s="155"/>
      <c r="AC323" s="155"/>
      <c r="AD323" s="155"/>
      <c r="AE323" s="155"/>
      <c r="AF323" s="155"/>
      <c r="AG323" s="155"/>
      <c r="AH323" s="155"/>
      <c r="AI323" s="155"/>
      <c r="AJ323" s="155"/>
      <c r="AK323" s="155"/>
      <c r="AL323" s="155"/>
      <c r="AM323" s="155"/>
      <c r="AN323" s="155"/>
      <c r="AO323" s="155"/>
      <c r="AP323" s="155"/>
      <c r="AQ323" s="155"/>
      <c r="AR323" s="155"/>
      <c r="AS323" s="155"/>
      <c r="AT323" s="155"/>
      <c r="AU323" s="155"/>
      <c r="AV323" s="155"/>
      <c r="AW323" s="155"/>
      <c r="AX323" s="155"/>
      <c r="AY323" s="155"/>
      <c r="AZ323" s="155"/>
      <c r="BA323" s="155"/>
      <c r="BB323" s="155"/>
      <c r="BC323" s="155"/>
      <c r="BD323" s="155"/>
      <c r="BE323" s="155"/>
      <c r="BF323" s="155"/>
      <c r="BG323" s="155"/>
      <c r="BH323" s="155"/>
      <c r="BI323" s="155"/>
      <c r="BJ323" s="155"/>
      <c r="BK323" s="155"/>
      <c r="BL323" s="155"/>
      <c r="BM323" s="155"/>
      <c r="BN323" s="155"/>
      <c r="BO323" s="155"/>
      <c r="BP323" s="155"/>
      <c r="BQ323" s="155"/>
      <c r="BR323" s="155"/>
      <c r="BS323" s="155"/>
      <c r="BT323" s="155"/>
      <c r="BU323" s="155"/>
      <c r="BV323" s="155"/>
      <c r="BW323" s="155"/>
      <c r="BX323" s="155"/>
      <c r="BY323" s="155"/>
      <c r="BZ323" s="155"/>
      <c r="CA323" s="155"/>
      <c r="CB323" s="155"/>
      <c r="CC323" s="155"/>
      <c r="CD323" s="155"/>
      <c r="CE323" s="155"/>
      <c r="CF323" s="155"/>
      <c r="CG323" s="155"/>
    </row>
    <row r="324" spans="1:85" ht="12.75" x14ac:dyDescent="0.2">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c r="AA324" s="155"/>
      <c r="AB324" s="155"/>
      <c r="AC324" s="155"/>
      <c r="AD324" s="155"/>
      <c r="AE324" s="155"/>
      <c r="AF324" s="155"/>
      <c r="AG324" s="155"/>
      <c r="AH324" s="155"/>
      <c r="AI324" s="155"/>
      <c r="AJ324" s="155"/>
      <c r="AK324" s="155"/>
      <c r="AL324" s="155"/>
      <c r="AM324" s="155"/>
      <c r="AN324" s="155"/>
      <c r="AO324" s="155"/>
      <c r="AP324" s="155"/>
      <c r="AQ324" s="155"/>
      <c r="AR324" s="155"/>
      <c r="AS324" s="155"/>
      <c r="AT324" s="155"/>
      <c r="AU324" s="155"/>
      <c r="AV324" s="155"/>
      <c r="AW324" s="155"/>
      <c r="AX324" s="155"/>
      <c r="AY324" s="155"/>
      <c r="AZ324" s="155"/>
      <c r="BA324" s="155"/>
      <c r="BB324" s="155"/>
      <c r="BC324" s="155"/>
      <c r="BD324" s="155"/>
      <c r="BE324" s="155"/>
      <c r="BF324" s="155"/>
      <c r="BG324" s="155"/>
      <c r="BH324" s="155"/>
      <c r="BI324" s="155"/>
      <c r="BJ324" s="155"/>
      <c r="BK324" s="155"/>
      <c r="BL324" s="155"/>
      <c r="BM324" s="155"/>
      <c r="BN324" s="155"/>
      <c r="BO324" s="155"/>
      <c r="BP324" s="155"/>
      <c r="BQ324" s="155"/>
      <c r="BR324" s="155"/>
      <c r="BS324" s="155"/>
      <c r="BT324" s="155"/>
      <c r="BU324" s="155"/>
      <c r="BV324" s="155"/>
      <c r="BW324" s="155"/>
      <c r="BX324" s="155"/>
      <c r="BY324" s="155"/>
      <c r="BZ324" s="155"/>
      <c r="CA324" s="155"/>
      <c r="CB324" s="155"/>
      <c r="CC324" s="155"/>
      <c r="CD324" s="155"/>
      <c r="CE324" s="155"/>
      <c r="CF324" s="155"/>
      <c r="CG324" s="155"/>
    </row>
    <row r="325" spans="1:85" ht="12.75" x14ac:dyDescent="0.2">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c r="AA325" s="155"/>
      <c r="AB325" s="155"/>
      <c r="AC325" s="155"/>
      <c r="AD325" s="155"/>
      <c r="AE325" s="155"/>
      <c r="AF325" s="155"/>
      <c r="AG325" s="155"/>
      <c r="AH325" s="155"/>
      <c r="AI325" s="155"/>
      <c r="AJ325" s="155"/>
      <c r="AK325" s="155"/>
      <c r="AL325" s="155"/>
      <c r="AM325" s="155"/>
      <c r="AN325" s="155"/>
      <c r="AO325" s="155"/>
      <c r="AP325" s="155"/>
      <c r="AQ325" s="155"/>
      <c r="AR325" s="155"/>
      <c r="AS325" s="155"/>
      <c r="AT325" s="155"/>
      <c r="AU325" s="155"/>
      <c r="AV325" s="155"/>
      <c r="AW325" s="155"/>
      <c r="AX325" s="155"/>
      <c r="AY325" s="155"/>
      <c r="AZ325" s="155"/>
      <c r="BA325" s="155"/>
      <c r="BB325" s="155"/>
      <c r="BC325" s="155"/>
      <c r="BD325" s="155"/>
      <c r="BE325" s="155"/>
      <c r="BF325" s="155"/>
      <c r="BG325" s="155"/>
      <c r="BH325" s="155"/>
      <c r="BI325" s="155"/>
      <c r="BJ325" s="155"/>
      <c r="BK325" s="155"/>
      <c r="BL325" s="155"/>
      <c r="BM325" s="155"/>
      <c r="BN325" s="155"/>
      <c r="BO325" s="155"/>
      <c r="BP325" s="155"/>
      <c r="BQ325" s="155"/>
      <c r="BR325" s="155"/>
      <c r="BS325" s="155"/>
      <c r="BT325" s="155"/>
      <c r="BU325" s="155"/>
      <c r="BV325" s="155"/>
      <c r="BW325" s="155"/>
      <c r="BX325" s="155"/>
      <c r="BY325" s="155"/>
      <c r="BZ325" s="155"/>
      <c r="CA325" s="155"/>
      <c r="CB325" s="155"/>
      <c r="CC325" s="155"/>
      <c r="CD325" s="155"/>
      <c r="CE325" s="155"/>
      <c r="CF325" s="155"/>
      <c r="CG325" s="155"/>
    </row>
    <row r="326" spans="1:85" ht="12.75" x14ac:dyDescent="0.2">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c r="AA326" s="155"/>
      <c r="AB326" s="155"/>
      <c r="AC326" s="155"/>
      <c r="AD326" s="155"/>
      <c r="AE326" s="155"/>
      <c r="AF326" s="155"/>
      <c r="AG326" s="155"/>
      <c r="AH326" s="155"/>
      <c r="AI326" s="155"/>
      <c r="AJ326" s="155"/>
      <c r="AK326" s="155"/>
      <c r="AL326" s="155"/>
      <c r="AM326" s="155"/>
      <c r="AN326" s="155"/>
      <c r="AO326" s="155"/>
      <c r="AP326" s="155"/>
      <c r="AQ326" s="155"/>
      <c r="AR326" s="155"/>
      <c r="AS326" s="155"/>
      <c r="AT326" s="155"/>
      <c r="AU326" s="155"/>
      <c r="AV326" s="155"/>
      <c r="AW326" s="155"/>
      <c r="AX326" s="155"/>
      <c r="AY326" s="155"/>
      <c r="AZ326" s="155"/>
      <c r="BA326" s="155"/>
      <c r="BB326" s="155"/>
      <c r="BC326" s="155"/>
      <c r="BD326" s="155"/>
      <c r="BE326" s="155"/>
      <c r="BF326" s="155"/>
      <c r="BG326" s="155"/>
      <c r="BH326" s="155"/>
      <c r="BI326" s="155"/>
      <c r="BJ326" s="155"/>
      <c r="BK326" s="155"/>
      <c r="BL326" s="155"/>
      <c r="BM326" s="155"/>
      <c r="BN326" s="155"/>
      <c r="BO326" s="155"/>
      <c r="BP326" s="155"/>
      <c r="BQ326" s="155"/>
      <c r="BR326" s="155"/>
      <c r="BS326" s="155"/>
      <c r="BT326" s="155"/>
      <c r="BU326" s="155"/>
      <c r="BV326" s="155"/>
      <c r="BW326" s="155"/>
      <c r="BX326" s="155"/>
      <c r="BY326" s="155"/>
      <c r="BZ326" s="155"/>
      <c r="CA326" s="155"/>
      <c r="CB326" s="155"/>
      <c r="CC326" s="155"/>
      <c r="CD326" s="155"/>
      <c r="CE326" s="155"/>
      <c r="CF326" s="155"/>
      <c r="CG326" s="155"/>
    </row>
    <row r="327" spans="1:85" ht="12.75" x14ac:dyDescent="0.2">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c r="AA327" s="155"/>
      <c r="AB327" s="155"/>
      <c r="AC327" s="155"/>
      <c r="AD327" s="155"/>
      <c r="AE327" s="155"/>
      <c r="AF327" s="155"/>
      <c r="AG327" s="155"/>
      <c r="AH327" s="155"/>
      <c r="AI327" s="155"/>
      <c r="AJ327" s="155"/>
      <c r="AK327" s="155"/>
      <c r="AL327" s="155"/>
      <c r="AM327" s="155"/>
      <c r="AN327" s="155"/>
      <c r="AO327" s="155"/>
      <c r="AP327" s="155"/>
      <c r="AQ327" s="155"/>
      <c r="AR327" s="155"/>
      <c r="AS327" s="155"/>
      <c r="AT327" s="155"/>
      <c r="AU327" s="155"/>
      <c r="AV327" s="155"/>
      <c r="AW327" s="155"/>
      <c r="AX327" s="155"/>
      <c r="AY327" s="155"/>
      <c r="AZ327" s="155"/>
      <c r="BA327" s="155"/>
      <c r="BB327" s="155"/>
      <c r="BC327" s="155"/>
      <c r="BD327" s="155"/>
      <c r="BE327" s="155"/>
      <c r="BF327" s="155"/>
      <c r="BG327" s="155"/>
      <c r="BH327" s="155"/>
      <c r="BI327" s="155"/>
      <c r="BJ327" s="155"/>
      <c r="BK327" s="155"/>
      <c r="BL327" s="155"/>
      <c r="BM327" s="155"/>
      <c r="BN327" s="155"/>
      <c r="BO327" s="155"/>
      <c r="BP327" s="155"/>
      <c r="BQ327" s="155"/>
      <c r="BR327" s="155"/>
      <c r="BS327" s="155"/>
      <c r="BT327" s="155"/>
      <c r="BU327" s="155"/>
      <c r="BV327" s="155"/>
      <c r="BW327" s="155"/>
      <c r="BX327" s="155"/>
      <c r="BY327" s="155"/>
      <c r="BZ327" s="155"/>
      <c r="CA327" s="155"/>
      <c r="CB327" s="155"/>
      <c r="CC327" s="155"/>
      <c r="CD327" s="155"/>
      <c r="CE327" s="155"/>
      <c r="CF327" s="155"/>
      <c r="CG327" s="155"/>
    </row>
    <row r="328" spans="1:85" ht="12.75" x14ac:dyDescent="0.2">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c r="AA328" s="155"/>
      <c r="AB328" s="155"/>
      <c r="AC328" s="155"/>
      <c r="AD328" s="155"/>
      <c r="AE328" s="155"/>
      <c r="AF328" s="155"/>
      <c r="AG328" s="155"/>
      <c r="AH328" s="155"/>
      <c r="AI328" s="155"/>
      <c r="AJ328" s="155"/>
      <c r="AK328" s="155"/>
      <c r="AL328" s="155"/>
      <c r="AM328" s="155"/>
      <c r="AN328" s="155"/>
      <c r="AO328" s="155"/>
      <c r="AP328" s="155"/>
      <c r="AQ328" s="155"/>
      <c r="AR328" s="155"/>
      <c r="AS328" s="155"/>
      <c r="AT328" s="155"/>
      <c r="AU328" s="155"/>
      <c r="AV328" s="155"/>
      <c r="AW328" s="155"/>
      <c r="AX328" s="155"/>
      <c r="AY328" s="155"/>
      <c r="AZ328" s="155"/>
      <c r="BA328" s="155"/>
      <c r="BB328" s="155"/>
      <c r="BC328" s="155"/>
      <c r="BD328" s="155"/>
      <c r="BE328" s="155"/>
      <c r="BF328" s="155"/>
      <c r="BG328" s="155"/>
      <c r="BH328" s="155"/>
      <c r="BI328" s="155"/>
      <c r="BJ328" s="155"/>
      <c r="BK328" s="155"/>
      <c r="BL328" s="155"/>
      <c r="BM328" s="155"/>
      <c r="BN328" s="155"/>
      <c r="BO328" s="155"/>
      <c r="BP328" s="155"/>
      <c r="BQ328" s="155"/>
      <c r="BR328" s="155"/>
      <c r="BS328" s="155"/>
      <c r="BT328" s="155"/>
      <c r="BU328" s="155"/>
      <c r="BV328" s="155"/>
      <c r="BW328" s="155"/>
      <c r="BX328" s="155"/>
      <c r="BY328" s="155"/>
      <c r="BZ328" s="155"/>
      <c r="CA328" s="155"/>
      <c r="CB328" s="155"/>
      <c r="CC328" s="155"/>
      <c r="CD328" s="155"/>
      <c r="CE328" s="155"/>
      <c r="CF328" s="155"/>
      <c r="CG328" s="155"/>
    </row>
    <row r="329" spans="1:85" ht="12.75" x14ac:dyDescent="0.2">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c r="AA329" s="155"/>
      <c r="AB329" s="155"/>
      <c r="AC329" s="155"/>
      <c r="AD329" s="155"/>
      <c r="AE329" s="155"/>
      <c r="AF329" s="155"/>
      <c r="AG329" s="155"/>
      <c r="AH329" s="155"/>
      <c r="AI329" s="155"/>
      <c r="AJ329" s="155"/>
      <c r="AK329" s="155"/>
      <c r="AL329" s="155"/>
      <c r="AM329" s="155"/>
      <c r="AN329" s="155"/>
      <c r="AO329" s="155"/>
      <c r="AP329" s="155"/>
      <c r="AQ329" s="155"/>
      <c r="AR329" s="155"/>
      <c r="AS329" s="155"/>
      <c r="AT329" s="155"/>
      <c r="AU329" s="155"/>
      <c r="AV329" s="155"/>
      <c r="AW329" s="155"/>
      <c r="AX329" s="155"/>
      <c r="AY329" s="155"/>
      <c r="AZ329" s="155"/>
      <c r="BA329" s="155"/>
      <c r="BB329" s="155"/>
      <c r="BC329" s="155"/>
      <c r="BD329" s="155"/>
      <c r="BE329" s="155"/>
      <c r="BF329" s="155"/>
      <c r="BG329" s="155"/>
      <c r="BH329" s="155"/>
      <c r="BI329" s="155"/>
      <c r="BJ329" s="155"/>
      <c r="BK329" s="155"/>
      <c r="BL329" s="155"/>
      <c r="BM329" s="155"/>
      <c r="BN329" s="155"/>
      <c r="BO329" s="155"/>
      <c r="BP329" s="155"/>
      <c r="BQ329" s="155"/>
      <c r="BR329" s="155"/>
      <c r="BS329" s="155"/>
      <c r="BT329" s="155"/>
      <c r="BU329" s="155"/>
      <c r="BV329" s="155"/>
      <c r="BW329" s="155"/>
      <c r="BX329" s="155"/>
      <c r="BY329" s="155"/>
      <c r="BZ329" s="155"/>
      <c r="CA329" s="155"/>
      <c r="CB329" s="155"/>
      <c r="CC329" s="155"/>
      <c r="CD329" s="155"/>
      <c r="CE329" s="155"/>
      <c r="CF329" s="155"/>
      <c r="CG329" s="155"/>
    </row>
    <row r="330" spans="1:85" ht="12.75" x14ac:dyDescent="0.2">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c r="AA330" s="155"/>
      <c r="AB330" s="155"/>
      <c r="AC330" s="155"/>
      <c r="AD330" s="155"/>
      <c r="AE330" s="155"/>
      <c r="AF330" s="155"/>
      <c r="AG330" s="155"/>
      <c r="AH330" s="155"/>
      <c r="AI330" s="155"/>
      <c r="AJ330" s="155"/>
      <c r="AK330" s="155"/>
      <c r="AL330" s="155"/>
      <c r="AM330" s="155"/>
      <c r="AN330" s="155"/>
      <c r="AO330" s="155"/>
      <c r="AP330" s="155"/>
      <c r="AQ330" s="155"/>
      <c r="AR330" s="155"/>
      <c r="AS330" s="155"/>
      <c r="AT330" s="155"/>
      <c r="AU330" s="155"/>
      <c r="AV330" s="155"/>
      <c r="AW330" s="155"/>
      <c r="AX330" s="155"/>
      <c r="AY330" s="155"/>
      <c r="AZ330" s="155"/>
      <c r="BA330" s="155"/>
      <c r="BB330" s="155"/>
      <c r="BC330" s="155"/>
      <c r="BD330" s="155"/>
      <c r="BE330" s="155"/>
      <c r="BF330" s="155"/>
      <c r="BG330" s="155"/>
      <c r="BH330" s="155"/>
      <c r="BI330" s="155"/>
      <c r="BJ330" s="155"/>
      <c r="BK330" s="155"/>
      <c r="BL330" s="155"/>
      <c r="BM330" s="155"/>
      <c r="BN330" s="155"/>
      <c r="BO330" s="155"/>
      <c r="BP330" s="155"/>
      <c r="BQ330" s="155"/>
      <c r="BR330" s="155"/>
      <c r="BS330" s="155"/>
      <c r="BT330" s="155"/>
      <c r="BU330" s="155"/>
      <c r="BV330" s="155"/>
      <c r="BW330" s="155"/>
      <c r="BX330" s="155"/>
      <c r="BY330" s="155"/>
      <c r="BZ330" s="155"/>
      <c r="CA330" s="155"/>
      <c r="CB330" s="155"/>
      <c r="CC330" s="155"/>
      <c r="CD330" s="155"/>
      <c r="CE330" s="155"/>
      <c r="CF330" s="155"/>
      <c r="CG330" s="155"/>
    </row>
    <row r="331" spans="1:85" ht="12.75" x14ac:dyDescent="0.2">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c r="AA331" s="155"/>
      <c r="AB331" s="155"/>
      <c r="AC331" s="155"/>
      <c r="AD331" s="155"/>
      <c r="AE331" s="155"/>
      <c r="AF331" s="155"/>
      <c r="AG331" s="155"/>
      <c r="AH331" s="155"/>
      <c r="AI331" s="155"/>
      <c r="AJ331" s="155"/>
      <c r="AK331" s="155"/>
      <c r="AL331" s="155"/>
      <c r="AM331" s="155"/>
      <c r="AN331" s="155"/>
      <c r="AO331" s="155"/>
      <c r="AP331" s="155"/>
      <c r="AQ331" s="155"/>
      <c r="AR331" s="155"/>
      <c r="AS331" s="155"/>
      <c r="AT331" s="155"/>
      <c r="AU331" s="155"/>
      <c r="AV331" s="155"/>
      <c r="AW331" s="155"/>
      <c r="AX331" s="155"/>
      <c r="AY331" s="155"/>
      <c r="AZ331" s="155"/>
      <c r="BA331" s="155"/>
      <c r="BB331" s="155"/>
      <c r="BC331" s="155"/>
      <c r="BD331" s="155"/>
      <c r="BE331" s="155"/>
      <c r="BF331" s="155"/>
      <c r="BG331" s="155"/>
      <c r="BH331" s="155"/>
      <c r="BI331" s="155"/>
      <c r="BJ331" s="155"/>
      <c r="BK331" s="155"/>
      <c r="BL331" s="155"/>
      <c r="BM331" s="155"/>
      <c r="BN331" s="155"/>
      <c r="BO331" s="155"/>
      <c r="BP331" s="155"/>
      <c r="BQ331" s="155"/>
      <c r="BR331" s="155"/>
      <c r="BS331" s="155"/>
      <c r="BT331" s="155"/>
      <c r="BU331" s="155"/>
      <c r="BV331" s="155"/>
      <c r="BW331" s="155"/>
      <c r="BX331" s="155"/>
      <c r="BY331" s="155"/>
      <c r="BZ331" s="155"/>
      <c r="CA331" s="155"/>
      <c r="CB331" s="155"/>
      <c r="CC331" s="155"/>
      <c r="CD331" s="155"/>
      <c r="CE331" s="155"/>
      <c r="CF331" s="155"/>
      <c r="CG331" s="155"/>
    </row>
    <row r="332" spans="1:85" ht="12.75" x14ac:dyDescent="0.2">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c r="AA332" s="155"/>
      <c r="AB332" s="155"/>
      <c r="AC332" s="155"/>
      <c r="AD332" s="155"/>
      <c r="AE332" s="155"/>
      <c r="AF332" s="155"/>
      <c r="AG332" s="155"/>
      <c r="AH332" s="155"/>
      <c r="AI332" s="155"/>
      <c r="AJ332" s="155"/>
      <c r="AK332" s="155"/>
      <c r="AL332" s="155"/>
      <c r="AM332" s="155"/>
      <c r="AN332" s="155"/>
      <c r="AO332" s="155"/>
      <c r="AP332" s="155"/>
      <c r="AQ332" s="155"/>
      <c r="AR332" s="155"/>
      <c r="AS332" s="155"/>
      <c r="AT332" s="155"/>
      <c r="AU332" s="155"/>
      <c r="AV332" s="155"/>
      <c r="AW332" s="155"/>
      <c r="AX332" s="155"/>
      <c r="AY332" s="155"/>
      <c r="AZ332" s="155"/>
      <c r="BA332" s="155"/>
      <c r="BB332" s="155"/>
      <c r="BC332" s="155"/>
      <c r="BD332" s="155"/>
      <c r="BE332" s="155"/>
      <c r="BF332" s="155"/>
      <c r="BG332" s="155"/>
      <c r="BH332" s="155"/>
      <c r="BI332" s="155"/>
      <c r="BJ332" s="155"/>
      <c r="BK332" s="155"/>
      <c r="BL332" s="155"/>
      <c r="BM332" s="155"/>
      <c r="BN332" s="155"/>
      <c r="BO332" s="155"/>
      <c r="BP332" s="155"/>
      <c r="BQ332" s="155"/>
      <c r="BR332" s="155"/>
      <c r="BS332" s="155"/>
      <c r="BT332" s="155"/>
      <c r="BU332" s="155"/>
      <c r="BV332" s="155"/>
      <c r="BW332" s="155"/>
      <c r="BX332" s="155"/>
      <c r="BY332" s="155"/>
      <c r="BZ332" s="155"/>
      <c r="CA332" s="155"/>
      <c r="CB332" s="155"/>
      <c r="CC332" s="155"/>
      <c r="CD332" s="155"/>
      <c r="CE332" s="155"/>
      <c r="CF332" s="155"/>
      <c r="CG332" s="155"/>
    </row>
    <row r="333" spans="1:85" ht="12.75" x14ac:dyDescent="0.2">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c r="AA333" s="155"/>
      <c r="AB333" s="155"/>
      <c r="AC333" s="155"/>
      <c r="AD333" s="155"/>
      <c r="AE333" s="155"/>
      <c r="AF333" s="155"/>
      <c r="AG333" s="155"/>
      <c r="AH333" s="155"/>
      <c r="AI333" s="155"/>
      <c r="AJ333" s="155"/>
      <c r="AK333" s="155"/>
      <c r="AL333" s="155"/>
      <c r="AM333" s="155"/>
      <c r="AN333" s="155"/>
      <c r="AO333" s="155"/>
      <c r="AP333" s="155"/>
      <c r="AQ333" s="155"/>
      <c r="AR333" s="155"/>
      <c r="AS333" s="155"/>
      <c r="AT333" s="155"/>
      <c r="AU333" s="155"/>
      <c r="AV333" s="155"/>
      <c r="AW333" s="155"/>
      <c r="AX333" s="155"/>
      <c r="AY333" s="155"/>
      <c r="AZ333" s="155"/>
      <c r="BA333" s="155"/>
      <c r="BB333" s="155"/>
      <c r="BC333" s="155"/>
      <c r="BD333" s="155"/>
      <c r="BE333" s="155"/>
      <c r="BF333" s="155"/>
      <c r="BG333" s="155"/>
      <c r="BH333" s="155"/>
      <c r="BI333" s="155"/>
      <c r="BJ333" s="155"/>
      <c r="BK333" s="155"/>
      <c r="BL333" s="155"/>
      <c r="BM333" s="155"/>
      <c r="BN333" s="155"/>
      <c r="BO333" s="155"/>
      <c r="BP333" s="155"/>
      <c r="BQ333" s="155"/>
      <c r="BR333" s="155"/>
      <c r="BS333" s="155"/>
      <c r="BT333" s="155"/>
      <c r="BU333" s="155"/>
      <c r="BV333" s="155"/>
      <c r="BW333" s="155"/>
      <c r="BX333" s="155"/>
      <c r="BY333" s="155"/>
      <c r="BZ333" s="155"/>
      <c r="CA333" s="155"/>
      <c r="CB333" s="155"/>
      <c r="CC333" s="155"/>
      <c r="CD333" s="155"/>
      <c r="CE333" s="155"/>
      <c r="CF333" s="155"/>
      <c r="CG333" s="155"/>
    </row>
    <row r="334" spans="1:85" ht="12.75" x14ac:dyDescent="0.2">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c r="AA334" s="155"/>
      <c r="AB334" s="155"/>
      <c r="AC334" s="155"/>
      <c r="AD334" s="155"/>
      <c r="AE334" s="155"/>
      <c r="AF334" s="155"/>
      <c r="AG334" s="155"/>
      <c r="AH334" s="155"/>
      <c r="AI334" s="155"/>
      <c r="AJ334" s="155"/>
      <c r="AK334" s="155"/>
      <c r="AL334" s="155"/>
      <c r="AM334" s="155"/>
      <c r="AN334" s="155"/>
      <c r="AO334" s="155"/>
      <c r="AP334" s="155"/>
      <c r="AQ334" s="155"/>
      <c r="AR334" s="155"/>
      <c r="AS334" s="155"/>
      <c r="AT334" s="155"/>
      <c r="AU334" s="155"/>
      <c r="AV334" s="155"/>
      <c r="AW334" s="155"/>
      <c r="AX334" s="155"/>
      <c r="AY334" s="155"/>
      <c r="AZ334" s="155"/>
      <c r="BA334" s="155"/>
      <c r="BB334" s="155"/>
      <c r="BC334" s="155"/>
      <c r="BD334" s="155"/>
      <c r="BE334" s="155"/>
      <c r="BF334" s="155"/>
      <c r="BG334" s="155"/>
      <c r="BH334" s="155"/>
      <c r="BI334" s="155"/>
      <c r="BJ334" s="155"/>
      <c r="BK334" s="155"/>
      <c r="BL334" s="155"/>
      <c r="BM334" s="155"/>
      <c r="BN334" s="155"/>
      <c r="BO334" s="155"/>
      <c r="BP334" s="155"/>
      <c r="BQ334" s="155"/>
      <c r="BR334" s="155"/>
      <c r="BS334" s="155"/>
      <c r="BT334" s="155"/>
      <c r="BU334" s="155"/>
      <c r="BV334" s="155"/>
      <c r="BW334" s="155"/>
      <c r="BX334" s="155"/>
      <c r="BY334" s="155"/>
      <c r="BZ334" s="155"/>
      <c r="CA334" s="155"/>
      <c r="CB334" s="155"/>
      <c r="CC334" s="155"/>
      <c r="CD334" s="155"/>
      <c r="CE334" s="155"/>
      <c r="CF334" s="155"/>
      <c r="CG334" s="155"/>
    </row>
    <row r="335" spans="1:85" ht="12.75" x14ac:dyDescent="0.2">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c r="AA335" s="155"/>
      <c r="AB335" s="155"/>
      <c r="AC335" s="155"/>
      <c r="AD335" s="155"/>
      <c r="AE335" s="155"/>
      <c r="AF335" s="155"/>
      <c r="AG335" s="155"/>
      <c r="AH335" s="155"/>
      <c r="AI335" s="155"/>
      <c r="AJ335" s="155"/>
      <c r="AK335" s="155"/>
      <c r="AL335" s="155"/>
      <c r="AM335" s="155"/>
      <c r="AN335" s="155"/>
      <c r="AO335" s="155"/>
      <c r="AP335" s="155"/>
      <c r="AQ335" s="155"/>
      <c r="AR335" s="155"/>
      <c r="AS335" s="155"/>
      <c r="AT335" s="155"/>
      <c r="AU335" s="155"/>
      <c r="AV335" s="155"/>
      <c r="AW335" s="155"/>
      <c r="AX335" s="155"/>
      <c r="AY335" s="155"/>
      <c r="AZ335" s="155"/>
      <c r="BA335" s="155"/>
      <c r="BB335" s="155"/>
      <c r="BC335" s="155"/>
      <c r="BD335" s="155"/>
      <c r="BE335" s="155"/>
      <c r="BF335" s="155"/>
      <c r="BG335" s="155"/>
      <c r="BH335" s="155"/>
      <c r="BI335" s="155"/>
      <c r="BJ335" s="155"/>
      <c r="BK335" s="155"/>
      <c r="BL335" s="155"/>
      <c r="BM335" s="155"/>
      <c r="BN335" s="155"/>
      <c r="BO335" s="155"/>
      <c r="BP335" s="155"/>
      <c r="BQ335" s="155"/>
      <c r="BR335" s="155"/>
      <c r="BS335" s="155"/>
      <c r="BT335" s="155"/>
      <c r="BU335" s="155"/>
      <c r="BV335" s="155"/>
      <c r="BW335" s="155"/>
      <c r="BX335" s="155"/>
      <c r="BY335" s="155"/>
      <c r="BZ335" s="155"/>
      <c r="CA335" s="155"/>
      <c r="CB335" s="155"/>
      <c r="CC335" s="155"/>
      <c r="CD335" s="155"/>
      <c r="CE335" s="155"/>
      <c r="CF335" s="155"/>
      <c r="CG335" s="155"/>
    </row>
    <row r="336" spans="1:85" ht="12.75" x14ac:dyDescent="0.2">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c r="AA336" s="155"/>
      <c r="AB336" s="155"/>
      <c r="AC336" s="155"/>
      <c r="AD336" s="155"/>
      <c r="AE336" s="155"/>
      <c r="AF336" s="155"/>
      <c r="AG336" s="155"/>
      <c r="AH336" s="155"/>
      <c r="AI336" s="155"/>
      <c r="AJ336" s="155"/>
      <c r="AK336" s="155"/>
      <c r="AL336" s="155"/>
      <c r="AM336" s="155"/>
      <c r="AN336" s="155"/>
      <c r="AO336" s="155"/>
      <c r="AP336" s="155"/>
      <c r="AQ336" s="155"/>
      <c r="AR336" s="155"/>
      <c r="AS336" s="155"/>
      <c r="AT336" s="155"/>
      <c r="AU336" s="155"/>
      <c r="AV336" s="155"/>
      <c r="AW336" s="155"/>
      <c r="AX336" s="155"/>
      <c r="AY336" s="155"/>
      <c r="AZ336" s="155"/>
      <c r="BA336" s="155"/>
      <c r="BB336" s="155"/>
      <c r="BC336" s="155"/>
      <c r="BD336" s="155"/>
      <c r="BE336" s="155"/>
      <c r="BF336" s="155"/>
      <c r="BG336" s="155"/>
      <c r="BH336" s="155"/>
      <c r="BI336" s="155"/>
      <c r="BJ336" s="155"/>
      <c r="BK336" s="155"/>
      <c r="BL336" s="155"/>
      <c r="BM336" s="155"/>
      <c r="BN336" s="155"/>
      <c r="BO336" s="155"/>
      <c r="BP336" s="155"/>
      <c r="BQ336" s="155"/>
      <c r="BR336" s="155"/>
      <c r="BS336" s="155"/>
      <c r="BT336" s="155"/>
      <c r="BU336" s="155"/>
      <c r="BV336" s="155"/>
      <c r="BW336" s="155"/>
      <c r="BX336" s="155"/>
      <c r="BY336" s="155"/>
      <c r="BZ336" s="155"/>
      <c r="CA336" s="155"/>
      <c r="CB336" s="155"/>
      <c r="CC336" s="155"/>
      <c r="CD336" s="155"/>
      <c r="CE336" s="155"/>
      <c r="CF336" s="155"/>
      <c r="CG336" s="155"/>
    </row>
    <row r="337" spans="1:85" ht="12.75" x14ac:dyDescent="0.2">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c r="AA337" s="155"/>
      <c r="AB337" s="155"/>
      <c r="AC337" s="155"/>
      <c r="AD337" s="155"/>
      <c r="AE337" s="155"/>
      <c r="AF337" s="155"/>
      <c r="AG337" s="155"/>
      <c r="AH337" s="155"/>
      <c r="AI337" s="155"/>
      <c r="AJ337" s="155"/>
      <c r="AK337" s="155"/>
      <c r="AL337" s="155"/>
      <c r="AM337" s="155"/>
      <c r="AN337" s="155"/>
      <c r="AO337" s="155"/>
      <c r="AP337" s="155"/>
      <c r="AQ337" s="155"/>
      <c r="AR337" s="155"/>
      <c r="AS337" s="155"/>
      <c r="AT337" s="155"/>
      <c r="AU337" s="155"/>
      <c r="AV337" s="155"/>
      <c r="AW337" s="155"/>
      <c r="AX337" s="155"/>
      <c r="AY337" s="155"/>
      <c r="AZ337" s="155"/>
      <c r="BA337" s="155"/>
      <c r="BB337" s="155"/>
      <c r="BC337" s="155"/>
      <c r="BD337" s="155"/>
      <c r="BE337" s="155"/>
      <c r="BF337" s="155"/>
      <c r="BG337" s="155"/>
      <c r="BH337" s="155"/>
      <c r="BI337" s="155"/>
      <c r="BJ337" s="155"/>
      <c r="BK337" s="155"/>
      <c r="BL337" s="155"/>
      <c r="BM337" s="155"/>
      <c r="BN337" s="155"/>
      <c r="BO337" s="155"/>
      <c r="BP337" s="155"/>
      <c r="BQ337" s="155"/>
      <c r="BR337" s="155"/>
      <c r="BS337" s="155"/>
      <c r="BT337" s="155"/>
      <c r="BU337" s="155"/>
      <c r="BV337" s="155"/>
      <c r="BW337" s="155"/>
      <c r="BX337" s="155"/>
      <c r="BY337" s="155"/>
      <c r="BZ337" s="155"/>
      <c r="CA337" s="155"/>
      <c r="CB337" s="155"/>
      <c r="CC337" s="155"/>
      <c r="CD337" s="155"/>
      <c r="CE337" s="155"/>
      <c r="CF337" s="155"/>
      <c r="CG337" s="155"/>
    </row>
    <row r="338" spans="1:85" ht="12.75" x14ac:dyDescent="0.2">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c r="AA338" s="155"/>
      <c r="AB338" s="155"/>
      <c r="AC338" s="155"/>
      <c r="AD338" s="155"/>
      <c r="AE338" s="155"/>
      <c r="AF338" s="155"/>
      <c r="AG338" s="155"/>
      <c r="AH338" s="155"/>
      <c r="AI338" s="155"/>
      <c r="AJ338" s="155"/>
      <c r="AK338" s="155"/>
      <c r="AL338" s="155"/>
      <c r="AM338" s="155"/>
      <c r="AN338" s="155"/>
      <c r="AO338" s="155"/>
      <c r="AP338" s="155"/>
      <c r="AQ338" s="155"/>
      <c r="AR338" s="155"/>
      <c r="AS338" s="155"/>
      <c r="AT338" s="155"/>
      <c r="AU338" s="155"/>
      <c r="AV338" s="155"/>
      <c r="AW338" s="155"/>
      <c r="AX338" s="155"/>
      <c r="AY338" s="155"/>
      <c r="AZ338" s="155"/>
      <c r="BA338" s="155"/>
      <c r="BB338" s="155"/>
      <c r="BC338" s="155"/>
      <c r="BD338" s="155"/>
      <c r="BE338" s="155"/>
      <c r="BF338" s="155"/>
      <c r="BG338" s="155"/>
      <c r="BH338" s="155"/>
      <c r="BI338" s="155"/>
      <c r="BJ338" s="155"/>
      <c r="BK338" s="155"/>
      <c r="BL338" s="155"/>
      <c r="BM338" s="155"/>
      <c r="BN338" s="155"/>
      <c r="BO338" s="155"/>
      <c r="BP338" s="155"/>
      <c r="BQ338" s="155"/>
      <c r="BR338" s="155"/>
      <c r="BS338" s="155"/>
      <c r="BT338" s="155"/>
      <c r="BU338" s="155"/>
      <c r="BV338" s="155"/>
      <c r="BW338" s="155"/>
      <c r="BX338" s="155"/>
      <c r="BY338" s="155"/>
      <c r="BZ338" s="155"/>
      <c r="CA338" s="155"/>
      <c r="CB338" s="155"/>
      <c r="CC338" s="155"/>
      <c r="CD338" s="155"/>
      <c r="CE338" s="155"/>
      <c r="CF338" s="155"/>
      <c r="CG338" s="155"/>
    </row>
    <row r="339" spans="1:85" ht="12.75" x14ac:dyDescent="0.2">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c r="AA339" s="155"/>
      <c r="AB339" s="155"/>
      <c r="AC339" s="155"/>
      <c r="AD339" s="155"/>
      <c r="AE339" s="155"/>
      <c r="AF339" s="155"/>
      <c r="AG339" s="155"/>
      <c r="AH339" s="155"/>
      <c r="AI339" s="155"/>
      <c r="AJ339" s="155"/>
      <c r="AK339" s="155"/>
      <c r="AL339" s="155"/>
      <c r="AM339" s="155"/>
      <c r="AN339" s="155"/>
      <c r="AO339" s="155"/>
      <c r="AP339" s="155"/>
      <c r="AQ339" s="155"/>
      <c r="AR339" s="155"/>
      <c r="AS339" s="155"/>
      <c r="AT339" s="155"/>
      <c r="AU339" s="155"/>
      <c r="AV339" s="155"/>
      <c r="AW339" s="155"/>
      <c r="AX339" s="155"/>
      <c r="AY339" s="155"/>
      <c r="AZ339" s="155"/>
      <c r="BA339" s="155"/>
      <c r="BB339" s="155"/>
      <c r="BC339" s="155"/>
      <c r="BD339" s="155"/>
      <c r="BE339" s="155"/>
      <c r="BF339" s="155"/>
      <c r="BG339" s="155"/>
      <c r="BH339" s="155"/>
      <c r="BI339" s="155"/>
      <c r="BJ339" s="155"/>
      <c r="BK339" s="155"/>
      <c r="BL339" s="155"/>
      <c r="BM339" s="155"/>
      <c r="BN339" s="155"/>
      <c r="BO339" s="155"/>
      <c r="BP339" s="155"/>
      <c r="BQ339" s="155"/>
      <c r="BR339" s="155"/>
      <c r="BS339" s="155"/>
      <c r="BT339" s="155"/>
      <c r="BU339" s="155"/>
      <c r="BV339" s="155"/>
      <c r="BW339" s="155"/>
      <c r="BX339" s="155"/>
      <c r="BY339" s="155"/>
      <c r="BZ339" s="155"/>
      <c r="CA339" s="155"/>
      <c r="CB339" s="155"/>
      <c r="CC339" s="155"/>
      <c r="CD339" s="155"/>
      <c r="CE339" s="155"/>
      <c r="CF339" s="155"/>
      <c r="CG339" s="155"/>
    </row>
    <row r="340" spans="1:85" ht="12.75" x14ac:dyDescent="0.2">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c r="AA340" s="155"/>
      <c r="AB340" s="155"/>
      <c r="AC340" s="155"/>
      <c r="AD340" s="155"/>
      <c r="AE340" s="155"/>
      <c r="AF340" s="155"/>
      <c r="AG340" s="155"/>
      <c r="AH340" s="155"/>
      <c r="AI340" s="155"/>
      <c r="AJ340" s="155"/>
      <c r="AK340" s="155"/>
      <c r="AL340" s="155"/>
      <c r="AM340" s="155"/>
      <c r="AN340" s="155"/>
      <c r="AO340" s="155"/>
      <c r="AP340" s="155"/>
      <c r="AQ340" s="155"/>
      <c r="AR340" s="155"/>
      <c r="AS340" s="155"/>
      <c r="AT340" s="155"/>
      <c r="AU340" s="155"/>
      <c r="AV340" s="155"/>
      <c r="AW340" s="155"/>
      <c r="AX340" s="155"/>
      <c r="AY340" s="155"/>
      <c r="AZ340" s="155"/>
      <c r="BA340" s="155"/>
      <c r="BB340" s="155"/>
      <c r="BC340" s="155"/>
      <c r="BD340" s="155"/>
      <c r="BE340" s="155"/>
      <c r="BF340" s="155"/>
      <c r="BG340" s="155"/>
      <c r="BH340" s="155"/>
      <c r="BI340" s="155"/>
      <c r="BJ340" s="155"/>
      <c r="BK340" s="155"/>
      <c r="BL340" s="155"/>
      <c r="BM340" s="155"/>
      <c r="BN340" s="155"/>
      <c r="BO340" s="155"/>
      <c r="BP340" s="155"/>
      <c r="BQ340" s="155"/>
      <c r="BR340" s="155"/>
      <c r="BS340" s="155"/>
      <c r="BT340" s="155"/>
      <c r="BU340" s="155"/>
      <c r="BV340" s="155"/>
      <c r="BW340" s="155"/>
      <c r="BX340" s="155"/>
      <c r="BY340" s="155"/>
      <c r="BZ340" s="155"/>
      <c r="CA340" s="155"/>
      <c r="CB340" s="155"/>
      <c r="CC340" s="155"/>
      <c r="CD340" s="155"/>
      <c r="CE340" s="155"/>
      <c r="CF340" s="155"/>
      <c r="CG340" s="155"/>
    </row>
    <row r="341" spans="1:85" ht="12.75" x14ac:dyDescent="0.2">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55"/>
      <c r="AD341" s="155"/>
      <c r="AE341" s="155"/>
      <c r="AF341" s="155"/>
      <c r="AG341" s="155"/>
      <c r="AH341" s="155"/>
      <c r="AI341" s="155"/>
      <c r="AJ341" s="155"/>
      <c r="AK341" s="155"/>
      <c r="AL341" s="155"/>
      <c r="AM341" s="155"/>
      <c r="AN341" s="155"/>
      <c r="AO341" s="155"/>
      <c r="AP341" s="155"/>
      <c r="AQ341" s="155"/>
      <c r="AR341" s="155"/>
      <c r="AS341" s="155"/>
      <c r="AT341" s="155"/>
      <c r="AU341" s="155"/>
      <c r="AV341" s="155"/>
      <c r="AW341" s="155"/>
      <c r="AX341" s="155"/>
      <c r="AY341" s="155"/>
      <c r="AZ341" s="155"/>
      <c r="BA341" s="155"/>
      <c r="BB341" s="155"/>
      <c r="BC341" s="155"/>
      <c r="BD341" s="155"/>
      <c r="BE341" s="155"/>
      <c r="BF341" s="155"/>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row>
    <row r="342" spans="1:85" ht="12.75" x14ac:dyDescent="0.2">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c r="AA342" s="155"/>
      <c r="AB342" s="155"/>
      <c r="AC342" s="155"/>
      <c r="AD342" s="155"/>
      <c r="AE342" s="155"/>
      <c r="AF342" s="155"/>
      <c r="AG342" s="155"/>
      <c r="AH342" s="155"/>
      <c r="AI342" s="155"/>
      <c r="AJ342" s="155"/>
      <c r="AK342" s="155"/>
      <c r="AL342" s="155"/>
      <c r="AM342" s="155"/>
      <c r="AN342" s="155"/>
      <c r="AO342" s="155"/>
      <c r="AP342" s="155"/>
      <c r="AQ342" s="155"/>
      <c r="AR342" s="155"/>
      <c r="AS342" s="155"/>
      <c r="AT342" s="155"/>
      <c r="AU342" s="155"/>
      <c r="AV342" s="155"/>
      <c r="AW342" s="155"/>
      <c r="AX342" s="155"/>
      <c r="AY342" s="155"/>
      <c r="AZ342" s="155"/>
      <c r="BA342" s="155"/>
      <c r="BB342" s="155"/>
      <c r="BC342" s="155"/>
      <c r="BD342" s="155"/>
      <c r="BE342" s="155"/>
      <c r="BF342" s="155"/>
      <c r="BG342" s="155"/>
      <c r="BH342" s="155"/>
      <c r="BI342" s="155"/>
      <c r="BJ342" s="155"/>
      <c r="BK342" s="155"/>
      <c r="BL342" s="155"/>
      <c r="BM342" s="155"/>
      <c r="BN342" s="155"/>
      <c r="BO342" s="155"/>
      <c r="BP342" s="155"/>
      <c r="BQ342" s="155"/>
      <c r="BR342" s="155"/>
      <c r="BS342" s="155"/>
      <c r="BT342" s="155"/>
      <c r="BU342" s="155"/>
      <c r="BV342" s="155"/>
      <c r="BW342" s="155"/>
      <c r="BX342" s="155"/>
      <c r="BY342" s="155"/>
      <c r="BZ342" s="155"/>
      <c r="CA342" s="155"/>
      <c r="CB342" s="155"/>
      <c r="CC342" s="155"/>
      <c r="CD342" s="155"/>
      <c r="CE342" s="155"/>
      <c r="CF342" s="155"/>
      <c r="CG342" s="155"/>
    </row>
    <row r="343" spans="1:85" ht="12.75" x14ac:dyDescent="0.2">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c r="AA343" s="155"/>
      <c r="AB343" s="155"/>
      <c r="AC343" s="155"/>
      <c r="AD343" s="155"/>
      <c r="AE343" s="155"/>
      <c r="AF343" s="155"/>
      <c r="AG343" s="155"/>
      <c r="AH343" s="155"/>
      <c r="AI343" s="155"/>
      <c r="AJ343" s="155"/>
      <c r="AK343" s="155"/>
      <c r="AL343" s="155"/>
      <c r="AM343" s="155"/>
      <c r="AN343" s="155"/>
      <c r="AO343" s="155"/>
      <c r="AP343" s="155"/>
      <c r="AQ343" s="155"/>
      <c r="AR343" s="155"/>
      <c r="AS343" s="155"/>
      <c r="AT343" s="155"/>
      <c r="AU343" s="155"/>
      <c r="AV343" s="155"/>
      <c r="AW343" s="155"/>
      <c r="AX343" s="155"/>
      <c r="AY343" s="155"/>
      <c r="AZ343" s="155"/>
      <c r="BA343" s="155"/>
      <c r="BB343" s="155"/>
      <c r="BC343" s="155"/>
      <c r="BD343" s="155"/>
      <c r="BE343" s="155"/>
      <c r="BF343" s="155"/>
      <c r="BG343" s="155"/>
      <c r="BH343" s="155"/>
      <c r="BI343" s="155"/>
      <c r="BJ343" s="155"/>
      <c r="BK343" s="155"/>
      <c r="BL343" s="155"/>
      <c r="BM343" s="155"/>
      <c r="BN343" s="155"/>
      <c r="BO343" s="155"/>
      <c r="BP343" s="155"/>
      <c r="BQ343" s="155"/>
      <c r="BR343" s="155"/>
      <c r="BS343" s="155"/>
      <c r="BT343" s="155"/>
      <c r="BU343" s="155"/>
      <c r="BV343" s="155"/>
      <c r="BW343" s="155"/>
      <c r="BX343" s="155"/>
      <c r="BY343" s="155"/>
      <c r="BZ343" s="155"/>
      <c r="CA343" s="155"/>
      <c r="CB343" s="155"/>
      <c r="CC343" s="155"/>
      <c r="CD343" s="155"/>
      <c r="CE343" s="155"/>
      <c r="CF343" s="155"/>
      <c r="CG343" s="155"/>
    </row>
    <row r="344" spans="1:85" ht="12.75" x14ac:dyDescent="0.2">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c r="AA344" s="155"/>
      <c r="AB344" s="155"/>
      <c r="AC344" s="155"/>
      <c r="AD344" s="155"/>
      <c r="AE344" s="155"/>
      <c r="AF344" s="155"/>
      <c r="AG344" s="155"/>
      <c r="AH344" s="155"/>
      <c r="AI344" s="155"/>
      <c r="AJ344" s="155"/>
      <c r="AK344" s="155"/>
      <c r="AL344" s="155"/>
      <c r="AM344" s="155"/>
      <c r="AN344" s="155"/>
      <c r="AO344" s="155"/>
      <c r="AP344" s="155"/>
      <c r="AQ344" s="155"/>
      <c r="AR344" s="155"/>
      <c r="AS344" s="155"/>
      <c r="AT344" s="155"/>
      <c r="AU344" s="155"/>
      <c r="AV344" s="155"/>
      <c r="AW344" s="155"/>
      <c r="AX344" s="155"/>
      <c r="AY344" s="155"/>
      <c r="AZ344" s="155"/>
      <c r="BA344" s="155"/>
      <c r="BB344" s="155"/>
      <c r="BC344" s="155"/>
      <c r="BD344" s="155"/>
      <c r="BE344" s="155"/>
      <c r="BF344" s="155"/>
      <c r="BG344" s="155"/>
      <c r="BH344" s="155"/>
      <c r="BI344" s="155"/>
      <c r="BJ344" s="155"/>
      <c r="BK344" s="155"/>
      <c r="BL344" s="155"/>
      <c r="BM344" s="155"/>
      <c r="BN344" s="155"/>
      <c r="BO344" s="155"/>
      <c r="BP344" s="155"/>
      <c r="BQ344" s="155"/>
      <c r="BR344" s="155"/>
      <c r="BS344" s="155"/>
      <c r="BT344" s="155"/>
      <c r="BU344" s="155"/>
      <c r="BV344" s="155"/>
      <c r="BW344" s="155"/>
      <c r="BX344" s="155"/>
      <c r="BY344" s="155"/>
      <c r="BZ344" s="155"/>
      <c r="CA344" s="155"/>
      <c r="CB344" s="155"/>
      <c r="CC344" s="155"/>
      <c r="CD344" s="155"/>
      <c r="CE344" s="155"/>
      <c r="CF344" s="155"/>
      <c r="CG344" s="155"/>
    </row>
    <row r="345" spans="1:85" ht="12.75" x14ac:dyDescent="0.2">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c r="AA345" s="155"/>
      <c r="AB345" s="155"/>
      <c r="AC345" s="155"/>
      <c r="AD345" s="155"/>
      <c r="AE345" s="155"/>
      <c r="AF345" s="155"/>
      <c r="AG345" s="155"/>
      <c r="AH345" s="155"/>
      <c r="AI345" s="155"/>
      <c r="AJ345" s="155"/>
      <c r="AK345" s="155"/>
      <c r="AL345" s="155"/>
      <c r="AM345" s="155"/>
      <c r="AN345" s="155"/>
      <c r="AO345" s="155"/>
      <c r="AP345" s="155"/>
      <c r="AQ345" s="155"/>
      <c r="AR345" s="155"/>
      <c r="AS345" s="155"/>
      <c r="AT345" s="155"/>
      <c r="AU345" s="155"/>
      <c r="AV345" s="155"/>
      <c r="AW345" s="155"/>
      <c r="AX345" s="155"/>
      <c r="AY345" s="155"/>
      <c r="AZ345" s="155"/>
      <c r="BA345" s="155"/>
      <c r="BB345" s="155"/>
      <c r="BC345" s="155"/>
      <c r="BD345" s="155"/>
      <c r="BE345" s="155"/>
      <c r="BF345" s="155"/>
      <c r="BG345" s="155"/>
      <c r="BH345" s="155"/>
      <c r="BI345" s="155"/>
      <c r="BJ345" s="155"/>
      <c r="BK345" s="155"/>
      <c r="BL345" s="155"/>
      <c r="BM345" s="155"/>
      <c r="BN345" s="155"/>
      <c r="BO345" s="155"/>
      <c r="BP345" s="155"/>
      <c r="BQ345" s="155"/>
      <c r="BR345" s="155"/>
      <c r="BS345" s="155"/>
      <c r="BT345" s="155"/>
      <c r="BU345" s="155"/>
      <c r="BV345" s="155"/>
      <c r="BW345" s="155"/>
      <c r="BX345" s="155"/>
      <c r="BY345" s="155"/>
      <c r="BZ345" s="155"/>
      <c r="CA345" s="155"/>
      <c r="CB345" s="155"/>
      <c r="CC345" s="155"/>
      <c r="CD345" s="155"/>
      <c r="CE345" s="155"/>
      <c r="CF345" s="155"/>
      <c r="CG345" s="155"/>
    </row>
    <row r="346" spans="1:85" ht="12.75" x14ac:dyDescent="0.2">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c r="AA346" s="155"/>
      <c r="AB346" s="155"/>
      <c r="AC346" s="155"/>
      <c r="AD346" s="155"/>
      <c r="AE346" s="155"/>
      <c r="AF346" s="155"/>
      <c r="AG346" s="155"/>
      <c r="AH346" s="155"/>
      <c r="AI346" s="155"/>
      <c r="AJ346" s="155"/>
      <c r="AK346" s="155"/>
      <c r="AL346" s="155"/>
      <c r="AM346" s="155"/>
      <c r="AN346" s="155"/>
      <c r="AO346" s="155"/>
      <c r="AP346" s="155"/>
      <c r="AQ346" s="155"/>
      <c r="AR346" s="155"/>
      <c r="AS346" s="155"/>
      <c r="AT346" s="155"/>
      <c r="AU346" s="155"/>
      <c r="AV346" s="155"/>
      <c r="AW346" s="155"/>
      <c r="AX346" s="155"/>
      <c r="AY346" s="155"/>
      <c r="AZ346" s="155"/>
      <c r="BA346" s="155"/>
      <c r="BB346" s="155"/>
      <c r="BC346" s="155"/>
      <c r="BD346" s="155"/>
      <c r="BE346" s="155"/>
      <c r="BF346" s="155"/>
      <c r="BG346" s="155"/>
      <c r="BH346" s="155"/>
      <c r="BI346" s="155"/>
      <c r="BJ346" s="155"/>
      <c r="BK346" s="155"/>
      <c r="BL346" s="155"/>
      <c r="BM346" s="155"/>
      <c r="BN346" s="155"/>
      <c r="BO346" s="155"/>
      <c r="BP346" s="155"/>
      <c r="BQ346" s="155"/>
      <c r="BR346" s="155"/>
      <c r="BS346" s="155"/>
      <c r="BT346" s="155"/>
      <c r="BU346" s="155"/>
      <c r="BV346" s="155"/>
      <c r="BW346" s="155"/>
      <c r="BX346" s="155"/>
      <c r="BY346" s="155"/>
      <c r="BZ346" s="155"/>
      <c r="CA346" s="155"/>
      <c r="CB346" s="155"/>
      <c r="CC346" s="155"/>
      <c r="CD346" s="155"/>
      <c r="CE346" s="155"/>
      <c r="CF346" s="155"/>
      <c r="CG346" s="155"/>
    </row>
    <row r="347" spans="1:85" ht="12.75" x14ac:dyDescent="0.2">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c r="AA347" s="155"/>
      <c r="AB347" s="155"/>
      <c r="AC347" s="155"/>
      <c r="AD347" s="155"/>
      <c r="AE347" s="155"/>
      <c r="AF347" s="155"/>
      <c r="AG347" s="155"/>
      <c r="AH347" s="155"/>
      <c r="AI347" s="155"/>
      <c r="AJ347" s="155"/>
      <c r="AK347" s="155"/>
      <c r="AL347" s="155"/>
      <c r="AM347" s="155"/>
      <c r="AN347" s="155"/>
      <c r="AO347" s="155"/>
      <c r="AP347" s="155"/>
      <c r="AQ347" s="155"/>
      <c r="AR347" s="155"/>
      <c r="AS347" s="155"/>
      <c r="AT347" s="155"/>
      <c r="AU347" s="155"/>
      <c r="AV347" s="155"/>
      <c r="AW347" s="155"/>
      <c r="AX347" s="155"/>
      <c r="AY347" s="155"/>
      <c r="AZ347" s="155"/>
      <c r="BA347" s="155"/>
      <c r="BB347" s="155"/>
      <c r="BC347" s="155"/>
      <c r="BD347" s="155"/>
      <c r="BE347" s="155"/>
      <c r="BF347" s="155"/>
      <c r="BG347" s="155"/>
      <c r="BH347" s="155"/>
      <c r="BI347" s="155"/>
      <c r="BJ347" s="155"/>
      <c r="BK347" s="155"/>
      <c r="BL347" s="155"/>
      <c r="BM347" s="155"/>
      <c r="BN347" s="155"/>
      <c r="BO347" s="155"/>
      <c r="BP347" s="155"/>
      <c r="BQ347" s="155"/>
      <c r="BR347" s="155"/>
      <c r="BS347" s="155"/>
      <c r="BT347" s="155"/>
      <c r="BU347" s="155"/>
      <c r="BV347" s="155"/>
      <c r="BW347" s="155"/>
      <c r="BX347" s="155"/>
      <c r="BY347" s="155"/>
      <c r="BZ347" s="155"/>
      <c r="CA347" s="155"/>
      <c r="CB347" s="155"/>
      <c r="CC347" s="155"/>
      <c r="CD347" s="155"/>
      <c r="CE347" s="155"/>
      <c r="CF347" s="155"/>
      <c r="CG347" s="155"/>
    </row>
    <row r="348" spans="1:85" ht="12.75" x14ac:dyDescent="0.2">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c r="AA348" s="155"/>
      <c r="AB348" s="155"/>
      <c r="AC348" s="155"/>
      <c r="AD348" s="155"/>
      <c r="AE348" s="155"/>
      <c r="AF348" s="155"/>
      <c r="AG348" s="155"/>
      <c r="AH348" s="155"/>
      <c r="AI348" s="155"/>
      <c r="AJ348" s="155"/>
      <c r="AK348" s="155"/>
      <c r="AL348" s="155"/>
      <c r="AM348" s="155"/>
      <c r="AN348" s="155"/>
      <c r="AO348" s="155"/>
      <c r="AP348" s="155"/>
      <c r="AQ348" s="155"/>
      <c r="AR348" s="155"/>
      <c r="AS348" s="155"/>
      <c r="AT348" s="155"/>
      <c r="AU348" s="155"/>
      <c r="AV348" s="155"/>
      <c r="AW348" s="155"/>
      <c r="AX348" s="155"/>
      <c r="AY348" s="155"/>
      <c r="AZ348" s="155"/>
      <c r="BA348" s="155"/>
      <c r="BB348" s="155"/>
      <c r="BC348" s="155"/>
      <c r="BD348" s="155"/>
      <c r="BE348" s="155"/>
      <c r="BF348" s="155"/>
      <c r="BG348" s="155"/>
      <c r="BH348" s="155"/>
      <c r="BI348" s="155"/>
      <c r="BJ348" s="155"/>
      <c r="BK348" s="155"/>
      <c r="BL348" s="155"/>
      <c r="BM348" s="155"/>
      <c r="BN348" s="155"/>
      <c r="BO348" s="155"/>
      <c r="BP348" s="155"/>
      <c r="BQ348" s="155"/>
      <c r="BR348" s="155"/>
      <c r="BS348" s="155"/>
      <c r="BT348" s="155"/>
      <c r="BU348" s="155"/>
      <c r="BV348" s="155"/>
      <c r="BW348" s="155"/>
      <c r="BX348" s="155"/>
      <c r="BY348" s="155"/>
      <c r="BZ348" s="155"/>
      <c r="CA348" s="155"/>
      <c r="CB348" s="155"/>
      <c r="CC348" s="155"/>
      <c r="CD348" s="155"/>
      <c r="CE348" s="155"/>
      <c r="CF348" s="155"/>
      <c r="CG348" s="155"/>
    </row>
    <row r="349" spans="1:85" ht="12.75" x14ac:dyDescent="0.2">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c r="AA349" s="155"/>
      <c r="AB349" s="155"/>
      <c r="AC349" s="155"/>
      <c r="AD349" s="155"/>
      <c r="AE349" s="155"/>
      <c r="AF349" s="155"/>
      <c r="AG349" s="155"/>
      <c r="AH349" s="155"/>
      <c r="AI349" s="155"/>
      <c r="AJ349" s="155"/>
      <c r="AK349" s="155"/>
      <c r="AL349" s="155"/>
      <c r="AM349" s="155"/>
      <c r="AN349" s="155"/>
      <c r="AO349" s="155"/>
      <c r="AP349" s="155"/>
      <c r="AQ349" s="155"/>
      <c r="AR349" s="155"/>
      <c r="AS349" s="155"/>
      <c r="AT349" s="155"/>
      <c r="AU349" s="155"/>
      <c r="AV349" s="155"/>
      <c r="AW349" s="155"/>
      <c r="AX349" s="155"/>
      <c r="AY349" s="155"/>
      <c r="AZ349" s="155"/>
      <c r="BA349" s="155"/>
      <c r="BB349" s="155"/>
      <c r="BC349" s="155"/>
      <c r="BD349" s="155"/>
      <c r="BE349" s="155"/>
      <c r="BF349" s="155"/>
      <c r="BG349" s="155"/>
      <c r="BH349" s="155"/>
      <c r="BI349" s="155"/>
      <c r="BJ349" s="155"/>
      <c r="BK349" s="155"/>
      <c r="BL349" s="155"/>
      <c r="BM349" s="155"/>
      <c r="BN349" s="155"/>
      <c r="BO349" s="155"/>
      <c r="BP349" s="155"/>
      <c r="BQ349" s="155"/>
      <c r="BR349" s="155"/>
      <c r="BS349" s="155"/>
      <c r="BT349" s="155"/>
      <c r="BU349" s="155"/>
      <c r="BV349" s="155"/>
      <c r="BW349" s="155"/>
      <c r="BX349" s="155"/>
      <c r="BY349" s="155"/>
      <c r="BZ349" s="155"/>
      <c r="CA349" s="155"/>
      <c r="CB349" s="155"/>
      <c r="CC349" s="155"/>
      <c r="CD349" s="155"/>
      <c r="CE349" s="155"/>
      <c r="CF349" s="155"/>
      <c r="CG349" s="155"/>
    </row>
    <row r="350" spans="1:85" ht="12.75" x14ac:dyDescent="0.2">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c r="AA350" s="155"/>
      <c r="AB350" s="155"/>
      <c r="AC350" s="155"/>
      <c r="AD350" s="155"/>
      <c r="AE350" s="155"/>
      <c r="AF350" s="155"/>
      <c r="AG350" s="155"/>
      <c r="AH350" s="155"/>
      <c r="AI350" s="155"/>
      <c r="AJ350" s="155"/>
      <c r="AK350" s="155"/>
      <c r="AL350" s="155"/>
      <c r="AM350" s="155"/>
      <c r="AN350" s="155"/>
      <c r="AO350" s="155"/>
      <c r="AP350" s="155"/>
      <c r="AQ350" s="155"/>
      <c r="AR350" s="155"/>
      <c r="AS350" s="155"/>
      <c r="AT350" s="155"/>
      <c r="AU350" s="155"/>
      <c r="AV350" s="155"/>
      <c r="AW350" s="155"/>
      <c r="AX350" s="155"/>
      <c r="AY350" s="155"/>
      <c r="AZ350" s="155"/>
      <c r="BA350" s="155"/>
      <c r="BB350" s="155"/>
      <c r="BC350" s="155"/>
      <c r="BD350" s="155"/>
      <c r="BE350" s="155"/>
      <c r="BF350" s="155"/>
      <c r="BG350" s="155"/>
      <c r="BH350" s="155"/>
      <c r="BI350" s="155"/>
      <c r="BJ350" s="155"/>
      <c r="BK350" s="155"/>
      <c r="BL350" s="155"/>
      <c r="BM350" s="155"/>
      <c r="BN350" s="155"/>
      <c r="BO350" s="155"/>
      <c r="BP350" s="155"/>
      <c r="BQ350" s="155"/>
      <c r="BR350" s="155"/>
      <c r="BS350" s="155"/>
      <c r="BT350" s="155"/>
      <c r="BU350" s="155"/>
      <c r="BV350" s="155"/>
      <c r="BW350" s="155"/>
      <c r="BX350" s="155"/>
      <c r="BY350" s="155"/>
      <c r="BZ350" s="155"/>
      <c r="CA350" s="155"/>
      <c r="CB350" s="155"/>
      <c r="CC350" s="155"/>
      <c r="CD350" s="155"/>
      <c r="CE350" s="155"/>
      <c r="CF350" s="155"/>
      <c r="CG350" s="155"/>
    </row>
    <row r="351" spans="1:85" ht="12.75" x14ac:dyDescent="0.2">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c r="AA351" s="155"/>
      <c r="AB351" s="155"/>
      <c r="AC351" s="155"/>
      <c r="AD351" s="155"/>
      <c r="AE351" s="155"/>
      <c r="AF351" s="155"/>
      <c r="AG351" s="155"/>
      <c r="AH351" s="155"/>
      <c r="AI351" s="155"/>
      <c r="AJ351" s="155"/>
      <c r="AK351" s="155"/>
      <c r="AL351" s="155"/>
      <c r="AM351" s="155"/>
      <c r="AN351" s="155"/>
      <c r="AO351" s="155"/>
      <c r="AP351" s="155"/>
      <c r="AQ351" s="155"/>
      <c r="AR351" s="155"/>
      <c r="AS351" s="155"/>
      <c r="AT351" s="155"/>
      <c r="AU351" s="155"/>
      <c r="AV351" s="155"/>
      <c r="AW351" s="155"/>
      <c r="AX351" s="155"/>
      <c r="AY351" s="155"/>
      <c r="AZ351" s="155"/>
      <c r="BA351" s="155"/>
      <c r="BB351" s="155"/>
      <c r="BC351" s="155"/>
      <c r="BD351" s="155"/>
      <c r="BE351" s="155"/>
      <c r="BF351" s="155"/>
      <c r="BG351" s="155"/>
      <c r="BH351" s="155"/>
      <c r="BI351" s="155"/>
      <c r="BJ351" s="155"/>
      <c r="BK351" s="155"/>
      <c r="BL351" s="155"/>
      <c r="BM351" s="155"/>
      <c r="BN351" s="155"/>
      <c r="BO351" s="155"/>
      <c r="BP351" s="155"/>
      <c r="BQ351" s="155"/>
      <c r="BR351" s="155"/>
      <c r="BS351" s="155"/>
      <c r="BT351" s="155"/>
      <c r="BU351" s="155"/>
      <c r="BV351" s="155"/>
      <c r="BW351" s="155"/>
      <c r="BX351" s="155"/>
      <c r="BY351" s="155"/>
      <c r="BZ351" s="155"/>
      <c r="CA351" s="155"/>
      <c r="CB351" s="155"/>
      <c r="CC351" s="155"/>
      <c r="CD351" s="155"/>
      <c r="CE351" s="155"/>
      <c r="CF351" s="155"/>
      <c r="CG351" s="155"/>
    </row>
    <row r="352" spans="1:85" ht="12.75" x14ac:dyDescent="0.2">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c r="AA352" s="155"/>
      <c r="AB352" s="155"/>
      <c r="AC352" s="155"/>
      <c r="AD352" s="155"/>
      <c r="AE352" s="155"/>
      <c r="AF352" s="155"/>
      <c r="AG352" s="155"/>
      <c r="AH352" s="155"/>
      <c r="AI352" s="155"/>
      <c r="AJ352" s="155"/>
      <c r="AK352" s="155"/>
      <c r="AL352" s="155"/>
      <c r="AM352" s="155"/>
      <c r="AN352" s="155"/>
      <c r="AO352" s="155"/>
      <c r="AP352" s="155"/>
      <c r="AQ352" s="155"/>
      <c r="AR352" s="155"/>
      <c r="AS352" s="155"/>
      <c r="AT352" s="155"/>
      <c r="AU352" s="155"/>
      <c r="AV352" s="155"/>
      <c r="AW352" s="155"/>
      <c r="AX352" s="155"/>
      <c r="AY352" s="155"/>
      <c r="AZ352" s="155"/>
      <c r="BA352" s="155"/>
      <c r="BB352" s="155"/>
      <c r="BC352" s="155"/>
      <c r="BD352" s="155"/>
      <c r="BE352" s="155"/>
      <c r="BF352" s="155"/>
      <c r="BG352" s="155"/>
      <c r="BH352" s="155"/>
      <c r="BI352" s="155"/>
      <c r="BJ352" s="155"/>
      <c r="BK352" s="155"/>
      <c r="BL352" s="155"/>
      <c r="BM352" s="155"/>
      <c r="BN352" s="155"/>
      <c r="BO352" s="155"/>
      <c r="BP352" s="155"/>
      <c r="BQ352" s="155"/>
      <c r="BR352" s="155"/>
      <c r="BS352" s="155"/>
      <c r="BT352" s="155"/>
      <c r="BU352" s="155"/>
      <c r="BV352" s="155"/>
      <c r="BW352" s="155"/>
      <c r="BX352" s="155"/>
      <c r="BY352" s="155"/>
      <c r="BZ352" s="155"/>
      <c r="CA352" s="155"/>
      <c r="CB352" s="155"/>
      <c r="CC352" s="155"/>
      <c r="CD352" s="155"/>
      <c r="CE352" s="155"/>
      <c r="CF352" s="155"/>
      <c r="CG352" s="155"/>
    </row>
    <row r="353" spans="1:85" ht="12.75" x14ac:dyDescent="0.2">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c r="AA353" s="155"/>
      <c r="AB353" s="155"/>
      <c r="AC353" s="155"/>
      <c r="AD353" s="155"/>
      <c r="AE353" s="155"/>
      <c r="AF353" s="155"/>
      <c r="AG353" s="155"/>
      <c r="AH353" s="155"/>
      <c r="AI353" s="155"/>
      <c r="AJ353" s="155"/>
      <c r="AK353" s="155"/>
      <c r="AL353" s="155"/>
      <c r="AM353" s="155"/>
      <c r="AN353" s="155"/>
      <c r="AO353" s="155"/>
      <c r="AP353" s="155"/>
      <c r="AQ353" s="155"/>
      <c r="AR353" s="155"/>
      <c r="AS353" s="155"/>
      <c r="AT353" s="155"/>
      <c r="AU353" s="155"/>
      <c r="AV353" s="155"/>
      <c r="AW353" s="155"/>
      <c r="AX353" s="155"/>
      <c r="AY353" s="155"/>
      <c r="AZ353" s="155"/>
      <c r="BA353" s="155"/>
      <c r="BB353" s="155"/>
      <c r="BC353" s="155"/>
      <c r="BD353" s="155"/>
      <c r="BE353" s="155"/>
      <c r="BF353" s="155"/>
      <c r="BG353" s="155"/>
      <c r="BH353" s="155"/>
      <c r="BI353" s="155"/>
      <c r="BJ353" s="155"/>
      <c r="BK353" s="155"/>
      <c r="BL353" s="155"/>
      <c r="BM353" s="155"/>
      <c r="BN353" s="155"/>
      <c r="BO353" s="155"/>
      <c r="BP353" s="155"/>
      <c r="BQ353" s="155"/>
      <c r="BR353" s="155"/>
      <c r="BS353" s="155"/>
      <c r="BT353" s="155"/>
      <c r="BU353" s="155"/>
      <c r="BV353" s="155"/>
      <c r="BW353" s="155"/>
      <c r="BX353" s="155"/>
      <c r="BY353" s="155"/>
      <c r="BZ353" s="155"/>
      <c r="CA353" s="155"/>
      <c r="CB353" s="155"/>
      <c r="CC353" s="155"/>
      <c r="CD353" s="155"/>
      <c r="CE353" s="155"/>
      <c r="CF353" s="155"/>
      <c r="CG353" s="155"/>
    </row>
    <row r="354" spans="1:85" ht="12.75" x14ac:dyDescent="0.2">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c r="AA354" s="155"/>
      <c r="AB354" s="155"/>
      <c r="AC354" s="155"/>
      <c r="AD354" s="155"/>
      <c r="AE354" s="155"/>
      <c r="AF354" s="155"/>
      <c r="AG354" s="155"/>
      <c r="AH354" s="155"/>
      <c r="AI354" s="155"/>
      <c r="AJ354" s="155"/>
      <c r="AK354" s="155"/>
      <c r="AL354" s="155"/>
      <c r="AM354" s="155"/>
      <c r="AN354" s="155"/>
      <c r="AO354" s="155"/>
      <c r="AP354" s="155"/>
      <c r="AQ354" s="155"/>
      <c r="AR354" s="155"/>
      <c r="AS354" s="155"/>
      <c r="AT354" s="155"/>
      <c r="AU354" s="155"/>
      <c r="AV354" s="155"/>
      <c r="AW354" s="155"/>
      <c r="AX354" s="155"/>
      <c r="AY354" s="155"/>
      <c r="AZ354" s="155"/>
      <c r="BA354" s="155"/>
      <c r="BB354" s="155"/>
      <c r="BC354" s="155"/>
      <c r="BD354" s="155"/>
      <c r="BE354" s="155"/>
      <c r="BF354" s="155"/>
      <c r="BG354" s="155"/>
      <c r="BH354" s="155"/>
      <c r="BI354" s="155"/>
      <c r="BJ354" s="155"/>
      <c r="BK354" s="155"/>
      <c r="BL354" s="155"/>
      <c r="BM354" s="155"/>
      <c r="BN354" s="155"/>
      <c r="BO354" s="155"/>
      <c r="BP354" s="155"/>
      <c r="BQ354" s="155"/>
      <c r="BR354" s="155"/>
      <c r="BS354" s="155"/>
      <c r="BT354" s="155"/>
      <c r="BU354" s="155"/>
      <c r="BV354" s="155"/>
      <c r="BW354" s="155"/>
      <c r="BX354" s="155"/>
      <c r="BY354" s="155"/>
      <c r="BZ354" s="155"/>
      <c r="CA354" s="155"/>
      <c r="CB354" s="155"/>
      <c r="CC354" s="155"/>
      <c r="CD354" s="155"/>
      <c r="CE354" s="155"/>
      <c r="CF354" s="155"/>
      <c r="CG354" s="155"/>
    </row>
    <row r="355" spans="1:85" ht="12.75" x14ac:dyDescent="0.2">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c r="AA355" s="155"/>
      <c r="AB355" s="155"/>
      <c r="AC355" s="155"/>
      <c r="AD355" s="155"/>
      <c r="AE355" s="155"/>
      <c r="AF355" s="155"/>
      <c r="AG355" s="155"/>
      <c r="AH355" s="155"/>
      <c r="AI355" s="155"/>
      <c r="AJ355" s="155"/>
      <c r="AK355" s="155"/>
      <c r="AL355" s="155"/>
      <c r="AM355" s="155"/>
      <c r="AN355" s="155"/>
      <c r="AO355" s="155"/>
      <c r="AP355" s="155"/>
      <c r="AQ355" s="155"/>
      <c r="AR355" s="155"/>
      <c r="AS355" s="155"/>
      <c r="AT355" s="155"/>
      <c r="AU355" s="155"/>
      <c r="AV355" s="155"/>
      <c r="AW355" s="155"/>
      <c r="AX355" s="155"/>
      <c r="AY355" s="155"/>
      <c r="AZ355" s="155"/>
      <c r="BA355" s="155"/>
      <c r="BB355" s="155"/>
      <c r="BC355" s="155"/>
      <c r="BD355" s="155"/>
      <c r="BE355" s="155"/>
      <c r="BF355" s="155"/>
      <c r="BG355" s="155"/>
      <c r="BH355" s="155"/>
      <c r="BI355" s="155"/>
      <c r="BJ355" s="155"/>
      <c r="BK355" s="155"/>
      <c r="BL355" s="155"/>
      <c r="BM355" s="155"/>
      <c r="BN355" s="155"/>
      <c r="BO355" s="155"/>
      <c r="BP355" s="155"/>
      <c r="BQ355" s="155"/>
      <c r="BR355" s="155"/>
      <c r="BS355" s="155"/>
      <c r="BT355" s="155"/>
      <c r="BU355" s="155"/>
      <c r="BV355" s="155"/>
      <c r="BW355" s="155"/>
      <c r="BX355" s="155"/>
      <c r="BY355" s="155"/>
      <c r="BZ355" s="155"/>
      <c r="CA355" s="155"/>
      <c r="CB355" s="155"/>
      <c r="CC355" s="155"/>
      <c r="CD355" s="155"/>
      <c r="CE355" s="155"/>
      <c r="CF355" s="155"/>
      <c r="CG355" s="155"/>
    </row>
    <row r="356" spans="1:85" ht="12.75" x14ac:dyDescent="0.2">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c r="AA356" s="155"/>
      <c r="AB356" s="155"/>
      <c r="AC356" s="155"/>
      <c r="AD356" s="155"/>
      <c r="AE356" s="155"/>
      <c r="AF356" s="155"/>
      <c r="AG356" s="155"/>
      <c r="AH356" s="155"/>
      <c r="AI356" s="155"/>
      <c r="AJ356" s="155"/>
      <c r="AK356" s="155"/>
      <c r="AL356" s="155"/>
      <c r="AM356" s="155"/>
      <c r="AN356" s="155"/>
      <c r="AO356" s="155"/>
      <c r="AP356" s="155"/>
      <c r="AQ356" s="155"/>
      <c r="AR356" s="155"/>
      <c r="AS356" s="155"/>
      <c r="AT356" s="155"/>
      <c r="AU356" s="155"/>
      <c r="AV356" s="155"/>
      <c r="AW356" s="155"/>
      <c r="AX356" s="155"/>
      <c r="AY356" s="155"/>
      <c r="AZ356" s="155"/>
      <c r="BA356" s="155"/>
      <c r="BB356" s="155"/>
      <c r="BC356" s="155"/>
      <c r="BD356" s="155"/>
      <c r="BE356" s="155"/>
      <c r="BF356" s="155"/>
      <c r="BG356" s="155"/>
      <c r="BH356" s="155"/>
      <c r="BI356" s="155"/>
      <c r="BJ356" s="155"/>
      <c r="BK356" s="155"/>
      <c r="BL356" s="155"/>
      <c r="BM356" s="155"/>
      <c r="BN356" s="155"/>
      <c r="BO356" s="155"/>
      <c r="BP356" s="155"/>
      <c r="BQ356" s="155"/>
      <c r="BR356" s="155"/>
      <c r="BS356" s="155"/>
      <c r="BT356" s="155"/>
      <c r="BU356" s="155"/>
      <c r="BV356" s="155"/>
      <c r="BW356" s="155"/>
      <c r="BX356" s="155"/>
      <c r="BY356" s="155"/>
      <c r="BZ356" s="155"/>
      <c r="CA356" s="155"/>
      <c r="CB356" s="155"/>
      <c r="CC356" s="155"/>
      <c r="CD356" s="155"/>
      <c r="CE356" s="155"/>
      <c r="CF356" s="155"/>
      <c r="CG356" s="155"/>
    </row>
    <row r="357" spans="1:85" ht="12.75" x14ac:dyDescent="0.2">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c r="AA357" s="155"/>
      <c r="AB357" s="155"/>
      <c r="AC357" s="155"/>
      <c r="AD357" s="155"/>
      <c r="AE357" s="155"/>
      <c r="AF357" s="155"/>
      <c r="AG357" s="155"/>
      <c r="AH357" s="155"/>
      <c r="AI357" s="155"/>
      <c r="AJ357" s="155"/>
      <c r="AK357" s="155"/>
      <c r="AL357" s="155"/>
      <c r="AM357" s="155"/>
      <c r="AN357" s="155"/>
      <c r="AO357" s="155"/>
      <c r="AP357" s="155"/>
      <c r="AQ357" s="155"/>
      <c r="AR357" s="155"/>
      <c r="AS357" s="155"/>
      <c r="AT357" s="155"/>
      <c r="AU357" s="155"/>
      <c r="AV357" s="155"/>
      <c r="AW357" s="155"/>
      <c r="AX357" s="155"/>
      <c r="AY357" s="155"/>
      <c r="AZ357" s="155"/>
      <c r="BA357" s="155"/>
      <c r="BB357" s="155"/>
      <c r="BC357" s="155"/>
      <c r="BD357" s="155"/>
      <c r="BE357" s="155"/>
      <c r="BF357" s="155"/>
      <c r="BG357" s="155"/>
      <c r="BH357" s="155"/>
      <c r="BI357" s="155"/>
      <c r="BJ357" s="155"/>
      <c r="BK357" s="155"/>
      <c r="BL357" s="155"/>
      <c r="BM357" s="155"/>
      <c r="BN357" s="155"/>
      <c r="BO357" s="155"/>
      <c r="BP357" s="155"/>
      <c r="BQ357" s="155"/>
      <c r="BR357" s="155"/>
      <c r="BS357" s="155"/>
      <c r="BT357" s="155"/>
      <c r="BU357" s="155"/>
      <c r="BV357" s="155"/>
      <c r="BW357" s="155"/>
      <c r="BX357" s="155"/>
      <c r="BY357" s="155"/>
      <c r="BZ357" s="155"/>
      <c r="CA357" s="155"/>
      <c r="CB357" s="155"/>
      <c r="CC357" s="155"/>
      <c r="CD357" s="155"/>
      <c r="CE357" s="155"/>
      <c r="CF357" s="155"/>
      <c r="CG357" s="155"/>
    </row>
    <row r="358" spans="1:85" ht="12.75" x14ac:dyDescent="0.2">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c r="AA358" s="155"/>
      <c r="AB358" s="155"/>
      <c r="AC358" s="155"/>
      <c r="AD358" s="155"/>
      <c r="AE358" s="155"/>
      <c r="AF358" s="155"/>
      <c r="AG358" s="155"/>
      <c r="AH358" s="155"/>
      <c r="AI358" s="155"/>
      <c r="AJ358" s="155"/>
      <c r="AK358" s="155"/>
      <c r="AL358" s="155"/>
      <c r="AM358" s="155"/>
      <c r="AN358" s="155"/>
      <c r="AO358" s="155"/>
      <c r="AP358" s="155"/>
      <c r="AQ358" s="155"/>
      <c r="AR358" s="155"/>
      <c r="AS358" s="155"/>
      <c r="AT358" s="155"/>
      <c r="AU358" s="155"/>
      <c r="AV358" s="155"/>
      <c r="AW358" s="155"/>
      <c r="AX358" s="155"/>
      <c r="AY358" s="155"/>
      <c r="AZ358" s="155"/>
      <c r="BA358" s="155"/>
      <c r="BB358" s="155"/>
      <c r="BC358" s="155"/>
      <c r="BD358" s="155"/>
      <c r="BE358" s="155"/>
      <c r="BF358" s="155"/>
      <c r="BG358" s="155"/>
      <c r="BH358" s="155"/>
      <c r="BI358" s="155"/>
      <c r="BJ358" s="155"/>
      <c r="BK358" s="155"/>
      <c r="BL358" s="155"/>
      <c r="BM358" s="155"/>
      <c r="BN358" s="155"/>
      <c r="BO358" s="155"/>
      <c r="BP358" s="155"/>
      <c r="BQ358" s="155"/>
      <c r="BR358" s="155"/>
      <c r="BS358" s="155"/>
      <c r="BT358" s="155"/>
      <c r="BU358" s="155"/>
      <c r="BV358" s="155"/>
      <c r="BW358" s="155"/>
      <c r="BX358" s="155"/>
      <c r="BY358" s="155"/>
      <c r="BZ358" s="155"/>
      <c r="CA358" s="155"/>
      <c r="CB358" s="155"/>
      <c r="CC358" s="155"/>
      <c r="CD358" s="155"/>
      <c r="CE358" s="155"/>
      <c r="CF358" s="155"/>
      <c r="CG358" s="155"/>
    </row>
    <row r="359" spans="1:85" ht="12.75" x14ac:dyDescent="0.2">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c r="AA359" s="155"/>
      <c r="AB359" s="155"/>
      <c r="AC359" s="155"/>
      <c r="AD359" s="155"/>
      <c r="AE359" s="155"/>
      <c r="AF359" s="155"/>
      <c r="AG359" s="155"/>
      <c r="AH359" s="155"/>
      <c r="AI359" s="155"/>
      <c r="AJ359" s="155"/>
      <c r="AK359" s="155"/>
      <c r="AL359" s="155"/>
      <c r="AM359" s="155"/>
      <c r="AN359" s="155"/>
      <c r="AO359" s="155"/>
      <c r="AP359" s="155"/>
      <c r="AQ359" s="155"/>
      <c r="AR359" s="155"/>
      <c r="AS359" s="155"/>
      <c r="AT359" s="155"/>
      <c r="AU359" s="155"/>
      <c r="AV359" s="155"/>
      <c r="AW359" s="155"/>
      <c r="AX359" s="155"/>
      <c r="AY359" s="155"/>
      <c r="AZ359" s="155"/>
      <c r="BA359" s="155"/>
      <c r="BB359" s="155"/>
      <c r="BC359" s="155"/>
      <c r="BD359" s="155"/>
      <c r="BE359" s="155"/>
      <c r="BF359" s="155"/>
      <c r="BG359" s="155"/>
      <c r="BH359" s="155"/>
      <c r="BI359" s="155"/>
      <c r="BJ359" s="155"/>
      <c r="BK359" s="155"/>
      <c r="BL359" s="155"/>
      <c r="BM359" s="155"/>
      <c r="BN359" s="155"/>
      <c r="BO359" s="155"/>
      <c r="BP359" s="155"/>
      <c r="BQ359" s="155"/>
      <c r="BR359" s="155"/>
      <c r="BS359" s="155"/>
      <c r="BT359" s="155"/>
      <c r="BU359" s="155"/>
      <c r="BV359" s="155"/>
      <c r="BW359" s="155"/>
      <c r="BX359" s="155"/>
      <c r="BY359" s="155"/>
      <c r="BZ359" s="155"/>
      <c r="CA359" s="155"/>
      <c r="CB359" s="155"/>
      <c r="CC359" s="155"/>
      <c r="CD359" s="155"/>
      <c r="CE359" s="155"/>
      <c r="CF359" s="155"/>
      <c r="CG359" s="155"/>
    </row>
    <row r="360" spans="1:85" ht="12.75" x14ac:dyDescent="0.2">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c r="AA360" s="155"/>
      <c r="AB360" s="155"/>
      <c r="AC360" s="155"/>
      <c r="AD360" s="155"/>
      <c r="AE360" s="155"/>
      <c r="AF360" s="155"/>
      <c r="AG360" s="155"/>
      <c r="AH360" s="155"/>
      <c r="AI360" s="155"/>
      <c r="AJ360" s="155"/>
      <c r="AK360" s="155"/>
      <c r="AL360" s="155"/>
      <c r="AM360" s="155"/>
      <c r="AN360" s="155"/>
      <c r="AO360" s="155"/>
      <c r="AP360" s="155"/>
      <c r="AQ360" s="155"/>
      <c r="AR360" s="155"/>
      <c r="AS360" s="155"/>
      <c r="AT360" s="155"/>
      <c r="AU360" s="155"/>
      <c r="AV360" s="155"/>
      <c r="AW360" s="155"/>
      <c r="AX360" s="155"/>
      <c r="AY360" s="155"/>
      <c r="AZ360" s="155"/>
      <c r="BA360" s="155"/>
      <c r="BB360" s="155"/>
      <c r="BC360" s="155"/>
      <c r="BD360" s="155"/>
      <c r="BE360" s="155"/>
      <c r="BF360" s="155"/>
      <c r="BG360" s="155"/>
      <c r="BH360" s="155"/>
      <c r="BI360" s="155"/>
      <c r="BJ360" s="155"/>
      <c r="BK360" s="155"/>
      <c r="BL360" s="155"/>
      <c r="BM360" s="155"/>
      <c r="BN360" s="155"/>
      <c r="BO360" s="155"/>
      <c r="BP360" s="155"/>
      <c r="BQ360" s="155"/>
      <c r="BR360" s="155"/>
      <c r="BS360" s="155"/>
      <c r="BT360" s="155"/>
      <c r="BU360" s="155"/>
      <c r="BV360" s="155"/>
      <c r="BW360" s="155"/>
      <c r="BX360" s="155"/>
      <c r="BY360" s="155"/>
      <c r="BZ360" s="155"/>
      <c r="CA360" s="155"/>
      <c r="CB360" s="155"/>
      <c r="CC360" s="155"/>
      <c r="CD360" s="155"/>
      <c r="CE360" s="155"/>
      <c r="CF360" s="155"/>
      <c r="CG360" s="155"/>
    </row>
    <row r="361" spans="1:85" ht="12.75" x14ac:dyDescent="0.2">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c r="AA361" s="155"/>
      <c r="AB361" s="155"/>
      <c r="AC361" s="155"/>
      <c r="AD361" s="155"/>
      <c r="AE361" s="155"/>
      <c r="AF361" s="155"/>
      <c r="AG361" s="155"/>
      <c r="AH361" s="155"/>
      <c r="AI361" s="155"/>
      <c r="AJ361" s="155"/>
      <c r="AK361" s="155"/>
      <c r="AL361" s="155"/>
      <c r="AM361" s="155"/>
      <c r="AN361" s="155"/>
      <c r="AO361" s="155"/>
      <c r="AP361" s="155"/>
      <c r="AQ361" s="155"/>
      <c r="AR361" s="155"/>
      <c r="AS361" s="155"/>
      <c r="AT361" s="155"/>
      <c r="AU361" s="155"/>
      <c r="AV361" s="155"/>
      <c r="AW361" s="155"/>
      <c r="AX361" s="155"/>
      <c r="AY361" s="155"/>
      <c r="AZ361" s="155"/>
      <c r="BA361" s="155"/>
      <c r="BB361" s="155"/>
      <c r="BC361" s="155"/>
      <c r="BD361" s="155"/>
      <c r="BE361" s="155"/>
      <c r="BF361" s="155"/>
      <c r="BG361" s="155"/>
      <c r="BH361" s="155"/>
      <c r="BI361" s="155"/>
      <c r="BJ361" s="155"/>
      <c r="BK361" s="155"/>
      <c r="BL361" s="155"/>
      <c r="BM361" s="155"/>
      <c r="BN361" s="155"/>
      <c r="BO361" s="155"/>
      <c r="BP361" s="155"/>
      <c r="BQ361" s="155"/>
      <c r="BR361" s="155"/>
      <c r="BS361" s="155"/>
      <c r="BT361" s="155"/>
      <c r="BU361" s="155"/>
      <c r="BV361" s="155"/>
      <c r="BW361" s="155"/>
      <c r="BX361" s="155"/>
      <c r="BY361" s="155"/>
      <c r="BZ361" s="155"/>
      <c r="CA361" s="155"/>
      <c r="CB361" s="155"/>
      <c r="CC361" s="155"/>
      <c r="CD361" s="155"/>
      <c r="CE361" s="155"/>
      <c r="CF361" s="155"/>
      <c r="CG361" s="155"/>
    </row>
    <row r="362" spans="1:85" ht="12.75" x14ac:dyDescent="0.2">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c r="AA362" s="155"/>
      <c r="AB362" s="155"/>
      <c r="AC362" s="155"/>
      <c r="AD362" s="155"/>
      <c r="AE362" s="155"/>
      <c r="AF362" s="155"/>
      <c r="AG362" s="155"/>
      <c r="AH362" s="155"/>
      <c r="AI362" s="155"/>
      <c r="AJ362" s="155"/>
      <c r="AK362" s="155"/>
      <c r="AL362" s="155"/>
      <c r="AM362" s="155"/>
      <c r="AN362" s="155"/>
      <c r="AO362" s="155"/>
      <c r="AP362" s="155"/>
      <c r="AQ362" s="155"/>
      <c r="AR362" s="155"/>
      <c r="AS362" s="155"/>
      <c r="AT362" s="155"/>
      <c r="AU362" s="155"/>
      <c r="AV362" s="155"/>
      <c r="AW362" s="155"/>
      <c r="AX362" s="155"/>
      <c r="AY362" s="155"/>
      <c r="AZ362" s="155"/>
      <c r="BA362" s="155"/>
      <c r="BB362" s="155"/>
      <c r="BC362" s="155"/>
      <c r="BD362" s="155"/>
      <c r="BE362" s="155"/>
      <c r="BF362" s="155"/>
      <c r="BG362" s="155"/>
      <c r="BH362" s="155"/>
      <c r="BI362" s="155"/>
      <c r="BJ362" s="155"/>
      <c r="BK362" s="155"/>
      <c r="BL362" s="155"/>
      <c r="BM362" s="155"/>
      <c r="BN362" s="155"/>
      <c r="BO362" s="155"/>
      <c r="BP362" s="155"/>
      <c r="BQ362" s="155"/>
      <c r="BR362" s="155"/>
      <c r="BS362" s="155"/>
      <c r="BT362" s="155"/>
      <c r="BU362" s="155"/>
      <c r="BV362" s="155"/>
      <c r="BW362" s="155"/>
      <c r="BX362" s="155"/>
      <c r="BY362" s="155"/>
      <c r="BZ362" s="155"/>
      <c r="CA362" s="155"/>
      <c r="CB362" s="155"/>
      <c r="CC362" s="155"/>
      <c r="CD362" s="155"/>
      <c r="CE362" s="155"/>
      <c r="CF362" s="155"/>
      <c r="CG362" s="155"/>
    </row>
    <row r="363" spans="1:85" ht="12.75" x14ac:dyDescent="0.2">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c r="AA363" s="155"/>
      <c r="AB363" s="155"/>
      <c r="AC363" s="155"/>
      <c r="AD363" s="155"/>
      <c r="AE363" s="155"/>
      <c r="AF363" s="155"/>
      <c r="AG363" s="155"/>
      <c r="AH363" s="155"/>
      <c r="AI363" s="155"/>
      <c r="AJ363" s="155"/>
      <c r="AK363" s="155"/>
      <c r="AL363" s="155"/>
      <c r="AM363" s="155"/>
      <c r="AN363" s="155"/>
      <c r="AO363" s="155"/>
      <c r="AP363" s="155"/>
      <c r="AQ363" s="155"/>
      <c r="AR363" s="155"/>
      <c r="AS363" s="155"/>
      <c r="AT363" s="155"/>
      <c r="AU363" s="155"/>
      <c r="AV363" s="155"/>
      <c r="AW363" s="155"/>
      <c r="AX363" s="155"/>
      <c r="AY363" s="155"/>
      <c r="AZ363" s="155"/>
      <c r="BA363" s="155"/>
      <c r="BB363" s="155"/>
      <c r="BC363" s="155"/>
      <c r="BD363" s="155"/>
      <c r="BE363" s="155"/>
      <c r="BF363" s="155"/>
      <c r="BG363" s="155"/>
      <c r="BH363" s="155"/>
      <c r="BI363" s="155"/>
      <c r="BJ363" s="155"/>
      <c r="BK363" s="155"/>
      <c r="BL363" s="155"/>
      <c r="BM363" s="155"/>
      <c r="BN363" s="155"/>
      <c r="BO363" s="155"/>
      <c r="BP363" s="155"/>
      <c r="BQ363" s="155"/>
      <c r="BR363" s="155"/>
      <c r="BS363" s="155"/>
      <c r="BT363" s="155"/>
      <c r="BU363" s="155"/>
      <c r="BV363" s="155"/>
      <c r="BW363" s="155"/>
      <c r="BX363" s="155"/>
      <c r="BY363" s="155"/>
      <c r="BZ363" s="155"/>
      <c r="CA363" s="155"/>
      <c r="CB363" s="155"/>
      <c r="CC363" s="155"/>
      <c r="CD363" s="155"/>
      <c r="CE363" s="155"/>
      <c r="CF363" s="155"/>
      <c r="CG363" s="155"/>
    </row>
    <row r="364" spans="1:85" ht="12.75" x14ac:dyDescent="0.2">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c r="AA364" s="155"/>
      <c r="AB364" s="155"/>
      <c r="AC364" s="155"/>
      <c r="AD364" s="155"/>
      <c r="AE364" s="155"/>
      <c r="AF364" s="155"/>
      <c r="AG364" s="155"/>
      <c r="AH364" s="155"/>
      <c r="AI364" s="155"/>
      <c r="AJ364" s="155"/>
      <c r="AK364" s="155"/>
      <c r="AL364" s="155"/>
      <c r="AM364" s="155"/>
      <c r="AN364" s="155"/>
      <c r="AO364" s="155"/>
      <c r="AP364" s="155"/>
      <c r="AQ364" s="155"/>
      <c r="AR364" s="155"/>
      <c r="AS364" s="155"/>
      <c r="AT364" s="155"/>
      <c r="AU364" s="155"/>
      <c r="AV364" s="155"/>
      <c r="AW364" s="155"/>
      <c r="AX364" s="155"/>
      <c r="AY364" s="155"/>
      <c r="AZ364" s="155"/>
      <c r="BA364" s="155"/>
      <c r="BB364" s="155"/>
      <c r="BC364" s="155"/>
      <c r="BD364" s="155"/>
      <c r="BE364" s="155"/>
      <c r="BF364" s="155"/>
      <c r="BG364" s="155"/>
      <c r="BH364" s="155"/>
      <c r="BI364" s="155"/>
      <c r="BJ364" s="155"/>
      <c r="BK364" s="155"/>
      <c r="BL364" s="155"/>
      <c r="BM364" s="155"/>
      <c r="BN364" s="155"/>
      <c r="BO364" s="155"/>
      <c r="BP364" s="155"/>
      <c r="BQ364" s="155"/>
      <c r="BR364" s="155"/>
      <c r="BS364" s="155"/>
      <c r="BT364" s="155"/>
      <c r="BU364" s="155"/>
      <c r="BV364" s="155"/>
      <c r="BW364" s="155"/>
      <c r="BX364" s="155"/>
      <c r="BY364" s="155"/>
      <c r="BZ364" s="155"/>
      <c r="CA364" s="155"/>
      <c r="CB364" s="155"/>
      <c r="CC364" s="155"/>
      <c r="CD364" s="155"/>
      <c r="CE364" s="155"/>
      <c r="CF364" s="155"/>
      <c r="CG364" s="155"/>
    </row>
    <row r="365" spans="1:85" ht="12.75" x14ac:dyDescent="0.2">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c r="AA365" s="155"/>
      <c r="AB365" s="155"/>
      <c r="AC365" s="155"/>
      <c r="AD365" s="155"/>
      <c r="AE365" s="155"/>
      <c r="AF365" s="155"/>
      <c r="AG365" s="155"/>
      <c r="AH365" s="155"/>
      <c r="AI365" s="155"/>
      <c r="AJ365" s="155"/>
      <c r="AK365" s="155"/>
      <c r="AL365" s="155"/>
      <c r="AM365" s="155"/>
      <c r="AN365" s="155"/>
      <c r="AO365" s="155"/>
      <c r="AP365" s="155"/>
      <c r="AQ365" s="155"/>
      <c r="AR365" s="155"/>
      <c r="AS365" s="155"/>
      <c r="AT365" s="155"/>
      <c r="AU365" s="155"/>
      <c r="AV365" s="155"/>
      <c r="AW365" s="155"/>
      <c r="AX365" s="155"/>
      <c r="AY365" s="155"/>
      <c r="AZ365" s="155"/>
      <c r="BA365" s="155"/>
      <c r="BB365" s="155"/>
      <c r="BC365" s="155"/>
      <c r="BD365" s="155"/>
      <c r="BE365" s="155"/>
      <c r="BF365" s="155"/>
      <c r="BG365" s="155"/>
      <c r="BH365" s="155"/>
      <c r="BI365" s="155"/>
      <c r="BJ365" s="155"/>
      <c r="BK365" s="155"/>
      <c r="BL365" s="155"/>
      <c r="BM365" s="155"/>
      <c r="BN365" s="155"/>
      <c r="BO365" s="155"/>
      <c r="BP365" s="155"/>
      <c r="BQ365" s="155"/>
      <c r="BR365" s="155"/>
      <c r="BS365" s="155"/>
      <c r="BT365" s="155"/>
      <c r="BU365" s="155"/>
      <c r="BV365" s="155"/>
      <c r="BW365" s="155"/>
      <c r="BX365" s="155"/>
      <c r="BY365" s="155"/>
      <c r="BZ365" s="155"/>
      <c r="CA365" s="155"/>
      <c r="CB365" s="155"/>
      <c r="CC365" s="155"/>
      <c r="CD365" s="155"/>
      <c r="CE365" s="155"/>
      <c r="CF365" s="155"/>
      <c r="CG365" s="155"/>
    </row>
    <row r="366" spans="1:85" ht="12.75" x14ac:dyDescent="0.2">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c r="AA366" s="155"/>
      <c r="AB366" s="155"/>
      <c r="AC366" s="155"/>
      <c r="AD366" s="155"/>
      <c r="AE366" s="155"/>
      <c r="AF366" s="155"/>
      <c r="AG366" s="155"/>
      <c r="AH366" s="155"/>
      <c r="AI366" s="155"/>
      <c r="AJ366" s="155"/>
      <c r="AK366" s="155"/>
      <c r="AL366" s="155"/>
      <c r="AM366" s="155"/>
      <c r="AN366" s="155"/>
      <c r="AO366" s="155"/>
      <c r="AP366" s="155"/>
      <c r="AQ366" s="155"/>
      <c r="AR366" s="155"/>
      <c r="AS366" s="155"/>
      <c r="AT366" s="155"/>
      <c r="AU366" s="155"/>
      <c r="AV366" s="155"/>
      <c r="AW366" s="155"/>
      <c r="AX366" s="155"/>
      <c r="AY366" s="155"/>
      <c r="AZ366" s="155"/>
      <c r="BA366" s="155"/>
      <c r="BB366" s="155"/>
      <c r="BC366" s="155"/>
      <c r="BD366" s="155"/>
      <c r="BE366" s="155"/>
      <c r="BF366" s="155"/>
      <c r="BG366" s="155"/>
      <c r="BH366" s="155"/>
      <c r="BI366" s="155"/>
      <c r="BJ366" s="155"/>
      <c r="BK366" s="155"/>
      <c r="BL366" s="155"/>
      <c r="BM366" s="155"/>
      <c r="BN366" s="155"/>
      <c r="BO366" s="155"/>
      <c r="BP366" s="155"/>
      <c r="BQ366" s="155"/>
      <c r="BR366" s="155"/>
      <c r="BS366" s="155"/>
      <c r="BT366" s="155"/>
      <c r="BU366" s="155"/>
      <c r="BV366" s="155"/>
      <c r="BW366" s="155"/>
      <c r="BX366" s="155"/>
      <c r="BY366" s="155"/>
      <c r="BZ366" s="155"/>
      <c r="CA366" s="155"/>
      <c r="CB366" s="155"/>
      <c r="CC366" s="155"/>
      <c r="CD366" s="155"/>
      <c r="CE366" s="155"/>
      <c r="CF366" s="155"/>
      <c r="CG366" s="155"/>
    </row>
    <row r="367" spans="1:85" ht="12.75" x14ac:dyDescent="0.2">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5"/>
      <c r="AY367" s="155"/>
      <c r="AZ367" s="155"/>
      <c r="BA367" s="155"/>
      <c r="BB367" s="155"/>
      <c r="BC367" s="155"/>
      <c r="BD367" s="155"/>
      <c r="BE367" s="155"/>
      <c r="BF367" s="155"/>
      <c r="BG367" s="155"/>
      <c r="BH367" s="155"/>
      <c r="BI367" s="155"/>
      <c r="BJ367" s="155"/>
      <c r="BK367" s="155"/>
      <c r="BL367" s="155"/>
      <c r="BM367" s="155"/>
      <c r="BN367" s="155"/>
      <c r="BO367" s="155"/>
      <c r="BP367" s="155"/>
      <c r="BQ367" s="155"/>
      <c r="BR367" s="155"/>
      <c r="BS367" s="155"/>
      <c r="BT367" s="155"/>
      <c r="BU367" s="155"/>
      <c r="BV367" s="155"/>
      <c r="BW367" s="155"/>
      <c r="BX367" s="155"/>
      <c r="BY367" s="155"/>
      <c r="BZ367" s="155"/>
      <c r="CA367" s="155"/>
      <c r="CB367" s="155"/>
      <c r="CC367" s="155"/>
      <c r="CD367" s="155"/>
      <c r="CE367" s="155"/>
      <c r="CF367" s="155"/>
      <c r="CG367" s="155"/>
    </row>
    <row r="368" spans="1:85" ht="12.75" x14ac:dyDescent="0.2">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c r="AA368" s="155"/>
      <c r="AB368" s="155"/>
      <c r="AC368" s="155"/>
      <c r="AD368" s="155"/>
      <c r="AE368" s="155"/>
      <c r="AF368" s="155"/>
      <c r="AG368" s="155"/>
      <c r="AH368" s="155"/>
      <c r="AI368" s="155"/>
      <c r="AJ368" s="155"/>
      <c r="AK368" s="155"/>
      <c r="AL368" s="155"/>
      <c r="AM368" s="155"/>
      <c r="AN368" s="155"/>
      <c r="AO368" s="155"/>
      <c r="AP368" s="155"/>
      <c r="AQ368" s="155"/>
      <c r="AR368" s="155"/>
      <c r="AS368" s="155"/>
      <c r="AT368" s="155"/>
      <c r="AU368" s="155"/>
      <c r="AV368" s="155"/>
      <c r="AW368" s="155"/>
      <c r="AX368" s="155"/>
      <c r="AY368" s="155"/>
      <c r="AZ368" s="155"/>
      <c r="BA368" s="155"/>
      <c r="BB368" s="155"/>
      <c r="BC368" s="155"/>
      <c r="BD368" s="155"/>
      <c r="BE368" s="155"/>
      <c r="BF368" s="155"/>
      <c r="BG368" s="155"/>
      <c r="BH368" s="155"/>
      <c r="BI368" s="155"/>
      <c r="BJ368" s="155"/>
      <c r="BK368" s="155"/>
      <c r="BL368" s="155"/>
      <c r="BM368" s="155"/>
      <c r="BN368" s="155"/>
      <c r="BO368" s="155"/>
      <c r="BP368" s="155"/>
      <c r="BQ368" s="155"/>
      <c r="BR368" s="155"/>
      <c r="BS368" s="155"/>
      <c r="BT368" s="155"/>
      <c r="BU368" s="155"/>
      <c r="BV368" s="155"/>
      <c r="BW368" s="155"/>
      <c r="BX368" s="155"/>
      <c r="BY368" s="155"/>
      <c r="BZ368" s="155"/>
      <c r="CA368" s="155"/>
      <c r="CB368" s="155"/>
      <c r="CC368" s="155"/>
      <c r="CD368" s="155"/>
      <c r="CE368" s="155"/>
      <c r="CF368" s="155"/>
      <c r="CG368" s="155"/>
    </row>
    <row r="369" spans="1:85" ht="12.75" x14ac:dyDescent="0.2">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c r="AA369" s="155"/>
      <c r="AB369" s="155"/>
      <c r="AC369" s="155"/>
      <c r="AD369" s="155"/>
      <c r="AE369" s="155"/>
      <c r="AF369" s="155"/>
      <c r="AG369" s="155"/>
      <c r="AH369" s="155"/>
      <c r="AI369" s="155"/>
      <c r="AJ369" s="155"/>
      <c r="AK369" s="155"/>
      <c r="AL369" s="155"/>
      <c r="AM369" s="155"/>
      <c r="AN369" s="155"/>
      <c r="AO369" s="155"/>
      <c r="AP369" s="155"/>
      <c r="AQ369" s="155"/>
      <c r="AR369" s="155"/>
      <c r="AS369" s="155"/>
      <c r="AT369" s="155"/>
      <c r="AU369" s="155"/>
      <c r="AV369" s="155"/>
      <c r="AW369" s="155"/>
      <c r="AX369" s="155"/>
      <c r="AY369" s="155"/>
      <c r="AZ369" s="155"/>
      <c r="BA369" s="155"/>
      <c r="BB369" s="155"/>
      <c r="BC369" s="155"/>
      <c r="BD369" s="155"/>
      <c r="BE369" s="155"/>
      <c r="BF369" s="155"/>
      <c r="BG369" s="155"/>
      <c r="BH369" s="155"/>
      <c r="BI369" s="155"/>
      <c r="BJ369" s="155"/>
      <c r="BK369" s="155"/>
      <c r="BL369" s="155"/>
      <c r="BM369" s="155"/>
      <c r="BN369" s="155"/>
      <c r="BO369" s="155"/>
      <c r="BP369" s="155"/>
      <c r="BQ369" s="155"/>
      <c r="BR369" s="155"/>
      <c r="BS369" s="155"/>
      <c r="BT369" s="155"/>
      <c r="BU369" s="155"/>
      <c r="BV369" s="155"/>
      <c r="BW369" s="155"/>
      <c r="BX369" s="155"/>
      <c r="BY369" s="155"/>
      <c r="BZ369" s="155"/>
      <c r="CA369" s="155"/>
      <c r="CB369" s="155"/>
      <c r="CC369" s="155"/>
      <c r="CD369" s="155"/>
      <c r="CE369" s="155"/>
      <c r="CF369" s="155"/>
      <c r="CG369" s="155"/>
    </row>
    <row r="370" spans="1:85" ht="12.75" x14ac:dyDescent="0.2">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c r="AA370" s="155"/>
      <c r="AB370" s="155"/>
      <c r="AC370" s="155"/>
      <c r="AD370" s="155"/>
      <c r="AE370" s="155"/>
      <c r="AF370" s="155"/>
      <c r="AG370" s="155"/>
      <c r="AH370" s="155"/>
      <c r="AI370" s="155"/>
      <c r="AJ370" s="155"/>
      <c r="AK370" s="155"/>
      <c r="AL370" s="155"/>
      <c r="AM370" s="155"/>
      <c r="AN370" s="155"/>
      <c r="AO370" s="155"/>
      <c r="AP370" s="155"/>
      <c r="AQ370" s="155"/>
      <c r="AR370" s="155"/>
      <c r="AS370" s="155"/>
      <c r="AT370" s="155"/>
      <c r="AU370" s="155"/>
      <c r="AV370" s="155"/>
      <c r="AW370" s="155"/>
      <c r="AX370" s="155"/>
      <c r="AY370" s="155"/>
      <c r="AZ370" s="155"/>
      <c r="BA370" s="155"/>
      <c r="BB370" s="155"/>
      <c r="BC370" s="155"/>
      <c r="BD370" s="155"/>
      <c r="BE370" s="155"/>
      <c r="BF370" s="155"/>
      <c r="BG370" s="155"/>
      <c r="BH370" s="155"/>
      <c r="BI370" s="155"/>
      <c r="BJ370" s="155"/>
      <c r="BK370" s="155"/>
      <c r="BL370" s="155"/>
      <c r="BM370" s="155"/>
      <c r="BN370" s="155"/>
      <c r="BO370" s="155"/>
      <c r="BP370" s="155"/>
      <c r="BQ370" s="155"/>
      <c r="BR370" s="155"/>
      <c r="BS370" s="155"/>
      <c r="BT370" s="155"/>
      <c r="BU370" s="155"/>
      <c r="BV370" s="155"/>
      <c r="BW370" s="155"/>
      <c r="BX370" s="155"/>
      <c r="BY370" s="155"/>
      <c r="BZ370" s="155"/>
      <c r="CA370" s="155"/>
      <c r="CB370" s="155"/>
      <c r="CC370" s="155"/>
      <c r="CD370" s="155"/>
      <c r="CE370" s="155"/>
      <c r="CF370" s="155"/>
      <c r="CG370" s="155"/>
    </row>
    <row r="371" spans="1:85" ht="12.75" x14ac:dyDescent="0.2">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c r="AA371" s="155"/>
      <c r="AB371" s="155"/>
      <c r="AC371" s="155"/>
      <c r="AD371" s="155"/>
      <c r="AE371" s="155"/>
      <c r="AF371" s="155"/>
      <c r="AG371" s="155"/>
      <c r="AH371" s="155"/>
      <c r="AI371" s="155"/>
      <c r="AJ371" s="155"/>
      <c r="AK371" s="155"/>
      <c r="AL371" s="155"/>
      <c r="AM371" s="155"/>
      <c r="AN371" s="155"/>
      <c r="AO371" s="155"/>
      <c r="AP371" s="155"/>
      <c r="AQ371" s="155"/>
      <c r="AR371" s="155"/>
      <c r="AS371" s="155"/>
      <c r="AT371" s="155"/>
      <c r="AU371" s="155"/>
      <c r="AV371" s="155"/>
      <c r="AW371" s="155"/>
      <c r="AX371" s="155"/>
      <c r="AY371" s="155"/>
      <c r="AZ371" s="155"/>
      <c r="BA371" s="155"/>
      <c r="BB371" s="155"/>
      <c r="BC371" s="155"/>
      <c r="BD371" s="155"/>
      <c r="BE371" s="155"/>
      <c r="BF371" s="155"/>
      <c r="BG371" s="155"/>
      <c r="BH371" s="155"/>
      <c r="BI371" s="155"/>
      <c r="BJ371" s="155"/>
      <c r="BK371" s="155"/>
      <c r="BL371" s="155"/>
      <c r="BM371" s="155"/>
      <c r="BN371" s="155"/>
      <c r="BO371" s="155"/>
      <c r="BP371" s="155"/>
      <c r="BQ371" s="155"/>
      <c r="BR371" s="155"/>
      <c r="BS371" s="155"/>
      <c r="BT371" s="155"/>
      <c r="BU371" s="155"/>
      <c r="BV371" s="155"/>
      <c r="BW371" s="155"/>
      <c r="BX371" s="155"/>
      <c r="BY371" s="155"/>
      <c r="BZ371" s="155"/>
      <c r="CA371" s="155"/>
      <c r="CB371" s="155"/>
      <c r="CC371" s="155"/>
      <c r="CD371" s="155"/>
      <c r="CE371" s="155"/>
      <c r="CF371" s="155"/>
      <c r="CG371" s="155"/>
    </row>
    <row r="372" spans="1:85" ht="12.75" x14ac:dyDescent="0.2">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5"/>
      <c r="AN372" s="155"/>
      <c r="AO372" s="155"/>
      <c r="AP372" s="155"/>
      <c r="AQ372" s="155"/>
      <c r="AR372" s="155"/>
      <c r="AS372" s="155"/>
      <c r="AT372" s="155"/>
      <c r="AU372" s="155"/>
      <c r="AV372" s="155"/>
      <c r="AW372" s="155"/>
      <c r="AX372" s="155"/>
      <c r="AY372" s="155"/>
      <c r="AZ372" s="155"/>
      <c r="BA372" s="155"/>
      <c r="BB372" s="155"/>
      <c r="BC372" s="155"/>
      <c r="BD372" s="155"/>
      <c r="BE372" s="155"/>
      <c r="BF372" s="155"/>
      <c r="BG372" s="155"/>
      <c r="BH372" s="155"/>
      <c r="BI372" s="155"/>
      <c r="BJ372" s="155"/>
      <c r="BK372" s="155"/>
      <c r="BL372" s="155"/>
      <c r="BM372" s="155"/>
      <c r="BN372" s="155"/>
      <c r="BO372" s="155"/>
      <c r="BP372" s="155"/>
      <c r="BQ372" s="155"/>
      <c r="BR372" s="155"/>
      <c r="BS372" s="155"/>
      <c r="BT372" s="155"/>
      <c r="BU372" s="155"/>
      <c r="BV372" s="155"/>
      <c r="BW372" s="155"/>
      <c r="BX372" s="155"/>
      <c r="BY372" s="155"/>
      <c r="BZ372" s="155"/>
      <c r="CA372" s="155"/>
      <c r="CB372" s="155"/>
      <c r="CC372" s="155"/>
      <c r="CD372" s="155"/>
      <c r="CE372" s="155"/>
      <c r="CF372" s="155"/>
      <c r="CG372" s="155"/>
    </row>
    <row r="373" spans="1:85" ht="12.75" x14ac:dyDescent="0.2">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c r="AA373" s="155"/>
      <c r="AB373" s="155"/>
      <c r="AC373" s="155"/>
      <c r="AD373" s="155"/>
      <c r="AE373" s="155"/>
      <c r="AF373" s="155"/>
      <c r="AG373" s="155"/>
      <c r="AH373" s="155"/>
      <c r="AI373" s="155"/>
      <c r="AJ373" s="155"/>
      <c r="AK373" s="155"/>
      <c r="AL373" s="155"/>
      <c r="AM373" s="155"/>
      <c r="AN373" s="155"/>
      <c r="AO373" s="155"/>
      <c r="AP373" s="155"/>
      <c r="AQ373" s="155"/>
      <c r="AR373" s="155"/>
      <c r="AS373" s="155"/>
      <c r="AT373" s="155"/>
      <c r="AU373" s="155"/>
      <c r="AV373" s="155"/>
      <c r="AW373" s="155"/>
      <c r="AX373" s="155"/>
      <c r="AY373" s="155"/>
      <c r="AZ373" s="155"/>
      <c r="BA373" s="155"/>
      <c r="BB373" s="155"/>
      <c r="BC373" s="155"/>
      <c r="BD373" s="155"/>
      <c r="BE373" s="155"/>
      <c r="BF373" s="155"/>
      <c r="BG373" s="155"/>
      <c r="BH373" s="155"/>
      <c r="BI373" s="155"/>
      <c r="BJ373" s="155"/>
      <c r="BK373" s="155"/>
      <c r="BL373" s="155"/>
      <c r="BM373" s="155"/>
      <c r="BN373" s="155"/>
      <c r="BO373" s="155"/>
      <c r="BP373" s="155"/>
      <c r="BQ373" s="155"/>
      <c r="BR373" s="155"/>
      <c r="BS373" s="155"/>
      <c r="BT373" s="155"/>
      <c r="BU373" s="155"/>
      <c r="BV373" s="155"/>
      <c r="BW373" s="155"/>
      <c r="BX373" s="155"/>
      <c r="BY373" s="155"/>
      <c r="BZ373" s="155"/>
      <c r="CA373" s="155"/>
      <c r="CB373" s="155"/>
      <c r="CC373" s="155"/>
      <c r="CD373" s="155"/>
      <c r="CE373" s="155"/>
      <c r="CF373" s="155"/>
      <c r="CG373" s="155"/>
    </row>
    <row r="374" spans="1:85" ht="12.75" x14ac:dyDescent="0.2">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c r="AA374" s="155"/>
      <c r="AB374" s="155"/>
      <c r="AC374" s="155"/>
      <c r="AD374" s="155"/>
      <c r="AE374" s="155"/>
      <c r="AF374" s="155"/>
      <c r="AG374" s="155"/>
      <c r="AH374" s="155"/>
      <c r="AI374" s="155"/>
      <c r="AJ374" s="155"/>
      <c r="AK374" s="155"/>
      <c r="AL374" s="155"/>
      <c r="AM374" s="155"/>
      <c r="AN374" s="155"/>
      <c r="AO374" s="155"/>
      <c r="AP374" s="155"/>
      <c r="AQ374" s="155"/>
      <c r="AR374" s="155"/>
      <c r="AS374" s="155"/>
      <c r="AT374" s="155"/>
      <c r="AU374" s="155"/>
      <c r="AV374" s="155"/>
      <c r="AW374" s="155"/>
      <c r="AX374" s="155"/>
      <c r="AY374" s="155"/>
      <c r="AZ374" s="155"/>
      <c r="BA374" s="155"/>
      <c r="BB374" s="155"/>
      <c r="BC374" s="155"/>
      <c r="BD374" s="155"/>
      <c r="BE374" s="155"/>
      <c r="BF374" s="155"/>
      <c r="BG374" s="155"/>
      <c r="BH374" s="155"/>
      <c r="BI374" s="155"/>
      <c r="BJ374" s="155"/>
      <c r="BK374" s="155"/>
      <c r="BL374" s="155"/>
      <c r="BM374" s="155"/>
      <c r="BN374" s="155"/>
      <c r="BO374" s="155"/>
      <c r="BP374" s="155"/>
      <c r="BQ374" s="155"/>
      <c r="BR374" s="155"/>
      <c r="BS374" s="155"/>
      <c r="BT374" s="155"/>
      <c r="BU374" s="155"/>
      <c r="BV374" s="155"/>
      <c r="BW374" s="155"/>
      <c r="BX374" s="155"/>
      <c r="BY374" s="155"/>
      <c r="BZ374" s="155"/>
      <c r="CA374" s="155"/>
      <c r="CB374" s="155"/>
      <c r="CC374" s="155"/>
      <c r="CD374" s="155"/>
      <c r="CE374" s="155"/>
      <c r="CF374" s="155"/>
      <c r="CG374" s="155"/>
    </row>
    <row r="375" spans="1:85" ht="12.75" x14ac:dyDescent="0.2">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c r="AA375" s="155"/>
      <c r="AB375" s="155"/>
      <c r="AC375" s="155"/>
      <c r="AD375" s="155"/>
      <c r="AE375" s="155"/>
      <c r="AF375" s="155"/>
      <c r="AG375" s="155"/>
      <c r="AH375" s="155"/>
      <c r="AI375" s="155"/>
      <c r="AJ375" s="155"/>
      <c r="AK375" s="155"/>
      <c r="AL375" s="155"/>
      <c r="AM375" s="155"/>
      <c r="AN375" s="155"/>
      <c r="AO375" s="155"/>
      <c r="AP375" s="155"/>
      <c r="AQ375" s="155"/>
      <c r="AR375" s="155"/>
      <c r="AS375" s="155"/>
      <c r="AT375" s="155"/>
      <c r="AU375" s="155"/>
      <c r="AV375" s="155"/>
      <c r="AW375" s="155"/>
      <c r="AX375" s="155"/>
      <c r="AY375" s="155"/>
      <c r="AZ375" s="155"/>
      <c r="BA375" s="155"/>
      <c r="BB375" s="155"/>
      <c r="BC375" s="155"/>
      <c r="BD375" s="155"/>
      <c r="BE375" s="155"/>
      <c r="BF375" s="155"/>
      <c r="BG375" s="155"/>
      <c r="BH375" s="155"/>
      <c r="BI375" s="155"/>
      <c r="BJ375" s="155"/>
      <c r="BK375" s="155"/>
      <c r="BL375" s="155"/>
      <c r="BM375" s="155"/>
      <c r="BN375" s="155"/>
      <c r="BO375" s="155"/>
      <c r="BP375" s="155"/>
      <c r="BQ375" s="155"/>
      <c r="BR375" s="155"/>
      <c r="BS375" s="155"/>
      <c r="BT375" s="155"/>
      <c r="BU375" s="155"/>
      <c r="BV375" s="155"/>
      <c r="BW375" s="155"/>
      <c r="BX375" s="155"/>
      <c r="BY375" s="155"/>
      <c r="BZ375" s="155"/>
      <c r="CA375" s="155"/>
      <c r="CB375" s="155"/>
      <c r="CC375" s="155"/>
      <c r="CD375" s="155"/>
      <c r="CE375" s="155"/>
      <c r="CF375" s="155"/>
      <c r="CG375" s="155"/>
    </row>
    <row r="376" spans="1:85" ht="12.75" x14ac:dyDescent="0.2">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55"/>
      <c r="AD376" s="155"/>
      <c r="AE376" s="155"/>
      <c r="AF376" s="155"/>
      <c r="AG376" s="155"/>
      <c r="AH376" s="155"/>
      <c r="AI376" s="155"/>
      <c r="AJ376" s="155"/>
      <c r="AK376" s="155"/>
      <c r="AL376" s="155"/>
      <c r="AM376" s="155"/>
      <c r="AN376" s="155"/>
      <c r="AO376" s="155"/>
      <c r="AP376" s="155"/>
      <c r="AQ376" s="155"/>
      <c r="AR376" s="155"/>
      <c r="AS376" s="155"/>
      <c r="AT376" s="155"/>
      <c r="AU376" s="155"/>
      <c r="AV376" s="155"/>
      <c r="AW376" s="155"/>
      <c r="AX376" s="155"/>
      <c r="AY376" s="155"/>
      <c r="AZ376" s="155"/>
      <c r="BA376" s="155"/>
      <c r="BB376" s="155"/>
      <c r="BC376" s="155"/>
      <c r="BD376" s="155"/>
      <c r="BE376" s="155"/>
      <c r="BF376" s="155"/>
      <c r="BG376" s="155"/>
      <c r="BH376" s="155"/>
      <c r="BI376" s="155"/>
      <c r="BJ376" s="155"/>
      <c r="BK376" s="155"/>
      <c r="BL376" s="155"/>
      <c r="BM376" s="155"/>
      <c r="BN376" s="155"/>
      <c r="BO376" s="155"/>
      <c r="BP376" s="155"/>
      <c r="BQ376" s="155"/>
      <c r="BR376" s="155"/>
      <c r="BS376" s="155"/>
      <c r="BT376" s="155"/>
      <c r="BU376" s="155"/>
      <c r="BV376" s="155"/>
      <c r="BW376" s="155"/>
      <c r="BX376" s="155"/>
      <c r="BY376" s="155"/>
      <c r="BZ376" s="155"/>
      <c r="CA376" s="155"/>
      <c r="CB376" s="155"/>
      <c r="CC376" s="155"/>
      <c r="CD376" s="155"/>
      <c r="CE376" s="155"/>
      <c r="CF376" s="155"/>
      <c r="CG376" s="155"/>
    </row>
    <row r="377" spans="1:85" ht="12.75" x14ac:dyDescent="0.2">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c r="AA377" s="155"/>
      <c r="AB377" s="155"/>
      <c r="AC377" s="155"/>
      <c r="AD377" s="155"/>
      <c r="AE377" s="155"/>
      <c r="AF377" s="155"/>
      <c r="AG377" s="155"/>
      <c r="AH377" s="155"/>
      <c r="AI377" s="155"/>
      <c r="AJ377" s="155"/>
      <c r="AK377" s="155"/>
      <c r="AL377" s="155"/>
      <c r="AM377" s="155"/>
      <c r="AN377" s="155"/>
      <c r="AO377" s="155"/>
      <c r="AP377" s="155"/>
      <c r="AQ377" s="155"/>
      <c r="AR377" s="155"/>
      <c r="AS377" s="155"/>
      <c r="AT377" s="155"/>
      <c r="AU377" s="155"/>
      <c r="AV377" s="155"/>
      <c r="AW377" s="155"/>
      <c r="AX377" s="155"/>
      <c r="AY377" s="155"/>
      <c r="AZ377" s="155"/>
      <c r="BA377" s="155"/>
      <c r="BB377" s="155"/>
      <c r="BC377" s="155"/>
      <c r="BD377" s="155"/>
      <c r="BE377" s="155"/>
      <c r="BF377" s="155"/>
      <c r="BG377" s="155"/>
      <c r="BH377" s="155"/>
      <c r="BI377" s="155"/>
      <c r="BJ377" s="155"/>
      <c r="BK377" s="155"/>
      <c r="BL377" s="155"/>
      <c r="BM377" s="155"/>
      <c r="BN377" s="155"/>
      <c r="BO377" s="155"/>
      <c r="BP377" s="155"/>
      <c r="BQ377" s="155"/>
      <c r="BR377" s="155"/>
      <c r="BS377" s="155"/>
      <c r="BT377" s="155"/>
      <c r="BU377" s="155"/>
      <c r="BV377" s="155"/>
      <c r="BW377" s="155"/>
      <c r="BX377" s="155"/>
      <c r="BY377" s="155"/>
      <c r="BZ377" s="155"/>
      <c r="CA377" s="155"/>
      <c r="CB377" s="155"/>
      <c r="CC377" s="155"/>
      <c r="CD377" s="155"/>
      <c r="CE377" s="155"/>
      <c r="CF377" s="155"/>
      <c r="CG377" s="155"/>
    </row>
    <row r="378" spans="1:85" ht="12.75" x14ac:dyDescent="0.2">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c r="AA378" s="155"/>
      <c r="AB378" s="155"/>
      <c r="AC378" s="155"/>
      <c r="AD378" s="155"/>
      <c r="AE378" s="155"/>
      <c r="AF378" s="155"/>
      <c r="AG378" s="155"/>
      <c r="AH378" s="155"/>
      <c r="AI378" s="155"/>
      <c r="AJ378" s="155"/>
      <c r="AK378" s="155"/>
      <c r="AL378" s="155"/>
      <c r="AM378" s="155"/>
      <c r="AN378" s="155"/>
      <c r="AO378" s="155"/>
      <c r="AP378" s="155"/>
      <c r="AQ378" s="155"/>
      <c r="AR378" s="155"/>
      <c r="AS378" s="155"/>
      <c r="AT378" s="155"/>
      <c r="AU378" s="155"/>
      <c r="AV378" s="155"/>
      <c r="AW378" s="155"/>
      <c r="AX378" s="155"/>
      <c r="AY378" s="155"/>
      <c r="AZ378" s="155"/>
      <c r="BA378" s="155"/>
      <c r="BB378" s="155"/>
      <c r="BC378" s="155"/>
      <c r="BD378" s="155"/>
      <c r="BE378" s="155"/>
      <c r="BF378" s="155"/>
      <c r="BG378" s="155"/>
      <c r="BH378" s="155"/>
      <c r="BI378" s="155"/>
      <c r="BJ378" s="155"/>
      <c r="BK378" s="155"/>
      <c r="BL378" s="155"/>
      <c r="BM378" s="155"/>
      <c r="BN378" s="155"/>
      <c r="BO378" s="155"/>
      <c r="BP378" s="155"/>
      <c r="BQ378" s="155"/>
      <c r="BR378" s="155"/>
      <c r="BS378" s="155"/>
      <c r="BT378" s="155"/>
      <c r="BU378" s="155"/>
      <c r="BV378" s="155"/>
      <c r="BW378" s="155"/>
      <c r="BX378" s="155"/>
      <c r="BY378" s="155"/>
      <c r="BZ378" s="155"/>
      <c r="CA378" s="155"/>
      <c r="CB378" s="155"/>
      <c r="CC378" s="155"/>
      <c r="CD378" s="155"/>
      <c r="CE378" s="155"/>
      <c r="CF378" s="155"/>
      <c r="CG378" s="155"/>
    </row>
    <row r="379" spans="1:85" ht="12.75" x14ac:dyDescent="0.2">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c r="AA379" s="155"/>
      <c r="AB379" s="155"/>
      <c r="AC379" s="155"/>
      <c r="AD379" s="155"/>
      <c r="AE379" s="155"/>
      <c r="AF379" s="155"/>
      <c r="AG379" s="155"/>
      <c r="AH379" s="155"/>
      <c r="AI379" s="155"/>
      <c r="AJ379" s="155"/>
      <c r="AK379" s="155"/>
      <c r="AL379" s="155"/>
      <c r="AM379" s="155"/>
      <c r="AN379" s="155"/>
      <c r="AO379" s="155"/>
      <c r="AP379" s="155"/>
      <c r="AQ379" s="155"/>
      <c r="AR379" s="155"/>
      <c r="AS379" s="155"/>
      <c r="AT379" s="155"/>
      <c r="AU379" s="155"/>
      <c r="AV379" s="155"/>
      <c r="AW379" s="155"/>
      <c r="AX379" s="155"/>
      <c r="AY379" s="155"/>
      <c r="AZ379" s="155"/>
      <c r="BA379" s="155"/>
      <c r="BB379" s="155"/>
      <c r="BC379" s="155"/>
      <c r="BD379" s="155"/>
      <c r="BE379" s="155"/>
      <c r="BF379" s="155"/>
      <c r="BG379" s="155"/>
      <c r="BH379" s="155"/>
      <c r="BI379" s="155"/>
      <c r="BJ379" s="155"/>
      <c r="BK379" s="155"/>
      <c r="BL379" s="155"/>
      <c r="BM379" s="155"/>
      <c r="BN379" s="155"/>
      <c r="BO379" s="155"/>
      <c r="BP379" s="155"/>
      <c r="BQ379" s="155"/>
      <c r="BR379" s="155"/>
      <c r="BS379" s="155"/>
      <c r="BT379" s="155"/>
      <c r="BU379" s="155"/>
      <c r="BV379" s="155"/>
      <c r="BW379" s="155"/>
      <c r="BX379" s="155"/>
      <c r="BY379" s="155"/>
      <c r="BZ379" s="155"/>
      <c r="CA379" s="155"/>
      <c r="CB379" s="155"/>
      <c r="CC379" s="155"/>
      <c r="CD379" s="155"/>
      <c r="CE379" s="155"/>
      <c r="CF379" s="155"/>
      <c r="CG379" s="155"/>
    </row>
    <row r="380" spans="1:85" ht="12.75" x14ac:dyDescent="0.2">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c r="AA380" s="155"/>
      <c r="AB380" s="155"/>
      <c r="AC380" s="155"/>
      <c r="AD380" s="155"/>
      <c r="AE380" s="155"/>
      <c r="AF380" s="155"/>
      <c r="AG380" s="155"/>
      <c r="AH380" s="155"/>
      <c r="AI380" s="155"/>
      <c r="AJ380" s="155"/>
      <c r="AK380" s="155"/>
      <c r="AL380" s="155"/>
      <c r="AM380" s="155"/>
      <c r="AN380" s="155"/>
      <c r="AO380" s="155"/>
      <c r="AP380" s="155"/>
      <c r="AQ380" s="155"/>
      <c r="AR380" s="155"/>
      <c r="AS380" s="155"/>
      <c r="AT380" s="155"/>
      <c r="AU380" s="155"/>
      <c r="AV380" s="155"/>
      <c r="AW380" s="155"/>
      <c r="AX380" s="155"/>
      <c r="AY380" s="155"/>
      <c r="AZ380" s="155"/>
      <c r="BA380" s="155"/>
      <c r="BB380" s="155"/>
      <c r="BC380" s="155"/>
      <c r="BD380" s="155"/>
      <c r="BE380" s="155"/>
      <c r="BF380" s="155"/>
      <c r="BG380" s="155"/>
      <c r="BH380" s="155"/>
      <c r="BI380" s="155"/>
      <c r="BJ380" s="155"/>
      <c r="BK380" s="155"/>
      <c r="BL380" s="155"/>
      <c r="BM380" s="155"/>
      <c r="BN380" s="155"/>
      <c r="BO380" s="155"/>
      <c r="BP380" s="155"/>
      <c r="BQ380" s="155"/>
      <c r="BR380" s="155"/>
      <c r="BS380" s="155"/>
      <c r="BT380" s="155"/>
      <c r="BU380" s="155"/>
      <c r="BV380" s="155"/>
      <c r="BW380" s="155"/>
      <c r="BX380" s="155"/>
      <c r="BY380" s="155"/>
      <c r="BZ380" s="155"/>
      <c r="CA380" s="155"/>
      <c r="CB380" s="155"/>
      <c r="CC380" s="155"/>
      <c r="CD380" s="155"/>
      <c r="CE380" s="155"/>
      <c r="CF380" s="155"/>
      <c r="CG380" s="155"/>
    </row>
    <row r="381" spans="1:85" ht="12.75" x14ac:dyDescent="0.2">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c r="AA381" s="155"/>
      <c r="AB381" s="155"/>
      <c r="AC381" s="155"/>
      <c r="AD381" s="155"/>
      <c r="AE381" s="155"/>
      <c r="AF381" s="155"/>
      <c r="AG381" s="155"/>
      <c r="AH381" s="155"/>
      <c r="AI381" s="155"/>
      <c r="AJ381" s="155"/>
      <c r="AK381" s="155"/>
      <c r="AL381" s="155"/>
      <c r="AM381" s="155"/>
      <c r="AN381" s="155"/>
      <c r="AO381" s="155"/>
      <c r="AP381" s="155"/>
      <c r="AQ381" s="155"/>
      <c r="AR381" s="155"/>
      <c r="AS381" s="155"/>
      <c r="AT381" s="155"/>
      <c r="AU381" s="155"/>
      <c r="AV381" s="155"/>
      <c r="AW381" s="155"/>
      <c r="AX381" s="155"/>
      <c r="AY381" s="155"/>
      <c r="AZ381" s="155"/>
      <c r="BA381" s="155"/>
      <c r="BB381" s="155"/>
      <c r="BC381" s="155"/>
      <c r="BD381" s="155"/>
      <c r="BE381" s="155"/>
      <c r="BF381" s="155"/>
      <c r="BG381" s="155"/>
      <c r="BH381" s="155"/>
      <c r="BI381" s="155"/>
      <c r="BJ381" s="155"/>
      <c r="BK381" s="155"/>
      <c r="BL381" s="155"/>
      <c r="BM381" s="155"/>
      <c r="BN381" s="155"/>
      <c r="BO381" s="155"/>
      <c r="BP381" s="155"/>
      <c r="BQ381" s="155"/>
      <c r="BR381" s="155"/>
      <c r="BS381" s="155"/>
      <c r="BT381" s="155"/>
      <c r="BU381" s="155"/>
      <c r="BV381" s="155"/>
      <c r="BW381" s="155"/>
      <c r="BX381" s="155"/>
      <c r="BY381" s="155"/>
      <c r="BZ381" s="155"/>
      <c r="CA381" s="155"/>
      <c r="CB381" s="155"/>
      <c r="CC381" s="155"/>
      <c r="CD381" s="155"/>
      <c r="CE381" s="155"/>
      <c r="CF381" s="155"/>
      <c r="CG381" s="155"/>
    </row>
    <row r="382" spans="1:85" ht="12.75" x14ac:dyDescent="0.2">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c r="AA382" s="155"/>
      <c r="AB382" s="155"/>
      <c r="AC382" s="155"/>
      <c r="AD382" s="155"/>
      <c r="AE382" s="155"/>
      <c r="AF382" s="155"/>
      <c r="AG382" s="155"/>
      <c r="AH382" s="155"/>
      <c r="AI382" s="155"/>
      <c r="AJ382" s="155"/>
      <c r="AK382" s="155"/>
      <c r="AL382" s="155"/>
      <c r="AM382" s="155"/>
      <c r="AN382" s="155"/>
      <c r="AO382" s="155"/>
      <c r="AP382" s="155"/>
      <c r="AQ382" s="155"/>
      <c r="AR382" s="155"/>
      <c r="AS382" s="155"/>
      <c r="AT382" s="155"/>
      <c r="AU382" s="155"/>
      <c r="AV382" s="155"/>
      <c r="AW382" s="155"/>
      <c r="AX382" s="155"/>
      <c r="AY382" s="155"/>
      <c r="AZ382" s="155"/>
      <c r="BA382" s="155"/>
      <c r="BB382" s="155"/>
      <c r="BC382" s="155"/>
      <c r="BD382" s="155"/>
      <c r="BE382" s="155"/>
      <c r="BF382" s="155"/>
      <c r="BG382" s="155"/>
      <c r="BH382" s="155"/>
      <c r="BI382" s="155"/>
      <c r="BJ382" s="155"/>
      <c r="BK382" s="155"/>
      <c r="BL382" s="155"/>
      <c r="BM382" s="155"/>
      <c r="BN382" s="155"/>
      <c r="BO382" s="155"/>
      <c r="BP382" s="155"/>
      <c r="BQ382" s="155"/>
      <c r="BR382" s="155"/>
      <c r="BS382" s="155"/>
      <c r="BT382" s="155"/>
      <c r="BU382" s="155"/>
      <c r="BV382" s="155"/>
      <c r="BW382" s="155"/>
      <c r="BX382" s="155"/>
      <c r="BY382" s="155"/>
      <c r="BZ382" s="155"/>
      <c r="CA382" s="155"/>
      <c r="CB382" s="155"/>
      <c r="CC382" s="155"/>
      <c r="CD382" s="155"/>
      <c r="CE382" s="155"/>
      <c r="CF382" s="155"/>
      <c r="CG382" s="155"/>
    </row>
    <row r="383" spans="1:85" ht="12.75" x14ac:dyDescent="0.2">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c r="AA383" s="155"/>
      <c r="AB383" s="155"/>
      <c r="AC383" s="155"/>
      <c r="AD383" s="155"/>
      <c r="AE383" s="155"/>
      <c r="AF383" s="155"/>
      <c r="AG383" s="155"/>
      <c r="AH383" s="155"/>
      <c r="AI383" s="155"/>
      <c r="AJ383" s="155"/>
      <c r="AK383" s="155"/>
      <c r="AL383" s="155"/>
      <c r="AM383" s="155"/>
      <c r="AN383" s="155"/>
      <c r="AO383" s="155"/>
      <c r="AP383" s="155"/>
      <c r="AQ383" s="155"/>
      <c r="AR383" s="155"/>
      <c r="AS383" s="155"/>
      <c r="AT383" s="155"/>
      <c r="AU383" s="155"/>
      <c r="AV383" s="155"/>
      <c r="AW383" s="155"/>
      <c r="AX383" s="155"/>
      <c r="AY383" s="155"/>
      <c r="AZ383" s="155"/>
      <c r="BA383" s="155"/>
      <c r="BB383" s="155"/>
      <c r="BC383" s="155"/>
      <c r="BD383" s="155"/>
      <c r="BE383" s="155"/>
      <c r="BF383" s="155"/>
      <c r="BG383" s="155"/>
      <c r="BH383" s="155"/>
      <c r="BI383" s="155"/>
      <c r="BJ383" s="155"/>
      <c r="BK383" s="155"/>
      <c r="BL383" s="155"/>
      <c r="BM383" s="155"/>
      <c r="BN383" s="155"/>
      <c r="BO383" s="155"/>
      <c r="BP383" s="155"/>
      <c r="BQ383" s="155"/>
      <c r="BR383" s="155"/>
      <c r="BS383" s="155"/>
      <c r="BT383" s="155"/>
      <c r="BU383" s="155"/>
      <c r="BV383" s="155"/>
      <c r="BW383" s="155"/>
      <c r="BX383" s="155"/>
      <c r="BY383" s="155"/>
      <c r="BZ383" s="155"/>
      <c r="CA383" s="155"/>
      <c r="CB383" s="155"/>
      <c r="CC383" s="155"/>
      <c r="CD383" s="155"/>
      <c r="CE383" s="155"/>
      <c r="CF383" s="155"/>
      <c r="CG383" s="155"/>
    </row>
    <row r="384" spans="1:85" ht="12.75" x14ac:dyDescent="0.2">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c r="AA384" s="155"/>
      <c r="AB384" s="155"/>
      <c r="AC384" s="155"/>
      <c r="AD384" s="155"/>
      <c r="AE384" s="155"/>
      <c r="AF384" s="155"/>
      <c r="AG384" s="155"/>
      <c r="AH384" s="155"/>
      <c r="AI384" s="155"/>
      <c r="AJ384" s="155"/>
      <c r="AK384" s="155"/>
      <c r="AL384" s="155"/>
      <c r="AM384" s="155"/>
      <c r="AN384" s="155"/>
      <c r="AO384" s="155"/>
      <c r="AP384" s="155"/>
      <c r="AQ384" s="155"/>
      <c r="AR384" s="155"/>
      <c r="AS384" s="155"/>
      <c r="AT384" s="155"/>
      <c r="AU384" s="155"/>
      <c r="AV384" s="155"/>
      <c r="AW384" s="155"/>
      <c r="AX384" s="155"/>
      <c r="AY384" s="155"/>
      <c r="AZ384" s="155"/>
      <c r="BA384" s="155"/>
      <c r="BB384" s="155"/>
      <c r="BC384" s="155"/>
      <c r="BD384" s="155"/>
      <c r="BE384" s="155"/>
      <c r="BF384" s="155"/>
      <c r="BG384" s="155"/>
      <c r="BH384" s="155"/>
      <c r="BI384" s="155"/>
      <c r="BJ384" s="155"/>
      <c r="BK384" s="155"/>
      <c r="BL384" s="155"/>
      <c r="BM384" s="155"/>
      <c r="BN384" s="155"/>
      <c r="BO384" s="155"/>
      <c r="BP384" s="155"/>
      <c r="BQ384" s="155"/>
      <c r="BR384" s="155"/>
      <c r="BS384" s="155"/>
      <c r="BT384" s="155"/>
      <c r="BU384" s="155"/>
      <c r="BV384" s="155"/>
      <c r="BW384" s="155"/>
      <c r="BX384" s="155"/>
      <c r="BY384" s="155"/>
      <c r="BZ384" s="155"/>
      <c r="CA384" s="155"/>
      <c r="CB384" s="155"/>
      <c r="CC384" s="155"/>
      <c r="CD384" s="155"/>
      <c r="CE384" s="155"/>
      <c r="CF384" s="155"/>
      <c r="CG384" s="155"/>
    </row>
    <row r="385" spans="1:85" ht="12.75" x14ac:dyDescent="0.2">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c r="AA385" s="155"/>
      <c r="AB385" s="155"/>
      <c r="AC385" s="155"/>
      <c r="AD385" s="155"/>
      <c r="AE385" s="155"/>
      <c r="AF385" s="155"/>
      <c r="AG385" s="155"/>
      <c r="AH385" s="155"/>
      <c r="AI385" s="155"/>
      <c r="AJ385" s="155"/>
      <c r="AK385" s="155"/>
      <c r="AL385" s="155"/>
      <c r="AM385" s="155"/>
      <c r="AN385" s="155"/>
      <c r="AO385" s="155"/>
      <c r="AP385" s="155"/>
      <c r="AQ385" s="155"/>
      <c r="AR385" s="155"/>
      <c r="AS385" s="155"/>
      <c r="AT385" s="155"/>
      <c r="AU385" s="155"/>
      <c r="AV385" s="155"/>
      <c r="AW385" s="155"/>
      <c r="AX385" s="155"/>
      <c r="AY385" s="155"/>
      <c r="AZ385" s="155"/>
      <c r="BA385" s="155"/>
      <c r="BB385" s="155"/>
      <c r="BC385" s="155"/>
      <c r="BD385" s="155"/>
      <c r="BE385" s="155"/>
      <c r="BF385" s="155"/>
      <c r="BG385" s="155"/>
      <c r="BH385" s="155"/>
      <c r="BI385" s="155"/>
      <c r="BJ385" s="155"/>
      <c r="BK385" s="155"/>
      <c r="BL385" s="155"/>
      <c r="BM385" s="155"/>
      <c r="BN385" s="155"/>
      <c r="BO385" s="155"/>
      <c r="BP385" s="155"/>
      <c r="BQ385" s="155"/>
      <c r="BR385" s="155"/>
      <c r="BS385" s="155"/>
      <c r="BT385" s="155"/>
      <c r="BU385" s="155"/>
      <c r="BV385" s="155"/>
      <c r="BW385" s="155"/>
      <c r="BX385" s="155"/>
      <c r="BY385" s="155"/>
      <c r="BZ385" s="155"/>
      <c r="CA385" s="155"/>
      <c r="CB385" s="155"/>
      <c r="CC385" s="155"/>
      <c r="CD385" s="155"/>
      <c r="CE385" s="155"/>
      <c r="CF385" s="155"/>
      <c r="CG385" s="155"/>
    </row>
    <row r="386" spans="1:85" ht="12.75" x14ac:dyDescent="0.2">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c r="AA386" s="155"/>
      <c r="AB386" s="155"/>
      <c r="AC386" s="155"/>
      <c r="AD386" s="155"/>
      <c r="AE386" s="155"/>
      <c r="AF386" s="155"/>
      <c r="AG386" s="155"/>
      <c r="AH386" s="155"/>
      <c r="AI386" s="155"/>
      <c r="AJ386" s="155"/>
      <c r="AK386" s="155"/>
      <c r="AL386" s="155"/>
      <c r="AM386" s="155"/>
      <c r="AN386" s="155"/>
      <c r="AO386" s="155"/>
      <c r="AP386" s="155"/>
      <c r="AQ386" s="155"/>
      <c r="AR386" s="155"/>
      <c r="AS386" s="155"/>
      <c r="AT386" s="155"/>
      <c r="AU386" s="155"/>
      <c r="AV386" s="155"/>
      <c r="AW386" s="155"/>
      <c r="AX386" s="155"/>
      <c r="AY386" s="155"/>
      <c r="AZ386" s="155"/>
      <c r="BA386" s="155"/>
      <c r="BB386" s="155"/>
      <c r="BC386" s="155"/>
      <c r="BD386" s="155"/>
      <c r="BE386" s="155"/>
      <c r="BF386" s="155"/>
      <c r="BG386" s="155"/>
      <c r="BH386" s="155"/>
      <c r="BI386" s="155"/>
      <c r="BJ386" s="155"/>
      <c r="BK386" s="155"/>
      <c r="BL386" s="155"/>
      <c r="BM386" s="155"/>
      <c r="BN386" s="155"/>
      <c r="BO386" s="155"/>
      <c r="BP386" s="155"/>
      <c r="BQ386" s="155"/>
      <c r="BR386" s="155"/>
      <c r="BS386" s="155"/>
      <c r="BT386" s="155"/>
      <c r="BU386" s="155"/>
      <c r="BV386" s="155"/>
      <c r="BW386" s="155"/>
      <c r="BX386" s="155"/>
      <c r="BY386" s="155"/>
      <c r="BZ386" s="155"/>
      <c r="CA386" s="155"/>
      <c r="CB386" s="155"/>
      <c r="CC386" s="155"/>
      <c r="CD386" s="155"/>
      <c r="CE386" s="155"/>
      <c r="CF386" s="155"/>
      <c r="CG386" s="155"/>
    </row>
    <row r="387" spans="1:85" ht="12.75" x14ac:dyDescent="0.2">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c r="AA387" s="155"/>
      <c r="AB387" s="155"/>
      <c r="AC387" s="155"/>
      <c r="AD387" s="155"/>
      <c r="AE387" s="155"/>
      <c r="AF387" s="155"/>
      <c r="AG387" s="155"/>
      <c r="AH387" s="155"/>
      <c r="AI387" s="155"/>
      <c r="AJ387" s="155"/>
      <c r="AK387" s="155"/>
      <c r="AL387" s="155"/>
      <c r="AM387" s="155"/>
      <c r="AN387" s="155"/>
      <c r="AO387" s="155"/>
      <c r="AP387" s="155"/>
      <c r="AQ387" s="155"/>
      <c r="AR387" s="155"/>
      <c r="AS387" s="155"/>
      <c r="AT387" s="155"/>
      <c r="AU387" s="155"/>
      <c r="AV387" s="155"/>
      <c r="AW387" s="155"/>
      <c r="AX387" s="155"/>
      <c r="AY387" s="155"/>
      <c r="AZ387" s="155"/>
      <c r="BA387" s="155"/>
      <c r="BB387" s="155"/>
      <c r="BC387" s="155"/>
      <c r="BD387" s="155"/>
      <c r="BE387" s="155"/>
      <c r="BF387" s="155"/>
      <c r="BG387" s="155"/>
      <c r="BH387" s="155"/>
      <c r="BI387" s="155"/>
      <c r="BJ387" s="155"/>
      <c r="BK387" s="155"/>
      <c r="BL387" s="155"/>
      <c r="BM387" s="155"/>
      <c r="BN387" s="155"/>
      <c r="BO387" s="155"/>
      <c r="BP387" s="155"/>
      <c r="BQ387" s="155"/>
      <c r="BR387" s="155"/>
      <c r="BS387" s="155"/>
      <c r="BT387" s="155"/>
      <c r="BU387" s="155"/>
      <c r="BV387" s="155"/>
      <c r="BW387" s="155"/>
      <c r="BX387" s="155"/>
      <c r="BY387" s="155"/>
      <c r="BZ387" s="155"/>
      <c r="CA387" s="155"/>
      <c r="CB387" s="155"/>
      <c r="CC387" s="155"/>
      <c r="CD387" s="155"/>
      <c r="CE387" s="155"/>
      <c r="CF387" s="155"/>
      <c r="CG387" s="155"/>
    </row>
    <row r="388" spans="1:85" ht="12.75" x14ac:dyDescent="0.2">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c r="AA388" s="155"/>
      <c r="AB388" s="155"/>
      <c r="AC388" s="155"/>
      <c r="AD388" s="155"/>
      <c r="AE388" s="155"/>
      <c r="AF388" s="155"/>
      <c r="AG388" s="155"/>
      <c r="AH388" s="155"/>
      <c r="AI388" s="155"/>
      <c r="AJ388" s="155"/>
      <c r="AK388" s="155"/>
      <c r="AL388" s="155"/>
      <c r="AM388" s="155"/>
      <c r="AN388" s="155"/>
      <c r="AO388" s="155"/>
      <c r="AP388" s="155"/>
      <c r="AQ388" s="155"/>
      <c r="AR388" s="155"/>
      <c r="AS388" s="155"/>
      <c r="AT388" s="155"/>
      <c r="AU388" s="155"/>
      <c r="AV388" s="155"/>
      <c r="AW388" s="155"/>
      <c r="AX388" s="155"/>
      <c r="AY388" s="155"/>
      <c r="AZ388" s="155"/>
      <c r="BA388" s="155"/>
      <c r="BB388" s="155"/>
      <c r="BC388" s="155"/>
      <c r="BD388" s="155"/>
      <c r="BE388" s="155"/>
      <c r="BF388" s="155"/>
      <c r="BG388" s="155"/>
      <c r="BH388" s="155"/>
      <c r="BI388" s="155"/>
      <c r="BJ388" s="155"/>
      <c r="BK388" s="155"/>
      <c r="BL388" s="155"/>
      <c r="BM388" s="155"/>
      <c r="BN388" s="155"/>
      <c r="BO388" s="155"/>
      <c r="BP388" s="155"/>
      <c r="BQ388" s="155"/>
      <c r="BR388" s="155"/>
      <c r="BS388" s="155"/>
      <c r="BT388" s="155"/>
      <c r="BU388" s="155"/>
      <c r="BV388" s="155"/>
      <c r="BW388" s="155"/>
      <c r="BX388" s="155"/>
      <c r="BY388" s="155"/>
      <c r="BZ388" s="155"/>
      <c r="CA388" s="155"/>
      <c r="CB388" s="155"/>
      <c r="CC388" s="155"/>
      <c r="CD388" s="155"/>
      <c r="CE388" s="155"/>
      <c r="CF388" s="155"/>
      <c r="CG388" s="155"/>
    </row>
    <row r="389" spans="1:85" ht="12.75" x14ac:dyDescent="0.2">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c r="AA389" s="155"/>
      <c r="AB389" s="155"/>
      <c r="AC389" s="155"/>
      <c r="AD389" s="155"/>
      <c r="AE389" s="155"/>
      <c r="AF389" s="155"/>
      <c r="AG389" s="155"/>
      <c r="AH389" s="155"/>
      <c r="AI389" s="155"/>
      <c r="AJ389" s="155"/>
      <c r="AK389" s="155"/>
      <c r="AL389" s="155"/>
      <c r="AM389" s="155"/>
      <c r="AN389" s="155"/>
      <c r="AO389" s="155"/>
      <c r="AP389" s="155"/>
      <c r="AQ389" s="155"/>
      <c r="AR389" s="155"/>
      <c r="AS389" s="155"/>
      <c r="AT389" s="155"/>
      <c r="AU389" s="155"/>
      <c r="AV389" s="155"/>
      <c r="AW389" s="155"/>
      <c r="AX389" s="155"/>
      <c r="AY389" s="155"/>
      <c r="AZ389" s="155"/>
      <c r="BA389" s="155"/>
      <c r="BB389" s="155"/>
      <c r="BC389" s="155"/>
      <c r="BD389" s="155"/>
      <c r="BE389" s="155"/>
      <c r="BF389" s="155"/>
      <c r="BG389" s="155"/>
      <c r="BH389" s="155"/>
      <c r="BI389" s="155"/>
      <c r="BJ389" s="155"/>
      <c r="BK389" s="155"/>
      <c r="BL389" s="155"/>
      <c r="BM389" s="155"/>
      <c r="BN389" s="155"/>
      <c r="BO389" s="155"/>
      <c r="BP389" s="155"/>
      <c r="BQ389" s="155"/>
      <c r="BR389" s="155"/>
      <c r="BS389" s="155"/>
      <c r="BT389" s="155"/>
      <c r="BU389" s="155"/>
      <c r="BV389" s="155"/>
      <c r="BW389" s="155"/>
      <c r="BX389" s="155"/>
      <c r="BY389" s="155"/>
      <c r="BZ389" s="155"/>
      <c r="CA389" s="155"/>
      <c r="CB389" s="155"/>
      <c r="CC389" s="155"/>
      <c r="CD389" s="155"/>
      <c r="CE389" s="155"/>
      <c r="CF389" s="155"/>
      <c r="CG389" s="155"/>
    </row>
    <row r="390" spans="1:85" ht="12.75" x14ac:dyDescent="0.2">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c r="AA390" s="155"/>
      <c r="AB390" s="155"/>
      <c r="AC390" s="155"/>
      <c r="AD390" s="155"/>
      <c r="AE390" s="155"/>
      <c r="AF390" s="155"/>
      <c r="AG390" s="155"/>
      <c r="AH390" s="155"/>
      <c r="AI390" s="155"/>
      <c r="AJ390" s="155"/>
      <c r="AK390" s="155"/>
      <c r="AL390" s="155"/>
      <c r="AM390" s="155"/>
      <c r="AN390" s="155"/>
      <c r="AO390" s="155"/>
      <c r="AP390" s="155"/>
      <c r="AQ390" s="155"/>
      <c r="AR390" s="155"/>
      <c r="AS390" s="155"/>
      <c r="AT390" s="155"/>
      <c r="AU390" s="155"/>
      <c r="AV390" s="155"/>
      <c r="AW390" s="155"/>
      <c r="AX390" s="155"/>
      <c r="AY390" s="155"/>
      <c r="AZ390" s="155"/>
      <c r="BA390" s="155"/>
      <c r="BB390" s="155"/>
      <c r="BC390" s="155"/>
      <c r="BD390" s="155"/>
      <c r="BE390" s="155"/>
      <c r="BF390" s="155"/>
      <c r="BG390" s="155"/>
      <c r="BH390" s="155"/>
      <c r="BI390" s="155"/>
      <c r="BJ390" s="155"/>
      <c r="BK390" s="155"/>
      <c r="BL390" s="155"/>
      <c r="BM390" s="155"/>
      <c r="BN390" s="155"/>
      <c r="BO390" s="155"/>
      <c r="BP390" s="155"/>
      <c r="BQ390" s="155"/>
      <c r="BR390" s="155"/>
      <c r="BS390" s="155"/>
      <c r="BT390" s="155"/>
      <c r="BU390" s="155"/>
      <c r="BV390" s="155"/>
      <c r="BW390" s="155"/>
      <c r="BX390" s="155"/>
      <c r="BY390" s="155"/>
      <c r="BZ390" s="155"/>
      <c r="CA390" s="155"/>
      <c r="CB390" s="155"/>
      <c r="CC390" s="155"/>
      <c r="CD390" s="155"/>
      <c r="CE390" s="155"/>
      <c r="CF390" s="155"/>
      <c r="CG390" s="155"/>
    </row>
    <row r="391" spans="1:85" ht="12.75" x14ac:dyDescent="0.2">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c r="AA391" s="155"/>
      <c r="AB391" s="155"/>
      <c r="AC391" s="155"/>
      <c r="AD391" s="155"/>
      <c r="AE391" s="155"/>
      <c r="AF391" s="155"/>
      <c r="AG391" s="155"/>
      <c r="AH391" s="155"/>
      <c r="AI391" s="155"/>
      <c r="AJ391" s="155"/>
      <c r="AK391" s="155"/>
      <c r="AL391" s="155"/>
      <c r="AM391" s="155"/>
      <c r="AN391" s="155"/>
      <c r="AO391" s="155"/>
      <c r="AP391" s="155"/>
      <c r="AQ391" s="155"/>
      <c r="AR391" s="155"/>
      <c r="AS391" s="155"/>
      <c r="AT391" s="155"/>
      <c r="AU391" s="155"/>
      <c r="AV391" s="155"/>
      <c r="AW391" s="155"/>
      <c r="AX391" s="155"/>
      <c r="AY391" s="155"/>
      <c r="AZ391" s="155"/>
      <c r="BA391" s="155"/>
      <c r="BB391" s="155"/>
      <c r="BC391" s="155"/>
      <c r="BD391" s="155"/>
      <c r="BE391" s="155"/>
      <c r="BF391" s="155"/>
      <c r="BG391" s="155"/>
      <c r="BH391" s="155"/>
      <c r="BI391" s="155"/>
      <c r="BJ391" s="155"/>
      <c r="BK391" s="155"/>
      <c r="BL391" s="155"/>
      <c r="BM391" s="155"/>
      <c r="BN391" s="155"/>
      <c r="BO391" s="155"/>
      <c r="BP391" s="155"/>
      <c r="BQ391" s="155"/>
      <c r="BR391" s="155"/>
      <c r="BS391" s="155"/>
      <c r="BT391" s="155"/>
      <c r="BU391" s="155"/>
      <c r="BV391" s="155"/>
      <c r="BW391" s="155"/>
      <c r="BX391" s="155"/>
      <c r="BY391" s="155"/>
      <c r="BZ391" s="155"/>
      <c r="CA391" s="155"/>
      <c r="CB391" s="155"/>
      <c r="CC391" s="155"/>
      <c r="CD391" s="155"/>
      <c r="CE391" s="155"/>
      <c r="CF391" s="155"/>
      <c r="CG391" s="155"/>
    </row>
    <row r="392" spans="1:85" ht="12.75" x14ac:dyDescent="0.2">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c r="AA392" s="155"/>
      <c r="AB392" s="155"/>
      <c r="AC392" s="155"/>
      <c r="AD392" s="155"/>
      <c r="AE392" s="155"/>
      <c r="AF392" s="155"/>
      <c r="AG392" s="155"/>
      <c r="AH392" s="155"/>
      <c r="AI392" s="155"/>
      <c r="AJ392" s="155"/>
      <c r="AK392" s="155"/>
      <c r="AL392" s="155"/>
      <c r="AM392" s="155"/>
      <c r="AN392" s="155"/>
      <c r="AO392" s="155"/>
      <c r="AP392" s="155"/>
      <c r="AQ392" s="155"/>
      <c r="AR392" s="155"/>
      <c r="AS392" s="155"/>
      <c r="AT392" s="155"/>
      <c r="AU392" s="155"/>
      <c r="AV392" s="155"/>
      <c r="AW392" s="155"/>
      <c r="AX392" s="155"/>
      <c r="AY392" s="155"/>
      <c r="AZ392" s="155"/>
      <c r="BA392" s="155"/>
      <c r="BB392" s="155"/>
      <c r="BC392" s="155"/>
      <c r="BD392" s="155"/>
      <c r="BE392" s="155"/>
      <c r="BF392" s="155"/>
      <c r="BG392" s="155"/>
      <c r="BH392" s="155"/>
      <c r="BI392" s="155"/>
      <c r="BJ392" s="155"/>
      <c r="BK392" s="155"/>
      <c r="BL392" s="155"/>
      <c r="BM392" s="155"/>
      <c r="BN392" s="155"/>
      <c r="BO392" s="155"/>
      <c r="BP392" s="155"/>
      <c r="BQ392" s="155"/>
      <c r="BR392" s="155"/>
      <c r="BS392" s="155"/>
      <c r="BT392" s="155"/>
      <c r="BU392" s="155"/>
      <c r="BV392" s="155"/>
      <c r="BW392" s="155"/>
      <c r="BX392" s="155"/>
      <c r="BY392" s="155"/>
      <c r="BZ392" s="155"/>
      <c r="CA392" s="155"/>
      <c r="CB392" s="155"/>
      <c r="CC392" s="155"/>
      <c r="CD392" s="155"/>
      <c r="CE392" s="155"/>
      <c r="CF392" s="155"/>
      <c r="CG392" s="155"/>
    </row>
    <row r="393" spans="1:85" ht="12.75" x14ac:dyDescent="0.2">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c r="AA393" s="155"/>
      <c r="AB393" s="155"/>
      <c r="AC393" s="155"/>
      <c r="AD393" s="155"/>
      <c r="AE393" s="155"/>
      <c r="AF393" s="155"/>
      <c r="AG393" s="155"/>
      <c r="AH393" s="155"/>
      <c r="AI393" s="155"/>
      <c r="AJ393" s="155"/>
      <c r="AK393" s="155"/>
      <c r="AL393" s="155"/>
      <c r="AM393" s="155"/>
      <c r="AN393" s="155"/>
      <c r="AO393" s="155"/>
      <c r="AP393" s="155"/>
      <c r="AQ393" s="155"/>
      <c r="AR393" s="155"/>
      <c r="AS393" s="155"/>
      <c r="AT393" s="155"/>
      <c r="AU393" s="155"/>
      <c r="AV393" s="155"/>
      <c r="AW393" s="155"/>
      <c r="AX393" s="155"/>
      <c r="AY393" s="155"/>
      <c r="AZ393" s="155"/>
      <c r="BA393" s="155"/>
      <c r="BB393" s="155"/>
      <c r="BC393" s="155"/>
      <c r="BD393" s="155"/>
      <c r="BE393" s="155"/>
      <c r="BF393" s="155"/>
      <c r="BG393" s="155"/>
      <c r="BH393" s="155"/>
      <c r="BI393" s="155"/>
      <c r="BJ393" s="155"/>
      <c r="BK393" s="155"/>
      <c r="BL393" s="155"/>
      <c r="BM393" s="155"/>
      <c r="BN393" s="155"/>
      <c r="BO393" s="155"/>
      <c r="BP393" s="155"/>
      <c r="BQ393" s="155"/>
      <c r="BR393" s="155"/>
      <c r="BS393" s="155"/>
      <c r="BT393" s="155"/>
      <c r="BU393" s="155"/>
      <c r="BV393" s="155"/>
      <c r="BW393" s="155"/>
      <c r="BX393" s="155"/>
      <c r="BY393" s="155"/>
      <c r="BZ393" s="155"/>
      <c r="CA393" s="155"/>
      <c r="CB393" s="155"/>
      <c r="CC393" s="155"/>
      <c r="CD393" s="155"/>
      <c r="CE393" s="155"/>
      <c r="CF393" s="155"/>
      <c r="CG393" s="155"/>
    </row>
    <row r="394" spans="1:85" ht="12.75" x14ac:dyDescent="0.2">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c r="AA394" s="155"/>
      <c r="AB394" s="155"/>
      <c r="AC394" s="155"/>
      <c r="AD394" s="155"/>
      <c r="AE394" s="155"/>
      <c r="AF394" s="155"/>
      <c r="AG394" s="155"/>
      <c r="AH394" s="155"/>
      <c r="AI394" s="155"/>
      <c r="AJ394" s="155"/>
      <c r="AK394" s="155"/>
      <c r="AL394" s="155"/>
      <c r="AM394" s="155"/>
      <c r="AN394" s="155"/>
      <c r="AO394" s="155"/>
      <c r="AP394" s="155"/>
      <c r="AQ394" s="155"/>
      <c r="AR394" s="155"/>
      <c r="AS394" s="155"/>
      <c r="AT394" s="155"/>
      <c r="AU394" s="155"/>
      <c r="AV394" s="155"/>
      <c r="AW394" s="155"/>
      <c r="AX394" s="155"/>
      <c r="AY394" s="155"/>
      <c r="AZ394" s="155"/>
      <c r="BA394" s="155"/>
      <c r="BB394" s="155"/>
      <c r="BC394" s="155"/>
      <c r="BD394" s="155"/>
      <c r="BE394" s="155"/>
      <c r="BF394" s="155"/>
      <c r="BG394" s="155"/>
      <c r="BH394" s="155"/>
      <c r="BI394" s="155"/>
      <c r="BJ394" s="155"/>
      <c r="BK394" s="155"/>
      <c r="BL394" s="155"/>
      <c r="BM394" s="155"/>
      <c r="BN394" s="155"/>
      <c r="BO394" s="155"/>
      <c r="BP394" s="155"/>
      <c r="BQ394" s="155"/>
      <c r="BR394" s="155"/>
      <c r="BS394" s="155"/>
      <c r="BT394" s="155"/>
      <c r="BU394" s="155"/>
      <c r="BV394" s="155"/>
      <c r="BW394" s="155"/>
      <c r="BX394" s="155"/>
      <c r="BY394" s="155"/>
      <c r="BZ394" s="155"/>
      <c r="CA394" s="155"/>
      <c r="CB394" s="155"/>
      <c r="CC394" s="155"/>
      <c r="CD394" s="155"/>
      <c r="CE394" s="155"/>
      <c r="CF394" s="155"/>
      <c r="CG394" s="155"/>
    </row>
    <row r="395" spans="1:85" ht="12.75" x14ac:dyDescent="0.2">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c r="AA395" s="155"/>
      <c r="AB395" s="155"/>
      <c r="AC395" s="155"/>
      <c r="AD395" s="155"/>
      <c r="AE395" s="155"/>
      <c r="AF395" s="155"/>
      <c r="AG395" s="155"/>
      <c r="AH395" s="155"/>
      <c r="AI395" s="155"/>
      <c r="AJ395" s="155"/>
      <c r="AK395" s="155"/>
      <c r="AL395" s="155"/>
      <c r="AM395" s="155"/>
      <c r="AN395" s="155"/>
      <c r="AO395" s="155"/>
      <c r="AP395" s="155"/>
      <c r="AQ395" s="155"/>
      <c r="AR395" s="155"/>
      <c r="AS395" s="155"/>
      <c r="AT395" s="155"/>
      <c r="AU395" s="155"/>
      <c r="AV395" s="155"/>
      <c r="AW395" s="155"/>
      <c r="AX395" s="155"/>
      <c r="AY395" s="155"/>
      <c r="AZ395" s="155"/>
      <c r="BA395" s="155"/>
      <c r="BB395" s="155"/>
      <c r="BC395" s="155"/>
      <c r="BD395" s="155"/>
      <c r="BE395" s="155"/>
      <c r="BF395" s="155"/>
      <c r="BG395" s="155"/>
      <c r="BH395" s="155"/>
      <c r="BI395" s="155"/>
      <c r="BJ395" s="155"/>
      <c r="BK395" s="155"/>
      <c r="BL395" s="155"/>
      <c r="BM395" s="155"/>
      <c r="BN395" s="155"/>
      <c r="BO395" s="155"/>
      <c r="BP395" s="155"/>
      <c r="BQ395" s="155"/>
      <c r="BR395" s="155"/>
      <c r="BS395" s="155"/>
      <c r="BT395" s="155"/>
      <c r="BU395" s="155"/>
      <c r="BV395" s="155"/>
      <c r="BW395" s="155"/>
      <c r="BX395" s="155"/>
      <c r="BY395" s="155"/>
      <c r="BZ395" s="155"/>
      <c r="CA395" s="155"/>
      <c r="CB395" s="155"/>
      <c r="CC395" s="155"/>
      <c r="CD395" s="155"/>
      <c r="CE395" s="155"/>
      <c r="CF395" s="155"/>
      <c r="CG395" s="155"/>
    </row>
    <row r="396" spans="1:85" ht="12.75" x14ac:dyDescent="0.2">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c r="AA396" s="155"/>
      <c r="AB396" s="155"/>
      <c r="AC396" s="155"/>
      <c r="AD396" s="155"/>
      <c r="AE396" s="155"/>
      <c r="AF396" s="155"/>
      <c r="AG396" s="155"/>
      <c r="AH396" s="155"/>
      <c r="AI396" s="155"/>
      <c r="AJ396" s="155"/>
      <c r="AK396" s="155"/>
      <c r="AL396" s="155"/>
      <c r="AM396" s="155"/>
      <c r="AN396" s="155"/>
      <c r="AO396" s="155"/>
      <c r="AP396" s="155"/>
      <c r="AQ396" s="155"/>
      <c r="AR396" s="155"/>
      <c r="AS396" s="155"/>
      <c r="AT396" s="155"/>
      <c r="AU396" s="155"/>
      <c r="AV396" s="155"/>
      <c r="AW396" s="155"/>
      <c r="AX396" s="155"/>
      <c r="AY396" s="155"/>
      <c r="AZ396" s="155"/>
      <c r="BA396" s="155"/>
      <c r="BB396" s="155"/>
      <c r="BC396" s="155"/>
      <c r="BD396" s="155"/>
      <c r="BE396" s="155"/>
      <c r="BF396" s="155"/>
      <c r="BG396" s="155"/>
      <c r="BH396" s="155"/>
      <c r="BI396" s="155"/>
      <c r="BJ396" s="155"/>
      <c r="BK396" s="155"/>
      <c r="BL396" s="155"/>
      <c r="BM396" s="155"/>
      <c r="BN396" s="155"/>
      <c r="BO396" s="155"/>
      <c r="BP396" s="155"/>
      <c r="BQ396" s="155"/>
      <c r="BR396" s="155"/>
      <c r="BS396" s="155"/>
      <c r="BT396" s="155"/>
      <c r="BU396" s="155"/>
      <c r="BV396" s="155"/>
      <c r="BW396" s="155"/>
      <c r="BX396" s="155"/>
      <c r="BY396" s="155"/>
      <c r="BZ396" s="155"/>
      <c r="CA396" s="155"/>
      <c r="CB396" s="155"/>
      <c r="CC396" s="155"/>
      <c r="CD396" s="155"/>
      <c r="CE396" s="155"/>
      <c r="CF396" s="155"/>
      <c r="CG396" s="155"/>
    </row>
    <row r="397" spans="1:85" ht="12.75" x14ac:dyDescent="0.2">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c r="AA397" s="155"/>
      <c r="AB397" s="155"/>
      <c r="AC397" s="155"/>
      <c r="AD397" s="155"/>
      <c r="AE397" s="155"/>
      <c r="AF397" s="155"/>
      <c r="AG397" s="155"/>
      <c r="AH397" s="155"/>
      <c r="AI397" s="155"/>
      <c r="AJ397" s="155"/>
      <c r="AK397" s="155"/>
      <c r="AL397" s="155"/>
      <c r="AM397" s="155"/>
      <c r="AN397" s="155"/>
      <c r="AO397" s="155"/>
      <c r="AP397" s="155"/>
      <c r="AQ397" s="155"/>
      <c r="AR397" s="155"/>
      <c r="AS397" s="155"/>
      <c r="AT397" s="155"/>
      <c r="AU397" s="155"/>
      <c r="AV397" s="155"/>
      <c r="AW397" s="155"/>
      <c r="AX397" s="155"/>
      <c r="AY397" s="155"/>
      <c r="AZ397" s="155"/>
      <c r="BA397" s="155"/>
      <c r="BB397" s="155"/>
      <c r="BC397" s="155"/>
      <c r="BD397" s="155"/>
      <c r="BE397" s="155"/>
      <c r="BF397" s="155"/>
      <c r="BG397" s="155"/>
      <c r="BH397" s="155"/>
      <c r="BI397" s="155"/>
      <c r="BJ397" s="155"/>
      <c r="BK397" s="155"/>
      <c r="BL397" s="155"/>
      <c r="BM397" s="155"/>
      <c r="BN397" s="155"/>
      <c r="BO397" s="155"/>
      <c r="BP397" s="155"/>
      <c r="BQ397" s="155"/>
      <c r="BR397" s="155"/>
      <c r="BS397" s="155"/>
      <c r="BT397" s="155"/>
      <c r="BU397" s="155"/>
      <c r="BV397" s="155"/>
      <c r="BW397" s="155"/>
      <c r="BX397" s="155"/>
      <c r="BY397" s="155"/>
      <c r="BZ397" s="155"/>
      <c r="CA397" s="155"/>
      <c r="CB397" s="155"/>
      <c r="CC397" s="155"/>
      <c r="CD397" s="155"/>
      <c r="CE397" s="155"/>
      <c r="CF397" s="155"/>
      <c r="CG397" s="155"/>
    </row>
    <row r="398" spans="1:85" ht="12.75" x14ac:dyDescent="0.2">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c r="AA398" s="155"/>
      <c r="AB398" s="155"/>
      <c r="AC398" s="155"/>
      <c r="AD398" s="155"/>
      <c r="AE398" s="155"/>
      <c r="AF398" s="155"/>
      <c r="AG398" s="155"/>
      <c r="AH398" s="155"/>
      <c r="AI398" s="155"/>
      <c r="AJ398" s="155"/>
      <c r="AK398" s="155"/>
      <c r="AL398" s="155"/>
      <c r="AM398" s="155"/>
      <c r="AN398" s="155"/>
      <c r="AO398" s="155"/>
      <c r="AP398" s="155"/>
      <c r="AQ398" s="155"/>
      <c r="AR398" s="155"/>
      <c r="AS398" s="155"/>
      <c r="AT398" s="155"/>
      <c r="AU398" s="155"/>
      <c r="AV398" s="155"/>
      <c r="AW398" s="155"/>
      <c r="AX398" s="155"/>
      <c r="AY398" s="155"/>
      <c r="AZ398" s="155"/>
      <c r="BA398" s="155"/>
      <c r="BB398" s="155"/>
      <c r="BC398" s="155"/>
      <c r="BD398" s="155"/>
      <c r="BE398" s="155"/>
      <c r="BF398" s="155"/>
      <c r="BG398" s="155"/>
      <c r="BH398" s="155"/>
      <c r="BI398" s="155"/>
      <c r="BJ398" s="155"/>
      <c r="BK398" s="155"/>
      <c r="BL398" s="155"/>
      <c r="BM398" s="155"/>
      <c r="BN398" s="155"/>
      <c r="BO398" s="155"/>
      <c r="BP398" s="155"/>
      <c r="BQ398" s="155"/>
      <c r="BR398" s="155"/>
      <c r="BS398" s="155"/>
      <c r="BT398" s="155"/>
      <c r="BU398" s="155"/>
      <c r="BV398" s="155"/>
      <c r="BW398" s="155"/>
      <c r="BX398" s="155"/>
      <c r="BY398" s="155"/>
      <c r="BZ398" s="155"/>
      <c r="CA398" s="155"/>
      <c r="CB398" s="155"/>
      <c r="CC398" s="155"/>
      <c r="CD398" s="155"/>
      <c r="CE398" s="155"/>
      <c r="CF398" s="155"/>
      <c r="CG398" s="155"/>
    </row>
    <row r="399" spans="1:85" ht="12.75" x14ac:dyDescent="0.2">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c r="AA399" s="155"/>
      <c r="AB399" s="155"/>
      <c r="AC399" s="155"/>
      <c r="AD399" s="155"/>
      <c r="AE399" s="155"/>
      <c r="AF399" s="155"/>
      <c r="AG399" s="155"/>
      <c r="AH399" s="155"/>
      <c r="AI399" s="155"/>
      <c r="AJ399" s="155"/>
      <c r="AK399" s="155"/>
      <c r="AL399" s="155"/>
      <c r="AM399" s="155"/>
      <c r="AN399" s="155"/>
      <c r="AO399" s="155"/>
      <c r="AP399" s="155"/>
      <c r="AQ399" s="155"/>
      <c r="AR399" s="155"/>
      <c r="AS399" s="155"/>
      <c r="AT399" s="155"/>
      <c r="AU399" s="155"/>
      <c r="AV399" s="155"/>
      <c r="AW399" s="155"/>
      <c r="AX399" s="155"/>
      <c r="AY399" s="155"/>
      <c r="AZ399" s="155"/>
      <c r="BA399" s="155"/>
      <c r="BB399" s="155"/>
      <c r="BC399" s="155"/>
      <c r="BD399" s="155"/>
      <c r="BE399" s="155"/>
      <c r="BF399" s="155"/>
      <c r="BG399" s="155"/>
      <c r="BH399" s="155"/>
      <c r="BI399" s="155"/>
      <c r="BJ399" s="155"/>
      <c r="BK399" s="155"/>
      <c r="BL399" s="155"/>
      <c r="BM399" s="155"/>
      <c r="BN399" s="155"/>
      <c r="BO399" s="155"/>
      <c r="BP399" s="155"/>
      <c r="BQ399" s="155"/>
      <c r="BR399" s="155"/>
      <c r="BS399" s="155"/>
      <c r="BT399" s="155"/>
      <c r="BU399" s="155"/>
      <c r="BV399" s="155"/>
      <c r="BW399" s="155"/>
      <c r="BX399" s="155"/>
      <c r="BY399" s="155"/>
      <c r="BZ399" s="155"/>
      <c r="CA399" s="155"/>
      <c r="CB399" s="155"/>
      <c r="CC399" s="155"/>
      <c r="CD399" s="155"/>
      <c r="CE399" s="155"/>
      <c r="CF399" s="155"/>
      <c r="CG399" s="155"/>
    </row>
    <row r="400" spans="1:85" ht="12.75" x14ac:dyDescent="0.2">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c r="AA400" s="155"/>
      <c r="AB400" s="155"/>
      <c r="AC400" s="155"/>
      <c r="AD400" s="155"/>
      <c r="AE400" s="155"/>
      <c r="AF400" s="155"/>
      <c r="AG400" s="155"/>
      <c r="AH400" s="155"/>
      <c r="AI400" s="155"/>
      <c r="AJ400" s="155"/>
      <c r="AK400" s="155"/>
      <c r="AL400" s="155"/>
      <c r="AM400" s="155"/>
      <c r="AN400" s="155"/>
      <c r="AO400" s="155"/>
      <c r="AP400" s="155"/>
      <c r="AQ400" s="155"/>
      <c r="AR400" s="155"/>
      <c r="AS400" s="155"/>
      <c r="AT400" s="155"/>
      <c r="AU400" s="155"/>
      <c r="AV400" s="155"/>
      <c r="AW400" s="155"/>
      <c r="AX400" s="155"/>
      <c r="AY400" s="155"/>
      <c r="AZ400" s="155"/>
      <c r="BA400" s="155"/>
      <c r="BB400" s="155"/>
      <c r="BC400" s="155"/>
      <c r="BD400" s="155"/>
      <c r="BE400" s="155"/>
      <c r="BF400" s="155"/>
      <c r="BG400" s="155"/>
      <c r="BH400" s="155"/>
      <c r="BI400" s="155"/>
      <c r="BJ400" s="155"/>
      <c r="BK400" s="155"/>
      <c r="BL400" s="155"/>
      <c r="BM400" s="155"/>
      <c r="BN400" s="155"/>
      <c r="BO400" s="155"/>
      <c r="BP400" s="155"/>
      <c r="BQ400" s="155"/>
      <c r="BR400" s="155"/>
      <c r="BS400" s="155"/>
      <c r="BT400" s="155"/>
      <c r="BU400" s="155"/>
      <c r="BV400" s="155"/>
      <c r="BW400" s="155"/>
      <c r="BX400" s="155"/>
      <c r="BY400" s="155"/>
      <c r="BZ400" s="155"/>
      <c r="CA400" s="155"/>
      <c r="CB400" s="155"/>
      <c r="CC400" s="155"/>
      <c r="CD400" s="155"/>
      <c r="CE400" s="155"/>
      <c r="CF400" s="155"/>
      <c r="CG400" s="155"/>
    </row>
    <row r="401" spans="1:85" ht="12.75" x14ac:dyDescent="0.2">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c r="AA401" s="155"/>
      <c r="AB401" s="155"/>
      <c r="AC401" s="155"/>
      <c r="AD401" s="155"/>
      <c r="AE401" s="155"/>
      <c r="AF401" s="155"/>
      <c r="AG401" s="155"/>
      <c r="AH401" s="155"/>
      <c r="AI401" s="155"/>
      <c r="AJ401" s="155"/>
      <c r="AK401" s="155"/>
      <c r="AL401" s="155"/>
      <c r="AM401" s="155"/>
      <c r="AN401" s="155"/>
      <c r="AO401" s="155"/>
      <c r="AP401" s="155"/>
      <c r="AQ401" s="155"/>
      <c r="AR401" s="155"/>
      <c r="AS401" s="155"/>
      <c r="AT401" s="155"/>
      <c r="AU401" s="155"/>
      <c r="AV401" s="155"/>
      <c r="AW401" s="155"/>
      <c r="AX401" s="155"/>
      <c r="AY401" s="155"/>
      <c r="AZ401" s="155"/>
      <c r="BA401" s="155"/>
      <c r="BB401" s="155"/>
      <c r="BC401" s="155"/>
      <c r="BD401" s="155"/>
      <c r="BE401" s="155"/>
      <c r="BF401" s="155"/>
      <c r="BG401" s="155"/>
      <c r="BH401" s="155"/>
      <c r="BI401" s="155"/>
      <c r="BJ401" s="155"/>
      <c r="BK401" s="155"/>
      <c r="BL401" s="155"/>
      <c r="BM401" s="155"/>
      <c r="BN401" s="155"/>
      <c r="BO401" s="155"/>
      <c r="BP401" s="155"/>
      <c r="BQ401" s="155"/>
      <c r="BR401" s="155"/>
      <c r="BS401" s="155"/>
      <c r="BT401" s="155"/>
      <c r="BU401" s="155"/>
      <c r="BV401" s="155"/>
      <c r="BW401" s="155"/>
      <c r="BX401" s="155"/>
      <c r="BY401" s="155"/>
      <c r="BZ401" s="155"/>
      <c r="CA401" s="155"/>
      <c r="CB401" s="155"/>
      <c r="CC401" s="155"/>
      <c r="CD401" s="155"/>
      <c r="CE401" s="155"/>
      <c r="CF401" s="155"/>
      <c r="CG401" s="155"/>
    </row>
    <row r="402" spans="1:85" ht="12.75" x14ac:dyDescent="0.2">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c r="AA402" s="155"/>
      <c r="AB402" s="155"/>
      <c r="AC402" s="155"/>
      <c r="AD402" s="155"/>
      <c r="AE402" s="155"/>
      <c r="AF402" s="155"/>
      <c r="AG402" s="155"/>
      <c r="AH402" s="155"/>
      <c r="AI402" s="155"/>
      <c r="AJ402" s="155"/>
      <c r="AK402" s="155"/>
      <c r="AL402" s="155"/>
      <c r="AM402" s="155"/>
      <c r="AN402" s="155"/>
      <c r="AO402" s="155"/>
      <c r="AP402" s="155"/>
      <c r="AQ402" s="155"/>
      <c r="AR402" s="155"/>
      <c r="AS402" s="155"/>
      <c r="AT402" s="155"/>
      <c r="AU402" s="155"/>
      <c r="AV402" s="155"/>
      <c r="AW402" s="155"/>
      <c r="AX402" s="155"/>
      <c r="AY402" s="155"/>
      <c r="AZ402" s="155"/>
      <c r="BA402" s="155"/>
      <c r="BB402" s="155"/>
      <c r="BC402" s="155"/>
      <c r="BD402" s="155"/>
      <c r="BE402" s="155"/>
      <c r="BF402" s="155"/>
      <c r="BG402" s="155"/>
      <c r="BH402" s="155"/>
      <c r="BI402" s="155"/>
      <c r="BJ402" s="155"/>
      <c r="BK402" s="155"/>
      <c r="BL402" s="155"/>
      <c r="BM402" s="155"/>
      <c r="BN402" s="155"/>
      <c r="BO402" s="155"/>
      <c r="BP402" s="155"/>
      <c r="BQ402" s="155"/>
      <c r="BR402" s="155"/>
      <c r="BS402" s="155"/>
      <c r="BT402" s="155"/>
      <c r="BU402" s="155"/>
      <c r="BV402" s="155"/>
      <c r="BW402" s="155"/>
      <c r="BX402" s="155"/>
      <c r="BY402" s="155"/>
      <c r="BZ402" s="155"/>
      <c r="CA402" s="155"/>
      <c r="CB402" s="155"/>
      <c r="CC402" s="155"/>
      <c r="CD402" s="155"/>
      <c r="CE402" s="155"/>
      <c r="CF402" s="155"/>
      <c r="CG402" s="155"/>
    </row>
    <row r="403" spans="1:85" ht="12.75" x14ac:dyDescent="0.2">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c r="AA403" s="155"/>
      <c r="AB403" s="155"/>
      <c r="AC403" s="155"/>
      <c r="AD403" s="155"/>
      <c r="AE403" s="155"/>
      <c r="AF403" s="155"/>
      <c r="AG403" s="155"/>
      <c r="AH403" s="155"/>
      <c r="AI403" s="155"/>
      <c r="AJ403" s="155"/>
      <c r="AK403" s="155"/>
      <c r="AL403" s="155"/>
      <c r="AM403" s="155"/>
      <c r="AN403" s="155"/>
      <c r="AO403" s="155"/>
      <c r="AP403" s="155"/>
      <c r="AQ403" s="155"/>
      <c r="AR403" s="155"/>
      <c r="AS403" s="155"/>
      <c r="AT403" s="155"/>
      <c r="AU403" s="155"/>
      <c r="AV403" s="155"/>
      <c r="AW403" s="155"/>
      <c r="AX403" s="155"/>
      <c r="AY403" s="155"/>
      <c r="AZ403" s="155"/>
      <c r="BA403" s="155"/>
      <c r="BB403" s="155"/>
      <c r="BC403" s="155"/>
      <c r="BD403" s="155"/>
      <c r="BE403" s="155"/>
      <c r="BF403" s="155"/>
      <c r="BG403" s="155"/>
      <c r="BH403" s="155"/>
      <c r="BI403" s="155"/>
      <c r="BJ403" s="155"/>
      <c r="BK403" s="155"/>
      <c r="BL403" s="155"/>
      <c r="BM403" s="155"/>
      <c r="BN403" s="155"/>
      <c r="BO403" s="155"/>
      <c r="BP403" s="155"/>
      <c r="BQ403" s="155"/>
      <c r="BR403" s="155"/>
      <c r="BS403" s="155"/>
      <c r="BT403" s="155"/>
      <c r="BU403" s="155"/>
      <c r="BV403" s="155"/>
      <c r="BW403" s="155"/>
      <c r="BX403" s="155"/>
      <c r="BY403" s="155"/>
      <c r="BZ403" s="155"/>
      <c r="CA403" s="155"/>
      <c r="CB403" s="155"/>
      <c r="CC403" s="155"/>
      <c r="CD403" s="155"/>
      <c r="CE403" s="155"/>
      <c r="CF403" s="155"/>
      <c r="CG403" s="155"/>
    </row>
    <row r="404" spans="1:85" ht="12.75" x14ac:dyDescent="0.2">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c r="AA404" s="155"/>
      <c r="AB404" s="155"/>
      <c r="AC404" s="155"/>
      <c r="AD404" s="155"/>
      <c r="AE404" s="155"/>
      <c r="AF404" s="155"/>
      <c r="AG404" s="155"/>
      <c r="AH404" s="155"/>
      <c r="AI404" s="155"/>
      <c r="AJ404" s="155"/>
      <c r="AK404" s="155"/>
      <c r="AL404" s="155"/>
      <c r="AM404" s="155"/>
      <c r="AN404" s="155"/>
      <c r="AO404" s="155"/>
      <c r="AP404" s="155"/>
      <c r="AQ404" s="155"/>
      <c r="AR404" s="155"/>
      <c r="AS404" s="155"/>
      <c r="AT404" s="155"/>
      <c r="AU404" s="155"/>
      <c r="AV404" s="155"/>
      <c r="AW404" s="155"/>
      <c r="AX404" s="155"/>
      <c r="AY404" s="155"/>
      <c r="AZ404" s="155"/>
      <c r="BA404" s="155"/>
      <c r="BB404" s="155"/>
      <c r="BC404" s="155"/>
      <c r="BD404" s="155"/>
      <c r="BE404" s="155"/>
      <c r="BF404" s="155"/>
      <c r="BG404" s="155"/>
      <c r="BH404" s="155"/>
      <c r="BI404" s="155"/>
      <c r="BJ404" s="155"/>
      <c r="BK404" s="155"/>
      <c r="BL404" s="155"/>
      <c r="BM404" s="155"/>
      <c r="BN404" s="155"/>
      <c r="BO404" s="155"/>
      <c r="BP404" s="155"/>
      <c r="BQ404" s="155"/>
      <c r="BR404" s="155"/>
      <c r="BS404" s="155"/>
      <c r="BT404" s="155"/>
      <c r="BU404" s="155"/>
      <c r="BV404" s="155"/>
      <c r="BW404" s="155"/>
      <c r="BX404" s="155"/>
      <c r="BY404" s="155"/>
      <c r="BZ404" s="155"/>
      <c r="CA404" s="155"/>
      <c r="CB404" s="155"/>
      <c r="CC404" s="155"/>
      <c r="CD404" s="155"/>
      <c r="CE404" s="155"/>
      <c r="CF404" s="155"/>
      <c r="CG404" s="155"/>
    </row>
    <row r="405" spans="1:85" ht="12.75" x14ac:dyDescent="0.2">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c r="AA405" s="155"/>
      <c r="AB405" s="155"/>
      <c r="AC405" s="155"/>
      <c r="AD405" s="155"/>
      <c r="AE405" s="155"/>
      <c r="AF405" s="155"/>
      <c r="AG405" s="155"/>
      <c r="AH405" s="155"/>
      <c r="AI405" s="155"/>
      <c r="AJ405" s="155"/>
      <c r="AK405" s="155"/>
      <c r="AL405" s="155"/>
      <c r="AM405" s="155"/>
      <c r="AN405" s="155"/>
      <c r="AO405" s="155"/>
      <c r="AP405" s="155"/>
      <c r="AQ405" s="155"/>
      <c r="AR405" s="155"/>
      <c r="AS405" s="155"/>
      <c r="AT405" s="155"/>
      <c r="AU405" s="155"/>
      <c r="AV405" s="155"/>
      <c r="AW405" s="155"/>
      <c r="AX405" s="155"/>
      <c r="AY405" s="155"/>
      <c r="AZ405" s="155"/>
      <c r="BA405" s="155"/>
      <c r="BB405" s="155"/>
      <c r="BC405" s="155"/>
      <c r="BD405" s="155"/>
      <c r="BE405" s="155"/>
      <c r="BF405" s="155"/>
      <c r="BG405" s="155"/>
      <c r="BH405" s="155"/>
      <c r="BI405" s="155"/>
      <c r="BJ405" s="155"/>
      <c r="BK405" s="155"/>
      <c r="BL405" s="155"/>
      <c r="BM405" s="155"/>
      <c r="BN405" s="155"/>
      <c r="BO405" s="155"/>
      <c r="BP405" s="155"/>
      <c r="BQ405" s="155"/>
      <c r="BR405" s="155"/>
      <c r="BS405" s="155"/>
      <c r="BT405" s="155"/>
      <c r="BU405" s="155"/>
      <c r="BV405" s="155"/>
      <c r="BW405" s="155"/>
      <c r="BX405" s="155"/>
      <c r="BY405" s="155"/>
      <c r="BZ405" s="155"/>
      <c r="CA405" s="155"/>
      <c r="CB405" s="155"/>
      <c r="CC405" s="155"/>
      <c r="CD405" s="155"/>
      <c r="CE405" s="155"/>
      <c r="CF405" s="155"/>
      <c r="CG405" s="155"/>
    </row>
    <row r="406" spans="1:85" ht="12.75" x14ac:dyDescent="0.2">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c r="AA406" s="155"/>
      <c r="AB406" s="155"/>
      <c r="AC406" s="155"/>
      <c r="AD406" s="155"/>
      <c r="AE406" s="155"/>
      <c r="AF406" s="155"/>
      <c r="AG406" s="155"/>
      <c r="AH406" s="155"/>
      <c r="AI406" s="155"/>
      <c r="AJ406" s="155"/>
      <c r="AK406" s="155"/>
      <c r="AL406" s="155"/>
      <c r="AM406" s="155"/>
      <c r="AN406" s="155"/>
      <c r="AO406" s="155"/>
      <c r="AP406" s="155"/>
      <c r="AQ406" s="155"/>
      <c r="AR406" s="155"/>
      <c r="AS406" s="155"/>
      <c r="AT406" s="155"/>
      <c r="AU406" s="155"/>
      <c r="AV406" s="155"/>
      <c r="AW406" s="155"/>
      <c r="AX406" s="155"/>
      <c r="AY406" s="155"/>
      <c r="AZ406" s="155"/>
      <c r="BA406" s="155"/>
      <c r="BB406" s="155"/>
      <c r="BC406" s="155"/>
      <c r="BD406" s="155"/>
      <c r="BE406" s="155"/>
      <c r="BF406" s="155"/>
      <c r="BG406" s="155"/>
      <c r="BH406" s="155"/>
      <c r="BI406" s="155"/>
      <c r="BJ406" s="155"/>
      <c r="BK406" s="155"/>
      <c r="BL406" s="155"/>
      <c r="BM406" s="155"/>
      <c r="BN406" s="155"/>
      <c r="BO406" s="155"/>
      <c r="BP406" s="155"/>
      <c r="BQ406" s="155"/>
      <c r="BR406" s="155"/>
      <c r="BS406" s="155"/>
      <c r="BT406" s="155"/>
      <c r="BU406" s="155"/>
      <c r="BV406" s="155"/>
      <c r="BW406" s="155"/>
      <c r="BX406" s="155"/>
      <c r="BY406" s="155"/>
      <c r="BZ406" s="155"/>
      <c r="CA406" s="155"/>
      <c r="CB406" s="155"/>
      <c r="CC406" s="155"/>
      <c r="CD406" s="155"/>
      <c r="CE406" s="155"/>
      <c r="CF406" s="155"/>
      <c r="CG406" s="155"/>
    </row>
    <row r="407" spans="1:85" ht="12.75" x14ac:dyDescent="0.2">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c r="AA407" s="155"/>
      <c r="AB407" s="155"/>
      <c r="AC407" s="155"/>
      <c r="AD407" s="155"/>
      <c r="AE407" s="155"/>
      <c r="AF407" s="155"/>
      <c r="AG407" s="155"/>
      <c r="AH407" s="155"/>
      <c r="AI407" s="155"/>
      <c r="AJ407" s="155"/>
      <c r="AK407" s="155"/>
      <c r="AL407" s="155"/>
      <c r="AM407" s="155"/>
      <c r="AN407" s="155"/>
      <c r="AO407" s="155"/>
      <c r="AP407" s="155"/>
      <c r="AQ407" s="155"/>
      <c r="AR407" s="155"/>
      <c r="AS407" s="155"/>
      <c r="AT407" s="155"/>
      <c r="AU407" s="155"/>
      <c r="AV407" s="155"/>
      <c r="AW407" s="155"/>
      <c r="AX407" s="155"/>
      <c r="AY407" s="155"/>
      <c r="AZ407" s="155"/>
      <c r="BA407" s="155"/>
      <c r="BB407" s="155"/>
      <c r="BC407" s="155"/>
      <c r="BD407" s="155"/>
      <c r="BE407" s="155"/>
      <c r="BF407" s="155"/>
      <c r="BG407" s="155"/>
      <c r="BH407" s="155"/>
      <c r="BI407" s="155"/>
      <c r="BJ407" s="155"/>
      <c r="BK407" s="155"/>
      <c r="BL407" s="155"/>
      <c r="BM407" s="155"/>
      <c r="BN407" s="155"/>
      <c r="BO407" s="155"/>
      <c r="BP407" s="155"/>
      <c r="BQ407" s="155"/>
      <c r="BR407" s="155"/>
      <c r="BS407" s="155"/>
      <c r="BT407" s="155"/>
      <c r="BU407" s="155"/>
      <c r="BV407" s="155"/>
      <c r="BW407" s="155"/>
      <c r="BX407" s="155"/>
      <c r="BY407" s="155"/>
      <c r="BZ407" s="155"/>
      <c r="CA407" s="155"/>
      <c r="CB407" s="155"/>
      <c r="CC407" s="155"/>
      <c r="CD407" s="155"/>
      <c r="CE407" s="155"/>
      <c r="CF407" s="155"/>
      <c r="CG407" s="155"/>
    </row>
    <row r="408" spans="1:85" ht="12.75" x14ac:dyDescent="0.2">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c r="AA408" s="155"/>
      <c r="AB408" s="155"/>
      <c r="AC408" s="155"/>
      <c r="AD408" s="155"/>
      <c r="AE408" s="155"/>
      <c r="AF408" s="155"/>
      <c r="AG408" s="155"/>
      <c r="AH408" s="155"/>
      <c r="AI408" s="155"/>
      <c r="AJ408" s="155"/>
      <c r="AK408" s="155"/>
      <c r="AL408" s="155"/>
      <c r="AM408" s="155"/>
      <c r="AN408" s="155"/>
      <c r="AO408" s="155"/>
      <c r="AP408" s="155"/>
      <c r="AQ408" s="155"/>
      <c r="AR408" s="155"/>
      <c r="AS408" s="155"/>
      <c r="AT408" s="155"/>
      <c r="AU408" s="155"/>
      <c r="AV408" s="155"/>
      <c r="AW408" s="155"/>
      <c r="AX408" s="155"/>
      <c r="AY408" s="155"/>
      <c r="AZ408" s="155"/>
      <c r="BA408" s="155"/>
      <c r="BB408" s="155"/>
      <c r="BC408" s="155"/>
      <c r="BD408" s="155"/>
      <c r="BE408" s="155"/>
      <c r="BF408" s="155"/>
      <c r="BG408" s="155"/>
      <c r="BH408" s="155"/>
      <c r="BI408" s="155"/>
      <c r="BJ408" s="155"/>
      <c r="BK408" s="155"/>
      <c r="BL408" s="155"/>
      <c r="BM408" s="155"/>
      <c r="BN408" s="155"/>
      <c r="BO408" s="155"/>
      <c r="BP408" s="155"/>
      <c r="BQ408" s="155"/>
      <c r="BR408" s="155"/>
      <c r="BS408" s="155"/>
      <c r="BT408" s="155"/>
      <c r="BU408" s="155"/>
      <c r="BV408" s="155"/>
      <c r="BW408" s="155"/>
      <c r="BX408" s="155"/>
      <c r="BY408" s="155"/>
      <c r="BZ408" s="155"/>
      <c r="CA408" s="155"/>
      <c r="CB408" s="155"/>
      <c r="CC408" s="155"/>
      <c r="CD408" s="155"/>
      <c r="CE408" s="155"/>
      <c r="CF408" s="155"/>
      <c r="CG408" s="155"/>
    </row>
    <row r="409" spans="1:85" ht="12.75" x14ac:dyDescent="0.2">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c r="AA409" s="155"/>
      <c r="AB409" s="155"/>
      <c r="AC409" s="155"/>
      <c r="AD409" s="155"/>
      <c r="AE409" s="155"/>
      <c r="AF409" s="155"/>
      <c r="AG409" s="155"/>
      <c r="AH409" s="155"/>
      <c r="AI409" s="155"/>
      <c r="AJ409" s="155"/>
      <c r="AK409" s="155"/>
      <c r="AL409" s="155"/>
      <c r="AM409" s="155"/>
      <c r="AN409" s="155"/>
      <c r="AO409" s="155"/>
      <c r="AP409" s="155"/>
      <c r="AQ409" s="155"/>
      <c r="AR409" s="155"/>
      <c r="AS409" s="155"/>
      <c r="AT409" s="155"/>
      <c r="AU409" s="155"/>
      <c r="AV409" s="155"/>
      <c r="AW409" s="155"/>
      <c r="AX409" s="155"/>
      <c r="AY409" s="155"/>
      <c r="AZ409" s="155"/>
      <c r="BA409" s="155"/>
      <c r="BB409" s="155"/>
      <c r="BC409" s="155"/>
      <c r="BD409" s="155"/>
      <c r="BE409" s="155"/>
      <c r="BF409" s="155"/>
      <c r="BG409" s="155"/>
      <c r="BH409" s="155"/>
      <c r="BI409" s="155"/>
      <c r="BJ409" s="155"/>
      <c r="BK409" s="155"/>
      <c r="BL409" s="155"/>
      <c r="BM409" s="155"/>
      <c r="BN409" s="155"/>
      <c r="BO409" s="155"/>
      <c r="BP409" s="155"/>
      <c r="BQ409" s="155"/>
      <c r="BR409" s="155"/>
      <c r="BS409" s="155"/>
      <c r="BT409" s="155"/>
      <c r="BU409" s="155"/>
      <c r="BV409" s="155"/>
      <c r="BW409" s="155"/>
      <c r="BX409" s="155"/>
      <c r="BY409" s="155"/>
      <c r="BZ409" s="155"/>
      <c r="CA409" s="155"/>
      <c r="CB409" s="155"/>
      <c r="CC409" s="155"/>
      <c r="CD409" s="155"/>
      <c r="CE409" s="155"/>
      <c r="CF409" s="155"/>
      <c r="CG409" s="155"/>
    </row>
    <row r="410" spans="1:85" ht="12.75" x14ac:dyDescent="0.2">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c r="AA410" s="155"/>
      <c r="AB410" s="155"/>
      <c r="AC410" s="155"/>
      <c r="AD410" s="155"/>
      <c r="AE410" s="155"/>
      <c r="AF410" s="155"/>
      <c r="AG410" s="155"/>
      <c r="AH410" s="155"/>
      <c r="AI410" s="155"/>
      <c r="AJ410" s="155"/>
      <c r="AK410" s="155"/>
      <c r="AL410" s="155"/>
      <c r="AM410" s="155"/>
      <c r="AN410" s="155"/>
      <c r="AO410" s="155"/>
      <c r="AP410" s="155"/>
      <c r="AQ410" s="155"/>
      <c r="AR410" s="155"/>
      <c r="AS410" s="155"/>
      <c r="AT410" s="155"/>
      <c r="AU410" s="155"/>
      <c r="AV410" s="155"/>
      <c r="AW410" s="155"/>
      <c r="AX410" s="155"/>
      <c r="AY410" s="155"/>
      <c r="AZ410" s="155"/>
      <c r="BA410" s="155"/>
      <c r="BB410" s="155"/>
      <c r="BC410" s="155"/>
      <c r="BD410" s="155"/>
      <c r="BE410" s="155"/>
      <c r="BF410" s="155"/>
      <c r="BG410" s="155"/>
      <c r="BH410" s="155"/>
      <c r="BI410" s="155"/>
      <c r="BJ410" s="155"/>
      <c r="BK410" s="155"/>
      <c r="BL410" s="155"/>
      <c r="BM410" s="155"/>
      <c r="BN410" s="155"/>
      <c r="BO410" s="155"/>
      <c r="BP410" s="155"/>
      <c r="BQ410" s="155"/>
      <c r="BR410" s="155"/>
      <c r="BS410" s="155"/>
      <c r="BT410" s="155"/>
      <c r="BU410" s="155"/>
      <c r="BV410" s="155"/>
      <c r="BW410" s="155"/>
      <c r="BX410" s="155"/>
      <c r="BY410" s="155"/>
      <c r="BZ410" s="155"/>
      <c r="CA410" s="155"/>
      <c r="CB410" s="155"/>
      <c r="CC410" s="155"/>
      <c r="CD410" s="155"/>
      <c r="CE410" s="155"/>
      <c r="CF410" s="155"/>
      <c r="CG410" s="155"/>
    </row>
    <row r="411" spans="1:85" ht="12.75" x14ac:dyDescent="0.2">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55"/>
      <c r="AD411" s="155"/>
      <c r="AE411" s="155"/>
      <c r="AF411" s="155"/>
      <c r="AG411" s="155"/>
      <c r="AH411" s="155"/>
      <c r="AI411" s="155"/>
      <c r="AJ411" s="155"/>
      <c r="AK411" s="155"/>
      <c r="AL411" s="155"/>
      <c r="AM411" s="155"/>
      <c r="AN411" s="155"/>
      <c r="AO411" s="155"/>
      <c r="AP411" s="155"/>
      <c r="AQ411" s="155"/>
      <c r="AR411" s="155"/>
      <c r="AS411" s="155"/>
      <c r="AT411" s="155"/>
      <c r="AU411" s="155"/>
      <c r="AV411" s="155"/>
      <c r="AW411" s="155"/>
      <c r="AX411" s="155"/>
      <c r="AY411" s="155"/>
      <c r="AZ411" s="155"/>
      <c r="BA411" s="155"/>
      <c r="BB411" s="155"/>
      <c r="BC411" s="155"/>
      <c r="BD411" s="155"/>
      <c r="BE411" s="155"/>
      <c r="BF411" s="155"/>
      <c r="BG411" s="155"/>
      <c r="BH411" s="155"/>
      <c r="BI411" s="155"/>
      <c r="BJ411" s="155"/>
      <c r="BK411" s="155"/>
      <c r="BL411" s="155"/>
      <c r="BM411" s="155"/>
      <c r="BN411" s="155"/>
      <c r="BO411" s="155"/>
      <c r="BP411" s="155"/>
      <c r="BQ411" s="155"/>
      <c r="BR411" s="155"/>
      <c r="BS411" s="155"/>
      <c r="BT411" s="155"/>
      <c r="BU411" s="155"/>
      <c r="BV411" s="155"/>
      <c r="BW411" s="155"/>
      <c r="BX411" s="155"/>
      <c r="BY411" s="155"/>
      <c r="BZ411" s="155"/>
      <c r="CA411" s="155"/>
      <c r="CB411" s="155"/>
      <c r="CC411" s="155"/>
      <c r="CD411" s="155"/>
      <c r="CE411" s="155"/>
      <c r="CF411" s="155"/>
      <c r="CG411" s="155"/>
    </row>
    <row r="412" spans="1:85" ht="12.75" x14ac:dyDescent="0.2">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c r="AA412" s="155"/>
      <c r="AB412" s="155"/>
      <c r="AC412" s="155"/>
      <c r="AD412" s="155"/>
      <c r="AE412" s="155"/>
      <c r="AF412" s="155"/>
      <c r="AG412" s="155"/>
      <c r="AH412" s="155"/>
      <c r="AI412" s="155"/>
      <c r="AJ412" s="155"/>
      <c r="AK412" s="155"/>
      <c r="AL412" s="155"/>
      <c r="AM412" s="155"/>
      <c r="AN412" s="155"/>
      <c r="AO412" s="155"/>
      <c r="AP412" s="155"/>
      <c r="AQ412" s="155"/>
      <c r="AR412" s="155"/>
      <c r="AS412" s="155"/>
      <c r="AT412" s="155"/>
      <c r="AU412" s="155"/>
      <c r="AV412" s="155"/>
      <c r="AW412" s="155"/>
      <c r="AX412" s="155"/>
      <c r="AY412" s="155"/>
      <c r="AZ412" s="155"/>
      <c r="BA412" s="155"/>
      <c r="BB412" s="155"/>
      <c r="BC412" s="155"/>
      <c r="BD412" s="155"/>
      <c r="BE412" s="155"/>
      <c r="BF412" s="155"/>
      <c r="BG412" s="155"/>
      <c r="BH412" s="155"/>
      <c r="BI412" s="155"/>
      <c r="BJ412" s="155"/>
      <c r="BK412" s="155"/>
      <c r="BL412" s="155"/>
      <c r="BM412" s="155"/>
      <c r="BN412" s="155"/>
      <c r="BO412" s="155"/>
      <c r="BP412" s="155"/>
      <c r="BQ412" s="155"/>
      <c r="BR412" s="155"/>
      <c r="BS412" s="155"/>
      <c r="BT412" s="155"/>
      <c r="BU412" s="155"/>
      <c r="BV412" s="155"/>
      <c r="BW412" s="155"/>
      <c r="BX412" s="155"/>
      <c r="BY412" s="155"/>
      <c r="BZ412" s="155"/>
      <c r="CA412" s="155"/>
      <c r="CB412" s="155"/>
      <c r="CC412" s="155"/>
      <c r="CD412" s="155"/>
      <c r="CE412" s="155"/>
      <c r="CF412" s="155"/>
      <c r="CG412" s="155"/>
    </row>
    <row r="413" spans="1:85" ht="12.75" x14ac:dyDescent="0.2">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c r="AA413" s="155"/>
      <c r="AB413" s="155"/>
      <c r="AC413" s="155"/>
      <c r="AD413" s="155"/>
      <c r="AE413" s="155"/>
      <c r="AF413" s="155"/>
      <c r="AG413" s="155"/>
      <c r="AH413" s="155"/>
      <c r="AI413" s="155"/>
      <c r="AJ413" s="155"/>
      <c r="AK413" s="155"/>
      <c r="AL413" s="155"/>
      <c r="AM413" s="155"/>
      <c r="AN413" s="155"/>
      <c r="AO413" s="155"/>
      <c r="AP413" s="155"/>
      <c r="AQ413" s="155"/>
      <c r="AR413" s="155"/>
      <c r="AS413" s="155"/>
      <c r="AT413" s="155"/>
      <c r="AU413" s="155"/>
      <c r="AV413" s="155"/>
      <c r="AW413" s="155"/>
      <c r="AX413" s="155"/>
      <c r="AY413" s="155"/>
      <c r="AZ413" s="155"/>
      <c r="BA413" s="155"/>
      <c r="BB413" s="155"/>
      <c r="BC413" s="155"/>
      <c r="BD413" s="155"/>
      <c r="BE413" s="155"/>
      <c r="BF413" s="155"/>
      <c r="BG413" s="155"/>
      <c r="BH413" s="155"/>
      <c r="BI413" s="155"/>
      <c r="BJ413" s="155"/>
      <c r="BK413" s="155"/>
      <c r="BL413" s="155"/>
      <c r="BM413" s="155"/>
      <c r="BN413" s="155"/>
      <c r="BO413" s="155"/>
      <c r="BP413" s="155"/>
      <c r="BQ413" s="155"/>
      <c r="BR413" s="155"/>
      <c r="BS413" s="155"/>
      <c r="BT413" s="155"/>
      <c r="BU413" s="155"/>
      <c r="BV413" s="155"/>
      <c r="BW413" s="155"/>
      <c r="BX413" s="155"/>
      <c r="BY413" s="155"/>
      <c r="BZ413" s="155"/>
      <c r="CA413" s="155"/>
      <c r="CB413" s="155"/>
      <c r="CC413" s="155"/>
      <c r="CD413" s="155"/>
      <c r="CE413" s="155"/>
      <c r="CF413" s="155"/>
      <c r="CG413" s="155"/>
    </row>
    <row r="414" spans="1:85" ht="12.75" x14ac:dyDescent="0.2">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c r="AA414" s="155"/>
      <c r="AB414" s="155"/>
      <c r="AC414" s="155"/>
      <c r="AD414" s="155"/>
      <c r="AE414" s="155"/>
      <c r="AF414" s="155"/>
      <c r="AG414" s="155"/>
      <c r="AH414" s="155"/>
      <c r="AI414" s="155"/>
      <c r="AJ414" s="155"/>
      <c r="AK414" s="155"/>
      <c r="AL414" s="155"/>
      <c r="AM414" s="155"/>
      <c r="AN414" s="155"/>
      <c r="AO414" s="155"/>
      <c r="AP414" s="155"/>
      <c r="AQ414" s="155"/>
      <c r="AR414" s="155"/>
      <c r="AS414" s="155"/>
      <c r="AT414" s="155"/>
      <c r="AU414" s="155"/>
      <c r="AV414" s="155"/>
      <c r="AW414" s="155"/>
      <c r="AX414" s="155"/>
      <c r="AY414" s="155"/>
      <c r="AZ414" s="155"/>
      <c r="BA414" s="155"/>
      <c r="BB414" s="155"/>
      <c r="BC414" s="155"/>
      <c r="BD414" s="155"/>
      <c r="BE414" s="155"/>
      <c r="BF414" s="155"/>
      <c r="BG414" s="155"/>
      <c r="BH414" s="155"/>
      <c r="BI414" s="155"/>
      <c r="BJ414" s="155"/>
      <c r="BK414" s="155"/>
      <c r="BL414" s="155"/>
      <c r="BM414" s="155"/>
      <c r="BN414" s="155"/>
      <c r="BO414" s="155"/>
      <c r="BP414" s="155"/>
      <c r="BQ414" s="155"/>
      <c r="BR414" s="155"/>
      <c r="BS414" s="155"/>
      <c r="BT414" s="155"/>
      <c r="BU414" s="155"/>
      <c r="BV414" s="155"/>
      <c r="BW414" s="155"/>
      <c r="BX414" s="155"/>
      <c r="BY414" s="155"/>
      <c r="BZ414" s="155"/>
      <c r="CA414" s="155"/>
      <c r="CB414" s="155"/>
      <c r="CC414" s="155"/>
      <c r="CD414" s="155"/>
      <c r="CE414" s="155"/>
      <c r="CF414" s="155"/>
      <c r="CG414" s="155"/>
    </row>
    <row r="415" spans="1:85" ht="12.75" x14ac:dyDescent="0.2">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c r="AA415" s="155"/>
      <c r="AB415" s="155"/>
      <c r="AC415" s="155"/>
      <c r="AD415" s="155"/>
      <c r="AE415" s="155"/>
      <c r="AF415" s="155"/>
      <c r="AG415" s="155"/>
      <c r="AH415" s="155"/>
      <c r="AI415" s="155"/>
      <c r="AJ415" s="155"/>
      <c r="AK415" s="155"/>
      <c r="AL415" s="155"/>
      <c r="AM415" s="155"/>
      <c r="AN415" s="155"/>
      <c r="AO415" s="155"/>
      <c r="AP415" s="155"/>
      <c r="AQ415" s="155"/>
      <c r="AR415" s="155"/>
      <c r="AS415" s="155"/>
      <c r="AT415" s="155"/>
      <c r="AU415" s="155"/>
      <c r="AV415" s="155"/>
      <c r="AW415" s="155"/>
      <c r="AX415" s="155"/>
      <c r="AY415" s="155"/>
      <c r="AZ415" s="155"/>
      <c r="BA415" s="155"/>
      <c r="BB415" s="155"/>
      <c r="BC415" s="155"/>
      <c r="BD415" s="155"/>
      <c r="BE415" s="155"/>
      <c r="BF415" s="155"/>
      <c r="BG415" s="155"/>
      <c r="BH415" s="155"/>
      <c r="BI415" s="155"/>
      <c r="BJ415" s="155"/>
      <c r="BK415" s="155"/>
      <c r="BL415" s="155"/>
      <c r="BM415" s="155"/>
      <c r="BN415" s="155"/>
      <c r="BO415" s="155"/>
      <c r="BP415" s="155"/>
      <c r="BQ415" s="155"/>
      <c r="BR415" s="155"/>
      <c r="BS415" s="155"/>
      <c r="BT415" s="155"/>
      <c r="BU415" s="155"/>
      <c r="BV415" s="155"/>
      <c r="BW415" s="155"/>
      <c r="BX415" s="155"/>
      <c r="BY415" s="155"/>
      <c r="BZ415" s="155"/>
      <c r="CA415" s="155"/>
      <c r="CB415" s="155"/>
      <c r="CC415" s="155"/>
      <c r="CD415" s="155"/>
      <c r="CE415" s="155"/>
      <c r="CF415" s="155"/>
      <c r="CG415" s="155"/>
    </row>
    <row r="416" spans="1:85" ht="12.75" x14ac:dyDescent="0.2">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c r="AA416" s="155"/>
      <c r="AB416" s="155"/>
      <c r="AC416" s="155"/>
      <c r="AD416" s="155"/>
      <c r="AE416" s="155"/>
      <c r="AF416" s="155"/>
      <c r="AG416" s="155"/>
      <c r="AH416" s="155"/>
      <c r="AI416" s="155"/>
      <c r="AJ416" s="155"/>
      <c r="AK416" s="155"/>
      <c r="AL416" s="155"/>
      <c r="AM416" s="155"/>
      <c r="AN416" s="155"/>
      <c r="AO416" s="155"/>
      <c r="AP416" s="155"/>
      <c r="AQ416" s="155"/>
      <c r="AR416" s="155"/>
      <c r="AS416" s="155"/>
      <c r="AT416" s="155"/>
      <c r="AU416" s="155"/>
      <c r="AV416" s="155"/>
      <c r="AW416" s="155"/>
      <c r="AX416" s="155"/>
      <c r="AY416" s="155"/>
      <c r="AZ416" s="155"/>
      <c r="BA416" s="155"/>
      <c r="BB416" s="155"/>
      <c r="BC416" s="155"/>
      <c r="BD416" s="155"/>
      <c r="BE416" s="155"/>
      <c r="BF416" s="155"/>
      <c r="BG416" s="155"/>
      <c r="BH416" s="155"/>
      <c r="BI416" s="155"/>
      <c r="BJ416" s="155"/>
      <c r="BK416" s="155"/>
      <c r="BL416" s="155"/>
      <c r="BM416" s="155"/>
      <c r="BN416" s="155"/>
      <c r="BO416" s="155"/>
      <c r="BP416" s="155"/>
      <c r="BQ416" s="155"/>
      <c r="BR416" s="155"/>
      <c r="BS416" s="155"/>
      <c r="BT416" s="155"/>
      <c r="BU416" s="155"/>
      <c r="BV416" s="155"/>
      <c r="BW416" s="155"/>
      <c r="BX416" s="155"/>
      <c r="BY416" s="155"/>
      <c r="BZ416" s="155"/>
      <c r="CA416" s="155"/>
      <c r="CB416" s="155"/>
      <c r="CC416" s="155"/>
      <c r="CD416" s="155"/>
      <c r="CE416" s="155"/>
      <c r="CF416" s="155"/>
      <c r="CG416" s="155"/>
    </row>
    <row r="417" spans="1:85" ht="12.75" x14ac:dyDescent="0.2">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c r="AA417" s="155"/>
      <c r="AB417" s="155"/>
      <c r="AC417" s="155"/>
      <c r="AD417" s="155"/>
      <c r="AE417" s="155"/>
      <c r="AF417" s="155"/>
      <c r="AG417" s="155"/>
      <c r="AH417" s="155"/>
      <c r="AI417" s="155"/>
      <c r="AJ417" s="155"/>
      <c r="AK417" s="155"/>
      <c r="AL417" s="155"/>
      <c r="AM417" s="155"/>
      <c r="AN417" s="155"/>
      <c r="AO417" s="155"/>
      <c r="AP417" s="155"/>
      <c r="AQ417" s="155"/>
      <c r="AR417" s="155"/>
      <c r="AS417" s="155"/>
      <c r="AT417" s="155"/>
      <c r="AU417" s="155"/>
      <c r="AV417" s="155"/>
      <c r="AW417" s="155"/>
      <c r="AX417" s="155"/>
      <c r="AY417" s="155"/>
      <c r="AZ417" s="155"/>
      <c r="BA417" s="155"/>
      <c r="BB417" s="155"/>
      <c r="BC417" s="155"/>
      <c r="BD417" s="155"/>
      <c r="BE417" s="155"/>
      <c r="BF417" s="155"/>
      <c r="BG417" s="155"/>
      <c r="BH417" s="155"/>
      <c r="BI417" s="155"/>
      <c r="BJ417" s="155"/>
      <c r="BK417" s="155"/>
      <c r="BL417" s="155"/>
      <c r="BM417" s="155"/>
      <c r="BN417" s="155"/>
      <c r="BO417" s="155"/>
      <c r="BP417" s="155"/>
      <c r="BQ417" s="155"/>
      <c r="BR417" s="155"/>
      <c r="BS417" s="155"/>
      <c r="BT417" s="155"/>
      <c r="BU417" s="155"/>
      <c r="BV417" s="155"/>
      <c r="BW417" s="155"/>
      <c r="BX417" s="155"/>
      <c r="BY417" s="155"/>
      <c r="BZ417" s="155"/>
      <c r="CA417" s="155"/>
      <c r="CB417" s="155"/>
      <c r="CC417" s="155"/>
      <c r="CD417" s="155"/>
      <c r="CE417" s="155"/>
      <c r="CF417" s="155"/>
      <c r="CG417" s="155"/>
    </row>
    <row r="418" spans="1:85" ht="12.75" x14ac:dyDescent="0.2">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c r="AA418" s="155"/>
      <c r="AB418" s="155"/>
      <c r="AC418" s="155"/>
      <c r="AD418" s="155"/>
      <c r="AE418" s="155"/>
      <c r="AF418" s="155"/>
      <c r="AG418" s="155"/>
      <c r="AH418" s="155"/>
      <c r="AI418" s="155"/>
      <c r="AJ418" s="155"/>
      <c r="AK418" s="155"/>
      <c r="AL418" s="155"/>
      <c r="AM418" s="155"/>
      <c r="AN418" s="155"/>
      <c r="AO418" s="155"/>
      <c r="AP418" s="155"/>
      <c r="AQ418" s="155"/>
      <c r="AR418" s="155"/>
      <c r="AS418" s="155"/>
      <c r="AT418" s="155"/>
      <c r="AU418" s="155"/>
      <c r="AV418" s="155"/>
      <c r="AW418" s="155"/>
      <c r="AX418" s="155"/>
      <c r="AY418" s="155"/>
      <c r="AZ418" s="155"/>
      <c r="BA418" s="155"/>
      <c r="BB418" s="155"/>
      <c r="BC418" s="155"/>
      <c r="BD418" s="155"/>
      <c r="BE418" s="155"/>
      <c r="BF418" s="155"/>
      <c r="BG418" s="155"/>
      <c r="BH418" s="155"/>
      <c r="BI418" s="155"/>
      <c r="BJ418" s="155"/>
      <c r="BK418" s="155"/>
      <c r="BL418" s="155"/>
      <c r="BM418" s="155"/>
      <c r="BN418" s="155"/>
      <c r="BO418" s="155"/>
      <c r="BP418" s="155"/>
      <c r="BQ418" s="155"/>
      <c r="BR418" s="155"/>
      <c r="BS418" s="155"/>
      <c r="BT418" s="155"/>
      <c r="BU418" s="155"/>
      <c r="BV418" s="155"/>
      <c r="BW418" s="155"/>
      <c r="BX418" s="155"/>
      <c r="BY418" s="155"/>
      <c r="BZ418" s="155"/>
      <c r="CA418" s="155"/>
      <c r="CB418" s="155"/>
      <c r="CC418" s="155"/>
      <c r="CD418" s="155"/>
      <c r="CE418" s="155"/>
      <c r="CF418" s="155"/>
      <c r="CG418" s="155"/>
    </row>
    <row r="419" spans="1:85" ht="12.75" x14ac:dyDescent="0.2">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c r="AA419" s="155"/>
      <c r="AB419" s="155"/>
      <c r="AC419" s="155"/>
      <c r="AD419" s="155"/>
      <c r="AE419" s="155"/>
      <c r="AF419" s="155"/>
      <c r="AG419" s="155"/>
      <c r="AH419" s="155"/>
      <c r="AI419" s="155"/>
      <c r="AJ419" s="155"/>
      <c r="AK419" s="155"/>
      <c r="AL419" s="155"/>
      <c r="AM419" s="155"/>
      <c r="AN419" s="155"/>
      <c r="AO419" s="155"/>
      <c r="AP419" s="155"/>
      <c r="AQ419" s="155"/>
      <c r="AR419" s="155"/>
      <c r="AS419" s="155"/>
      <c r="AT419" s="155"/>
      <c r="AU419" s="155"/>
      <c r="AV419" s="155"/>
      <c r="AW419" s="155"/>
      <c r="AX419" s="155"/>
      <c r="AY419" s="155"/>
      <c r="AZ419" s="155"/>
      <c r="BA419" s="155"/>
      <c r="BB419" s="155"/>
      <c r="BC419" s="155"/>
      <c r="BD419" s="155"/>
      <c r="BE419" s="155"/>
      <c r="BF419" s="155"/>
      <c r="BG419" s="155"/>
      <c r="BH419" s="155"/>
      <c r="BI419" s="155"/>
      <c r="BJ419" s="155"/>
      <c r="BK419" s="155"/>
      <c r="BL419" s="155"/>
      <c r="BM419" s="155"/>
      <c r="BN419" s="155"/>
      <c r="BO419" s="155"/>
      <c r="BP419" s="155"/>
      <c r="BQ419" s="155"/>
      <c r="BR419" s="155"/>
      <c r="BS419" s="155"/>
      <c r="BT419" s="155"/>
      <c r="BU419" s="155"/>
      <c r="BV419" s="155"/>
      <c r="BW419" s="155"/>
      <c r="BX419" s="155"/>
      <c r="BY419" s="155"/>
      <c r="BZ419" s="155"/>
      <c r="CA419" s="155"/>
      <c r="CB419" s="155"/>
      <c r="CC419" s="155"/>
      <c r="CD419" s="155"/>
      <c r="CE419" s="155"/>
      <c r="CF419" s="155"/>
      <c r="CG419" s="155"/>
    </row>
    <row r="420" spans="1:85" ht="12.75" x14ac:dyDescent="0.2">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c r="AA420" s="155"/>
      <c r="AB420" s="155"/>
      <c r="AC420" s="155"/>
      <c r="AD420" s="155"/>
      <c r="AE420" s="155"/>
      <c r="AF420" s="155"/>
      <c r="AG420" s="155"/>
      <c r="AH420" s="155"/>
      <c r="AI420" s="155"/>
      <c r="AJ420" s="155"/>
      <c r="AK420" s="155"/>
      <c r="AL420" s="155"/>
      <c r="AM420" s="155"/>
      <c r="AN420" s="155"/>
      <c r="AO420" s="155"/>
      <c r="AP420" s="155"/>
      <c r="AQ420" s="155"/>
      <c r="AR420" s="155"/>
      <c r="AS420" s="155"/>
      <c r="AT420" s="155"/>
      <c r="AU420" s="155"/>
      <c r="AV420" s="155"/>
      <c r="AW420" s="155"/>
      <c r="AX420" s="155"/>
      <c r="AY420" s="155"/>
      <c r="AZ420" s="155"/>
      <c r="BA420" s="155"/>
      <c r="BB420" s="155"/>
      <c r="BC420" s="155"/>
      <c r="BD420" s="155"/>
      <c r="BE420" s="155"/>
      <c r="BF420" s="155"/>
      <c r="BG420" s="155"/>
      <c r="BH420" s="155"/>
      <c r="BI420" s="155"/>
      <c r="BJ420" s="155"/>
      <c r="BK420" s="155"/>
      <c r="BL420" s="155"/>
      <c r="BM420" s="155"/>
      <c r="BN420" s="155"/>
      <c r="BO420" s="155"/>
      <c r="BP420" s="155"/>
      <c r="BQ420" s="155"/>
      <c r="BR420" s="155"/>
      <c r="BS420" s="155"/>
      <c r="BT420" s="155"/>
      <c r="BU420" s="155"/>
      <c r="BV420" s="155"/>
      <c r="BW420" s="155"/>
      <c r="BX420" s="155"/>
      <c r="BY420" s="155"/>
      <c r="BZ420" s="155"/>
      <c r="CA420" s="155"/>
      <c r="CB420" s="155"/>
      <c r="CC420" s="155"/>
      <c r="CD420" s="155"/>
      <c r="CE420" s="155"/>
      <c r="CF420" s="155"/>
      <c r="CG420" s="155"/>
    </row>
    <row r="421" spans="1:85" ht="12.75" x14ac:dyDescent="0.2">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c r="AA421" s="155"/>
      <c r="AB421" s="155"/>
      <c r="AC421" s="155"/>
      <c r="AD421" s="155"/>
      <c r="AE421" s="155"/>
      <c r="AF421" s="155"/>
      <c r="AG421" s="155"/>
      <c r="AH421" s="155"/>
      <c r="AI421" s="155"/>
      <c r="AJ421" s="155"/>
      <c r="AK421" s="155"/>
      <c r="AL421" s="155"/>
      <c r="AM421" s="155"/>
      <c r="AN421" s="155"/>
      <c r="AO421" s="155"/>
      <c r="AP421" s="155"/>
      <c r="AQ421" s="155"/>
      <c r="AR421" s="155"/>
      <c r="AS421" s="155"/>
      <c r="AT421" s="155"/>
      <c r="AU421" s="155"/>
      <c r="AV421" s="155"/>
      <c r="AW421" s="155"/>
      <c r="AX421" s="155"/>
      <c r="AY421" s="155"/>
      <c r="AZ421" s="155"/>
      <c r="BA421" s="155"/>
      <c r="BB421" s="155"/>
      <c r="BC421" s="155"/>
      <c r="BD421" s="155"/>
      <c r="BE421" s="155"/>
      <c r="BF421" s="155"/>
      <c r="BG421" s="155"/>
      <c r="BH421" s="155"/>
      <c r="BI421" s="155"/>
      <c r="BJ421" s="155"/>
      <c r="BK421" s="155"/>
      <c r="BL421" s="155"/>
      <c r="BM421" s="155"/>
      <c r="BN421" s="155"/>
      <c r="BO421" s="155"/>
      <c r="BP421" s="155"/>
      <c r="BQ421" s="155"/>
      <c r="BR421" s="155"/>
      <c r="BS421" s="155"/>
      <c r="BT421" s="155"/>
      <c r="BU421" s="155"/>
      <c r="BV421" s="155"/>
      <c r="BW421" s="155"/>
      <c r="BX421" s="155"/>
      <c r="BY421" s="155"/>
      <c r="BZ421" s="155"/>
      <c r="CA421" s="155"/>
      <c r="CB421" s="155"/>
      <c r="CC421" s="155"/>
      <c r="CD421" s="155"/>
      <c r="CE421" s="155"/>
      <c r="CF421" s="155"/>
      <c r="CG421" s="155"/>
    </row>
    <row r="422" spans="1:85" ht="12.75" x14ac:dyDescent="0.2">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c r="AA422" s="155"/>
      <c r="AB422" s="155"/>
      <c r="AC422" s="155"/>
      <c r="AD422" s="155"/>
      <c r="AE422" s="155"/>
      <c r="AF422" s="155"/>
      <c r="AG422" s="155"/>
      <c r="AH422" s="155"/>
      <c r="AI422" s="155"/>
      <c r="AJ422" s="155"/>
      <c r="AK422" s="155"/>
      <c r="AL422" s="155"/>
      <c r="AM422" s="155"/>
      <c r="AN422" s="155"/>
      <c r="AO422" s="155"/>
      <c r="AP422" s="155"/>
      <c r="AQ422" s="155"/>
      <c r="AR422" s="155"/>
      <c r="AS422" s="155"/>
      <c r="AT422" s="155"/>
      <c r="AU422" s="155"/>
      <c r="AV422" s="155"/>
      <c r="AW422" s="155"/>
      <c r="AX422" s="155"/>
      <c r="AY422" s="155"/>
      <c r="AZ422" s="155"/>
      <c r="BA422" s="155"/>
      <c r="BB422" s="155"/>
      <c r="BC422" s="155"/>
      <c r="BD422" s="155"/>
      <c r="BE422" s="155"/>
      <c r="BF422" s="155"/>
      <c r="BG422" s="155"/>
      <c r="BH422" s="155"/>
      <c r="BI422" s="155"/>
      <c r="BJ422" s="155"/>
      <c r="BK422" s="155"/>
      <c r="BL422" s="155"/>
      <c r="BM422" s="155"/>
      <c r="BN422" s="155"/>
      <c r="BO422" s="155"/>
      <c r="BP422" s="155"/>
      <c r="BQ422" s="155"/>
      <c r="BR422" s="155"/>
      <c r="BS422" s="155"/>
      <c r="BT422" s="155"/>
      <c r="BU422" s="155"/>
      <c r="BV422" s="155"/>
      <c r="BW422" s="155"/>
      <c r="BX422" s="155"/>
      <c r="BY422" s="155"/>
      <c r="BZ422" s="155"/>
      <c r="CA422" s="155"/>
      <c r="CB422" s="155"/>
      <c r="CC422" s="155"/>
      <c r="CD422" s="155"/>
      <c r="CE422" s="155"/>
      <c r="CF422" s="155"/>
      <c r="CG422" s="155"/>
    </row>
    <row r="423" spans="1:85" ht="12.75" x14ac:dyDescent="0.2">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c r="AA423" s="155"/>
      <c r="AB423" s="155"/>
      <c r="AC423" s="155"/>
      <c r="AD423" s="155"/>
      <c r="AE423" s="155"/>
      <c r="AF423" s="155"/>
      <c r="AG423" s="155"/>
      <c r="AH423" s="155"/>
      <c r="AI423" s="155"/>
      <c r="AJ423" s="155"/>
      <c r="AK423" s="155"/>
      <c r="AL423" s="155"/>
      <c r="AM423" s="155"/>
      <c r="AN423" s="155"/>
      <c r="AO423" s="155"/>
      <c r="AP423" s="155"/>
      <c r="AQ423" s="155"/>
      <c r="AR423" s="155"/>
      <c r="AS423" s="155"/>
      <c r="AT423" s="155"/>
      <c r="AU423" s="155"/>
      <c r="AV423" s="155"/>
      <c r="AW423" s="155"/>
      <c r="AX423" s="155"/>
      <c r="AY423" s="155"/>
      <c r="AZ423" s="155"/>
      <c r="BA423" s="155"/>
      <c r="BB423" s="155"/>
      <c r="BC423" s="155"/>
      <c r="BD423" s="155"/>
      <c r="BE423" s="155"/>
      <c r="BF423" s="155"/>
      <c r="BG423" s="155"/>
      <c r="BH423" s="155"/>
      <c r="BI423" s="155"/>
      <c r="BJ423" s="155"/>
      <c r="BK423" s="155"/>
      <c r="BL423" s="155"/>
      <c r="BM423" s="155"/>
      <c r="BN423" s="155"/>
      <c r="BO423" s="155"/>
      <c r="BP423" s="155"/>
      <c r="BQ423" s="155"/>
      <c r="BR423" s="155"/>
      <c r="BS423" s="155"/>
      <c r="BT423" s="155"/>
      <c r="BU423" s="155"/>
      <c r="BV423" s="155"/>
      <c r="BW423" s="155"/>
      <c r="BX423" s="155"/>
      <c r="BY423" s="155"/>
      <c r="BZ423" s="155"/>
      <c r="CA423" s="155"/>
      <c r="CB423" s="155"/>
      <c r="CC423" s="155"/>
      <c r="CD423" s="155"/>
      <c r="CE423" s="155"/>
      <c r="CF423" s="155"/>
      <c r="CG423" s="155"/>
    </row>
    <row r="424" spans="1:85" ht="12.75" x14ac:dyDescent="0.2">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c r="AA424" s="155"/>
      <c r="AB424" s="155"/>
      <c r="AC424" s="155"/>
      <c r="AD424" s="155"/>
      <c r="AE424" s="155"/>
      <c r="AF424" s="155"/>
      <c r="AG424" s="155"/>
      <c r="AH424" s="155"/>
      <c r="AI424" s="155"/>
      <c r="AJ424" s="155"/>
      <c r="AK424" s="155"/>
      <c r="AL424" s="155"/>
      <c r="AM424" s="155"/>
      <c r="AN424" s="155"/>
      <c r="AO424" s="155"/>
      <c r="AP424" s="155"/>
      <c r="AQ424" s="155"/>
      <c r="AR424" s="155"/>
      <c r="AS424" s="155"/>
      <c r="AT424" s="155"/>
      <c r="AU424" s="155"/>
      <c r="AV424" s="155"/>
      <c r="AW424" s="155"/>
      <c r="AX424" s="155"/>
      <c r="AY424" s="155"/>
      <c r="AZ424" s="155"/>
      <c r="BA424" s="155"/>
      <c r="BB424" s="155"/>
      <c r="BC424" s="155"/>
      <c r="BD424" s="155"/>
      <c r="BE424" s="155"/>
      <c r="BF424" s="155"/>
      <c r="BG424" s="155"/>
      <c r="BH424" s="155"/>
      <c r="BI424" s="155"/>
      <c r="BJ424" s="155"/>
      <c r="BK424" s="155"/>
      <c r="BL424" s="155"/>
      <c r="BM424" s="155"/>
      <c r="BN424" s="155"/>
      <c r="BO424" s="155"/>
      <c r="BP424" s="155"/>
      <c r="BQ424" s="155"/>
      <c r="BR424" s="155"/>
      <c r="BS424" s="155"/>
      <c r="BT424" s="155"/>
      <c r="BU424" s="155"/>
      <c r="BV424" s="155"/>
      <c r="BW424" s="155"/>
      <c r="BX424" s="155"/>
      <c r="BY424" s="155"/>
      <c r="BZ424" s="155"/>
      <c r="CA424" s="155"/>
      <c r="CB424" s="155"/>
      <c r="CC424" s="155"/>
      <c r="CD424" s="155"/>
      <c r="CE424" s="155"/>
      <c r="CF424" s="155"/>
      <c r="CG424" s="155"/>
    </row>
    <row r="425" spans="1:85" ht="12.75" x14ac:dyDescent="0.2">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c r="AA425" s="155"/>
      <c r="AB425" s="155"/>
      <c r="AC425" s="155"/>
      <c r="AD425" s="155"/>
      <c r="AE425" s="155"/>
      <c r="AF425" s="155"/>
      <c r="AG425" s="155"/>
      <c r="AH425" s="155"/>
      <c r="AI425" s="155"/>
      <c r="AJ425" s="155"/>
      <c r="AK425" s="155"/>
      <c r="AL425" s="155"/>
      <c r="AM425" s="155"/>
      <c r="AN425" s="155"/>
      <c r="AO425" s="155"/>
      <c r="AP425" s="155"/>
      <c r="AQ425" s="155"/>
      <c r="AR425" s="155"/>
      <c r="AS425" s="155"/>
      <c r="AT425" s="155"/>
      <c r="AU425" s="155"/>
      <c r="AV425" s="155"/>
      <c r="AW425" s="155"/>
      <c r="AX425" s="155"/>
      <c r="AY425" s="155"/>
      <c r="AZ425" s="155"/>
      <c r="BA425" s="155"/>
      <c r="BB425" s="155"/>
      <c r="BC425" s="155"/>
      <c r="BD425" s="155"/>
      <c r="BE425" s="155"/>
      <c r="BF425" s="155"/>
      <c r="BG425" s="155"/>
      <c r="BH425" s="155"/>
      <c r="BI425" s="155"/>
      <c r="BJ425" s="155"/>
      <c r="BK425" s="155"/>
      <c r="BL425" s="155"/>
      <c r="BM425" s="155"/>
      <c r="BN425" s="155"/>
      <c r="BO425" s="155"/>
      <c r="BP425" s="155"/>
      <c r="BQ425" s="155"/>
      <c r="BR425" s="155"/>
      <c r="BS425" s="155"/>
      <c r="BT425" s="155"/>
      <c r="BU425" s="155"/>
      <c r="BV425" s="155"/>
      <c r="BW425" s="155"/>
      <c r="BX425" s="155"/>
      <c r="BY425" s="155"/>
      <c r="BZ425" s="155"/>
      <c r="CA425" s="155"/>
      <c r="CB425" s="155"/>
      <c r="CC425" s="155"/>
      <c r="CD425" s="155"/>
      <c r="CE425" s="155"/>
      <c r="CF425" s="155"/>
      <c r="CG425" s="155"/>
    </row>
    <row r="426" spans="1:85" ht="12.75" x14ac:dyDescent="0.2">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c r="AA426" s="155"/>
      <c r="AB426" s="155"/>
      <c r="AC426" s="155"/>
      <c r="AD426" s="155"/>
      <c r="AE426" s="155"/>
      <c r="AF426" s="155"/>
      <c r="AG426" s="155"/>
      <c r="AH426" s="155"/>
      <c r="AI426" s="155"/>
      <c r="AJ426" s="155"/>
      <c r="AK426" s="155"/>
      <c r="AL426" s="155"/>
      <c r="AM426" s="155"/>
      <c r="AN426" s="155"/>
      <c r="AO426" s="155"/>
      <c r="AP426" s="155"/>
      <c r="AQ426" s="155"/>
      <c r="AR426" s="155"/>
      <c r="AS426" s="155"/>
      <c r="AT426" s="155"/>
      <c r="AU426" s="155"/>
      <c r="AV426" s="155"/>
      <c r="AW426" s="155"/>
      <c r="AX426" s="155"/>
      <c r="AY426" s="155"/>
      <c r="AZ426" s="155"/>
      <c r="BA426" s="155"/>
      <c r="BB426" s="155"/>
      <c r="BC426" s="155"/>
      <c r="BD426" s="155"/>
      <c r="BE426" s="155"/>
      <c r="BF426" s="155"/>
      <c r="BG426" s="155"/>
      <c r="BH426" s="155"/>
      <c r="BI426" s="155"/>
      <c r="BJ426" s="155"/>
      <c r="BK426" s="155"/>
      <c r="BL426" s="155"/>
      <c r="BM426" s="155"/>
      <c r="BN426" s="155"/>
      <c r="BO426" s="155"/>
      <c r="BP426" s="155"/>
      <c r="BQ426" s="155"/>
      <c r="BR426" s="155"/>
      <c r="BS426" s="155"/>
      <c r="BT426" s="155"/>
      <c r="BU426" s="155"/>
      <c r="BV426" s="155"/>
      <c r="BW426" s="155"/>
      <c r="BX426" s="155"/>
      <c r="BY426" s="155"/>
      <c r="BZ426" s="155"/>
      <c r="CA426" s="155"/>
      <c r="CB426" s="155"/>
      <c r="CC426" s="155"/>
      <c r="CD426" s="155"/>
      <c r="CE426" s="155"/>
      <c r="CF426" s="155"/>
      <c r="CG426" s="155"/>
    </row>
    <row r="427" spans="1:85" ht="12.75" x14ac:dyDescent="0.2">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5"/>
      <c r="AY427" s="155"/>
      <c r="AZ427" s="155"/>
      <c r="BA427" s="155"/>
      <c r="BB427" s="155"/>
      <c r="BC427" s="155"/>
      <c r="BD427" s="155"/>
      <c r="BE427" s="155"/>
      <c r="BF427" s="155"/>
      <c r="BG427" s="155"/>
      <c r="BH427" s="155"/>
      <c r="BI427" s="155"/>
      <c r="BJ427" s="155"/>
      <c r="BK427" s="155"/>
      <c r="BL427" s="155"/>
      <c r="BM427" s="155"/>
      <c r="BN427" s="155"/>
      <c r="BO427" s="155"/>
      <c r="BP427" s="155"/>
      <c r="BQ427" s="155"/>
      <c r="BR427" s="155"/>
      <c r="BS427" s="155"/>
      <c r="BT427" s="155"/>
      <c r="BU427" s="155"/>
      <c r="BV427" s="155"/>
      <c r="BW427" s="155"/>
      <c r="BX427" s="155"/>
      <c r="BY427" s="155"/>
      <c r="BZ427" s="155"/>
      <c r="CA427" s="155"/>
      <c r="CB427" s="155"/>
      <c r="CC427" s="155"/>
      <c r="CD427" s="155"/>
      <c r="CE427" s="155"/>
      <c r="CF427" s="155"/>
      <c r="CG427" s="155"/>
    </row>
    <row r="428" spans="1:85" ht="12.75" x14ac:dyDescent="0.2">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c r="AA428" s="155"/>
      <c r="AB428" s="155"/>
      <c r="AC428" s="155"/>
      <c r="AD428" s="155"/>
      <c r="AE428" s="155"/>
      <c r="AF428" s="155"/>
      <c r="AG428" s="155"/>
      <c r="AH428" s="155"/>
      <c r="AI428" s="155"/>
      <c r="AJ428" s="155"/>
      <c r="AK428" s="155"/>
      <c r="AL428" s="155"/>
      <c r="AM428" s="155"/>
      <c r="AN428" s="155"/>
      <c r="AO428" s="155"/>
      <c r="AP428" s="155"/>
      <c r="AQ428" s="155"/>
      <c r="AR428" s="155"/>
      <c r="AS428" s="155"/>
      <c r="AT428" s="155"/>
      <c r="AU428" s="155"/>
      <c r="AV428" s="155"/>
      <c r="AW428" s="155"/>
      <c r="AX428" s="155"/>
      <c r="AY428" s="155"/>
      <c r="AZ428" s="155"/>
      <c r="BA428" s="155"/>
      <c r="BB428" s="155"/>
      <c r="BC428" s="155"/>
      <c r="BD428" s="155"/>
      <c r="BE428" s="155"/>
      <c r="BF428" s="155"/>
      <c r="BG428" s="155"/>
      <c r="BH428" s="155"/>
      <c r="BI428" s="155"/>
      <c r="BJ428" s="155"/>
      <c r="BK428" s="155"/>
      <c r="BL428" s="155"/>
      <c r="BM428" s="155"/>
      <c r="BN428" s="155"/>
      <c r="BO428" s="155"/>
      <c r="BP428" s="155"/>
      <c r="BQ428" s="155"/>
      <c r="BR428" s="155"/>
      <c r="BS428" s="155"/>
      <c r="BT428" s="155"/>
      <c r="BU428" s="155"/>
      <c r="BV428" s="155"/>
      <c r="BW428" s="155"/>
      <c r="BX428" s="155"/>
      <c r="BY428" s="155"/>
      <c r="BZ428" s="155"/>
      <c r="CA428" s="155"/>
      <c r="CB428" s="155"/>
      <c r="CC428" s="155"/>
      <c r="CD428" s="155"/>
      <c r="CE428" s="155"/>
      <c r="CF428" s="155"/>
      <c r="CG428" s="155"/>
    </row>
    <row r="429" spans="1:85" ht="12.75" x14ac:dyDescent="0.2">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c r="AA429" s="155"/>
      <c r="AB429" s="155"/>
      <c r="AC429" s="155"/>
      <c r="AD429" s="155"/>
      <c r="AE429" s="155"/>
      <c r="AF429" s="155"/>
      <c r="AG429" s="155"/>
      <c r="AH429" s="155"/>
      <c r="AI429" s="155"/>
      <c r="AJ429" s="155"/>
      <c r="AK429" s="155"/>
      <c r="AL429" s="155"/>
      <c r="AM429" s="155"/>
      <c r="AN429" s="155"/>
      <c r="AO429" s="155"/>
      <c r="AP429" s="155"/>
      <c r="AQ429" s="155"/>
      <c r="AR429" s="155"/>
      <c r="AS429" s="155"/>
      <c r="AT429" s="155"/>
      <c r="AU429" s="155"/>
      <c r="AV429" s="155"/>
      <c r="AW429" s="155"/>
      <c r="AX429" s="155"/>
      <c r="AY429" s="155"/>
      <c r="AZ429" s="155"/>
      <c r="BA429" s="155"/>
      <c r="BB429" s="155"/>
      <c r="BC429" s="155"/>
      <c r="BD429" s="155"/>
      <c r="BE429" s="155"/>
      <c r="BF429" s="155"/>
      <c r="BG429" s="155"/>
      <c r="BH429" s="155"/>
      <c r="BI429" s="155"/>
      <c r="BJ429" s="155"/>
      <c r="BK429" s="155"/>
      <c r="BL429" s="155"/>
      <c r="BM429" s="155"/>
      <c r="BN429" s="155"/>
      <c r="BO429" s="155"/>
      <c r="BP429" s="155"/>
      <c r="BQ429" s="155"/>
      <c r="BR429" s="155"/>
      <c r="BS429" s="155"/>
      <c r="BT429" s="155"/>
      <c r="BU429" s="155"/>
      <c r="BV429" s="155"/>
      <c r="BW429" s="155"/>
      <c r="BX429" s="155"/>
      <c r="BY429" s="155"/>
      <c r="BZ429" s="155"/>
      <c r="CA429" s="155"/>
      <c r="CB429" s="155"/>
      <c r="CC429" s="155"/>
      <c r="CD429" s="155"/>
      <c r="CE429" s="155"/>
      <c r="CF429" s="155"/>
      <c r="CG429" s="155"/>
    </row>
    <row r="430" spans="1:85" ht="12.75" x14ac:dyDescent="0.2">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c r="AA430" s="155"/>
      <c r="AB430" s="155"/>
      <c r="AC430" s="155"/>
      <c r="AD430" s="155"/>
      <c r="AE430" s="155"/>
      <c r="AF430" s="155"/>
      <c r="AG430" s="155"/>
      <c r="AH430" s="155"/>
      <c r="AI430" s="155"/>
      <c r="AJ430" s="155"/>
      <c r="AK430" s="155"/>
      <c r="AL430" s="155"/>
      <c r="AM430" s="155"/>
      <c r="AN430" s="155"/>
      <c r="AO430" s="155"/>
      <c r="AP430" s="155"/>
      <c r="AQ430" s="155"/>
      <c r="AR430" s="155"/>
      <c r="AS430" s="155"/>
      <c r="AT430" s="155"/>
      <c r="AU430" s="155"/>
      <c r="AV430" s="155"/>
      <c r="AW430" s="155"/>
      <c r="AX430" s="155"/>
      <c r="AY430" s="155"/>
      <c r="AZ430" s="155"/>
      <c r="BA430" s="155"/>
      <c r="BB430" s="155"/>
      <c r="BC430" s="155"/>
      <c r="BD430" s="155"/>
      <c r="BE430" s="155"/>
      <c r="BF430" s="155"/>
      <c r="BG430" s="155"/>
      <c r="BH430" s="155"/>
      <c r="BI430" s="155"/>
      <c r="BJ430" s="155"/>
      <c r="BK430" s="155"/>
      <c r="BL430" s="155"/>
      <c r="BM430" s="155"/>
      <c r="BN430" s="155"/>
      <c r="BO430" s="155"/>
      <c r="BP430" s="155"/>
      <c r="BQ430" s="155"/>
      <c r="BR430" s="155"/>
      <c r="BS430" s="155"/>
      <c r="BT430" s="155"/>
      <c r="BU430" s="155"/>
      <c r="BV430" s="155"/>
      <c r="BW430" s="155"/>
      <c r="BX430" s="155"/>
      <c r="BY430" s="155"/>
      <c r="BZ430" s="155"/>
      <c r="CA430" s="155"/>
      <c r="CB430" s="155"/>
      <c r="CC430" s="155"/>
      <c r="CD430" s="155"/>
      <c r="CE430" s="155"/>
      <c r="CF430" s="155"/>
      <c r="CG430" s="155"/>
    </row>
    <row r="431" spans="1:85" ht="12.75" x14ac:dyDescent="0.2">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c r="AA431" s="155"/>
      <c r="AB431" s="155"/>
      <c r="AC431" s="155"/>
      <c r="AD431" s="155"/>
      <c r="AE431" s="155"/>
      <c r="AF431" s="155"/>
      <c r="AG431" s="155"/>
      <c r="AH431" s="155"/>
      <c r="AI431" s="155"/>
      <c r="AJ431" s="155"/>
      <c r="AK431" s="155"/>
      <c r="AL431" s="155"/>
      <c r="AM431" s="155"/>
      <c r="AN431" s="155"/>
      <c r="AO431" s="155"/>
      <c r="AP431" s="155"/>
      <c r="AQ431" s="155"/>
      <c r="AR431" s="155"/>
      <c r="AS431" s="155"/>
      <c r="AT431" s="155"/>
      <c r="AU431" s="155"/>
      <c r="AV431" s="155"/>
      <c r="AW431" s="155"/>
      <c r="AX431" s="155"/>
      <c r="AY431" s="155"/>
      <c r="AZ431" s="155"/>
      <c r="BA431" s="155"/>
      <c r="BB431" s="155"/>
      <c r="BC431" s="155"/>
      <c r="BD431" s="155"/>
      <c r="BE431" s="155"/>
      <c r="BF431" s="155"/>
      <c r="BG431" s="155"/>
      <c r="BH431" s="155"/>
      <c r="BI431" s="155"/>
      <c r="BJ431" s="155"/>
      <c r="BK431" s="155"/>
      <c r="BL431" s="155"/>
      <c r="BM431" s="155"/>
      <c r="BN431" s="155"/>
      <c r="BO431" s="155"/>
      <c r="BP431" s="155"/>
      <c r="BQ431" s="155"/>
      <c r="BR431" s="155"/>
      <c r="BS431" s="155"/>
      <c r="BT431" s="155"/>
      <c r="BU431" s="155"/>
      <c r="BV431" s="155"/>
      <c r="BW431" s="155"/>
      <c r="BX431" s="155"/>
      <c r="BY431" s="155"/>
      <c r="BZ431" s="155"/>
      <c r="CA431" s="155"/>
      <c r="CB431" s="155"/>
      <c r="CC431" s="155"/>
      <c r="CD431" s="155"/>
      <c r="CE431" s="155"/>
      <c r="CF431" s="155"/>
      <c r="CG431" s="155"/>
    </row>
    <row r="432" spans="1:85" ht="12.75" x14ac:dyDescent="0.2">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c r="AA432" s="155"/>
      <c r="AB432" s="155"/>
      <c r="AC432" s="155"/>
      <c r="AD432" s="155"/>
      <c r="AE432" s="155"/>
      <c r="AF432" s="155"/>
      <c r="AG432" s="155"/>
      <c r="AH432" s="155"/>
      <c r="AI432" s="155"/>
      <c r="AJ432" s="155"/>
      <c r="AK432" s="155"/>
      <c r="AL432" s="155"/>
      <c r="AM432" s="155"/>
      <c r="AN432" s="155"/>
      <c r="AO432" s="155"/>
      <c r="AP432" s="155"/>
      <c r="AQ432" s="155"/>
      <c r="AR432" s="155"/>
      <c r="AS432" s="155"/>
      <c r="AT432" s="155"/>
      <c r="AU432" s="155"/>
      <c r="AV432" s="155"/>
      <c r="AW432" s="155"/>
      <c r="AX432" s="155"/>
      <c r="AY432" s="155"/>
      <c r="AZ432" s="155"/>
      <c r="BA432" s="155"/>
      <c r="BB432" s="155"/>
      <c r="BC432" s="155"/>
      <c r="BD432" s="155"/>
      <c r="BE432" s="155"/>
      <c r="BF432" s="155"/>
      <c r="BG432" s="155"/>
      <c r="BH432" s="155"/>
      <c r="BI432" s="155"/>
      <c r="BJ432" s="155"/>
      <c r="BK432" s="155"/>
      <c r="BL432" s="155"/>
      <c r="BM432" s="155"/>
      <c r="BN432" s="155"/>
      <c r="BO432" s="155"/>
      <c r="BP432" s="155"/>
      <c r="BQ432" s="155"/>
      <c r="BR432" s="155"/>
      <c r="BS432" s="155"/>
      <c r="BT432" s="155"/>
      <c r="BU432" s="155"/>
      <c r="BV432" s="155"/>
      <c r="BW432" s="155"/>
      <c r="BX432" s="155"/>
      <c r="BY432" s="155"/>
      <c r="BZ432" s="155"/>
      <c r="CA432" s="155"/>
      <c r="CB432" s="155"/>
      <c r="CC432" s="155"/>
      <c r="CD432" s="155"/>
      <c r="CE432" s="155"/>
      <c r="CF432" s="155"/>
      <c r="CG432" s="155"/>
    </row>
    <row r="433" spans="1:85" ht="12.75" x14ac:dyDescent="0.2">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c r="AA433" s="155"/>
      <c r="AB433" s="155"/>
      <c r="AC433" s="155"/>
      <c r="AD433" s="155"/>
      <c r="AE433" s="155"/>
      <c r="AF433" s="155"/>
      <c r="AG433" s="155"/>
      <c r="AH433" s="155"/>
      <c r="AI433" s="155"/>
      <c r="AJ433" s="155"/>
      <c r="AK433" s="155"/>
      <c r="AL433" s="155"/>
      <c r="AM433" s="155"/>
      <c r="AN433" s="155"/>
      <c r="AO433" s="155"/>
      <c r="AP433" s="155"/>
      <c r="AQ433" s="155"/>
      <c r="AR433" s="155"/>
      <c r="AS433" s="155"/>
      <c r="AT433" s="155"/>
      <c r="AU433" s="155"/>
      <c r="AV433" s="155"/>
      <c r="AW433" s="155"/>
      <c r="AX433" s="155"/>
      <c r="AY433" s="155"/>
      <c r="AZ433" s="155"/>
      <c r="BA433" s="155"/>
      <c r="BB433" s="155"/>
      <c r="BC433" s="155"/>
      <c r="BD433" s="155"/>
      <c r="BE433" s="155"/>
      <c r="BF433" s="155"/>
      <c r="BG433" s="155"/>
      <c r="BH433" s="155"/>
      <c r="BI433" s="155"/>
      <c r="BJ433" s="155"/>
      <c r="BK433" s="155"/>
      <c r="BL433" s="155"/>
      <c r="BM433" s="155"/>
      <c r="BN433" s="155"/>
      <c r="BO433" s="155"/>
      <c r="BP433" s="155"/>
      <c r="BQ433" s="155"/>
      <c r="BR433" s="155"/>
      <c r="BS433" s="155"/>
      <c r="BT433" s="155"/>
      <c r="BU433" s="155"/>
      <c r="BV433" s="155"/>
      <c r="BW433" s="155"/>
      <c r="BX433" s="155"/>
      <c r="BY433" s="155"/>
      <c r="BZ433" s="155"/>
      <c r="CA433" s="155"/>
      <c r="CB433" s="155"/>
      <c r="CC433" s="155"/>
      <c r="CD433" s="155"/>
      <c r="CE433" s="155"/>
      <c r="CF433" s="155"/>
      <c r="CG433" s="155"/>
    </row>
    <row r="434" spans="1:85" ht="12.75" x14ac:dyDescent="0.2">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c r="AA434" s="155"/>
      <c r="AB434" s="155"/>
      <c r="AC434" s="155"/>
      <c r="AD434" s="155"/>
      <c r="AE434" s="155"/>
      <c r="AF434" s="155"/>
      <c r="AG434" s="155"/>
      <c r="AH434" s="155"/>
      <c r="AI434" s="155"/>
      <c r="AJ434" s="155"/>
      <c r="AK434" s="155"/>
      <c r="AL434" s="155"/>
      <c r="AM434" s="155"/>
      <c r="AN434" s="155"/>
      <c r="AO434" s="155"/>
      <c r="AP434" s="155"/>
      <c r="AQ434" s="155"/>
      <c r="AR434" s="155"/>
      <c r="AS434" s="155"/>
      <c r="AT434" s="155"/>
      <c r="AU434" s="155"/>
      <c r="AV434" s="155"/>
      <c r="AW434" s="155"/>
      <c r="AX434" s="155"/>
      <c r="AY434" s="155"/>
      <c r="AZ434" s="155"/>
      <c r="BA434" s="155"/>
      <c r="BB434" s="155"/>
      <c r="BC434" s="155"/>
      <c r="BD434" s="155"/>
      <c r="BE434" s="155"/>
      <c r="BF434" s="155"/>
      <c r="BG434" s="155"/>
      <c r="BH434" s="155"/>
      <c r="BI434" s="155"/>
      <c r="BJ434" s="155"/>
      <c r="BK434" s="155"/>
      <c r="BL434" s="155"/>
      <c r="BM434" s="155"/>
      <c r="BN434" s="155"/>
      <c r="BO434" s="155"/>
      <c r="BP434" s="155"/>
      <c r="BQ434" s="155"/>
      <c r="BR434" s="155"/>
      <c r="BS434" s="155"/>
      <c r="BT434" s="155"/>
      <c r="BU434" s="155"/>
      <c r="BV434" s="155"/>
      <c r="BW434" s="155"/>
      <c r="BX434" s="155"/>
      <c r="BY434" s="155"/>
      <c r="BZ434" s="155"/>
      <c r="CA434" s="155"/>
      <c r="CB434" s="155"/>
      <c r="CC434" s="155"/>
      <c r="CD434" s="155"/>
      <c r="CE434" s="155"/>
      <c r="CF434" s="155"/>
      <c r="CG434" s="155"/>
    </row>
    <row r="435" spans="1:85" ht="12.75" x14ac:dyDescent="0.2">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c r="AA435" s="155"/>
      <c r="AB435" s="155"/>
      <c r="AC435" s="155"/>
      <c r="AD435" s="155"/>
      <c r="AE435" s="155"/>
      <c r="AF435" s="155"/>
      <c r="AG435" s="155"/>
      <c r="AH435" s="155"/>
      <c r="AI435" s="155"/>
      <c r="AJ435" s="155"/>
      <c r="AK435" s="155"/>
      <c r="AL435" s="155"/>
      <c r="AM435" s="155"/>
      <c r="AN435" s="155"/>
      <c r="AO435" s="155"/>
      <c r="AP435" s="155"/>
      <c r="AQ435" s="155"/>
      <c r="AR435" s="155"/>
      <c r="AS435" s="155"/>
      <c r="AT435" s="155"/>
      <c r="AU435" s="155"/>
      <c r="AV435" s="155"/>
      <c r="AW435" s="155"/>
      <c r="AX435" s="155"/>
      <c r="AY435" s="155"/>
      <c r="AZ435" s="155"/>
      <c r="BA435" s="155"/>
      <c r="BB435" s="155"/>
      <c r="BC435" s="155"/>
      <c r="BD435" s="155"/>
      <c r="BE435" s="155"/>
      <c r="BF435" s="155"/>
      <c r="BG435" s="155"/>
      <c r="BH435" s="155"/>
      <c r="BI435" s="155"/>
      <c r="BJ435" s="155"/>
      <c r="BK435" s="155"/>
      <c r="BL435" s="155"/>
      <c r="BM435" s="155"/>
      <c r="BN435" s="155"/>
      <c r="BO435" s="155"/>
      <c r="BP435" s="155"/>
      <c r="BQ435" s="155"/>
      <c r="BR435" s="155"/>
      <c r="BS435" s="155"/>
      <c r="BT435" s="155"/>
      <c r="BU435" s="155"/>
      <c r="BV435" s="155"/>
      <c r="BW435" s="155"/>
      <c r="BX435" s="155"/>
      <c r="BY435" s="155"/>
      <c r="BZ435" s="155"/>
      <c r="CA435" s="155"/>
      <c r="CB435" s="155"/>
      <c r="CC435" s="155"/>
      <c r="CD435" s="155"/>
      <c r="CE435" s="155"/>
      <c r="CF435" s="155"/>
      <c r="CG435" s="155"/>
    </row>
    <row r="436" spans="1:85" ht="12.75" x14ac:dyDescent="0.2">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c r="AA436" s="155"/>
      <c r="AB436" s="155"/>
      <c r="AC436" s="155"/>
      <c r="AD436" s="155"/>
      <c r="AE436" s="155"/>
      <c r="AF436" s="155"/>
      <c r="AG436" s="155"/>
      <c r="AH436" s="155"/>
      <c r="AI436" s="155"/>
      <c r="AJ436" s="155"/>
      <c r="AK436" s="155"/>
      <c r="AL436" s="155"/>
      <c r="AM436" s="155"/>
      <c r="AN436" s="155"/>
      <c r="AO436" s="155"/>
      <c r="AP436" s="155"/>
      <c r="AQ436" s="155"/>
      <c r="AR436" s="155"/>
      <c r="AS436" s="155"/>
      <c r="AT436" s="155"/>
      <c r="AU436" s="155"/>
      <c r="AV436" s="155"/>
      <c r="AW436" s="155"/>
      <c r="AX436" s="155"/>
      <c r="AY436" s="155"/>
      <c r="AZ436" s="155"/>
      <c r="BA436" s="155"/>
      <c r="BB436" s="155"/>
      <c r="BC436" s="155"/>
      <c r="BD436" s="155"/>
      <c r="BE436" s="155"/>
      <c r="BF436" s="155"/>
      <c r="BG436" s="155"/>
      <c r="BH436" s="155"/>
      <c r="BI436" s="155"/>
      <c r="BJ436" s="155"/>
      <c r="BK436" s="155"/>
      <c r="BL436" s="155"/>
      <c r="BM436" s="155"/>
      <c r="BN436" s="155"/>
      <c r="BO436" s="155"/>
      <c r="BP436" s="155"/>
      <c r="BQ436" s="155"/>
      <c r="BR436" s="155"/>
      <c r="BS436" s="155"/>
      <c r="BT436" s="155"/>
      <c r="BU436" s="155"/>
      <c r="BV436" s="155"/>
      <c r="BW436" s="155"/>
      <c r="BX436" s="155"/>
      <c r="BY436" s="155"/>
      <c r="BZ436" s="155"/>
      <c r="CA436" s="155"/>
      <c r="CB436" s="155"/>
      <c r="CC436" s="155"/>
      <c r="CD436" s="155"/>
      <c r="CE436" s="155"/>
      <c r="CF436" s="155"/>
      <c r="CG436" s="155"/>
    </row>
    <row r="437" spans="1:85" ht="12.75" x14ac:dyDescent="0.2">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c r="AA437" s="155"/>
      <c r="AB437" s="155"/>
      <c r="AC437" s="155"/>
      <c r="AD437" s="155"/>
      <c r="AE437" s="155"/>
      <c r="AF437" s="155"/>
      <c r="AG437" s="155"/>
      <c r="AH437" s="155"/>
      <c r="AI437" s="155"/>
      <c r="AJ437" s="155"/>
      <c r="AK437" s="155"/>
      <c r="AL437" s="155"/>
      <c r="AM437" s="155"/>
      <c r="AN437" s="155"/>
      <c r="AO437" s="155"/>
      <c r="AP437" s="155"/>
      <c r="AQ437" s="155"/>
      <c r="AR437" s="155"/>
      <c r="AS437" s="155"/>
      <c r="AT437" s="155"/>
      <c r="AU437" s="155"/>
      <c r="AV437" s="155"/>
      <c r="AW437" s="155"/>
      <c r="AX437" s="155"/>
      <c r="AY437" s="155"/>
      <c r="AZ437" s="155"/>
      <c r="BA437" s="155"/>
      <c r="BB437" s="155"/>
      <c r="BC437" s="155"/>
      <c r="BD437" s="155"/>
      <c r="BE437" s="155"/>
      <c r="BF437" s="155"/>
      <c r="BG437" s="155"/>
      <c r="BH437" s="155"/>
      <c r="BI437" s="155"/>
      <c r="BJ437" s="155"/>
      <c r="BK437" s="155"/>
      <c r="BL437" s="155"/>
      <c r="BM437" s="155"/>
      <c r="BN437" s="155"/>
      <c r="BO437" s="155"/>
      <c r="BP437" s="155"/>
      <c r="BQ437" s="155"/>
      <c r="BR437" s="155"/>
      <c r="BS437" s="155"/>
      <c r="BT437" s="155"/>
      <c r="BU437" s="155"/>
      <c r="BV437" s="155"/>
      <c r="BW437" s="155"/>
      <c r="BX437" s="155"/>
      <c r="BY437" s="155"/>
      <c r="BZ437" s="155"/>
      <c r="CA437" s="155"/>
      <c r="CB437" s="155"/>
      <c r="CC437" s="155"/>
      <c r="CD437" s="155"/>
      <c r="CE437" s="155"/>
      <c r="CF437" s="155"/>
      <c r="CG437" s="155"/>
    </row>
    <row r="438" spans="1:85" ht="12.75" x14ac:dyDescent="0.2">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c r="AA438" s="155"/>
      <c r="AB438" s="155"/>
      <c r="AC438" s="155"/>
      <c r="AD438" s="155"/>
      <c r="AE438" s="155"/>
      <c r="AF438" s="155"/>
      <c r="AG438" s="155"/>
      <c r="AH438" s="155"/>
      <c r="AI438" s="155"/>
      <c r="AJ438" s="155"/>
      <c r="AK438" s="155"/>
      <c r="AL438" s="155"/>
      <c r="AM438" s="155"/>
      <c r="AN438" s="155"/>
      <c r="AO438" s="155"/>
      <c r="AP438" s="155"/>
      <c r="AQ438" s="155"/>
      <c r="AR438" s="155"/>
      <c r="AS438" s="155"/>
      <c r="AT438" s="155"/>
      <c r="AU438" s="155"/>
      <c r="AV438" s="155"/>
      <c r="AW438" s="155"/>
      <c r="AX438" s="155"/>
      <c r="AY438" s="155"/>
      <c r="AZ438" s="155"/>
      <c r="BA438" s="155"/>
      <c r="BB438" s="155"/>
      <c r="BC438" s="155"/>
      <c r="BD438" s="155"/>
      <c r="BE438" s="155"/>
      <c r="BF438" s="155"/>
      <c r="BG438" s="155"/>
      <c r="BH438" s="155"/>
      <c r="BI438" s="155"/>
      <c r="BJ438" s="155"/>
      <c r="BK438" s="155"/>
      <c r="BL438" s="155"/>
      <c r="BM438" s="155"/>
      <c r="BN438" s="155"/>
      <c r="BO438" s="155"/>
      <c r="BP438" s="155"/>
      <c r="BQ438" s="155"/>
      <c r="BR438" s="155"/>
      <c r="BS438" s="155"/>
      <c r="BT438" s="155"/>
      <c r="BU438" s="155"/>
      <c r="BV438" s="155"/>
      <c r="BW438" s="155"/>
      <c r="BX438" s="155"/>
      <c r="BY438" s="155"/>
      <c r="BZ438" s="155"/>
      <c r="CA438" s="155"/>
      <c r="CB438" s="155"/>
      <c r="CC438" s="155"/>
      <c r="CD438" s="155"/>
      <c r="CE438" s="155"/>
      <c r="CF438" s="155"/>
      <c r="CG438" s="155"/>
    </row>
    <row r="439" spans="1:85" ht="12.75" x14ac:dyDescent="0.2">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c r="AA439" s="155"/>
      <c r="AB439" s="155"/>
      <c r="AC439" s="155"/>
      <c r="AD439" s="155"/>
      <c r="AE439" s="155"/>
      <c r="AF439" s="155"/>
      <c r="AG439" s="155"/>
      <c r="AH439" s="155"/>
      <c r="AI439" s="155"/>
      <c r="AJ439" s="155"/>
      <c r="AK439" s="155"/>
      <c r="AL439" s="155"/>
      <c r="AM439" s="155"/>
      <c r="AN439" s="155"/>
      <c r="AO439" s="155"/>
      <c r="AP439" s="155"/>
      <c r="AQ439" s="155"/>
      <c r="AR439" s="155"/>
      <c r="AS439" s="155"/>
      <c r="AT439" s="155"/>
      <c r="AU439" s="155"/>
      <c r="AV439" s="155"/>
      <c r="AW439" s="155"/>
      <c r="AX439" s="155"/>
      <c r="AY439" s="155"/>
      <c r="AZ439" s="155"/>
      <c r="BA439" s="155"/>
      <c r="BB439" s="155"/>
      <c r="BC439" s="155"/>
      <c r="BD439" s="155"/>
      <c r="BE439" s="155"/>
      <c r="BF439" s="155"/>
      <c r="BG439" s="155"/>
      <c r="BH439" s="155"/>
      <c r="BI439" s="155"/>
      <c r="BJ439" s="155"/>
      <c r="BK439" s="155"/>
      <c r="BL439" s="155"/>
      <c r="BM439" s="155"/>
      <c r="BN439" s="155"/>
      <c r="BO439" s="155"/>
      <c r="BP439" s="155"/>
      <c r="BQ439" s="155"/>
      <c r="BR439" s="155"/>
      <c r="BS439" s="155"/>
      <c r="BT439" s="155"/>
      <c r="BU439" s="155"/>
      <c r="BV439" s="155"/>
      <c r="BW439" s="155"/>
      <c r="BX439" s="155"/>
      <c r="BY439" s="155"/>
      <c r="BZ439" s="155"/>
      <c r="CA439" s="155"/>
      <c r="CB439" s="155"/>
      <c r="CC439" s="155"/>
      <c r="CD439" s="155"/>
      <c r="CE439" s="155"/>
      <c r="CF439" s="155"/>
      <c r="CG439" s="155"/>
    </row>
    <row r="440" spans="1:85" ht="12.75" x14ac:dyDescent="0.2">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c r="AA440" s="155"/>
      <c r="AB440" s="155"/>
      <c r="AC440" s="155"/>
      <c r="AD440" s="155"/>
      <c r="AE440" s="155"/>
      <c r="AF440" s="155"/>
      <c r="AG440" s="155"/>
      <c r="AH440" s="155"/>
      <c r="AI440" s="155"/>
      <c r="AJ440" s="155"/>
      <c r="AK440" s="155"/>
      <c r="AL440" s="155"/>
      <c r="AM440" s="155"/>
      <c r="AN440" s="155"/>
      <c r="AO440" s="155"/>
      <c r="AP440" s="155"/>
      <c r="AQ440" s="155"/>
      <c r="AR440" s="155"/>
      <c r="AS440" s="155"/>
      <c r="AT440" s="155"/>
      <c r="AU440" s="155"/>
      <c r="AV440" s="155"/>
      <c r="AW440" s="155"/>
      <c r="AX440" s="155"/>
      <c r="AY440" s="155"/>
      <c r="AZ440" s="155"/>
      <c r="BA440" s="155"/>
      <c r="BB440" s="155"/>
      <c r="BC440" s="155"/>
      <c r="BD440" s="155"/>
      <c r="BE440" s="155"/>
      <c r="BF440" s="155"/>
      <c r="BG440" s="155"/>
      <c r="BH440" s="155"/>
      <c r="BI440" s="155"/>
      <c r="BJ440" s="155"/>
      <c r="BK440" s="155"/>
      <c r="BL440" s="155"/>
      <c r="BM440" s="155"/>
      <c r="BN440" s="155"/>
      <c r="BO440" s="155"/>
      <c r="BP440" s="155"/>
      <c r="BQ440" s="155"/>
      <c r="BR440" s="155"/>
      <c r="BS440" s="155"/>
      <c r="BT440" s="155"/>
      <c r="BU440" s="155"/>
      <c r="BV440" s="155"/>
      <c r="BW440" s="155"/>
      <c r="BX440" s="155"/>
      <c r="BY440" s="155"/>
      <c r="BZ440" s="155"/>
      <c r="CA440" s="155"/>
      <c r="CB440" s="155"/>
      <c r="CC440" s="155"/>
      <c r="CD440" s="155"/>
      <c r="CE440" s="155"/>
      <c r="CF440" s="155"/>
      <c r="CG440" s="155"/>
    </row>
    <row r="441" spans="1:85" ht="12.75" x14ac:dyDescent="0.2">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c r="AA441" s="155"/>
      <c r="AB441" s="155"/>
      <c r="AC441" s="155"/>
      <c r="AD441" s="155"/>
      <c r="AE441" s="155"/>
      <c r="AF441" s="155"/>
      <c r="AG441" s="155"/>
      <c r="AH441" s="155"/>
      <c r="AI441" s="155"/>
      <c r="AJ441" s="155"/>
      <c r="AK441" s="155"/>
      <c r="AL441" s="155"/>
      <c r="AM441" s="155"/>
      <c r="AN441" s="155"/>
      <c r="AO441" s="155"/>
      <c r="AP441" s="155"/>
      <c r="AQ441" s="155"/>
      <c r="AR441" s="155"/>
      <c r="AS441" s="155"/>
      <c r="AT441" s="155"/>
      <c r="AU441" s="155"/>
      <c r="AV441" s="155"/>
      <c r="AW441" s="155"/>
      <c r="AX441" s="155"/>
      <c r="AY441" s="155"/>
      <c r="AZ441" s="155"/>
      <c r="BA441" s="155"/>
      <c r="BB441" s="155"/>
      <c r="BC441" s="155"/>
      <c r="BD441" s="155"/>
      <c r="BE441" s="155"/>
      <c r="BF441" s="155"/>
      <c r="BG441" s="155"/>
      <c r="BH441" s="155"/>
      <c r="BI441" s="155"/>
      <c r="BJ441" s="155"/>
      <c r="BK441" s="155"/>
      <c r="BL441" s="155"/>
      <c r="BM441" s="155"/>
      <c r="BN441" s="155"/>
      <c r="BO441" s="155"/>
      <c r="BP441" s="155"/>
      <c r="BQ441" s="155"/>
      <c r="BR441" s="155"/>
      <c r="BS441" s="155"/>
      <c r="BT441" s="155"/>
      <c r="BU441" s="155"/>
      <c r="BV441" s="155"/>
      <c r="BW441" s="155"/>
      <c r="BX441" s="155"/>
      <c r="BY441" s="155"/>
      <c r="BZ441" s="155"/>
      <c r="CA441" s="155"/>
      <c r="CB441" s="155"/>
      <c r="CC441" s="155"/>
      <c r="CD441" s="155"/>
      <c r="CE441" s="155"/>
      <c r="CF441" s="155"/>
      <c r="CG441" s="155"/>
    </row>
    <row r="442" spans="1:85" ht="12.75" x14ac:dyDescent="0.2">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c r="AA442" s="155"/>
      <c r="AB442" s="155"/>
      <c r="AC442" s="155"/>
      <c r="AD442" s="155"/>
      <c r="AE442" s="155"/>
      <c r="AF442" s="155"/>
      <c r="AG442" s="155"/>
      <c r="AH442" s="155"/>
      <c r="AI442" s="155"/>
      <c r="AJ442" s="155"/>
      <c r="AK442" s="155"/>
      <c r="AL442" s="155"/>
      <c r="AM442" s="155"/>
      <c r="AN442" s="155"/>
      <c r="AO442" s="155"/>
      <c r="AP442" s="155"/>
      <c r="AQ442" s="155"/>
      <c r="AR442" s="155"/>
      <c r="AS442" s="155"/>
      <c r="AT442" s="155"/>
      <c r="AU442" s="155"/>
      <c r="AV442" s="155"/>
      <c r="AW442" s="155"/>
      <c r="AX442" s="155"/>
      <c r="AY442" s="155"/>
      <c r="AZ442" s="155"/>
      <c r="BA442" s="155"/>
      <c r="BB442" s="155"/>
      <c r="BC442" s="155"/>
      <c r="BD442" s="155"/>
      <c r="BE442" s="155"/>
      <c r="BF442" s="155"/>
      <c r="BG442" s="155"/>
      <c r="BH442" s="155"/>
      <c r="BI442" s="155"/>
      <c r="BJ442" s="155"/>
      <c r="BK442" s="155"/>
      <c r="BL442" s="155"/>
      <c r="BM442" s="155"/>
      <c r="BN442" s="155"/>
      <c r="BO442" s="155"/>
      <c r="BP442" s="155"/>
      <c r="BQ442" s="155"/>
      <c r="BR442" s="155"/>
      <c r="BS442" s="155"/>
      <c r="BT442" s="155"/>
      <c r="BU442" s="155"/>
      <c r="BV442" s="155"/>
      <c r="BW442" s="155"/>
      <c r="BX442" s="155"/>
      <c r="BY442" s="155"/>
      <c r="BZ442" s="155"/>
      <c r="CA442" s="155"/>
      <c r="CB442" s="155"/>
      <c r="CC442" s="155"/>
      <c r="CD442" s="155"/>
      <c r="CE442" s="155"/>
      <c r="CF442" s="155"/>
      <c r="CG442" s="155"/>
    </row>
    <row r="443" spans="1:85" ht="12.75" x14ac:dyDescent="0.2">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c r="AA443" s="155"/>
      <c r="AB443" s="155"/>
      <c r="AC443" s="155"/>
      <c r="AD443" s="155"/>
      <c r="AE443" s="155"/>
      <c r="AF443" s="155"/>
      <c r="AG443" s="155"/>
      <c r="AH443" s="155"/>
      <c r="AI443" s="155"/>
      <c r="AJ443" s="155"/>
      <c r="AK443" s="155"/>
      <c r="AL443" s="155"/>
      <c r="AM443" s="155"/>
      <c r="AN443" s="155"/>
      <c r="AO443" s="155"/>
      <c r="AP443" s="155"/>
      <c r="AQ443" s="155"/>
      <c r="AR443" s="155"/>
      <c r="AS443" s="155"/>
      <c r="AT443" s="155"/>
      <c r="AU443" s="155"/>
      <c r="AV443" s="155"/>
      <c r="AW443" s="155"/>
      <c r="AX443" s="155"/>
      <c r="AY443" s="155"/>
      <c r="AZ443" s="155"/>
      <c r="BA443" s="155"/>
      <c r="BB443" s="155"/>
      <c r="BC443" s="155"/>
      <c r="BD443" s="155"/>
      <c r="BE443" s="155"/>
      <c r="BF443" s="155"/>
      <c r="BG443" s="155"/>
      <c r="BH443" s="155"/>
      <c r="BI443" s="155"/>
      <c r="BJ443" s="155"/>
      <c r="BK443" s="155"/>
      <c r="BL443" s="155"/>
      <c r="BM443" s="155"/>
      <c r="BN443" s="155"/>
      <c r="BO443" s="155"/>
      <c r="BP443" s="155"/>
      <c r="BQ443" s="155"/>
      <c r="BR443" s="155"/>
      <c r="BS443" s="155"/>
      <c r="BT443" s="155"/>
      <c r="BU443" s="155"/>
      <c r="BV443" s="155"/>
      <c r="BW443" s="155"/>
      <c r="BX443" s="155"/>
      <c r="BY443" s="155"/>
      <c r="BZ443" s="155"/>
      <c r="CA443" s="155"/>
      <c r="CB443" s="155"/>
      <c r="CC443" s="155"/>
      <c r="CD443" s="155"/>
      <c r="CE443" s="155"/>
      <c r="CF443" s="155"/>
      <c r="CG443" s="155"/>
    </row>
    <row r="444" spans="1:85" ht="12.75" x14ac:dyDescent="0.2">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c r="AA444" s="155"/>
      <c r="AB444" s="155"/>
      <c r="AC444" s="155"/>
      <c r="AD444" s="155"/>
      <c r="AE444" s="155"/>
      <c r="AF444" s="155"/>
      <c r="AG444" s="155"/>
      <c r="AH444" s="155"/>
      <c r="AI444" s="155"/>
      <c r="AJ444" s="155"/>
      <c r="AK444" s="155"/>
      <c r="AL444" s="155"/>
      <c r="AM444" s="155"/>
      <c r="AN444" s="155"/>
      <c r="AO444" s="155"/>
      <c r="AP444" s="155"/>
      <c r="AQ444" s="155"/>
      <c r="AR444" s="155"/>
      <c r="AS444" s="155"/>
      <c r="AT444" s="155"/>
      <c r="AU444" s="155"/>
      <c r="AV444" s="155"/>
      <c r="AW444" s="155"/>
      <c r="AX444" s="155"/>
      <c r="AY444" s="155"/>
      <c r="AZ444" s="155"/>
      <c r="BA444" s="155"/>
      <c r="BB444" s="155"/>
      <c r="BC444" s="155"/>
      <c r="BD444" s="155"/>
      <c r="BE444" s="155"/>
      <c r="BF444" s="155"/>
      <c r="BG444" s="155"/>
      <c r="BH444" s="155"/>
      <c r="BI444" s="155"/>
      <c r="BJ444" s="155"/>
      <c r="BK444" s="155"/>
      <c r="BL444" s="155"/>
      <c r="BM444" s="155"/>
      <c r="BN444" s="155"/>
      <c r="BO444" s="155"/>
      <c r="BP444" s="155"/>
      <c r="BQ444" s="155"/>
      <c r="BR444" s="155"/>
      <c r="BS444" s="155"/>
      <c r="BT444" s="155"/>
      <c r="BU444" s="155"/>
      <c r="BV444" s="155"/>
      <c r="BW444" s="155"/>
      <c r="BX444" s="155"/>
      <c r="BY444" s="155"/>
      <c r="BZ444" s="155"/>
      <c r="CA444" s="155"/>
      <c r="CB444" s="155"/>
      <c r="CC444" s="155"/>
      <c r="CD444" s="155"/>
      <c r="CE444" s="155"/>
      <c r="CF444" s="155"/>
      <c r="CG444" s="155"/>
    </row>
    <row r="445" spans="1:85" ht="12.75" x14ac:dyDescent="0.2">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c r="AA445" s="155"/>
      <c r="AB445" s="155"/>
      <c r="AC445" s="155"/>
      <c r="AD445" s="155"/>
      <c r="AE445" s="155"/>
      <c r="AF445" s="155"/>
      <c r="AG445" s="155"/>
      <c r="AH445" s="155"/>
      <c r="AI445" s="155"/>
      <c r="AJ445" s="155"/>
      <c r="AK445" s="155"/>
      <c r="AL445" s="155"/>
      <c r="AM445" s="155"/>
      <c r="AN445" s="155"/>
      <c r="AO445" s="155"/>
      <c r="AP445" s="155"/>
      <c r="AQ445" s="155"/>
      <c r="AR445" s="155"/>
      <c r="AS445" s="155"/>
      <c r="AT445" s="155"/>
      <c r="AU445" s="155"/>
      <c r="AV445" s="155"/>
      <c r="AW445" s="155"/>
      <c r="AX445" s="155"/>
      <c r="AY445" s="155"/>
      <c r="AZ445" s="155"/>
      <c r="BA445" s="155"/>
      <c r="BB445" s="155"/>
      <c r="BC445" s="155"/>
      <c r="BD445" s="155"/>
      <c r="BE445" s="155"/>
      <c r="BF445" s="155"/>
      <c r="BG445" s="155"/>
      <c r="BH445" s="155"/>
      <c r="BI445" s="155"/>
      <c r="BJ445" s="155"/>
      <c r="BK445" s="155"/>
      <c r="BL445" s="155"/>
      <c r="BM445" s="155"/>
      <c r="BN445" s="155"/>
      <c r="BO445" s="155"/>
      <c r="BP445" s="155"/>
      <c r="BQ445" s="155"/>
      <c r="BR445" s="155"/>
      <c r="BS445" s="155"/>
      <c r="BT445" s="155"/>
      <c r="BU445" s="155"/>
      <c r="BV445" s="155"/>
      <c r="BW445" s="155"/>
      <c r="BX445" s="155"/>
      <c r="BY445" s="155"/>
      <c r="BZ445" s="155"/>
      <c r="CA445" s="155"/>
      <c r="CB445" s="155"/>
      <c r="CC445" s="155"/>
      <c r="CD445" s="155"/>
      <c r="CE445" s="155"/>
      <c r="CF445" s="155"/>
      <c r="CG445" s="155"/>
    </row>
    <row r="446" spans="1:85" ht="12.75" x14ac:dyDescent="0.2">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55"/>
      <c r="AD446" s="155"/>
      <c r="AE446" s="155"/>
      <c r="AF446" s="155"/>
      <c r="AG446" s="155"/>
      <c r="AH446" s="155"/>
      <c r="AI446" s="155"/>
      <c r="AJ446" s="155"/>
      <c r="AK446" s="155"/>
      <c r="AL446" s="155"/>
      <c r="AM446" s="155"/>
      <c r="AN446" s="155"/>
      <c r="AO446" s="155"/>
      <c r="AP446" s="155"/>
      <c r="AQ446" s="155"/>
      <c r="AR446" s="155"/>
      <c r="AS446" s="155"/>
      <c r="AT446" s="155"/>
      <c r="AU446" s="155"/>
      <c r="AV446" s="155"/>
      <c r="AW446" s="155"/>
      <c r="AX446" s="155"/>
      <c r="AY446" s="155"/>
      <c r="AZ446" s="155"/>
      <c r="BA446" s="155"/>
      <c r="BB446" s="155"/>
      <c r="BC446" s="155"/>
      <c r="BD446" s="155"/>
      <c r="BE446" s="155"/>
      <c r="BF446" s="155"/>
      <c r="BG446" s="155"/>
      <c r="BH446" s="155"/>
      <c r="BI446" s="155"/>
      <c r="BJ446" s="155"/>
      <c r="BK446" s="155"/>
      <c r="BL446" s="155"/>
      <c r="BM446" s="155"/>
      <c r="BN446" s="155"/>
      <c r="BO446" s="155"/>
      <c r="BP446" s="155"/>
      <c r="BQ446" s="155"/>
      <c r="BR446" s="155"/>
      <c r="BS446" s="155"/>
      <c r="BT446" s="155"/>
      <c r="BU446" s="155"/>
      <c r="BV446" s="155"/>
      <c r="BW446" s="155"/>
      <c r="BX446" s="155"/>
      <c r="BY446" s="155"/>
      <c r="BZ446" s="155"/>
      <c r="CA446" s="155"/>
      <c r="CB446" s="155"/>
      <c r="CC446" s="155"/>
      <c r="CD446" s="155"/>
      <c r="CE446" s="155"/>
      <c r="CF446" s="155"/>
      <c r="CG446" s="155"/>
    </row>
    <row r="447" spans="1:85" ht="12.75" x14ac:dyDescent="0.2">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c r="AA447" s="155"/>
      <c r="AB447" s="155"/>
      <c r="AC447" s="155"/>
      <c r="AD447" s="155"/>
      <c r="AE447" s="155"/>
      <c r="AF447" s="155"/>
      <c r="AG447" s="155"/>
      <c r="AH447" s="155"/>
      <c r="AI447" s="155"/>
      <c r="AJ447" s="155"/>
      <c r="AK447" s="155"/>
      <c r="AL447" s="155"/>
      <c r="AM447" s="155"/>
      <c r="AN447" s="155"/>
      <c r="AO447" s="155"/>
      <c r="AP447" s="155"/>
      <c r="AQ447" s="155"/>
      <c r="AR447" s="155"/>
      <c r="AS447" s="155"/>
      <c r="AT447" s="155"/>
      <c r="AU447" s="155"/>
      <c r="AV447" s="155"/>
      <c r="AW447" s="155"/>
      <c r="AX447" s="155"/>
      <c r="AY447" s="155"/>
      <c r="AZ447" s="155"/>
      <c r="BA447" s="155"/>
      <c r="BB447" s="155"/>
      <c r="BC447" s="155"/>
      <c r="BD447" s="155"/>
      <c r="BE447" s="155"/>
      <c r="BF447" s="155"/>
      <c r="BG447" s="155"/>
      <c r="BH447" s="155"/>
      <c r="BI447" s="155"/>
      <c r="BJ447" s="155"/>
      <c r="BK447" s="155"/>
      <c r="BL447" s="155"/>
      <c r="BM447" s="155"/>
      <c r="BN447" s="155"/>
      <c r="BO447" s="155"/>
      <c r="BP447" s="155"/>
      <c r="BQ447" s="155"/>
      <c r="BR447" s="155"/>
      <c r="BS447" s="155"/>
      <c r="BT447" s="155"/>
      <c r="BU447" s="155"/>
      <c r="BV447" s="155"/>
      <c r="BW447" s="155"/>
      <c r="BX447" s="155"/>
      <c r="BY447" s="155"/>
      <c r="BZ447" s="155"/>
      <c r="CA447" s="155"/>
      <c r="CB447" s="155"/>
      <c r="CC447" s="155"/>
      <c r="CD447" s="155"/>
      <c r="CE447" s="155"/>
      <c r="CF447" s="155"/>
      <c r="CG447" s="155"/>
    </row>
    <row r="448" spans="1:85" ht="12.75" x14ac:dyDescent="0.2">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c r="AA448" s="155"/>
      <c r="AB448" s="155"/>
      <c r="AC448" s="155"/>
      <c r="AD448" s="155"/>
      <c r="AE448" s="155"/>
      <c r="AF448" s="155"/>
      <c r="AG448" s="155"/>
      <c r="AH448" s="155"/>
      <c r="AI448" s="155"/>
      <c r="AJ448" s="155"/>
      <c r="AK448" s="155"/>
      <c r="AL448" s="155"/>
      <c r="AM448" s="155"/>
      <c r="AN448" s="155"/>
      <c r="AO448" s="155"/>
      <c r="AP448" s="155"/>
      <c r="AQ448" s="155"/>
      <c r="AR448" s="155"/>
      <c r="AS448" s="155"/>
      <c r="AT448" s="155"/>
      <c r="AU448" s="155"/>
      <c r="AV448" s="155"/>
      <c r="AW448" s="155"/>
      <c r="AX448" s="155"/>
      <c r="AY448" s="155"/>
      <c r="AZ448" s="155"/>
      <c r="BA448" s="155"/>
      <c r="BB448" s="155"/>
      <c r="BC448" s="155"/>
      <c r="BD448" s="155"/>
      <c r="BE448" s="155"/>
      <c r="BF448" s="155"/>
      <c r="BG448" s="155"/>
      <c r="BH448" s="155"/>
      <c r="BI448" s="155"/>
      <c r="BJ448" s="155"/>
      <c r="BK448" s="155"/>
      <c r="BL448" s="155"/>
      <c r="BM448" s="155"/>
      <c r="BN448" s="155"/>
      <c r="BO448" s="155"/>
      <c r="BP448" s="155"/>
      <c r="BQ448" s="155"/>
      <c r="BR448" s="155"/>
      <c r="BS448" s="155"/>
      <c r="BT448" s="155"/>
      <c r="BU448" s="155"/>
      <c r="BV448" s="155"/>
      <c r="BW448" s="155"/>
      <c r="BX448" s="155"/>
      <c r="BY448" s="155"/>
      <c r="BZ448" s="155"/>
      <c r="CA448" s="155"/>
      <c r="CB448" s="155"/>
      <c r="CC448" s="155"/>
      <c r="CD448" s="155"/>
      <c r="CE448" s="155"/>
      <c r="CF448" s="155"/>
      <c r="CG448" s="155"/>
    </row>
    <row r="449" spans="1:85" ht="12.75" x14ac:dyDescent="0.2">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c r="AA449" s="155"/>
      <c r="AB449" s="155"/>
      <c r="AC449" s="155"/>
      <c r="AD449" s="155"/>
      <c r="AE449" s="155"/>
      <c r="AF449" s="155"/>
      <c r="AG449" s="155"/>
      <c r="AH449" s="155"/>
      <c r="AI449" s="155"/>
      <c r="AJ449" s="155"/>
      <c r="AK449" s="155"/>
      <c r="AL449" s="155"/>
      <c r="AM449" s="155"/>
      <c r="AN449" s="155"/>
      <c r="AO449" s="155"/>
      <c r="AP449" s="155"/>
      <c r="AQ449" s="155"/>
      <c r="AR449" s="155"/>
      <c r="AS449" s="155"/>
      <c r="AT449" s="155"/>
      <c r="AU449" s="155"/>
      <c r="AV449" s="155"/>
      <c r="AW449" s="155"/>
      <c r="AX449" s="155"/>
      <c r="AY449" s="155"/>
      <c r="AZ449" s="155"/>
      <c r="BA449" s="155"/>
      <c r="BB449" s="155"/>
      <c r="BC449" s="155"/>
      <c r="BD449" s="155"/>
      <c r="BE449" s="155"/>
      <c r="BF449" s="155"/>
      <c r="BG449" s="155"/>
      <c r="BH449" s="155"/>
      <c r="BI449" s="155"/>
      <c r="BJ449" s="155"/>
      <c r="BK449" s="155"/>
      <c r="BL449" s="155"/>
      <c r="BM449" s="155"/>
      <c r="BN449" s="155"/>
      <c r="BO449" s="155"/>
      <c r="BP449" s="155"/>
      <c r="BQ449" s="155"/>
      <c r="BR449" s="155"/>
      <c r="BS449" s="155"/>
      <c r="BT449" s="155"/>
      <c r="BU449" s="155"/>
      <c r="BV449" s="155"/>
      <c r="BW449" s="155"/>
      <c r="BX449" s="155"/>
      <c r="BY449" s="155"/>
      <c r="BZ449" s="155"/>
      <c r="CA449" s="155"/>
      <c r="CB449" s="155"/>
      <c r="CC449" s="155"/>
      <c r="CD449" s="155"/>
      <c r="CE449" s="155"/>
      <c r="CF449" s="155"/>
      <c r="CG449" s="155"/>
    </row>
    <row r="450" spans="1:85" ht="12.75" x14ac:dyDescent="0.2">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c r="AA450" s="155"/>
      <c r="AB450" s="155"/>
      <c r="AC450" s="155"/>
      <c r="AD450" s="155"/>
      <c r="AE450" s="155"/>
      <c r="AF450" s="155"/>
      <c r="AG450" s="155"/>
      <c r="AH450" s="155"/>
      <c r="AI450" s="155"/>
      <c r="AJ450" s="155"/>
      <c r="AK450" s="155"/>
      <c r="AL450" s="155"/>
      <c r="AM450" s="155"/>
      <c r="AN450" s="155"/>
      <c r="AO450" s="155"/>
      <c r="AP450" s="155"/>
      <c r="AQ450" s="155"/>
      <c r="AR450" s="155"/>
      <c r="AS450" s="155"/>
      <c r="AT450" s="155"/>
      <c r="AU450" s="155"/>
      <c r="AV450" s="155"/>
      <c r="AW450" s="155"/>
      <c r="AX450" s="155"/>
      <c r="AY450" s="155"/>
      <c r="AZ450" s="155"/>
      <c r="BA450" s="155"/>
      <c r="BB450" s="155"/>
      <c r="BC450" s="155"/>
      <c r="BD450" s="155"/>
      <c r="BE450" s="155"/>
      <c r="BF450" s="155"/>
      <c r="BG450" s="155"/>
      <c r="BH450" s="155"/>
      <c r="BI450" s="155"/>
      <c r="BJ450" s="155"/>
      <c r="BK450" s="155"/>
      <c r="BL450" s="155"/>
      <c r="BM450" s="155"/>
      <c r="BN450" s="155"/>
      <c r="BO450" s="155"/>
      <c r="BP450" s="155"/>
      <c r="BQ450" s="155"/>
      <c r="BR450" s="155"/>
      <c r="BS450" s="155"/>
      <c r="BT450" s="155"/>
      <c r="BU450" s="155"/>
      <c r="BV450" s="155"/>
      <c r="BW450" s="155"/>
      <c r="BX450" s="155"/>
      <c r="BY450" s="155"/>
      <c r="BZ450" s="155"/>
      <c r="CA450" s="155"/>
      <c r="CB450" s="155"/>
      <c r="CC450" s="155"/>
      <c r="CD450" s="155"/>
      <c r="CE450" s="155"/>
      <c r="CF450" s="155"/>
      <c r="CG450" s="155"/>
    </row>
    <row r="451" spans="1:85" ht="12.75" x14ac:dyDescent="0.2">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c r="AA451" s="155"/>
      <c r="AB451" s="155"/>
      <c r="AC451" s="155"/>
      <c r="AD451" s="155"/>
      <c r="AE451" s="155"/>
      <c r="AF451" s="155"/>
      <c r="AG451" s="155"/>
      <c r="AH451" s="155"/>
      <c r="AI451" s="155"/>
      <c r="AJ451" s="155"/>
      <c r="AK451" s="155"/>
      <c r="AL451" s="155"/>
      <c r="AM451" s="155"/>
      <c r="AN451" s="155"/>
      <c r="AO451" s="155"/>
      <c r="AP451" s="155"/>
      <c r="AQ451" s="155"/>
      <c r="AR451" s="155"/>
      <c r="AS451" s="155"/>
      <c r="AT451" s="155"/>
      <c r="AU451" s="155"/>
      <c r="AV451" s="155"/>
      <c r="AW451" s="155"/>
      <c r="AX451" s="155"/>
      <c r="AY451" s="155"/>
      <c r="AZ451" s="155"/>
      <c r="BA451" s="155"/>
      <c r="BB451" s="155"/>
      <c r="BC451" s="155"/>
      <c r="BD451" s="155"/>
      <c r="BE451" s="155"/>
      <c r="BF451" s="155"/>
      <c r="BG451" s="155"/>
      <c r="BH451" s="155"/>
      <c r="BI451" s="155"/>
      <c r="BJ451" s="155"/>
      <c r="BK451" s="155"/>
      <c r="BL451" s="155"/>
      <c r="BM451" s="155"/>
      <c r="BN451" s="155"/>
      <c r="BO451" s="155"/>
      <c r="BP451" s="155"/>
      <c r="BQ451" s="155"/>
      <c r="BR451" s="155"/>
      <c r="BS451" s="155"/>
      <c r="BT451" s="155"/>
      <c r="BU451" s="155"/>
      <c r="BV451" s="155"/>
      <c r="BW451" s="155"/>
      <c r="BX451" s="155"/>
      <c r="BY451" s="155"/>
      <c r="BZ451" s="155"/>
      <c r="CA451" s="155"/>
      <c r="CB451" s="155"/>
      <c r="CC451" s="155"/>
      <c r="CD451" s="155"/>
      <c r="CE451" s="155"/>
      <c r="CF451" s="155"/>
      <c r="CG451" s="155"/>
    </row>
    <row r="452" spans="1:85" ht="12.75" x14ac:dyDescent="0.2">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c r="AA452" s="155"/>
      <c r="AB452" s="155"/>
      <c r="AC452" s="155"/>
      <c r="AD452" s="155"/>
      <c r="AE452" s="155"/>
      <c r="AF452" s="155"/>
      <c r="AG452" s="155"/>
      <c r="AH452" s="155"/>
      <c r="AI452" s="155"/>
      <c r="AJ452" s="155"/>
      <c r="AK452" s="155"/>
      <c r="AL452" s="155"/>
      <c r="AM452" s="155"/>
      <c r="AN452" s="155"/>
      <c r="AO452" s="155"/>
      <c r="AP452" s="155"/>
      <c r="AQ452" s="155"/>
      <c r="AR452" s="155"/>
      <c r="AS452" s="155"/>
      <c r="AT452" s="155"/>
      <c r="AU452" s="155"/>
      <c r="AV452" s="155"/>
      <c r="AW452" s="155"/>
      <c r="AX452" s="155"/>
      <c r="AY452" s="155"/>
      <c r="AZ452" s="155"/>
      <c r="BA452" s="155"/>
      <c r="BB452" s="155"/>
      <c r="BC452" s="155"/>
      <c r="BD452" s="155"/>
      <c r="BE452" s="155"/>
      <c r="BF452" s="155"/>
      <c r="BG452" s="155"/>
      <c r="BH452" s="155"/>
      <c r="BI452" s="155"/>
      <c r="BJ452" s="155"/>
      <c r="BK452" s="155"/>
      <c r="BL452" s="155"/>
      <c r="BM452" s="155"/>
      <c r="BN452" s="155"/>
      <c r="BO452" s="155"/>
      <c r="BP452" s="155"/>
      <c r="BQ452" s="155"/>
      <c r="BR452" s="155"/>
      <c r="BS452" s="155"/>
      <c r="BT452" s="155"/>
      <c r="BU452" s="155"/>
      <c r="BV452" s="155"/>
      <c r="BW452" s="155"/>
      <c r="BX452" s="155"/>
      <c r="BY452" s="155"/>
      <c r="BZ452" s="155"/>
      <c r="CA452" s="155"/>
      <c r="CB452" s="155"/>
      <c r="CC452" s="155"/>
      <c r="CD452" s="155"/>
      <c r="CE452" s="155"/>
      <c r="CF452" s="155"/>
      <c r="CG452" s="155"/>
    </row>
    <row r="453" spans="1:85" ht="12.75" x14ac:dyDescent="0.2">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c r="AA453" s="155"/>
      <c r="AB453" s="155"/>
      <c r="AC453" s="155"/>
      <c r="AD453" s="155"/>
      <c r="AE453" s="155"/>
      <c r="AF453" s="155"/>
      <c r="AG453" s="155"/>
      <c r="AH453" s="155"/>
      <c r="AI453" s="155"/>
      <c r="AJ453" s="155"/>
      <c r="AK453" s="155"/>
      <c r="AL453" s="155"/>
      <c r="AM453" s="155"/>
      <c r="AN453" s="155"/>
      <c r="AO453" s="155"/>
      <c r="AP453" s="155"/>
      <c r="AQ453" s="155"/>
      <c r="AR453" s="155"/>
      <c r="AS453" s="155"/>
      <c r="AT453" s="155"/>
      <c r="AU453" s="155"/>
      <c r="AV453" s="155"/>
      <c r="AW453" s="155"/>
      <c r="AX453" s="155"/>
      <c r="AY453" s="155"/>
      <c r="AZ453" s="155"/>
      <c r="BA453" s="155"/>
      <c r="BB453" s="155"/>
      <c r="BC453" s="155"/>
      <c r="BD453" s="155"/>
      <c r="BE453" s="155"/>
      <c r="BF453" s="155"/>
      <c r="BG453" s="155"/>
      <c r="BH453" s="155"/>
      <c r="BI453" s="155"/>
      <c r="BJ453" s="155"/>
      <c r="BK453" s="155"/>
      <c r="BL453" s="155"/>
      <c r="BM453" s="155"/>
      <c r="BN453" s="155"/>
      <c r="BO453" s="155"/>
      <c r="BP453" s="155"/>
      <c r="BQ453" s="155"/>
      <c r="BR453" s="155"/>
      <c r="BS453" s="155"/>
      <c r="BT453" s="155"/>
      <c r="BU453" s="155"/>
      <c r="BV453" s="155"/>
      <c r="BW453" s="155"/>
      <c r="BX453" s="155"/>
      <c r="BY453" s="155"/>
      <c r="BZ453" s="155"/>
      <c r="CA453" s="155"/>
      <c r="CB453" s="155"/>
      <c r="CC453" s="155"/>
      <c r="CD453" s="155"/>
      <c r="CE453" s="155"/>
      <c r="CF453" s="155"/>
      <c r="CG453" s="155"/>
    </row>
    <row r="454" spans="1:85" ht="12.75" x14ac:dyDescent="0.2">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c r="AA454" s="155"/>
      <c r="AB454" s="155"/>
      <c r="AC454" s="155"/>
      <c r="AD454" s="155"/>
      <c r="AE454" s="155"/>
      <c r="AF454" s="155"/>
      <c r="AG454" s="155"/>
      <c r="AH454" s="155"/>
      <c r="AI454" s="155"/>
      <c r="AJ454" s="155"/>
      <c r="AK454" s="155"/>
      <c r="AL454" s="155"/>
      <c r="AM454" s="155"/>
      <c r="AN454" s="155"/>
      <c r="AO454" s="155"/>
      <c r="AP454" s="155"/>
      <c r="AQ454" s="155"/>
      <c r="AR454" s="155"/>
      <c r="AS454" s="155"/>
      <c r="AT454" s="155"/>
      <c r="AU454" s="155"/>
      <c r="AV454" s="155"/>
      <c r="AW454" s="155"/>
      <c r="AX454" s="155"/>
      <c r="AY454" s="155"/>
      <c r="AZ454" s="155"/>
      <c r="BA454" s="155"/>
      <c r="BB454" s="155"/>
      <c r="BC454" s="155"/>
      <c r="BD454" s="155"/>
      <c r="BE454" s="155"/>
      <c r="BF454" s="155"/>
      <c r="BG454" s="155"/>
      <c r="BH454" s="155"/>
      <c r="BI454" s="155"/>
      <c r="BJ454" s="155"/>
      <c r="BK454" s="155"/>
      <c r="BL454" s="155"/>
      <c r="BM454" s="155"/>
      <c r="BN454" s="155"/>
      <c r="BO454" s="155"/>
      <c r="BP454" s="155"/>
      <c r="BQ454" s="155"/>
      <c r="BR454" s="155"/>
      <c r="BS454" s="155"/>
      <c r="BT454" s="155"/>
      <c r="BU454" s="155"/>
      <c r="BV454" s="155"/>
      <c r="BW454" s="155"/>
      <c r="BX454" s="155"/>
      <c r="BY454" s="155"/>
      <c r="BZ454" s="155"/>
      <c r="CA454" s="155"/>
      <c r="CB454" s="155"/>
      <c r="CC454" s="155"/>
      <c r="CD454" s="155"/>
      <c r="CE454" s="155"/>
      <c r="CF454" s="155"/>
      <c r="CG454" s="155"/>
    </row>
    <row r="455" spans="1:85" ht="12.75" x14ac:dyDescent="0.2">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c r="AA455" s="155"/>
      <c r="AB455" s="155"/>
      <c r="AC455" s="155"/>
      <c r="AD455" s="155"/>
      <c r="AE455" s="155"/>
      <c r="AF455" s="155"/>
      <c r="AG455" s="155"/>
      <c r="AH455" s="155"/>
      <c r="AI455" s="155"/>
      <c r="AJ455" s="155"/>
      <c r="AK455" s="155"/>
      <c r="AL455" s="155"/>
      <c r="AM455" s="155"/>
      <c r="AN455" s="155"/>
      <c r="AO455" s="155"/>
      <c r="AP455" s="155"/>
      <c r="AQ455" s="155"/>
      <c r="AR455" s="155"/>
      <c r="AS455" s="155"/>
      <c r="AT455" s="155"/>
      <c r="AU455" s="155"/>
      <c r="AV455" s="155"/>
      <c r="AW455" s="155"/>
      <c r="AX455" s="155"/>
      <c r="AY455" s="155"/>
      <c r="AZ455" s="155"/>
      <c r="BA455" s="155"/>
      <c r="BB455" s="155"/>
      <c r="BC455" s="155"/>
      <c r="BD455" s="155"/>
      <c r="BE455" s="155"/>
      <c r="BF455" s="155"/>
      <c r="BG455" s="155"/>
      <c r="BH455" s="155"/>
      <c r="BI455" s="155"/>
      <c r="BJ455" s="155"/>
      <c r="BK455" s="155"/>
      <c r="BL455" s="155"/>
      <c r="BM455" s="155"/>
      <c r="BN455" s="155"/>
      <c r="BO455" s="155"/>
      <c r="BP455" s="155"/>
      <c r="BQ455" s="155"/>
      <c r="BR455" s="155"/>
      <c r="BS455" s="155"/>
      <c r="BT455" s="155"/>
      <c r="BU455" s="155"/>
      <c r="BV455" s="155"/>
      <c r="BW455" s="155"/>
      <c r="BX455" s="155"/>
      <c r="BY455" s="155"/>
      <c r="BZ455" s="155"/>
      <c r="CA455" s="155"/>
      <c r="CB455" s="155"/>
      <c r="CC455" s="155"/>
      <c r="CD455" s="155"/>
      <c r="CE455" s="155"/>
      <c r="CF455" s="155"/>
      <c r="CG455" s="155"/>
    </row>
    <row r="456" spans="1:85" ht="12.75" x14ac:dyDescent="0.2">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c r="AA456" s="155"/>
      <c r="AB456" s="155"/>
      <c r="AC456" s="155"/>
      <c r="AD456" s="155"/>
      <c r="AE456" s="155"/>
      <c r="AF456" s="155"/>
      <c r="AG456" s="155"/>
      <c r="AH456" s="155"/>
      <c r="AI456" s="155"/>
      <c r="AJ456" s="155"/>
      <c r="AK456" s="155"/>
      <c r="AL456" s="155"/>
      <c r="AM456" s="155"/>
      <c r="AN456" s="155"/>
      <c r="AO456" s="155"/>
      <c r="AP456" s="155"/>
      <c r="AQ456" s="155"/>
      <c r="AR456" s="155"/>
      <c r="AS456" s="155"/>
      <c r="AT456" s="155"/>
      <c r="AU456" s="155"/>
      <c r="AV456" s="155"/>
      <c r="AW456" s="155"/>
      <c r="AX456" s="155"/>
      <c r="AY456" s="155"/>
      <c r="AZ456" s="155"/>
      <c r="BA456" s="155"/>
      <c r="BB456" s="155"/>
      <c r="BC456" s="155"/>
      <c r="BD456" s="155"/>
      <c r="BE456" s="155"/>
      <c r="BF456" s="155"/>
      <c r="BG456" s="155"/>
      <c r="BH456" s="155"/>
      <c r="BI456" s="155"/>
      <c r="BJ456" s="155"/>
      <c r="BK456" s="155"/>
      <c r="BL456" s="155"/>
      <c r="BM456" s="155"/>
      <c r="BN456" s="155"/>
      <c r="BO456" s="155"/>
      <c r="BP456" s="155"/>
      <c r="BQ456" s="155"/>
      <c r="BR456" s="155"/>
      <c r="BS456" s="155"/>
      <c r="BT456" s="155"/>
      <c r="BU456" s="155"/>
      <c r="BV456" s="155"/>
      <c r="BW456" s="155"/>
      <c r="BX456" s="155"/>
      <c r="BY456" s="155"/>
      <c r="BZ456" s="155"/>
      <c r="CA456" s="155"/>
      <c r="CB456" s="155"/>
      <c r="CC456" s="155"/>
      <c r="CD456" s="155"/>
      <c r="CE456" s="155"/>
      <c r="CF456" s="155"/>
      <c r="CG456" s="155"/>
    </row>
    <row r="457" spans="1:85" ht="12.75" x14ac:dyDescent="0.2">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c r="AA457" s="155"/>
      <c r="AB457" s="155"/>
      <c r="AC457" s="155"/>
      <c r="AD457" s="155"/>
      <c r="AE457" s="155"/>
      <c r="AF457" s="155"/>
      <c r="AG457" s="155"/>
      <c r="AH457" s="155"/>
      <c r="AI457" s="155"/>
      <c r="AJ457" s="155"/>
      <c r="AK457" s="155"/>
      <c r="AL457" s="155"/>
      <c r="AM457" s="155"/>
      <c r="AN457" s="155"/>
      <c r="AO457" s="155"/>
      <c r="AP457" s="155"/>
      <c r="AQ457" s="155"/>
      <c r="AR457" s="155"/>
      <c r="AS457" s="155"/>
      <c r="AT457" s="155"/>
      <c r="AU457" s="155"/>
      <c r="AV457" s="155"/>
      <c r="AW457" s="155"/>
      <c r="AX457" s="155"/>
      <c r="AY457" s="155"/>
      <c r="AZ457" s="155"/>
      <c r="BA457" s="155"/>
      <c r="BB457" s="155"/>
      <c r="BC457" s="155"/>
      <c r="BD457" s="155"/>
      <c r="BE457" s="155"/>
      <c r="BF457" s="155"/>
      <c r="BG457" s="155"/>
      <c r="BH457" s="155"/>
      <c r="BI457" s="155"/>
      <c r="BJ457" s="155"/>
      <c r="BK457" s="155"/>
      <c r="BL457" s="155"/>
      <c r="BM457" s="155"/>
      <c r="BN457" s="155"/>
      <c r="BO457" s="155"/>
      <c r="BP457" s="155"/>
      <c r="BQ457" s="155"/>
      <c r="BR457" s="155"/>
      <c r="BS457" s="155"/>
      <c r="BT457" s="155"/>
      <c r="BU457" s="155"/>
      <c r="BV457" s="155"/>
      <c r="BW457" s="155"/>
      <c r="BX457" s="155"/>
      <c r="BY457" s="155"/>
      <c r="BZ457" s="155"/>
      <c r="CA457" s="155"/>
      <c r="CB457" s="155"/>
      <c r="CC457" s="155"/>
      <c r="CD457" s="155"/>
      <c r="CE457" s="155"/>
      <c r="CF457" s="155"/>
      <c r="CG457" s="155"/>
    </row>
    <row r="458" spans="1:85" ht="12.75" x14ac:dyDescent="0.2">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c r="AA458" s="155"/>
      <c r="AB458" s="155"/>
      <c r="AC458" s="155"/>
      <c r="AD458" s="155"/>
      <c r="AE458" s="155"/>
      <c r="AF458" s="155"/>
      <c r="AG458" s="155"/>
      <c r="AH458" s="155"/>
      <c r="AI458" s="155"/>
      <c r="AJ458" s="155"/>
      <c r="AK458" s="155"/>
      <c r="AL458" s="155"/>
      <c r="AM458" s="155"/>
      <c r="AN458" s="155"/>
      <c r="AO458" s="155"/>
      <c r="AP458" s="155"/>
      <c r="AQ458" s="155"/>
      <c r="AR458" s="155"/>
      <c r="AS458" s="155"/>
      <c r="AT458" s="155"/>
      <c r="AU458" s="155"/>
      <c r="AV458" s="155"/>
      <c r="AW458" s="155"/>
      <c r="AX458" s="155"/>
      <c r="AY458" s="155"/>
      <c r="AZ458" s="155"/>
      <c r="BA458" s="155"/>
      <c r="BB458" s="155"/>
      <c r="BC458" s="155"/>
      <c r="BD458" s="155"/>
      <c r="BE458" s="155"/>
      <c r="BF458" s="155"/>
      <c r="BG458" s="155"/>
      <c r="BH458" s="155"/>
      <c r="BI458" s="155"/>
      <c r="BJ458" s="155"/>
      <c r="BK458" s="155"/>
      <c r="BL458" s="155"/>
      <c r="BM458" s="155"/>
      <c r="BN458" s="155"/>
      <c r="BO458" s="155"/>
      <c r="BP458" s="155"/>
      <c r="BQ458" s="155"/>
      <c r="BR458" s="155"/>
      <c r="BS458" s="155"/>
      <c r="BT458" s="155"/>
      <c r="BU458" s="155"/>
      <c r="BV458" s="155"/>
      <c r="BW458" s="155"/>
      <c r="BX458" s="155"/>
      <c r="BY458" s="155"/>
      <c r="BZ458" s="155"/>
      <c r="CA458" s="155"/>
      <c r="CB458" s="155"/>
      <c r="CC458" s="155"/>
      <c r="CD458" s="155"/>
      <c r="CE458" s="155"/>
      <c r="CF458" s="155"/>
      <c r="CG458" s="155"/>
    </row>
    <row r="459" spans="1:85" ht="12.75" x14ac:dyDescent="0.2">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c r="AA459" s="155"/>
      <c r="AB459" s="155"/>
      <c r="AC459" s="155"/>
      <c r="AD459" s="155"/>
      <c r="AE459" s="155"/>
      <c r="AF459" s="155"/>
      <c r="AG459" s="155"/>
      <c r="AH459" s="155"/>
      <c r="AI459" s="155"/>
      <c r="AJ459" s="155"/>
      <c r="AK459" s="155"/>
      <c r="AL459" s="155"/>
      <c r="AM459" s="155"/>
      <c r="AN459" s="155"/>
      <c r="AO459" s="155"/>
      <c r="AP459" s="155"/>
      <c r="AQ459" s="155"/>
      <c r="AR459" s="155"/>
      <c r="AS459" s="155"/>
      <c r="AT459" s="155"/>
      <c r="AU459" s="155"/>
      <c r="AV459" s="155"/>
      <c r="AW459" s="155"/>
      <c r="AX459" s="155"/>
      <c r="AY459" s="155"/>
      <c r="AZ459" s="155"/>
      <c r="BA459" s="155"/>
      <c r="BB459" s="155"/>
      <c r="BC459" s="155"/>
      <c r="BD459" s="155"/>
      <c r="BE459" s="155"/>
      <c r="BF459" s="155"/>
      <c r="BG459" s="155"/>
      <c r="BH459" s="155"/>
      <c r="BI459" s="155"/>
      <c r="BJ459" s="155"/>
      <c r="BK459" s="155"/>
      <c r="BL459" s="155"/>
      <c r="BM459" s="155"/>
      <c r="BN459" s="155"/>
      <c r="BO459" s="155"/>
      <c r="BP459" s="155"/>
      <c r="BQ459" s="155"/>
      <c r="BR459" s="155"/>
      <c r="BS459" s="155"/>
      <c r="BT459" s="155"/>
      <c r="BU459" s="155"/>
      <c r="BV459" s="155"/>
      <c r="BW459" s="155"/>
      <c r="BX459" s="155"/>
      <c r="BY459" s="155"/>
      <c r="BZ459" s="155"/>
      <c r="CA459" s="155"/>
      <c r="CB459" s="155"/>
      <c r="CC459" s="155"/>
      <c r="CD459" s="155"/>
      <c r="CE459" s="155"/>
      <c r="CF459" s="155"/>
      <c r="CG459" s="155"/>
    </row>
    <row r="460" spans="1:85" ht="12.75" x14ac:dyDescent="0.2">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c r="AA460" s="155"/>
      <c r="AB460" s="155"/>
      <c r="AC460" s="155"/>
      <c r="AD460" s="155"/>
      <c r="AE460" s="155"/>
      <c r="AF460" s="155"/>
      <c r="AG460" s="155"/>
      <c r="AH460" s="155"/>
      <c r="AI460" s="155"/>
      <c r="AJ460" s="155"/>
      <c r="AK460" s="155"/>
      <c r="AL460" s="155"/>
      <c r="AM460" s="155"/>
      <c r="AN460" s="155"/>
      <c r="AO460" s="155"/>
      <c r="AP460" s="155"/>
      <c r="AQ460" s="155"/>
      <c r="AR460" s="155"/>
      <c r="AS460" s="155"/>
      <c r="AT460" s="155"/>
      <c r="AU460" s="155"/>
      <c r="AV460" s="155"/>
      <c r="AW460" s="155"/>
      <c r="AX460" s="155"/>
      <c r="AY460" s="155"/>
      <c r="AZ460" s="155"/>
      <c r="BA460" s="155"/>
      <c r="BB460" s="155"/>
      <c r="BC460" s="155"/>
      <c r="BD460" s="155"/>
      <c r="BE460" s="155"/>
      <c r="BF460" s="155"/>
      <c r="BG460" s="155"/>
      <c r="BH460" s="155"/>
      <c r="BI460" s="155"/>
      <c r="BJ460" s="155"/>
      <c r="BK460" s="155"/>
      <c r="BL460" s="155"/>
      <c r="BM460" s="155"/>
      <c r="BN460" s="155"/>
      <c r="BO460" s="155"/>
      <c r="BP460" s="155"/>
      <c r="BQ460" s="155"/>
      <c r="BR460" s="155"/>
      <c r="BS460" s="155"/>
      <c r="BT460" s="155"/>
      <c r="BU460" s="155"/>
      <c r="BV460" s="155"/>
      <c r="BW460" s="155"/>
      <c r="BX460" s="155"/>
      <c r="BY460" s="155"/>
      <c r="BZ460" s="155"/>
      <c r="CA460" s="155"/>
      <c r="CB460" s="155"/>
      <c r="CC460" s="155"/>
      <c r="CD460" s="155"/>
      <c r="CE460" s="155"/>
      <c r="CF460" s="155"/>
      <c r="CG460" s="155"/>
    </row>
    <row r="461" spans="1:85" ht="12.75" x14ac:dyDescent="0.2">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c r="AA461" s="155"/>
      <c r="AB461" s="155"/>
      <c r="AC461" s="155"/>
      <c r="AD461" s="155"/>
      <c r="AE461" s="155"/>
      <c r="AF461" s="155"/>
      <c r="AG461" s="155"/>
      <c r="AH461" s="155"/>
      <c r="AI461" s="155"/>
      <c r="AJ461" s="155"/>
      <c r="AK461" s="155"/>
      <c r="AL461" s="155"/>
      <c r="AM461" s="155"/>
      <c r="AN461" s="155"/>
      <c r="AO461" s="155"/>
      <c r="AP461" s="155"/>
      <c r="AQ461" s="155"/>
      <c r="AR461" s="155"/>
      <c r="AS461" s="155"/>
      <c r="AT461" s="155"/>
      <c r="AU461" s="155"/>
      <c r="AV461" s="155"/>
      <c r="AW461" s="155"/>
      <c r="AX461" s="155"/>
      <c r="AY461" s="155"/>
      <c r="AZ461" s="155"/>
      <c r="BA461" s="155"/>
      <c r="BB461" s="155"/>
      <c r="BC461" s="155"/>
      <c r="BD461" s="155"/>
      <c r="BE461" s="155"/>
      <c r="BF461" s="155"/>
      <c r="BG461" s="155"/>
      <c r="BH461" s="155"/>
      <c r="BI461" s="155"/>
      <c r="BJ461" s="155"/>
      <c r="BK461" s="155"/>
      <c r="BL461" s="155"/>
      <c r="BM461" s="155"/>
      <c r="BN461" s="155"/>
      <c r="BO461" s="155"/>
      <c r="BP461" s="155"/>
      <c r="BQ461" s="155"/>
      <c r="BR461" s="155"/>
      <c r="BS461" s="155"/>
      <c r="BT461" s="155"/>
      <c r="BU461" s="155"/>
      <c r="BV461" s="155"/>
      <c r="BW461" s="155"/>
      <c r="BX461" s="155"/>
      <c r="BY461" s="155"/>
      <c r="BZ461" s="155"/>
      <c r="CA461" s="155"/>
      <c r="CB461" s="155"/>
      <c r="CC461" s="155"/>
      <c r="CD461" s="155"/>
      <c r="CE461" s="155"/>
      <c r="CF461" s="155"/>
      <c r="CG461" s="155"/>
    </row>
    <row r="462" spans="1:85" ht="12.75" x14ac:dyDescent="0.2">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c r="AA462" s="155"/>
      <c r="AB462" s="155"/>
      <c r="AC462" s="155"/>
      <c r="AD462" s="155"/>
      <c r="AE462" s="155"/>
      <c r="AF462" s="155"/>
      <c r="AG462" s="155"/>
      <c r="AH462" s="155"/>
      <c r="AI462" s="155"/>
      <c r="AJ462" s="155"/>
      <c r="AK462" s="155"/>
      <c r="AL462" s="155"/>
      <c r="AM462" s="155"/>
      <c r="AN462" s="155"/>
      <c r="AO462" s="155"/>
      <c r="AP462" s="155"/>
      <c r="AQ462" s="155"/>
      <c r="AR462" s="155"/>
      <c r="AS462" s="155"/>
      <c r="AT462" s="155"/>
      <c r="AU462" s="155"/>
      <c r="AV462" s="155"/>
      <c r="AW462" s="155"/>
      <c r="AX462" s="155"/>
      <c r="AY462" s="155"/>
      <c r="AZ462" s="155"/>
      <c r="BA462" s="155"/>
      <c r="BB462" s="155"/>
      <c r="BC462" s="155"/>
      <c r="BD462" s="155"/>
      <c r="BE462" s="155"/>
      <c r="BF462" s="155"/>
      <c r="BG462" s="155"/>
      <c r="BH462" s="155"/>
      <c r="BI462" s="155"/>
      <c r="BJ462" s="155"/>
      <c r="BK462" s="155"/>
      <c r="BL462" s="155"/>
      <c r="BM462" s="155"/>
      <c r="BN462" s="155"/>
      <c r="BO462" s="155"/>
      <c r="BP462" s="155"/>
      <c r="BQ462" s="155"/>
      <c r="BR462" s="155"/>
      <c r="BS462" s="155"/>
      <c r="BT462" s="155"/>
      <c r="BU462" s="155"/>
      <c r="BV462" s="155"/>
      <c r="BW462" s="155"/>
      <c r="BX462" s="155"/>
      <c r="BY462" s="155"/>
      <c r="BZ462" s="155"/>
      <c r="CA462" s="155"/>
      <c r="CB462" s="155"/>
      <c r="CC462" s="155"/>
      <c r="CD462" s="155"/>
      <c r="CE462" s="155"/>
      <c r="CF462" s="155"/>
      <c r="CG462" s="155"/>
    </row>
    <row r="463" spans="1:85" ht="12.75" x14ac:dyDescent="0.2">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c r="AA463" s="155"/>
      <c r="AB463" s="155"/>
      <c r="AC463" s="155"/>
      <c r="AD463" s="155"/>
      <c r="AE463" s="155"/>
      <c r="AF463" s="155"/>
      <c r="AG463" s="155"/>
      <c r="AH463" s="155"/>
      <c r="AI463" s="155"/>
      <c r="AJ463" s="155"/>
      <c r="AK463" s="155"/>
      <c r="AL463" s="155"/>
      <c r="AM463" s="155"/>
      <c r="AN463" s="155"/>
      <c r="AO463" s="155"/>
      <c r="AP463" s="155"/>
      <c r="AQ463" s="155"/>
      <c r="AR463" s="155"/>
      <c r="AS463" s="155"/>
      <c r="AT463" s="155"/>
      <c r="AU463" s="155"/>
      <c r="AV463" s="155"/>
      <c r="AW463" s="155"/>
      <c r="AX463" s="155"/>
      <c r="AY463" s="155"/>
      <c r="AZ463" s="155"/>
      <c r="BA463" s="155"/>
      <c r="BB463" s="155"/>
      <c r="BC463" s="155"/>
      <c r="BD463" s="155"/>
      <c r="BE463" s="155"/>
      <c r="BF463" s="155"/>
      <c r="BG463" s="155"/>
      <c r="BH463" s="155"/>
      <c r="BI463" s="155"/>
      <c r="BJ463" s="155"/>
      <c r="BK463" s="155"/>
      <c r="BL463" s="155"/>
      <c r="BM463" s="155"/>
      <c r="BN463" s="155"/>
      <c r="BO463" s="155"/>
      <c r="BP463" s="155"/>
      <c r="BQ463" s="155"/>
      <c r="BR463" s="155"/>
      <c r="BS463" s="155"/>
      <c r="BT463" s="155"/>
      <c r="BU463" s="155"/>
      <c r="BV463" s="155"/>
      <c r="BW463" s="155"/>
      <c r="BX463" s="155"/>
      <c r="BY463" s="155"/>
      <c r="BZ463" s="155"/>
      <c r="CA463" s="155"/>
      <c r="CB463" s="155"/>
      <c r="CC463" s="155"/>
      <c r="CD463" s="155"/>
      <c r="CE463" s="155"/>
      <c r="CF463" s="155"/>
      <c r="CG463" s="155"/>
    </row>
    <row r="464" spans="1:85" ht="12.75" x14ac:dyDescent="0.2">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c r="AA464" s="155"/>
      <c r="AB464" s="155"/>
      <c r="AC464" s="155"/>
      <c r="AD464" s="155"/>
      <c r="AE464" s="155"/>
      <c r="AF464" s="155"/>
      <c r="AG464" s="155"/>
      <c r="AH464" s="155"/>
      <c r="AI464" s="155"/>
      <c r="AJ464" s="155"/>
      <c r="AK464" s="155"/>
      <c r="AL464" s="155"/>
      <c r="AM464" s="155"/>
      <c r="AN464" s="155"/>
      <c r="AO464" s="155"/>
      <c r="AP464" s="155"/>
      <c r="AQ464" s="155"/>
      <c r="AR464" s="155"/>
      <c r="AS464" s="155"/>
      <c r="AT464" s="155"/>
      <c r="AU464" s="155"/>
      <c r="AV464" s="155"/>
      <c r="AW464" s="155"/>
      <c r="AX464" s="155"/>
      <c r="AY464" s="155"/>
      <c r="AZ464" s="155"/>
      <c r="BA464" s="155"/>
      <c r="BB464" s="155"/>
      <c r="BC464" s="155"/>
      <c r="BD464" s="155"/>
      <c r="BE464" s="155"/>
      <c r="BF464" s="155"/>
      <c r="BG464" s="155"/>
      <c r="BH464" s="155"/>
      <c r="BI464" s="155"/>
      <c r="BJ464" s="155"/>
      <c r="BK464" s="155"/>
      <c r="BL464" s="155"/>
      <c r="BM464" s="155"/>
      <c r="BN464" s="155"/>
      <c r="BO464" s="155"/>
      <c r="BP464" s="155"/>
      <c r="BQ464" s="155"/>
      <c r="BR464" s="155"/>
      <c r="BS464" s="155"/>
      <c r="BT464" s="155"/>
      <c r="BU464" s="155"/>
      <c r="BV464" s="155"/>
      <c r="BW464" s="155"/>
      <c r="BX464" s="155"/>
      <c r="BY464" s="155"/>
      <c r="BZ464" s="155"/>
      <c r="CA464" s="155"/>
      <c r="CB464" s="155"/>
      <c r="CC464" s="155"/>
      <c r="CD464" s="155"/>
      <c r="CE464" s="155"/>
      <c r="CF464" s="155"/>
      <c r="CG464" s="155"/>
    </row>
    <row r="465" spans="1:85" ht="12.75" x14ac:dyDescent="0.2">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c r="AA465" s="155"/>
      <c r="AB465" s="155"/>
      <c r="AC465" s="155"/>
      <c r="AD465" s="155"/>
      <c r="AE465" s="155"/>
      <c r="AF465" s="155"/>
      <c r="AG465" s="155"/>
      <c r="AH465" s="155"/>
      <c r="AI465" s="155"/>
      <c r="AJ465" s="155"/>
      <c r="AK465" s="155"/>
      <c r="AL465" s="155"/>
      <c r="AM465" s="155"/>
      <c r="AN465" s="155"/>
      <c r="AO465" s="155"/>
      <c r="AP465" s="155"/>
      <c r="AQ465" s="155"/>
      <c r="AR465" s="155"/>
      <c r="AS465" s="155"/>
      <c r="AT465" s="155"/>
      <c r="AU465" s="155"/>
      <c r="AV465" s="155"/>
      <c r="AW465" s="155"/>
      <c r="AX465" s="155"/>
      <c r="AY465" s="155"/>
      <c r="AZ465" s="155"/>
      <c r="BA465" s="155"/>
      <c r="BB465" s="155"/>
      <c r="BC465" s="155"/>
      <c r="BD465" s="155"/>
      <c r="BE465" s="155"/>
      <c r="BF465" s="155"/>
      <c r="BG465" s="155"/>
      <c r="BH465" s="155"/>
      <c r="BI465" s="155"/>
      <c r="BJ465" s="155"/>
      <c r="BK465" s="155"/>
      <c r="BL465" s="155"/>
      <c r="BM465" s="155"/>
      <c r="BN465" s="155"/>
      <c r="BO465" s="155"/>
      <c r="BP465" s="155"/>
      <c r="BQ465" s="155"/>
      <c r="BR465" s="155"/>
      <c r="BS465" s="155"/>
      <c r="BT465" s="155"/>
      <c r="BU465" s="155"/>
      <c r="BV465" s="155"/>
      <c r="BW465" s="155"/>
      <c r="BX465" s="155"/>
      <c r="BY465" s="155"/>
      <c r="BZ465" s="155"/>
      <c r="CA465" s="155"/>
      <c r="CB465" s="155"/>
      <c r="CC465" s="155"/>
      <c r="CD465" s="155"/>
      <c r="CE465" s="155"/>
      <c r="CF465" s="155"/>
      <c r="CG465" s="155"/>
    </row>
    <row r="466" spans="1:85" ht="12.75" x14ac:dyDescent="0.2">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c r="AA466" s="155"/>
      <c r="AB466" s="155"/>
      <c r="AC466" s="155"/>
      <c r="AD466" s="155"/>
      <c r="AE466" s="155"/>
      <c r="AF466" s="155"/>
      <c r="AG466" s="155"/>
      <c r="AH466" s="155"/>
      <c r="AI466" s="155"/>
      <c r="AJ466" s="155"/>
      <c r="AK466" s="155"/>
      <c r="AL466" s="155"/>
      <c r="AM466" s="155"/>
      <c r="AN466" s="155"/>
      <c r="AO466" s="155"/>
      <c r="AP466" s="155"/>
      <c r="AQ466" s="155"/>
      <c r="AR466" s="155"/>
      <c r="AS466" s="155"/>
      <c r="AT466" s="155"/>
      <c r="AU466" s="155"/>
      <c r="AV466" s="155"/>
      <c r="AW466" s="155"/>
      <c r="AX466" s="155"/>
      <c r="AY466" s="155"/>
      <c r="AZ466" s="155"/>
      <c r="BA466" s="155"/>
      <c r="BB466" s="155"/>
      <c r="BC466" s="155"/>
      <c r="BD466" s="155"/>
      <c r="BE466" s="155"/>
      <c r="BF466" s="155"/>
      <c r="BG466" s="155"/>
      <c r="BH466" s="155"/>
      <c r="BI466" s="155"/>
      <c r="BJ466" s="155"/>
      <c r="BK466" s="155"/>
      <c r="BL466" s="155"/>
      <c r="BM466" s="155"/>
      <c r="BN466" s="155"/>
      <c r="BO466" s="155"/>
      <c r="BP466" s="155"/>
      <c r="BQ466" s="155"/>
      <c r="BR466" s="155"/>
      <c r="BS466" s="155"/>
      <c r="BT466" s="155"/>
      <c r="BU466" s="155"/>
      <c r="BV466" s="155"/>
      <c r="BW466" s="155"/>
      <c r="BX466" s="155"/>
      <c r="BY466" s="155"/>
      <c r="BZ466" s="155"/>
      <c r="CA466" s="155"/>
      <c r="CB466" s="155"/>
      <c r="CC466" s="155"/>
      <c r="CD466" s="155"/>
      <c r="CE466" s="155"/>
      <c r="CF466" s="155"/>
      <c r="CG466" s="155"/>
    </row>
    <row r="467" spans="1:85" ht="12.75" x14ac:dyDescent="0.2">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c r="AA467" s="155"/>
      <c r="AB467" s="155"/>
      <c r="AC467" s="155"/>
      <c r="AD467" s="155"/>
      <c r="AE467" s="155"/>
      <c r="AF467" s="155"/>
      <c r="AG467" s="155"/>
      <c r="AH467" s="155"/>
      <c r="AI467" s="155"/>
      <c r="AJ467" s="155"/>
      <c r="AK467" s="155"/>
      <c r="AL467" s="155"/>
      <c r="AM467" s="155"/>
      <c r="AN467" s="155"/>
      <c r="AO467" s="155"/>
      <c r="AP467" s="155"/>
      <c r="AQ467" s="155"/>
      <c r="AR467" s="155"/>
      <c r="AS467" s="155"/>
      <c r="AT467" s="155"/>
      <c r="AU467" s="155"/>
      <c r="AV467" s="155"/>
      <c r="AW467" s="155"/>
      <c r="AX467" s="155"/>
      <c r="AY467" s="155"/>
      <c r="AZ467" s="155"/>
      <c r="BA467" s="155"/>
      <c r="BB467" s="155"/>
      <c r="BC467" s="155"/>
      <c r="BD467" s="155"/>
      <c r="BE467" s="155"/>
      <c r="BF467" s="155"/>
      <c r="BG467" s="155"/>
      <c r="BH467" s="155"/>
      <c r="BI467" s="155"/>
      <c r="BJ467" s="155"/>
      <c r="BK467" s="155"/>
      <c r="BL467" s="155"/>
      <c r="BM467" s="155"/>
      <c r="BN467" s="155"/>
      <c r="BO467" s="155"/>
      <c r="BP467" s="155"/>
      <c r="BQ467" s="155"/>
      <c r="BR467" s="155"/>
      <c r="BS467" s="155"/>
      <c r="BT467" s="155"/>
      <c r="BU467" s="155"/>
      <c r="BV467" s="155"/>
      <c r="BW467" s="155"/>
      <c r="BX467" s="155"/>
      <c r="BY467" s="155"/>
      <c r="BZ467" s="155"/>
      <c r="CA467" s="155"/>
      <c r="CB467" s="155"/>
      <c r="CC467" s="155"/>
      <c r="CD467" s="155"/>
      <c r="CE467" s="155"/>
      <c r="CF467" s="155"/>
      <c r="CG467" s="155"/>
    </row>
    <row r="468" spans="1:85" ht="12.75" x14ac:dyDescent="0.2">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c r="AA468" s="155"/>
      <c r="AB468" s="155"/>
      <c r="AC468" s="155"/>
      <c r="AD468" s="155"/>
      <c r="AE468" s="155"/>
      <c r="AF468" s="155"/>
      <c r="AG468" s="155"/>
      <c r="AH468" s="155"/>
      <c r="AI468" s="155"/>
      <c r="AJ468" s="155"/>
      <c r="AK468" s="155"/>
      <c r="AL468" s="155"/>
      <c r="AM468" s="155"/>
      <c r="AN468" s="155"/>
      <c r="AO468" s="155"/>
      <c r="AP468" s="155"/>
      <c r="AQ468" s="155"/>
      <c r="AR468" s="155"/>
      <c r="AS468" s="155"/>
      <c r="AT468" s="155"/>
      <c r="AU468" s="155"/>
      <c r="AV468" s="155"/>
      <c r="AW468" s="155"/>
      <c r="AX468" s="155"/>
      <c r="AY468" s="155"/>
      <c r="AZ468" s="155"/>
      <c r="BA468" s="155"/>
      <c r="BB468" s="155"/>
      <c r="BC468" s="155"/>
      <c r="BD468" s="155"/>
      <c r="BE468" s="155"/>
      <c r="BF468" s="155"/>
      <c r="BG468" s="155"/>
      <c r="BH468" s="155"/>
      <c r="BI468" s="155"/>
      <c r="BJ468" s="155"/>
      <c r="BK468" s="155"/>
      <c r="BL468" s="155"/>
      <c r="BM468" s="155"/>
      <c r="BN468" s="155"/>
      <c r="BO468" s="155"/>
      <c r="BP468" s="155"/>
      <c r="BQ468" s="155"/>
      <c r="BR468" s="155"/>
      <c r="BS468" s="155"/>
      <c r="BT468" s="155"/>
      <c r="BU468" s="155"/>
      <c r="BV468" s="155"/>
      <c r="BW468" s="155"/>
      <c r="BX468" s="155"/>
      <c r="BY468" s="155"/>
      <c r="BZ468" s="155"/>
      <c r="CA468" s="155"/>
      <c r="CB468" s="155"/>
      <c r="CC468" s="155"/>
      <c r="CD468" s="155"/>
      <c r="CE468" s="155"/>
      <c r="CF468" s="155"/>
      <c r="CG468" s="155"/>
    </row>
    <row r="469" spans="1:85" ht="12.75" x14ac:dyDescent="0.2">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c r="AA469" s="155"/>
      <c r="AB469" s="155"/>
      <c r="AC469" s="155"/>
      <c r="AD469" s="155"/>
      <c r="AE469" s="155"/>
      <c r="AF469" s="155"/>
      <c r="AG469" s="155"/>
      <c r="AH469" s="155"/>
      <c r="AI469" s="155"/>
      <c r="AJ469" s="155"/>
      <c r="AK469" s="155"/>
      <c r="AL469" s="155"/>
      <c r="AM469" s="155"/>
      <c r="AN469" s="155"/>
      <c r="AO469" s="155"/>
      <c r="AP469" s="155"/>
      <c r="AQ469" s="155"/>
      <c r="AR469" s="155"/>
      <c r="AS469" s="155"/>
      <c r="AT469" s="155"/>
      <c r="AU469" s="155"/>
      <c r="AV469" s="155"/>
      <c r="AW469" s="155"/>
      <c r="AX469" s="155"/>
      <c r="AY469" s="155"/>
      <c r="AZ469" s="155"/>
      <c r="BA469" s="155"/>
      <c r="BB469" s="155"/>
      <c r="BC469" s="155"/>
      <c r="BD469" s="155"/>
      <c r="BE469" s="155"/>
      <c r="BF469" s="155"/>
      <c r="BG469" s="155"/>
      <c r="BH469" s="155"/>
      <c r="BI469" s="155"/>
      <c r="BJ469" s="155"/>
      <c r="BK469" s="155"/>
      <c r="BL469" s="155"/>
      <c r="BM469" s="155"/>
      <c r="BN469" s="155"/>
      <c r="BO469" s="155"/>
      <c r="BP469" s="155"/>
      <c r="BQ469" s="155"/>
      <c r="BR469" s="155"/>
      <c r="BS469" s="155"/>
      <c r="BT469" s="155"/>
      <c r="BU469" s="155"/>
      <c r="BV469" s="155"/>
      <c r="BW469" s="155"/>
      <c r="BX469" s="155"/>
      <c r="BY469" s="155"/>
      <c r="BZ469" s="155"/>
      <c r="CA469" s="155"/>
      <c r="CB469" s="155"/>
      <c r="CC469" s="155"/>
      <c r="CD469" s="155"/>
      <c r="CE469" s="155"/>
      <c r="CF469" s="155"/>
      <c r="CG469" s="155"/>
    </row>
    <row r="470" spans="1:85" ht="12.75" x14ac:dyDescent="0.2">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c r="AA470" s="155"/>
      <c r="AB470" s="155"/>
      <c r="AC470" s="155"/>
      <c r="AD470" s="155"/>
      <c r="AE470" s="155"/>
      <c r="AF470" s="155"/>
      <c r="AG470" s="155"/>
      <c r="AH470" s="155"/>
      <c r="AI470" s="155"/>
      <c r="AJ470" s="155"/>
      <c r="AK470" s="155"/>
      <c r="AL470" s="155"/>
      <c r="AM470" s="155"/>
      <c r="AN470" s="155"/>
      <c r="AO470" s="155"/>
      <c r="AP470" s="155"/>
      <c r="AQ470" s="155"/>
      <c r="AR470" s="155"/>
      <c r="AS470" s="155"/>
      <c r="AT470" s="155"/>
      <c r="AU470" s="155"/>
      <c r="AV470" s="155"/>
      <c r="AW470" s="155"/>
      <c r="AX470" s="155"/>
      <c r="AY470" s="155"/>
      <c r="AZ470" s="155"/>
      <c r="BA470" s="155"/>
      <c r="BB470" s="155"/>
      <c r="BC470" s="155"/>
      <c r="BD470" s="155"/>
      <c r="BE470" s="155"/>
      <c r="BF470" s="155"/>
      <c r="BG470" s="155"/>
      <c r="BH470" s="155"/>
      <c r="BI470" s="155"/>
      <c r="BJ470" s="155"/>
      <c r="BK470" s="155"/>
      <c r="BL470" s="155"/>
      <c r="BM470" s="155"/>
      <c r="BN470" s="155"/>
      <c r="BO470" s="155"/>
      <c r="BP470" s="155"/>
      <c r="BQ470" s="155"/>
      <c r="BR470" s="155"/>
      <c r="BS470" s="155"/>
      <c r="BT470" s="155"/>
      <c r="BU470" s="155"/>
      <c r="BV470" s="155"/>
      <c r="BW470" s="155"/>
      <c r="BX470" s="155"/>
      <c r="BY470" s="155"/>
      <c r="BZ470" s="155"/>
      <c r="CA470" s="155"/>
      <c r="CB470" s="155"/>
      <c r="CC470" s="155"/>
      <c r="CD470" s="155"/>
      <c r="CE470" s="155"/>
      <c r="CF470" s="155"/>
      <c r="CG470" s="155"/>
    </row>
    <row r="471" spans="1:85" ht="12.75" x14ac:dyDescent="0.2">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c r="AA471" s="155"/>
      <c r="AB471" s="155"/>
      <c r="AC471" s="155"/>
      <c r="AD471" s="155"/>
      <c r="AE471" s="155"/>
      <c r="AF471" s="155"/>
      <c r="AG471" s="155"/>
      <c r="AH471" s="155"/>
      <c r="AI471" s="155"/>
      <c r="AJ471" s="155"/>
      <c r="AK471" s="155"/>
      <c r="AL471" s="155"/>
      <c r="AM471" s="155"/>
      <c r="AN471" s="155"/>
      <c r="AO471" s="155"/>
      <c r="AP471" s="155"/>
      <c r="AQ471" s="155"/>
      <c r="AR471" s="155"/>
      <c r="AS471" s="155"/>
      <c r="AT471" s="155"/>
      <c r="AU471" s="155"/>
      <c r="AV471" s="155"/>
      <c r="AW471" s="155"/>
      <c r="AX471" s="155"/>
      <c r="AY471" s="155"/>
      <c r="AZ471" s="155"/>
      <c r="BA471" s="155"/>
      <c r="BB471" s="155"/>
      <c r="BC471" s="155"/>
      <c r="BD471" s="155"/>
      <c r="BE471" s="155"/>
      <c r="BF471" s="155"/>
      <c r="BG471" s="155"/>
      <c r="BH471" s="155"/>
      <c r="BI471" s="155"/>
      <c r="BJ471" s="155"/>
      <c r="BK471" s="155"/>
      <c r="BL471" s="155"/>
      <c r="BM471" s="155"/>
      <c r="BN471" s="155"/>
      <c r="BO471" s="155"/>
      <c r="BP471" s="155"/>
      <c r="BQ471" s="155"/>
      <c r="BR471" s="155"/>
      <c r="BS471" s="155"/>
      <c r="BT471" s="155"/>
      <c r="BU471" s="155"/>
      <c r="BV471" s="155"/>
      <c r="BW471" s="155"/>
      <c r="BX471" s="155"/>
      <c r="BY471" s="155"/>
      <c r="BZ471" s="155"/>
      <c r="CA471" s="155"/>
      <c r="CB471" s="155"/>
      <c r="CC471" s="155"/>
      <c r="CD471" s="155"/>
      <c r="CE471" s="155"/>
      <c r="CF471" s="155"/>
      <c r="CG471" s="155"/>
    </row>
    <row r="472" spans="1:85" ht="12.75" x14ac:dyDescent="0.2">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c r="AA472" s="155"/>
      <c r="AB472" s="155"/>
      <c r="AC472" s="155"/>
      <c r="AD472" s="155"/>
      <c r="AE472" s="155"/>
      <c r="AF472" s="155"/>
      <c r="AG472" s="155"/>
      <c r="AH472" s="155"/>
      <c r="AI472" s="155"/>
      <c r="AJ472" s="155"/>
      <c r="AK472" s="155"/>
      <c r="AL472" s="155"/>
      <c r="AM472" s="155"/>
      <c r="AN472" s="155"/>
      <c r="AO472" s="155"/>
      <c r="AP472" s="155"/>
      <c r="AQ472" s="155"/>
      <c r="AR472" s="155"/>
      <c r="AS472" s="155"/>
      <c r="AT472" s="155"/>
      <c r="AU472" s="155"/>
      <c r="AV472" s="155"/>
      <c r="AW472" s="155"/>
      <c r="AX472" s="155"/>
      <c r="AY472" s="155"/>
      <c r="AZ472" s="155"/>
      <c r="BA472" s="155"/>
      <c r="BB472" s="155"/>
      <c r="BC472" s="155"/>
      <c r="BD472" s="155"/>
      <c r="BE472" s="155"/>
      <c r="BF472" s="155"/>
      <c r="BG472" s="155"/>
      <c r="BH472" s="155"/>
      <c r="BI472" s="155"/>
      <c r="BJ472" s="155"/>
      <c r="BK472" s="155"/>
      <c r="BL472" s="155"/>
      <c r="BM472" s="155"/>
      <c r="BN472" s="155"/>
      <c r="BO472" s="155"/>
      <c r="BP472" s="155"/>
      <c r="BQ472" s="155"/>
      <c r="BR472" s="155"/>
      <c r="BS472" s="155"/>
      <c r="BT472" s="155"/>
      <c r="BU472" s="155"/>
      <c r="BV472" s="155"/>
      <c r="BW472" s="155"/>
      <c r="BX472" s="155"/>
      <c r="BY472" s="155"/>
      <c r="BZ472" s="155"/>
      <c r="CA472" s="155"/>
      <c r="CB472" s="155"/>
      <c r="CC472" s="155"/>
      <c r="CD472" s="155"/>
      <c r="CE472" s="155"/>
      <c r="CF472" s="155"/>
      <c r="CG472" s="155"/>
    </row>
    <row r="473" spans="1:85" ht="12.75" x14ac:dyDescent="0.2">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c r="AA473" s="155"/>
      <c r="AB473" s="155"/>
      <c r="AC473" s="155"/>
      <c r="AD473" s="155"/>
      <c r="AE473" s="155"/>
      <c r="AF473" s="155"/>
      <c r="AG473" s="155"/>
      <c r="AH473" s="155"/>
      <c r="AI473" s="155"/>
      <c r="AJ473" s="155"/>
      <c r="AK473" s="155"/>
      <c r="AL473" s="155"/>
      <c r="AM473" s="155"/>
      <c r="AN473" s="155"/>
      <c r="AO473" s="155"/>
      <c r="AP473" s="155"/>
      <c r="AQ473" s="155"/>
      <c r="AR473" s="155"/>
      <c r="AS473" s="155"/>
      <c r="AT473" s="155"/>
      <c r="AU473" s="155"/>
      <c r="AV473" s="155"/>
      <c r="AW473" s="155"/>
      <c r="AX473" s="155"/>
      <c r="AY473" s="155"/>
      <c r="AZ473" s="155"/>
      <c r="BA473" s="155"/>
      <c r="BB473" s="155"/>
      <c r="BC473" s="155"/>
      <c r="BD473" s="155"/>
      <c r="BE473" s="155"/>
      <c r="BF473" s="155"/>
      <c r="BG473" s="155"/>
      <c r="BH473" s="155"/>
      <c r="BI473" s="155"/>
      <c r="BJ473" s="155"/>
      <c r="BK473" s="155"/>
      <c r="BL473" s="155"/>
      <c r="BM473" s="155"/>
      <c r="BN473" s="155"/>
      <c r="BO473" s="155"/>
      <c r="BP473" s="155"/>
      <c r="BQ473" s="155"/>
      <c r="BR473" s="155"/>
      <c r="BS473" s="155"/>
      <c r="BT473" s="155"/>
      <c r="BU473" s="155"/>
      <c r="BV473" s="155"/>
      <c r="BW473" s="155"/>
      <c r="BX473" s="155"/>
      <c r="BY473" s="155"/>
      <c r="BZ473" s="155"/>
      <c r="CA473" s="155"/>
      <c r="CB473" s="155"/>
      <c r="CC473" s="155"/>
      <c r="CD473" s="155"/>
      <c r="CE473" s="155"/>
      <c r="CF473" s="155"/>
      <c r="CG473" s="155"/>
    </row>
    <row r="474" spans="1:85" ht="12.75" x14ac:dyDescent="0.2">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c r="AA474" s="155"/>
      <c r="AB474" s="155"/>
      <c r="AC474" s="155"/>
      <c r="AD474" s="155"/>
      <c r="AE474" s="155"/>
      <c r="AF474" s="155"/>
      <c r="AG474" s="155"/>
      <c r="AH474" s="155"/>
      <c r="AI474" s="155"/>
      <c r="AJ474" s="155"/>
      <c r="AK474" s="155"/>
      <c r="AL474" s="155"/>
      <c r="AM474" s="155"/>
      <c r="AN474" s="155"/>
      <c r="AO474" s="155"/>
      <c r="AP474" s="155"/>
      <c r="AQ474" s="155"/>
      <c r="AR474" s="155"/>
      <c r="AS474" s="155"/>
      <c r="AT474" s="155"/>
      <c r="AU474" s="155"/>
      <c r="AV474" s="155"/>
      <c r="AW474" s="155"/>
      <c r="AX474" s="155"/>
      <c r="AY474" s="155"/>
      <c r="AZ474" s="155"/>
      <c r="BA474" s="155"/>
      <c r="BB474" s="155"/>
      <c r="BC474" s="155"/>
      <c r="BD474" s="155"/>
      <c r="BE474" s="155"/>
      <c r="BF474" s="155"/>
      <c r="BG474" s="155"/>
      <c r="BH474" s="155"/>
      <c r="BI474" s="155"/>
      <c r="BJ474" s="155"/>
      <c r="BK474" s="155"/>
      <c r="BL474" s="155"/>
      <c r="BM474" s="155"/>
      <c r="BN474" s="155"/>
      <c r="BO474" s="155"/>
      <c r="BP474" s="155"/>
      <c r="BQ474" s="155"/>
      <c r="BR474" s="155"/>
      <c r="BS474" s="155"/>
      <c r="BT474" s="155"/>
      <c r="BU474" s="155"/>
      <c r="BV474" s="155"/>
      <c r="BW474" s="155"/>
      <c r="BX474" s="155"/>
      <c r="BY474" s="155"/>
      <c r="BZ474" s="155"/>
      <c r="CA474" s="155"/>
      <c r="CB474" s="155"/>
      <c r="CC474" s="155"/>
      <c r="CD474" s="155"/>
      <c r="CE474" s="155"/>
      <c r="CF474" s="155"/>
      <c r="CG474" s="155"/>
    </row>
    <row r="475" spans="1:85" ht="12.75" x14ac:dyDescent="0.2">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c r="AA475" s="155"/>
      <c r="AB475" s="155"/>
      <c r="AC475" s="155"/>
      <c r="AD475" s="155"/>
      <c r="AE475" s="155"/>
      <c r="AF475" s="155"/>
      <c r="AG475" s="155"/>
      <c r="AH475" s="155"/>
      <c r="AI475" s="155"/>
      <c r="AJ475" s="155"/>
      <c r="AK475" s="155"/>
      <c r="AL475" s="155"/>
      <c r="AM475" s="155"/>
      <c r="AN475" s="155"/>
      <c r="AO475" s="155"/>
      <c r="AP475" s="155"/>
      <c r="AQ475" s="155"/>
      <c r="AR475" s="155"/>
      <c r="AS475" s="155"/>
      <c r="AT475" s="155"/>
      <c r="AU475" s="155"/>
      <c r="AV475" s="155"/>
      <c r="AW475" s="155"/>
      <c r="AX475" s="155"/>
      <c r="AY475" s="155"/>
      <c r="AZ475" s="155"/>
      <c r="BA475" s="155"/>
      <c r="BB475" s="155"/>
      <c r="BC475" s="155"/>
      <c r="BD475" s="155"/>
      <c r="BE475" s="155"/>
      <c r="BF475" s="155"/>
      <c r="BG475" s="155"/>
      <c r="BH475" s="155"/>
      <c r="BI475" s="155"/>
      <c r="BJ475" s="155"/>
      <c r="BK475" s="155"/>
      <c r="BL475" s="155"/>
      <c r="BM475" s="155"/>
      <c r="BN475" s="155"/>
      <c r="BO475" s="155"/>
      <c r="BP475" s="155"/>
      <c r="BQ475" s="155"/>
      <c r="BR475" s="155"/>
      <c r="BS475" s="155"/>
      <c r="BT475" s="155"/>
      <c r="BU475" s="155"/>
      <c r="BV475" s="155"/>
      <c r="BW475" s="155"/>
      <c r="BX475" s="155"/>
      <c r="BY475" s="155"/>
      <c r="BZ475" s="155"/>
      <c r="CA475" s="155"/>
      <c r="CB475" s="155"/>
      <c r="CC475" s="155"/>
      <c r="CD475" s="155"/>
      <c r="CE475" s="155"/>
      <c r="CF475" s="155"/>
      <c r="CG475" s="155"/>
    </row>
    <row r="476" spans="1:85" ht="12.75" x14ac:dyDescent="0.2">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c r="AA476" s="155"/>
      <c r="AB476" s="155"/>
      <c r="AC476" s="155"/>
      <c r="AD476" s="155"/>
      <c r="AE476" s="155"/>
      <c r="AF476" s="155"/>
      <c r="AG476" s="155"/>
      <c r="AH476" s="155"/>
      <c r="AI476" s="155"/>
      <c r="AJ476" s="155"/>
      <c r="AK476" s="155"/>
      <c r="AL476" s="155"/>
      <c r="AM476" s="155"/>
      <c r="AN476" s="155"/>
      <c r="AO476" s="155"/>
      <c r="AP476" s="155"/>
      <c r="AQ476" s="155"/>
      <c r="AR476" s="155"/>
      <c r="AS476" s="155"/>
      <c r="AT476" s="155"/>
      <c r="AU476" s="155"/>
      <c r="AV476" s="155"/>
      <c r="AW476" s="155"/>
      <c r="AX476" s="155"/>
      <c r="AY476" s="155"/>
      <c r="AZ476" s="155"/>
      <c r="BA476" s="155"/>
      <c r="BB476" s="155"/>
      <c r="BC476" s="155"/>
      <c r="BD476" s="155"/>
      <c r="BE476" s="155"/>
      <c r="BF476" s="155"/>
      <c r="BG476" s="155"/>
      <c r="BH476" s="155"/>
      <c r="BI476" s="155"/>
      <c r="BJ476" s="155"/>
      <c r="BK476" s="155"/>
      <c r="BL476" s="155"/>
      <c r="BM476" s="155"/>
      <c r="BN476" s="155"/>
      <c r="BO476" s="155"/>
      <c r="BP476" s="155"/>
      <c r="BQ476" s="155"/>
      <c r="BR476" s="155"/>
      <c r="BS476" s="155"/>
      <c r="BT476" s="155"/>
      <c r="BU476" s="155"/>
      <c r="BV476" s="155"/>
      <c r="BW476" s="155"/>
      <c r="BX476" s="155"/>
      <c r="BY476" s="155"/>
      <c r="BZ476" s="155"/>
      <c r="CA476" s="155"/>
      <c r="CB476" s="155"/>
      <c r="CC476" s="155"/>
      <c r="CD476" s="155"/>
      <c r="CE476" s="155"/>
      <c r="CF476" s="155"/>
      <c r="CG476" s="155"/>
    </row>
    <row r="477" spans="1:85" ht="12.75" x14ac:dyDescent="0.2">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c r="AA477" s="155"/>
      <c r="AB477" s="155"/>
      <c r="AC477" s="155"/>
      <c r="AD477" s="155"/>
      <c r="AE477" s="155"/>
      <c r="AF477" s="155"/>
      <c r="AG477" s="155"/>
      <c r="AH477" s="155"/>
      <c r="AI477" s="155"/>
      <c r="AJ477" s="155"/>
      <c r="AK477" s="155"/>
      <c r="AL477" s="155"/>
      <c r="AM477" s="155"/>
      <c r="AN477" s="155"/>
      <c r="AO477" s="155"/>
      <c r="AP477" s="155"/>
      <c r="AQ477" s="155"/>
      <c r="AR477" s="155"/>
      <c r="AS477" s="155"/>
      <c r="AT477" s="155"/>
      <c r="AU477" s="155"/>
      <c r="AV477" s="155"/>
      <c r="AW477" s="155"/>
      <c r="AX477" s="155"/>
      <c r="AY477" s="155"/>
      <c r="AZ477" s="155"/>
      <c r="BA477" s="155"/>
      <c r="BB477" s="155"/>
      <c r="BC477" s="155"/>
      <c r="BD477" s="155"/>
      <c r="BE477" s="155"/>
      <c r="BF477" s="155"/>
      <c r="BG477" s="155"/>
      <c r="BH477" s="155"/>
      <c r="BI477" s="155"/>
      <c r="BJ477" s="155"/>
      <c r="BK477" s="155"/>
      <c r="BL477" s="155"/>
      <c r="BM477" s="155"/>
      <c r="BN477" s="155"/>
      <c r="BO477" s="155"/>
      <c r="BP477" s="155"/>
      <c r="BQ477" s="155"/>
      <c r="BR477" s="155"/>
      <c r="BS477" s="155"/>
      <c r="BT477" s="155"/>
      <c r="BU477" s="155"/>
      <c r="BV477" s="155"/>
      <c r="BW477" s="155"/>
      <c r="BX477" s="155"/>
      <c r="BY477" s="155"/>
      <c r="BZ477" s="155"/>
      <c r="CA477" s="155"/>
      <c r="CB477" s="155"/>
      <c r="CC477" s="155"/>
      <c r="CD477" s="155"/>
      <c r="CE477" s="155"/>
      <c r="CF477" s="155"/>
      <c r="CG477" s="155"/>
    </row>
    <row r="478" spans="1:85" ht="12.75" x14ac:dyDescent="0.2">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c r="AA478" s="155"/>
      <c r="AB478" s="155"/>
      <c r="AC478" s="155"/>
      <c r="AD478" s="155"/>
      <c r="AE478" s="155"/>
      <c r="AF478" s="155"/>
      <c r="AG478" s="155"/>
      <c r="AH478" s="155"/>
      <c r="AI478" s="155"/>
      <c r="AJ478" s="155"/>
      <c r="AK478" s="155"/>
      <c r="AL478" s="155"/>
      <c r="AM478" s="155"/>
      <c r="AN478" s="155"/>
      <c r="AO478" s="155"/>
      <c r="AP478" s="155"/>
      <c r="AQ478" s="155"/>
      <c r="AR478" s="155"/>
      <c r="AS478" s="155"/>
      <c r="AT478" s="155"/>
      <c r="AU478" s="155"/>
      <c r="AV478" s="155"/>
      <c r="AW478" s="155"/>
      <c r="AX478" s="155"/>
      <c r="AY478" s="155"/>
      <c r="AZ478" s="155"/>
      <c r="BA478" s="155"/>
      <c r="BB478" s="155"/>
      <c r="BC478" s="155"/>
      <c r="BD478" s="155"/>
      <c r="BE478" s="155"/>
      <c r="BF478" s="155"/>
      <c r="BG478" s="155"/>
      <c r="BH478" s="155"/>
      <c r="BI478" s="155"/>
      <c r="BJ478" s="155"/>
      <c r="BK478" s="155"/>
      <c r="BL478" s="155"/>
      <c r="BM478" s="155"/>
      <c r="BN478" s="155"/>
      <c r="BO478" s="155"/>
      <c r="BP478" s="155"/>
      <c r="BQ478" s="155"/>
      <c r="BR478" s="155"/>
      <c r="BS478" s="155"/>
      <c r="BT478" s="155"/>
      <c r="BU478" s="155"/>
      <c r="BV478" s="155"/>
      <c r="BW478" s="155"/>
      <c r="BX478" s="155"/>
      <c r="BY478" s="155"/>
      <c r="BZ478" s="155"/>
      <c r="CA478" s="155"/>
      <c r="CB478" s="155"/>
      <c r="CC478" s="155"/>
      <c r="CD478" s="155"/>
      <c r="CE478" s="155"/>
      <c r="CF478" s="155"/>
      <c r="CG478" s="155"/>
    </row>
    <row r="479" spans="1:85" ht="12.75" x14ac:dyDescent="0.2">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c r="AA479" s="155"/>
      <c r="AB479" s="155"/>
      <c r="AC479" s="155"/>
      <c r="AD479" s="155"/>
      <c r="AE479" s="155"/>
      <c r="AF479" s="155"/>
      <c r="AG479" s="155"/>
      <c r="AH479" s="155"/>
      <c r="AI479" s="155"/>
      <c r="AJ479" s="155"/>
      <c r="AK479" s="155"/>
      <c r="AL479" s="155"/>
      <c r="AM479" s="155"/>
      <c r="AN479" s="155"/>
      <c r="AO479" s="155"/>
      <c r="AP479" s="155"/>
      <c r="AQ479" s="155"/>
      <c r="AR479" s="155"/>
      <c r="AS479" s="155"/>
      <c r="AT479" s="155"/>
      <c r="AU479" s="155"/>
      <c r="AV479" s="155"/>
      <c r="AW479" s="155"/>
      <c r="AX479" s="155"/>
      <c r="AY479" s="155"/>
      <c r="AZ479" s="155"/>
      <c r="BA479" s="155"/>
      <c r="BB479" s="155"/>
      <c r="BC479" s="155"/>
      <c r="BD479" s="155"/>
      <c r="BE479" s="155"/>
      <c r="BF479" s="155"/>
      <c r="BG479" s="155"/>
      <c r="BH479" s="155"/>
      <c r="BI479" s="155"/>
      <c r="BJ479" s="155"/>
      <c r="BK479" s="155"/>
      <c r="BL479" s="155"/>
      <c r="BM479" s="155"/>
      <c r="BN479" s="155"/>
      <c r="BO479" s="155"/>
      <c r="BP479" s="155"/>
      <c r="BQ479" s="155"/>
      <c r="BR479" s="155"/>
      <c r="BS479" s="155"/>
      <c r="BT479" s="155"/>
      <c r="BU479" s="155"/>
      <c r="BV479" s="155"/>
      <c r="BW479" s="155"/>
      <c r="BX479" s="155"/>
      <c r="BY479" s="155"/>
      <c r="BZ479" s="155"/>
      <c r="CA479" s="155"/>
      <c r="CB479" s="155"/>
      <c r="CC479" s="155"/>
      <c r="CD479" s="155"/>
      <c r="CE479" s="155"/>
      <c r="CF479" s="155"/>
      <c r="CG479" s="155"/>
    </row>
    <row r="480" spans="1:85" ht="12.75" x14ac:dyDescent="0.2">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c r="AA480" s="155"/>
      <c r="AB480" s="155"/>
      <c r="AC480" s="155"/>
      <c r="AD480" s="155"/>
      <c r="AE480" s="155"/>
      <c r="AF480" s="155"/>
      <c r="AG480" s="155"/>
      <c r="AH480" s="155"/>
      <c r="AI480" s="155"/>
      <c r="AJ480" s="155"/>
      <c r="AK480" s="155"/>
      <c r="AL480" s="155"/>
      <c r="AM480" s="155"/>
      <c r="AN480" s="155"/>
      <c r="AO480" s="155"/>
      <c r="AP480" s="155"/>
      <c r="AQ480" s="155"/>
      <c r="AR480" s="155"/>
      <c r="AS480" s="155"/>
      <c r="AT480" s="155"/>
      <c r="AU480" s="155"/>
      <c r="AV480" s="155"/>
      <c r="AW480" s="155"/>
      <c r="AX480" s="155"/>
      <c r="AY480" s="155"/>
      <c r="AZ480" s="155"/>
      <c r="BA480" s="155"/>
      <c r="BB480" s="155"/>
      <c r="BC480" s="155"/>
      <c r="BD480" s="155"/>
      <c r="BE480" s="155"/>
      <c r="BF480" s="155"/>
      <c r="BG480" s="155"/>
      <c r="BH480" s="155"/>
      <c r="BI480" s="155"/>
      <c r="BJ480" s="155"/>
      <c r="BK480" s="155"/>
      <c r="BL480" s="155"/>
      <c r="BM480" s="155"/>
      <c r="BN480" s="155"/>
      <c r="BO480" s="155"/>
      <c r="BP480" s="155"/>
      <c r="BQ480" s="155"/>
      <c r="BR480" s="155"/>
      <c r="BS480" s="155"/>
      <c r="BT480" s="155"/>
      <c r="BU480" s="155"/>
      <c r="BV480" s="155"/>
      <c r="BW480" s="155"/>
      <c r="BX480" s="155"/>
      <c r="BY480" s="155"/>
      <c r="BZ480" s="155"/>
      <c r="CA480" s="155"/>
      <c r="CB480" s="155"/>
      <c r="CC480" s="155"/>
      <c r="CD480" s="155"/>
      <c r="CE480" s="155"/>
      <c r="CF480" s="155"/>
      <c r="CG480" s="155"/>
    </row>
    <row r="481" spans="1:85" ht="12.75" x14ac:dyDescent="0.2">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5"/>
      <c r="AY481" s="155"/>
      <c r="AZ481" s="155"/>
      <c r="BA481" s="155"/>
      <c r="BB481" s="155"/>
      <c r="BC481" s="155"/>
      <c r="BD481" s="155"/>
      <c r="BE481" s="155"/>
      <c r="BF481" s="155"/>
      <c r="BG481" s="155"/>
      <c r="BH481" s="155"/>
      <c r="BI481" s="155"/>
      <c r="BJ481" s="155"/>
      <c r="BK481" s="155"/>
      <c r="BL481" s="155"/>
      <c r="BM481" s="155"/>
      <c r="BN481" s="155"/>
      <c r="BO481" s="155"/>
      <c r="BP481" s="155"/>
      <c r="BQ481" s="155"/>
      <c r="BR481" s="155"/>
      <c r="BS481" s="155"/>
      <c r="BT481" s="155"/>
      <c r="BU481" s="155"/>
      <c r="BV481" s="155"/>
      <c r="BW481" s="155"/>
      <c r="BX481" s="155"/>
      <c r="BY481" s="155"/>
      <c r="BZ481" s="155"/>
      <c r="CA481" s="155"/>
      <c r="CB481" s="155"/>
      <c r="CC481" s="155"/>
      <c r="CD481" s="155"/>
      <c r="CE481" s="155"/>
      <c r="CF481" s="155"/>
      <c r="CG481" s="155"/>
    </row>
    <row r="482" spans="1:85" ht="12.75" x14ac:dyDescent="0.2">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c r="AA482" s="155"/>
      <c r="AB482" s="155"/>
      <c r="AC482" s="155"/>
      <c r="AD482" s="155"/>
      <c r="AE482" s="155"/>
      <c r="AF482" s="155"/>
      <c r="AG482" s="155"/>
      <c r="AH482" s="155"/>
      <c r="AI482" s="155"/>
      <c r="AJ482" s="155"/>
      <c r="AK482" s="155"/>
      <c r="AL482" s="155"/>
      <c r="AM482" s="155"/>
      <c r="AN482" s="155"/>
      <c r="AO482" s="155"/>
      <c r="AP482" s="155"/>
      <c r="AQ482" s="155"/>
      <c r="AR482" s="155"/>
      <c r="AS482" s="155"/>
      <c r="AT482" s="155"/>
      <c r="AU482" s="155"/>
      <c r="AV482" s="155"/>
      <c r="AW482" s="155"/>
      <c r="AX482" s="155"/>
      <c r="AY482" s="155"/>
      <c r="AZ482" s="155"/>
      <c r="BA482" s="155"/>
      <c r="BB482" s="155"/>
      <c r="BC482" s="155"/>
      <c r="BD482" s="155"/>
      <c r="BE482" s="155"/>
      <c r="BF482" s="155"/>
      <c r="BG482" s="155"/>
      <c r="BH482" s="155"/>
      <c r="BI482" s="155"/>
      <c r="BJ482" s="155"/>
      <c r="BK482" s="155"/>
      <c r="BL482" s="155"/>
      <c r="BM482" s="155"/>
      <c r="BN482" s="155"/>
      <c r="BO482" s="155"/>
      <c r="BP482" s="155"/>
      <c r="BQ482" s="155"/>
      <c r="BR482" s="155"/>
      <c r="BS482" s="155"/>
      <c r="BT482" s="155"/>
      <c r="BU482" s="155"/>
      <c r="BV482" s="155"/>
      <c r="BW482" s="155"/>
      <c r="BX482" s="155"/>
      <c r="BY482" s="155"/>
      <c r="BZ482" s="155"/>
      <c r="CA482" s="155"/>
      <c r="CB482" s="155"/>
      <c r="CC482" s="155"/>
      <c r="CD482" s="155"/>
      <c r="CE482" s="155"/>
      <c r="CF482" s="155"/>
      <c r="CG482" s="155"/>
    </row>
    <row r="483" spans="1:85" ht="12.75" x14ac:dyDescent="0.2">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c r="AA483" s="155"/>
      <c r="AB483" s="155"/>
      <c r="AC483" s="155"/>
      <c r="AD483" s="155"/>
      <c r="AE483" s="155"/>
      <c r="AF483" s="155"/>
      <c r="AG483" s="155"/>
      <c r="AH483" s="155"/>
      <c r="AI483" s="155"/>
      <c r="AJ483" s="155"/>
      <c r="AK483" s="155"/>
      <c r="AL483" s="155"/>
      <c r="AM483" s="155"/>
      <c r="AN483" s="155"/>
      <c r="AO483" s="155"/>
      <c r="AP483" s="155"/>
      <c r="AQ483" s="155"/>
      <c r="AR483" s="155"/>
      <c r="AS483" s="155"/>
      <c r="AT483" s="155"/>
      <c r="AU483" s="155"/>
      <c r="AV483" s="155"/>
      <c r="AW483" s="155"/>
      <c r="AX483" s="155"/>
      <c r="AY483" s="155"/>
      <c r="AZ483" s="155"/>
      <c r="BA483" s="155"/>
      <c r="BB483" s="155"/>
      <c r="BC483" s="155"/>
      <c r="BD483" s="155"/>
      <c r="BE483" s="155"/>
      <c r="BF483" s="155"/>
      <c r="BG483" s="155"/>
      <c r="BH483" s="155"/>
      <c r="BI483" s="155"/>
      <c r="BJ483" s="155"/>
      <c r="BK483" s="155"/>
      <c r="BL483" s="155"/>
      <c r="BM483" s="155"/>
      <c r="BN483" s="155"/>
      <c r="BO483" s="155"/>
      <c r="BP483" s="155"/>
      <c r="BQ483" s="155"/>
      <c r="BR483" s="155"/>
      <c r="BS483" s="155"/>
      <c r="BT483" s="155"/>
      <c r="BU483" s="155"/>
      <c r="BV483" s="155"/>
      <c r="BW483" s="155"/>
      <c r="BX483" s="155"/>
      <c r="BY483" s="155"/>
      <c r="BZ483" s="155"/>
      <c r="CA483" s="155"/>
      <c r="CB483" s="155"/>
      <c r="CC483" s="155"/>
      <c r="CD483" s="155"/>
      <c r="CE483" s="155"/>
      <c r="CF483" s="155"/>
      <c r="CG483" s="155"/>
    </row>
    <row r="484" spans="1:85" ht="12.75" x14ac:dyDescent="0.2">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c r="AA484" s="155"/>
      <c r="AB484" s="155"/>
      <c r="AC484" s="155"/>
      <c r="AD484" s="155"/>
      <c r="AE484" s="155"/>
      <c r="AF484" s="155"/>
      <c r="AG484" s="155"/>
      <c r="AH484" s="155"/>
      <c r="AI484" s="155"/>
      <c r="AJ484" s="155"/>
      <c r="AK484" s="155"/>
      <c r="AL484" s="155"/>
      <c r="AM484" s="155"/>
      <c r="AN484" s="155"/>
      <c r="AO484" s="155"/>
      <c r="AP484" s="155"/>
      <c r="AQ484" s="155"/>
      <c r="AR484" s="155"/>
      <c r="AS484" s="155"/>
      <c r="AT484" s="155"/>
      <c r="AU484" s="155"/>
      <c r="AV484" s="155"/>
      <c r="AW484" s="155"/>
      <c r="AX484" s="155"/>
      <c r="AY484" s="155"/>
      <c r="AZ484" s="155"/>
      <c r="BA484" s="155"/>
      <c r="BB484" s="155"/>
      <c r="BC484" s="155"/>
      <c r="BD484" s="155"/>
      <c r="BE484" s="155"/>
      <c r="BF484" s="155"/>
      <c r="BG484" s="155"/>
      <c r="BH484" s="155"/>
      <c r="BI484" s="155"/>
      <c r="BJ484" s="155"/>
      <c r="BK484" s="155"/>
      <c r="BL484" s="155"/>
      <c r="BM484" s="155"/>
      <c r="BN484" s="155"/>
      <c r="BO484" s="155"/>
      <c r="BP484" s="155"/>
      <c r="BQ484" s="155"/>
      <c r="BR484" s="155"/>
      <c r="BS484" s="155"/>
      <c r="BT484" s="155"/>
      <c r="BU484" s="155"/>
      <c r="BV484" s="155"/>
      <c r="BW484" s="155"/>
      <c r="BX484" s="155"/>
      <c r="BY484" s="155"/>
      <c r="BZ484" s="155"/>
      <c r="CA484" s="155"/>
      <c r="CB484" s="155"/>
      <c r="CC484" s="155"/>
      <c r="CD484" s="155"/>
      <c r="CE484" s="155"/>
      <c r="CF484" s="155"/>
      <c r="CG484" s="155"/>
    </row>
    <row r="485" spans="1:85" ht="12.75" x14ac:dyDescent="0.2">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c r="AA485" s="155"/>
      <c r="AB485" s="155"/>
      <c r="AC485" s="155"/>
      <c r="AD485" s="155"/>
      <c r="AE485" s="155"/>
      <c r="AF485" s="155"/>
      <c r="AG485" s="155"/>
      <c r="AH485" s="155"/>
      <c r="AI485" s="155"/>
      <c r="AJ485" s="155"/>
      <c r="AK485" s="155"/>
      <c r="AL485" s="155"/>
      <c r="AM485" s="155"/>
      <c r="AN485" s="155"/>
      <c r="AO485" s="155"/>
      <c r="AP485" s="155"/>
      <c r="AQ485" s="155"/>
      <c r="AR485" s="155"/>
      <c r="AS485" s="155"/>
      <c r="AT485" s="155"/>
      <c r="AU485" s="155"/>
      <c r="AV485" s="155"/>
      <c r="AW485" s="155"/>
      <c r="AX485" s="155"/>
      <c r="AY485" s="155"/>
      <c r="AZ485" s="155"/>
      <c r="BA485" s="155"/>
      <c r="BB485" s="155"/>
      <c r="BC485" s="155"/>
      <c r="BD485" s="155"/>
      <c r="BE485" s="155"/>
      <c r="BF485" s="155"/>
      <c r="BG485" s="155"/>
      <c r="BH485" s="155"/>
      <c r="BI485" s="155"/>
      <c r="BJ485" s="155"/>
      <c r="BK485" s="155"/>
      <c r="BL485" s="155"/>
      <c r="BM485" s="155"/>
      <c r="BN485" s="155"/>
      <c r="BO485" s="155"/>
      <c r="BP485" s="155"/>
      <c r="BQ485" s="155"/>
      <c r="BR485" s="155"/>
      <c r="BS485" s="155"/>
      <c r="BT485" s="155"/>
      <c r="BU485" s="155"/>
      <c r="BV485" s="155"/>
      <c r="BW485" s="155"/>
      <c r="BX485" s="155"/>
      <c r="BY485" s="155"/>
      <c r="BZ485" s="155"/>
      <c r="CA485" s="155"/>
      <c r="CB485" s="155"/>
      <c r="CC485" s="155"/>
      <c r="CD485" s="155"/>
      <c r="CE485" s="155"/>
      <c r="CF485" s="155"/>
      <c r="CG485" s="155"/>
    </row>
    <row r="486" spans="1:85" ht="12.75" x14ac:dyDescent="0.2">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c r="AA486" s="155"/>
      <c r="AB486" s="155"/>
      <c r="AC486" s="155"/>
      <c r="AD486" s="155"/>
      <c r="AE486" s="155"/>
      <c r="AF486" s="155"/>
      <c r="AG486" s="155"/>
      <c r="AH486" s="155"/>
      <c r="AI486" s="155"/>
      <c r="AJ486" s="155"/>
      <c r="AK486" s="155"/>
      <c r="AL486" s="155"/>
      <c r="AM486" s="155"/>
      <c r="AN486" s="155"/>
      <c r="AO486" s="155"/>
      <c r="AP486" s="155"/>
      <c r="AQ486" s="155"/>
      <c r="AR486" s="155"/>
      <c r="AS486" s="155"/>
      <c r="AT486" s="155"/>
      <c r="AU486" s="155"/>
      <c r="AV486" s="155"/>
      <c r="AW486" s="155"/>
      <c r="AX486" s="155"/>
      <c r="AY486" s="155"/>
      <c r="AZ486" s="155"/>
      <c r="BA486" s="155"/>
      <c r="BB486" s="155"/>
      <c r="BC486" s="155"/>
      <c r="BD486" s="155"/>
      <c r="BE486" s="155"/>
      <c r="BF486" s="155"/>
      <c r="BG486" s="155"/>
      <c r="BH486" s="155"/>
      <c r="BI486" s="155"/>
      <c r="BJ486" s="155"/>
      <c r="BK486" s="155"/>
      <c r="BL486" s="155"/>
      <c r="BM486" s="155"/>
      <c r="BN486" s="155"/>
      <c r="BO486" s="155"/>
      <c r="BP486" s="155"/>
      <c r="BQ486" s="155"/>
      <c r="BR486" s="155"/>
      <c r="BS486" s="155"/>
      <c r="BT486" s="155"/>
      <c r="BU486" s="155"/>
      <c r="BV486" s="155"/>
      <c r="BW486" s="155"/>
      <c r="BX486" s="155"/>
      <c r="BY486" s="155"/>
      <c r="BZ486" s="155"/>
      <c r="CA486" s="155"/>
      <c r="CB486" s="155"/>
      <c r="CC486" s="155"/>
      <c r="CD486" s="155"/>
      <c r="CE486" s="155"/>
      <c r="CF486" s="155"/>
      <c r="CG486" s="155"/>
    </row>
    <row r="487" spans="1:85" ht="12.75" x14ac:dyDescent="0.2">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c r="AA487" s="155"/>
      <c r="AB487" s="155"/>
      <c r="AC487" s="155"/>
      <c r="AD487" s="155"/>
      <c r="AE487" s="155"/>
      <c r="AF487" s="155"/>
      <c r="AG487" s="155"/>
      <c r="AH487" s="155"/>
      <c r="AI487" s="155"/>
      <c r="AJ487" s="155"/>
      <c r="AK487" s="155"/>
      <c r="AL487" s="155"/>
      <c r="AM487" s="155"/>
      <c r="AN487" s="155"/>
      <c r="AO487" s="155"/>
      <c r="AP487" s="155"/>
      <c r="AQ487" s="155"/>
      <c r="AR487" s="155"/>
      <c r="AS487" s="155"/>
      <c r="AT487" s="155"/>
      <c r="AU487" s="155"/>
      <c r="AV487" s="155"/>
      <c r="AW487" s="155"/>
      <c r="AX487" s="155"/>
      <c r="AY487" s="155"/>
      <c r="AZ487" s="155"/>
      <c r="BA487" s="155"/>
      <c r="BB487" s="155"/>
      <c r="BC487" s="155"/>
      <c r="BD487" s="155"/>
      <c r="BE487" s="155"/>
      <c r="BF487" s="155"/>
      <c r="BG487" s="155"/>
      <c r="BH487" s="155"/>
      <c r="BI487" s="155"/>
      <c r="BJ487" s="155"/>
      <c r="BK487" s="155"/>
      <c r="BL487" s="155"/>
      <c r="BM487" s="155"/>
      <c r="BN487" s="155"/>
      <c r="BO487" s="155"/>
      <c r="BP487" s="155"/>
      <c r="BQ487" s="155"/>
      <c r="BR487" s="155"/>
      <c r="BS487" s="155"/>
      <c r="BT487" s="155"/>
      <c r="BU487" s="155"/>
      <c r="BV487" s="155"/>
      <c r="BW487" s="155"/>
      <c r="BX487" s="155"/>
      <c r="BY487" s="155"/>
      <c r="BZ487" s="155"/>
      <c r="CA487" s="155"/>
      <c r="CB487" s="155"/>
      <c r="CC487" s="155"/>
      <c r="CD487" s="155"/>
      <c r="CE487" s="155"/>
      <c r="CF487" s="155"/>
      <c r="CG487" s="155"/>
    </row>
    <row r="488" spans="1:85" ht="12.75" x14ac:dyDescent="0.2">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c r="AA488" s="155"/>
      <c r="AB488" s="155"/>
      <c r="AC488" s="155"/>
      <c r="AD488" s="155"/>
      <c r="AE488" s="155"/>
      <c r="AF488" s="155"/>
      <c r="AG488" s="155"/>
      <c r="AH488" s="155"/>
      <c r="AI488" s="155"/>
      <c r="AJ488" s="155"/>
      <c r="AK488" s="155"/>
      <c r="AL488" s="155"/>
      <c r="AM488" s="155"/>
      <c r="AN488" s="155"/>
      <c r="AO488" s="155"/>
      <c r="AP488" s="155"/>
      <c r="AQ488" s="155"/>
      <c r="AR488" s="155"/>
      <c r="AS488" s="155"/>
      <c r="AT488" s="155"/>
      <c r="AU488" s="155"/>
      <c r="AV488" s="155"/>
      <c r="AW488" s="155"/>
      <c r="AX488" s="155"/>
      <c r="AY488" s="155"/>
      <c r="AZ488" s="155"/>
      <c r="BA488" s="155"/>
      <c r="BB488" s="155"/>
      <c r="BC488" s="155"/>
      <c r="BD488" s="155"/>
      <c r="BE488" s="155"/>
      <c r="BF488" s="155"/>
      <c r="BG488" s="155"/>
      <c r="BH488" s="155"/>
      <c r="BI488" s="155"/>
      <c r="BJ488" s="155"/>
      <c r="BK488" s="155"/>
      <c r="BL488" s="155"/>
      <c r="BM488" s="155"/>
      <c r="BN488" s="155"/>
      <c r="BO488" s="155"/>
      <c r="BP488" s="155"/>
      <c r="BQ488" s="155"/>
      <c r="BR488" s="155"/>
      <c r="BS488" s="155"/>
      <c r="BT488" s="155"/>
      <c r="BU488" s="155"/>
      <c r="BV488" s="155"/>
      <c r="BW488" s="155"/>
      <c r="BX488" s="155"/>
      <c r="BY488" s="155"/>
      <c r="BZ488" s="155"/>
      <c r="CA488" s="155"/>
      <c r="CB488" s="155"/>
      <c r="CC488" s="155"/>
      <c r="CD488" s="155"/>
      <c r="CE488" s="155"/>
      <c r="CF488" s="155"/>
      <c r="CG488" s="155"/>
    </row>
    <row r="489" spans="1:85" ht="12.75" x14ac:dyDescent="0.2">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c r="AA489" s="155"/>
      <c r="AB489" s="155"/>
      <c r="AC489" s="155"/>
      <c r="AD489" s="155"/>
      <c r="AE489" s="155"/>
      <c r="AF489" s="155"/>
      <c r="AG489" s="155"/>
      <c r="AH489" s="155"/>
      <c r="AI489" s="155"/>
      <c r="AJ489" s="155"/>
      <c r="AK489" s="155"/>
      <c r="AL489" s="155"/>
      <c r="AM489" s="155"/>
      <c r="AN489" s="155"/>
      <c r="AO489" s="155"/>
      <c r="AP489" s="155"/>
      <c r="AQ489" s="155"/>
      <c r="AR489" s="155"/>
      <c r="AS489" s="155"/>
      <c r="AT489" s="155"/>
      <c r="AU489" s="155"/>
      <c r="AV489" s="155"/>
      <c r="AW489" s="155"/>
      <c r="AX489" s="155"/>
      <c r="AY489" s="155"/>
      <c r="AZ489" s="155"/>
      <c r="BA489" s="155"/>
      <c r="BB489" s="155"/>
      <c r="BC489" s="155"/>
      <c r="BD489" s="155"/>
      <c r="BE489" s="155"/>
      <c r="BF489" s="155"/>
      <c r="BG489" s="155"/>
      <c r="BH489" s="155"/>
      <c r="BI489" s="155"/>
      <c r="BJ489" s="155"/>
      <c r="BK489" s="155"/>
      <c r="BL489" s="155"/>
      <c r="BM489" s="155"/>
      <c r="BN489" s="155"/>
      <c r="BO489" s="155"/>
      <c r="BP489" s="155"/>
      <c r="BQ489" s="155"/>
      <c r="BR489" s="155"/>
      <c r="BS489" s="155"/>
      <c r="BT489" s="155"/>
      <c r="BU489" s="155"/>
      <c r="BV489" s="155"/>
      <c r="BW489" s="155"/>
      <c r="BX489" s="155"/>
      <c r="BY489" s="155"/>
      <c r="BZ489" s="155"/>
      <c r="CA489" s="155"/>
      <c r="CB489" s="155"/>
      <c r="CC489" s="155"/>
      <c r="CD489" s="155"/>
      <c r="CE489" s="155"/>
      <c r="CF489" s="155"/>
      <c r="CG489" s="155"/>
    </row>
    <row r="490" spans="1:85" ht="12.75" x14ac:dyDescent="0.2">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c r="AA490" s="155"/>
      <c r="AB490" s="155"/>
      <c r="AC490" s="155"/>
      <c r="AD490" s="155"/>
      <c r="AE490" s="155"/>
      <c r="AF490" s="155"/>
      <c r="AG490" s="155"/>
      <c r="AH490" s="155"/>
      <c r="AI490" s="155"/>
      <c r="AJ490" s="155"/>
      <c r="AK490" s="155"/>
      <c r="AL490" s="155"/>
      <c r="AM490" s="155"/>
      <c r="AN490" s="155"/>
      <c r="AO490" s="155"/>
      <c r="AP490" s="155"/>
      <c r="AQ490" s="155"/>
      <c r="AR490" s="155"/>
      <c r="AS490" s="155"/>
      <c r="AT490" s="155"/>
      <c r="AU490" s="155"/>
      <c r="AV490" s="155"/>
      <c r="AW490" s="155"/>
      <c r="AX490" s="155"/>
      <c r="AY490" s="155"/>
      <c r="AZ490" s="155"/>
      <c r="BA490" s="155"/>
      <c r="BB490" s="155"/>
      <c r="BC490" s="155"/>
      <c r="BD490" s="155"/>
      <c r="BE490" s="155"/>
      <c r="BF490" s="155"/>
      <c r="BG490" s="155"/>
      <c r="BH490" s="155"/>
      <c r="BI490" s="155"/>
      <c r="BJ490" s="155"/>
      <c r="BK490" s="155"/>
      <c r="BL490" s="155"/>
      <c r="BM490" s="155"/>
      <c r="BN490" s="155"/>
      <c r="BO490" s="155"/>
      <c r="BP490" s="155"/>
      <c r="BQ490" s="155"/>
      <c r="BR490" s="155"/>
      <c r="BS490" s="155"/>
      <c r="BT490" s="155"/>
      <c r="BU490" s="155"/>
      <c r="BV490" s="155"/>
      <c r="BW490" s="155"/>
      <c r="BX490" s="155"/>
      <c r="BY490" s="155"/>
      <c r="BZ490" s="155"/>
      <c r="CA490" s="155"/>
      <c r="CB490" s="155"/>
      <c r="CC490" s="155"/>
      <c r="CD490" s="155"/>
      <c r="CE490" s="155"/>
      <c r="CF490" s="155"/>
      <c r="CG490" s="155"/>
    </row>
    <row r="491" spans="1:85" ht="12.75" x14ac:dyDescent="0.2">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c r="AA491" s="155"/>
      <c r="AB491" s="155"/>
      <c r="AC491" s="155"/>
      <c r="AD491" s="155"/>
      <c r="AE491" s="155"/>
      <c r="AF491" s="155"/>
      <c r="AG491" s="155"/>
      <c r="AH491" s="155"/>
      <c r="AI491" s="155"/>
      <c r="AJ491" s="155"/>
      <c r="AK491" s="155"/>
      <c r="AL491" s="155"/>
      <c r="AM491" s="155"/>
      <c r="AN491" s="155"/>
      <c r="AO491" s="155"/>
      <c r="AP491" s="155"/>
      <c r="AQ491" s="155"/>
      <c r="AR491" s="155"/>
      <c r="AS491" s="155"/>
      <c r="AT491" s="155"/>
      <c r="AU491" s="155"/>
      <c r="AV491" s="155"/>
      <c r="AW491" s="155"/>
      <c r="AX491" s="155"/>
      <c r="AY491" s="155"/>
      <c r="AZ491" s="155"/>
      <c r="BA491" s="155"/>
      <c r="BB491" s="155"/>
      <c r="BC491" s="155"/>
      <c r="BD491" s="155"/>
      <c r="BE491" s="155"/>
      <c r="BF491" s="155"/>
      <c r="BG491" s="155"/>
      <c r="BH491" s="155"/>
      <c r="BI491" s="155"/>
      <c r="BJ491" s="155"/>
      <c r="BK491" s="155"/>
      <c r="BL491" s="155"/>
      <c r="BM491" s="155"/>
      <c r="BN491" s="155"/>
      <c r="BO491" s="155"/>
      <c r="BP491" s="155"/>
      <c r="BQ491" s="155"/>
      <c r="BR491" s="155"/>
      <c r="BS491" s="155"/>
      <c r="BT491" s="155"/>
      <c r="BU491" s="155"/>
      <c r="BV491" s="155"/>
      <c r="BW491" s="155"/>
      <c r="BX491" s="155"/>
      <c r="BY491" s="155"/>
      <c r="BZ491" s="155"/>
      <c r="CA491" s="155"/>
      <c r="CB491" s="155"/>
      <c r="CC491" s="155"/>
      <c r="CD491" s="155"/>
      <c r="CE491" s="155"/>
      <c r="CF491" s="155"/>
      <c r="CG491" s="155"/>
    </row>
    <row r="492" spans="1:85" ht="12.75" x14ac:dyDescent="0.2">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c r="AA492" s="155"/>
      <c r="AB492" s="155"/>
      <c r="AC492" s="155"/>
      <c r="AD492" s="155"/>
      <c r="AE492" s="155"/>
      <c r="AF492" s="155"/>
      <c r="AG492" s="155"/>
      <c r="AH492" s="155"/>
      <c r="AI492" s="155"/>
      <c r="AJ492" s="155"/>
      <c r="AK492" s="155"/>
      <c r="AL492" s="155"/>
      <c r="AM492" s="155"/>
      <c r="AN492" s="155"/>
      <c r="AO492" s="155"/>
      <c r="AP492" s="155"/>
      <c r="AQ492" s="155"/>
      <c r="AR492" s="155"/>
      <c r="AS492" s="155"/>
      <c r="AT492" s="155"/>
      <c r="AU492" s="155"/>
      <c r="AV492" s="155"/>
      <c r="AW492" s="155"/>
      <c r="AX492" s="155"/>
      <c r="AY492" s="155"/>
      <c r="AZ492" s="155"/>
      <c r="BA492" s="155"/>
      <c r="BB492" s="155"/>
      <c r="BC492" s="155"/>
      <c r="BD492" s="155"/>
      <c r="BE492" s="155"/>
      <c r="BF492" s="155"/>
      <c r="BG492" s="155"/>
      <c r="BH492" s="155"/>
      <c r="BI492" s="155"/>
      <c r="BJ492" s="155"/>
      <c r="BK492" s="155"/>
      <c r="BL492" s="155"/>
      <c r="BM492" s="155"/>
      <c r="BN492" s="155"/>
      <c r="BO492" s="155"/>
      <c r="BP492" s="155"/>
      <c r="BQ492" s="155"/>
      <c r="BR492" s="155"/>
      <c r="BS492" s="155"/>
      <c r="BT492" s="155"/>
      <c r="BU492" s="155"/>
      <c r="BV492" s="155"/>
      <c r="BW492" s="155"/>
      <c r="BX492" s="155"/>
      <c r="BY492" s="155"/>
      <c r="BZ492" s="155"/>
      <c r="CA492" s="155"/>
      <c r="CB492" s="155"/>
      <c r="CC492" s="155"/>
      <c r="CD492" s="155"/>
      <c r="CE492" s="155"/>
      <c r="CF492" s="155"/>
      <c r="CG492" s="155"/>
    </row>
    <row r="493" spans="1:85" ht="12.75" x14ac:dyDescent="0.2">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c r="AA493" s="155"/>
      <c r="AB493" s="155"/>
      <c r="AC493" s="155"/>
      <c r="AD493" s="155"/>
      <c r="AE493" s="155"/>
      <c r="AF493" s="155"/>
      <c r="AG493" s="155"/>
      <c r="AH493" s="155"/>
      <c r="AI493" s="155"/>
      <c r="AJ493" s="155"/>
      <c r="AK493" s="155"/>
      <c r="AL493" s="155"/>
      <c r="AM493" s="155"/>
      <c r="AN493" s="155"/>
      <c r="AO493" s="155"/>
      <c r="AP493" s="155"/>
      <c r="AQ493" s="155"/>
      <c r="AR493" s="155"/>
      <c r="AS493" s="155"/>
      <c r="AT493" s="155"/>
      <c r="AU493" s="155"/>
      <c r="AV493" s="155"/>
      <c r="AW493" s="155"/>
      <c r="AX493" s="155"/>
      <c r="AY493" s="155"/>
      <c r="AZ493" s="155"/>
      <c r="BA493" s="155"/>
      <c r="BB493" s="155"/>
      <c r="BC493" s="155"/>
      <c r="BD493" s="155"/>
      <c r="BE493" s="155"/>
      <c r="BF493" s="155"/>
      <c r="BG493" s="155"/>
      <c r="BH493" s="155"/>
      <c r="BI493" s="155"/>
      <c r="BJ493" s="155"/>
      <c r="BK493" s="155"/>
      <c r="BL493" s="155"/>
      <c r="BM493" s="155"/>
      <c r="BN493" s="155"/>
      <c r="BO493" s="155"/>
      <c r="BP493" s="155"/>
      <c r="BQ493" s="155"/>
      <c r="BR493" s="155"/>
      <c r="BS493" s="155"/>
      <c r="BT493" s="155"/>
      <c r="BU493" s="155"/>
      <c r="BV493" s="155"/>
      <c r="BW493" s="155"/>
      <c r="BX493" s="155"/>
      <c r="BY493" s="155"/>
      <c r="BZ493" s="155"/>
      <c r="CA493" s="155"/>
      <c r="CB493" s="155"/>
      <c r="CC493" s="155"/>
      <c r="CD493" s="155"/>
      <c r="CE493" s="155"/>
      <c r="CF493" s="155"/>
      <c r="CG493" s="155"/>
    </row>
    <row r="494" spans="1:85" ht="12.75" x14ac:dyDescent="0.2">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c r="AA494" s="155"/>
      <c r="AB494" s="155"/>
      <c r="AC494" s="155"/>
      <c r="AD494" s="155"/>
      <c r="AE494" s="155"/>
      <c r="AF494" s="155"/>
      <c r="AG494" s="155"/>
      <c r="AH494" s="155"/>
      <c r="AI494" s="155"/>
      <c r="AJ494" s="155"/>
      <c r="AK494" s="155"/>
      <c r="AL494" s="155"/>
      <c r="AM494" s="155"/>
      <c r="AN494" s="155"/>
      <c r="AO494" s="155"/>
      <c r="AP494" s="155"/>
      <c r="AQ494" s="155"/>
      <c r="AR494" s="155"/>
      <c r="AS494" s="155"/>
      <c r="AT494" s="155"/>
      <c r="AU494" s="155"/>
      <c r="AV494" s="155"/>
      <c r="AW494" s="155"/>
      <c r="AX494" s="155"/>
      <c r="AY494" s="155"/>
      <c r="AZ494" s="155"/>
      <c r="BA494" s="155"/>
      <c r="BB494" s="155"/>
      <c r="BC494" s="155"/>
      <c r="BD494" s="155"/>
      <c r="BE494" s="155"/>
      <c r="BF494" s="155"/>
      <c r="BG494" s="155"/>
      <c r="BH494" s="155"/>
      <c r="BI494" s="155"/>
      <c r="BJ494" s="155"/>
      <c r="BK494" s="155"/>
      <c r="BL494" s="155"/>
      <c r="BM494" s="155"/>
      <c r="BN494" s="155"/>
      <c r="BO494" s="155"/>
      <c r="BP494" s="155"/>
      <c r="BQ494" s="155"/>
      <c r="BR494" s="155"/>
      <c r="BS494" s="155"/>
      <c r="BT494" s="155"/>
      <c r="BU494" s="155"/>
      <c r="BV494" s="155"/>
      <c r="BW494" s="155"/>
      <c r="BX494" s="155"/>
      <c r="BY494" s="155"/>
      <c r="BZ494" s="155"/>
      <c r="CA494" s="155"/>
      <c r="CB494" s="155"/>
      <c r="CC494" s="155"/>
      <c r="CD494" s="155"/>
      <c r="CE494" s="155"/>
      <c r="CF494" s="155"/>
      <c r="CG494" s="155"/>
    </row>
    <row r="495" spans="1:85" ht="12.75" x14ac:dyDescent="0.2">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c r="AA495" s="155"/>
      <c r="AB495" s="155"/>
      <c r="AC495" s="155"/>
      <c r="AD495" s="155"/>
      <c r="AE495" s="155"/>
      <c r="AF495" s="155"/>
      <c r="AG495" s="155"/>
      <c r="AH495" s="155"/>
      <c r="AI495" s="155"/>
      <c r="AJ495" s="155"/>
      <c r="AK495" s="155"/>
      <c r="AL495" s="155"/>
      <c r="AM495" s="155"/>
      <c r="AN495" s="155"/>
      <c r="AO495" s="155"/>
      <c r="AP495" s="155"/>
      <c r="AQ495" s="155"/>
      <c r="AR495" s="155"/>
      <c r="AS495" s="155"/>
      <c r="AT495" s="155"/>
      <c r="AU495" s="155"/>
      <c r="AV495" s="155"/>
      <c r="AW495" s="155"/>
      <c r="AX495" s="155"/>
      <c r="AY495" s="155"/>
      <c r="AZ495" s="155"/>
      <c r="BA495" s="155"/>
      <c r="BB495" s="155"/>
      <c r="BC495" s="155"/>
      <c r="BD495" s="155"/>
      <c r="BE495" s="155"/>
      <c r="BF495" s="155"/>
      <c r="BG495" s="155"/>
      <c r="BH495" s="155"/>
      <c r="BI495" s="155"/>
      <c r="BJ495" s="155"/>
      <c r="BK495" s="155"/>
      <c r="BL495" s="155"/>
      <c r="BM495" s="155"/>
      <c r="BN495" s="155"/>
      <c r="BO495" s="155"/>
      <c r="BP495" s="155"/>
      <c r="BQ495" s="155"/>
      <c r="BR495" s="155"/>
      <c r="BS495" s="155"/>
      <c r="BT495" s="155"/>
      <c r="BU495" s="155"/>
      <c r="BV495" s="155"/>
      <c r="BW495" s="155"/>
      <c r="BX495" s="155"/>
      <c r="BY495" s="155"/>
      <c r="BZ495" s="155"/>
      <c r="CA495" s="155"/>
      <c r="CB495" s="155"/>
      <c r="CC495" s="155"/>
      <c r="CD495" s="155"/>
      <c r="CE495" s="155"/>
      <c r="CF495" s="155"/>
      <c r="CG495" s="155"/>
    </row>
    <row r="496" spans="1:85" ht="12.75" x14ac:dyDescent="0.2">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c r="AA496" s="155"/>
      <c r="AB496" s="155"/>
      <c r="AC496" s="155"/>
      <c r="AD496" s="155"/>
      <c r="AE496" s="155"/>
      <c r="AF496" s="155"/>
      <c r="AG496" s="155"/>
      <c r="AH496" s="155"/>
      <c r="AI496" s="155"/>
      <c r="AJ496" s="155"/>
      <c r="AK496" s="155"/>
      <c r="AL496" s="155"/>
      <c r="AM496" s="155"/>
      <c r="AN496" s="155"/>
      <c r="AO496" s="155"/>
      <c r="AP496" s="155"/>
      <c r="AQ496" s="155"/>
      <c r="AR496" s="155"/>
      <c r="AS496" s="155"/>
      <c r="AT496" s="155"/>
      <c r="AU496" s="155"/>
      <c r="AV496" s="155"/>
      <c r="AW496" s="155"/>
      <c r="AX496" s="155"/>
      <c r="AY496" s="155"/>
      <c r="AZ496" s="155"/>
      <c r="BA496" s="155"/>
      <c r="BB496" s="155"/>
      <c r="BC496" s="155"/>
      <c r="BD496" s="155"/>
      <c r="BE496" s="155"/>
      <c r="BF496" s="155"/>
      <c r="BG496" s="155"/>
      <c r="BH496" s="155"/>
      <c r="BI496" s="155"/>
      <c r="BJ496" s="155"/>
      <c r="BK496" s="155"/>
      <c r="BL496" s="155"/>
      <c r="BM496" s="155"/>
      <c r="BN496" s="155"/>
      <c r="BO496" s="155"/>
      <c r="BP496" s="155"/>
      <c r="BQ496" s="155"/>
      <c r="BR496" s="155"/>
      <c r="BS496" s="155"/>
      <c r="BT496" s="155"/>
      <c r="BU496" s="155"/>
      <c r="BV496" s="155"/>
      <c r="BW496" s="155"/>
      <c r="BX496" s="155"/>
      <c r="BY496" s="155"/>
      <c r="BZ496" s="155"/>
      <c r="CA496" s="155"/>
      <c r="CB496" s="155"/>
      <c r="CC496" s="155"/>
      <c r="CD496" s="155"/>
      <c r="CE496" s="155"/>
      <c r="CF496" s="155"/>
      <c r="CG496" s="155"/>
    </row>
    <row r="497" spans="1:85" ht="12.75" x14ac:dyDescent="0.2">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c r="AA497" s="155"/>
      <c r="AB497" s="155"/>
      <c r="AC497" s="155"/>
      <c r="AD497" s="155"/>
      <c r="AE497" s="155"/>
      <c r="AF497" s="155"/>
      <c r="AG497" s="155"/>
      <c r="AH497" s="155"/>
      <c r="AI497" s="155"/>
      <c r="AJ497" s="155"/>
      <c r="AK497" s="155"/>
      <c r="AL497" s="155"/>
      <c r="AM497" s="155"/>
      <c r="AN497" s="155"/>
      <c r="AO497" s="155"/>
      <c r="AP497" s="155"/>
      <c r="AQ497" s="155"/>
      <c r="AR497" s="155"/>
      <c r="AS497" s="155"/>
      <c r="AT497" s="155"/>
      <c r="AU497" s="155"/>
      <c r="AV497" s="155"/>
      <c r="AW497" s="155"/>
      <c r="AX497" s="155"/>
      <c r="AY497" s="155"/>
      <c r="AZ497" s="155"/>
      <c r="BA497" s="155"/>
      <c r="BB497" s="155"/>
      <c r="BC497" s="155"/>
      <c r="BD497" s="155"/>
      <c r="BE497" s="155"/>
      <c r="BF497" s="155"/>
      <c r="BG497" s="155"/>
      <c r="BH497" s="155"/>
      <c r="BI497" s="155"/>
      <c r="BJ497" s="155"/>
      <c r="BK497" s="155"/>
      <c r="BL497" s="155"/>
      <c r="BM497" s="155"/>
      <c r="BN497" s="155"/>
      <c r="BO497" s="155"/>
      <c r="BP497" s="155"/>
      <c r="BQ497" s="155"/>
      <c r="BR497" s="155"/>
      <c r="BS497" s="155"/>
      <c r="BT497" s="155"/>
      <c r="BU497" s="155"/>
      <c r="BV497" s="155"/>
      <c r="BW497" s="155"/>
      <c r="BX497" s="155"/>
      <c r="BY497" s="155"/>
      <c r="BZ497" s="155"/>
      <c r="CA497" s="155"/>
      <c r="CB497" s="155"/>
      <c r="CC497" s="155"/>
      <c r="CD497" s="155"/>
      <c r="CE497" s="155"/>
      <c r="CF497" s="155"/>
      <c r="CG497" s="155"/>
    </row>
    <row r="498" spans="1:85" ht="12.75" x14ac:dyDescent="0.2">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c r="AA498" s="155"/>
      <c r="AB498" s="155"/>
      <c r="AC498" s="155"/>
      <c r="AD498" s="155"/>
      <c r="AE498" s="155"/>
      <c r="AF498" s="155"/>
      <c r="AG498" s="155"/>
      <c r="AH498" s="155"/>
      <c r="AI498" s="155"/>
      <c r="AJ498" s="155"/>
      <c r="AK498" s="155"/>
      <c r="AL498" s="155"/>
      <c r="AM498" s="155"/>
      <c r="AN498" s="155"/>
      <c r="AO498" s="155"/>
      <c r="AP498" s="155"/>
      <c r="AQ498" s="155"/>
      <c r="AR498" s="155"/>
      <c r="AS498" s="155"/>
      <c r="AT498" s="155"/>
      <c r="AU498" s="155"/>
      <c r="AV498" s="155"/>
      <c r="AW498" s="155"/>
      <c r="AX498" s="155"/>
      <c r="AY498" s="155"/>
      <c r="AZ498" s="155"/>
      <c r="BA498" s="155"/>
      <c r="BB498" s="155"/>
      <c r="BC498" s="155"/>
      <c r="BD498" s="155"/>
      <c r="BE498" s="155"/>
      <c r="BF498" s="155"/>
      <c r="BG498" s="155"/>
      <c r="BH498" s="155"/>
      <c r="BI498" s="155"/>
      <c r="BJ498" s="155"/>
      <c r="BK498" s="155"/>
      <c r="BL498" s="155"/>
      <c r="BM498" s="155"/>
      <c r="BN498" s="155"/>
      <c r="BO498" s="155"/>
      <c r="BP498" s="155"/>
      <c r="BQ498" s="155"/>
      <c r="BR498" s="155"/>
      <c r="BS498" s="155"/>
      <c r="BT498" s="155"/>
      <c r="BU498" s="155"/>
      <c r="BV498" s="155"/>
      <c r="BW498" s="155"/>
      <c r="BX498" s="155"/>
      <c r="BY498" s="155"/>
      <c r="BZ498" s="155"/>
      <c r="CA498" s="155"/>
      <c r="CB498" s="155"/>
      <c r="CC498" s="155"/>
      <c r="CD498" s="155"/>
      <c r="CE498" s="155"/>
      <c r="CF498" s="155"/>
      <c r="CG498" s="155"/>
    </row>
    <row r="499" spans="1:85" ht="12.75" x14ac:dyDescent="0.2">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c r="AA499" s="155"/>
      <c r="AB499" s="155"/>
      <c r="AC499" s="155"/>
      <c r="AD499" s="155"/>
      <c r="AE499" s="155"/>
      <c r="AF499" s="155"/>
      <c r="AG499" s="155"/>
      <c r="AH499" s="155"/>
      <c r="AI499" s="155"/>
      <c r="AJ499" s="155"/>
      <c r="AK499" s="155"/>
      <c r="AL499" s="155"/>
      <c r="AM499" s="155"/>
      <c r="AN499" s="155"/>
      <c r="AO499" s="155"/>
      <c r="AP499" s="155"/>
      <c r="AQ499" s="155"/>
      <c r="AR499" s="155"/>
      <c r="AS499" s="155"/>
      <c r="AT499" s="155"/>
      <c r="AU499" s="155"/>
      <c r="AV499" s="155"/>
      <c r="AW499" s="155"/>
      <c r="AX499" s="155"/>
      <c r="AY499" s="155"/>
      <c r="AZ499" s="155"/>
      <c r="BA499" s="155"/>
      <c r="BB499" s="155"/>
      <c r="BC499" s="155"/>
      <c r="BD499" s="155"/>
      <c r="BE499" s="155"/>
      <c r="BF499" s="155"/>
      <c r="BG499" s="155"/>
      <c r="BH499" s="155"/>
      <c r="BI499" s="155"/>
      <c r="BJ499" s="155"/>
      <c r="BK499" s="155"/>
      <c r="BL499" s="155"/>
      <c r="BM499" s="155"/>
      <c r="BN499" s="155"/>
      <c r="BO499" s="155"/>
      <c r="BP499" s="155"/>
      <c r="BQ499" s="155"/>
      <c r="BR499" s="155"/>
      <c r="BS499" s="155"/>
      <c r="BT499" s="155"/>
      <c r="BU499" s="155"/>
      <c r="BV499" s="155"/>
      <c r="BW499" s="155"/>
      <c r="BX499" s="155"/>
      <c r="BY499" s="155"/>
      <c r="BZ499" s="155"/>
      <c r="CA499" s="155"/>
      <c r="CB499" s="155"/>
      <c r="CC499" s="155"/>
      <c r="CD499" s="155"/>
      <c r="CE499" s="155"/>
      <c r="CF499" s="155"/>
      <c r="CG499" s="155"/>
    </row>
    <row r="500" spans="1:85" ht="12.75" x14ac:dyDescent="0.2">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c r="AA500" s="155"/>
      <c r="AB500" s="155"/>
      <c r="AC500" s="155"/>
      <c r="AD500" s="155"/>
      <c r="AE500" s="155"/>
      <c r="AF500" s="155"/>
      <c r="AG500" s="155"/>
      <c r="AH500" s="155"/>
      <c r="AI500" s="155"/>
      <c r="AJ500" s="155"/>
      <c r="AK500" s="155"/>
      <c r="AL500" s="155"/>
      <c r="AM500" s="155"/>
      <c r="AN500" s="155"/>
      <c r="AO500" s="155"/>
      <c r="AP500" s="155"/>
      <c r="AQ500" s="155"/>
      <c r="AR500" s="155"/>
      <c r="AS500" s="155"/>
      <c r="AT500" s="155"/>
      <c r="AU500" s="155"/>
      <c r="AV500" s="155"/>
      <c r="AW500" s="155"/>
      <c r="AX500" s="155"/>
      <c r="AY500" s="155"/>
      <c r="AZ500" s="155"/>
      <c r="BA500" s="155"/>
      <c r="BB500" s="155"/>
      <c r="BC500" s="155"/>
      <c r="BD500" s="155"/>
      <c r="BE500" s="155"/>
      <c r="BF500" s="155"/>
      <c r="BG500" s="155"/>
      <c r="BH500" s="155"/>
      <c r="BI500" s="155"/>
      <c r="BJ500" s="155"/>
      <c r="BK500" s="155"/>
      <c r="BL500" s="155"/>
      <c r="BM500" s="155"/>
      <c r="BN500" s="155"/>
      <c r="BO500" s="155"/>
      <c r="BP500" s="155"/>
      <c r="BQ500" s="155"/>
      <c r="BR500" s="155"/>
      <c r="BS500" s="155"/>
      <c r="BT500" s="155"/>
      <c r="BU500" s="155"/>
      <c r="BV500" s="155"/>
      <c r="BW500" s="155"/>
      <c r="BX500" s="155"/>
      <c r="BY500" s="155"/>
      <c r="BZ500" s="155"/>
      <c r="CA500" s="155"/>
      <c r="CB500" s="155"/>
      <c r="CC500" s="155"/>
      <c r="CD500" s="155"/>
      <c r="CE500" s="155"/>
      <c r="CF500" s="155"/>
      <c r="CG500" s="155"/>
    </row>
    <row r="501" spans="1:85" ht="12.75" x14ac:dyDescent="0.2">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c r="AA501" s="155"/>
      <c r="AB501" s="155"/>
      <c r="AC501" s="155"/>
      <c r="AD501" s="155"/>
      <c r="AE501" s="155"/>
      <c r="AF501" s="155"/>
      <c r="AG501" s="155"/>
      <c r="AH501" s="155"/>
      <c r="AI501" s="155"/>
      <c r="AJ501" s="155"/>
      <c r="AK501" s="155"/>
      <c r="AL501" s="155"/>
      <c r="AM501" s="155"/>
      <c r="AN501" s="155"/>
      <c r="AO501" s="155"/>
      <c r="AP501" s="155"/>
      <c r="AQ501" s="155"/>
      <c r="AR501" s="155"/>
      <c r="AS501" s="155"/>
      <c r="AT501" s="155"/>
      <c r="AU501" s="155"/>
      <c r="AV501" s="155"/>
      <c r="AW501" s="155"/>
      <c r="AX501" s="155"/>
      <c r="AY501" s="155"/>
      <c r="AZ501" s="155"/>
      <c r="BA501" s="155"/>
      <c r="BB501" s="155"/>
      <c r="BC501" s="155"/>
      <c r="BD501" s="155"/>
      <c r="BE501" s="155"/>
      <c r="BF501" s="155"/>
      <c r="BG501" s="155"/>
      <c r="BH501" s="155"/>
      <c r="BI501" s="155"/>
      <c r="BJ501" s="155"/>
      <c r="BK501" s="155"/>
      <c r="BL501" s="155"/>
      <c r="BM501" s="155"/>
      <c r="BN501" s="155"/>
      <c r="BO501" s="155"/>
      <c r="BP501" s="155"/>
      <c r="BQ501" s="155"/>
      <c r="BR501" s="155"/>
      <c r="BS501" s="155"/>
      <c r="BT501" s="155"/>
      <c r="BU501" s="155"/>
      <c r="BV501" s="155"/>
      <c r="BW501" s="155"/>
      <c r="BX501" s="155"/>
      <c r="BY501" s="155"/>
      <c r="BZ501" s="155"/>
      <c r="CA501" s="155"/>
      <c r="CB501" s="155"/>
      <c r="CC501" s="155"/>
      <c r="CD501" s="155"/>
      <c r="CE501" s="155"/>
      <c r="CF501" s="155"/>
      <c r="CG501" s="155"/>
    </row>
    <row r="502" spans="1:85" ht="12.75" x14ac:dyDescent="0.2">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c r="AA502" s="155"/>
      <c r="AB502" s="155"/>
      <c r="AC502" s="155"/>
      <c r="AD502" s="155"/>
      <c r="AE502" s="155"/>
      <c r="AF502" s="155"/>
      <c r="AG502" s="155"/>
      <c r="AH502" s="155"/>
      <c r="AI502" s="155"/>
      <c r="AJ502" s="155"/>
      <c r="AK502" s="155"/>
      <c r="AL502" s="155"/>
      <c r="AM502" s="155"/>
      <c r="AN502" s="155"/>
      <c r="AO502" s="155"/>
      <c r="AP502" s="155"/>
      <c r="AQ502" s="155"/>
      <c r="AR502" s="155"/>
      <c r="AS502" s="155"/>
      <c r="AT502" s="155"/>
      <c r="AU502" s="155"/>
      <c r="AV502" s="155"/>
      <c r="AW502" s="155"/>
      <c r="AX502" s="155"/>
      <c r="AY502" s="155"/>
      <c r="AZ502" s="155"/>
      <c r="BA502" s="155"/>
      <c r="BB502" s="155"/>
      <c r="BC502" s="155"/>
      <c r="BD502" s="155"/>
      <c r="BE502" s="155"/>
      <c r="BF502" s="155"/>
      <c r="BG502" s="155"/>
      <c r="BH502" s="155"/>
      <c r="BI502" s="155"/>
      <c r="BJ502" s="155"/>
      <c r="BK502" s="155"/>
      <c r="BL502" s="155"/>
      <c r="BM502" s="155"/>
      <c r="BN502" s="155"/>
      <c r="BO502" s="155"/>
      <c r="BP502" s="155"/>
      <c r="BQ502" s="155"/>
      <c r="BR502" s="155"/>
      <c r="BS502" s="155"/>
      <c r="BT502" s="155"/>
      <c r="BU502" s="155"/>
      <c r="BV502" s="155"/>
      <c r="BW502" s="155"/>
      <c r="BX502" s="155"/>
      <c r="BY502" s="155"/>
      <c r="BZ502" s="155"/>
      <c r="CA502" s="155"/>
      <c r="CB502" s="155"/>
      <c r="CC502" s="155"/>
      <c r="CD502" s="155"/>
      <c r="CE502" s="155"/>
      <c r="CF502" s="155"/>
      <c r="CG502" s="155"/>
    </row>
    <row r="503" spans="1:85" ht="12.75" x14ac:dyDescent="0.2">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c r="AA503" s="155"/>
      <c r="AB503" s="155"/>
      <c r="AC503" s="155"/>
      <c r="AD503" s="155"/>
      <c r="AE503" s="155"/>
      <c r="AF503" s="155"/>
      <c r="AG503" s="155"/>
      <c r="AH503" s="155"/>
      <c r="AI503" s="155"/>
      <c r="AJ503" s="155"/>
      <c r="AK503" s="155"/>
      <c r="AL503" s="155"/>
      <c r="AM503" s="155"/>
      <c r="AN503" s="155"/>
      <c r="AO503" s="155"/>
      <c r="AP503" s="155"/>
      <c r="AQ503" s="155"/>
      <c r="AR503" s="155"/>
      <c r="AS503" s="155"/>
      <c r="AT503" s="155"/>
      <c r="AU503" s="155"/>
      <c r="AV503" s="155"/>
      <c r="AW503" s="155"/>
      <c r="AX503" s="155"/>
      <c r="AY503" s="155"/>
      <c r="AZ503" s="155"/>
      <c r="BA503" s="155"/>
      <c r="BB503" s="155"/>
      <c r="BC503" s="155"/>
      <c r="BD503" s="155"/>
      <c r="BE503" s="155"/>
      <c r="BF503" s="155"/>
      <c r="BG503" s="155"/>
      <c r="BH503" s="155"/>
      <c r="BI503" s="155"/>
      <c r="BJ503" s="155"/>
      <c r="BK503" s="155"/>
      <c r="BL503" s="155"/>
      <c r="BM503" s="155"/>
      <c r="BN503" s="155"/>
      <c r="BO503" s="155"/>
      <c r="BP503" s="155"/>
      <c r="BQ503" s="155"/>
      <c r="BR503" s="155"/>
      <c r="BS503" s="155"/>
      <c r="BT503" s="155"/>
      <c r="BU503" s="155"/>
      <c r="BV503" s="155"/>
      <c r="BW503" s="155"/>
      <c r="BX503" s="155"/>
      <c r="BY503" s="155"/>
      <c r="BZ503" s="155"/>
      <c r="CA503" s="155"/>
      <c r="CB503" s="155"/>
      <c r="CC503" s="155"/>
      <c r="CD503" s="155"/>
      <c r="CE503" s="155"/>
      <c r="CF503" s="155"/>
      <c r="CG503" s="155"/>
    </row>
    <row r="504" spans="1:85" ht="12.75" x14ac:dyDescent="0.2">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c r="AA504" s="155"/>
      <c r="AB504" s="155"/>
      <c r="AC504" s="155"/>
      <c r="AD504" s="155"/>
      <c r="AE504" s="155"/>
      <c r="AF504" s="155"/>
      <c r="AG504" s="155"/>
      <c r="AH504" s="155"/>
      <c r="AI504" s="155"/>
      <c r="AJ504" s="155"/>
      <c r="AK504" s="155"/>
      <c r="AL504" s="155"/>
      <c r="AM504" s="155"/>
      <c r="AN504" s="155"/>
      <c r="AO504" s="155"/>
      <c r="AP504" s="155"/>
      <c r="AQ504" s="155"/>
      <c r="AR504" s="155"/>
      <c r="AS504" s="155"/>
      <c r="AT504" s="155"/>
      <c r="AU504" s="155"/>
      <c r="AV504" s="155"/>
      <c r="AW504" s="155"/>
      <c r="AX504" s="155"/>
      <c r="AY504" s="155"/>
      <c r="AZ504" s="155"/>
      <c r="BA504" s="155"/>
      <c r="BB504" s="155"/>
      <c r="BC504" s="155"/>
      <c r="BD504" s="155"/>
      <c r="BE504" s="155"/>
      <c r="BF504" s="155"/>
      <c r="BG504" s="155"/>
      <c r="BH504" s="155"/>
      <c r="BI504" s="155"/>
      <c r="BJ504" s="155"/>
      <c r="BK504" s="155"/>
      <c r="BL504" s="155"/>
      <c r="BM504" s="155"/>
      <c r="BN504" s="155"/>
      <c r="BO504" s="155"/>
      <c r="BP504" s="155"/>
      <c r="BQ504" s="155"/>
      <c r="BR504" s="155"/>
      <c r="BS504" s="155"/>
      <c r="BT504" s="155"/>
      <c r="BU504" s="155"/>
      <c r="BV504" s="155"/>
      <c r="BW504" s="155"/>
      <c r="BX504" s="155"/>
      <c r="BY504" s="155"/>
      <c r="BZ504" s="155"/>
      <c r="CA504" s="155"/>
      <c r="CB504" s="155"/>
      <c r="CC504" s="155"/>
      <c r="CD504" s="155"/>
      <c r="CE504" s="155"/>
      <c r="CF504" s="155"/>
      <c r="CG504" s="155"/>
    </row>
    <row r="505" spans="1:85" ht="12.75" x14ac:dyDescent="0.2">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c r="AA505" s="155"/>
      <c r="AB505" s="155"/>
      <c r="AC505" s="155"/>
      <c r="AD505" s="155"/>
      <c r="AE505" s="155"/>
      <c r="AF505" s="155"/>
      <c r="AG505" s="155"/>
      <c r="AH505" s="155"/>
      <c r="AI505" s="155"/>
      <c r="AJ505" s="155"/>
      <c r="AK505" s="155"/>
      <c r="AL505" s="155"/>
      <c r="AM505" s="155"/>
      <c r="AN505" s="155"/>
      <c r="AO505" s="155"/>
      <c r="AP505" s="155"/>
      <c r="AQ505" s="155"/>
      <c r="AR505" s="155"/>
      <c r="AS505" s="155"/>
      <c r="AT505" s="155"/>
      <c r="AU505" s="155"/>
      <c r="AV505" s="155"/>
      <c r="AW505" s="155"/>
      <c r="AX505" s="155"/>
      <c r="AY505" s="155"/>
      <c r="AZ505" s="155"/>
      <c r="BA505" s="155"/>
      <c r="BB505" s="155"/>
      <c r="BC505" s="155"/>
      <c r="BD505" s="155"/>
      <c r="BE505" s="155"/>
      <c r="BF505" s="155"/>
      <c r="BG505" s="155"/>
      <c r="BH505" s="155"/>
      <c r="BI505" s="155"/>
      <c r="BJ505" s="155"/>
      <c r="BK505" s="155"/>
      <c r="BL505" s="155"/>
      <c r="BM505" s="155"/>
      <c r="BN505" s="155"/>
      <c r="BO505" s="155"/>
      <c r="BP505" s="155"/>
      <c r="BQ505" s="155"/>
      <c r="BR505" s="155"/>
      <c r="BS505" s="155"/>
      <c r="BT505" s="155"/>
      <c r="BU505" s="155"/>
      <c r="BV505" s="155"/>
      <c r="BW505" s="155"/>
      <c r="BX505" s="155"/>
      <c r="BY505" s="155"/>
      <c r="BZ505" s="155"/>
      <c r="CA505" s="155"/>
      <c r="CB505" s="155"/>
      <c r="CC505" s="155"/>
      <c r="CD505" s="155"/>
      <c r="CE505" s="155"/>
      <c r="CF505" s="155"/>
      <c r="CG505" s="155"/>
    </row>
    <row r="506" spans="1:85" ht="12.75" x14ac:dyDescent="0.2">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c r="AA506" s="155"/>
      <c r="AB506" s="155"/>
      <c r="AC506" s="155"/>
      <c r="AD506" s="155"/>
      <c r="AE506" s="155"/>
      <c r="AF506" s="155"/>
      <c r="AG506" s="155"/>
      <c r="AH506" s="155"/>
      <c r="AI506" s="155"/>
      <c r="AJ506" s="155"/>
      <c r="AK506" s="155"/>
      <c r="AL506" s="155"/>
      <c r="AM506" s="155"/>
      <c r="AN506" s="155"/>
      <c r="AO506" s="155"/>
      <c r="AP506" s="155"/>
      <c r="AQ506" s="155"/>
      <c r="AR506" s="155"/>
      <c r="AS506" s="155"/>
      <c r="AT506" s="155"/>
      <c r="AU506" s="155"/>
      <c r="AV506" s="155"/>
      <c r="AW506" s="155"/>
      <c r="AX506" s="155"/>
      <c r="AY506" s="155"/>
      <c r="AZ506" s="155"/>
      <c r="BA506" s="155"/>
      <c r="BB506" s="155"/>
      <c r="BC506" s="155"/>
      <c r="BD506" s="155"/>
      <c r="BE506" s="155"/>
      <c r="BF506" s="155"/>
      <c r="BG506" s="155"/>
      <c r="BH506" s="155"/>
      <c r="BI506" s="155"/>
      <c r="BJ506" s="155"/>
      <c r="BK506" s="155"/>
      <c r="BL506" s="155"/>
      <c r="BM506" s="155"/>
      <c r="BN506" s="155"/>
      <c r="BO506" s="155"/>
      <c r="BP506" s="155"/>
      <c r="BQ506" s="155"/>
      <c r="BR506" s="155"/>
      <c r="BS506" s="155"/>
      <c r="BT506" s="155"/>
      <c r="BU506" s="155"/>
      <c r="BV506" s="155"/>
      <c r="BW506" s="155"/>
      <c r="BX506" s="155"/>
      <c r="BY506" s="155"/>
      <c r="BZ506" s="155"/>
      <c r="CA506" s="155"/>
      <c r="CB506" s="155"/>
      <c r="CC506" s="155"/>
      <c r="CD506" s="155"/>
      <c r="CE506" s="155"/>
      <c r="CF506" s="155"/>
      <c r="CG506" s="155"/>
    </row>
    <row r="507" spans="1:85" ht="12.75" x14ac:dyDescent="0.2">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c r="AA507" s="155"/>
      <c r="AB507" s="155"/>
      <c r="AC507" s="155"/>
      <c r="AD507" s="155"/>
      <c r="AE507" s="155"/>
      <c r="AF507" s="155"/>
      <c r="AG507" s="155"/>
      <c r="AH507" s="155"/>
      <c r="AI507" s="155"/>
      <c r="AJ507" s="155"/>
      <c r="AK507" s="155"/>
      <c r="AL507" s="155"/>
      <c r="AM507" s="155"/>
      <c r="AN507" s="155"/>
      <c r="AO507" s="155"/>
      <c r="AP507" s="155"/>
      <c r="AQ507" s="155"/>
      <c r="AR507" s="155"/>
      <c r="AS507" s="155"/>
      <c r="AT507" s="155"/>
      <c r="AU507" s="155"/>
      <c r="AV507" s="155"/>
      <c r="AW507" s="155"/>
      <c r="AX507" s="155"/>
      <c r="AY507" s="155"/>
      <c r="AZ507" s="155"/>
      <c r="BA507" s="155"/>
      <c r="BB507" s="155"/>
      <c r="BC507" s="155"/>
      <c r="BD507" s="155"/>
      <c r="BE507" s="155"/>
      <c r="BF507" s="155"/>
      <c r="BG507" s="155"/>
      <c r="BH507" s="155"/>
      <c r="BI507" s="155"/>
      <c r="BJ507" s="155"/>
      <c r="BK507" s="155"/>
      <c r="BL507" s="155"/>
      <c r="BM507" s="155"/>
      <c r="BN507" s="155"/>
      <c r="BO507" s="155"/>
      <c r="BP507" s="155"/>
      <c r="BQ507" s="155"/>
      <c r="BR507" s="155"/>
      <c r="BS507" s="155"/>
      <c r="BT507" s="155"/>
      <c r="BU507" s="155"/>
      <c r="BV507" s="155"/>
      <c r="BW507" s="155"/>
      <c r="BX507" s="155"/>
      <c r="BY507" s="155"/>
      <c r="BZ507" s="155"/>
      <c r="CA507" s="155"/>
      <c r="CB507" s="155"/>
      <c r="CC507" s="155"/>
      <c r="CD507" s="155"/>
      <c r="CE507" s="155"/>
      <c r="CF507" s="155"/>
      <c r="CG507" s="155"/>
    </row>
    <row r="508" spans="1:85" ht="12.75" x14ac:dyDescent="0.2">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c r="AA508" s="155"/>
      <c r="AB508" s="155"/>
      <c r="AC508" s="155"/>
      <c r="AD508" s="155"/>
      <c r="AE508" s="155"/>
      <c r="AF508" s="155"/>
      <c r="AG508" s="155"/>
      <c r="AH508" s="155"/>
      <c r="AI508" s="155"/>
      <c r="AJ508" s="155"/>
      <c r="AK508" s="155"/>
      <c r="AL508" s="155"/>
      <c r="AM508" s="155"/>
      <c r="AN508" s="155"/>
      <c r="AO508" s="155"/>
      <c r="AP508" s="155"/>
      <c r="AQ508" s="155"/>
      <c r="AR508" s="155"/>
      <c r="AS508" s="155"/>
      <c r="AT508" s="155"/>
      <c r="AU508" s="155"/>
      <c r="AV508" s="155"/>
      <c r="AW508" s="155"/>
      <c r="AX508" s="155"/>
      <c r="AY508" s="155"/>
      <c r="AZ508" s="155"/>
      <c r="BA508" s="155"/>
      <c r="BB508" s="155"/>
      <c r="BC508" s="155"/>
      <c r="BD508" s="155"/>
      <c r="BE508" s="155"/>
      <c r="BF508" s="155"/>
      <c r="BG508" s="155"/>
      <c r="BH508" s="155"/>
      <c r="BI508" s="155"/>
      <c r="BJ508" s="155"/>
      <c r="BK508" s="155"/>
      <c r="BL508" s="155"/>
      <c r="BM508" s="155"/>
      <c r="BN508" s="155"/>
      <c r="BO508" s="155"/>
      <c r="BP508" s="155"/>
      <c r="BQ508" s="155"/>
      <c r="BR508" s="155"/>
      <c r="BS508" s="155"/>
      <c r="BT508" s="155"/>
      <c r="BU508" s="155"/>
      <c r="BV508" s="155"/>
      <c r="BW508" s="155"/>
      <c r="BX508" s="155"/>
      <c r="BY508" s="155"/>
      <c r="BZ508" s="155"/>
      <c r="CA508" s="155"/>
      <c r="CB508" s="155"/>
      <c r="CC508" s="155"/>
      <c r="CD508" s="155"/>
      <c r="CE508" s="155"/>
      <c r="CF508" s="155"/>
      <c r="CG508" s="155"/>
    </row>
    <row r="509" spans="1:85" ht="12.75" x14ac:dyDescent="0.2">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c r="AA509" s="155"/>
      <c r="AB509" s="155"/>
      <c r="AC509" s="155"/>
      <c r="AD509" s="155"/>
      <c r="AE509" s="155"/>
      <c r="AF509" s="155"/>
      <c r="AG509" s="155"/>
      <c r="AH509" s="155"/>
      <c r="AI509" s="155"/>
      <c r="AJ509" s="155"/>
      <c r="AK509" s="155"/>
      <c r="AL509" s="155"/>
      <c r="AM509" s="155"/>
      <c r="AN509" s="155"/>
      <c r="AO509" s="155"/>
      <c r="AP509" s="155"/>
      <c r="AQ509" s="155"/>
      <c r="AR509" s="155"/>
      <c r="AS509" s="155"/>
      <c r="AT509" s="155"/>
      <c r="AU509" s="155"/>
      <c r="AV509" s="155"/>
      <c r="AW509" s="155"/>
      <c r="AX509" s="155"/>
      <c r="AY509" s="155"/>
      <c r="AZ509" s="155"/>
      <c r="BA509" s="155"/>
      <c r="BB509" s="155"/>
      <c r="BC509" s="155"/>
      <c r="BD509" s="155"/>
      <c r="BE509" s="155"/>
      <c r="BF509" s="155"/>
      <c r="BG509" s="155"/>
      <c r="BH509" s="155"/>
      <c r="BI509" s="155"/>
      <c r="BJ509" s="155"/>
      <c r="BK509" s="155"/>
      <c r="BL509" s="155"/>
      <c r="BM509" s="155"/>
      <c r="BN509" s="155"/>
      <c r="BO509" s="155"/>
      <c r="BP509" s="155"/>
      <c r="BQ509" s="155"/>
      <c r="BR509" s="155"/>
      <c r="BS509" s="155"/>
      <c r="BT509" s="155"/>
      <c r="BU509" s="155"/>
      <c r="BV509" s="155"/>
      <c r="BW509" s="155"/>
      <c r="BX509" s="155"/>
      <c r="BY509" s="155"/>
      <c r="BZ509" s="155"/>
      <c r="CA509" s="155"/>
      <c r="CB509" s="155"/>
      <c r="CC509" s="155"/>
      <c r="CD509" s="155"/>
      <c r="CE509" s="155"/>
      <c r="CF509" s="155"/>
      <c r="CG509" s="155"/>
    </row>
    <row r="510" spans="1:85" ht="12.75" x14ac:dyDescent="0.2">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c r="AA510" s="155"/>
      <c r="AB510" s="155"/>
      <c r="AC510" s="155"/>
      <c r="AD510" s="155"/>
      <c r="AE510" s="155"/>
      <c r="AF510" s="155"/>
      <c r="AG510" s="155"/>
      <c r="AH510" s="155"/>
      <c r="AI510" s="155"/>
      <c r="AJ510" s="155"/>
      <c r="AK510" s="155"/>
      <c r="AL510" s="155"/>
      <c r="AM510" s="155"/>
      <c r="AN510" s="155"/>
      <c r="AO510" s="155"/>
      <c r="AP510" s="155"/>
      <c r="AQ510" s="155"/>
      <c r="AR510" s="155"/>
      <c r="AS510" s="155"/>
      <c r="AT510" s="155"/>
      <c r="AU510" s="155"/>
      <c r="AV510" s="155"/>
      <c r="AW510" s="155"/>
      <c r="AX510" s="155"/>
      <c r="AY510" s="155"/>
      <c r="AZ510" s="155"/>
      <c r="BA510" s="155"/>
      <c r="BB510" s="155"/>
      <c r="BC510" s="155"/>
      <c r="BD510" s="155"/>
      <c r="BE510" s="155"/>
      <c r="BF510" s="155"/>
      <c r="BG510" s="155"/>
      <c r="BH510" s="155"/>
      <c r="BI510" s="155"/>
      <c r="BJ510" s="155"/>
      <c r="BK510" s="155"/>
      <c r="BL510" s="155"/>
      <c r="BM510" s="155"/>
      <c r="BN510" s="155"/>
      <c r="BO510" s="155"/>
      <c r="BP510" s="155"/>
      <c r="BQ510" s="155"/>
      <c r="BR510" s="155"/>
      <c r="BS510" s="155"/>
      <c r="BT510" s="155"/>
      <c r="BU510" s="155"/>
      <c r="BV510" s="155"/>
      <c r="BW510" s="155"/>
      <c r="BX510" s="155"/>
      <c r="BY510" s="155"/>
      <c r="BZ510" s="155"/>
      <c r="CA510" s="155"/>
      <c r="CB510" s="155"/>
      <c r="CC510" s="155"/>
      <c r="CD510" s="155"/>
      <c r="CE510" s="155"/>
      <c r="CF510" s="155"/>
      <c r="CG510" s="155"/>
    </row>
    <row r="511" spans="1:85" ht="12.75" x14ac:dyDescent="0.2">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c r="AA511" s="155"/>
      <c r="AB511" s="155"/>
      <c r="AC511" s="155"/>
      <c r="AD511" s="155"/>
      <c r="AE511" s="155"/>
      <c r="AF511" s="155"/>
      <c r="AG511" s="155"/>
      <c r="AH511" s="155"/>
      <c r="AI511" s="155"/>
      <c r="AJ511" s="155"/>
      <c r="AK511" s="155"/>
      <c r="AL511" s="155"/>
      <c r="AM511" s="155"/>
      <c r="AN511" s="155"/>
      <c r="AO511" s="155"/>
      <c r="AP511" s="155"/>
      <c r="AQ511" s="155"/>
      <c r="AR511" s="155"/>
      <c r="AS511" s="155"/>
      <c r="AT511" s="155"/>
      <c r="AU511" s="155"/>
      <c r="AV511" s="155"/>
      <c r="AW511" s="155"/>
      <c r="AX511" s="155"/>
      <c r="AY511" s="155"/>
      <c r="AZ511" s="155"/>
      <c r="BA511" s="155"/>
      <c r="BB511" s="155"/>
      <c r="BC511" s="155"/>
      <c r="BD511" s="155"/>
      <c r="BE511" s="155"/>
      <c r="BF511" s="155"/>
      <c r="BG511" s="155"/>
      <c r="BH511" s="155"/>
      <c r="BI511" s="155"/>
      <c r="BJ511" s="155"/>
      <c r="BK511" s="155"/>
      <c r="BL511" s="155"/>
      <c r="BM511" s="155"/>
      <c r="BN511" s="155"/>
      <c r="BO511" s="155"/>
      <c r="BP511" s="155"/>
      <c r="BQ511" s="155"/>
      <c r="BR511" s="155"/>
      <c r="BS511" s="155"/>
      <c r="BT511" s="155"/>
      <c r="BU511" s="155"/>
      <c r="BV511" s="155"/>
      <c r="BW511" s="155"/>
      <c r="BX511" s="155"/>
      <c r="BY511" s="155"/>
      <c r="BZ511" s="155"/>
      <c r="CA511" s="155"/>
      <c r="CB511" s="155"/>
      <c r="CC511" s="155"/>
      <c r="CD511" s="155"/>
      <c r="CE511" s="155"/>
      <c r="CF511" s="155"/>
      <c r="CG511" s="155"/>
    </row>
    <row r="512" spans="1:85" ht="12.75" x14ac:dyDescent="0.2">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c r="AA512" s="155"/>
      <c r="AB512" s="155"/>
      <c r="AC512" s="155"/>
      <c r="AD512" s="155"/>
      <c r="AE512" s="155"/>
      <c r="AF512" s="155"/>
      <c r="AG512" s="155"/>
      <c r="AH512" s="155"/>
      <c r="AI512" s="155"/>
      <c r="AJ512" s="155"/>
      <c r="AK512" s="155"/>
      <c r="AL512" s="155"/>
      <c r="AM512" s="155"/>
      <c r="AN512" s="155"/>
      <c r="AO512" s="155"/>
      <c r="AP512" s="155"/>
      <c r="AQ512" s="155"/>
      <c r="AR512" s="155"/>
      <c r="AS512" s="155"/>
      <c r="AT512" s="155"/>
      <c r="AU512" s="155"/>
      <c r="AV512" s="155"/>
      <c r="AW512" s="155"/>
      <c r="AX512" s="155"/>
      <c r="AY512" s="155"/>
      <c r="AZ512" s="155"/>
      <c r="BA512" s="155"/>
      <c r="BB512" s="155"/>
      <c r="BC512" s="155"/>
      <c r="BD512" s="155"/>
      <c r="BE512" s="155"/>
      <c r="BF512" s="155"/>
      <c r="BG512" s="155"/>
      <c r="BH512" s="155"/>
      <c r="BI512" s="155"/>
      <c r="BJ512" s="155"/>
      <c r="BK512" s="155"/>
      <c r="BL512" s="155"/>
      <c r="BM512" s="155"/>
      <c r="BN512" s="155"/>
      <c r="BO512" s="155"/>
      <c r="BP512" s="155"/>
      <c r="BQ512" s="155"/>
      <c r="BR512" s="155"/>
      <c r="BS512" s="155"/>
      <c r="BT512" s="155"/>
      <c r="BU512" s="155"/>
      <c r="BV512" s="155"/>
      <c r="BW512" s="155"/>
      <c r="BX512" s="155"/>
      <c r="BY512" s="155"/>
      <c r="BZ512" s="155"/>
      <c r="CA512" s="155"/>
      <c r="CB512" s="155"/>
      <c r="CC512" s="155"/>
      <c r="CD512" s="155"/>
      <c r="CE512" s="155"/>
      <c r="CF512" s="155"/>
      <c r="CG512" s="155"/>
    </row>
    <row r="513" spans="1:85" ht="12.75" x14ac:dyDescent="0.2">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c r="AA513" s="155"/>
      <c r="AB513" s="155"/>
      <c r="AC513" s="155"/>
      <c r="AD513" s="155"/>
      <c r="AE513" s="155"/>
      <c r="AF513" s="155"/>
      <c r="AG513" s="155"/>
      <c r="AH513" s="155"/>
      <c r="AI513" s="155"/>
      <c r="AJ513" s="155"/>
      <c r="AK513" s="155"/>
      <c r="AL513" s="155"/>
      <c r="AM513" s="155"/>
      <c r="AN513" s="155"/>
      <c r="AO513" s="155"/>
      <c r="AP513" s="155"/>
      <c r="AQ513" s="155"/>
      <c r="AR513" s="155"/>
      <c r="AS513" s="155"/>
      <c r="AT513" s="155"/>
      <c r="AU513" s="155"/>
      <c r="AV513" s="155"/>
      <c r="AW513" s="155"/>
      <c r="AX513" s="155"/>
      <c r="AY513" s="155"/>
      <c r="AZ513" s="155"/>
      <c r="BA513" s="155"/>
      <c r="BB513" s="155"/>
      <c r="BC513" s="155"/>
      <c r="BD513" s="155"/>
      <c r="BE513" s="155"/>
      <c r="BF513" s="155"/>
      <c r="BG513" s="155"/>
      <c r="BH513" s="155"/>
      <c r="BI513" s="155"/>
      <c r="BJ513" s="155"/>
      <c r="BK513" s="155"/>
      <c r="BL513" s="155"/>
      <c r="BM513" s="155"/>
      <c r="BN513" s="155"/>
      <c r="BO513" s="155"/>
      <c r="BP513" s="155"/>
      <c r="BQ513" s="155"/>
      <c r="BR513" s="155"/>
      <c r="BS513" s="155"/>
      <c r="BT513" s="155"/>
      <c r="BU513" s="155"/>
      <c r="BV513" s="155"/>
      <c r="BW513" s="155"/>
      <c r="BX513" s="155"/>
      <c r="BY513" s="155"/>
      <c r="BZ513" s="155"/>
      <c r="CA513" s="155"/>
      <c r="CB513" s="155"/>
      <c r="CC513" s="155"/>
      <c r="CD513" s="155"/>
      <c r="CE513" s="155"/>
      <c r="CF513" s="155"/>
      <c r="CG513" s="155"/>
    </row>
    <row r="514" spans="1:85" ht="12.75" x14ac:dyDescent="0.2">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c r="AA514" s="155"/>
      <c r="AB514" s="155"/>
      <c r="AC514" s="155"/>
      <c r="AD514" s="155"/>
      <c r="AE514" s="155"/>
      <c r="AF514" s="155"/>
      <c r="AG514" s="155"/>
      <c r="AH514" s="155"/>
      <c r="AI514" s="155"/>
      <c r="AJ514" s="155"/>
      <c r="AK514" s="155"/>
      <c r="AL514" s="155"/>
      <c r="AM514" s="155"/>
      <c r="AN514" s="155"/>
      <c r="AO514" s="155"/>
      <c r="AP514" s="155"/>
      <c r="AQ514" s="155"/>
      <c r="AR514" s="155"/>
      <c r="AS514" s="155"/>
      <c r="AT514" s="155"/>
      <c r="AU514" s="155"/>
      <c r="AV514" s="155"/>
      <c r="AW514" s="155"/>
      <c r="AX514" s="155"/>
      <c r="AY514" s="155"/>
      <c r="AZ514" s="155"/>
      <c r="BA514" s="155"/>
      <c r="BB514" s="155"/>
      <c r="BC514" s="155"/>
      <c r="BD514" s="155"/>
      <c r="BE514" s="155"/>
      <c r="BF514" s="155"/>
      <c r="BG514" s="155"/>
      <c r="BH514" s="155"/>
      <c r="BI514" s="155"/>
      <c r="BJ514" s="155"/>
      <c r="BK514" s="155"/>
      <c r="BL514" s="155"/>
      <c r="BM514" s="155"/>
      <c r="BN514" s="155"/>
      <c r="BO514" s="155"/>
      <c r="BP514" s="155"/>
      <c r="BQ514" s="155"/>
      <c r="BR514" s="155"/>
      <c r="BS514" s="155"/>
      <c r="BT514" s="155"/>
      <c r="BU514" s="155"/>
      <c r="BV514" s="155"/>
      <c r="BW514" s="155"/>
      <c r="BX514" s="155"/>
      <c r="BY514" s="155"/>
      <c r="BZ514" s="155"/>
      <c r="CA514" s="155"/>
      <c r="CB514" s="155"/>
      <c r="CC514" s="155"/>
      <c r="CD514" s="155"/>
      <c r="CE514" s="155"/>
      <c r="CF514" s="155"/>
      <c r="CG514" s="155"/>
    </row>
    <row r="515" spans="1:85" ht="12.75" x14ac:dyDescent="0.2">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c r="AA515" s="155"/>
      <c r="AB515" s="155"/>
      <c r="AC515" s="155"/>
      <c r="AD515" s="155"/>
      <c r="AE515" s="155"/>
      <c r="AF515" s="155"/>
      <c r="AG515" s="155"/>
      <c r="AH515" s="155"/>
      <c r="AI515" s="155"/>
      <c r="AJ515" s="155"/>
      <c r="AK515" s="155"/>
      <c r="AL515" s="155"/>
      <c r="AM515" s="155"/>
      <c r="AN515" s="155"/>
      <c r="AO515" s="155"/>
      <c r="AP515" s="155"/>
      <c r="AQ515" s="155"/>
      <c r="AR515" s="155"/>
      <c r="AS515" s="155"/>
      <c r="AT515" s="155"/>
      <c r="AU515" s="155"/>
      <c r="AV515" s="155"/>
      <c r="AW515" s="155"/>
      <c r="AX515" s="155"/>
      <c r="AY515" s="155"/>
      <c r="AZ515" s="155"/>
      <c r="BA515" s="155"/>
      <c r="BB515" s="155"/>
      <c r="BC515" s="155"/>
      <c r="BD515" s="155"/>
      <c r="BE515" s="155"/>
      <c r="BF515" s="155"/>
      <c r="BG515" s="155"/>
      <c r="BH515" s="155"/>
      <c r="BI515" s="155"/>
      <c r="BJ515" s="155"/>
      <c r="BK515" s="155"/>
      <c r="BL515" s="155"/>
      <c r="BM515" s="155"/>
      <c r="BN515" s="155"/>
      <c r="BO515" s="155"/>
      <c r="BP515" s="155"/>
      <c r="BQ515" s="155"/>
      <c r="BR515" s="155"/>
      <c r="BS515" s="155"/>
      <c r="BT515" s="155"/>
      <c r="BU515" s="155"/>
      <c r="BV515" s="155"/>
      <c r="BW515" s="155"/>
      <c r="BX515" s="155"/>
      <c r="BY515" s="155"/>
      <c r="BZ515" s="155"/>
      <c r="CA515" s="155"/>
      <c r="CB515" s="155"/>
      <c r="CC515" s="155"/>
      <c r="CD515" s="155"/>
      <c r="CE515" s="155"/>
      <c r="CF515" s="155"/>
      <c r="CG515" s="155"/>
    </row>
    <row r="516" spans="1:85" ht="12.75" x14ac:dyDescent="0.2">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c r="AA516" s="155"/>
      <c r="AB516" s="155"/>
      <c r="AC516" s="155"/>
      <c r="AD516" s="155"/>
      <c r="AE516" s="155"/>
      <c r="AF516" s="155"/>
      <c r="AG516" s="155"/>
      <c r="AH516" s="155"/>
      <c r="AI516" s="155"/>
      <c r="AJ516" s="155"/>
      <c r="AK516" s="155"/>
      <c r="AL516" s="155"/>
      <c r="AM516" s="155"/>
      <c r="AN516" s="155"/>
      <c r="AO516" s="155"/>
      <c r="AP516" s="155"/>
      <c r="AQ516" s="155"/>
      <c r="AR516" s="155"/>
      <c r="AS516" s="155"/>
      <c r="AT516" s="155"/>
      <c r="AU516" s="155"/>
      <c r="AV516" s="155"/>
      <c r="AW516" s="155"/>
      <c r="AX516" s="155"/>
      <c r="AY516" s="155"/>
      <c r="AZ516" s="155"/>
      <c r="BA516" s="155"/>
      <c r="BB516" s="155"/>
      <c r="BC516" s="155"/>
      <c r="BD516" s="155"/>
      <c r="BE516" s="155"/>
      <c r="BF516" s="155"/>
      <c r="BG516" s="155"/>
      <c r="BH516" s="155"/>
      <c r="BI516" s="155"/>
      <c r="BJ516" s="155"/>
      <c r="BK516" s="155"/>
      <c r="BL516" s="155"/>
      <c r="BM516" s="155"/>
      <c r="BN516" s="155"/>
      <c r="BO516" s="155"/>
      <c r="BP516" s="155"/>
      <c r="BQ516" s="155"/>
      <c r="BR516" s="155"/>
      <c r="BS516" s="155"/>
      <c r="BT516" s="155"/>
      <c r="BU516" s="155"/>
      <c r="BV516" s="155"/>
      <c r="BW516" s="155"/>
      <c r="BX516" s="155"/>
      <c r="BY516" s="155"/>
      <c r="BZ516" s="155"/>
      <c r="CA516" s="155"/>
      <c r="CB516" s="155"/>
      <c r="CC516" s="155"/>
      <c r="CD516" s="155"/>
      <c r="CE516" s="155"/>
      <c r="CF516" s="155"/>
      <c r="CG516" s="155"/>
    </row>
    <row r="517" spans="1:85" ht="12.75" x14ac:dyDescent="0.2">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c r="AA517" s="155"/>
      <c r="AB517" s="155"/>
      <c r="AC517" s="155"/>
      <c r="AD517" s="155"/>
      <c r="AE517" s="155"/>
      <c r="AF517" s="155"/>
      <c r="AG517" s="155"/>
      <c r="AH517" s="155"/>
      <c r="AI517" s="155"/>
      <c r="AJ517" s="155"/>
      <c r="AK517" s="155"/>
      <c r="AL517" s="155"/>
      <c r="AM517" s="155"/>
      <c r="AN517" s="155"/>
      <c r="AO517" s="155"/>
      <c r="AP517" s="155"/>
      <c r="AQ517" s="155"/>
      <c r="AR517" s="155"/>
      <c r="AS517" s="155"/>
      <c r="AT517" s="155"/>
      <c r="AU517" s="155"/>
      <c r="AV517" s="155"/>
      <c r="AW517" s="155"/>
      <c r="AX517" s="155"/>
      <c r="AY517" s="155"/>
      <c r="AZ517" s="155"/>
      <c r="BA517" s="155"/>
      <c r="BB517" s="155"/>
      <c r="BC517" s="155"/>
      <c r="BD517" s="155"/>
      <c r="BE517" s="155"/>
      <c r="BF517" s="155"/>
      <c r="BG517" s="155"/>
      <c r="BH517" s="155"/>
      <c r="BI517" s="155"/>
      <c r="BJ517" s="155"/>
      <c r="BK517" s="155"/>
      <c r="BL517" s="155"/>
      <c r="BM517" s="155"/>
      <c r="BN517" s="155"/>
      <c r="BO517" s="155"/>
      <c r="BP517" s="155"/>
      <c r="BQ517" s="155"/>
      <c r="BR517" s="155"/>
      <c r="BS517" s="155"/>
      <c r="BT517" s="155"/>
      <c r="BU517" s="155"/>
      <c r="BV517" s="155"/>
      <c r="BW517" s="155"/>
      <c r="BX517" s="155"/>
      <c r="BY517" s="155"/>
      <c r="BZ517" s="155"/>
      <c r="CA517" s="155"/>
      <c r="CB517" s="155"/>
      <c r="CC517" s="155"/>
      <c r="CD517" s="155"/>
      <c r="CE517" s="155"/>
      <c r="CF517" s="155"/>
      <c r="CG517" s="155"/>
    </row>
    <row r="518" spans="1:85" ht="12.75" x14ac:dyDescent="0.2">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c r="AA518" s="155"/>
      <c r="AB518" s="155"/>
      <c r="AC518" s="155"/>
      <c r="AD518" s="155"/>
      <c r="AE518" s="155"/>
      <c r="AF518" s="155"/>
      <c r="AG518" s="155"/>
      <c r="AH518" s="155"/>
      <c r="AI518" s="155"/>
      <c r="AJ518" s="155"/>
      <c r="AK518" s="155"/>
      <c r="AL518" s="155"/>
      <c r="AM518" s="155"/>
      <c r="AN518" s="155"/>
      <c r="AO518" s="155"/>
      <c r="AP518" s="155"/>
      <c r="AQ518" s="155"/>
      <c r="AR518" s="155"/>
      <c r="AS518" s="155"/>
      <c r="AT518" s="155"/>
      <c r="AU518" s="155"/>
      <c r="AV518" s="155"/>
      <c r="AW518" s="155"/>
      <c r="AX518" s="155"/>
      <c r="AY518" s="155"/>
      <c r="AZ518" s="155"/>
      <c r="BA518" s="155"/>
      <c r="BB518" s="155"/>
      <c r="BC518" s="155"/>
      <c r="BD518" s="155"/>
      <c r="BE518" s="155"/>
      <c r="BF518" s="155"/>
      <c r="BG518" s="155"/>
      <c r="BH518" s="155"/>
      <c r="BI518" s="155"/>
      <c r="BJ518" s="155"/>
      <c r="BK518" s="155"/>
      <c r="BL518" s="155"/>
      <c r="BM518" s="155"/>
      <c r="BN518" s="155"/>
      <c r="BO518" s="155"/>
      <c r="BP518" s="155"/>
      <c r="BQ518" s="155"/>
      <c r="BR518" s="155"/>
      <c r="BS518" s="155"/>
      <c r="BT518" s="155"/>
      <c r="BU518" s="155"/>
      <c r="BV518" s="155"/>
      <c r="BW518" s="155"/>
      <c r="BX518" s="155"/>
      <c r="BY518" s="155"/>
      <c r="BZ518" s="155"/>
      <c r="CA518" s="155"/>
      <c r="CB518" s="155"/>
      <c r="CC518" s="155"/>
      <c r="CD518" s="155"/>
      <c r="CE518" s="155"/>
      <c r="CF518" s="155"/>
      <c r="CG518" s="155"/>
    </row>
    <row r="519" spans="1:85" ht="12.75" x14ac:dyDescent="0.2">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c r="AA519" s="155"/>
      <c r="AB519" s="155"/>
      <c r="AC519" s="155"/>
      <c r="AD519" s="155"/>
      <c r="AE519" s="155"/>
      <c r="AF519" s="155"/>
      <c r="AG519" s="155"/>
      <c r="AH519" s="155"/>
      <c r="AI519" s="155"/>
      <c r="AJ519" s="155"/>
      <c r="AK519" s="155"/>
      <c r="AL519" s="155"/>
      <c r="AM519" s="155"/>
      <c r="AN519" s="155"/>
      <c r="AO519" s="155"/>
      <c r="AP519" s="155"/>
      <c r="AQ519" s="155"/>
      <c r="AR519" s="155"/>
      <c r="AS519" s="155"/>
      <c r="AT519" s="155"/>
      <c r="AU519" s="155"/>
      <c r="AV519" s="155"/>
      <c r="AW519" s="155"/>
      <c r="AX519" s="155"/>
      <c r="AY519" s="155"/>
      <c r="AZ519" s="155"/>
      <c r="BA519" s="155"/>
      <c r="BB519" s="155"/>
      <c r="BC519" s="155"/>
      <c r="BD519" s="155"/>
      <c r="BE519" s="155"/>
      <c r="BF519" s="155"/>
      <c r="BG519" s="155"/>
      <c r="BH519" s="155"/>
      <c r="BI519" s="155"/>
      <c r="BJ519" s="155"/>
      <c r="BK519" s="155"/>
      <c r="BL519" s="155"/>
      <c r="BM519" s="155"/>
      <c r="BN519" s="155"/>
      <c r="BO519" s="155"/>
      <c r="BP519" s="155"/>
      <c r="BQ519" s="155"/>
      <c r="BR519" s="155"/>
      <c r="BS519" s="155"/>
      <c r="BT519" s="155"/>
      <c r="BU519" s="155"/>
      <c r="BV519" s="155"/>
      <c r="BW519" s="155"/>
      <c r="BX519" s="155"/>
      <c r="BY519" s="155"/>
      <c r="BZ519" s="155"/>
      <c r="CA519" s="155"/>
      <c r="CB519" s="155"/>
      <c r="CC519" s="155"/>
      <c r="CD519" s="155"/>
      <c r="CE519" s="155"/>
      <c r="CF519" s="155"/>
      <c r="CG519" s="155"/>
    </row>
    <row r="520" spans="1:85" ht="12.75" x14ac:dyDescent="0.2">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c r="AA520" s="155"/>
      <c r="AB520" s="155"/>
      <c r="AC520" s="155"/>
      <c r="AD520" s="155"/>
      <c r="AE520" s="155"/>
      <c r="AF520" s="155"/>
      <c r="AG520" s="155"/>
      <c r="AH520" s="155"/>
      <c r="AI520" s="155"/>
      <c r="AJ520" s="155"/>
      <c r="AK520" s="155"/>
      <c r="AL520" s="155"/>
      <c r="AM520" s="155"/>
      <c r="AN520" s="155"/>
      <c r="AO520" s="155"/>
      <c r="AP520" s="155"/>
      <c r="AQ520" s="155"/>
      <c r="AR520" s="155"/>
      <c r="AS520" s="155"/>
      <c r="AT520" s="155"/>
      <c r="AU520" s="155"/>
      <c r="AV520" s="155"/>
      <c r="AW520" s="155"/>
      <c r="AX520" s="155"/>
      <c r="AY520" s="155"/>
      <c r="AZ520" s="155"/>
      <c r="BA520" s="155"/>
      <c r="BB520" s="155"/>
      <c r="BC520" s="155"/>
      <c r="BD520" s="155"/>
      <c r="BE520" s="155"/>
      <c r="BF520" s="155"/>
      <c r="BG520" s="155"/>
      <c r="BH520" s="155"/>
      <c r="BI520" s="155"/>
      <c r="BJ520" s="155"/>
      <c r="BK520" s="155"/>
      <c r="BL520" s="155"/>
      <c r="BM520" s="155"/>
      <c r="BN520" s="155"/>
      <c r="BO520" s="155"/>
      <c r="BP520" s="155"/>
      <c r="BQ520" s="155"/>
      <c r="BR520" s="155"/>
      <c r="BS520" s="155"/>
      <c r="BT520" s="155"/>
      <c r="BU520" s="155"/>
      <c r="BV520" s="155"/>
      <c r="BW520" s="155"/>
      <c r="BX520" s="155"/>
      <c r="BY520" s="155"/>
      <c r="BZ520" s="155"/>
      <c r="CA520" s="155"/>
      <c r="CB520" s="155"/>
      <c r="CC520" s="155"/>
      <c r="CD520" s="155"/>
      <c r="CE520" s="155"/>
      <c r="CF520" s="155"/>
      <c r="CG520" s="155"/>
    </row>
    <row r="521" spans="1:85" ht="12.75" x14ac:dyDescent="0.2">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c r="AA521" s="155"/>
      <c r="AB521" s="155"/>
      <c r="AC521" s="155"/>
      <c r="AD521" s="155"/>
      <c r="AE521" s="155"/>
      <c r="AF521" s="155"/>
      <c r="AG521" s="155"/>
      <c r="AH521" s="155"/>
      <c r="AI521" s="155"/>
      <c r="AJ521" s="155"/>
      <c r="AK521" s="155"/>
      <c r="AL521" s="155"/>
      <c r="AM521" s="155"/>
      <c r="AN521" s="155"/>
      <c r="AO521" s="155"/>
      <c r="AP521" s="155"/>
      <c r="AQ521" s="155"/>
      <c r="AR521" s="155"/>
      <c r="AS521" s="155"/>
      <c r="AT521" s="155"/>
      <c r="AU521" s="155"/>
      <c r="AV521" s="155"/>
      <c r="AW521" s="155"/>
      <c r="AX521" s="155"/>
      <c r="AY521" s="155"/>
      <c r="AZ521" s="155"/>
      <c r="BA521" s="155"/>
      <c r="BB521" s="155"/>
      <c r="BC521" s="155"/>
      <c r="BD521" s="155"/>
      <c r="BE521" s="155"/>
      <c r="BF521" s="155"/>
      <c r="BG521" s="155"/>
      <c r="BH521" s="155"/>
      <c r="BI521" s="155"/>
      <c r="BJ521" s="155"/>
      <c r="BK521" s="155"/>
      <c r="BL521" s="155"/>
      <c r="BM521" s="155"/>
      <c r="BN521" s="155"/>
      <c r="BO521" s="155"/>
      <c r="BP521" s="155"/>
      <c r="BQ521" s="155"/>
      <c r="BR521" s="155"/>
      <c r="BS521" s="155"/>
      <c r="BT521" s="155"/>
      <c r="BU521" s="155"/>
      <c r="BV521" s="155"/>
      <c r="BW521" s="155"/>
      <c r="BX521" s="155"/>
      <c r="BY521" s="155"/>
      <c r="BZ521" s="155"/>
      <c r="CA521" s="155"/>
      <c r="CB521" s="155"/>
      <c r="CC521" s="155"/>
      <c r="CD521" s="155"/>
      <c r="CE521" s="155"/>
      <c r="CF521" s="155"/>
      <c r="CG521" s="155"/>
    </row>
    <row r="522" spans="1:85" ht="12.75" x14ac:dyDescent="0.2">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row>
    <row r="523" spans="1:85" ht="12.75" x14ac:dyDescent="0.2">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c r="AA523" s="155"/>
      <c r="AB523" s="155"/>
      <c r="AC523" s="155"/>
      <c r="AD523" s="155"/>
      <c r="AE523" s="155"/>
      <c r="AF523" s="155"/>
      <c r="AG523" s="155"/>
      <c r="AH523" s="155"/>
      <c r="AI523" s="155"/>
      <c r="AJ523" s="155"/>
      <c r="AK523" s="155"/>
      <c r="AL523" s="155"/>
      <c r="AM523" s="155"/>
      <c r="AN523" s="155"/>
      <c r="AO523" s="155"/>
      <c r="AP523" s="155"/>
      <c r="AQ523" s="155"/>
      <c r="AR523" s="155"/>
      <c r="AS523" s="155"/>
      <c r="AT523" s="155"/>
      <c r="AU523" s="155"/>
      <c r="AV523" s="155"/>
      <c r="AW523" s="155"/>
      <c r="AX523" s="155"/>
      <c r="AY523" s="155"/>
      <c r="AZ523" s="155"/>
      <c r="BA523" s="155"/>
      <c r="BB523" s="155"/>
      <c r="BC523" s="155"/>
      <c r="BD523" s="155"/>
      <c r="BE523" s="155"/>
      <c r="BF523" s="155"/>
      <c r="BG523" s="155"/>
      <c r="BH523" s="155"/>
      <c r="BI523" s="155"/>
      <c r="BJ523" s="155"/>
      <c r="BK523" s="155"/>
      <c r="BL523" s="155"/>
      <c r="BM523" s="155"/>
      <c r="BN523" s="155"/>
      <c r="BO523" s="155"/>
      <c r="BP523" s="155"/>
      <c r="BQ523" s="155"/>
      <c r="BR523" s="155"/>
      <c r="BS523" s="155"/>
      <c r="BT523" s="155"/>
      <c r="BU523" s="155"/>
      <c r="BV523" s="155"/>
      <c r="BW523" s="155"/>
      <c r="BX523" s="155"/>
      <c r="BY523" s="155"/>
      <c r="BZ523" s="155"/>
      <c r="CA523" s="155"/>
      <c r="CB523" s="155"/>
      <c r="CC523" s="155"/>
      <c r="CD523" s="155"/>
      <c r="CE523" s="155"/>
      <c r="CF523" s="155"/>
      <c r="CG523" s="155"/>
    </row>
    <row r="524" spans="1:85" ht="12.75" x14ac:dyDescent="0.2">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c r="AA524" s="155"/>
      <c r="AB524" s="155"/>
      <c r="AC524" s="155"/>
      <c r="AD524" s="155"/>
      <c r="AE524" s="155"/>
      <c r="AF524" s="155"/>
      <c r="AG524" s="155"/>
      <c r="AH524" s="155"/>
      <c r="AI524" s="155"/>
      <c r="AJ524" s="155"/>
      <c r="AK524" s="155"/>
      <c r="AL524" s="155"/>
      <c r="AM524" s="155"/>
      <c r="AN524" s="155"/>
      <c r="AO524" s="155"/>
      <c r="AP524" s="155"/>
      <c r="AQ524" s="155"/>
      <c r="AR524" s="155"/>
      <c r="AS524" s="155"/>
      <c r="AT524" s="155"/>
      <c r="AU524" s="155"/>
      <c r="AV524" s="155"/>
      <c r="AW524" s="155"/>
      <c r="AX524" s="155"/>
      <c r="AY524" s="155"/>
      <c r="AZ524" s="155"/>
      <c r="BA524" s="155"/>
      <c r="BB524" s="155"/>
      <c r="BC524" s="155"/>
      <c r="BD524" s="155"/>
      <c r="BE524" s="155"/>
      <c r="BF524" s="155"/>
      <c r="BG524" s="155"/>
      <c r="BH524" s="155"/>
      <c r="BI524" s="155"/>
      <c r="BJ524" s="155"/>
      <c r="BK524" s="155"/>
      <c r="BL524" s="155"/>
      <c r="BM524" s="155"/>
      <c r="BN524" s="155"/>
      <c r="BO524" s="155"/>
      <c r="BP524" s="155"/>
      <c r="BQ524" s="155"/>
      <c r="BR524" s="155"/>
      <c r="BS524" s="155"/>
      <c r="BT524" s="155"/>
      <c r="BU524" s="155"/>
      <c r="BV524" s="155"/>
      <c r="BW524" s="155"/>
      <c r="BX524" s="155"/>
      <c r="BY524" s="155"/>
      <c r="BZ524" s="155"/>
      <c r="CA524" s="155"/>
      <c r="CB524" s="155"/>
      <c r="CC524" s="155"/>
      <c r="CD524" s="155"/>
      <c r="CE524" s="155"/>
      <c r="CF524" s="155"/>
      <c r="CG524" s="155"/>
    </row>
    <row r="525" spans="1:85" ht="12.75" x14ac:dyDescent="0.2">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c r="AA525" s="155"/>
      <c r="AB525" s="155"/>
      <c r="AC525" s="155"/>
      <c r="AD525" s="155"/>
      <c r="AE525" s="155"/>
      <c r="AF525" s="155"/>
      <c r="AG525" s="155"/>
      <c r="AH525" s="155"/>
      <c r="AI525" s="155"/>
      <c r="AJ525" s="155"/>
      <c r="AK525" s="155"/>
      <c r="AL525" s="155"/>
      <c r="AM525" s="155"/>
      <c r="AN525" s="155"/>
      <c r="AO525" s="155"/>
      <c r="AP525" s="155"/>
      <c r="AQ525" s="155"/>
      <c r="AR525" s="155"/>
      <c r="AS525" s="155"/>
      <c r="AT525" s="155"/>
      <c r="AU525" s="155"/>
      <c r="AV525" s="155"/>
      <c r="AW525" s="155"/>
      <c r="AX525" s="155"/>
      <c r="AY525" s="155"/>
      <c r="AZ525" s="155"/>
      <c r="BA525" s="155"/>
      <c r="BB525" s="155"/>
      <c r="BC525" s="155"/>
      <c r="BD525" s="155"/>
      <c r="BE525" s="155"/>
      <c r="BF525" s="155"/>
      <c r="BG525" s="155"/>
      <c r="BH525" s="155"/>
      <c r="BI525" s="155"/>
      <c r="BJ525" s="155"/>
      <c r="BK525" s="155"/>
      <c r="BL525" s="155"/>
      <c r="BM525" s="155"/>
      <c r="BN525" s="155"/>
      <c r="BO525" s="155"/>
      <c r="BP525" s="155"/>
      <c r="BQ525" s="155"/>
      <c r="BR525" s="155"/>
      <c r="BS525" s="155"/>
      <c r="BT525" s="155"/>
      <c r="BU525" s="155"/>
      <c r="BV525" s="155"/>
      <c r="BW525" s="155"/>
      <c r="BX525" s="155"/>
      <c r="BY525" s="155"/>
      <c r="BZ525" s="155"/>
      <c r="CA525" s="155"/>
      <c r="CB525" s="155"/>
      <c r="CC525" s="155"/>
      <c r="CD525" s="155"/>
      <c r="CE525" s="155"/>
      <c r="CF525" s="155"/>
      <c r="CG525" s="155"/>
    </row>
    <row r="526" spans="1:85" ht="12.75" x14ac:dyDescent="0.2">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c r="AA526" s="155"/>
      <c r="AB526" s="155"/>
      <c r="AC526" s="155"/>
      <c r="AD526" s="155"/>
      <c r="AE526" s="155"/>
      <c r="AF526" s="155"/>
      <c r="AG526" s="155"/>
      <c r="AH526" s="155"/>
      <c r="AI526" s="155"/>
      <c r="AJ526" s="155"/>
      <c r="AK526" s="155"/>
      <c r="AL526" s="155"/>
      <c r="AM526" s="155"/>
      <c r="AN526" s="155"/>
      <c r="AO526" s="155"/>
      <c r="AP526" s="155"/>
      <c r="AQ526" s="155"/>
      <c r="AR526" s="155"/>
      <c r="AS526" s="155"/>
      <c r="AT526" s="155"/>
      <c r="AU526" s="155"/>
      <c r="AV526" s="155"/>
      <c r="AW526" s="155"/>
      <c r="AX526" s="155"/>
      <c r="AY526" s="155"/>
      <c r="AZ526" s="155"/>
      <c r="BA526" s="155"/>
      <c r="BB526" s="155"/>
      <c r="BC526" s="155"/>
      <c r="BD526" s="155"/>
      <c r="BE526" s="155"/>
      <c r="BF526" s="155"/>
      <c r="BG526" s="155"/>
      <c r="BH526" s="155"/>
      <c r="BI526" s="155"/>
      <c r="BJ526" s="155"/>
      <c r="BK526" s="155"/>
      <c r="BL526" s="155"/>
      <c r="BM526" s="155"/>
      <c r="BN526" s="155"/>
      <c r="BO526" s="155"/>
      <c r="BP526" s="155"/>
      <c r="BQ526" s="155"/>
      <c r="BR526" s="155"/>
      <c r="BS526" s="155"/>
      <c r="BT526" s="155"/>
      <c r="BU526" s="155"/>
      <c r="BV526" s="155"/>
      <c r="BW526" s="155"/>
      <c r="BX526" s="155"/>
      <c r="BY526" s="155"/>
      <c r="BZ526" s="155"/>
      <c r="CA526" s="155"/>
      <c r="CB526" s="155"/>
      <c r="CC526" s="155"/>
      <c r="CD526" s="155"/>
      <c r="CE526" s="155"/>
      <c r="CF526" s="155"/>
      <c r="CG526" s="155"/>
    </row>
    <row r="527" spans="1:85" ht="12.75" x14ac:dyDescent="0.2">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c r="AA527" s="155"/>
      <c r="AB527" s="155"/>
      <c r="AC527" s="155"/>
      <c r="AD527" s="155"/>
      <c r="AE527" s="155"/>
      <c r="AF527" s="155"/>
      <c r="AG527" s="155"/>
      <c r="AH527" s="155"/>
      <c r="AI527" s="155"/>
      <c r="AJ527" s="155"/>
      <c r="AK527" s="155"/>
      <c r="AL527" s="155"/>
      <c r="AM527" s="155"/>
      <c r="AN527" s="155"/>
      <c r="AO527" s="155"/>
      <c r="AP527" s="155"/>
      <c r="AQ527" s="155"/>
      <c r="AR527" s="155"/>
      <c r="AS527" s="155"/>
      <c r="AT527" s="155"/>
      <c r="AU527" s="155"/>
      <c r="AV527" s="155"/>
      <c r="AW527" s="155"/>
      <c r="AX527" s="155"/>
      <c r="AY527" s="155"/>
      <c r="AZ527" s="155"/>
      <c r="BA527" s="155"/>
      <c r="BB527" s="155"/>
      <c r="BC527" s="155"/>
      <c r="BD527" s="155"/>
      <c r="BE527" s="155"/>
      <c r="BF527" s="155"/>
      <c r="BG527" s="155"/>
      <c r="BH527" s="155"/>
      <c r="BI527" s="155"/>
      <c r="BJ527" s="155"/>
      <c r="BK527" s="155"/>
      <c r="BL527" s="155"/>
      <c r="BM527" s="155"/>
      <c r="BN527" s="155"/>
      <c r="BO527" s="155"/>
      <c r="BP527" s="155"/>
      <c r="BQ527" s="155"/>
      <c r="BR527" s="155"/>
      <c r="BS527" s="155"/>
      <c r="BT527" s="155"/>
      <c r="BU527" s="155"/>
      <c r="BV527" s="155"/>
      <c r="BW527" s="155"/>
      <c r="BX527" s="155"/>
      <c r="BY527" s="155"/>
      <c r="BZ527" s="155"/>
      <c r="CA527" s="155"/>
      <c r="CB527" s="155"/>
      <c r="CC527" s="155"/>
      <c r="CD527" s="155"/>
      <c r="CE527" s="155"/>
      <c r="CF527" s="155"/>
      <c r="CG527" s="155"/>
    </row>
    <row r="528" spans="1:85" ht="12.75" x14ac:dyDescent="0.2">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c r="AA528" s="155"/>
      <c r="AB528" s="155"/>
      <c r="AC528" s="155"/>
      <c r="AD528" s="155"/>
      <c r="AE528" s="155"/>
      <c r="AF528" s="155"/>
      <c r="AG528" s="155"/>
      <c r="AH528" s="155"/>
      <c r="AI528" s="155"/>
      <c r="AJ528" s="155"/>
      <c r="AK528" s="155"/>
      <c r="AL528" s="155"/>
      <c r="AM528" s="155"/>
      <c r="AN528" s="155"/>
      <c r="AO528" s="155"/>
      <c r="AP528" s="155"/>
      <c r="AQ528" s="155"/>
      <c r="AR528" s="155"/>
      <c r="AS528" s="155"/>
      <c r="AT528" s="155"/>
      <c r="AU528" s="155"/>
      <c r="AV528" s="155"/>
      <c r="AW528" s="155"/>
      <c r="AX528" s="155"/>
      <c r="AY528" s="155"/>
      <c r="AZ528" s="155"/>
      <c r="BA528" s="155"/>
      <c r="BB528" s="155"/>
      <c r="BC528" s="155"/>
      <c r="BD528" s="155"/>
      <c r="BE528" s="155"/>
      <c r="BF528" s="155"/>
      <c r="BG528" s="155"/>
      <c r="BH528" s="155"/>
      <c r="BI528" s="155"/>
      <c r="BJ528" s="155"/>
      <c r="BK528" s="155"/>
      <c r="BL528" s="155"/>
      <c r="BM528" s="155"/>
      <c r="BN528" s="155"/>
      <c r="BO528" s="155"/>
      <c r="BP528" s="155"/>
      <c r="BQ528" s="155"/>
      <c r="BR528" s="155"/>
      <c r="BS528" s="155"/>
      <c r="BT528" s="155"/>
      <c r="BU528" s="155"/>
      <c r="BV528" s="155"/>
      <c r="BW528" s="155"/>
      <c r="BX528" s="155"/>
      <c r="BY528" s="155"/>
      <c r="BZ528" s="155"/>
      <c r="CA528" s="155"/>
      <c r="CB528" s="155"/>
      <c r="CC528" s="155"/>
      <c r="CD528" s="155"/>
      <c r="CE528" s="155"/>
      <c r="CF528" s="155"/>
      <c r="CG528" s="155"/>
    </row>
    <row r="529" spans="1:85" ht="12.75" x14ac:dyDescent="0.2">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c r="AA529" s="155"/>
      <c r="AB529" s="155"/>
      <c r="AC529" s="155"/>
      <c r="AD529" s="155"/>
      <c r="AE529" s="155"/>
      <c r="AF529" s="155"/>
      <c r="AG529" s="155"/>
      <c r="AH529" s="155"/>
      <c r="AI529" s="155"/>
      <c r="AJ529" s="155"/>
      <c r="AK529" s="155"/>
      <c r="AL529" s="155"/>
      <c r="AM529" s="155"/>
      <c r="AN529" s="155"/>
      <c r="AO529" s="155"/>
      <c r="AP529" s="155"/>
      <c r="AQ529" s="155"/>
      <c r="AR529" s="155"/>
      <c r="AS529" s="155"/>
      <c r="AT529" s="155"/>
      <c r="AU529" s="155"/>
      <c r="AV529" s="155"/>
      <c r="AW529" s="155"/>
      <c r="AX529" s="155"/>
      <c r="AY529" s="155"/>
      <c r="AZ529" s="155"/>
      <c r="BA529" s="155"/>
      <c r="BB529" s="155"/>
      <c r="BC529" s="155"/>
      <c r="BD529" s="155"/>
      <c r="BE529" s="155"/>
      <c r="BF529" s="155"/>
      <c r="BG529" s="155"/>
      <c r="BH529" s="155"/>
      <c r="BI529" s="155"/>
      <c r="BJ529" s="155"/>
      <c r="BK529" s="155"/>
      <c r="BL529" s="155"/>
      <c r="BM529" s="155"/>
      <c r="BN529" s="155"/>
      <c r="BO529" s="155"/>
      <c r="BP529" s="155"/>
      <c r="BQ529" s="155"/>
      <c r="BR529" s="155"/>
      <c r="BS529" s="155"/>
      <c r="BT529" s="155"/>
      <c r="BU529" s="155"/>
      <c r="BV529" s="155"/>
      <c r="BW529" s="155"/>
      <c r="BX529" s="155"/>
      <c r="BY529" s="155"/>
      <c r="BZ529" s="155"/>
      <c r="CA529" s="155"/>
      <c r="CB529" s="155"/>
      <c r="CC529" s="155"/>
      <c r="CD529" s="155"/>
      <c r="CE529" s="155"/>
      <c r="CF529" s="155"/>
      <c r="CG529" s="155"/>
    </row>
    <row r="530" spans="1:85" ht="12.75" x14ac:dyDescent="0.2">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c r="AA530" s="155"/>
      <c r="AB530" s="155"/>
      <c r="AC530" s="155"/>
      <c r="AD530" s="155"/>
      <c r="AE530" s="155"/>
      <c r="AF530" s="155"/>
      <c r="AG530" s="155"/>
      <c r="AH530" s="155"/>
      <c r="AI530" s="155"/>
      <c r="AJ530" s="155"/>
      <c r="AK530" s="155"/>
      <c r="AL530" s="155"/>
      <c r="AM530" s="155"/>
      <c r="AN530" s="155"/>
      <c r="AO530" s="155"/>
      <c r="AP530" s="155"/>
      <c r="AQ530" s="155"/>
      <c r="AR530" s="155"/>
      <c r="AS530" s="155"/>
      <c r="AT530" s="155"/>
      <c r="AU530" s="155"/>
      <c r="AV530" s="155"/>
      <c r="AW530" s="155"/>
      <c r="AX530" s="155"/>
      <c r="AY530" s="155"/>
      <c r="AZ530" s="155"/>
      <c r="BA530" s="155"/>
      <c r="BB530" s="155"/>
      <c r="BC530" s="155"/>
      <c r="BD530" s="155"/>
      <c r="BE530" s="155"/>
      <c r="BF530" s="155"/>
      <c r="BG530" s="155"/>
      <c r="BH530" s="155"/>
      <c r="BI530" s="155"/>
      <c r="BJ530" s="155"/>
      <c r="BK530" s="155"/>
      <c r="BL530" s="155"/>
      <c r="BM530" s="155"/>
      <c r="BN530" s="155"/>
      <c r="BO530" s="155"/>
      <c r="BP530" s="155"/>
      <c r="BQ530" s="155"/>
      <c r="BR530" s="155"/>
      <c r="BS530" s="155"/>
      <c r="BT530" s="155"/>
      <c r="BU530" s="155"/>
      <c r="BV530" s="155"/>
      <c r="BW530" s="155"/>
      <c r="BX530" s="155"/>
      <c r="BY530" s="155"/>
      <c r="BZ530" s="155"/>
      <c r="CA530" s="155"/>
      <c r="CB530" s="155"/>
      <c r="CC530" s="155"/>
      <c r="CD530" s="155"/>
      <c r="CE530" s="155"/>
      <c r="CF530" s="155"/>
      <c r="CG530" s="155"/>
    </row>
    <row r="531" spans="1:85" ht="12.75" x14ac:dyDescent="0.2">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c r="AA531" s="155"/>
      <c r="AB531" s="155"/>
      <c r="AC531" s="155"/>
      <c r="AD531" s="155"/>
      <c r="AE531" s="155"/>
      <c r="AF531" s="155"/>
      <c r="AG531" s="155"/>
      <c r="AH531" s="155"/>
      <c r="AI531" s="155"/>
      <c r="AJ531" s="155"/>
      <c r="AK531" s="155"/>
      <c r="AL531" s="155"/>
      <c r="AM531" s="155"/>
      <c r="AN531" s="155"/>
      <c r="AO531" s="155"/>
      <c r="AP531" s="155"/>
      <c r="AQ531" s="155"/>
      <c r="AR531" s="155"/>
      <c r="AS531" s="155"/>
      <c r="AT531" s="155"/>
      <c r="AU531" s="155"/>
      <c r="AV531" s="155"/>
      <c r="AW531" s="155"/>
      <c r="AX531" s="155"/>
      <c r="AY531" s="155"/>
      <c r="AZ531" s="155"/>
      <c r="BA531" s="155"/>
      <c r="BB531" s="155"/>
      <c r="BC531" s="155"/>
      <c r="BD531" s="155"/>
      <c r="BE531" s="155"/>
      <c r="BF531" s="155"/>
      <c r="BG531" s="155"/>
      <c r="BH531" s="155"/>
      <c r="BI531" s="155"/>
      <c r="BJ531" s="155"/>
      <c r="BK531" s="155"/>
      <c r="BL531" s="155"/>
      <c r="BM531" s="155"/>
      <c r="BN531" s="155"/>
      <c r="BO531" s="155"/>
      <c r="BP531" s="155"/>
      <c r="BQ531" s="155"/>
      <c r="BR531" s="155"/>
      <c r="BS531" s="155"/>
      <c r="BT531" s="155"/>
      <c r="BU531" s="155"/>
      <c r="BV531" s="155"/>
      <c r="BW531" s="155"/>
      <c r="BX531" s="155"/>
      <c r="BY531" s="155"/>
      <c r="BZ531" s="155"/>
      <c r="CA531" s="155"/>
      <c r="CB531" s="155"/>
      <c r="CC531" s="155"/>
      <c r="CD531" s="155"/>
      <c r="CE531" s="155"/>
      <c r="CF531" s="155"/>
      <c r="CG531" s="155"/>
    </row>
    <row r="532" spans="1:85" ht="12.75" x14ac:dyDescent="0.2">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c r="AA532" s="155"/>
      <c r="AB532" s="155"/>
      <c r="AC532" s="155"/>
      <c r="AD532" s="155"/>
      <c r="AE532" s="155"/>
      <c r="AF532" s="155"/>
      <c r="AG532" s="155"/>
      <c r="AH532" s="155"/>
      <c r="AI532" s="155"/>
      <c r="AJ532" s="155"/>
      <c r="AK532" s="155"/>
      <c r="AL532" s="155"/>
      <c r="AM532" s="155"/>
      <c r="AN532" s="155"/>
      <c r="AO532" s="155"/>
      <c r="AP532" s="155"/>
      <c r="AQ532" s="155"/>
      <c r="AR532" s="155"/>
      <c r="AS532" s="155"/>
      <c r="AT532" s="155"/>
      <c r="AU532" s="155"/>
      <c r="AV532" s="155"/>
      <c r="AW532" s="155"/>
      <c r="AX532" s="155"/>
      <c r="AY532" s="155"/>
      <c r="AZ532" s="155"/>
      <c r="BA532" s="155"/>
      <c r="BB532" s="155"/>
      <c r="BC532" s="155"/>
      <c r="BD532" s="155"/>
      <c r="BE532" s="155"/>
      <c r="BF532" s="155"/>
      <c r="BG532" s="155"/>
      <c r="BH532" s="155"/>
      <c r="BI532" s="155"/>
      <c r="BJ532" s="155"/>
      <c r="BK532" s="155"/>
      <c r="BL532" s="155"/>
      <c r="BM532" s="155"/>
      <c r="BN532" s="155"/>
      <c r="BO532" s="155"/>
      <c r="BP532" s="155"/>
      <c r="BQ532" s="155"/>
      <c r="BR532" s="155"/>
      <c r="BS532" s="155"/>
      <c r="BT532" s="155"/>
      <c r="BU532" s="155"/>
      <c r="BV532" s="155"/>
      <c r="BW532" s="155"/>
      <c r="BX532" s="155"/>
      <c r="BY532" s="155"/>
      <c r="BZ532" s="155"/>
      <c r="CA532" s="155"/>
      <c r="CB532" s="155"/>
      <c r="CC532" s="155"/>
      <c r="CD532" s="155"/>
      <c r="CE532" s="155"/>
      <c r="CF532" s="155"/>
      <c r="CG532" s="155"/>
    </row>
    <row r="533" spans="1:85" ht="12.75" x14ac:dyDescent="0.2">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c r="AA533" s="155"/>
      <c r="AB533" s="155"/>
      <c r="AC533" s="155"/>
      <c r="AD533" s="155"/>
      <c r="AE533" s="155"/>
      <c r="AF533" s="155"/>
      <c r="AG533" s="155"/>
      <c r="AH533" s="155"/>
      <c r="AI533" s="155"/>
      <c r="AJ533" s="155"/>
      <c r="AK533" s="155"/>
      <c r="AL533" s="155"/>
      <c r="AM533" s="155"/>
      <c r="AN533" s="155"/>
      <c r="AO533" s="155"/>
      <c r="AP533" s="155"/>
      <c r="AQ533" s="155"/>
      <c r="AR533" s="155"/>
      <c r="AS533" s="155"/>
      <c r="AT533" s="155"/>
      <c r="AU533" s="155"/>
      <c r="AV533" s="155"/>
      <c r="AW533" s="155"/>
      <c r="AX533" s="155"/>
      <c r="AY533" s="155"/>
      <c r="AZ533" s="155"/>
      <c r="BA533" s="155"/>
      <c r="BB533" s="155"/>
      <c r="BC533" s="155"/>
      <c r="BD533" s="155"/>
      <c r="BE533" s="155"/>
      <c r="BF533" s="155"/>
      <c r="BG533" s="155"/>
      <c r="BH533" s="155"/>
      <c r="BI533" s="155"/>
      <c r="BJ533" s="155"/>
      <c r="BK533" s="155"/>
      <c r="BL533" s="155"/>
      <c r="BM533" s="155"/>
      <c r="BN533" s="155"/>
      <c r="BO533" s="155"/>
      <c r="BP533" s="155"/>
      <c r="BQ533" s="155"/>
      <c r="BR533" s="155"/>
      <c r="BS533" s="155"/>
      <c r="BT533" s="155"/>
      <c r="BU533" s="155"/>
      <c r="BV533" s="155"/>
      <c r="BW533" s="155"/>
      <c r="BX533" s="155"/>
      <c r="BY533" s="155"/>
      <c r="BZ533" s="155"/>
      <c r="CA533" s="155"/>
      <c r="CB533" s="155"/>
      <c r="CC533" s="155"/>
      <c r="CD533" s="155"/>
      <c r="CE533" s="155"/>
      <c r="CF533" s="155"/>
      <c r="CG533" s="155"/>
    </row>
    <row r="534" spans="1:85" ht="12.75" x14ac:dyDescent="0.2">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c r="AA534" s="155"/>
      <c r="AB534" s="155"/>
      <c r="AC534" s="155"/>
      <c r="AD534" s="155"/>
      <c r="AE534" s="155"/>
      <c r="AF534" s="155"/>
      <c r="AG534" s="155"/>
      <c r="AH534" s="155"/>
      <c r="AI534" s="155"/>
      <c r="AJ534" s="155"/>
      <c r="AK534" s="155"/>
      <c r="AL534" s="155"/>
      <c r="AM534" s="155"/>
      <c r="AN534" s="155"/>
      <c r="AO534" s="155"/>
      <c r="AP534" s="155"/>
      <c r="AQ534" s="155"/>
      <c r="AR534" s="155"/>
      <c r="AS534" s="155"/>
      <c r="AT534" s="155"/>
      <c r="AU534" s="155"/>
      <c r="AV534" s="155"/>
      <c r="AW534" s="155"/>
      <c r="AX534" s="155"/>
      <c r="AY534" s="155"/>
      <c r="AZ534" s="155"/>
      <c r="BA534" s="155"/>
      <c r="BB534" s="155"/>
      <c r="BC534" s="155"/>
      <c r="BD534" s="155"/>
      <c r="BE534" s="155"/>
      <c r="BF534" s="155"/>
      <c r="BG534" s="155"/>
      <c r="BH534" s="155"/>
      <c r="BI534" s="155"/>
      <c r="BJ534" s="155"/>
      <c r="BK534" s="155"/>
      <c r="BL534" s="155"/>
      <c r="BM534" s="155"/>
      <c r="BN534" s="155"/>
      <c r="BO534" s="155"/>
      <c r="BP534" s="155"/>
      <c r="BQ534" s="155"/>
      <c r="BR534" s="155"/>
      <c r="BS534" s="155"/>
      <c r="BT534" s="155"/>
      <c r="BU534" s="155"/>
      <c r="BV534" s="155"/>
      <c r="BW534" s="155"/>
      <c r="BX534" s="155"/>
      <c r="BY534" s="155"/>
      <c r="BZ534" s="155"/>
      <c r="CA534" s="155"/>
      <c r="CB534" s="155"/>
      <c r="CC534" s="155"/>
      <c r="CD534" s="155"/>
      <c r="CE534" s="155"/>
      <c r="CF534" s="155"/>
      <c r="CG534" s="155"/>
    </row>
    <row r="535" spans="1:85" ht="12.75" x14ac:dyDescent="0.2">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5"/>
      <c r="AY535" s="155"/>
      <c r="AZ535" s="155"/>
      <c r="BA535" s="155"/>
      <c r="BB535" s="155"/>
      <c r="BC535" s="155"/>
      <c r="BD535" s="155"/>
      <c r="BE535" s="155"/>
      <c r="BF535" s="155"/>
      <c r="BG535" s="155"/>
      <c r="BH535" s="155"/>
      <c r="BI535" s="155"/>
      <c r="BJ535" s="155"/>
      <c r="BK535" s="155"/>
      <c r="BL535" s="155"/>
      <c r="BM535" s="155"/>
      <c r="BN535" s="155"/>
      <c r="BO535" s="155"/>
      <c r="BP535" s="155"/>
      <c r="BQ535" s="155"/>
      <c r="BR535" s="155"/>
      <c r="BS535" s="155"/>
      <c r="BT535" s="155"/>
      <c r="BU535" s="155"/>
      <c r="BV535" s="155"/>
      <c r="BW535" s="155"/>
      <c r="BX535" s="155"/>
      <c r="BY535" s="155"/>
      <c r="BZ535" s="155"/>
      <c r="CA535" s="155"/>
      <c r="CB535" s="155"/>
      <c r="CC535" s="155"/>
      <c r="CD535" s="155"/>
      <c r="CE535" s="155"/>
      <c r="CF535" s="155"/>
      <c r="CG535" s="155"/>
    </row>
    <row r="536" spans="1:85" ht="12.75" x14ac:dyDescent="0.2">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c r="AA536" s="155"/>
      <c r="AB536" s="155"/>
      <c r="AC536" s="155"/>
      <c r="AD536" s="155"/>
      <c r="AE536" s="155"/>
      <c r="AF536" s="155"/>
      <c r="AG536" s="155"/>
      <c r="AH536" s="155"/>
      <c r="AI536" s="155"/>
      <c r="AJ536" s="155"/>
      <c r="AK536" s="155"/>
      <c r="AL536" s="155"/>
      <c r="AM536" s="155"/>
      <c r="AN536" s="155"/>
      <c r="AO536" s="155"/>
      <c r="AP536" s="155"/>
      <c r="AQ536" s="155"/>
      <c r="AR536" s="155"/>
      <c r="AS536" s="155"/>
      <c r="AT536" s="155"/>
      <c r="AU536" s="155"/>
      <c r="AV536" s="155"/>
      <c r="AW536" s="155"/>
      <c r="AX536" s="155"/>
      <c r="AY536" s="155"/>
      <c r="AZ536" s="155"/>
      <c r="BA536" s="155"/>
      <c r="BB536" s="155"/>
      <c r="BC536" s="155"/>
      <c r="BD536" s="155"/>
      <c r="BE536" s="155"/>
      <c r="BF536" s="155"/>
      <c r="BG536" s="155"/>
      <c r="BH536" s="155"/>
      <c r="BI536" s="155"/>
      <c r="BJ536" s="155"/>
      <c r="BK536" s="155"/>
      <c r="BL536" s="155"/>
      <c r="BM536" s="155"/>
      <c r="BN536" s="155"/>
      <c r="BO536" s="155"/>
      <c r="BP536" s="155"/>
      <c r="BQ536" s="155"/>
      <c r="BR536" s="155"/>
      <c r="BS536" s="155"/>
      <c r="BT536" s="155"/>
      <c r="BU536" s="155"/>
      <c r="BV536" s="155"/>
      <c r="BW536" s="155"/>
      <c r="BX536" s="155"/>
      <c r="BY536" s="155"/>
      <c r="BZ536" s="155"/>
      <c r="CA536" s="155"/>
      <c r="CB536" s="155"/>
      <c r="CC536" s="155"/>
      <c r="CD536" s="155"/>
      <c r="CE536" s="155"/>
      <c r="CF536" s="155"/>
      <c r="CG536" s="155"/>
    </row>
    <row r="537" spans="1:85" ht="12.75" x14ac:dyDescent="0.2">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c r="AA537" s="155"/>
      <c r="AB537" s="155"/>
      <c r="AC537" s="155"/>
      <c r="AD537" s="155"/>
      <c r="AE537" s="155"/>
      <c r="AF537" s="155"/>
      <c r="AG537" s="155"/>
      <c r="AH537" s="155"/>
      <c r="AI537" s="155"/>
      <c r="AJ537" s="155"/>
      <c r="AK537" s="155"/>
      <c r="AL537" s="155"/>
      <c r="AM537" s="155"/>
      <c r="AN537" s="155"/>
      <c r="AO537" s="155"/>
      <c r="AP537" s="155"/>
      <c r="AQ537" s="155"/>
      <c r="AR537" s="155"/>
      <c r="AS537" s="155"/>
      <c r="AT537" s="155"/>
      <c r="AU537" s="155"/>
      <c r="AV537" s="155"/>
      <c r="AW537" s="155"/>
      <c r="AX537" s="155"/>
      <c r="AY537" s="155"/>
      <c r="AZ537" s="155"/>
      <c r="BA537" s="155"/>
      <c r="BB537" s="155"/>
      <c r="BC537" s="155"/>
      <c r="BD537" s="155"/>
      <c r="BE537" s="155"/>
      <c r="BF537" s="155"/>
      <c r="BG537" s="155"/>
      <c r="BH537" s="155"/>
      <c r="BI537" s="155"/>
      <c r="BJ537" s="155"/>
      <c r="BK537" s="155"/>
      <c r="BL537" s="155"/>
      <c r="BM537" s="155"/>
      <c r="BN537" s="155"/>
      <c r="BO537" s="155"/>
      <c r="BP537" s="155"/>
      <c r="BQ537" s="155"/>
      <c r="BR537" s="155"/>
      <c r="BS537" s="155"/>
      <c r="BT537" s="155"/>
      <c r="BU537" s="155"/>
      <c r="BV537" s="155"/>
      <c r="BW537" s="155"/>
      <c r="BX537" s="155"/>
      <c r="BY537" s="155"/>
      <c r="BZ537" s="155"/>
      <c r="CA537" s="155"/>
      <c r="CB537" s="155"/>
      <c r="CC537" s="155"/>
      <c r="CD537" s="155"/>
      <c r="CE537" s="155"/>
      <c r="CF537" s="155"/>
      <c r="CG537" s="155"/>
    </row>
    <row r="538" spans="1:85" ht="12.75" x14ac:dyDescent="0.2">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c r="AA538" s="155"/>
      <c r="AB538" s="155"/>
      <c r="AC538" s="155"/>
      <c r="AD538" s="155"/>
      <c r="AE538" s="155"/>
      <c r="AF538" s="155"/>
      <c r="AG538" s="155"/>
      <c r="AH538" s="155"/>
      <c r="AI538" s="155"/>
      <c r="AJ538" s="155"/>
      <c r="AK538" s="155"/>
      <c r="AL538" s="155"/>
      <c r="AM538" s="155"/>
      <c r="AN538" s="155"/>
      <c r="AO538" s="155"/>
      <c r="AP538" s="155"/>
      <c r="AQ538" s="155"/>
      <c r="AR538" s="155"/>
      <c r="AS538" s="155"/>
      <c r="AT538" s="155"/>
      <c r="AU538" s="155"/>
      <c r="AV538" s="155"/>
      <c r="AW538" s="155"/>
      <c r="AX538" s="155"/>
      <c r="AY538" s="155"/>
      <c r="AZ538" s="155"/>
      <c r="BA538" s="155"/>
      <c r="BB538" s="155"/>
      <c r="BC538" s="155"/>
      <c r="BD538" s="155"/>
      <c r="BE538" s="155"/>
      <c r="BF538" s="155"/>
      <c r="BG538" s="155"/>
      <c r="BH538" s="155"/>
      <c r="BI538" s="155"/>
      <c r="BJ538" s="155"/>
      <c r="BK538" s="155"/>
      <c r="BL538" s="155"/>
      <c r="BM538" s="155"/>
      <c r="BN538" s="155"/>
      <c r="BO538" s="155"/>
      <c r="BP538" s="155"/>
      <c r="BQ538" s="155"/>
      <c r="BR538" s="155"/>
      <c r="BS538" s="155"/>
      <c r="BT538" s="155"/>
      <c r="BU538" s="155"/>
      <c r="BV538" s="155"/>
      <c r="BW538" s="155"/>
      <c r="BX538" s="155"/>
      <c r="BY538" s="155"/>
      <c r="BZ538" s="155"/>
      <c r="CA538" s="155"/>
      <c r="CB538" s="155"/>
      <c r="CC538" s="155"/>
      <c r="CD538" s="155"/>
      <c r="CE538" s="155"/>
      <c r="CF538" s="155"/>
      <c r="CG538" s="155"/>
    </row>
    <row r="539" spans="1:85" ht="12.75" x14ac:dyDescent="0.2">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c r="AA539" s="155"/>
      <c r="AB539" s="155"/>
      <c r="AC539" s="155"/>
      <c r="AD539" s="155"/>
      <c r="AE539" s="155"/>
      <c r="AF539" s="155"/>
      <c r="AG539" s="155"/>
      <c r="AH539" s="155"/>
      <c r="AI539" s="155"/>
      <c r="AJ539" s="155"/>
      <c r="AK539" s="155"/>
      <c r="AL539" s="155"/>
      <c r="AM539" s="155"/>
      <c r="AN539" s="155"/>
      <c r="AO539" s="155"/>
      <c r="AP539" s="155"/>
      <c r="AQ539" s="155"/>
      <c r="AR539" s="155"/>
      <c r="AS539" s="155"/>
      <c r="AT539" s="155"/>
      <c r="AU539" s="155"/>
      <c r="AV539" s="155"/>
      <c r="AW539" s="155"/>
      <c r="AX539" s="155"/>
      <c r="AY539" s="155"/>
      <c r="AZ539" s="155"/>
      <c r="BA539" s="155"/>
      <c r="BB539" s="155"/>
      <c r="BC539" s="155"/>
      <c r="BD539" s="155"/>
      <c r="BE539" s="155"/>
      <c r="BF539" s="155"/>
      <c r="BG539" s="155"/>
      <c r="BH539" s="155"/>
      <c r="BI539" s="155"/>
      <c r="BJ539" s="155"/>
      <c r="BK539" s="155"/>
      <c r="BL539" s="155"/>
      <c r="BM539" s="155"/>
      <c r="BN539" s="155"/>
      <c r="BO539" s="155"/>
      <c r="BP539" s="155"/>
      <c r="BQ539" s="155"/>
      <c r="BR539" s="155"/>
      <c r="BS539" s="155"/>
      <c r="BT539" s="155"/>
      <c r="BU539" s="155"/>
      <c r="BV539" s="155"/>
      <c r="BW539" s="155"/>
      <c r="BX539" s="155"/>
      <c r="BY539" s="155"/>
      <c r="BZ539" s="155"/>
      <c r="CA539" s="155"/>
      <c r="CB539" s="155"/>
      <c r="CC539" s="155"/>
      <c r="CD539" s="155"/>
      <c r="CE539" s="155"/>
      <c r="CF539" s="155"/>
      <c r="CG539" s="155"/>
    </row>
    <row r="540" spans="1:85" ht="12.75" x14ac:dyDescent="0.2">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c r="AA540" s="155"/>
      <c r="AB540" s="155"/>
      <c r="AC540" s="155"/>
      <c r="AD540" s="155"/>
      <c r="AE540" s="155"/>
      <c r="AF540" s="155"/>
      <c r="AG540" s="155"/>
      <c r="AH540" s="155"/>
      <c r="AI540" s="155"/>
      <c r="AJ540" s="155"/>
      <c r="AK540" s="155"/>
      <c r="AL540" s="155"/>
      <c r="AM540" s="155"/>
      <c r="AN540" s="155"/>
      <c r="AO540" s="155"/>
      <c r="AP540" s="155"/>
      <c r="AQ540" s="155"/>
      <c r="AR540" s="155"/>
      <c r="AS540" s="155"/>
      <c r="AT540" s="155"/>
      <c r="AU540" s="155"/>
      <c r="AV540" s="155"/>
      <c r="AW540" s="155"/>
      <c r="AX540" s="155"/>
      <c r="AY540" s="155"/>
      <c r="AZ540" s="155"/>
      <c r="BA540" s="155"/>
      <c r="BB540" s="155"/>
      <c r="BC540" s="155"/>
      <c r="BD540" s="155"/>
      <c r="BE540" s="155"/>
      <c r="BF540" s="155"/>
      <c r="BG540" s="155"/>
      <c r="BH540" s="155"/>
      <c r="BI540" s="155"/>
      <c r="BJ540" s="155"/>
      <c r="BK540" s="155"/>
      <c r="BL540" s="155"/>
      <c r="BM540" s="155"/>
      <c r="BN540" s="155"/>
      <c r="BO540" s="155"/>
      <c r="BP540" s="155"/>
      <c r="BQ540" s="155"/>
      <c r="BR540" s="155"/>
      <c r="BS540" s="155"/>
      <c r="BT540" s="155"/>
      <c r="BU540" s="155"/>
      <c r="BV540" s="155"/>
      <c r="BW540" s="155"/>
      <c r="BX540" s="155"/>
      <c r="BY540" s="155"/>
      <c r="BZ540" s="155"/>
      <c r="CA540" s="155"/>
      <c r="CB540" s="155"/>
      <c r="CC540" s="155"/>
      <c r="CD540" s="155"/>
      <c r="CE540" s="155"/>
      <c r="CF540" s="155"/>
      <c r="CG540" s="155"/>
    </row>
    <row r="541" spans="1:85" ht="12.75" x14ac:dyDescent="0.2">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c r="AA541" s="155"/>
      <c r="AB541" s="155"/>
      <c r="AC541" s="155"/>
      <c r="AD541" s="155"/>
      <c r="AE541" s="155"/>
      <c r="AF541" s="155"/>
      <c r="AG541" s="155"/>
      <c r="AH541" s="155"/>
      <c r="AI541" s="155"/>
      <c r="AJ541" s="155"/>
      <c r="AK541" s="155"/>
      <c r="AL541" s="155"/>
      <c r="AM541" s="155"/>
      <c r="AN541" s="155"/>
      <c r="AO541" s="155"/>
      <c r="AP541" s="155"/>
      <c r="AQ541" s="155"/>
      <c r="AR541" s="155"/>
      <c r="AS541" s="155"/>
      <c r="AT541" s="155"/>
      <c r="AU541" s="155"/>
      <c r="AV541" s="155"/>
      <c r="AW541" s="155"/>
      <c r="AX541" s="155"/>
      <c r="AY541" s="155"/>
      <c r="AZ541" s="155"/>
      <c r="BA541" s="155"/>
      <c r="BB541" s="155"/>
      <c r="BC541" s="155"/>
      <c r="BD541" s="155"/>
      <c r="BE541" s="155"/>
      <c r="BF541" s="155"/>
      <c r="BG541" s="155"/>
      <c r="BH541" s="155"/>
      <c r="BI541" s="155"/>
      <c r="BJ541" s="155"/>
      <c r="BK541" s="155"/>
      <c r="BL541" s="155"/>
      <c r="BM541" s="155"/>
      <c r="BN541" s="155"/>
      <c r="BO541" s="155"/>
      <c r="BP541" s="155"/>
      <c r="BQ541" s="155"/>
      <c r="BR541" s="155"/>
      <c r="BS541" s="155"/>
      <c r="BT541" s="155"/>
      <c r="BU541" s="155"/>
      <c r="BV541" s="155"/>
      <c r="BW541" s="155"/>
      <c r="BX541" s="155"/>
      <c r="BY541" s="155"/>
      <c r="BZ541" s="155"/>
      <c r="CA541" s="155"/>
      <c r="CB541" s="155"/>
      <c r="CC541" s="155"/>
      <c r="CD541" s="155"/>
      <c r="CE541" s="155"/>
      <c r="CF541" s="155"/>
      <c r="CG541" s="155"/>
    </row>
    <row r="542" spans="1:85" ht="12.75" x14ac:dyDescent="0.2">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c r="AA542" s="155"/>
      <c r="AB542" s="155"/>
      <c r="AC542" s="155"/>
      <c r="AD542" s="155"/>
      <c r="AE542" s="155"/>
      <c r="AF542" s="155"/>
      <c r="AG542" s="155"/>
      <c r="AH542" s="155"/>
      <c r="AI542" s="155"/>
      <c r="AJ542" s="155"/>
      <c r="AK542" s="155"/>
      <c r="AL542" s="155"/>
      <c r="AM542" s="155"/>
      <c r="AN542" s="155"/>
      <c r="AO542" s="155"/>
      <c r="AP542" s="155"/>
      <c r="AQ542" s="155"/>
      <c r="AR542" s="155"/>
      <c r="AS542" s="155"/>
      <c r="AT542" s="155"/>
      <c r="AU542" s="155"/>
      <c r="AV542" s="155"/>
      <c r="AW542" s="155"/>
      <c r="AX542" s="155"/>
      <c r="AY542" s="155"/>
      <c r="AZ542" s="155"/>
      <c r="BA542" s="155"/>
      <c r="BB542" s="155"/>
      <c r="BC542" s="155"/>
      <c r="BD542" s="155"/>
      <c r="BE542" s="155"/>
      <c r="BF542" s="155"/>
      <c r="BG542" s="155"/>
      <c r="BH542" s="155"/>
      <c r="BI542" s="155"/>
      <c r="BJ542" s="155"/>
      <c r="BK542" s="155"/>
      <c r="BL542" s="155"/>
      <c r="BM542" s="155"/>
      <c r="BN542" s="155"/>
      <c r="BO542" s="155"/>
      <c r="BP542" s="155"/>
      <c r="BQ542" s="155"/>
      <c r="BR542" s="155"/>
      <c r="BS542" s="155"/>
      <c r="BT542" s="155"/>
      <c r="BU542" s="155"/>
      <c r="BV542" s="155"/>
      <c r="BW542" s="155"/>
      <c r="BX542" s="155"/>
      <c r="BY542" s="155"/>
      <c r="BZ542" s="155"/>
      <c r="CA542" s="155"/>
      <c r="CB542" s="155"/>
      <c r="CC542" s="155"/>
      <c r="CD542" s="155"/>
      <c r="CE542" s="155"/>
      <c r="CF542" s="155"/>
      <c r="CG542" s="155"/>
    </row>
    <row r="543" spans="1:85" ht="12.75" x14ac:dyDescent="0.2">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c r="AA543" s="155"/>
      <c r="AB543" s="155"/>
      <c r="AC543" s="155"/>
      <c r="AD543" s="155"/>
      <c r="AE543" s="155"/>
      <c r="AF543" s="155"/>
      <c r="AG543" s="155"/>
      <c r="AH543" s="155"/>
      <c r="AI543" s="155"/>
      <c r="AJ543" s="155"/>
      <c r="AK543" s="155"/>
      <c r="AL543" s="155"/>
      <c r="AM543" s="155"/>
      <c r="AN543" s="155"/>
      <c r="AO543" s="155"/>
      <c r="AP543" s="155"/>
      <c r="AQ543" s="155"/>
      <c r="AR543" s="155"/>
      <c r="AS543" s="155"/>
      <c r="AT543" s="155"/>
      <c r="AU543" s="155"/>
      <c r="AV543" s="155"/>
      <c r="AW543" s="155"/>
      <c r="AX543" s="155"/>
      <c r="AY543" s="155"/>
      <c r="AZ543" s="155"/>
      <c r="BA543" s="155"/>
      <c r="BB543" s="155"/>
      <c r="BC543" s="155"/>
      <c r="BD543" s="155"/>
      <c r="BE543" s="155"/>
      <c r="BF543" s="155"/>
      <c r="BG543" s="155"/>
      <c r="BH543" s="155"/>
      <c r="BI543" s="155"/>
      <c r="BJ543" s="155"/>
      <c r="BK543" s="155"/>
      <c r="BL543" s="155"/>
      <c r="BM543" s="155"/>
      <c r="BN543" s="155"/>
      <c r="BO543" s="155"/>
      <c r="BP543" s="155"/>
      <c r="BQ543" s="155"/>
      <c r="BR543" s="155"/>
      <c r="BS543" s="155"/>
      <c r="BT543" s="155"/>
      <c r="BU543" s="155"/>
      <c r="BV543" s="155"/>
      <c r="BW543" s="155"/>
      <c r="BX543" s="155"/>
      <c r="BY543" s="155"/>
      <c r="BZ543" s="155"/>
      <c r="CA543" s="155"/>
      <c r="CB543" s="155"/>
      <c r="CC543" s="155"/>
      <c r="CD543" s="155"/>
      <c r="CE543" s="155"/>
      <c r="CF543" s="155"/>
      <c r="CG543" s="155"/>
    </row>
    <row r="544" spans="1:85" ht="12.75" x14ac:dyDescent="0.2">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c r="AA544" s="155"/>
      <c r="AB544" s="155"/>
      <c r="AC544" s="155"/>
      <c r="AD544" s="155"/>
      <c r="AE544" s="155"/>
      <c r="AF544" s="155"/>
      <c r="AG544" s="155"/>
      <c r="AH544" s="155"/>
      <c r="AI544" s="155"/>
      <c r="AJ544" s="155"/>
      <c r="AK544" s="155"/>
      <c r="AL544" s="155"/>
      <c r="AM544" s="155"/>
      <c r="AN544" s="155"/>
      <c r="AO544" s="155"/>
      <c r="AP544" s="155"/>
      <c r="AQ544" s="155"/>
      <c r="AR544" s="155"/>
      <c r="AS544" s="155"/>
      <c r="AT544" s="155"/>
      <c r="AU544" s="155"/>
      <c r="AV544" s="155"/>
      <c r="AW544" s="155"/>
      <c r="AX544" s="155"/>
      <c r="AY544" s="155"/>
      <c r="AZ544" s="155"/>
      <c r="BA544" s="155"/>
      <c r="BB544" s="155"/>
      <c r="BC544" s="155"/>
      <c r="BD544" s="155"/>
      <c r="BE544" s="155"/>
      <c r="BF544" s="155"/>
      <c r="BG544" s="155"/>
      <c r="BH544" s="155"/>
      <c r="BI544" s="155"/>
      <c r="BJ544" s="155"/>
      <c r="BK544" s="155"/>
      <c r="BL544" s="155"/>
      <c r="BM544" s="155"/>
      <c r="BN544" s="155"/>
      <c r="BO544" s="155"/>
      <c r="BP544" s="155"/>
      <c r="BQ544" s="155"/>
      <c r="BR544" s="155"/>
      <c r="BS544" s="155"/>
      <c r="BT544" s="155"/>
      <c r="BU544" s="155"/>
      <c r="BV544" s="155"/>
      <c r="BW544" s="155"/>
      <c r="BX544" s="155"/>
      <c r="BY544" s="155"/>
      <c r="BZ544" s="155"/>
      <c r="CA544" s="155"/>
      <c r="CB544" s="155"/>
      <c r="CC544" s="155"/>
      <c r="CD544" s="155"/>
      <c r="CE544" s="155"/>
      <c r="CF544" s="155"/>
      <c r="CG544" s="155"/>
    </row>
    <row r="545" spans="1:85" ht="12.75" x14ac:dyDescent="0.2">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row>
    <row r="546" spans="1:85" ht="12.75" x14ac:dyDescent="0.2">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c r="AA546" s="155"/>
      <c r="AB546" s="155"/>
      <c r="AC546" s="155"/>
      <c r="AD546" s="155"/>
      <c r="AE546" s="155"/>
      <c r="AF546" s="155"/>
      <c r="AG546" s="155"/>
      <c r="AH546" s="155"/>
      <c r="AI546" s="155"/>
      <c r="AJ546" s="155"/>
      <c r="AK546" s="155"/>
      <c r="AL546" s="155"/>
      <c r="AM546" s="155"/>
      <c r="AN546" s="155"/>
      <c r="AO546" s="155"/>
      <c r="AP546" s="155"/>
      <c r="AQ546" s="155"/>
      <c r="AR546" s="155"/>
      <c r="AS546" s="155"/>
      <c r="AT546" s="155"/>
      <c r="AU546" s="155"/>
      <c r="AV546" s="155"/>
      <c r="AW546" s="155"/>
      <c r="AX546" s="155"/>
      <c r="AY546" s="155"/>
      <c r="AZ546" s="155"/>
      <c r="BA546" s="155"/>
      <c r="BB546" s="155"/>
      <c r="BC546" s="155"/>
      <c r="BD546" s="155"/>
      <c r="BE546" s="155"/>
      <c r="BF546" s="155"/>
      <c r="BG546" s="155"/>
      <c r="BH546" s="155"/>
      <c r="BI546" s="155"/>
      <c r="BJ546" s="155"/>
      <c r="BK546" s="155"/>
      <c r="BL546" s="155"/>
      <c r="BM546" s="155"/>
      <c r="BN546" s="155"/>
      <c r="BO546" s="155"/>
      <c r="BP546" s="155"/>
      <c r="BQ546" s="155"/>
      <c r="BR546" s="155"/>
      <c r="BS546" s="155"/>
      <c r="BT546" s="155"/>
      <c r="BU546" s="155"/>
      <c r="BV546" s="155"/>
      <c r="BW546" s="155"/>
      <c r="BX546" s="155"/>
      <c r="BY546" s="155"/>
      <c r="BZ546" s="155"/>
      <c r="CA546" s="155"/>
      <c r="CB546" s="155"/>
      <c r="CC546" s="155"/>
      <c r="CD546" s="155"/>
      <c r="CE546" s="155"/>
      <c r="CF546" s="155"/>
      <c r="CG546" s="155"/>
    </row>
    <row r="547" spans="1:85" ht="12.75" x14ac:dyDescent="0.2">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c r="AA547" s="155"/>
      <c r="AB547" s="155"/>
      <c r="AC547" s="155"/>
      <c r="AD547" s="155"/>
      <c r="AE547" s="155"/>
      <c r="AF547" s="155"/>
      <c r="AG547" s="155"/>
      <c r="AH547" s="155"/>
      <c r="AI547" s="155"/>
      <c r="AJ547" s="155"/>
      <c r="AK547" s="155"/>
      <c r="AL547" s="155"/>
      <c r="AM547" s="155"/>
      <c r="AN547" s="155"/>
      <c r="AO547" s="155"/>
      <c r="AP547" s="155"/>
      <c r="AQ547" s="155"/>
      <c r="AR547" s="155"/>
      <c r="AS547" s="155"/>
      <c r="AT547" s="155"/>
      <c r="AU547" s="155"/>
      <c r="AV547" s="155"/>
      <c r="AW547" s="155"/>
      <c r="AX547" s="155"/>
      <c r="AY547" s="155"/>
      <c r="AZ547" s="155"/>
      <c r="BA547" s="155"/>
      <c r="BB547" s="155"/>
      <c r="BC547" s="155"/>
      <c r="BD547" s="155"/>
      <c r="BE547" s="155"/>
      <c r="BF547" s="155"/>
      <c r="BG547" s="155"/>
      <c r="BH547" s="155"/>
      <c r="BI547" s="155"/>
      <c r="BJ547" s="155"/>
      <c r="BK547" s="155"/>
      <c r="BL547" s="155"/>
      <c r="BM547" s="155"/>
      <c r="BN547" s="155"/>
      <c r="BO547" s="155"/>
      <c r="BP547" s="155"/>
      <c r="BQ547" s="155"/>
      <c r="BR547" s="155"/>
      <c r="BS547" s="155"/>
      <c r="BT547" s="155"/>
      <c r="BU547" s="155"/>
      <c r="BV547" s="155"/>
      <c r="BW547" s="155"/>
      <c r="BX547" s="155"/>
      <c r="BY547" s="155"/>
      <c r="BZ547" s="155"/>
      <c r="CA547" s="155"/>
      <c r="CB547" s="155"/>
      <c r="CC547" s="155"/>
      <c r="CD547" s="155"/>
      <c r="CE547" s="155"/>
      <c r="CF547" s="155"/>
      <c r="CG547" s="155"/>
    </row>
    <row r="548" spans="1:85" ht="12.75" x14ac:dyDescent="0.2">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c r="AA548" s="155"/>
      <c r="AB548" s="155"/>
      <c r="AC548" s="155"/>
      <c r="AD548" s="155"/>
      <c r="AE548" s="155"/>
      <c r="AF548" s="155"/>
      <c r="AG548" s="155"/>
      <c r="AH548" s="155"/>
      <c r="AI548" s="155"/>
      <c r="AJ548" s="155"/>
      <c r="AK548" s="155"/>
      <c r="AL548" s="155"/>
      <c r="AM548" s="155"/>
      <c r="AN548" s="155"/>
      <c r="AO548" s="155"/>
      <c r="AP548" s="155"/>
      <c r="AQ548" s="155"/>
      <c r="AR548" s="155"/>
      <c r="AS548" s="155"/>
      <c r="AT548" s="155"/>
      <c r="AU548" s="155"/>
      <c r="AV548" s="155"/>
      <c r="AW548" s="155"/>
      <c r="AX548" s="155"/>
      <c r="AY548" s="155"/>
      <c r="AZ548" s="155"/>
      <c r="BA548" s="155"/>
      <c r="BB548" s="155"/>
      <c r="BC548" s="155"/>
      <c r="BD548" s="155"/>
      <c r="BE548" s="155"/>
      <c r="BF548" s="155"/>
      <c r="BG548" s="155"/>
      <c r="BH548" s="155"/>
      <c r="BI548" s="155"/>
      <c r="BJ548" s="155"/>
      <c r="BK548" s="155"/>
      <c r="BL548" s="155"/>
      <c r="BM548" s="155"/>
      <c r="BN548" s="155"/>
      <c r="BO548" s="155"/>
      <c r="BP548" s="155"/>
      <c r="BQ548" s="155"/>
      <c r="BR548" s="155"/>
      <c r="BS548" s="155"/>
      <c r="BT548" s="155"/>
      <c r="BU548" s="155"/>
      <c r="BV548" s="155"/>
      <c r="BW548" s="155"/>
      <c r="BX548" s="155"/>
      <c r="BY548" s="155"/>
      <c r="BZ548" s="155"/>
      <c r="CA548" s="155"/>
      <c r="CB548" s="155"/>
      <c r="CC548" s="155"/>
      <c r="CD548" s="155"/>
      <c r="CE548" s="155"/>
      <c r="CF548" s="155"/>
      <c r="CG548" s="155"/>
    </row>
    <row r="549" spans="1:85" ht="12.75" x14ac:dyDescent="0.2">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c r="AA549" s="155"/>
      <c r="AB549" s="155"/>
      <c r="AC549" s="155"/>
      <c r="AD549" s="155"/>
      <c r="AE549" s="155"/>
      <c r="AF549" s="155"/>
      <c r="AG549" s="155"/>
      <c r="AH549" s="155"/>
      <c r="AI549" s="155"/>
      <c r="AJ549" s="155"/>
      <c r="AK549" s="155"/>
      <c r="AL549" s="155"/>
      <c r="AM549" s="155"/>
      <c r="AN549" s="155"/>
      <c r="AO549" s="155"/>
      <c r="AP549" s="155"/>
      <c r="AQ549" s="155"/>
      <c r="AR549" s="155"/>
      <c r="AS549" s="155"/>
      <c r="AT549" s="155"/>
      <c r="AU549" s="155"/>
      <c r="AV549" s="155"/>
      <c r="AW549" s="155"/>
      <c r="AX549" s="155"/>
      <c r="AY549" s="155"/>
      <c r="AZ549" s="155"/>
      <c r="BA549" s="155"/>
      <c r="BB549" s="155"/>
      <c r="BC549" s="155"/>
      <c r="BD549" s="155"/>
      <c r="BE549" s="155"/>
      <c r="BF549" s="155"/>
      <c r="BG549" s="155"/>
      <c r="BH549" s="155"/>
      <c r="BI549" s="155"/>
      <c r="BJ549" s="155"/>
      <c r="BK549" s="155"/>
      <c r="BL549" s="155"/>
      <c r="BM549" s="155"/>
      <c r="BN549" s="155"/>
      <c r="BO549" s="155"/>
      <c r="BP549" s="155"/>
      <c r="BQ549" s="155"/>
      <c r="BR549" s="155"/>
      <c r="BS549" s="155"/>
      <c r="BT549" s="155"/>
      <c r="BU549" s="155"/>
      <c r="BV549" s="155"/>
      <c r="BW549" s="155"/>
      <c r="BX549" s="155"/>
      <c r="BY549" s="155"/>
      <c r="BZ549" s="155"/>
      <c r="CA549" s="155"/>
      <c r="CB549" s="155"/>
      <c r="CC549" s="155"/>
      <c r="CD549" s="155"/>
      <c r="CE549" s="155"/>
      <c r="CF549" s="155"/>
      <c r="CG549" s="155"/>
    </row>
    <row r="550" spans="1:85" ht="12.75" x14ac:dyDescent="0.2">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c r="AA550" s="155"/>
      <c r="AB550" s="155"/>
      <c r="AC550" s="155"/>
      <c r="AD550" s="155"/>
      <c r="AE550" s="155"/>
      <c r="AF550" s="155"/>
      <c r="AG550" s="155"/>
      <c r="AH550" s="155"/>
      <c r="AI550" s="155"/>
      <c r="AJ550" s="155"/>
      <c r="AK550" s="155"/>
      <c r="AL550" s="155"/>
      <c r="AM550" s="155"/>
      <c r="AN550" s="155"/>
      <c r="AO550" s="155"/>
      <c r="AP550" s="155"/>
      <c r="AQ550" s="155"/>
      <c r="AR550" s="155"/>
      <c r="AS550" s="155"/>
      <c r="AT550" s="155"/>
      <c r="AU550" s="155"/>
      <c r="AV550" s="155"/>
      <c r="AW550" s="155"/>
      <c r="AX550" s="155"/>
      <c r="AY550" s="155"/>
      <c r="AZ550" s="155"/>
      <c r="BA550" s="155"/>
      <c r="BB550" s="155"/>
      <c r="BC550" s="155"/>
      <c r="BD550" s="155"/>
      <c r="BE550" s="155"/>
      <c r="BF550" s="155"/>
      <c r="BG550" s="155"/>
      <c r="BH550" s="155"/>
      <c r="BI550" s="155"/>
      <c r="BJ550" s="155"/>
      <c r="BK550" s="155"/>
      <c r="BL550" s="155"/>
      <c r="BM550" s="155"/>
      <c r="BN550" s="155"/>
      <c r="BO550" s="155"/>
      <c r="BP550" s="155"/>
      <c r="BQ550" s="155"/>
      <c r="BR550" s="155"/>
      <c r="BS550" s="155"/>
      <c r="BT550" s="155"/>
      <c r="BU550" s="155"/>
      <c r="BV550" s="155"/>
      <c r="BW550" s="155"/>
      <c r="BX550" s="155"/>
      <c r="BY550" s="155"/>
      <c r="BZ550" s="155"/>
      <c r="CA550" s="155"/>
      <c r="CB550" s="155"/>
      <c r="CC550" s="155"/>
      <c r="CD550" s="155"/>
      <c r="CE550" s="155"/>
      <c r="CF550" s="155"/>
      <c r="CG550" s="155"/>
    </row>
    <row r="551" spans="1:85" ht="12.75" x14ac:dyDescent="0.2">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c r="AA551" s="155"/>
      <c r="AB551" s="155"/>
      <c r="AC551" s="155"/>
      <c r="AD551" s="155"/>
      <c r="AE551" s="155"/>
      <c r="AF551" s="155"/>
      <c r="AG551" s="155"/>
      <c r="AH551" s="155"/>
      <c r="AI551" s="155"/>
      <c r="AJ551" s="155"/>
      <c r="AK551" s="155"/>
      <c r="AL551" s="155"/>
      <c r="AM551" s="155"/>
      <c r="AN551" s="155"/>
      <c r="AO551" s="155"/>
      <c r="AP551" s="155"/>
      <c r="AQ551" s="155"/>
      <c r="AR551" s="155"/>
      <c r="AS551" s="155"/>
      <c r="AT551" s="155"/>
      <c r="AU551" s="155"/>
      <c r="AV551" s="155"/>
      <c r="AW551" s="155"/>
      <c r="AX551" s="155"/>
      <c r="AY551" s="155"/>
      <c r="AZ551" s="155"/>
      <c r="BA551" s="155"/>
      <c r="BB551" s="155"/>
      <c r="BC551" s="155"/>
      <c r="BD551" s="155"/>
      <c r="BE551" s="155"/>
      <c r="BF551" s="155"/>
      <c r="BG551" s="155"/>
      <c r="BH551" s="155"/>
      <c r="BI551" s="155"/>
      <c r="BJ551" s="155"/>
      <c r="BK551" s="155"/>
      <c r="BL551" s="155"/>
      <c r="BM551" s="155"/>
      <c r="BN551" s="155"/>
      <c r="BO551" s="155"/>
      <c r="BP551" s="155"/>
      <c r="BQ551" s="155"/>
      <c r="BR551" s="155"/>
      <c r="BS551" s="155"/>
      <c r="BT551" s="155"/>
      <c r="BU551" s="155"/>
      <c r="BV551" s="155"/>
      <c r="BW551" s="155"/>
      <c r="BX551" s="155"/>
      <c r="BY551" s="155"/>
      <c r="BZ551" s="155"/>
      <c r="CA551" s="155"/>
      <c r="CB551" s="155"/>
      <c r="CC551" s="155"/>
      <c r="CD551" s="155"/>
      <c r="CE551" s="155"/>
      <c r="CF551" s="155"/>
      <c r="CG551" s="155"/>
    </row>
    <row r="552" spans="1:85" ht="12.75" x14ac:dyDescent="0.2">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c r="AA552" s="155"/>
      <c r="AB552" s="155"/>
      <c r="AC552" s="155"/>
      <c r="AD552" s="155"/>
      <c r="AE552" s="155"/>
      <c r="AF552" s="155"/>
      <c r="AG552" s="155"/>
      <c r="AH552" s="155"/>
      <c r="AI552" s="155"/>
      <c r="AJ552" s="155"/>
      <c r="AK552" s="155"/>
      <c r="AL552" s="155"/>
      <c r="AM552" s="155"/>
      <c r="AN552" s="155"/>
      <c r="AO552" s="155"/>
      <c r="AP552" s="155"/>
      <c r="AQ552" s="155"/>
      <c r="AR552" s="155"/>
      <c r="AS552" s="155"/>
      <c r="AT552" s="155"/>
      <c r="AU552" s="155"/>
      <c r="AV552" s="155"/>
      <c r="AW552" s="155"/>
      <c r="AX552" s="155"/>
      <c r="AY552" s="155"/>
      <c r="AZ552" s="155"/>
      <c r="BA552" s="155"/>
      <c r="BB552" s="155"/>
      <c r="BC552" s="155"/>
      <c r="BD552" s="155"/>
      <c r="BE552" s="155"/>
      <c r="BF552" s="155"/>
      <c r="BG552" s="155"/>
      <c r="BH552" s="155"/>
      <c r="BI552" s="155"/>
      <c r="BJ552" s="155"/>
      <c r="BK552" s="155"/>
      <c r="BL552" s="155"/>
      <c r="BM552" s="155"/>
      <c r="BN552" s="155"/>
      <c r="BO552" s="155"/>
      <c r="BP552" s="155"/>
      <c r="BQ552" s="155"/>
      <c r="BR552" s="155"/>
      <c r="BS552" s="155"/>
      <c r="BT552" s="155"/>
      <c r="BU552" s="155"/>
      <c r="BV552" s="155"/>
      <c r="BW552" s="155"/>
      <c r="BX552" s="155"/>
      <c r="BY552" s="155"/>
      <c r="BZ552" s="155"/>
      <c r="CA552" s="155"/>
      <c r="CB552" s="155"/>
      <c r="CC552" s="155"/>
      <c r="CD552" s="155"/>
      <c r="CE552" s="155"/>
      <c r="CF552" s="155"/>
      <c r="CG552" s="155"/>
    </row>
    <row r="553" spans="1:85" ht="12.75" x14ac:dyDescent="0.2">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c r="AA553" s="155"/>
      <c r="AB553" s="155"/>
      <c r="AC553" s="155"/>
      <c r="AD553" s="155"/>
      <c r="AE553" s="155"/>
      <c r="AF553" s="155"/>
      <c r="AG553" s="155"/>
      <c r="AH553" s="155"/>
      <c r="AI553" s="155"/>
      <c r="AJ553" s="155"/>
      <c r="AK553" s="155"/>
      <c r="AL553" s="155"/>
      <c r="AM553" s="155"/>
      <c r="AN553" s="155"/>
      <c r="AO553" s="155"/>
      <c r="AP553" s="155"/>
      <c r="AQ553" s="155"/>
      <c r="AR553" s="155"/>
      <c r="AS553" s="155"/>
      <c r="AT553" s="155"/>
      <c r="AU553" s="155"/>
      <c r="AV553" s="155"/>
      <c r="AW553" s="155"/>
      <c r="AX553" s="155"/>
      <c r="AY553" s="155"/>
      <c r="AZ553" s="155"/>
      <c r="BA553" s="155"/>
      <c r="BB553" s="155"/>
      <c r="BC553" s="155"/>
      <c r="BD553" s="155"/>
      <c r="BE553" s="155"/>
      <c r="BF553" s="155"/>
      <c r="BG553" s="155"/>
      <c r="BH553" s="155"/>
      <c r="BI553" s="155"/>
      <c r="BJ553" s="155"/>
      <c r="BK553" s="155"/>
      <c r="BL553" s="155"/>
      <c r="BM553" s="155"/>
      <c r="BN553" s="155"/>
      <c r="BO553" s="155"/>
      <c r="BP553" s="155"/>
      <c r="BQ553" s="155"/>
      <c r="BR553" s="155"/>
      <c r="BS553" s="155"/>
      <c r="BT553" s="155"/>
      <c r="BU553" s="155"/>
      <c r="BV553" s="155"/>
      <c r="BW553" s="155"/>
      <c r="BX553" s="155"/>
      <c r="BY553" s="155"/>
      <c r="BZ553" s="155"/>
      <c r="CA553" s="155"/>
      <c r="CB553" s="155"/>
      <c r="CC553" s="155"/>
      <c r="CD553" s="155"/>
      <c r="CE553" s="155"/>
      <c r="CF553" s="155"/>
      <c r="CG553" s="155"/>
    </row>
    <row r="554" spans="1:85" ht="12.75" x14ac:dyDescent="0.2">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c r="AA554" s="155"/>
      <c r="AB554" s="155"/>
      <c r="AC554" s="155"/>
      <c r="AD554" s="155"/>
      <c r="AE554" s="155"/>
      <c r="AF554" s="155"/>
      <c r="AG554" s="155"/>
      <c r="AH554" s="155"/>
      <c r="AI554" s="155"/>
      <c r="AJ554" s="155"/>
      <c r="AK554" s="155"/>
      <c r="AL554" s="155"/>
      <c r="AM554" s="155"/>
      <c r="AN554" s="155"/>
      <c r="AO554" s="155"/>
      <c r="AP554" s="155"/>
      <c r="AQ554" s="155"/>
      <c r="AR554" s="155"/>
      <c r="AS554" s="155"/>
      <c r="AT554" s="155"/>
      <c r="AU554" s="155"/>
      <c r="AV554" s="155"/>
      <c r="AW554" s="155"/>
      <c r="AX554" s="155"/>
      <c r="AY554" s="155"/>
      <c r="AZ554" s="155"/>
      <c r="BA554" s="155"/>
      <c r="BB554" s="155"/>
      <c r="BC554" s="155"/>
      <c r="BD554" s="155"/>
      <c r="BE554" s="155"/>
      <c r="BF554" s="155"/>
      <c r="BG554" s="155"/>
      <c r="BH554" s="155"/>
      <c r="BI554" s="155"/>
      <c r="BJ554" s="155"/>
      <c r="BK554" s="155"/>
      <c r="BL554" s="155"/>
      <c r="BM554" s="155"/>
      <c r="BN554" s="155"/>
      <c r="BO554" s="155"/>
      <c r="BP554" s="155"/>
      <c r="BQ554" s="155"/>
      <c r="BR554" s="155"/>
      <c r="BS554" s="155"/>
      <c r="BT554" s="155"/>
      <c r="BU554" s="155"/>
      <c r="BV554" s="155"/>
      <c r="BW554" s="155"/>
      <c r="BX554" s="155"/>
      <c r="BY554" s="155"/>
      <c r="BZ554" s="155"/>
      <c r="CA554" s="155"/>
      <c r="CB554" s="155"/>
      <c r="CC554" s="155"/>
      <c r="CD554" s="155"/>
      <c r="CE554" s="155"/>
      <c r="CF554" s="155"/>
      <c r="CG554" s="155"/>
    </row>
    <row r="555" spans="1:85" ht="12.75" x14ac:dyDescent="0.2">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c r="AA555" s="155"/>
      <c r="AB555" s="155"/>
      <c r="AC555" s="155"/>
      <c r="AD555" s="155"/>
      <c r="AE555" s="155"/>
      <c r="AF555" s="155"/>
      <c r="AG555" s="155"/>
      <c r="AH555" s="155"/>
      <c r="AI555" s="155"/>
      <c r="AJ555" s="155"/>
      <c r="AK555" s="155"/>
      <c r="AL555" s="155"/>
      <c r="AM555" s="155"/>
      <c r="AN555" s="155"/>
      <c r="AO555" s="155"/>
      <c r="AP555" s="155"/>
      <c r="AQ555" s="155"/>
      <c r="AR555" s="155"/>
      <c r="AS555" s="155"/>
      <c r="AT555" s="155"/>
      <c r="AU555" s="155"/>
      <c r="AV555" s="155"/>
      <c r="AW555" s="155"/>
      <c r="AX555" s="155"/>
      <c r="AY555" s="155"/>
      <c r="AZ555" s="155"/>
      <c r="BA555" s="155"/>
      <c r="BB555" s="155"/>
      <c r="BC555" s="155"/>
      <c r="BD555" s="155"/>
      <c r="BE555" s="155"/>
      <c r="BF555" s="155"/>
      <c r="BG555" s="155"/>
      <c r="BH555" s="155"/>
      <c r="BI555" s="155"/>
      <c r="BJ555" s="155"/>
      <c r="BK555" s="155"/>
      <c r="BL555" s="155"/>
      <c r="BM555" s="155"/>
      <c r="BN555" s="155"/>
      <c r="BO555" s="155"/>
      <c r="BP555" s="155"/>
      <c r="BQ555" s="155"/>
      <c r="BR555" s="155"/>
      <c r="BS555" s="155"/>
      <c r="BT555" s="155"/>
      <c r="BU555" s="155"/>
      <c r="BV555" s="155"/>
      <c r="BW555" s="155"/>
      <c r="BX555" s="155"/>
      <c r="BY555" s="155"/>
      <c r="BZ555" s="155"/>
      <c r="CA555" s="155"/>
      <c r="CB555" s="155"/>
      <c r="CC555" s="155"/>
      <c r="CD555" s="155"/>
      <c r="CE555" s="155"/>
      <c r="CF555" s="155"/>
      <c r="CG555" s="155"/>
    </row>
    <row r="556" spans="1:85" ht="12.75" x14ac:dyDescent="0.2">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c r="AA556" s="155"/>
      <c r="AB556" s="155"/>
      <c r="AC556" s="155"/>
      <c r="AD556" s="155"/>
      <c r="AE556" s="155"/>
      <c r="AF556" s="155"/>
      <c r="AG556" s="155"/>
      <c r="AH556" s="155"/>
      <c r="AI556" s="155"/>
      <c r="AJ556" s="155"/>
      <c r="AK556" s="155"/>
      <c r="AL556" s="155"/>
      <c r="AM556" s="155"/>
      <c r="AN556" s="155"/>
      <c r="AO556" s="155"/>
      <c r="AP556" s="155"/>
      <c r="AQ556" s="155"/>
      <c r="AR556" s="155"/>
      <c r="AS556" s="155"/>
      <c r="AT556" s="155"/>
      <c r="AU556" s="155"/>
      <c r="AV556" s="155"/>
      <c r="AW556" s="155"/>
      <c r="AX556" s="155"/>
      <c r="AY556" s="155"/>
      <c r="AZ556" s="155"/>
      <c r="BA556" s="155"/>
      <c r="BB556" s="155"/>
      <c r="BC556" s="155"/>
      <c r="BD556" s="155"/>
      <c r="BE556" s="155"/>
      <c r="BF556" s="155"/>
      <c r="BG556" s="155"/>
      <c r="BH556" s="155"/>
      <c r="BI556" s="155"/>
      <c r="BJ556" s="155"/>
      <c r="BK556" s="155"/>
      <c r="BL556" s="155"/>
      <c r="BM556" s="155"/>
      <c r="BN556" s="155"/>
      <c r="BO556" s="155"/>
      <c r="BP556" s="155"/>
      <c r="BQ556" s="155"/>
      <c r="BR556" s="155"/>
      <c r="BS556" s="155"/>
      <c r="BT556" s="155"/>
      <c r="BU556" s="155"/>
      <c r="BV556" s="155"/>
      <c r="BW556" s="155"/>
      <c r="BX556" s="155"/>
      <c r="BY556" s="155"/>
      <c r="BZ556" s="155"/>
      <c r="CA556" s="155"/>
      <c r="CB556" s="155"/>
      <c r="CC556" s="155"/>
      <c r="CD556" s="155"/>
      <c r="CE556" s="155"/>
      <c r="CF556" s="155"/>
      <c r="CG556" s="155"/>
    </row>
    <row r="557" spans="1:85" ht="12.75" x14ac:dyDescent="0.2">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row>
    <row r="558" spans="1:85" ht="12.75" x14ac:dyDescent="0.2">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c r="AA558" s="155"/>
      <c r="AB558" s="155"/>
      <c r="AC558" s="155"/>
      <c r="AD558" s="155"/>
      <c r="AE558" s="155"/>
      <c r="AF558" s="155"/>
      <c r="AG558" s="155"/>
      <c r="AH558" s="155"/>
      <c r="AI558" s="155"/>
      <c r="AJ558" s="155"/>
      <c r="AK558" s="155"/>
      <c r="AL558" s="155"/>
      <c r="AM558" s="155"/>
      <c r="AN558" s="155"/>
      <c r="AO558" s="155"/>
      <c r="AP558" s="155"/>
      <c r="AQ558" s="155"/>
      <c r="AR558" s="155"/>
      <c r="AS558" s="155"/>
      <c r="AT558" s="155"/>
      <c r="AU558" s="155"/>
      <c r="AV558" s="155"/>
      <c r="AW558" s="155"/>
      <c r="AX558" s="155"/>
      <c r="AY558" s="155"/>
      <c r="AZ558" s="155"/>
      <c r="BA558" s="155"/>
      <c r="BB558" s="155"/>
      <c r="BC558" s="155"/>
      <c r="BD558" s="155"/>
      <c r="BE558" s="155"/>
      <c r="BF558" s="155"/>
      <c r="BG558" s="155"/>
      <c r="BH558" s="155"/>
      <c r="BI558" s="155"/>
      <c r="BJ558" s="155"/>
      <c r="BK558" s="155"/>
      <c r="BL558" s="155"/>
      <c r="BM558" s="155"/>
      <c r="BN558" s="155"/>
      <c r="BO558" s="155"/>
      <c r="BP558" s="155"/>
      <c r="BQ558" s="155"/>
      <c r="BR558" s="155"/>
      <c r="BS558" s="155"/>
      <c r="BT558" s="155"/>
      <c r="BU558" s="155"/>
      <c r="BV558" s="155"/>
      <c r="BW558" s="155"/>
      <c r="BX558" s="155"/>
      <c r="BY558" s="155"/>
      <c r="BZ558" s="155"/>
      <c r="CA558" s="155"/>
      <c r="CB558" s="155"/>
      <c r="CC558" s="155"/>
      <c r="CD558" s="155"/>
      <c r="CE558" s="155"/>
      <c r="CF558" s="155"/>
      <c r="CG558" s="155"/>
    </row>
    <row r="559" spans="1:85" ht="12.75" x14ac:dyDescent="0.2">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c r="AA559" s="155"/>
      <c r="AB559" s="155"/>
      <c r="AC559" s="155"/>
      <c r="AD559" s="155"/>
      <c r="AE559" s="155"/>
      <c r="AF559" s="155"/>
      <c r="AG559" s="155"/>
      <c r="AH559" s="155"/>
      <c r="AI559" s="155"/>
      <c r="AJ559" s="155"/>
      <c r="AK559" s="155"/>
      <c r="AL559" s="155"/>
      <c r="AM559" s="155"/>
      <c r="AN559" s="155"/>
      <c r="AO559" s="155"/>
      <c r="AP559" s="155"/>
      <c r="AQ559" s="155"/>
      <c r="AR559" s="155"/>
      <c r="AS559" s="155"/>
      <c r="AT559" s="155"/>
      <c r="AU559" s="155"/>
      <c r="AV559" s="155"/>
      <c r="AW559" s="155"/>
      <c r="AX559" s="155"/>
      <c r="AY559" s="155"/>
      <c r="AZ559" s="155"/>
      <c r="BA559" s="155"/>
      <c r="BB559" s="155"/>
      <c r="BC559" s="155"/>
      <c r="BD559" s="155"/>
      <c r="BE559" s="155"/>
      <c r="BF559" s="155"/>
      <c r="BG559" s="155"/>
      <c r="BH559" s="155"/>
      <c r="BI559" s="155"/>
      <c r="BJ559" s="155"/>
      <c r="BK559" s="155"/>
      <c r="BL559" s="155"/>
      <c r="BM559" s="155"/>
      <c r="BN559" s="155"/>
      <c r="BO559" s="155"/>
      <c r="BP559" s="155"/>
      <c r="BQ559" s="155"/>
      <c r="BR559" s="155"/>
      <c r="BS559" s="155"/>
      <c r="BT559" s="155"/>
      <c r="BU559" s="155"/>
      <c r="BV559" s="155"/>
      <c r="BW559" s="155"/>
      <c r="BX559" s="155"/>
      <c r="BY559" s="155"/>
      <c r="BZ559" s="155"/>
      <c r="CA559" s="155"/>
      <c r="CB559" s="155"/>
      <c r="CC559" s="155"/>
      <c r="CD559" s="155"/>
      <c r="CE559" s="155"/>
      <c r="CF559" s="155"/>
      <c r="CG559" s="155"/>
    </row>
    <row r="560" spans="1:85" ht="12.75" x14ac:dyDescent="0.2">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c r="AA560" s="155"/>
      <c r="AB560" s="155"/>
      <c r="AC560" s="155"/>
      <c r="AD560" s="155"/>
      <c r="AE560" s="155"/>
      <c r="AF560" s="155"/>
      <c r="AG560" s="155"/>
      <c r="AH560" s="155"/>
      <c r="AI560" s="155"/>
      <c r="AJ560" s="155"/>
      <c r="AK560" s="155"/>
      <c r="AL560" s="155"/>
      <c r="AM560" s="155"/>
      <c r="AN560" s="155"/>
      <c r="AO560" s="155"/>
      <c r="AP560" s="155"/>
      <c r="AQ560" s="155"/>
      <c r="AR560" s="155"/>
      <c r="AS560" s="155"/>
      <c r="AT560" s="155"/>
      <c r="AU560" s="155"/>
      <c r="AV560" s="155"/>
      <c r="AW560" s="155"/>
      <c r="AX560" s="155"/>
      <c r="AY560" s="155"/>
      <c r="AZ560" s="155"/>
      <c r="BA560" s="155"/>
      <c r="BB560" s="155"/>
      <c r="BC560" s="155"/>
      <c r="BD560" s="155"/>
      <c r="BE560" s="155"/>
      <c r="BF560" s="155"/>
      <c r="BG560" s="155"/>
      <c r="BH560" s="155"/>
      <c r="BI560" s="155"/>
      <c r="BJ560" s="155"/>
      <c r="BK560" s="155"/>
      <c r="BL560" s="155"/>
      <c r="BM560" s="155"/>
      <c r="BN560" s="155"/>
      <c r="BO560" s="155"/>
      <c r="BP560" s="155"/>
      <c r="BQ560" s="155"/>
      <c r="BR560" s="155"/>
      <c r="BS560" s="155"/>
      <c r="BT560" s="155"/>
      <c r="BU560" s="155"/>
      <c r="BV560" s="155"/>
      <c r="BW560" s="155"/>
      <c r="BX560" s="155"/>
      <c r="BY560" s="155"/>
      <c r="BZ560" s="155"/>
      <c r="CA560" s="155"/>
      <c r="CB560" s="155"/>
      <c r="CC560" s="155"/>
      <c r="CD560" s="155"/>
      <c r="CE560" s="155"/>
      <c r="CF560" s="155"/>
      <c r="CG560" s="155"/>
    </row>
    <row r="561" spans="1:85" ht="12.75" x14ac:dyDescent="0.2">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c r="AA561" s="155"/>
      <c r="AB561" s="155"/>
      <c r="AC561" s="155"/>
      <c r="AD561" s="155"/>
      <c r="AE561" s="155"/>
      <c r="AF561" s="155"/>
      <c r="AG561" s="155"/>
      <c r="AH561" s="155"/>
      <c r="AI561" s="155"/>
      <c r="AJ561" s="155"/>
      <c r="AK561" s="155"/>
      <c r="AL561" s="155"/>
      <c r="AM561" s="155"/>
      <c r="AN561" s="155"/>
      <c r="AO561" s="155"/>
      <c r="AP561" s="155"/>
      <c r="AQ561" s="155"/>
      <c r="AR561" s="155"/>
      <c r="AS561" s="155"/>
      <c r="AT561" s="155"/>
      <c r="AU561" s="155"/>
      <c r="AV561" s="155"/>
      <c r="AW561" s="155"/>
      <c r="AX561" s="155"/>
      <c r="AY561" s="155"/>
      <c r="AZ561" s="155"/>
      <c r="BA561" s="155"/>
      <c r="BB561" s="155"/>
      <c r="BC561" s="155"/>
      <c r="BD561" s="155"/>
      <c r="BE561" s="155"/>
      <c r="BF561" s="155"/>
      <c r="BG561" s="155"/>
      <c r="BH561" s="155"/>
      <c r="BI561" s="155"/>
      <c r="BJ561" s="155"/>
      <c r="BK561" s="155"/>
      <c r="BL561" s="155"/>
      <c r="BM561" s="155"/>
      <c r="BN561" s="155"/>
      <c r="BO561" s="155"/>
      <c r="BP561" s="155"/>
      <c r="BQ561" s="155"/>
      <c r="BR561" s="155"/>
      <c r="BS561" s="155"/>
      <c r="BT561" s="155"/>
      <c r="BU561" s="155"/>
      <c r="BV561" s="155"/>
      <c r="BW561" s="155"/>
      <c r="BX561" s="155"/>
      <c r="BY561" s="155"/>
      <c r="BZ561" s="155"/>
      <c r="CA561" s="155"/>
      <c r="CB561" s="155"/>
      <c r="CC561" s="155"/>
      <c r="CD561" s="155"/>
      <c r="CE561" s="155"/>
      <c r="CF561" s="155"/>
      <c r="CG561" s="155"/>
    </row>
    <row r="562" spans="1:85" ht="12.75" x14ac:dyDescent="0.2">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c r="AA562" s="155"/>
      <c r="AB562" s="155"/>
      <c r="AC562" s="155"/>
      <c r="AD562" s="155"/>
      <c r="AE562" s="155"/>
      <c r="AF562" s="155"/>
      <c r="AG562" s="155"/>
      <c r="AH562" s="155"/>
      <c r="AI562" s="155"/>
      <c r="AJ562" s="155"/>
      <c r="AK562" s="155"/>
      <c r="AL562" s="155"/>
      <c r="AM562" s="155"/>
      <c r="AN562" s="155"/>
      <c r="AO562" s="155"/>
      <c r="AP562" s="155"/>
      <c r="AQ562" s="155"/>
      <c r="AR562" s="155"/>
      <c r="AS562" s="155"/>
      <c r="AT562" s="155"/>
      <c r="AU562" s="155"/>
      <c r="AV562" s="155"/>
      <c r="AW562" s="155"/>
      <c r="AX562" s="155"/>
      <c r="AY562" s="155"/>
      <c r="AZ562" s="155"/>
      <c r="BA562" s="155"/>
      <c r="BB562" s="155"/>
      <c r="BC562" s="155"/>
      <c r="BD562" s="155"/>
      <c r="BE562" s="155"/>
      <c r="BF562" s="155"/>
      <c r="BG562" s="155"/>
      <c r="BH562" s="155"/>
      <c r="BI562" s="155"/>
      <c r="BJ562" s="155"/>
      <c r="BK562" s="155"/>
      <c r="BL562" s="155"/>
      <c r="BM562" s="155"/>
      <c r="BN562" s="155"/>
      <c r="BO562" s="155"/>
      <c r="BP562" s="155"/>
      <c r="BQ562" s="155"/>
      <c r="BR562" s="155"/>
      <c r="BS562" s="155"/>
      <c r="BT562" s="155"/>
      <c r="BU562" s="155"/>
      <c r="BV562" s="155"/>
      <c r="BW562" s="155"/>
      <c r="BX562" s="155"/>
      <c r="BY562" s="155"/>
      <c r="BZ562" s="155"/>
      <c r="CA562" s="155"/>
      <c r="CB562" s="155"/>
      <c r="CC562" s="155"/>
      <c r="CD562" s="155"/>
      <c r="CE562" s="155"/>
      <c r="CF562" s="155"/>
      <c r="CG562" s="155"/>
    </row>
    <row r="563" spans="1:85" ht="12.75" x14ac:dyDescent="0.2">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c r="AA563" s="155"/>
      <c r="AB563" s="155"/>
      <c r="AC563" s="155"/>
      <c r="AD563" s="155"/>
      <c r="AE563" s="155"/>
      <c r="AF563" s="155"/>
      <c r="AG563" s="155"/>
      <c r="AH563" s="155"/>
      <c r="AI563" s="155"/>
      <c r="AJ563" s="155"/>
      <c r="AK563" s="155"/>
      <c r="AL563" s="155"/>
      <c r="AM563" s="155"/>
      <c r="AN563" s="155"/>
      <c r="AO563" s="155"/>
      <c r="AP563" s="155"/>
      <c r="AQ563" s="155"/>
      <c r="AR563" s="155"/>
      <c r="AS563" s="155"/>
      <c r="AT563" s="155"/>
      <c r="AU563" s="155"/>
      <c r="AV563" s="155"/>
      <c r="AW563" s="155"/>
      <c r="AX563" s="155"/>
      <c r="AY563" s="155"/>
      <c r="AZ563" s="155"/>
      <c r="BA563" s="155"/>
      <c r="BB563" s="155"/>
      <c r="BC563" s="155"/>
      <c r="BD563" s="155"/>
      <c r="BE563" s="155"/>
      <c r="BF563" s="155"/>
      <c r="BG563" s="155"/>
      <c r="BH563" s="155"/>
      <c r="BI563" s="155"/>
      <c r="BJ563" s="155"/>
      <c r="BK563" s="155"/>
      <c r="BL563" s="155"/>
      <c r="BM563" s="155"/>
      <c r="BN563" s="155"/>
      <c r="BO563" s="155"/>
      <c r="BP563" s="155"/>
      <c r="BQ563" s="155"/>
      <c r="BR563" s="155"/>
      <c r="BS563" s="155"/>
      <c r="BT563" s="155"/>
      <c r="BU563" s="155"/>
      <c r="BV563" s="155"/>
      <c r="BW563" s="155"/>
      <c r="BX563" s="155"/>
      <c r="BY563" s="155"/>
      <c r="BZ563" s="155"/>
      <c r="CA563" s="155"/>
      <c r="CB563" s="155"/>
      <c r="CC563" s="155"/>
      <c r="CD563" s="155"/>
      <c r="CE563" s="155"/>
      <c r="CF563" s="155"/>
      <c r="CG563" s="155"/>
    </row>
    <row r="564" spans="1:85" ht="12.75" x14ac:dyDescent="0.2">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c r="AA564" s="155"/>
      <c r="AB564" s="155"/>
      <c r="AC564" s="155"/>
      <c r="AD564" s="155"/>
      <c r="AE564" s="155"/>
      <c r="AF564" s="155"/>
      <c r="AG564" s="155"/>
      <c r="AH564" s="155"/>
      <c r="AI564" s="155"/>
      <c r="AJ564" s="155"/>
      <c r="AK564" s="155"/>
      <c r="AL564" s="155"/>
      <c r="AM564" s="155"/>
      <c r="AN564" s="155"/>
      <c r="AO564" s="155"/>
      <c r="AP564" s="155"/>
      <c r="AQ564" s="155"/>
      <c r="AR564" s="155"/>
      <c r="AS564" s="155"/>
      <c r="AT564" s="155"/>
      <c r="AU564" s="155"/>
      <c r="AV564" s="155"/>
      <c r="AW564" s="155"/>
      <c r="AX564" s="155"/>
      <c r="AY564" s="155"/>
      <c r="AZ564" s="155"/>
      <c r="BA564" s="155"/>
      <c r="BB564" s="155"/>
      <c r="BC564" s="155"/>
      <c r="BD564" s="155"/>
      <c r="BE564" s="155"/>
      <c r="BF564" s="155"/>
      <c r="BG564" s="155"/>
      <c r="BH564" s="155"/>
      <c r="BI564" s="155"/>
      <c r="BJ564" s="155"/>
      <c r="BK564" s="155"/>
      <c r="BL564" s="155"/>
      <c r="BM564" s="155"/>
      <c r="BN564" s="155"/>
      <c r="BO564" s="155"/>
      <c r="BP564" s="155"/>
      <c r="BQ564" s="155"/>
      <c r="BR564" s="155"/>
      <c r="BS564" s="155"/>
      <c r="BT564" s="155"/>
      <c r="BU564" s="155"/>
      <c r="BV564" s="155"/>
      <c r="BW564" s="155"/>
      <c r="BX564" s="155"/>
      <c r="BY564" s="155"/>
      <c r="BZ564" s="155"/>
      <c r="CA564" s="155"/>
      <c r="CB564" s="155"/>
      <c r="CC564" s="155"/>
      <c r="CD564" s="155"/>
      <c r="CE564" s="155"/>
      <c r="CF564" s="155"/>
      <c r="CG564" s="155"/>
    </row>
    <row r="565" spans="1:85" ht="12.75" x14ac:dyDescent="0.2">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c r="AA565" s="155"/>
      <c r="AB565" s="155"/>
      <c r="AC565" s="155"/>
      <c r="AD565" s="155"/>
      <c r="AE565" s="155"/>
      <c r="AF565" s="155"/>
      <c r="AG565" s="155"/>
      <c r="AH565" s="155"/>
      <c r="AI565" s="155"/>
      <c r="AJ565" s="155"/>
      <c r="AK565" s="155"/>
      <c r="AL565" s="155"/>
      <c r="AM565" s="155"/>
      <c r="AN565" s="155"/>
      <c r="AO565" s="155"/>
      <c r="AP565" s="155"/>
      <c r="AQ565" s="155"/>
      <c r="AR565" s="155"/>
      <c r="AS565" s="155"/>
      <c r="AT565" s="155"/>
      <c r="AU565" s="155"/>
      <c r="AV565" s="155"/>
      <c r="AW565" s="155"/>
      <c r="AX565" s="155"/>
      <c r="AY565" s="155"/>
      <c r="AZ565" s="155"/>
      <c r="BA565" s="155"/>
      <c r="BB565" s="155"/>
      <c r="BC565" s="155"/>
      <c r="BD565" s="155"/>
      <c r="BE565" s="155"/>
      <c r="BF565" s="155"/>
      <c r="BG565" s="155"/>
      <c r="BH565" s="155"/>
      <c r="BI565" s="155"/>
      <c r="BJ565" s="155"/>
      <c r="BK565" s="155"/>
      <c r="BL565" s="155"/>
      <c r="BM565" s="155"/>
      <c r="BN565" s="155"/>
      <c r="BO565" s="155"/>
      <c r="BP565" s="155"/>
      <c r="BQ565" s="155"/>
      <c r="BR565" s="155"/>
      <c r="BS565" s="155"/>
      <c r="BT565" s="155"/>
      <c r="BU565" s="155"/>
      <c r="BV565" s="155"/>
      <c r="BW565" s="155"/>
      <c r="BX565" s="155"/>
      <c r="BY565" s="155"/>
      <c r="BZ565" s="155"/>
      <c r="CA565" s="155"/>
      <c r="CB565" s="155"/>
      <c r="CC565" s="155"/>
      <c r="CD565" s="155"/>
      <c r="CE565" s="155"/>
      <c r="CF565" s="155"/>
      <c r="CG565" s="155"/>
    </row>
    <row r="566" spans="1:85" ht="12.75" x14ac:dyDescent="0.2">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c r="AA566" s="155"/>
      <c r="AB566" s="155"/>
      <c r="AC566" s="155"/>
      <c r="AD566" s="155"/>
      <c r="AE566" s="155"/>
      <c r="AF566" s="155"/>
      <c r="AG566" s="155"/>
      <c r="AH566" s="155"/>
      <c r="AI566" s="155"/>
      <c r="AJ566" s="155"/>
      <c r="AK566" s="155"/>
      <c r="AL566" s="155"/>
      <c r="AM566" s="155"/>
      <c r="AN566" s="155"/>
      <c r="AO566" s="155"/>
      <c r="AP566" s="155"/>
      <c r="AQ566" s="155"/>
      <c r="AR566" s="155"/>
      <c r="AS566" s="155"/>
      <c r="AT566" s="155"/>
      <c r="AU566" s="155"/>
      <c r="AV566" s="155"/>
      <c r="AW566" s="155"/>
      <c r="AX566" s="155"/>
      <c r="AY566" s="155"/>
      <c r="AZ566" s="155"/>
      <c r="BA566" s="155"/>
      <c r="BB566" s="155"/>
      <c r="BC566" s="155"/>
      <c r="BD566" s="155"/>
      <c r="BE566" s="155"/>
      <c r="BF566" s="155"/>
      <c r="BG566" s="155"/>
      <c r="BH566" s="155"/>
      <c r="BI566" s="155"/>
      <c r="BJ566" s="155"/>
      <c r="BK566" s="155"/>
      <c r="BL566" s="155"/>
      <c r="BM566" s="155"/>
      <c r="BN566" s="155"/>
      <c r="BO566" s="155"/>
      <c r="BP566" s="155"/>
      <c r="BQ566" s="155"/>
      <c r="BR566" s="155"/>
      <c r="BS566" s="155"/>
      <c r="BT566" s="155"/>
      <c r="BU566" s="155"/>
      <c r="BV566" s="155"/>
      <c r="BW566" s="155"/>
      <c r="BX566" s="155"/>
      <c r="BY566" s="155"/>
      <c r="BZ566" s="155"/>
      <c r="CA566" s="155"/>
      <c r="CB566" s="155"/>
      <c r="CC566" s="155"/>
      <c r="CD566" s="155"/>
      <c r="CE566" s="155"/>
      <c r="CF566" s="155"/>
      <c r="CG566" s="155"/>
    </row>
    <row r="567" spans="1:85" ht="12.75" x14ac:dyDescent="0.2">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c r="AA567" s="155"/>
      <c r="AB567" s="155"/>
      <c r="AC567" s="155"/>
      <c r="AD567" s="155"/>
      <c r="AE567" s="155"/>
      <c r="AF567" s="155"/>
      <c r="AG567" s="155"/>
      <c r="AH567" s="155"/>
      <c r="AI567" s="155"/>
      <c r="AJ567" s="155"/>
      <c r="AK567" s="155"/>
      <c r="AL567" s="155"/>
      <c r="AM567" s="155"/>
      <c r="AN567" s="155"/>
      <c r="AO567" s="155"/>
      <c r="AP567" s="155"/>
      <c r="AQ567" s="155"/>
      <c r="AR567" s="155"/>
      <c r="AS567" s="155"/>
      <c r="AT567" s="155"/>
      <c r="AU567" s="155"/>
      <c r="AV567" s="155"/>
      <c r="AW567" s="155"/>
      <c r="AX567" s="155"/>
      <c r="AY567" s="155"/>
      <c r="AZ567" s="155"/>
      <c r="BA567" s="155"/>
      <c r="BB567" s="155"/>
      <c r="BC567" s="155"/>
      <c r="BD567" s="155"/>
      <c r="BE567" s="155"/>
      <c r="BF567" s="155"/>
      <c r="BG567" s="155"/>
      <c r="BH567" s="155"/>
      <c r="BI567" s="155"/>
      <c r="BJ567" s="155"/>
      <c r="BK567" s="155"/>
      <c r="BL567" s="155"/>
      <c r="BM567" s="155"/>
      <c r="BN567" s="155"/>
      <c r="BO567" s="155"/>
      <c r="BP567" s="155"/>
      <c r="BQ567" s="155"/>
      <c r="BR567" s="155"/>
      <c r="BS567" s="155"/>
      <c r="BT567" s="155"/>
      <c r="BU567" s="155"/>
      <c r="BV567" s="155"/>
      <c r="BW567" s="155"/>
      <c r="BX567" s="155"/>
      <c r="BY567" s="155"/>
      <c r="BZ567" s="155"/>
      <c r="CA567" s="155"/>
      <c r="CB567" s="155"/>
      <c r="CC567" s="155"/>
      <c r="CD567" s="155"/>
      <c r="CE567" s="155"/>
      <c r="CF567" s="155"/>
      <c r="CG567" s="155"/>
    </row>
    <row r="568" spans="1:85" ht="12.75" x14ac:dyDescent="0.2">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c r="AA568" s="155"/>
      <c r="AB568" s="155"/>
      <c r="AC568" s="155"/>
      <c r="AD568" s="155"/>
      <c r="AE568" s="155"/>
      <c r="AF568" s="155"/>
      <c r="AG568" s="155"/>
      <c r="AH568" s="155"/>
      <c r="AI568" s="155"/>
      <c r="AJ568" s="155"/>
      <c r="AK568" s="155"/>
      <c r="AL568" s="155"/>
      <c r="AM568" s="155"/>
      <c r="AN568" s="155"/>
      <c r="AO568" s="155"/>
      <c r="AP568" s="155"/>
      <c r="AQ568" s="155"/>
      <c r="AR568" s="155"/>
      <c r="AS568" s="155"/>
      <c r="AT568" s="155"/>
      <c r="AU568" s="155"/>
      <c r="AV568" s="155"/>
      <c r="AW568" s="155"/>
      <c r="AX568" s="155"/>
      <c r="AY568" s="155"/>
      <c r="AZ568" s="155"/>
      <c r="BA568" s="155"/>
      <c r="BB568" s="155"/>
      <c r="BC568" s="155"/>
      <c r="BD568" s="155"/>
      <c r="BE568" s="155"/>
      <c r="BF568" s="155"/>
      <c r="BG568" s="155"/>
      <c r="BH568" s="155"/>
      <c r="BI568" s="155"/>
      <c r="BJ568" s="155"/>
      <c r="BK568" s="155"/>
      <c r="BL568" s="155"/>
      <c r="BM568" s="155"/>
      <c r="BN568" s="155"/>
      <c r="BO568" s="155"/>
      <c r="BP568" s="155"/>
      <c r="BQ568" s="155"/>
      <c r="BR568" s="155"/>
      <c r="BS568" s="155"/>
      <c r="BT568" s="155"/>
      <c r="BU568" s="155"/>
      <c r="BV568" s="155"/>
      <c r="BW568" s="155"/>
      <c r="BX568" s="155"/>
      <c r="BY568" s="155"/>
      <c r="BZ568" s="155"/>
      <c r="CA568" s="155"/>
      <c r="CB568" s="155"/>
      <c r="CC568" s="155"/>
      <c r="CD568" s="155"/>
      <c r="CE568" s="155"/>
      <c r="CF568" s="155"/>
      <c r="CG568" s="155"/>
    </row>
    <row r="569" spans="1:85" ht="12.75" x14ac:dyDescent="0.2">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c r="AA569" s="155"/>
      <c r="AB569" s="155"/>
      <c r="AC569" s="155"/>
      <c r="AD569" s="155"/>
      <c r="AE569" s="155"/>
      <c r="AF569" s="155"/>
      <c r="AG569" s="155"/>
      <c r="AH569" s="155"/>
      <c r="AI569" s="155"/>
      <c r="AJ569" s="155"/>
      <c r="AK569" s="155"/>
      <c r="AL569" s="155"/>
      <c r="AM569" s="155"/>
      <c r="AN569" s="155"/>
      <c r="AO569" s="155"/>
      <c r="AP569" s="155"/>
      <c r="AQ569" s="155"/>
      <c r="AR569" s="155"/>
      <c r="AS569" s="155"/>
      <c r="AT569" s="155"/>
      <c r="AU569" s="155"/>
      <c r="AV569" s="155"/>
      <c r="AW569" s="155"/>
      <c r="AX569" s="155"/>
      <c r="AY569" s="155"/>
      <c r="AZ569" s="155"/>
      <c r="BA569" s="155"/>
      <c r="BB569" s="155"/>
      <c r="BC569" s="155"/>
      <c r="BD569" s="155"/>
      <c r="BE569" s="155"/>
      <c r="BF569" s="155"/>
      <c r="BG569" s="155"/>
      <c r="BH569" s="155"/>
      <c r="BI569" s="155"/>
      <c r="BJ569" s="155"/>
      <c r="BK569" s="155"/>
      <c r="BL569" s="155"/>
      <c r="BM569" s="155"/>
      <c r="BN569" s="155"/>
      <c r="BO569" s="155"/>
      <c r="BP569" s="155"/>
      <c r="BQ569" s="155"/>
      <c r="BR569" s="155"/>
      <c r="BS569" s="155"/>
      <c r="BT569" s="155"/>
      <c r="BU569" s="155"/>
      <c r="BV569" s="155"/>
      <c r="BW569" s="155"/>
      <c r="BX569" s="155"/>
      <c r="BY569" s="155"/>
      <c r="BZ569" s="155"/>
      <c r="CA569" s="155"/>
      <c r="CB569" s="155"/>
      <c r="CC569" s="155"/>
      <c r="CD569" s="155"/>
      <c r="CE569" s="155"/>
      <c r="CF569" s="155"/>
      <c r="CG569" s="155"/>
    </row>
    <row r="570" spans="1:85" ht="12.75" x14ac:dyDescent="0.2">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c r="AA570" s="155"/>
      <c r="AB570" s="155"/>
      <c r="AC570" s="155"/>
      <c r="AD570" s="155"/>
      <c r="AE570" s="155"/>
      <c r="AF570" s="155"/>
      <c r="AG570" s="155"/>
      <c r="AH570" s="155"/>
      <c r="AI570" s="155"/>
      <c r="AJ570" s="155"/>
      <c r="AK570" s="155"/>
      <c r="AL570" s="155"/>
      <c r="AM570" s="155"/>
      <c r="AN570" s="155"/>
      <c r="AO570" s="155"/>
      <c r="AP570" s="155"/>
      <c r="AQ570" s="155"/>
      <c r="AR570" s="155"/>
      <c r="AS570" s="155"/>
      <c r="AT570" s="155"/>
      <c r="AU570" s="155"/>
      <c r="AV570" s="155"/>
      <c r="AW570" s="155"/>
      <c r="AX570" s="155"/>
      <c r="AY570" s="155"/>
      <c r="AZ570" s="155"/>
      <c r="BA570" s="155"/>
      <c r="BB570" s="155"/>
      <c r="BC570" s="155"/>
      <c r="BD570" s="155"/>
      <c r="BE570" s="155"/>
      <c r="BF570" s="155"/>
      <c r="BG570" s="155"/>
      <c r="BH570" s="155"/>
      <c r="BI570" s="155"/>
      <c r="BJ570" s="155"/>
      <c r="BK570" s="155"/>
      <c r="BL570" s="155"/>
      <c r="BM570" s="155"/>
      <c r="BN570" s="155"/>
      <c r="BO570" s="155"/>
      <c r="BP570" s="155"/>
      <c r="BQ570" s="155"/>
      <c r="BR570" s="155"/>
      <c r="BS570" s="155"/>
      <c r="BT570" s="155"/>
      <c r="BU570" s="155"/>
      <c r="BV570" s="155"/>
      <c r="BW570" s="155"/>
      <c r="BX570" s="155"/>
      <c r="BY570" s="155"/>
      <c r="BZ570" s="155"/>
      <c r="CA570" s="155"/>
      <c r="CB570" s="155"/>
      <c r="CC570" s="155"/>
      <c r="CD570" s="155"/>
      <c r="CE570" s="155"/>
      <c r="CF570" s="155"/>
      <c r="CG570" s="155"/>
    </row>
    <row r="571" spans="1:85" ht="12.75" x14ac:dyDescent="0.2">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c r="AA571" s="155"/>
      <c r="AB571" s="155"/>
      <c r="AC571" s="155"/>
      <c r="AD571" s="155"/>
      <c r="AE571" s="155"/>
      <c r="AF571" s="155"/>
      <c r="AG571" s="155"/>
      <c r="AH571" s="155"/>
      <c r="AI571" s="155"/>
      <c r="AJ571" s="155"/>
      <c r="AK571" s="155"/>
      <c r="AL571" s="155"/>
      <c r="AM571" s="155"/>
      <c r="AN571" s="155"/>
      <c r="AO571" s="155"/>
      <c r="AP571" s="155"/>
      <c r="AQ571" s="155"/>
      <c r="AR571" s="155"/>
      <c r="AS571" s="155"/>
      <c r="AT571" s="155"/>
      <c r="AU571" s="155"/>
      <c r="AV571" s="155"/>
      <c r="AW571" s="155"/>
      <c r="AX571" s="155"/>
      <c r="AY571" s="155"/>
      <c r="AZ571" s="155"/>
      <c r="BA571" s="155"/>
      <c r="BB571" s="155"/>
      <c r="BC571" s="155"/>
      <c r="BD571" s="155"/>
      <c r="BE571" s="155"/>
      <c r="BF571" s="155"/>
      <c r="BG571" s="155"/>
      <c r="BH571" s="155"/>
      <c r="BI571" s="155"/>
      <c r="BJ571" s="155"/>
      <c r="BK571" s="155"/>
      <c r="BL571" s="155"/>
      <c r="BM571" s="155"/>
      <c r="BN571" s="155"/>
      <c r="BO571" s="155"/>
      <c r="BP571" s="155"/>
      <c r="BQ571" s="155"/>
      <c r="BR571" s="155"/>
      <c r="BS571" s="155"/>
      <c r="BT571" s="155"/>
      <c r="BU571" s="155"/>
      <c r="BV571" s="155"/>
      <c r="BW571" s="155"/>
      <c r="BX571" s="155"/>
      <c r="BY571" s="155"/>
      <c r="BZ571" s="155"/>
      <c r="CA571" s="155"/>
      <c r="CB571" s="155"/>
      <c r="CC571" s="155"/>
      <c r="CD571" s="155"/>
      <c r="CE571" s="155"/>
      <c r="CF571" s="155"/>
      <c r="CG571" s="155"/>
    </row>
    <row r="572" spans="1:85" ht="12.75" x14ac:dyDescent="0.2">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c r="AA572" s="155"/>
      <c r="AB572" s="155"/>
      <c r="AC572" s="155"/>
      <c r="AD572" s="155"/>
      <c r="AE572" s="155"/>
      <c r="AF572" s="155"/>
      <c r="AG572" s="155"/>
      <c r="AH572" s="155"/>
      <c r="AI572" s="155"/>
      <c r="AJ572" s="155"/>
      <c r="AK572" s="155"/>
      <c r="AL572" s="155"/>
      <c r="AM572" s="155"/>
      <c r="AN572" s="155"/>
      <c r="AO572" s="155"/>
      <c r="AP572" s="155"/>
      <c r="AQ572" s="155"/>
      <c r="AR572" s="155"/>
      <c r="AS572" s="155"/>
      <c r="AT572" s="155"/>
      <c r="AU572" s="155"/>
      <c r="AV572" s="155"/>
      <c r="AW572" s="155"/>
      <c r="AX572" s="155"/>
      <c r="AY572" s="155"/>
      <c r="AZ572" s="155"/>
      <c r="BA572" s="155"/>
      <c r="BB572" s="155"/>
      <c r="BC572" s="155"/>
      <c r="BD572" s="155"/>
      <c r="BE572" s="155"/>
      <c r="BF572" s="155"/>
      <c r="BG572" s="155"/>
      <c r="BH572" s="155"/>
      <c r="BI572" s="155"/>
      <c r="BJ572" s="155"/>
      <c r="BK572" s="155"/>
      <c r="BL572" s="155"/>
      <c r="BM572" s="155"/>
      <c r="BN572" s="155"/>
      <c r="BO572" s="155"/>
      <c r="BP572" s="155"/>
      <c r="BQ572" s="155"/>
      <c r="BR572" s="155"/>
      <c r="BS572" s="155"/>
      <c r="BT572" s="155"/>
      <c r="BU572" s="155"/>
      <c r="BV572" s="155"/>
      <c r="BW572" s="155"/>
      <c r="BX572" s="155"/>
      <c r="BY572" s="155"/>
      <c r="BZ572" s="155"/>
      <c r="CA572" s="155"/>
      <c r="CB572" s="155"/>
      <c r="CC572" s="155"/>
      <c r="CD572" s="155"/>
      <c r="CE572" s="155"/>
      <c r="CF572" s="155"/>
      <c r="CG572" s="155"/>
    </row>
    <row r="573" spans="1:85" ht="12.75" x14ac:dyDescent="0.2">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c r="AA573" s="155"/>
      <c r="AB573" s="155"/>
      <c r="AC573" s="155"/>
      <c r="AD573" s="155"/>
      <c r="AE573" s="155"/>
      <c r="AF573" s="155"/>
      <c r="AG573" s="155"/>
      <c r="AH573" s="155"/>
      <c r="AI573" s="155"/>
      <c r="AJ573" s="155"/>
      <c r="AK573" s="155"/>
      <c r="AL573" s="155"/>
      <c r="AM573" s="155"/>
      <c r="AN573" s="155"/>
      <c r="AO573" s="155"/>
      <c r="AP573" s="155"/>
      <c r="AQ573" s="155"/>
      <c r="AR573" s="155"/>
      <c r="AS573" s="155"/>
      <c r="AT573" s="155"/>
      <c r="AU573" s="155"/>
      <c r="AV573" s="155"/>
      <c r="AW573" s="155"/>
      <c r="AX573" s="155"/>
      <c r="AY573" s="155"/>
      <c r="AZ573" s="155"/>
      <c r="BA573" s="155"/>
      <c r="BB573" s="155"/>
      <c r="BC573" s="155"/>
      <c r="BD573" s="155"/>
      <c r="BE573" s="155"/>
      <c r="BF573" s="155"/>
      <c r="BG573" s="155"/>
      <c r="BH573" s="155"/>
      <c r="BI573" s="155"/>
      <c r="BJ573" s="155"/>
      <c r="BK573" s="155"/>
      <c r="BL573" s="155"/>
      <c r="BM573" s="155"/>
      <c r="BN573" s="155"/>
      <c r="BO573" s="155"/>
      <c r="BP573" s="155"/>
      <c r="BQ573" s="155"/>
      <c r="BR573" s="155"/>
      <c r="BS573" s="155"/>
      <c r="BT573" s="155"/>
      <c r="BU573" s="155"/>
      <c r="BV573" s="155"/>
      <c r="BW573" s="155"/>
      <c r="BX573" s="155"/>
      <c r="BY573" s="155"/>
      <c r="BZ573" s="155"/>
      <c r="CA573" s="155"/>
      <c r="CB573" s="155"/>
      <c r="CC573" s="155"/>
      <c r="CD573" s="155"/>
      <c r="CE573" s="155"/>
      <c r="CF573" s="155"/>
      <c r="CG573" s="155"/>
    </row>
    <row r="574" spans="1:85" ht="12.75" x14ac:dyDescent="0.2">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c r="AA574" s="155"/>
      <c r="AB574" s="155"/>
      <c r="AC574" s="155"/>
      <c r="AD574" s="155"/>
      <c r="AE574" s="155"/>
      <c r="AF574" s="155"/>
      <c r="AG574" s="155"/>
      <c r="AH574" s="155"/>
      <c r="AI574" s="155"/>
      <c r="AJ574" s="155"/>
      <c r="AK574" s="155"/>
      <c r="AL574" s="155"/>
      <c r="AM574" s="155"/>
      <c r="AN574" s="155"/>
      <c r="AO574" s="155"/>
      <c r="AP574" s="155"/>
      <c r="AQ574" s="155"/>
      <c r="AR574" s="155"/>
      <c r="AS574" s="155"/>
      <c r="AT574" s="155"/>
      <c r="AU574" s="155"/>
      <c r="AV574" s="155"/>
      <c r="AW574" s="155"/>
      <c r="AX574" s="155"/>
      <c r="AY574" s="155"/>
      <c r="AZ574" s="155"/>
      <c r="BA574" s="155"/>
      <c r="BB574" s="155"/>
      <c r="BC574" s="155"/>
      <c r="BD574" s="155"/>
      <c r="BE574" s="155"/>
      <c r="BF574" s="155"/>
      <c r="BG574" s="155"/>
      <c r="BH574" s="155"/>
      <c r="BI574" s="155"/>
      <c r="BJ574" s="155"/>
      <c r="BK574" s="155"/>
      <c r="BL574" s="155"/>
      <c r="BM574" s="155"/>
      <c r="BN574" s="155"/>
      <c r="BO574" s="155"/>
      <c r="BP574" s="155"/>
      <c r="BQ574" s="155"/>
      <c r="BR574" s="155"/>
      <c r="BS574" s="155"/>
      <c r="BT574" s="155"/>
      <c r="BU574" s="155"/>
      <c r="BV574" s="155"/>
      <c r="BW574" s="155"/>
      <c r="BX574" s="155"/>
      <c r="BY574" s="155"/>
      <c r="BZ574" s="155"/>
      <c r="CA574" s="155"/>
      <c r="CB574" s="155"/>
      <c r="CC574" s="155"/>
      <c r="CD574" s="155"/>
      <c r="CE574" s="155"/>
      <c r="CF574" s="155"/>
      <c r="CG574" s="155"/>
    </row>
    <row r="575" spans="1:85" ht="12.75" x14ac:dyDescent="0.2">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c r="AA575" s="155"/>
      <c r="AB575" s="155"/>
      <c r="AC575" s="155"/>
      <c r="AD575" s="155"/>
      <c r="AE575" s="155"/>
      <c r="AF575" s="155"/>
      <c r="AG575" s="155"/>
      <c r="AH575" s="155"/>
      <c r="AI575" s="155"/>
      <c r="AJ575" s="155"/>
      <c r="AK575" s="155"/>
      <c r="AL575" s="155"/>
      <c r="AM575" s="155"/>
      <c r="AN575" s="155"/>
      <c r="AO575" s="155"/>
      <c r="AP575" s="155"/>
      <c r="AQ575" s="155"/>
      <c r="AR575" s="155"/>
      <c r="AS575" s="155"/>
      <c r="AT575" s="155"/>
      <c r="AU575" s="155"/>
      <c r="AV575" s="155"/>
      <c r="AW575" s="155"/>
      <c r="AX575" s="155"/>
      <c r="AY575" s="155"/>
      <c r="AZ575" s="155"/>
      <c r="BA575" s="155"/>
      <c r="BB575" s="155"/>
      <c r="BC575" s="155"/>
      <c r="BD575" s="155"/>
      <c r="BE575" s="155"/>
      <c r="BF575" s="155"/>
      <c r="BG575" s="155"/>
      <c r="BH575" s="155"/>
      <c r="BI575" s="155"/>
      <c r="BJ575" s="155"/>
      <c r="BK575" s="155"/>
      <c r="BL575" s="155"/>
      <c r="BM575" s="155"/>
      <c r="BN575" s="155"/>
      <c r="BO575" s="155"/>
      <c r="BP575" s="155"/>
      <c r="BQ575" s="155"/>
      <c r="BR575" s="155"/>
      <c r="BS575" s="155"/>
      <c r="BT575" s="155"/>
      <c r="BU575" s="155"/>
      <c r="BV575" s="155"/>
      <c r="BW575" s="155"/>
      <c r="BX575" s="155"/>
      <c r="BY575" s="155"/>
      <c r="BZ575" s="155"/>
      <c r="CA575" s="155"/>
      <c r="CB575" s="155"/>
      <c r="CC575" s="155"/>
      <c r="CD575" s="155"/>
      <c r="CE575" s="155"/>
      <c r="CF575" s="155"/>
      <c r="CG575" s="155"/>
    </row>
    <row r="576" spans="1:85" ht="12.75" x14ac:dyDescent="0.2">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c r="AA576" s="155"/>
      <c r="AB576" s="155"/>
      <c r="AC576" s="155"/>
      <c r="AD576" s="155"/>
      <c r="AE576" s="155"/>
      <c r="AF576" s="155"/>
      <c r="AG576" s="155"/>
      <c r="AH576" s="155"/>
      <c r="AI576" s="155"/>
      <c r="AJ576" s="155"/>
      <c r="AK576" s="155"/>
      <c r="AL576" s="155"/>
      <c r="AM576" s="155"/>
      <c r="AN576" s="155"/>
      <c r="AO576" s="155"/>
      <c r="AP576" s="155"/>
      <c r="AQ576" s="155"/>
      <c r="AR576" s="155"/>
      <c r="AS576" s="155"/>
      <c r="AT576" s="155"/>
      <c r="AU576" s="155"/>
      <c r="AV576" s="155"/>
      <c r="AW576" s="155"/>
      <c r="AX576" s="155"/>
      <c r="AY576" s="155"/>
      <c r="AZ576" s="155"/>
      <c r="BA576" s="155"/>
      <c r="BB576" s="155"/>
      <c r="BC576" s="155"/>
      <c r="BD576" s="155"/>
      <c r="BE576" s="155"/>
      <c r="BF576" s="155"/>
      <c r="BG576" s="155"/>
      <c r="BH576" s="155"/>
      <c r="BI576" s="155"/>
      <c r="BJ576" s="155"/>
      <c r="BK576" s="155"/>
      <c r="BL576" s="155"/>
      <c r="BM576" s="155"/>
      <c r="BN576" s="155"/>
      <c r="BO576" s="155"/>
      <c r="BP576" s="155"/>
      <c r="BQ576" s="155"/>
      <c r="BR576" s="155"/>
      <c r="BS576" s="155"/>
      <c r="BT576" s="155"/>
      <c r="BU576" s="155"/>
      <c r="BV576" s="155"/>
      <c r="BW576" s="155"/>
      <c r="BX576" s="155"/>
      <c r="BY576" s="155"/>
      <c r="BZ576" s="155"/>
      <c r="CA576" s="155"/>
      <c r="CB576" s="155"/>
      <c r="CC576" s="155"/>
      <c r="CD576" s="155"/>
      <c r="CE576" s="155"/>
      <c r="CF576" s="155"/>
      <c r="CG576" s="155"/>
    </row>
    <row r="577" spans="1:85" ht="12.75" x14ac:dyDescent="0.2">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c r="AA577" s="155"/>
      <c r="AB577" s="155"/>
      <c r="AC577" s="155"/>
      <c r="AD577" s="155"/>
      <c r="AE577" s="155"/>
      <c r="AF577" s="155"/>
      <c r="AG577" s="155"/>
      <c r="AH577" s="155"/>
      <c r="AI577" s="155"/>
      <c r="AJ577" s="155"/>
      <c r="AK577" s="155"/>
      <c r="AL577" s="155"/>
      <c r="AM577" s="155"/>
      <c r="AN577" s="155"/>
      <c r="AO577" s="155"/>
      <c r="AP577" s="155"/>
      <c r="AQ577" s="155"/>
      <c r="AR577" s="155"/>
      <c r="AS577" s="155"/>
      <c r="AT577" s="155"/>
      <c r="AU577" s="155"/>
      <c r="AV577" s="155"/>
      <c r="AW577" s="155"/>
      <c r="AX577" s="155"/>
      <c r="AY577" s="155"/>
      <c r="AZ577" s="155"/>
      <c r="BA577" s="155"/>
      <c r="BB577" s="155"/>
      <c r="BC577" s="155"/>
      <c r="BD577" s="155"/>
      <c r="BE577" s="155"/>
      <c r="BF577" s="155"/>
      <c r="BG577" s="155"/>
      <c r="BH577" s="155"/>
      <c r="BI577" s="155"/>
      <c r="BJ577" s="155"/>
      <c r="BK577" s="155"/>
      <c r="BL577" s="155"/>
      <c r="BM577" s="155"/>
      <c r="BN577" s="155"/>
      <c r="BO577" s="155"/>
      <c r="BP577" s="155"/>
      <c r="BQ577" s="155"/>
      <c r="BR577" s="155"/>
      <c r="BS577" s="155"/>
      <c r="BT577" s="155"/>
      <c r="BU577" s="155"/>
      <c r="BV577" s="155"/>
      <c r="BW577" s="155"/>
      <c r="BX577" s="155"/>
      <c r="BY577" s="155"/>
      <c r="BZ577" s="155"/>
      <c r="CA577" s="155"/>
      <c r="CB577" s="155"/>
      <c r="CC577" s="155"/>
      <c r="CD577" s="155"/>
      <c r="CE577" s="155"/>
      <c r="CF577" s="155"/>
      <c r="CG577" s="155"/>
    </row>
    <row r="578" spans="1:85" ht="12.75" x14ac:dyDescent="0.2">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c r="AA578" s="155"/>
      <c r="AB578" s="155"/>
      <c r="AC578" s="155"/>
      <c r="AD578" s="155"/>
      <c r="AE578" s="155"/>
      <c r="AF578" s="155"/>
      <c r="AG578" s="155"/>
      <c r="AH578" s="155"/>
      <c r="AI578" s="155"/>
      <c r="AJ578" s="155"/>
      <c r="AK578" s="155"/>
      <c r="AL578" s="155"/>
      <c r="AM578" s="155"/>
      <c r="AN578" s="155"/>
      <c r="AO578" s="155"/>
      <c r="AP578" s="155"/>
      <c r="AQ578" s="155"/>
      <c r="AR578" s="155"/>
      <c r="AS578" s="155"/>
      <c r="AT578" s="155"/>
      <c r="AU578" s="155"/>
      <c r="AV578" s="155"/>
      <c r="AW578" s="155"/>
      <c r="AX578" s="155"/>
      <c r="AY578" s="155"/>
      <c r="AZ578" s="155"/>
      <c r="BA578" s="155"/>
      <c r="BB578" s="155"/>
      <c r="BC578" s="155"/>
      <c r="BD578" s="155"/>
      <c r="BE578" s="155"/>
      <c r="BF578" s="155"/>
      <c r="BG578" s="155"/>
      <c r="BH578" s="155"/>
      <c r="BI578" s="155"/>
      <c r="BJ578" s="155"/>
      <c r="BK578" s="155"/>
      <c r="BL578" s="155"/>
      <c r="BM578" s="155"/>
      <c r="BN578" s="155"/>
      <c r="BO578" s="155"/>
      <c r="BP578" s="155"/>
      <c r="BQ578" s="155"/>
      <c r="BR578" s="155"/>
      <c r="BS578" s="155"/>
      <c r="BT578" s="155"/>
      <c r="BU578" s="155"/>
      <c r="BV578" s="155"/>
      <c r="BW578" s="155"/>
      <c r="BX578" s="155"/>
      <c r="BY578" s="155"/>
      <c r="BZ578" s="155"/>
      <c r="CA578" s="155"/>
      <c r="CB578" s="155"/>
      <c r="CC578" s="155"/>
      <c r="CD578" s="155"/>
      <c r="CE578" s="155"/>
      <c r="CF578" s="155"/>
      <c r="CG578" s="155"/>
    </row>
    <row r="579" spans="1:85" ht="12.75" x14ac:dyDescent="0.2">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c r="AA579" s="155"/>
      <c r="AB579" s="155"/>
      <c r="AC579" s="155"/>
      <c r="AD579" s="155"/>
      <c r="AE579" s="155"/>
      <c r="AF579" s="155"/>
      <c r="AG579" s="155"/>
      <c r="AH579" s="155"/>
      <c r="AI579" s="155"/>
      <c r="AJ579" s="155"/>
      <c r="AK579" s="155"/>
      <c r="AL579" s="155"/>
      <c r="AM579" s="155"/>
      <c r="AN579" s="155"/>
      <c r="AO579" s="155"/>
      <c r="AP579" s="155"/>
      <c r="AQ579" s="155"/>
      <c r="AR579" s="155"/>
      <c r="AS579" s="155"/>
      <c r="AT579" s="155"/>
      <c r="AU579" s="155"/>
      <c r="AV579" s="155"/>
      <c r="AW579" s="155"/>
      <c r="AX579" s="155"/>
      <c r="AY579" s="155"/>
      <c r="AZ579" s="155"/>
      <c r="BA579" s="155"/>
      <c r="BB579" s="155"/>
      <c r="BC579" s="155"/>
      <c r="BD579" s="155"/>
      <c r="BE579" s="155"/>
      <c r="BF579" s="155"/>
      <c r="BG579" s="155"/>
      <c r="BH579" s="155"/>
      <c r="BI579" s="155"/>
      <c r="BJ579" s="155"/>
      <c r="BK579" s="155"/>
      <c r="BL579" s="155"/>
      <c r="BM579" s="155"/>
      <c r="BN579" s="155"/>
      <c r="BO579" s="155"/>
      <c r="BP579" s="155"/>
      <c r="BQ579" s="155"/>
      <c r="BR579" s="155"/>
      <c r="BS579" s="155"/>
      <c r="BT579" s="155"/>
      <c r="BU579" s="155"/>
      <c r="BV579" s="155"/>
      <c r="BW579" s="155"/>
      <c r="BX579" s="155"/>
      <c r="BY579" s="155"/>
      <c r="BZ579" s="155"/>
      <c r="CA579" s="155"/>
      <c r="CB579" s="155"/>
      <c r="CC579" s="155"/>
      <c r="CD579" s="155"/>
      <c r="CE579" s="155"/>
      <c r="CF579" s="155"/>
      <c r="CG579" s="155"/>
    </row>
    <row r="580" spans="1:85" ht="12.75" x14ac:dyDescent="0.2">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c r="AA580" s="155"/>
      <c r="AB580" s="155"/>
      <c r="AC580" s="155"/>
      <c r="AD580" s="155"/>
      <c r="AE580" s="155"/>
      <c r="AF580" s="155"/>
      <c r="AG580" s="155"/>
      <c r="AH580" s="155"/>
      <c r="AI580" s="155"/>
      <c r="AJ580" s="155"/>
      <c r="AK580" s="155"/>
      <c r="AL580" s="155"/>
      <c r="AM580" s="155"/>
      <c r="AN580" s="155"/>
      <c r="AO580" s="155"/>
      <c r="AP580" s="155"/>
      <c r="AQ580" s="155"/>
      <c r="AR580" s="155"/>
      <c r="AS580" s="155"/>
      <c r="AT580" s="155"/>
      <c r="AU580" s="155"/>
      <c r="AV580" s="155"/>
      <c r="AW580" s="155"/>
      <c r="AX580" s="155"/>
      <c r="AY580" s="155"/>
      <c r="AZ580" s="155"/>
      <c r="BA580" s="155"/>
      <c r="BB580" s="155"/>
      <c r="BC580" s="155"/>
      <c r="BD580" s="155"/>
      <c r="BE580" s="155"/>
      <c r="BF580" s="155"/>
      <c r="BG580" s="155"/>
      <c r="BH580" s="155"/>
      <c r="BI580" s="155"/>
      <c r="BJ580" s="155"/>
      <c r="BK580" s="155"/>
      <c r="BL580" s="155"/>
      <c r="BM580" s="155"/>
      <c r="BN580" s="155"/>
      <c r="BO580" s="155"/>
      <c r="BP580" s="155"/>
      <c r="BQ580" s="155"/>
      <c r="BR580" s="155"/>
      <c r="BS580" s="155"/>
      <c r="BT580" s="155"/>
      <c r="BU580" s="155"/>
      <c r="BV580" s="155"/>
      <c r="BW580" s="155"/>
      <c r="BX580" s="155"/>
      <c r="BY580" s="155"/>
      <c r="BZ580" s="155"/>
      <c r="CA580" s="155"/>
      <c r="CB580" s="155"/>
      <c r="CC580" s="155"/>
      <c r="CD580" s="155"/>
      <c r="CE580" s="155"/>
      <c r="CF580" s="155"/>
      <c r="CG580" s="155"/>
    </row>
    <row r="581" spans="1:85" ht="12.75" x14ac:dyDescent="0.2">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c r="AA581" s="155"/>
      <c r="AB581" s="155"/>
      <c r="AC581" s="155"/>
      <c r="AD581" s="155"/>
      <c r="AE581" s="155"/>
      <c r="AF581" s="155"/>
      <c r="AG581" s="155"/>
      <c r="AH581" s="155"/>
      <c r="AI581" s="155"/>
      <c r="AJ581" s="155"/>
      <c r="AK581" s="155"/>
      <c r="AL581" s="155"/>
      <c r="AM581" s="155"/>
      <c r="AN581" s="155"/>
      <c r="AO581" s="155"/>
      <c r="AP581" s="155"/>
      <c r="AQ581" s="155"/>
      <c r="AR581" s="155"/>
      <c r="AS581" s="155"/>
      <c r="AT581" s="155"/>
      <c r="AU581" s="155"/>
      <c r="AV581" s="155"/>
      <c r="AW581" s="155"/>
      <c r="AX581" s="155"/>
      <c r="AY581" s="155"/>
      <c r="AZ581" s="155"/>
      <c r="BA581" s="155"/>
      <c r="BB581" s="155"/>
      <c r="BC581" s="155"/>
      <c r="BD581" s="155"/>
      <c r="BE581" s="155"/>
      <c r="BF581" s="155"/>
      <c r="BG581" s="155"/>
      <c r="BH581" s="155"/>
      <c r="BI581" s="155"/>
      <c r="BJ581" s="155"/>
      <c r="BK581" s="155"/>
      <c r="BL581" s="155"/>
      <c r="BM581" s="155"/>
      <c r="BN581" s="155"/>
      <c r="BO581" s="155"/>
      <c r="BP581" s="155"/>
      <c r="BQ581" s="155"/>
      <c r="BR581" s="155"/>
      <c r="BS581" s="155"/>
      <c r="BT581" s="155"/>
      <c r="BU581" s="155"/>
      <c r="BV581" s="155"/>
      <c r="BW581" s="155"/>
      <c r="BX581" s="155"/>
      <c r="BY581" s="155"/>
      <c r="BZ581" s="155"/>
      <c r="CA581" s="155"/>
      <c r="CB581" s="155"/>
      <c r="CC581" s="155"/>
      <c r="CD581" s="155"/>
      <c r="CE581" s="155"/>
      <c r="CF581" s="155"/>
      <c r="CG581" s="155"/>
    </row>
    <row r="582" spans="1:85" ht="12.75" x14ac:dyDescent="0.2">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c r="AA582" s="155"/>
      <c r="AB582" s="155"/>
      <c r="AC582" s="155"/>
      <c r="AD582" s="155"/>
      <c r="AE582" s="155"/>
      <c r="AF582" s="155"/>
      <c r="AG582" s="155"/>
      <c r="AH582" s="155"/>
      <c r="AI582" s="155"/>
      <c r="AJ582" s="155"/>
      <c r="AK582" s="155"/>
      <c r="AL582" s="155"/>
      <c r="AM582" s="155"/>
      <c r="AN582" s="155"/>
      <c r="AO582" s="155"/>
      <c r="AP582" s="155"/>
      <c r="AQ582" s="155"/>
      <c r="AR582" s="155"/>
      <c r="AS582" s="155"/>
      <c r="AT582" s="155"/>
      <c r="AU582" s="155"/>
      <c r="AV582" s="155"/>
      <c r="AW582" s="155"/>
      <c r="AX582" s="155"/>
      <c r="AY582" s="155"/>
      <c r="AZ582" s="155"/>
      <c r="BA582" s="155"/>
      <c r="BB582" s="155"/>
      <c r="BC582" s="155"/>
      <c r="BD582" s="155"/>
      <c r="BE582" s="155"/>
      <c r="BF582" s="155"/>
      <c r="BG582" s="155"/>
      <c r="BH582" s="155"/>
      <c r="BI582" s="155"/>
      <c r="BJ582" s="155"/>
      <c r="BK582" s="155"/>
      <c r="BL582" s="155"/>
      <c r="BM582" s="155"/>
      <c r="BN582" s="155"/>
      <c r="BO582" s="155"/>
      <c r="BP582" s="155"/>
      <c r="BQ582" s="155"/>
      <c r="BR582" s="155"/>
      <c r="BS582" s="155"/>
      <c r="BT582" s="155"/>
      <c r="BU582" s="155"/>
      <c r="BV582" s="155"/>
      <c r="BW582" s="155"/>
      <c r="BX582" s="155"/>
      <c r="BY582" s="155"/>
      <c r="BZ582" s="155"/>
      <c r="CA582" s="155"/>
      <c r="CB582" s="155"/>
      <c r="CC582" s="155"/>
      <c r="CD582" s="155"/>
      <c r="CE582" s="155"/>
      <c r="CF582" s="155"/>
      <c r="CG582" s="155"/>
    </row>
    <row r="583" spans="1:85" ht="12.75" x14ac:dyDescent="0.2">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c r="AA583" s="155"/>
      <c r="AB583" s="155"/>
      <c r="AC583" s="155"/>
      <c r="AD583" s="155"/>
      <c r="AE583" s="155"/>
      <c r="AF583" s="155"/>
      <c r="AG583" s="155"/>
      <c r="AH583" s="155"/>
      <c r="AI583" s="155"/>
      <c r="AJ583" s="155"/>
      <c r="AK583" s="155"/>
      <c r="AL583" s="155"/>
      <c r="AM583" s="155"/>
      <c r="AN583" s="155"/>
      <c r="AO583" s="155"/>
      <c r="AP583" s="155"/>
      <c r="AQ583" s="155"/>
      <c r="AR583" s="155"/>
      <c r="AS583" s="155"/>
      <c r="AT583" s="155"/>
      <c r="AU583" s="155"/>
      <c r="AV583" s="155"/>
      <c r="AW583" s="155"/>
      <c r="AX583" s="155"/>
      <c r="AY583" s="155"/>
      <c r="AZ583" s="155"/>
      <c r="BA583" s="155"/>
      <c r="BB583" s="155"/>
      <c r="BC583" s="155"/>
      <c r="BD583" s="155"/>
      <c r="BE583" s="155"/>
      <c r="BF583" s="155"/>
      <c r="BG583" s="155"/>
      <c r="BH583" s="155"/>
      <c r="BI583" s="155"/>
      <c r="BJ583" s="155"/>
      <c r="BK583" s="155"/>
      <c r="BL583" s="155"/>
      <c r="BM583" s="155"/>
      <c r="BN583" s="155"/>
      <c r="BO583" s="155"/>
      <c r="BP583" s="155"/>
      <c r="BQ583" s="155"/>
      <c r="BR583" s="155"/>
      <c r="BS583" s="155"/>
      <c r="BT583" s="155"/>
      <c r="BU583" s="155"/>
      <c r="BV583" s="155"/>
      <c r="BW583" s="155"/>
      <c r="BX583" s="155"/>
      <c r="BY583" s="155"/>
      <c r="BZ583" s="155"/>
      <c r="CA583" s="155"/>
      <c r="CB583" s="155"/>
      <c r="CC583" s="155"/>
      <c r="CD583" s="155"/>
      <c r="CE583" s="155"/>
      <c r="CF583" s="155"/>
      <c r="CG583" s="155"/>
    </row>
    <row r="584" spans="1:85" ht="12.75" x14ac:dyDescent="0.2">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c r="AA584" s="155"/>
      <c r="AB584" s="155"/>
      <c r="AC584" s="155"/>
      <c r="AD584" s="155"/>
      <c r="AE584" s="155"/>
      <c r="AF584" s="155"/>
      <c r="AG584" s="155"/>
      <c r="AH584" s="155"/>
      <c r="AI584" s="155"/>
      <c r="AJ584" s="155"/>
      <c r="AK584" s="155"/>
      <c r="AL584" s="155"/>
      <c r="AM584" s="155"/>
      <c r="AN584" s="155"/>
      <c r="AO584" s="155"/>
      <c r="AP584" s="155"/>
      <c r="AQ584" s="155"/>
      <c r="AR584" s="155"/>
      <c r="AS584" s="155"/>
      <c r="AT584" s="155"/>
      <c r="AU584" s="155"/>
      <c r="AV584" s="155"/>
      <c r="AW584" s="155"/>
      <c r="AX584" s="155"/>
      <c r="AY584" s="155"/>
      <c r="AZ584" s="155"/>
      <c r="BA584" s="155"/>
      <c r="BB584" s="155"/>
      <c r="BC584" s="155"/>
      <c r="BD584" s="155"/>
      <c r="BE584" s="155"/>
      <c r="BF584" s="155"/>
      <c r="BG584" s="155"/>
      <c r="BH584" s="155"/>
      <c r="BI584" s="155"/>
      <c r="BJ584" s="155"/>
      <c r="BK584" s="155"/>
      <c r="BL584" s="155"/>
      <c r="BM584" s="155"/>
      <c r="BN584" s="155"/>
      <c r="BO584" s="155"/>
      <c r="BP584" s="155"/>
      <c r="BQ584" s="155"/>
      <c r="BR584" s="155"/>
      <c r="BS584" s="155"/>
      <c r="BT584" s="155"/>
      <c r="BU584" s="155"/>
      <c r="BV584" s="155"/>
      <c r="BW584" s="155"/>
      <c r="BX584" s="155"/>
      <c r="BY584" s="155"/>
      <c r="BZ584" s="155"/>
      <c r="CA584" s="155"/>
      <c r="CB584" s="155"/>
      <c r="CC584" s="155"/>
      <c r="CD584" s="155"/>
      <c r="CE584" s="155"/>
      <c r="CF584" s="155"/>
      <c r="CG584" s="155"/>
    </row>
    <row r="585" spans="1:85" ht="12.75" x14ac:dyDescent="0.2">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c r="AA585" s="155"/>
      <c r="AB585" s="155"/>
      <c r="AC585" s="155"/>
      <c r="AD585" s="155"/>
      <c r="AE585" s="155"/>
      <c r="AF585" s="155"/>
      <c r="AG585" s="155"/>
      <c r="AH585" s="155"/>
      <c r="AI585" s="155"/>
      <c r="AJ585" s="155"/>
      <c r="AK585" s="155"/>
      <c r="AL585" s="155"/>
      <c r="AM585" s="155"/>
      <c r="AN585" s="155"/>
      <c r="AO585" s="155"/>
      <c r="AP585" s="155"/>
      <c r="AQ585" s="155"/>
      <c r="AR585" s="155"/>
      <c r="AS585" s="155"/>
      <c r="AT585" s="155"/>
      <c r="AU585" s="155"/>
      <c r="AV585" s="155"/>
      <c r="AW585" s="155"/>
      <c r="AX585" s="155"/>
      <c r="AY585" s="155"/>
      <c r="AZ585" s="155"/>
      <c r="BA585" s="155"/>
      <c r="BB585" s="155"/>
      <c r="BC585" s="155"/>
      <c r="BD585" s="155"/>
      <c r="BE585" s="155"/>
      <c r="BF585" s="155"/>
      <c r="BG585" s="155"/>
      <c r="BH585" s="155"/>
      <c r="BI585" s="155"/>
      <c r="BJ585" s="155"/>
      <c r="BK585" s="155"/>
      <c r="BL585" s="155"/>
      <c r="BM585" s="155"/>
      <c r="BN585" s="155"/>
      <c r="BO585" s="155"/>
      <c r="BP585" s="155"/>
      <c r="BQ585" s="155"/>
      <c r="BR585" s="155"/>
      <c r="BS585" s="155"/>
      <c r="BT585" s="155"/>
      <c r="BU585" s="155"/>
      <c r="BV585" s="155"/>
      <c r="BW585" s="155"/>
      <c r="BX585" s="155"/>
      <c r="BY585" s="155"/>
      <c r="BZ585" s="155"/>
      <c r="CA585" s="155"/>
      <c r="CB585" s="155"/>
      <c r="CC585" s="155"/>
      <c r="CD585" s="155"/>
      <c r="CE585" s="155"/>
      <c r="CF585" s="155"/>
      <c r="CG585" s="155"/>
    </row>
    <row r="586" spans="1:85" ht="12.75" x14ac:dyDescent="0.2">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c r="AA586" s="155"/>
      <c r="AB586" s="155"/>
      <c r="AC586" s="155"/>
      <c r="AD586" s="155"/>
      <c r="AE586" s="155"/>
      <c r="AF586" s="155"/>
      <c r="AG586" s="155"/>
      <c r="AH586" s="155"/>
      <c r="AI586" s="155"/>
      <c r="AJ586" s="155"/>
      <c r="AK586" s="155"/>
      <c r="AL586" s="155"/>
      <c r="AM586" s="155"/>
      <c r="AN586" s="155"/>
      <c r="AO586" s="155"/>
      <c r="AP586" s="155"/>
      <c r="AQ586" s="155"/>
      <c r="AR586" s="155"/>
      <c r="AS586" s="155"/>
      <c r="AT586" s="155"/>
      <c r="AU586" s="155"/>
      <c r="AV586" s="155"/>
      <c r="AW586" s="155"/>
      <c r="AX586" s="155"/>
      <c r="AY586" s="155"/>
      <c r="AZ586" s="155"/>
      <c r="BA586" s="155"/>
      <c r="BB586" s="155"/>
      <c r="BC586" s="155"/>
      <c r="BD586" s="155"/>
      <c r="BE586" s="155"/>
      <c r="BF586" s="155"/>
      <c r="BG586" s="155"/>
      <c r="BH586" s="155"/>
      <c r="BI586" s="155"/>
      <c r="BJ586" s="155"/>
      <c r="BK586" s="155"/>
      <c r="BL586" s="155"/>
      <c r="BM586" s="155"/>
      <c r="BN586" s="155"/>
      <c r="BO586" s="155"/>
      <c r="BP586" s="155"/>
      <c r="BQ586" s="155"/>
      <c r="BR586" s="155"/>
      <c r="BS586" s="155"/>
      <c r="BT586" s="155"/>
      <c r="BU586" s="155"/>
      <c r="BV586" s="155"/>
      <c r="BW586" s="155"/>
      <c r="BX586" s="155"/>
      <c r="BY586" s="155"/>
      <c r="BZ586" s="155"/>
      <c r="CA586" s="155"/>
      <c r="CB586" s="155"/>
      <c r="CC586" s="155"/>
      <c r="CD586" s="155"/>
      <c r="CE586" s="155"/>
      <c r="CF586" s="155"/>
      <c r="CG586" s="155"/>
    </row>
    <row r="587" spans="1:85" ht="12.75" x14ac:dyDescent="0.2">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c r="AA587" s="155"/>
      <c r="AB587" s="155"/>
      <c r="AC587" s="155"/>
      <c r="AD587" s="155"/>
      <c r="AE587" s="155"/>
      <c r="AF587" s="155"/>
      <c r="AG587" s="155"/>
      <c r="AH587" s="155"/>
      <c r="AI587" s="155"/>
      <c r="AJ587" s="155"/>
      <c r="AK587" s="155"/>
      <c r="AL587" s="155"/>
      <c r="AM587" s="155"/>
      <c r="AN587" s="155"/>
      <c r="AO587" s="155"/>
      <c r="AP587" s="155"/>
      <c r="AQ587" s="155"/>
      <c r="AR587" s="155"/>
      <c r="AS587" s="155"/>
      <c r="AT587" s="155"/>
      <c r="AU587" s="155"/>
      <c r="AV587" s="155"/>
      <c r="AW587" s="155"/>
      <c r="AX587" s="155"/>
      <c r="AY587" s="155"/>
      <c r="AZ587" s="155"/>
      <c r="BA587" s="155"/>
      <c r="BB587" s="155"/>
      <c r="BC587" s="155"/>
      <c r="BD587" s="155"/>
      <c r="BE587" s="155"/>
      <c r="BF587" s="155"/>
      <c r="BG587" s="155"/>
      <c r="BH587" s="155"/>
      <c r="BI587" s="155"/>
      <c r="BJ587" s="155"/>
      <c r="BK587" s="155"/>
      <c r="BL587" s="155"/>
      <c r="BM587" s="155"/>
      <c r="BN587" s="155"/>
      <c r="BO587" s="155"/>
      <c r="BP587" s="155"/>
      <c r="BQ587" s="155"/>
      <c r="BR587" s="155"/>
      <c r="BS587" s="155"/>
      <c r="BT587" s="155"/>
      <c r="BU587" s="155"/>
      <c r="BV587" s="155"/>
      <c r="BW587" s="155"/>
      <c r="BX587" s="155"/>
      <c r="BY587" s="155"/>
      <c r="BZ587" s="155"/>
      <c r="CA587" s="155"/>
      <c r="CB587" s="155"/>
      <c r="CC587" s="155"/>
      <c r="CD587" s="155"/>
      <c r="CE587" s="155"/>
      <c r="CF587" s="155"/>
      <c r="CG587" s="155"/>
    </row>
    <row r="588" spans="1:85" ht="12.75" x14ac:dyDescent="0.2">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c r="AA588" s="155"/>
      <c r="AB588" s="155"/>
      <c r="AC588" s="155"/>
      <c r="AD588" s="155"/>
      <c r="AE588" s="155"/>
      <c r="AF588" s="155"/>
      <c r="AG588" s="155"/>
      <c r="AH588" s="155"/>
      <c r="AI588" s="155"/>
      <c r="AJ588" s="155"/>
      <c r="AK588" s="155"/>
      <c r="AL588" s="155"/>
      <c r="AM588" s="155"/>
      <c r="AN588" s="155"/>
      <c r="AO588" s="155"/>
      <c r="AP588" s="155"/>
      <c r="AQ588" s="155"/>
      <c r="AR588" s="155"/>
      <c r="AS588" s="155"/>
      <c r="AT588" s="155"/>
      <c r="AU588" s="155"/>
      <c r="AV588" s="155"/>
      <c r="AW588" s="155"/>
      <c r="AX588" s="155"/>
      <c r="AY588" s="155"/>
      <c r="AZ588" s="155"/>
      <c r="BA588" s="155"/>
      <c r="BB588" s="155"/>
      <c r="BC588" s="155"/>
      <c r="BD588" s="155"/>
      <c r="BE588" s="155"/>
      <c r="BF588" s="155"/>
      <c r="BG588" s="155"/>
      <c r="BH588" s="155"/>
      <c r="BI588" s="155"/>
      <c r="BJ588" s="155"/>
      <c r="BK588" s="155"/>
      <c r="BL588" s="155"/>
      <c r="BM588" s="155"/>
      <c r="BN588" s="155"/>
      <c r="BO588" s="155"/>
      <c r="BP588" s="155"/>
      <c r="BQ588" s="155"/>
      <c r="BR588" s="155"/>
      <c r="BS588" s="155"/>
      <c r="BT588" s="155"/>
      <c r="BU588" s="155"/>
      <c r="BV588" s="155"/>
      <c r="BW588" s="155"/>
      <c r="BX588" s="155"/>
      <c r="BY588" s="155"/>
      <c r="BZ588" s="155"/>
      <c r="CA588" s="155"/>
      <c r="CB588" s="155"/>
      <c r="CC588" s="155"/>
      <c r="CD588" s="155"/>
      <c r="CE588" s="155"/>
      <c r="CF588" s="155"/>
      <c r="CG588" s="155"/>
    </row>
    <row r="589" spans="1:85" ht="12.75" x14ac:dyDescent="0.2">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5"/>
      <c r="AY589" s="155"/>
      <c r="AZ589" s="155"/>
      <c r="BA589" s="155"/>
      <c r="BB589" s="155"/>
      <c r="BC589" s="155"/>
      <c r="BD589" s="155"/>
      <c r="BE589" s="155"/>
      <c r="BF589" s="155"/>
      <c r="BG589" s="155"/>
      <c r="BH589" s="155"/>
      <c r="BI589" s="155"/>
      <c r="BJ589" s="155"/>
      <c r="BK589" s="155"/>
      <c r="BL589" s="155"/>
      <c r="BM589" s="155"/>
      <c r="BN589" s="155"/>
      <c r="BO589" s="155"/>
      <c r="BP589" s="155"/>
      <c r="BQ589" s="155"/>
      <c r="BR589" s="155"/>
      <c r="BS589" s="155"/>
      <c r="BT589" s="155"/>
      <c r="BU589" s="155"/>
      <c r="BV589" s="155"/>
      <c r="BW589" s="155"/>
      <c r="BX589" s="155"/>
      <c r="BY589" s="155"/>
      <c r="BZ589" s="155"/>
      <c r="CA589" s="155"/>
      <c r="CB589" s="155"/>
      <c r="CC589" s="155"/>
      <c r="CD589" s="155"/>
      <c r="CE589" s="155"/>
      <c r="CF589" s="155"/>
      <c r="CG589" s="155"/>
    </row>
    <row r="590" spans="1:85" ht="12.75" x14ac:dyDescent="0.2">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c r="AA590" s="155"/>
      <c r="AB590" s="155"/>
      <c r="AC590" s="155"/>
      <c r="AD590" s="155"/>
      <c r="AE590" s="155"/>
      <c r="AF590" s="155"/>
      <c r="AG590" s="155"/>
      <c r="AH590" s="155"/>
      <c r="AI590" s="155"/>
      <c r="AJ590" s="155"/>
      <c r="AK590" s="155"/>
      <c r="AL590" s="155"/>
      <c r="AM590" s="155"/>
      <c r="AN590" s="155"/>
      <c r="AO590" s="155"/>
      <c r="AP590" s="155"/>
      <c r="AQ590" s="155"/>
      <c r="AR590" s="155"/>
      <c r="AS590" s="155"/>
      <c r="AT590" s="155"/>
      <c r="AU590" s="155"/>
      <c r="AV590" s="155"/>
      <c r="AW590" s="155"/>
      <c r="AX590" s="155"/>
      <c r="AY590" s="155"/>
      <c r="AZ590" s="155"/>
      <c r="BA590" s="155"/>
      <c r="BB590" s="155"/>
      <c r="BC590" s="155"/>
      <c r="BD590" s="155"/>
      <c r="BE590" s="155"/>
      <c r="BF590" s="155"/>
      <c r="BG590" s="155"/>
      <c r="BH590" s="155"/>
      <c r="BI590" s="155"/>
      <c r="BJ590" s="155"/>
      <c r="BK590" s="155"/>
      <c r="BL590" s="155"/>
      <c r="BM590" s="155"/>
      <c r="BN590" s="155"/>
      <c r="BO590" s="155"/>
      <c r="BP590" s="155"/>
      <c r="BQ590" s="155"/>
      <c r="BR590" s="155"/>
      <c r="BS590" s="155"/>
      <c r="BT590" s="155"/>
      <c r="BU590" s="155"/>
      <c r="BV590" s="155"/>
      <c r="BW590" s="155"/>
      <c r="BX590" s="155"/>
      <c r="BY590" s="155"/>
      <c r="BZ590" s="155"/>
      <c r="CA590" s="155"/>
      <c r="CB590" s="155"/>
      <c r="CC590" s="155"/>
      <c r="CD590" s="155"/>
      <c r="CE590" s="155"/>
      <c r="CF590" s="155"/>
      <c r="CG590" s="155"/>
    </row>
    <row r="591" spans="1:85" ht="12.75" x14ac:dyDescent="0.2">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c r="AA591" s="155"/>
      <c r="AB591" s="155"/>
      <c r="AC591" s="155"/>
      <c r="AD591" s="155"/>
      <c r="AE591" s="155"/>
      <c r="AF591" s="155"/>
      <c r="AG591" s="155"/>
      <c r="AH591" s="155"/>
      <c r="AI591" s="155"/>
      <c r="AJ591" s="155"/>
      <c r="AK591" s="155"/>
      <c r="AL591" s="155"/>
      <c r="AM591" s="155"/>
      <c r="AN591" s="155"/>
      <c r="AO591" s="155"/>
      <c r="AP591" s="155"/>
      <c r="AQ591" s="155"/>
      <c r="AR591" s="155"/>
      <c r="AS591" s="155"/>
      <c r="AT591" s="155"/>
      <c r="AU591" s="155"/>
      <c r="AV591" s="155"/>
      <c r="AW591" s="155"/>
      <c r="AX591" s="155"/>
      <c r="AY591" s="155"/>
      <c r="AZ591" s="155"/>
      <c r="BA591" s="155"/>
      <c r="BB591" s="155"/>
      <c r="BC591" s="155"/>
      <c r="BD591" s="155"/>
      <c r="BE591" s="155"/>
      <c r="BF591" s="155"/>
      <c r="BG591" s="155"/>
      <c r="BH591" s="155"/>
      <c r="BI591" s="155"/>
      <c r="BJ591" s="155"/>
      <c r="BK591" s="155"/>
      <c r="BL591" s="155"/>
      <c r="BM591" s="155"/>
      <c r="BN591" s="155"/>
      <c r="BO591" s="155"/>
      <c r="BP591" s="155"/>
      <c r="BQ591" s="155"/>
      <c r="BR591" s="155"/>
      <c r="BS591" s="155"/>
      <c r="BT591" s="155"/>
      <c r="BU591" s="155"/>
      <c r="BV591" s="155"/>
      <c r="BW591" s="155"/>
      <c r="BX591" s="155"/>
      <c r="BY591" s="155"/>
      <c r="BZ591" s="155"/>
      <c r="CA591" s="155"/>
      <c r="CB591" s="155"/>
      <c r="CC591" s="155"/>
      <c r="CD591" s="155"/>
      <c r="CE591" s="155"/>
      <c r="CF591" s="155"/>
      <c r="CG591" s="155"/>
    </row>
    <row r="592" spans="1:85" ht="12.75" x14ac:dyDescent="0.2">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c r="AA592" s="155"/>
      <c r="AB592" s="155"/>
      <c r="AC592" s="155"/>
      <c r="AD592" s="155"/>
      <c r="AE592" s="155"/>
      <c r="AF592" s="155"/>
      <c r="AG592" s="155"/>
      <c r="AH592" s="155"/>
      <c r="AI592" s="155"/>
      <c r="AJ592" s="155"/>
      <c r="AK592" s="155"/>
      <c r="AL592" s="155"/>
      <c r="AM592" s="155"/>
      <c r="AN592" s="155"/>
      <c r="AO592" s="155"/>
      <c r="AP592" s="155"/>
      <c r="AQ592" s="155"/>
      <c r="AR592" s="155"/>
      <c r="AS592" s="155"/>
      <c r="AT592" s="155"/>
      <c r="AU592" s="155"/>
      <c r="AV592" s="155"/>
      <c r="AW592" s="155"/>
      <c r="AX592" s="155"/>
      <c r="AY592" s="155"/>
      <c r="AZ592" s="155"/>
      <c r="BA592" s="155"/>
      <c r="BB592" s="155"/>
      <c r="BC592" s="155"/>
      <c r="BD592" s="155"/>
      <c r="BE592" s="155"/>
      <c r="BF592" s="155"/>
      <c r="BG592" s="155"/>
      <c r="BH592" s="155"/>
      <c r="BI592" s="155"/>
      <c r="BJ592" s="155"/>
      <c r="BK592" s="155"/>
      <c r="BL592" s="155"/>
      <c r="BM592" s="155"/>
      <c r="BN592" s="155"/>
      <c r="BO592" s="155"/>
      <c r="BP592" s="155"/>
      <c r="BQ592" s="155"/>
      <c r="BR592" s="155"/>
      <c r="BS592" s="155"/>
      <c r="BT592" s="155"/>
      <c r="BU592" s="155"/>
      <c r="BV592" s="155"/>
      <c r="BW592" s="155"/>
      <c r="BX592" s="155"/>
      <c r="BY592" s="155"/>
      <c r="BZ592" s="155"/>
      <c r="CA592" s="155"/>
      <c r="CB592" s="155"/>
      <c r="CC592" s="155"/>
      <c r="CD592" s="155"/>
      <c r="CE592" s="155"/>
      <c r="CF592" s="155"/>
      <c r="CG592" s="155"/>
    </row>
    <row r="593" spans="1:85" ht="12.75" x14ac:dyDescent="0.2">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c r="AA593" s="155"/>
      <c r="AB593" s="155"/>
      <c r="AC593" s="155"/>
      <c r="AD593" s="155"/>
      <c r="AE593" s="155"/>
      <c r="AF593" s="155"/>
      <c r="AG593" s="155"/>
      <c r="AH593" s="155"/>
      <c r="AI593" s="155"/>
      <c r="AJ593" s="155"/>
      <c r="AK593" s="155"/>
      <c r="AL593" s="155"/>
      <c r="AM593" s="155"/>
      <c r="AN593" s="155"/>
      <c r="AO593" s="155"/>
      <c r="AP593" s="155"/>
      <c r="AQ593" s="155"/>
      <c r="AR593" s="155"/>
      <c r="AS593" s="155"/>
      <c r="AT593" s="155"/>
      <c r="AU593" s="155"/>
      <c r="AV593" s="155"/>
      <c r="AW593" s="155"/>
      <c r="AX593" s="155"/>
      <c r="AY593" s="155"/>
      <c r="AZ593" s="155"/>
      <c r="BA593" s="155"/>
      <c r="BB593" s="155"/>
      <c r="BC593" s="155"/>
      <c r="BD593" s="155"/>
      <c r="BE593" s="155"/>
      <c r="BF593" s="155"/>
      <c r="BG593" s="155"/>
      <c r="BH593" s="155"/>
      <c r="BI593" s="155"/>
      <c r="BJ593" s="155"/>
      <c r="BK593" s="155"/>
      <c r="BL593" s="155"/>
      <c r="BM593" s="155"/>
      <c r="BN593" s="155"/>
      <c r="BO593" s="155"/>
      <c r="BP593" s="155"/>
      <c r="BQ593" s="155"/>
      <c r="BR593" s="155"/>
      <c r="BS593" s="155"/>
      <c r="BT593" s="155"/>
      <c r="BU593" s="155"/>
      <c r="BV593" s="155"/>
      <c r="BW593" s="155"/>
      <c r="BX593" s="155"/>
      <c r="BY593" s="155"/>
      <c r="BZ593" s="155"/>
      <c r="CA593" s="155"/>
      <c r="CB593" s="155"/>
      <c r="CC593" s="155"/>
      <c r="CD593" s="155"/>
      <c r="CE593" s="155"/>
      <c r="CF593" s="155"/>
      <c r="CG593" s="155"/>
    </row>
    <row r="594" spans="1:85" ht="12.75" x14ac:dyDescent="0.2">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c r="AA594" s="155"/>
      <c r="AB594" s="155"/>
      <c r="AC594" s="155"/>
      <c r="AD594" s="155"/>
      <c r="AE594" s="155"/>
      <c r="AF594" s="155"/>
      <c r="AG594" s="155"/>
      <c r="AH594" s="155"/>
      <c r="AI594" s="155"/>
      <c r="AJ594" s="155"/>
      <c r="AK594" s="155"/>
      <c r="AL594" s="155"/>
      <c r="AM594" s="155"/>
      <c r="AN594" s="155"/>
      <c r="AO594" s="155"/>
      <c r="AP594" s="155"/>
      <c r="AQ594" s="155"/>
      <c r="AR594" s="155"/>
      <c r="AS594" s="155"/>
      <c r="AT594" s="155"/>
      <c r="AU594" s="155"/>
      <c r="AV594" s="155"/>
      <c r="AW594" s="155"/>
      <c r="AX594" s="155"/>
      <c r="AY594" s="155"/>
      <c r="AZ594" s="155"/>
      <c r="BA594" s="155"/>
      <c r="BB594" s="155"/>
      <c r="BC594" s="155"/>
      <c r="BD594" s="155"/>
      <c r="BE594" s="155"/>
      <c r="BF594" s="155"/>
      <c r="BG594" s="155"/>
      <c r="BH594" s="155"/>
      <c r="BI594" s="155"/>
      <c r="BJ594" s="155"/>
      <c r="BK594" s="155"/>
      <c r="BL594" s="155"/>
      <c r="BM594" s="155"/>
      <c r="BN594" s="155"/>
      <c r="BO594" s="155"/>
      <c r="BP594" s="155"/>
      <c r="BQ594" s="155"/>
      <c r="BR594" s="155"/>
      <c r="BS594" s="155"/>
      <c r="BT594" s="155"/>
      <c r="BU594" s="155"/>
      <c r="BV594" s="155"/>
      <c r="BW594" s="155"/>
      <c r="BX594" s="155"/>
      <c r="BY594" s="155"/>
      <c r="BZ594" s="155"/>
      <c r="CA594" s="155"/>
      <c r="CB594" s="155"/>
      <c r="CC594" s="155"/>
      <c r="CD594" s="155"/>
      <c r="CE594" s="155"/>
      <c r="CF594" s="155"/>
      <c r="CG594" s="155"/>
    </row>
    <row r="595" spans="1:85" ht="12.75" x14ac:dyDescent="0.2">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c r="AA595" s="155"/>
      <c r="AB595" s="155"/>
      <c r="AC595" s="155"/>
      <c r="AD595" s="155"/>
      <c r="AE595" s="155"/>
      <c r="AF595" s="155"/>
      <c r="AG595" s="155"/>
      <c r="AH595" s="155"/>
      <c r="AI595" s="155"/>
      <c r="AJ595" s="155"/>
      <c r="AK595" s="155"/>
      <c r="AL595" s="155"/>
      <c r="AM595" s="155"/>
      <c r="AN595" s="155"/>
      <c r="AO595" s="155"/>
      <c r="AP595" s="155"/>
      <c r="AQ595" s="155"/>
      <c r="AR595" s="155"/>
      <c r="AS595" s="155"/>
      <c r="AT595" s="155"/>
      <c r="AU595" s="155"/>
      <c r="AV595" s="155"/>
      <c r="AW595" s="155"/>
      <c r="AX595" s="155"/>
      <c r="AY595" s="155"/>
      <c r="AZ595" s="155"/>
      <c r="BA595" s="155"/>
      <c r="BB595" s="155"/>
      <c r="BC595" s="155"/>
      <c r="BD595" s="155"/>
      <c r="BE595" s="155"/>
      <c r="BF595" s="155"/>
      <c r="BG595" s="155"/>
      <c r="BH595" s="155"/>
      <c r="BI595" s="155"/>
      <c r="BJ595" s="155"/>
      <c r="BK595" s="155"/>
      <c r="BL595" s="155"/>
      <c r="BM595" s="155"/>
      <c r="BN595" s="155"/>
      <c r="BO595" s="155"/>
      <c r="BP595" s="155"/>
      <c r="BQ595" s="155"/>
      <c r="BR595" s="155"/>
      <c r="BS595" s="155"/>
      <c r="BT595" s="155"/>
      <c r="BU595" s="155"/>
      <c r="BV595" s="155"/>
      <c r="BW595" s="155"/>
      <c r="BX595" s="155"/>
      <c r="BY595" s="155"/>
      <c r="BZ595" s="155"/>
      <c r="CA595" s="155"/>
      <c r="CB595" s="155"/>
      <c r="CC595" s="155"/>
      <c r="CD595" s="155"/>
      <c r="CE595" s="155"/>
      <c r="CF595" s="155"/>
      <c r="CG595" s="155"/>
    </row>
    <row r="596" spans="1:85" ht="12.75" x14ac:dyDescent="0.2">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c r="AA596" s="155"/>
      <c r="AB596" s="155"/>
      <c r="AC596" s="155"/>
      <c r="AD596" s="155"/>
      <c r="AE596" s="155"/>
      <c r="AF596" s="155"/>
      <c r="AG596" s="155"/>
      <c r="AH596" s="155"/>
      <c r="AI596" s="155"/>
      <c r="AJ596" s="155"/>
      <c r="AK596" s="155"/>
      <c r="AL596" s="155"/>
      <c r="AM596" s="155"/>
      <c r="AN596" s="155"/>
      <c r="AO596" s="155"/>
      <c r="AP596" s="155"/>
      <c r="AQ596" s="155"/>
      <c r="AR596" s="155"/>
      <c r="AS596" s="155"/>
      <c r="AT596" s="155"/>
      <c r="AU596" s="155"/>
      <c r="AV596" s="155"/>
      <c r="AW596" s="155"/>
      <c r="AX596" s="155"/>
      <c r="AY596" s="155"/>
      <c r="AZ596" s="155"/>
      <c r="BA596" s="155"/>
      <c r="BB596" s="155"/>
      <c r="BC596" s="155"/>
      <c r="BD596" s="155"/>
      <c r="BE596" s="155"/>
      <c r="BF596" s="155"/>
      <c r="BG596" s="155"/>
      <c r="BH596" s="155"/>
      <c r="BI596" s="155"/>
      <c r="BJ596" s="155"/>
      <c r="BK596" s="155"/>
      <c r="BL596" s="155"/>
      <c r="BM596" s="155"/>
      <c r="BN596" s="155"/>
      <c r="BO596" s="155"/>
      <c r="BP596" s="155"/>
      <c r="BQ596" s="155"/>
      <c r="BR596" s="155"/>
      <c r="BS596" s="155"/>
      <c r="BT596" s="155"/>
      <c r="BU596" s="155"/>
      <c r="BV596" s="155"/>
      <c r="BW596" s="155"/>
      <c r="BX596" s="155"/>
      <c r="BY596" s="155"/>
      <c r="BZ596" s="155"/>
      <c r="CA596" s="155"/>
      <c r="CB596" s="155"/>
      <c r="CC596" s="155"/>
      <c r="CD596" s="155"/>
      <c r="CE596" s="155"/>
      <c r="CF596" s="155"/>
      <c r="CG596" s="155"/>
    </row>
    <row r="597" spans="1:85" ht="12.75" x14ac:dyDescent="0.2">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c r="AA597" s="155"/>
      <c r="AB597" s="155"/>
      <c r="AC597" s="155"/>
      <c r="AD597" s="155"/>
      <c r="AE597" s="155"/>
      <c r="AF597" s="155"/>
      <c r="AG597" s="155"/>
      <c r="AH597" s="155"/>
      <c r="AI597" s="155"/>
      <c r="AJ597" s="155"/>
      <c r="AK597" s="155"/>
      <c r="AL597" s="155"/>
      <c r="AM597" s="155"/>
      <c r="AN597" s="155"/>
      <c r="AO597" s="155"/>
      <c r="AP597" s="155"/>
      <c r="AQ597" s="155"/>
      <c r="AR597" s="155"/>
      <c r="AS597" s="155"/>
      <c r="AT597" s="155"/>
      <c r="AU597" s="155"/>
      <c r="AV597" s="155"/>
      <c r="AW597" s="155"/>
      <c r="AX597" s="155"/>
      <c r="AY597" s="155"/>
      <c r="AZ597" s="155"/>
      <c r="BA597" s="155"/>
      <c r="BB597" s="155"/>
      <c r="BC597" s="155"/>
      <c r="BD597" s="155"/>
      <c r="BE597" s="155"/>
      <c r="BF597" s="155"/>
      <c r="BG597" s="155"/>
      <c r="BH597" s="155"/>
      <c r="BI597" s="155"/>
      <c r="BJ597" s="155"/>
      <c r="BK597" s="155"/>
      <c r="BL597" s="155"/>
      <c r="BM597" s="155"/>
      <c r="BN597" s="155"/>
      <c r="BO597" s="155"/>
      <c r="BP597" s="155"/>
      <c r="BQ597" s="155"/>
      <c r="BR597" s="155"/>
      <c r="BS597" s="155"/>
      <c r="BT597" s="155"/>
      <c r="BU597" s="155"/>
      <c r="BV597" s="155"/>
      <c r="BW597" s="155"/>
      <c r="BX597" s="155"/>
      <c r="BY597" s="155"/>
      <c r="BZ597" s="155"/>
      <c r="CA597" s="155"/>
      <c r="CB597" s="155"/>
      <c r="CC597" s="155"/>
      <c r="CD597" s="155"/>
      <c r="CE597" s="155"/>
      <c r="CF597" s="155"/>
      <c r="CG597" s="155"/>
    </row>
    <row r="598" spans="1:85" ht="12.75" x14ac:dyDescent="0.2">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c r="AA598" s="155"/>
      <c r="AB598" s="155"/>
      <c r="AC598" s="155"/>
      <c r="AD598" s="155"/>
      <c r="AE598" s="155"/>
      <c r="AF598" s="155"/>
      <c r="AG598" s="155"/>
      <c r="AH598" s="155"/>
      <c r="AI598" s="155"/>
      <c r="AJ598" s="155"/>
      <c r="AK598" s="155"/>
      <c r="AL598" s="155"/>
      <c r="AM598" s="155"/>
      <c r="AN598" s="155"/>
      <c r="AO598" s="155"/>
      <c r="AP598" s="155"/>
      <c r="AQ598" s="155"/>
      <c r="AR598" s="155"/>
      <c r="AS598" s="155"/>
      <c r="AT598" s="155"/>
      <c r="AU598" s="155"/>
      <c r="AV598" s="155"/>
      <c r="AW598" s="155"/>
      <c r="AX598" s="155"/>
      <c r="AY598" s="155"/>
      <c r="AZ598" s="155"/>
      <c r="BA598" s="155"/>
      <c r="BB598" s="155"/>
      <c r="BC598" s="155"/>
      <c r="BD598" s="155"/>
      <c r="BE598" s="155"/>
      <c r="BF598" s="155"/>
      <c r="BG598" s="155"/>
      <c r="BH598" s="155"/>
      <c r="BI598" s="155"/>
      <c r="BJ598" s="155"/>
      <c r="BK598" s="155"/>
      <c r="BL598" s="155"/>
      <c r="BM598" s="155"/>
      <c r="BN598" s="155"/>
      <c r="BO598" s="155"/>
      <c r="BP598" s="155"/>
      <c r="BQ598" s="155"/>
      <c r="BR598" s="155"/>
      <c r="BS598" s="155"/>
      <c r="BT598" s="155"/>
      <c r="BU598" s="155"/>
      <c r="BV598" s="155"/>
      <c r="BW598" s="155"/>
      <c r="BX598" s="155"/>
      <c r="BY598" s="155"/>
      <c r="BZ598" s="155"/>
      <c r="CA598" s="155"/>
      <c r="CB598" s="155"/>
      <c r="CC598" s="155"/>
      <c r="CD598" s="155"/>
      <c r="CE598" s="155"/>
      <c r="CF598" s="155"/>
      <c r="CG598" s="155"/>
    </row>
    <row r="599" spans="1:85" ht="12.75" x14ac:dyDescent="0.2">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c r="AA599" s="155"/>
      <c r="AB599" s="155"/>
      <c r="AC599" s="155"/>
      <c r="AD599" s="155"/>
      <c r="AE599" s="155"/>
      <c r="AF599" s="155"/>
      <c r="AG599" s="155"/>
      <c r="AH599" s="155"/>
      <c r="AI599" s="155"/>
      <c r="AJ599" s="155"/>
      <c r="AK599" s="155"/>
      <c r="AL599" s="155"/>
      <c r="AM599" s="155"/>
      <c r="AN599" s="155"/>
      <c r="AO599" s="155"/>
      <c r="AP599" s="155"/>
      <c r="AQ599" s="155"/>
      <c r="AR599" s="155"/>
      <c r="AS599" s="155"/>
      <c r="AT599" s="155"/>
      <c r="AU599" s="155"/>
      <c r="AV599" s="155"/>
      <c r="AW599" s="155"/>
      <c r="AX599" s="155"/>
      <c r="AY599" s="155"/>
      <c r="AZ599" s="155"/>
      <c r="BA599" s="155"/>
      <c r="BB599" s="155"/>
      <c r="BC599" s="155"/>
      <c r="BD599" s="155"/>
      <c r="BE599" s="155"/>
      <c r="BF599" s="155"/>
      <c r="BG599" s="155"/>
      <c r="BH599" s="155"/>
      <c r="BI599" s="155"/>
      <c r="BJ599" s="155"/>
      <c r="BK599" s="155"/>
      <c r="BL599" s="155"/>
      <c r="BM599" s="155"/>
      <c r="BN599" s="155"/>
      <c r="BO599" s="155"/>
      <c r="BP599" s="155"/>
      <c r="BQ599" s="155"/>
      <c r="BR599" s="155"/>
      <c r="BS599" s="155"/>
      <c r="BT599" s="155"/>
      <c r="BU599" s="155"/>
      <c r="BV599" s="155"/>
      <c r="BW599" s="155"/>
      <c r="BX599" s="155"/>
      <c r="BY599" s="155"/>
      <c r="BZ599" s="155"/>
      <c r="CA599" s="155"/>
      <c r="CB599" s="155"/>
      <c r="CC599" s="155"/>
      <c r="CD599" s="155"/>
      <c r="CE599" s="155"/>
      <c r="CF599" s="155"/>
      <c r="CG599" s="155"/>
    </row>
    <row r="600" spans="1:85" ht="12.75" x14ac:dyDescent="0.2">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c r="AA600" s="155"/>
      <c r="AB600" s="155"/>
      <c r="AC600" s="155"/>
      <c r="AD600" s="155"/>
      <c r="AE600" s="155"/>
      <c r="AF600" s="155"/>
      <c r="AG600" s="155"/>
      <c r="AH600" s="155"/>
      <c r="AI600" s="155"/>
      <c r="AJ600" s="155"/>
      <c r="AK600" s="155"/>
      <c r="AL600" s="155"/>
      <c r="AM600" s="155"/>
      <c r="AN600" s="155"/>
      <c r="AO600" s="155"/>
      <c r="AP600" s="155"/>
      <c r="AQ600" s="155"/>
      <c r="AR600" s="155"/>
      <c r="AS600" s="155"/>
      <c r="AT600" s="155"/>
      <c r="AU600" s="155"/>
      <c r="AV600" s="155"/>
      <c r="AW600" s="155"/>
      <c r="AX600" s="155"/>
      <c r="AY600" s="155"/>
      <c r="AZ600" s="155"/>
      <c r="BA600" s="155"/>
      <c r="BB600" s="155"/>
      <c r="BC600" s="155"/>
      <c r="BD600" s="155"/>
      <c r="BE600" s="155"/>
      <c r="BF600" s="155"/>
      <c r="BG600" s="155"/>
      <c r="BH600" s="155"/>
      <c r="BI600" s="155"/>
      <c r="BJ600" s="155"/>
      <c r="BK600" s="155"/>
      <c r="BL600" s="155"/>
      <c r="BM600" s="155"/>
      <c r="BN600" s="155"/>
      <c r="BO600" s="155"/>
      <c r="BP600" s="155"/>
      <c r="BQ600" s="155"/>
      <c r="BR600" s="155"/>
      <c r="BS600" s="155"/>
      <c r="BT600" s="155"/>
      <c r="BU600" s="155"/>
      <c r="BV600" s="155"/>
      <c r="BW600" s="155"/>
      <c r="BX600" s="155"/>
      <c r="BY600" s="155"/>
      <c r="BZ600" s="155"/>
      <c r="CA600" s="155"/>
      <c r="CB600" s="155"/>
      <c r="CC600" s="155"/>
      <c r="CD600" s="155"/>
      <c r="CE600" s="155"/>
      <c r="CF600" s="155"/>
      <c r="CG600" s="155"/>
    </row>
    <row r="601" spans="1:85" ht="12.75" x14ac:dyDescent="0.2">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c r="AA601" s="155"/>
      <c r="AB601" s="155"/>
      <c r="AC601" s="155"/>
      <c r="AD601" s="155"/>
      <c r="AE601" s="155"/>
      <c r="AF601" s="155"/>
      <c r="AG601" s="155"/>
      <c r="AH601" s="155"/>
      <c r="AI601" s="155"/>
      <c r="AJ601" s="155"/>
      <c r="AK601" s="155"/>
      <c r="AL601" s="155"/>
      <c r="AM601" s="155"/>
      <c r="AN601" s="155"/>
      <c r="AO601" s="155"/>
      <c r="AP601" s="155"/>
      <c r="AQ601" s="155"/>
      <c r="AR601" s="155"/>
      <c r="AS601" s="155"/>
      <c r="AT601" s="155"/>
      <c r="AU601" s="155"/>
      <c r="AV601" s="155"/>
      <c r="AW601" s="155"/>
      <c r="AX601" s="155"/>
      <c r="AY601" s="155"/>
      <c r="AZ601" s="155"/>
      <c r="BA601" s="155"/>
      <c r="BB601" s="155"/>
      <c r="BC601" s="155"/>
      <c r="BD601" s="155"/>
      <c r="BE601" s="155"/>
      <c r="BF601" s="155"/>
      <c r="BG601" s="155"/>
      <c r="BH601" s="155"/>
      <c r="BI601" s="155"/>
      <c r="BJ601" s="155"/>
      <c r="BK601" s="155"/>
      <c r="BL601" s="155"/>
      <c r="BM601" s="155"/>
      <c r="BN601" s="155"/>
      <c r="BO601" s="155"/>
      <c r="BP601" s="155"/>
      <c r="BQ601" s="155"/>
      <c r="BR601" s="155"/>
      <c r="BS601" s="155"/>
      <c r="BT601" s="155"/>
      <c r="BU601" s="155"/>
      <c r="BV601" s="155"/>
      <c r="BW601" s="155"/>
      <c r="BX601" s="155"/>
      <c r="BY601" s="155"/>
      <c r="BZ601" s="155"/>
      <c r="CA601" s="155"/>
      <c r="CB601" s="155"/>
      <c r="CC601" s="155"/>
      <c r="CD601" s="155"/>
      <c r="CE601" s="155"/>
      <c r="CF601" s="155"/>
      <c r="CG601" s="155"/>
    </row>
    <row r="602" spans="1:85" ht="12.75" x14ac:dyDescent="0.2">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c r="AA602" s="155"/>
      <c r="AB602" s="155"/>
      <c r="AC602" s="155"/>
      <c r="AD602" s="155"/>
      <c r="AE602" s="155"/>
      <c r="AF602" s="155"/>
      <c r="AG602" s="155"/>
      <c r="AH602" s="155"/>
      <c r="AI602" s="155"/>
      <c r="AJ602" s="155"/>
      <c r="AK602" s="155"/>
      <c r="AL602" s="155"/>
      <c r="AM602" s="155"/>
      <c r="AN602" s="155"/>
      <c r="AO602" s="155"/>
      <c r="AP602" s="155"/>
      <c r="AQ602" s="155"/>
      <c r="AR602" s="155"/>
      <c r="AS602" s="155"/>
      <c r="AT602" s="155"/>
      <c r="AU602" s="155"/>
      <c r="AV602" s="155"/>
      <c r="AW602" s="155"/>
      <c r="AX602" s="155"/>
      <c r="AY602" s="155"/>
      <c r="AZ602" s="155"/>
      <c r="BA602" s="155"/>
      <c r="BB602" s="155"/>
      <c r="BC602" s="155"/>
      <c r="BD602" s="155"/>
      <c r="BE602" s="155"/>
      <c r="BF602" s="155"/>
      <c r="BG602" s="155"/>
      <c r="BH602" s="155"/>
      <c r="BI602" s="155"/>
      <c r="BJ602" s="155"/>
      <c r="BK602" s="155"/>
      <c r="BL602" s="155"/>
      <c r="BM602" s="155"/>
      <c r="BN602" s="155"/>
      <c r="BO602" s="155"/>
      <c r="BP602" s="155"/>
      <c r="BQ602" s="155"/>
      <c r="BR602" s="155"/>
      <c r="BS602" s="155"/>
      <c r="BT602" s="155"/>
      <c r="BU602" s="155"/>
      <c r="BV602" s="155"/>
      <c r="BW602" s="155"/>
      <c r="BX602" s="155"/>
      <c r="BY602" s="155"/>
      <c r="BZ602" s="155"/>
      <c r="CA602" s="155"/>
      <c r="CB602" s="155"/>
      <c r="CC602" s="155"/>
      <c r="CD602" s="155"/>
      <c r="CE602" s="155"/>
      <c r="CF602" s="155"/>
      <c r="CG602" s="155"/>
    </row>
    <row r="603" spans="1:85" ht="12.75" x14ac:dyDescent="0.2">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c r="AA603" s="155"/>
      <c r="AB603" s="155"/>
      <c r="AC603" s="155"/>
      <c r="AD603" s="155"/>
      <c r="AE603" s="155"/>
      <c r="AF603" s="155"/>
      <c r="AG603" s="155"/>
      <c r="AH603" s="155"/>
      <c r="AI603" s="155"/>
      <c r="AJ603" s="155"/>
      <c r="AK603" s="155"/>
      <c r="AL603" s="155"/>
      <c r="AM603" s="155"/>
      <c r="AN603" s="155"/>
      <c r="AO603" s="155"/>
      <c r="AP603" s="155"/>
      <c r="AQ603" s="155"/>
      <c r="AR603" s="155"/>
      <c r="AS603" s="155"/>
      <c r="AT603" s="155"/>
      <c r="AU603" s="155"/>
      <c r="AV603" s="155"/>
      <c r="AW603" s="155"/>
      <c r="AX603" s="155"/>
      <c r="AY603" s="155"/>
      <c r="AZ603" s="155"/>
      <c r="BA603" s="155"/>
      <c r="BB603" s="155"/>
      <c r="BC603" s="155"/>
      <c r="BD603" s="155"/>
      <c r="BE603" s="155"/>
      <c r="BF603" s="155"/>
      <c r="BG603" s="155"/>
      <c r="BH603" s="155"/>
      <c r="BI603" s="155"/>
      <c r="BJ603" s="155"/>
      <c r="BK603" s="155"/>
      <c r="BL603" s="155"/>
      <c r="BM603" s="155"/>
      <c r="BN603" s="155"/>
      <c r="BO603" s="155"/>
      <c r="BP603" s="155"/>
      <c r="BQ603" s="155"/>
      <c r="BR603" s="155"/>
      <c r="BS603" s="155"/>
      <c r="BT603" s="155"/>
      <c r="BU603" s="155"/>
      <c r="BV603" s="155"/>
      <c r="BW603" s="155"/>
      <c r="BX603" s="155"/>
      <c r="BY603" s="155"/>
      <c r="BZ603" s="155"/>
      <c r="CA603" s="155"/>
      <c r="CB603" s="155"/>
      <c r="CC603" s="155"/>
      <c r="CD603" s="155"/>
      <c r="CE603" s="155"/>
      <c r="CF603" s="155"/>
      <c r="CG603" s="155"/>
    </row>
    <row r="604" spans="1:85" ht="12.75" x14ac:dyDescent="0.2">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c r="AB604" s="155"/>
      <c r="AC604" s="155"/>
      <c r="AD604" s="155"/>
      <c r="AE604" s="155"/>
      <c r="AF604" s="155"/>
      <c r="AG604" s="155"/>
      <c r="AH604" s="155"/>
      <c r="AI604" s="155"/>
      <c r="AJ604" s="155"/>
      <c r="AK604" s="155"/>
      <c r="AL604" s="155"/>
      <c r="AM604" s="155"/>
      <c r="AN604" s="155"/>
      <c r="AO604" s="155"/>
      <c r="AP604" s="155"/>
      <c r="AQ604" s="155"/>
      <c r="AR604" s="155"/>
      <c r="AS604" s="155"/>
      <c r="AT604" s="155"/>
      <c r="AU604" s="155"/>
      <c r="AV604" s="155"/>
      <c r="AW604" s="155"/>
      <c r="AX604" s="155"/>
      <c r="AY604" s="155"/>
      <c r="AZ604" s="155"/>
      <c r="BA604" s="155"/>
      <c r="BB604" s="155"/>
      <c r="BC604" s="155"/>
      <c r="BD604" s="155"/>
      <c r="BE604" s="155"/>
      <c r="BF604" s="155"/>
      <c r="BG604" s="155"/>
      <c r="BH604" s="155"/>
      <c r="BI604" s="155"/>
      <c r="BJ604" s="155"/>
      <c r="BK604" s="155"/>
      <c r="BL604" s="155"/>
      <c r="BM604" s="155"/>
      <c r="BN604" s="155"/>
      <c r="BO604" s="155"/>
      <c r="BP604" s="155"/>
      <c r="BQ604" s="155"/>
      <c r="BR604" s="155"/>
      <c r="BS604" s="155"/>
      <c r="BT604" s="155"/>
      <c r="BU604" s="155"/>
      <c r="BV604" s="155"/>
      <c r="BW604" s="155"/>
      <c r="BX604" s="155"/>
      <c r="BY604" s="155"/>
      <c r="BZ604" s="155"/>
      <c r="CA604" s="155"/>
      <c r="CB604" s="155"/>
      <c r="CC604" s="155"/>
      <c r="CD604" s="155"/>
      <c r="CE604" s="155"/>
      <c r="CF604" s="155"/>
      <c r="CG604" s="155"/>
    </row>
    <row r="605" spans="1:85" ht="12.75" x14ac:dyDescent="0.2">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c r="AB605" s="155"/>
      <c r="AC605" s="155"/>
      <c r="AD605" s="155"/>
      <c r="AE605" s="155"/>
      <c r="AF605" s="155"/>
      <c r="AG605" s="155"/>
      <c r="AH605" s="155"/>
      <c r="AI605" s="155"/>
      <c r="AJ605" s="155"/>
      <c r="AK605" s="155"/>
      <c r="AL605" s="155"/>
      <c r="AM605" s="155"/>
      <c r="AN605" s="155"/>
      <c r="AO605" s="155"/>
      <c r="AP605" s="155"/>
      <c r="AQ605" s="155"/>
      <c r="AR605" s="155"/>
      <c r="AS605" s="155"/>
      <c r="AT605" s="155"/>
      <c r="AU605" s="155"/>
      <c r="AV605" s="155"/>
      <c r="AW605" s="155"/>
      <c r="AX605" s="155"/>
      <c r="AY605" s="155"/>
      <c r="AZ605" s="155"/>
      <c r="BA605" s="155"/>
      <c r="BB605" s="155"/>
      <c r="BC605" s="155"/>
      <c r="BD605" s="155"/>
      <c r="BE605" s="155"/>
      <c r="BF605" s="155"/>
      <c r="BG605" s="155"/>
      <c r="BH605" s="155"/>
      <c r="BI605" s="155"/>
      <c r="BJ605" s="155"/>
      <c r="BK605" s="155"/>
      <c r="BL605" s="155"/>
      <c r="BM605" s="155"/>
      <c r="BN605" s="155"/>
      <c r="BO605" s="155"/>
      <c r="BP605" s="155"/>
      <c r="BQ605" s="155"/>
      <c r="BR605" s="155"/>
      <c r="BS605" s="155"/>
      <c r="BT605" s="155"/>
      <c r="BU605" s="155"/>
      <c r="BV605" s="155"/>
      <c r="BW605" s="155"/>
      <c r="BX605" s="155"/>
      <c r="BY605" s="155"/>
      <c r="BZ605" s="155"/>
      <c r="CA605" s="155"/>
      <c r="CB605" s="155"/>
      <c r="CC605" s="155"/>
      <c r="CD605" s="155"/>
      <c r="CE605" s="155"/>
      <c r="CF605" s="155"/>
      <c r="CG605" s="155"/>
    </row>
    <row r="606" spans="1:85" ht="12.75" x14ac:dyDescent="0.2">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c r="AB606" s="155"/>
      <c r="AC606" s="155"/>
      <c r="AD606" s="155"/>
      <c r="AE606" s="155"/>
      <c r="AF606" s="155"/>
      <c r="AG606" s="155"/>
      <c r="AH606" s="155"/>
      <c r="AI606" s="155"/>
      <c r="AJ606" s="155"/>
      <c r="AK606" s="155"/>
      <c r="AL606" s="155"/>
      <c r="AM606" s="155"/>
      <c r="AN606" s="155"/>
      <c r="AO606" s="155"/>
      <c r="AP606" s="155"/>
      <c r="AQ606" s="155"/>
      <c r="AR606" s="155"/>
      <c r="AS606" s="155"/>
      <c r="AT606" s="155"/>
      <c r="AU606" s="155"/>
      <c r="AV606" s="155"/>
      <c r="AW606" s="155"/>
      <c r="AX606" s="155"/>
      <c r="AY606" s="155"/>
      <c r="AZ606" s="155"/>
      <c r="BA606" s="155"/>
      <c r="BB606" s="155"/>
      <c r="BC606" s="155"/>
      <c r="BD606" s="155"/>
      <c r="BE606" s="155"/>
      <c r="BF606" s="155"/>
      <c r="BG606" s="155"/>
      <c r="BH606" s="155"/>
      <c r="BI606" s="155"/>
      <c r="BJ606" s="155"/>
      <c r="BK606" s="155"/>
      <c r="BL606" s="155"/>
      <c r="BM606" s="155"/>
      <c r="BN606" s="155"/>
      <c r="BO606" s="155"/>
      <c r="BP606" s="155"/>
      <c r="BQ606" s="155"/>
      <c r="BR606" s="155"/>
      <c r="BS606" s="155"/>
      <c r="BT606" s="155"/>
      <c r="BU606" s="155"/>
      <c r="BV606" s="155"/>
      <c r="BW606" s="155"/>
      <c r="BX606" s="155"/>
      <c r="BY606" s="155"/>
      <c r="BZ606" s="155"/>
      <c r="CA606" s="155"/>
      <c r="CB606" s="155"/>
      <c r="CC606" s="155"/>
      <c r="CD606" s="155"/>
      <c r="CE606" s="155"/>
      <c r="CF606" s="155"/>
      <c r="CG606" s="155"/>
    </row>
    <row r="607" spans="1:85" ht="12.75" x14ac:dyDescent="0.2">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c r="AB607" s="155"/>
      <c r="AC607" s="155"/>
      <c r="AD607" s="155"/>
      <c r="AE607" s="155"/>
      <c r="AF607" s="155"/>
      <c r="AG607" s="155"/>
      <c r="AH607" s="155"/>
      <c r="AI607" s="155"/>
      <c r="AJ607" s="155"/>
      <c r="AK607" s="155"/>
      <c r="AL607" s="155"/>
      <c r="AM607" s="155"/>
      <c r="AN607" s="155"/>
      <c r="AO607" s="155"/>
      <c r="AP607" s="155"/>
      <c r="AQ607" s="155"/>
      <c r="AR607" s="155"/>
      <c r="AS607" s="155"/>
      <c r="AT607" s="155"/>
      <c r="AU607" s="155"/>
      <c r="AV607" s="155"/>
      <c r="AW607" s="155"/>
      <c r="AX607" s="155"/>
      <c r="AY607" s="155"/>
      <c r="AZ607" s="155"/>
      <c r="BA607" s="155"/>
      <c r="BB607" s="155"/>
      <c r="BC607" s="155"/>
      <c r="BD607" s="155"/>
      <c r="BE607" s="155"/>
      <c r="BF607" s="155"/>
      <c r="BG607" s="155"/>
      <c r="BH607" s="155"/>
      <c r="BI607" s="155"/>
      <c r="BJ607" s="155"/>
      <c r="BK607" s="155"/>
      <c r="BL607" s="155"/>
      <c r="BM607" s="155"/>
      <c r="BN607" s="155"/>
      <c r="BO607" s="155"/>
      <c r="BP607" s="155"/>
      <c r="BQ607" s="155"/>
      <c r="BR607" s="155"/>
      <c r="BS607" s="155"/>
      <c r="BT607" s="155"/>
      <c r="BU607" s="155"/>
      <c r="BV607" s="155"/>
      <c r="BW607" s="155"/>
      <c r="BX607" s="155"/>
      <c r="BY607" s="155"/>
      <c r="BZ607" s="155"/>
      <c r="CA607" s="155"/>
      <c r="CB607" s="155"/>
      <c r="CC607" s="155"/>
      <c r="CD607" s="155"/>
      <c r="CE607" s="155"/>
      <c r="CF607" s="155"/>
      <c r="CG607" s="155"/>
    </row>
    <row r="608" spans="1:85" ht="12.75" x14ac:dyDescent="0.2">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c r="AB608" s="155"/>
      <c r="AC608" s="155"/>
      <c r="AD608" s="155"/>
      <c r="AE608" s="155"/>
      <c r="AF608" s="155"/>
      <c r="AG608" s="155"/>
      <c r="AH608" s="155"/>
      <c r="AI608" s="155"/>
      <c r="AJ608" s="155"/>
      <c r="AK608" s="155"/>
      <c r="AL608" s="155"/>
      <c r="AM608" s="155"/>
      <c r="AN608" s="155"/>
      <c r="AO608" s="155"/>
      <c r="AP608" s="155"/>
      <c r="AQ608" s="155"/>
      <c r="AR608" s="155"/>
      <c r="AS608" s="155"/>
      <c r="AT608" s="155"/>
      <c r="AU608" s="155"/>
      <c r="AV608" s="155"/>
      <c r="AW608" s="155"/>
      <c r="AX608" s="155"/>
      <c r="AY608" s="155"/>
      <c r="AZ608" s="155"/>
      <c r="BA608" s="155"/>
      <c r="BB608" s="155"/>
      <c r="BC608" s="155"/>
      <c r="BD608" s="155"/>
      <c r="BE608" s="155"/>
      <c r="BF608" s="155"/>
      <c r="BG608" s="155"/>
      <c r="BH608" s="155"/>
      <c r="BI608" s="155"/>
      <c r="BJ608" s="155"/>
      <c r="BK608" s="155"/>
      <c r="BL608" s="155"/>
      <c r="BM608" s="155"/>
      <c r="BN608" s="155"/>
      <c r="BO608" s="155"/>
      <c r="BP608" s="155"/>
      <c r="BQ608" s="155"/>
      <c r="BR608" s="155"/>
      <c r="BS608" s="155"/>
      <c r="BT608" s="155"/>
      <c r="BU608" s="155"/>
      <c r="BV608" s="155"/>
      <c r="BW608" s="155"/>
      <c r="BX608" s="155"/>
      <c r="BY608" s="155"/>
      <c r="BZ608" s="155"/>
      <c r="CA608" s="155"/>
      <c r="CB608" s="155"/>
      <c r="CC608" s="155"/>
      <c r="CD608" s="155"/>
      <c r="CE608" s="155"/>
      <c r="CF608" s="155"/>
      <c r="CG608" s="155"/>
    </row>
    <row r="609" spans="1:85" ht="12.75" x14ac:dyDescent="0.2">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c r="AB609" s="155"/>
      <c r="AC609" s="155"/>
      <c r="AD609" s="155"/>
      <c r="AE609" s="155"/>
      <c r="AF609" s="155"/>
      <c r="AG609" s="155"/>
      <c r="AH609" s="155"/>
      <c r="AI609" s="155"/>
      <c r="AJ609" s="155"/>
      <c r="AK609" s="155"/>
      <c r="AL609" s="155"/>
      <c r="AM609" s="155"/>
      <c r="AN609" s="155"/>
      <c r="AO609" s="155"/>
      <c r="AP609" s="155"/>
      <c r="AQ609" s="155"/>
      <c r="AR609" s="155"/>
      <c r="AS609" s="155"/>
      <c r="AT609" s="155"/>
      <c r="AU609" s="155"/>
      <c r="AV609" s="155"/>
      <c r="AW609" s="155"/>
      <c r="AX609" s="155"/>
      <c r="AY609" s="155"/>
      <c r="AZ609" s="155"/>
      <c r="BA609" s="155"/>
      <c r="BB609" s="155"/>
      <c r="BC609" s="155"/>
      <c r="BD609" s="155"/>
      <c r="BE609" s="155"/>
      <c r="BF609" s="155"/>
      <c r="BG609" s="155"/>
      <c r="BH609" s="155"/>
      <c r="BI609" s="155"/>
      <c r="BJ609" s="155"/>
      <c r="BK609" s="155"/>
      <c r="BL609" s="155"/>
      <c r="BM609" s="155"/>
      <c r="BN609" s="155"/>
      <c r="BO609" s="155"/>
      <c r="BP609" s="155"/>
      <c r="BQ609" s="155"/>
      <c r="BR609" s="155"/>
      <c r="BS609" s="155"/>
      <c r="BT609" s="155"/>
      <c r="BU609" s="155"/>
      <c r="BV609" s="155"/>
      <c r="BW609" s="155"/>
      <c r="BX609" s="155"/>
      <c r="BY609" s="155"/>
      <c r="BZ609" s="155"/>
      <c r="CA609" s="155"/>
      <c r="CB609" s="155"/>
      <c r="CC609" s="155"/>
      <c r="CD609" s="155"/>
      <c r="CE609" s="155"/>
      <c r="CF609" s="155"/>
      <c r="CG609" s="155"/>
    </row>
    <row r="610" spans="1:85" ht="12.75" x14ac:dyDescent="0.2">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c r="AB610" s="155"/>
      <c r="AC610" s="155"/>
      <c r="AD610" s="155"/>
      <c r="AE610" s="155"/>
      <c r="AF610" s="155"/>
      <c r="AG610" s="155"/>
      <c r="AH610" s="155"/>
      <c r="AI610" s="155"/>
      <c r="AJ610" s="155"/>
      <c r="AK610" s="155"/>
      <c r="AL610" s="155"/>
      <c r="AM610" s="155"/>
      <c r="AN610" s="155"/>
      <c r="AO610" s="155"/>
      <c r="AP610" s="155"/>
      <c r="AQ610" s="155"/>
      <c r="AR610" s="155"/>
      <c r="AS610" s="155"/>
      <c r="AT610" s="155"/>
      <c r="AU610" s="155"/>
      <c r="AV610" s="155"/>
      <c r="AW610" s="155"/>
      <c r="AX610" s="155"/>
      <c r="AY610" s="155"/>
      <c r="AZ610" s="155"/>
      <c r="BA610" s="155"/>
      <c r="BB610" s="155"/>
      <c r="BC610" s="155"/>
      <c r="BD610" s="155"/>
      <c r="BE610" s="155"/>
      <c r="BF610" s="155"/>
      <c r="BG610" s="155"/>
      <c r="BH610" s="155"/>
      <c r="BI610" s="155"/>
      <c r="BJ610" s="155"/>
      <c r="BK610" s="155"/>
      <c r="BL610" s="155"/>
      <c r="BM610" s="155"/>
      <c r="BN610" s="155"/>
      <c r="BO610" s="155"/>
      <c r="BP610" s="155"/>
      <c r="BQ610" s="155"/>
      <c r="BR610" s="155"/>
      <c r="BS610" s="155"/>
      <c r="BT610" s="155"/>
      <c r="BU610" s="155"/>
      <c r="BV610" s="155"/>
      <c r="BW610" s="155"/>
      <c r="BX610" s="155"/>
      <c r="BY610" s="155"/>
      <c r="BZ610" s="155"/>
      <c r="CA610" s="155"/>
      <c r="CB610" s="155"/>
      <c r="CC610" s="155"/>
      <c r="CD610" s="155"/>
      <c r="CE610" s="155"/>
      <c r="CF610" s="155"/>
      <c r="CG610" s="155"/>
    </row>
    <row r="611" spans="1:85" ht="12.75" x14ac:dyDescent="0.2">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c r="AB611" s="155"/>
      <c r="AC611" s="155"/>
      <c r="AD611" s="155"/>
      <c r="AE611" s="155"/>
      <c r="AF611" s="155"/>
      <c r="AG611" s="155"/>
      <c r="AH611" s="155"/>
      <c r="AI611" s="155"/>
      <c r="AJ611" s="155"/>
      <c r="AK611" s="155"/>
      <c r="AL611" s="155"/>
      <c r="AM611" s="155"/>
      <c r="AN611" s="155"/>
      <c r="AO611" s="155"/>
      <c r="AP611" s="155"/>
      <c r="AQ611" s="155"/>
      <c r="AR611" s="155"/>
      <c r="AS611" s="155"/>
      <c r="AT611" s="155"/>
      <c r="AU611" s="155"/>
      <c r="AV611" s="155"/>
      <c r="AW611" s="155"/>
      <c r="AX611" s="155"/>
      <c r="AY611" s="155"/>
      <c r="AZ611" s="155"/>
      <c r="BA611" s="155"/>
      <c r="BB611" s="155"/>
      <c r="BC611" s="155"/>
      <c r="BD611" s="155"/>
      <c r="BE611" s="155"/>
      <c r="BF611" s="155"/>
      <c r="BG611" s="155"/>
      <c r="BH611" s="155"/>
      <c r="BI611" s="155"/>
      <c r="BJ611" s="155"/>
      <c r="BK611" s="155"/>
      <c r="BL611" s="155"/>
      <c r="BM611" s="155"/>
      <c r="BN611" s="155"/>
      <c r="BO611" s="155"/>
      <c r="BP611" s="155"/>
      <c r="BQ611" s="155"/>
      <c r="BR611" s="155"/>
      <c r="BS611" s="155"/>
      <c r="BT611" s="155"/>
      <c r="BU611" s="155"/>
      <c r="BV611" s="155"/>
      <c r="BW611" s="155"/>
      <c r="BX611" s="155"/>
      <c r="BY611" s="155"/>
      <c r="BZ611" s="155"/>
      <c r="CA611" s="155"/>
      <c r="CB611" s="155"/>
      <c r="CC611" s="155"/>
      <c r="CD611" s="155"/>
      <c r="CE611" s="155"/>
      <c r="CF611" s="155"/>
      <c r="CG611" s="155"/>
    </row>
    <row r="612" spans="1:85" ht="12.75" x14ac:dyDescent="0.2">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c r="AB612" s="155"/>
      <c r="AC612" s="155"/>
      <c r="AD612" s="155"/>
      <c r="AE612" s="155"/>
      <c r="AF612" s="155"/>
      <c r="AG612" s="155"/>
      <c r="AH612" s="155"/>
      <c r="AI612" s="155"/>
      <c r="AJ612" s="155"/>
      <c r="AK612" s="155"/>
      <c r="AL612" s="155"/>
      <c r="AM612" s="155"/>
      <c r="AN612" s="155"/>
      <c r="AO612" s="155"/>
      <c r="AP612" s="155"/>
      <c r="AQ612" s="155"/>
      <c r="AR612" s="155"/>
      <c r="AS612" s="155"/>
      <c r="AT612" s="155"/>
      <c r="AU612" s="155"/>
      <c r="AV612" s="155"/>
      <c r="AW612" s="155"/>
      <c r="AX612" s="155"/>
      <c r="AY612" s="155"/>
      <c r="AZ612" s="155"/>
      <c r="BA612" s="155"/>
      <c r="BB612" s="155"/>
      <c r="BC612" s="155"/>
      <c r="BD612" s="155"/>
      <c r="BE612" s="155"/>
      <c r="BF612" s="155"/>
      <c r="BG612" s="155"/>
      <c r="BH612" s="155"/>
      <c r="BI612" s="155"/>
      <c r="BJ612" s="155"/>
      <c r="BK612" s="155"/>
      <c r="BL612" s="155"/>
      <c r="BM612" s="155"/>
      <c r="BN612" s="155"/>
      <c r="BO612" s="155"/>
      <c r="BP612" s="155"/>
      <c r="BQ612" s="155"/>
      <c r="BR612" s="155"/>
      <c r="BS612" s="155"/>
      <c r="BT612" s="155"/>
      <c r="BU612" s="155"/>
      <c r="BV612" s="155"/>
      <c r="BW612" s="155"/>
      <c r="BX612" s="155"/>
      <c r="BY612" s="155"/>
      <c r="BZ612" s="155"/>
      <c r="CA612" s="155"/>
      <c r="CB612" s="155"/>
      <c r="CC612" s="155"/>
      <c r="CD612" s="155"/>
      <c r="CE612" s="155"/>
      <c r="CF612" s="155"/>
      <c r="CG612" s="155"/>
    </row>
    <row r="613" spans="1:85" ht="12.75" x14ac:dyDescent="0.2">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c r="AB613" s="155"/>
      <c r="AC613" s="155"/>
      <c r="AD613" s="155"/>
      <c r="AE613" s="155"/>
      <c r="AF613" s="155"/>
      <c r="AG613" s="155"/>
      <c r="AH613" s="155"/>
      <c r="AI613" s="155"/>
      <c r="AJ613" s="155"/>
      <c r="AK613" s="155"/>
      <c r="AL613" s="155"/>
      <c r="AM613" s="155"/>
      <c r="AN613" s="155"/>
      <c r="AO613" s="155"/>
      <c r="AP613" s="155"/>
      <c r="AQ613" s="155"/>
      <c r="AR613" s="155"/>
      <c r="AS613" s="155"/>
      <c r="AT613" s="155"/>
      <c r="AU613" s="155"/>
      <c r="AV613" s="155"/>
      <c r="AW613" s="155"/>
      <c r="AX613" s="155"/>
      <c r="AY613" s="155"/>
      <c r="AZ613" s="155"/>
      <c r="BA613" s="155"/>
      <c r="BB613" s="155"/>
      <c r="BC613" s="155"/>
      <c r="BD613" s="155"/>
      <c r="BE613" s="155"/>
      <c r="BF613" s="155"/>
      <c r="BG613" s="155"/>
      <c r="BH613" s="155"/>
      <c r="BI613" s="155"/>
      <c r="BJ613" s="155"/>
      <c r="BK613" s="155"/>
      <c r="BL613" s="155"/>
      <c r="BM613" s="155"/>
      <c r="BN613" s="155"/>
      <c r="BO613" s="155"/>
      <c r="BP613" s="155"/>
      <c r="BQ613" s="155"/>
      <c r="BR613" s="155"/>
      <c r="BS613" s="155"/>
      <c r="BT613" s="155"/>
      <c r="BU613" s="155"/>
      <c r="BV613" s="155"/>
      <c r="BW613" s="155"/>
      <c r="BX613" s="155"/>
      <c r="BY613" s="155"/>
      <c r="BZ613" s="155"/>
      <c r="CA613" s="155"/>
      <c r="CB613" s="155"/>
      <c r="CC613" s="155"/>
      <c r="CD613" s="155"/>
      <c r="CE613" s="155"/>
      <c r="CF613" s="155"/>
      <c r="CG613" s="155"/>
    </row>
    <row r="614" spans="1:85" ht="12.75" x14ac:dyDescent="0.2">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c r="AB614" s="155"/>
      <c r="AC614" s="155"/>
      <c r="AD614" s="155"/>
      <c r="AE614" s="155"/>
      <c r="AF614" s="155"/>
      <c r="AG614" s="155"/>
      <c r="AH614" s="155"/>
      <c r="AI614" s="155"/>
      <c r="AJ614" s="155"/>
      <c r="AK614" s="155"/>
      <c r="AL614" s="155"/>
      <c r="AM614" s="155"/>
      <c r="AN614" s="155"/>
      <c r="AO614" s="155"/>
      <c r="AP614" s="155"/>
      <c r="AQ614" s="155"/>
      <c r="AR614" s="155"/>
      <c r="AS614" s="155"/>
      <c r="AT614" s="155"/>
      <c r="AU614" s="155"/>
      <c r="AV614" s="155"/>
      <c r="AW614" s="155"/>
      <c r="AX614" s="155"/>
      <c r="AY614" s="155"/>
      <c r="AZ614" s="155"/>
      <c r="BA614" s="155"/>
      <c r="BB614" s="155"/>
      <c r="BC614" s="155"/>
      <c r="BD614" s="155"/>
      <c r="BE614" s="155"/>
      <c r="BF614" s="155"/>
      <c r="BG614" s="155"/>
      <c r="BH614" s="155"/>
      <c r="BI614" s="155"/>
      <c r="BJ614" s="155"/>
      <c r="BK614" s="155"/>
      <c r="BL614" s="155"/>
      <c r="BM614" s="155"/>
      <c r="BN614" s="155"/>
      <c r="BO614" s="155"/>
      <c r="BP614" s="155"/>
      <c r="BQ614" s="155"/>
      <c r="BR614" s="155"/>
      <c r="BS614" s="155"/>
      <c r="BT614" s="155"/>
      <c r="BU614" s="155"/>
      <c r="BV614" s="155"/>
      <c r="BW614" s="155"/>
      <c r="BX614" s="155"/>
      <c r="BY614" s="155"/>
      <c r="BZ614" s="155"/>
      <c r="CA614" s="155"/>
      <c r="CB614" s="155"/>
      <c r="CC614" s="155"/>
      <c r="CD614" s="155"/>
      <c r="CE614" s="155"/>
      <c r="CF614" s="155"/>
      <c r="CG614" s="155"/>
    </row>
    <row r="615" spans="1:85" ht="12.75" x14ac:dyDescent="0.2">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c r="AB615" s="155"/>
      <c r="AC615" s="155"/>
      <c r="AD615" s="155"/>
      <c r="AE615" s="155"/>
      <c r="AF615" s="155"/>
      <c r="AG615" s="155"/>
      <c r="AH615" s="155"/>
      <c r="AI615" s="155"/>
      <c r="AJ615" s="155"/>
      <c r="AK615" s="155"/>
      <c r="AL615" s="155"/>
      <c r="AM615" s="155"/>
      <c r="AN615" s="155"/>
      <c r="AO615" s="155"/>
      <c r="AP615" s="155"/>
      <c r="AQ615" s="155"/>
      <c r="AR615" s="155"/>
      <c r="AS615" s="155"/>
      <c r="AT615" s="155"/>
      <c r="AU615" s="155"/>
      <c r="AV615" s="155"/>
      <c r="AW615" s="155"/>
      <c r="AX615" s="155"/>
      <c r="AY615" s="155"/>
      <c r="AZ615" s="155"/>
      <c r="BA615" s="155"/>
      <c r="BB615" s="155"/>
      <c r="BC615" s="155"/>
      <c r="BD615" s="155"/>
      <c r="BE615" s="155"/>
      <c r="BF615" s="155"/>
      <c r="BG615" s="155"/>
      <c r="BH615" s="155"/>
      <c r="BI615" s="155"/>
      <c r="BJ615" s="155"/>
      <c r="BK615" s="155"/>
      <c r="BL615" s="155"/>
      <c r="BM615" s="155"/>
      <c r="BN615" s="155"/>
      <c r="BO615" s="155"/>
      <c r="BP615" s="155"/>
      <c r="BQ615" s="155"/>
      <c r="BR615" s="155"/>
      <c r="BS615" s="155"/>
      <c r="BT615" s="155"/>
      <c r="BU615" s="155"/>
      <c r="BV615" s="155"/>
      <c r="BW615" s="155"/>
      <c r="BX615" s="155"/>
      <c r="BY615" s="155"/>
      <c r="BZ615" s="155"/>
      <c r="CA615" s="155"/>
      <c r="CB615" s="155"/>
      <c r="CC615" s="155"/>
      <c r="CD615" s="155"/>
      <c r="CE615" s="155"/>
      <c r="CF615" s="155"/>
      <c r="CG615" s="155"/>
    </row>
    <row r="616" spans="1:85" ht="12.75" x14ac:dyDescent="0.2">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c r="AB616" s="155"/>
      <c r="AC616" s="155"/>
      <c r="AD616" s="155"/>
      <c r="AE616" s="155"/>
      <c r="AF616" s="155"/>
      <c r="AG616" s="155"/>
      <c r="AH616" s="155"/>
      <c r="AI616" s="155"/>
      <c r="AJ616" s="155"/>
      <c r="AK616" s="155"/>
      <c r="AL616" s="155"/>
      <c r="AM616" s="155"/>
      <c r="AN616" s="155"/>
      <c r="AO616" s="155"/>
      <c r="AP616" s="155"/>
      <c r="AQ616" s="155"/>
      <c r="AR616" s="155"/>
      <c r="AS616" s="155"/>
      <c r="AT616" s="155"/>
      <c r="AU616" s="155"/>
      <c r="AV616" s="155"/>
      <c r="AW616" s="155"/>
      <c r="AX616" s="155"/>
      <c r="AY616" s="155"/>
      <c r="AZ616" s="155"/>
      <c r="BA616" s="155"/>
      <c r="BB616" s="155"/>
      <c r="BC616" s="155"/>
      <c r="BD616" s="155"/>
      <c r="BE616" s="155"/>
      <c r="BF616" s="155"/>
      <c r="BG616" s="155"/>
      <c r="BH616" s="155"/>
      <c r="BI616" s="155"/>
      <c r="BJ616" s="155"/>
      <c r="BK616" s="155"/>
      <c r="BL616" s="155"/>
      <c r="BM616" s="155"/>
      <c r="BN616" s="155"/>
      <c r="BO616" s="155"/>
      <c r="BP616" s="155"/>
      <c r="BQ616" s="155"/>
      <c r="BR616" s="155"/>
      <c r="BS616" s="155"/>
      <c r="BT616" s="155"/>
      <c r="BU616" s="155"/>
      <c r="BV616" s="155"/>
      <c r="BW616" s="155"/>
      <c r="BX616" s="155"/>
      <c r="BY616" s="155"/>
      <c r="BZ616" s="155"/>
      <c r="CA616" s="155"/>
      <c r="CB616" s="155"/>
      <c r="CC616" s="155"/>
      <c r="CD616" s="155"/>
      <c r="CE616" s="155"/>
      <c r="CF616" s="155"/>
      <c r="CG616" s="155"/>
    </row>
    <row r="617" spans="1:85" ht="12.75" x14ac:dyDescent="0.2">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c r="AB617" s="155"/>
      <c r="AC617" s="155"/>
      <c r="AD617" s="155"/>
      <c r="AE617" s="155"/>
      <c r="AF617" s="155"/>
      <c r="AG617" s="155"/>
      <c r="AH617" s="155"/>
      <c r="AI617" s="155"/>
      <c r="AJ617" s="155"/>
      <c r="AK617" s="155"/>
      <c r="AL617" s="155"/>
      <c r="AM617" s="155"/>
      <c r="AN617" s="155"/>
      <c r="AO617" s="155"/>
      <c r="AP617" s="155"/>
      <c r="AQ617" s="155"/>
      <c r="AR617" s="155"/>
      <c r="AS617" s="155"/>
      <c r="AT617" s="155"/>
      <c r="AU617" s="155"/>
      <c r="AV617" s="155"/>
      <c r="AW617" s="155"/>
      <c r="AX617" s="155"/>
      <c r="AY617" s="155"/>
      <c r="AZ617" s="155"/>
      <c r="BA617" s="155"/>
      <c r="BB617" s="155"/>
      <c r="BC617" s="155"/>
      <c r="BD617" s="155"/>
      <c r="BE617" s="155"/>
      <c r="BF617" s="155"/>
      <c r="BG617" s="155"/>
      <c r="BH617" s="155"/>
      <c r="BI617" s="155"/>
      <c r="BJ617" s="155"/>
      <c r="BK617" s="155"/>
      <c r="BL617" s="155"/>
      <c r="BM617" s="155"/>
      <c r="BN617" s="155"/>
      <c r="BO617" s="155"/>
      <c r="BP617" s="155"/>
      <c r="BQ617" s="155"/>
      <c r="BR617" s="155"/>
      <c r="BS617" s="155"/>
      <c r="BT617" s="155"/>
      <c r="BU617" s="155"/>
      <c r="BV617" s="155"/>
      <c r="BW617" s="155"/>
      <c r="BX617" s="155"/>
      <c r="BY617" s="155"/>
      <c r="BZ617" s="155"/>
      <c r="CA617" s="155"/>
      <c r="CB617" s="155"/>
      <c r="CC617" s="155"/>
      <c r="CD617" s="155"/>
      <c r="CE617" s="155"/>
      <c r="CF617" s="155"/>
      <c r="CG617" s="155"/>
    </row>
    <row r="618" spans="1:85" ht="12.75" x14ac:dyDescent="0.2">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c r="AB618" s="155"/>
      <c r="AC618" s="155"/>
      <c r="AD618" s="155"/>
      <c r="AE618" s="155"/>
      <c r="AF618" s="155"/>
      <c r="AG618" s="155"/>
      <c r="AH618" s="155"/>
      <c r="AI618" s="155"/>
      <c r="AJ618" s="155"/>
      <c r="AK618" s="155"/>
      <c r="AL618" s="155"/>
      <c r="AM618" s="155"/>
      <c r="AN618" s="155"/>
      <c r="AO618" s="155"/>
      <c r="AP618" s="155"/>
      <c r="AQ618" s="155"/>
      <c r="AR618" s="155"/>
      <c r="AS618" s="155"/>
      <c r="AT618" s="155"/>
      <c r="AU618" s="155"/>
      <c r="AV618" s="155"/>
      <c r="AW618" s="155"/>
      <c r="AX618" s="155"/>
      <c r="AY618" s="155"/>
      <c r="AZ618" s="155"/>
      <c r="BA618" s="155"/>
      <c r="BB618" s="155"/>
      <c r="BC618" s="155"/>
      <c r="BD618" s="155"/>
      <c r="BE618" s="155"/>
      <c r="BF618" s="155"/>
      <c r="BG618" s="155"/>
      <c r="BH618" s="155"/>
      <c r="BI618" s="155"/>
      <c r="BJ618" s="155"/>
      <c r="BK618" s="155"/>
      <c r="BL618" s="155"/>
      <c r="BM618" s="155"/>
      <c r="BN618" s="155"/>
      <c r="BO618" s="155"/>
      <c r="BP618" s="155"/>
      <c r="BQ618" s="155"/>
      <c r="BR618" s="155"/>
      <c r="BS618" s="155"/>
      <c r="BT618" s="155"/>
      <c r="BU618" s="155"/>
      <c r="BV618" s="155"/>
      <c r="BW618" s="155"/>
      <c r="BX618" s="155"/>
      <c r="BY618" s="155"/>
      <c r="BZ618" s="155"/>
      <c r="CA618" s="155"/>
      <c r="CB618" s="155"/>
      <c r="CC618" s="155"/>
      <c r="CD618" s="155"/>
      <c r="CE618" s="155"/>
      <c r="CF618" s="155"/>
      <c r="CG618" s="155"/>
    </row>
    <row r="619" spans="1:85" ht="12.75" x14ac:dyDescent="0.2">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c r="AB619" s="155"/>
      <c r="AC619" s="155"/>
      <c r="AD619" s="155"/>
      <c r="AE619" s="155"/>
      <c r="AF619" s="155"/>
      <c r="AG619" s="155"/>
      <c r="AH619" s="155"/>
      <c r="AI619" s="155"/>
      <c r="AJ619" s="155"/>
      <c r="AK619" s="155"/>
      <c r="AL619" s="155"/>
      <c r="AM619" s="155"/>
      <c r="AN619" s="155"/>
      <c r="AO619" s="155"/>
      <c r="AP619" s="155"/>
      <c r="AQ619" s="155"/>
      <c r="AR619" s="155"/>
      <c r="AS619" s="155"/>
      <c r="AT619" s="155"/>
      <c r="AU619" s="155"/>
      <c r="AV619" s="155"/>
      <c r="AW619" s="155"/>
      <c r="AX619" s="155"/>
      <c r="AY619" s="155"/>
      <c r="AZ619" s="155"/>
      <c r="BA619" s="155"/>
      <c r="BB619" s="155"/>
      <c r="BC619" s="155"/>
      <c r="BD619" s="155"/>
      <c r="BE619" s="155"/>
      <c r="BF619" s="155"/>
      <c r="BG619" s="155"/>
      <c r="BH619" s="155"/>
      <c r="BI619" s="155"/>
      <c r="BJ619" s="155"/>
      <c r="BK619" s="155"/>
      <c r="BL619" s="155"/>
      <c r="BM619" s="155"/>
      <c r="BN619" s="155"/>
      <c r="BO619" s="155"/>
      <c r="BP619" s="155"/>
      <c r="BQ619" s="155"/>
      <c r="BR619" s="155"/>
      <c r="BS619" s="155"/>
      <c r="BT619" s="155"/>
      <c r="BU619" s="155"/>
      <c r="BV619" s="155"/>
      <c r="BW619" s="155"/>
      <c r="BX619" s="155"/>
      <c r="BY619" s="155"/>
      <c r="BZ619" s="155"/>
      <c r="CA619" s="155"/>
      <c r="CB619" s="155"/>
      <c r="CC619" s="155"/>
      <c r="CD619" s="155"/>
      <c r="CE619" s="155"/>
      <c r="CF619" s="155"/>
      <c r="CG619" s="155"/>
    </row>
    <row r="620" spans="1:85" ht="12.75" x14ac:dyDescent="0.2">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c r="AB620" s="155"/>
      <c r="AC620" s="155"/>
      <c r="AD620" s="155"/>
      <c r="AE620" s="155"/>
      <c r="AF620" s="155"/>
      <c r="AG620" s="155"/>
      <c r="AH620" s="155"/>
      <c r="AI620" s="155"/>
      <c r="AJ620" s="155"/>
      <c r="AK620" s="155"/>
      <c r="AL620" s="155"/>
      <c r="AM620" s="155"/>
      <c r="AN620" s="155"/>
      <c r="AO620" s="155"/>
      <c r="AP620" s="155"/>
      <c r="AQ620" s="155"/>
      <c r="AR620" s="155"/>
      <c r="AS620" s="155"/>
      <c r="AT620" s="155"/>
      <c r="AU620" s="155"/>
      <c r="AV620" s="155"/>
      <c r="AW620" s="155"/>
      <c r="AX620" s="155"/>
      <c r="AY620" s="155"/>
      <c r="AZ620" s="155"/>
      <c r="BA620" s="155"/>
      <c r="BB620" s="155"/>
      <c r="BC620" s="155"/>
      <c r="BD620" s="155"/>
      <c r="BE620" s="155"/>
      <c r="BF620" s="155"/>
      <c r="BG620" s="155"/>
      <c r="BH620" s="155"/>
      <c r="BI620" s="155"/>
      <c r="BJ620" s="155"/>
      <c r="BK620" s="155"/>
      <c r="BL620" s="155"/>
      <c r="BM620" s="155"/>
      <c r="BN620" s="155"/>
      <c r="BO620" s="155"/>
      <c r="BP620" s="155"/>
      <c r="BQ620" s="155"/>
      <c r="BR620" s="155"/>
      <c r="BS620" s="155"/>
      <c r="BT620" s="155"/>
      <c r="BU620" s="155"/>
      <c r="BV620" s="155"/>
      <c r="BW620" s="155"/>
      <c r="BX620" s="155"/>
      <c r="BY620" s="155"/>
      <c r="BZ620" s="155"/>
      <c r="CA620" s="155"/>
      <c r="CB620" s="155"/>
      <c r="CC620" s="155"/>
      <c r="CD620" s="155"/>
      <c r="CE620" s="155"/>
      <c r="CF620" s="155"/>
      <c r="CG620" s="155"/>
    </row>
    <row r="621" spans="1:85" ht="12.75" x14ac:dyDescent="0.2">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c r="AB621" s="155"/>
      <c r="AC621" s="155"/>
      <c r="AD621" s="155"/>
      <c r="AE621" s="155"/>
      <c r="AF621" s="155"/>
      <c r="AG621" s="155"/>
      <c r="AH621" s="155"/>
      <c r="AI621" s="155"/>
      <c r="AJ621" s="155"/>
      <c r="AK621" s="155"/>
      <c r="AL621" s="155"/>
      <c r="AM621" s="155"/>
      <c r="AN621" s="155"/>
      <c r="AO621" s="155"/>
      <c r="AP621" s="155"/>
      <c r="AQ621" s="155"/>
      <c r="AR621" s="155"/>
      <c r="AS621" s="155"/>
      <c r="AT621" s="155"/>
      <c r="AU621" s="155"/>
      <c r="AV621" s="155"/>
      <c r="AW621" s="155"/>
      <c r="AX621" s="155"/>
      <c r="AY621" s="155"/>
      <c r="AZ621" s="155"/>
      <c r="BA621" s="155"/>
      <c r="BB621" s="155"/>
      <c r="BC621" s="155"/>
      <c r="BD621" s="155"/>
      <c r="BE621" s="155"/>
      <c r="BF621" s="155"/>
      <c r="BG621" s="155"/>
      <c r="BH621" s="155"/>
      <c r="BI621" s="155"/>
      <c r="BJ621" s="155"/>
      <c r="BK621" s="155"/>
      <c r="BL621" s="155"/>
      <c r="BM621" s="155"/>
      <c r="BN621" s="155"/>
      <c r="BO621" s="155"/>
      <c r="BP621" s="155"/>
      <c r="BQ621" s="155"/>
      <c r="BR621" s="155"/>
      <c r="BS621" s="155"/>
      <c r="BT621" s="155"/>
      <c r="BU621" s="155"/>
      <c r="BV621" s="155"/>
      <c r="BW621" s="155"/>
      <c r="BX621" s="155"/>
      <c r="BY621" s="155"/>
      <c r="BZ621" s="155"/>
      <c r="CA621" s="155"/>
      <c r="CB621" s="155"/>
      <c r="CC621" s="155"/>
      <c r="CD621" s="155"/>
      <c r="CE621" s="155"/>
      <c r="CF621" s="155"/>
      <c r="CG621" s="155"/>
    </row>
    <row r="622" spans="1:85" ht="12.75" x14ac:dyDescent="0.2">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c r="AA622" s="155"/>
      <c r="AB622" s="155"/>
      <c r="AC622" s="155"/>
      <c r="AD622" s="155"/>
      <c r="AE622" s="155"/>
      <c r="AF622" s="155"/>
      <c r="AG622" s="155"/>
      <c r="AH622" s="155"/>
      <c r="AI622" s="155"/>
      <c r="AJ622" s="155"/>
      <c r="AK622" s="155"/>
      <c r="AL622" s="155"/>
      <c r="AM622" s="155"/>
      <c r="AN622" s="155"/>
      <c r="AO622" s="155"/>
      <c r="AP622" s="155"/>
      <c r="AQ622" s="155"/>
      <c r="AR622" s="155"/>
      <c r="AS622" s="155"/>
      <c r="AT622" s="155"/>
      <c r="AU622" s="155"/>
      <c r="AV622" s="155"/>
      <c r="AW622" s="155"/>
      <c r="AX622" s="155"/>
      <c r="AY622" s="155"/>
      <c r="AZ622" s="155"/>
      <c r="BA622" s="155"/>
      <c r="BB622" s="155"/>
      <c r="BC622" s="155"/>
      <c r="BD622" s="155"/>
      <c r="BE622" s="155"/>
      <c r="BF622" s="155"/>
      <c r="BG622" s="155"/>
      <c r="BH622" s="155"/>
      <c r="BI622" s="155"/>
      <c r="BJ622" s="155"/>
      <c r="BK622" s="155"/>
      <c r="BL622" s="155"/>
      <c r="BM622" s="155"/>
      <c r="BN622" s="155"/>
      <c r="BO622" s="155"/>
      <c r="BP622" s="155"/>
      <c r="BQ622" s="155"/>
      <c r="BR622" s="155"/>
      <c r="BS622" s="155"/>
      <c r="BT622" s="155"/>
      <c r="BU622" s="155"/>
      <c r="BV622" s="155"/>
      <c r="BW622" s="155"/>
      <c r="BX622" s="155"/>
      <c r="BY622" s="155"/>
      <c r="BZ622" s="155"/>
      <c r="CA622" s="155"/>
      <c r="CB622" s="155"/>
      <c r="CC622" s="155"/>
      <c r="CD622" s="155"/>
      <c r="CE622" s="155"/>
      <c r="CF622" s="155"/>
      <c r="CG622" s="155"/>
    </row>
    <row r="623" spans="1:85" ht="12.75" x14ac:dyDescent="0.2">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c r="AA623" s="155"/>
      <c r="AB623" s="155"/>
      <c r="AC623" s="155"/>
      <c r="AD623" s="155"/>
      <c r="AE623" s="155"/>
      <c r="AF623" s="155"/>
      <c r="AG623" s="155"/>
      <c r="AH623" s="155"/>
      <c r="AI623" s="155"/>
      <c r="AJ623" s="155"/>
      <c r="AK623" s="155"/>
      <c r="AL623" s="155"/>
      <c r="AM623" s="155"/>
      <c r="AN623" s="155"/>
      <c r="AO623" s="155"/>
      <c r="AP623" s="155"/>
      <c r="AQ623" s="155"/>
      <c r="AR623" s="155"/>
      <c r="AS623" s="155"/>
      <c r="AT623" s="155"/>
      <c r="AU623" s="155"/>
      <c r="AV623" s="155"/>
      <c r="AW623" s="155"/>
      <c r="AX623" s="155"/>
      <c r="AY623" s="155"/>
      <c r="AZ623" s="155"/>
      <c r="BA623" s="155"/>
      <c r="BB623" s="155"/>
      <c r="BC623" s="155"/>
      <c r="BD623" s="155"/>
      <c r="BE623" s="155"/>
      <c r="BF623" s="155"/>
      <c r="BG623" s="155"/>
      <c r="BH623" s="155"/>
      <c r="BI623" s="155"/>
      <c r="BJ623" s="155"/>
      <c r="BK623" s="155"/>
      <c r="BL623" s="155"/>
      <c r="BM623" s="155"/>
      <c r="BN623" s="155"/>
      <c r="BO623" s="155"/>
      <c r="BP623" s="155"/>
      <c r="BQ623" s="155"/>
      <c r="BR623" s="155"/>
      <c r="BS623" s="155"/>
      <c r="BT623" s="155"/>
      <c r="BU623" s="155"/>
      <c r="BV623" s="155"/>
      <c r="BW623" s="155"/>
      <c r="BX623" s="155"/>
      <c r="BY623" s="155"/>
      <c r="BZ623" s="155"/>
      <c r="CA623" s="155"/>
      <c r="CB623" s="155"/>
      <c r="CC623" s="155"/>
      <c r="CD623" s="155"/>
      <c r="CE623" s="155"/>
      <c r="CF623" s="155"/>
      <c r="CG623" s="155"/>
    </row>
    <row r="624" spans="1:85" ht="12.75" x14ac:dyDescent="0.2">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c r="AA624" s="155"/>
      <c r="AB624" s="155"/>
      <c r="AC624" s="155"/>
      <c r="AD624" s="155"/>
      <c r="AE624" s="155"/>
      <c r="AF624" s="155"/>
      <c r="AG624" s="155"/>
      <c r="AH624" s="155"/>
      <c r="AI624" s="155"/>
      <c r="AJ624" s="155"/>
      <c r="AK624" s="155"/>
      <c r="AL624" s="155"/>
      <c r="AM624" s="155"/>
      <c r="AN624" s="155"/>
      <c r="AO624" s="155"/>
      <c r="AP624" s="155"/>
      <c r="AQ624" s="155"/>
      <c r="AR624" s="155"/>
      <c r="AS624" s="155"/>
      <c r="AT624" s="155"/>
      <c r="AU624" s="155"/>
      <c r="AV624" s="155"/>
      <c r="AW624" s="155"/>
      <c r="AX624" s="155"/>
      <c r="AY624" s="155"/>
      <c r="AZ624" s="155"/>
      <c r="BA624" s="155"/>
      <c r="BB624" s="155"/>
      <c r="BC624" s="155"/>
      <c r="BD624" s="155"/>
      <c r="BE624" s="155"/>
      <c r="BF624" s="155"/>
      <c r="BG624" s="155"/>
      <c r="BH624" s="155"/>
      <c r="BI624" s="155"/>
      <c r="BJ624" s="155"/>
      <c r="BK624" s="155"/>
      <c r="BL624" s="155"/>
      <c r="BM624" s="155"/>
      <c r="BN624" s="155"/>
      <c r="BO624" s="155"/>
      <c r="BP624" s="155"/>
      <c r="BQ624" s="155"/>
      <c r="BR624" s="155"/>
      <c r="BS624" s="155"/>
      <c r="BT624" s="155"/>
      <c r="BU624" s="155"/>
      <c r="BV624" s="155"/>
      <c r="BW624" s="155"/>
      <c r="BX624" s="155"/>
      <c r="BY624" s="155"/>
      <c r="BZ624" s="155"/>
      <c r="CA624" s="155"/>
      <c r="CB624" s="155"/>
      <c r="CC624" s="155"/>
      <c r="CD624" s="155"/>
      <c r="CE624" s="155"/>
      <c r="CF624" s="155"/>
      <c r="CG624" s="155"/>
    </row>
    <row r="625" spans="1:85" ht="12.75" x14ac:dyDescent="0.2">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c r="AA625" s="155"/>
      <c r="AB625" s="155"/>
      <c r="AC625" s="155"/>
      <c r="AD625" s="155"/>
      <c r="AE625" s="155"/>
      <c r="AF625" s="155"/>
      <c r="AG625" s="155"/>
      <c r="AH625" s="155"/>
      <c r="AI625" s="155"/>
      <c r="AJ625" s="155"/>
      <c r="AK625" s="155"/>
      <c r="AL625" s="155"/>
      <c r="AM625" s="155"/>
      <c r="AN625" s="155"/>
      <c r="AO625" s="155"/>
      <c r="AP625" s="155"/>
      <c r="AQ625" s="155"/>
      <c r="AR625" s="155"/>
      <c r="AS625" s="155"/>
      <c r="AT625" s="155"/>
      <c r="AU625" s="155"/>
      <c r="AV625" s="155"/>
      <c r="AW625" s="155"/>
      <c r="AX625" s="155"/>
      <c r="AY625" s="155"/>
      <c r="AZ625" s="155"/>
      <c r="BA625" s="155"/>
      <c r="BB625" s="155"/>
      <c r="BC625" s="155"/>
      <c r="BD625" s="155"/>
      <c r="BE625" s="155"/>
      <c r="BF625" s="155"/>
      <c r="BG625" s="155"/>
      <c r="BH625" s="155"/>
      <c r="BI625" s="155"/>
      <c r="BJ625" s="155"/>
      <c r="BK625" s="155"/>
      <c r="BL625" s="155"/>
      <c r="BM625" s="155"/>
      <c r="BN625" s="155"/>
      <c r="BO625" s="155"/>
      <c r="BP625" s="155"/>
      <c r="BQ625" s="155"/>
      <c r="BR625" s="155"/>
      <c r="BS625" s="155"/>
      <c r="BT625" s="155"/>
      <c r="BU625" s="155"/>
      <c r="BV625" s="155"/>
      <c r="BW625" s="155"/>
      <c r="BX625" s="155"/>
      <c r="BY625" s="155"/>
      <c r="BZ625" s="155"/>
      <c r="CA625" s="155"/>
      <c r="CB625" s="155"/>
      <c r="CC625" s="155"/>
      <c r="CD625" s="155"/>
      <c r="CE625" s="155"/>
      <c r="CF625" s="155"/>
      <c r="CG625" s="155"/>
    </row>
    <row r="626" spans="1:85" ht="12.75" x14ac:dyDescent="0.2">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c r="AA626" s="155"/>
      <c r="AB626" s="155"/>
      <c r="AC626" s="155"/>
      <c r="AD626" s="155"/>
      <c r="AE626" s="155"/>
      <c r="AF626" s="155"/>
      <c r="AG626" s="155"/>
      <c r="AH626" s="155"/>
      <c r="AI626" s="155"/>
      <c r="AJ626" s="155"/>
      <c r="AK626" s="155"/>
      <c r="AL626" s="155"/>
      <c r="AM626" s="155"/>
      <c r="AN626" s="155"/>
      <c r="AO626" s="155"/>
      <c r="AP626" s="155"/>
      <c r="AQ626" s="155"/>
      <c r="AR626" s="155"/>
      <c r="AS626" s="155"/>
      <c r="AT626" s="155"/>
      <c r="AU626" s="155"/>
      <c r="AV626" s="155"/>
      <c r="AW626" s="155"/>
      <c r="AX626" s="155"/>
      <c r="AY626" s="155"/>
      <c r="AZ626" s="155"/>
      <c r="BA626" s="155"/>
      <c r="BB626" s="155"/>
      <c r="BC626" s="155"/>
      <c r="BD626" s="155"/>
      <c r="BE626" s="155"/>
      <c r="BF626" s="155"/>
      <c r="BG626" s="155"/>
      <c r="BH626" s="155"/>
      <c r="BI626" s="155"/>
      <c r="BJ626" s="155"/>
      <c r="BK626" s="155"/>
      <c r="BL626" s="155"/>
      <c r="BM626" s="155"/>
      <c r="BN626" s="155"/>
      <c r="BO626" s="155"/>
      <c r="BP626" s="155"/>
      <c r="BQ626" s="155"/>
      <c r="BR626" s="155"/>
      <c r="BS626" s="155"/>
      <c r="BT626" s="155"/>
      <c r="BU626" s="155"/>
      <c r="BV626" s="155"/>
      <c r="BW626" s="155"/>
      <c r="BX626" s="155"/>
      <c r="BY626" s="155"/>
      <c r="BZ626" s="155"/>
      <c r="CA626" s="155"/>
      <c r="CB626" s="155"/>
      <c r="CC626" s="155"/>
      <c r="CD626" s="155"/>
      <c r="CE626" s="155"/>
      <c r="CF626" s="155"/>
      <c r="CG626" s="155"/>
    </row>
    <row r="627" spans="1:85" ht="12.75" x14ac:dyDescent="0.2">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c r="AA627" s="155"/>
      <c r="AB627" s="155"/>
      <c r="AC627" s="155"/>
      <c r="AD627" s="155"/>
      <c r="AE627" s="155"/>
      <c r="AF627" s="155"/>
      <c r="AG627" s="155"/>
      <c r="AH627" s="155"/>
      <c r="AI627" s="155"/>
      <c r="AJ627" s="155"/>
      <c r="AK627" s="155"/>
      <c r="AL627" s="155"/>
      <c r="AM627" s="155"/>
      <c r="AN627" s="155"/>
      <c r="AO627" s="155"/>
      <c r="AP627" s="155"/>
      <c r="AQ627" s="155"/>
      <c r="AR627" s="155"/>
      <c r="AS627" s="155"/>
      <c r="AT627" s="155"/>
      <c r="AU627" s="155"/>
      <c r="AV627" s="155"/>
      <c r="AW627" s="155"/>
      <c r="AX627" s="155"/>
      <c r="AY627" s="155"/>
      <c r="AZ627" s="155"/>
      <c r="BA627" s="155"/>
      <c r="BB627" s="155"/>
      <c r="BC627" s="155"/>
      <c r="BD627" s="155"/>
      <c r="BE627" s="155"/>
      <c r="BF627" s="155"/>
      <c r="BG627" s="155"/>
      <c r="BH627" s="155"/>
      <c r="BI627" s="155"/>
      <c r="BJ627" s="155"/>
      <c r="BK627" s="155"/>
      <c r="BL627" s="155"/>
      <c r="BM627" s="155"/>
      <c r="BN627" s="155"/>
      <c r="BO627" s="155"/>
      <c r="BP627" s="155"/>
      <c r="BQ627" s="155"/>
      <c r="BR627" s="155"/>
      <c r="BS627" s="155"/>
      <c r="BT627" s="155"/>
      <c r="BU627" s="155"/>
      <c r="BV627" s="155"/>
      <c r="BW627" s="155"/>
      <c r="BX627" s="155"/>
      <c r="BY627" s="155"/>
      <c r="BZ627" s="155"/>
      <c r="CA627" s="155"/>
      <c r="CB627" s="155"/>
      <c r="CC627" s="155"/>
      <c r="CD627" s="155"/>
      <c r="CE627" s="155"/>
      <c r="CF627" s="155"/>
      <c r="CG627" s="155"/>
    </row>
    <row r="628" spans="1:85" ht="12.75" x14ac:dyDescent="0.2">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c r="AA628" s="155"/>
      <c r="AB628" s="155"/>
      <c r="AC628" s="155"/>
      <c r="AD628" s="155"/>
      <c r="AE628" s="155"/>
      <c r="AF628" s="155"/>
      <c r="AG628" s="155"/>
      <c r="AH628" s="155"/>
      <c r="AI628" s="155"/>
      <c r="AJ628" s="155"/>
      <c r="AK628" s="155"/>
      <c r="AL628" s="155"/>
      <c r="AM628" s="155"/>
      <c r="AN628" s="155"/>
      <c r="AO628" s="155"/>
      <c r="AP628" s="155"/>
      <c r="AQ628" s="155"/>
      <c r="AR628" s="155"/>
      <c r="AS628" s="155"/>
      <c r="AT628" s="155"/>
      <c r="AU628" s="155"/>
      <c r="AV628" s="155"/>
      <c r="AW628" s="155"/>
      <c r="AX628" s="155"/>
      <c r="AY628" s="155"/>
      <c r="AZ628" s="155"/>
      <c r="BA628" s="155"/>
      <c r="BB628" s="155"/>
      <c r="BC628" s="155"/>
      <c r="BD628" s="155"/>
      <c r="BE628" s="155"/>
      <c r="BF628" s="155"/>
      <c r="BG628" s="155"/>
      <c r="BH628" s="155"/>
      <c r="BI628" s="155"/>
      <c r="BJ628" s="155"/>
      <c r="BK628" s="155"/>
      <c r="BL628" s="155"/>
      <c r="BM628" s="155"/>
      <c r="BN628" s="155"/>
      <c r="BO628" s="155"/>
      <c r="BP628" s="155"/>
      <c r="BQ628" s="155"/>
      <c r="BR628" s="155"/>
      <c r="BS628" s="155"/>
      <c r="BT628" s="155"/>
      <c r="BU628" s="155"/>
      <c r="BV628" s="155"/>
      <c r="BW628" s="155"/>
      <c r="BX628" s="155"/>
      <c r="BY628" s="155"/>
      <c r="BZ628" s="155"/>
      <c r="CA628" s="155"/>
      <c r="CB628" s="155"/>
      <c r="CC628" s="155"/>
      <c r="CD628" s="155"/>
      <c r="CE628" s="155"/>
      <c r="CF628" s="155"/>
      <c r="CG628" s="155"/>
    </row>
    <row r="629" spans="1:85" ht="12.75" x14ac:dyDescent="0.2">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c r="AA629" s="155"/>
      <c r="AB629" s="155"/>
      <c r="AC629" s="155"/>
      <c r="AD629" s="155"/>
      <c r="AE629" s="155"/>
      <c r="AF629" s="155"/>
      <c r="AG629" s="155"/>
      <c r="AH629" s="155"/>
      <c r="AI629" s="155"/>
      <c r="AJ629" s="155"/>
      <c r="AK629" s="155"/>
      <c r="AL629" s="155"/>
      <c r="AM629" s="155"/>
      <c r="AN629" s="155"/>
      <c r="AO629" s="155"/>
      <c r="AP629" s="155"/>
      <c r="AQ629" s="155"/>
      <c r="AR629" s="155"/>
      <c r="AS629" s="155"/>
      <c r="AT629" s="155"/>
      <c r="AU629" s="155"/>
      <c r="AV629" s="155"/>
      <c r="AW629" s="155"/>
      <c r="AX629" s="155"/>
      <c r="AY629" s="155"/>
      <c r="AZ629" s="155"/>
      <c r="BA629" s="155"/>
      <c r="BB629" s="155"/>
      <c r="BC629" s="155"/>
      <c r="BD629" s="155"/>
      <c r="BE629" s="155"/>
      <c r="BF629" s="155"/>
      <c r="BG629" s="155"/>
      <c r="BH629" s="155"/>
      <c r="BI629" s="155"/>
      <c r="BJ629" s="155"/>
      <c r="BK629" s="155"/>
      <c r="BL629" s="155"/>
      <c r="BM629" s="155"/>
      <c r="BN629" s="155"/>
      <c r="BO629" s="155"/>
      <c r="BP629" s="155"/>
      <c r="BQ629" s="155"/>
      <c r="BR629" s="155"/>
      <c r="BS629" s="155"/>
      <c r="BT629" s="155"/>
      <c r="BU629" s="155"/>
      <c r="BV629" s="155"/>
      <c r="BW629" s="155"/>
      <c r="BX629" s="155"/>
      <c r="BY629" s="155"/>
      <c r="BZ629" s="155"/>
      <c r="CA629" s="155"/>
      <c r="CB629" s="155"/>
      <c r="CC629" s="155"/>
      <c r="CD629" s="155"/>
      <c r="CE629" s="155"/>
      <c r="CF629" s="155"/>
      <c r="CG629" s="155"/>
    </row>
    <row r="630" spans="1:85" ht="12.75" x14ac:dyDescent="0.2">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c r="AA630" s="155"/>
      <c r="AB630" s="155"/>
      <c r="AC630" s="155"/>
      <c r="AD630" s="155"/>
      <c r="AE630" s="155"/>
      <c r="AF630" s="155"/>
      <c r="AG630" s="155"/>
      <c r="AH630" s="155"/>
      <c r="AI630" s="155"/>
      <c r="AJ630" s="155"/>
      <c r="AK630" s="155"/>
      <c r="AL630" s="155"/>
      <c r="AM630" s="155"/>
      <c r="AN630" s="155"/>
      <c r="AO630" s="155"/>
      <c r="AP630" s="155"/>
      <c r="AQ630" s="155"/>
      <c r="AR630" s="155"/>
      <c r="AS630" s="155"/>
      <c r="AT630" s="155"/>
      <c r="AU630" s="155"/>
      <c r="AV630" s="155"/>
      <c r="AW630" s="155"/>
      <c r="AX630" s="155"/>
      <c r="AY630" s="155"/>
      <c r="AZ630" s="155"/>
      <c r="BA630" s="155"/>
      <c r="BB630" s="155"/>
      <c r="BC630" s="155"/>
      <c r="BD630" s="155"/>
      <c r="BE630" s="155"/>
      <c r="BF630" s="155"/>
      <c r="BG630" s="155"/>
      <c r="BH630" s="155"/>
      <c r="BI630" s="155"/>
      <c r="BJ630" s="155"/>
      <c r="BK630" s="155"/>
      <c r="BL630" s="155"/>
      <c r="BM630" s="155"/>
      <c r="BN630" s="155"/>
      <c r="BO630" s="155"/>
      <c r="BP630" s="155"/>
      <c r="BQ630" s="155"/>
      <c r="BR630" s="155"/>
      <c r="BS630" s="155"/>
      <c r="BT630" s="155"/>
      <c r="BU630" s="155"/>
      <c r="BV630" s="155"/>
      <c r="BW630" s="155"/>
      <c r="BX630" s="155"/>
      <c r="BY630" s="155"/>
      <c r="BZ630" s="155"/>
      <c r="CA630" s="155"/>
      <c r="CB630" s="155"/>
      <c r="CC630" s="155"/>
      <c r="CD630" s="155"/>
      <c r="CE630" s="155"/>
      <c r="CF630" s="155"/>
      <c r="CG630" s="155"/>
    </row>
    <row r="631" spans="1:85" ht="12.75" x14ac:dyDescent="0.2">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c r="AA631" s="155"/>
      <c r="AB631" s="155"/>
      <c r="AC631" s="155"/>
      <c r="AD631" s="155"/>
      <c r="AE631" s="155"/>
      <c r="AF631" s="155"/>
      <c r="AG631" s="155"/>
      <c r="AH631" s="155"/>
      <c r="AI631" s="155"/>
      <c r="AJ631" s="155"/>
      <c r="AK631" s="155"/>
      <c r="AL631" s="155"/>
      <c r="AM631" s="155"/>
      <c r="AN631" s="155"/>
      <c r="AO631" s="155"/>
      <c r="AP631" s="155"/>
      <c r="AQ631" s="155"/>
      <c r="AR631" s="155"/>
      <c r="AS631" s="155"/>
      <c r="AT631" s="155"/>
      <c r="AU631" s="155"/>
      <c r="AV631" s="155"/>
      <c r="AW631" s="155"/>
      <c r="AX631" s="155"/>
      <c r="AY631" s="155"/>
      <c r="AZ631" s="155"/>
      <c r="BA631" s="155"/>
      <c r="BB631" s="155"/>
      <c r="BC631" s="155"/>
      <c r="BD631" s="155"/>
      <c r="BE631" s="155"/>
      <c r="BF631" s="155"/>
      <c r="BG631" s="155"/>
      <c r="BH631" s="155"/>
      <c r="BI631" s="155"/>
      <c r="BJ631" s="155"/>
      <c r="BK631" s="155"/>
      <c r="BL631" s="155"/>
      <c r="BM631" s="155"/>
      <c r="BN631" s="155"/>
      <c r="BO631" s="155"/>
      <c r="BP631" s="155"/>
      <c r="BQ631" s="155"/>
      <c r="BR631" s="155"/>
      <c r="BS631" s="155"/>
      <c r="BT631" s="155"/>
      <c r="BU631" s="155"/>
      <c r="BV631" s="155"/>
      <c r="BW631" s="155"/>
      <c r="BX631" s="155"/>
      <c r="BY631" s="155"/>
      <c r="BZ631" s="155"/>
      <c r="CA631" s="155"/>
      <c r="CB631" s="155"/>
      <c r="CC631" s="155"/>
      <c r="CD631" s="155"/>
      <c r="CE631" s="155"/>
      <c r="CF631" s="155"/>
      <c r="CG631" s="155"/>
    </row>
    <row r="632" spans="1:85" ht="12.75" x14ac:dyDescent="0.2">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c r="AA632" s="155"/>
      <c r="AB632" s="155"/>
      <c r="AC632" s="155"/>
      <c r="AD632" s="155"/>
      <c r="AE632" s="155"/>
      <c r="AF632" s="155"/>
      <c r="AG632" s="155"/>
      <c r="AH632" s="155"/>
      <c r="AI632" s="155"/>
      <c r="AJ632" s="155"/>
      <c r="AK632" s="155"/>
      <c r="AL632" s="155"/>
      <c r="AM632" s="155"/>
      <c r="AN632" s="155"/>
      <c r="AO632" s="155"/>
      <c r="AP632" s="155"/>
      <c r="AQ632" s="155"/>
      <c r="AR632" s="155"/>
      <c r="AS632" s="155"/>
      <c r="AT632" s="155"/>
      <c r="AU632" s="155"/>
      <c r="AV632" s="155"/>
      <c r="AW632" s="155"/>
      <c r="AX632" s="155"/>
      <c r="AY632" s="155"/>
      <c r="AZ632" s="155"/>
      <c r="BA632" s="155"/>
      <c r="BB632" s="155"/>
      <c r="BC632" s="155"/>
      <c r="BD632" s="155"/>
      <c r="BE632" s="155"/>
      <c r="BF632" s="155"/>
      <c r="BG632" s="155"/>
      <c r="BH632" s="155"/>
      <c r="BI632" s="155"/>
      <c r="BJ632" s="155"/>
      <c r="BK632" s="155"/>
      <c r="BL632" s="155"/>
      <c r="BM632" s="155"/>
      <c r="BN632" s="155"/>
      <c r="BO632" s="155"/>
      <c r="BP632" s="155"/>
      <c r="BQ632" s="155"/>
      <c r="BR632" s="155"/>
      <c r="BS632" s="155"/>
      <c r="BT632" s="155"/>
      <c r="BU632" s="155"/>
      <c r="BV632" s="155"/>
      <c r="BW632" s="155"/>
      <c r="BX632" s="155"/>
      <c r="BY632" s="155"/>
      <c r="BZ632" s="155"/>
      <c r="CA632" s="155"/>
      <c r="CB632" s="155"/>
      <c r="CC632" s="155"/>
      <c r="CD632" s="155"/>
      <c r="CE632" s="155"/>
      <c r="CF632" s="155"/>
      <c r="CG632" s="155"/>
    </row>
    <row r="633" spans="1:85" ht="12.75" x14ac:dyDescent="0.2">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c r="AA633" s="155"/>
      <c r="AB633" s="155"/>
      <c r="AC633" s="155"/>
      <c r="AD633" s="155"/>
      <c r="AE633" s="155"/>
      <c r="AF633" s="155"/>
      <c r="AG633" s="155"/>
      <c r="AH633" s="155"/>
      <c r="AI633" s="155"/>
      <c r="AJ633" s="155"/>
      <c r="AK633" s="155"/>
      <c r="AL633" s="155"/>
      <c r="AM633" s="155"/>
      <c r="AN633" s="155"/>
      <c r="AO633" s="155"/>
      <c r="AP633" s="155"/>
      <c r="AQ633" s="155"/>
      <c r="AR633" s="155"/>
      <c r="AS633" s="155"/>
      <c r="AT633" s="155"/>
      <c r="AU633" s="155"/>
      <c r="AV633" s="155"/>
      <c r="AW633" s="155"/>
      <c r="AX633" s="155"/>
      <c r="AY633" s="155"/>
      <c r="AZ633" s="155"/>
      <c r="BA633" s="155"/>
      <c r="BB633" s="155"/>
      <c r="BC633" s="155"/>
      <c r="BD633" s="155"/>
      <c r="BE633" s="155"/>
      <c r="BF633" s="155"/>
      <c r="BG633" s="155"/>
      <c r="BH633" s="155"/>
      <c r="BI633" s="155"/>
      <c r="BJ633" s="155"/>
      <c r="BK633" s="155"/>
      <c r="BL633" s="155"/>
      <c r="BM633" s="155"/>
      <c r="BN633" s="155"/>
      <c r="BO633" s="155"/>
      <c r="BP633" s="155"/>
      <c r="BQ633" s="155"/>
      <c r="BR633" s="155"/>
      <c r="BS633" s="155"/>
      <c r="BT633" s="155"/>
      <c r="BU633" s="155"/>
      <c r="BV633" s="155"/>
      <c r="BW633" s="155"/>
      <c r="BX633" s="155"/>
      <c r="BY633" s="155"/>
      <c r="BZ633" s="155"/>
      <c r="CA633" s="155"/>
      <c r="CB633" s="155"/>
      <c r="CC633" s="155"/>
      <c r="CD633" s="155"/>
      <c r="CE633" s="155"/>
      <c r="CF633" s="155"/>
      <c r="CG633" s="155"/>
    </row>
    <row r="634" spans="1:85" ht="12.75" x14ac:dyDescent="0.2">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c r="AA634" s="155"/>
      <c r="AB634" s="155"/>
      <c r="AC634" s="155"/>
      <c r="AD634" s="155"/>
      <c r="AE634" s="155"/>
      <c r="AF634" s="155"/>
      <c r="AG634" s="155"/>
      <c r="AH634" s="155"/>
      <c r="AI634" s="155"/>
      <c r="AJ634" s="155"/>
      <c r="AK634" s="155"/>
      <c r="AL634" s="155"/>
      <c r="AM634" s="155"/>
      <c r="AN634" s="155"/>
      <c r="AO634" s="155"/>
      <c r="AP634" s="155"/>
      <c r="AQ634" s="155"/>
      <c r="AR634" s="155"/>
      <c r="AS634" s="155"/>
      <c r="AT634" s="155"/>
      <c r="AU634" s="155"/>
      <c r="AV634" s="155"/>
      <c r="AW634" s="155"/>
      <c r="AX634" s="155"/>
      <c r="AY634" s="155"/>
      <c r="AZ634" s="155"/>
      <c r="BA634" s="155"/>
      <c r="BB634" s="155"/>
      <c r="BC634" s="155"/>
      <c r="BD634" s="155"/>
      <c r="BE634" s="155"/>
      <c r="BF634" s="155"/>
      <c r="BG634" s="155"/>
      <c r="BH634" s="155"/>
      <c r="BI634" s="155"/>
      <c r="BJ634" s="155"/>
      <c r="BK634" s="155"/>
      <c r="BL634" s="155"/>
      <c r="BM634" s="155"/>
      <c r="BN634" s="155"/>
      <c r="BO634" s="155"/>
      <c r="BP634" s="155"/>
      <c r="BQ634" s="155"/>
      <c r="BR634" s="155"/>
      <c r="BS634" s="155"/>
      <c r="BT634" s="155"/>
      <c r="BU634" s="155"/>
      <c r="BV634" s="155"/>
      <c r="BW634" s="155"/>
      <c r="BX634" s="155"/>
      <c r="BY634" s="155"/>
      <c r="BZ634" s="155"/>
      <c r="CA634" s="155"/>
      <c r="CB634" s="155"/>
      <c r="CC634" s="155"/>
      <c r="CD634" s="155"/>
      <c r="CE634" s="155"/>
      <c r="CF634" s="155"/>
      <c r="CG634" s="155"/>
    </row>
    <row r="635" spans="1:85" ht="12.75" x14ac:dyDescent="0.2">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c r="AA635" s="155"/>
      <c r="AB635" s="155"/>
      <c r="AC635" s="155"/>
      <c r="AD635" s="155"/>
      <c r="AE635" s="155"/>
      <c r="AF635" s="155"/>
      <c r="AG635" s="155"/>
      <c r="AH635" s="155"/>
      <c r="AI635" s="155"/>
      <c r="AJ635" s="155"/>
      <c r="AK635" s="155"/>
      <c r="AL635" s="155"/>
      <c r="AM635" s="155"/>
      <c r="AN635" s="155"/>
      <c r="AO635" s="155"/>
      <c r="AP635" s="155"/>
      <c r="AQ635" s="155"/>
      <c r="AR635" s="155"/>
      <c r="AS635" s="155"/>
      <c r="AT635" s="155"/>
      <c r="AU635" s="155"/>
      <c r="AV635" s="155"/>
      <c r="AW635" s="155"/>
      <c r="AX635" s="155"/>
      <c r="AY635" s="155"/>
      <c r="AZ635" s="155"/>
      <c r="BA635" s="155"/>
      <c r="BB635" s="155"/>
      <c r="BC635" s="155"/>
      <c r="BD635" s="155"/>
      <c r="BE635" s="155"/>
      <c r="BF635" s="155"/>
      <c r="BG635" s="155"/>
      <c r="BH635" s="155"/>
      <c r="BI635" s="155"/>
      <c r="BJ635" s="155"/>
      <c r="BK635" s="155"/>
      <c r="BL635" s="155"/>
      <c r="BM635" s="155"/>
      <c r="BN635" s="155"/>
      <c r="BO635" s="155"/>
      <c r="BP635" s="155"/>
      <c r="BQ635" s="155"/>
      <c r="BR635" s="155"/>
      <c r="BS635" s="155"/>
      <c r="BT635" s="155"/>
      <c r="BU635" s="155"/>
      <c r="BV635" s="155"/>
      <c r="BW635" s="155"/>
      <c r="BX635" s="155"/>
      <c r="BY635" s="155"/>
      <c r="BZ635" s="155"/>
      <c r="CA635" s="155"/>
      <c r="CB635" s="155"/>
      <c r="CC635" s="155"/>
      <c r="CD635" s="155"/>
      <c r="CE635" s="155"/>
      <c r="CF635" s="155"/>
      <c r="CG635" s="155"/>
    </row>
    <row r="636" spans="1:85" ht="12.75" x14ac:dyDescent="0.2">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c r="AA636" s="155"/>
      <c r="AB636" s="155"/>
      <c r="AC636" s="155"/>
      <c r="AD636" s="155"/>
      <c r="AE636" s="155"/>
      <c r="AF636" s="155"/>
      <c r="AG636" s="155"/>
      <c r="AH636" s="155"/>
      <c r="AI636" s="155"/>
      <c r="AJ636" s="155"/>
      <c r="AK636" s="155"/>
      <c r="AL636" s="155"/>
      <c r="AM636" s="155"/>
      <c r="AN636" s="155"/>
      <c r="AO636" s="155"/>
      <c r="AP636" s="155"/>
      <c r="AQ636" s="155"/>
      <c r="AR636" s="155"/>
      <c r="AS636" s="155"/>
      <c r="AT636" s="155"/>
      <c r="AU636" s="155"/>
      <c r="AV636" s="155"/>
      <c r="AW636" s="155"/>
      <c r="AX636" s="155"/>
      <c r="AY636" s="155"/>
      <c r="AZ636" s="155"/>
      <c r="BA636" s="155"/>
      <c r="BB636" s="155"/>
      <c r="BC636" s="155"/>
      <c r="BD636" s="155"/>
      <c r="BE636" s="155"/>
      <c r="BF636" s="155"/>
      <c r="BG636" s="155"/>
      <c r="BH636" s="155"/>
      <c r="BI636" s="155"/>
      <c r="BJ636" s="155"/>
      <c r="BK636" s="155"/>
      <c r="BL636" s="155"/>
      <c r="BM636" s="155"/>
      <c r="BN636" s="155"/>
      <c r="BO636" s="155"/>
      <c r="BP636" s="155"/>
      <c r="BQ636" s="155"/>
      <c r="BR636" s="155"/>
      <c r="BS636" s="155"/>
      <c r="BT636" s="155"/>
      <c r="BU636" s="155"/>
      <c r="BV636" s="155"/>
      <c r="BW636" s="155"/>
      <c r="BX636" s="155"/>
      <c r="BY636" s="155"/>
      <c r="BZ636" s="155"/>
      <c r="CA636" s="155"/>
      <c r="CB636" s="155"/>
      <c r="CC636" s="155"/>
      <c r="CD636" s="155"/>
      <c r="CE636" s="155"/>
      <c r="CF636" s="155"/>
      <c r="CG636" s="155"/>
    </row>
    <row r="637" spans="1:85" ht="12.75" x14ac:dyDescent="0.2">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c r="AA637" s="155"/>
      <c r="AB637" s="155"/>
      <c r="AC637" s="155"/>
      <c r="AD637" s="155"/>
      <c r="AE637" s="155"/>
      <c r="AF637" s="155"/>
      <c r="AG637" s="155"/>
      <c r="AH637" s="155"/>
      <c r="AI637" s="155"/>
      <c r="AJ637" s="155"/>
      <c r="AK637" s="155"/>
      <c r="AL637" s="155"/>
      <c r="AM637" s="155"/>
      <c r="AN637" s="155"/>
      <c r="AO637" s="155"/>
      <c r="AP637" s="155"/>
      <c r="AQ637" s="155"/>
      <c r="AR637" s="155"/>
      <c r="AS637" s="155"/>
      <c r="AT637" s="155"/>
      <c r="AU637" s="155"/>
      <c r="AV637" s="155"/>
      <c r="AW637" s="155"/>
      <c r="AX637" s="155"/>
      <c r="AY637" s="155"/>
      <c r="AZ637" s="155"/>
      <c r="BA637" s="155"/>
      <c r="BB637" s="155"/>
      <c r="BC637" s="155"/>
      <c r="BD637" s="155"/>
      <c r="BE637" s="155"/>
      <c r="BF637" s="155"/>
      <c r="BG637" s="155"/>
      <c r="BH637" s="155"/>
      <c r="BI637" s="155"/>
      <c r="BJ637" s="155"/>
      <c r="BK637" s="155"/>
      <c r="BL637" s="155"/>
      <c r="BM637" s="155"/>
      <c r="BN637" s="155"/>
      <c r="BO637" s="155"/>
      <c r="BP637" s="155"/>
      <c r="BQ637" s="155"/>
      <c r="BR637" s="155"/>
      <c r="BS637" s="155"/>
      <c r="BT637" s="155"/>
      <c r="BU637" s="155"/>
      <c r="BV637" s="155"/>
      <c r="BW637" s="155"/>
      <c r="BX637" s="155"/>
      <c r="BY637" s="155"/>
      <c r="BZ637" s="155"/>
      <c r="CA637" s="155"/>
      <c r="CB637" s="155"/>
      <c r="CC637" s="155"/>
      <c r="CD637" s="155"/>
      <c r="CE637" s="155"/>
      <c r="CF637" s="155"/>
      <c r="CG637" s="155"/>
    </row>
    <row r="638" spans="1:85" ht="12.75" x14ac:dyDescent="0.2">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c r="AA638" s="155"/>
      <c r="AB638" s="155"/>
      <c r="AC638" s="155"/>
      <c r="AD638" s="155"/>
      <c r="AE638" s="155"/>
      <c r="AF638" s="155"/>
      <c r="AG638" s="155"/>
      <c r="AH638" s="155"/>
      <c r="AI638" s="155"/>
      <c r="AJ638" s="155"/>
      <c r="AK638" s="155"/>
      <c r="AL638" s="155"/>
      <c r="AM638" s="155"/>
      <c r="AN638" s="155"/>
      <c r="AO638" s="155"/>
      <c r="AP638" s="155"/>
      <c r="AQ638" s="155"/>
      <c r="AR638" s="155"/>
      <c r="AS638" s="155"/>
      <c r="AT638" s="155"/>
      <c r="AU638" s="155"/>
      <c r="AV638" s="155"/>
      <c r="AW638" s="155"/>
      <c r="AX638" s="155"/>
      <c r="AY638" s="155"/>
      <c r="AZ638" s="155"/>
      <c r="BA638" s="155"/>
      <c r="BB638" s="155"/>
      <c r="BC638" s="155"/>
      <c r="BD638" s="155"/>
      <c r="BE638" s="155"/>
      <c r="BF638" s="155"/>
      <c r="BG638" s="155"/>
      <c r="BH638" s="155"/>
      <c r="BI638" s="155"/>
      <c r="BJ638" s="155"/>
      <c r="BK638" s="155"/>
      <c r="BL638" s="155"/>
      <c r="BM638" s="155"/>
      <c r="BN638" s="155"/>
      <c r="BO638" s="155"/>
      <c r="BP638" s="155"/>
      <c r="BQ638" s="155"/>
      <c r="BR638" s="155"/>
      <c r="BS638" s="155"/>
      <c r="BT638" s="155"/>
      <c r="BU638" s="155"/>
      <c r="BV638" s="155"/>
      <c r="BW638" s="155"/>
      <c r="BX638" s="155"/>
      <c r="BY638" s="155"/>
      <c r="BZ638" s="155"/>
      <c r="CA638" s="155"/>
      <c r="CB638" s="155"/>
      <c r="CC638" s="155"/>
      <c r="CD638" s="155"/>
      <c r="CE638" s="155"/>
      <c r="CF638" s="155"/>
      <c r="CG638" s="155"/>
    </row>
    <row r="639" spans="1:85" ht="12.75" x14ac:dyDescent="0.2">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c r="AA639" s="155"/>
      <c r="AB639" s="155"/>
      <c r="AC639" s="155"/>
      <c r="AD639" s="155"/>
      <c r="AE639" s="155"/>
      <c r="AF639" s="155"/>
      <c r="AG639" s="155"/>
      <c r="AH639" s="155"/>
      <c r="AI639" s="155"/>
      <c r="AJ639" s="155"/>
      <c r="AK639" s="155"/>
      <c r="AL639" s="155"/>
      <c r="AM639" s="155"/>
      <c r="AN639" s="155"/>
      <c r="AO639" s="155"/>
      <c r="AP639" s="155"/>
      <c r="AQ639" s="155"/>
      <c r="AR639" s="155"/>
      <c r="AS639" s="155"/>
      <c r="AT639" s="155"/>
      <c r="AU639" s="155"/>
      <c r="AV639" s="155"/>
      <c r="AW639" s="155"/>
      <c r="AX639" s="155"/>
      <c r="AY639" s="155"/>
      <c r="AZ639" s="155"/>
      <c r="BA639" s="155"/>
      <c r="BB639" s="155"/>
      <c r="BC639" s="155"/>
      <c r="BD639" s="155"/>
      <c r="BE639" s="155"/>
      <c r="BF639" s="155"/>
      <c r="BG639" s="155"/>
      <c r="BH639" s="155"/>
      <c r="BI639" s="155"/>
      <c r="BJ639" s="155"/>
      <c r="BK639" s="155"/>
      <c r="BL639" s="155"/>
      <c r="BM639" s="155"/>
      <c r="BN639" s="155"/>
      <c r="BO639" s="155"/>
      <c r="BP639" s="155"/>
      <c r="BQ639" s="155"/>
      <c r="BR639" s="155"/>
      <c r="BS639" s="155"/>
      <c r="BT639" s="155"/>
      <c r="BU639" s="155"/>
      <c r="BV639" s="155"/>
      <c r="BW639" s="155"/>
      <c r="BX639" s="155"/>
      <c r="BY639" s="155"/>
      <c r="BZ639" s="155"/>
      <c r="CA639" s="155"/>
      <c r="CB639" s="155"/>
      <c r="CC639" s="155"/>
      <c r="CD639" s="155"/>
      <c r="CE639" s="155"/>
      <c r="CF639" s="155"/>
      <c r="CG639" s="155"/>
    </row>
    <row r="640" spans="1:85" ht="12.75" x14ac:dyDescent="0.2">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c r="AA640" s="155"/>
      <c r="AB640" s="155"/>
      <c r="AC640" s="155"/>
      <c r="AD640" s="155"/>
      <c r="AE640" s="155"/>
      <c r="AF640" s="155"/>
      <c r="AG640" s="155"/>
      <c r="AH640" s="155"/>
      <c r="AI640" s="155"/>
      <c r="AJ640" s="155"/>
      <c r="AK640" s="155"/>
      <c r="AL640" s="155"/>
      <c r="AM640" s="155"/>
      <c r="AN640" s="155"/>
      <c r="AO640" s="155"/>
      <c r="AP640" s="155"/>
      <c r="AQ640" s="155"/>
      <c r="AR640" s="155"/>
      <c r="AS640" s="155"/>
      <c r="AT640" s="155"/>
      <c r="AU640" s="155"/>
      <c r="AV640" s="155"/>
      <c r="AW640" s="155"/>
      <c r="AX640" s="155"/>
      <c r="AY640" s="155"/>
      <c r="AZ640" s="155"/>
      <c r="BA640" s="155"/>
      <c r="BB640" s="155"/>
      <c r="BC640" s="155"/>
      <c r="BD640" s="155"/>
      <c r="BE640" s="155"/>
      <c r="BF640" s="155"/>
      <c r="BG640" s="155"/>
      <c r="BH640" s="155"/>
      <c r="BI640" s="155"/>
      <c r="BJ640" s="155"/>
      <c r="BK640" s="155"/>
      <c r="BL640" s="155"/>
      <c r="BM640" s="155"/>
      <c r="BN640" s="155"/>
      <c r="BO640" s="155"/>
      <c r="BP640" s="155"/>
      <c r="BQ640" s="155"/>
      <c r="BR640" s="155"/>
      <c r="BS640" s="155"/>
      <c r="BT640" s="155"/>
      <c r="BU640" s="155"/>
      <c r="BV640" s="155"/>
      <c r="BW640" s="155"/>
      <c r="BX640" s="155"/>
      <c r="BY640" s="155"/>
      <c r="BZ640" s="155"/>
      <c r="CA640" s="155"/>
      <c r="CB640" s="155"/>
      <c r="CC640" s="155"/>
      <c r="CD640" s="155"/>
      <c r="CE640" s="155"/>
      <c r="CF640" s="155"/>
      <c r="CG640" s="155"/>
    </row>
    <row r="641" spans="1:85" ht="12.75" x14ac:dyDescent="0.2">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c r="AA641" s="155"/>
      <c r="AB641" s="155"/>
      <c r="AC641" s="155"/>
      <c r="AD641" s="155"/>
      <c r="AE641" s="155"/>
      <c r="AF641" s="155"/>
      <c r="AG641" s="155"/>
      <c r="AH641" s="155"/>
      <c r="AI641" s="155"/>
      <c r="AJ641" s="155"/>
      <c r="AK641" s="155"/>
      <c r="AL641" s="155"/>
      <c r="AM641" s="155"/>
      <c r="AN641" s="155"/>
      <c r="AO641" s="155"/>
      <c r="AP641" s="155"/>
      <c r="AQ641" s="155"/>
      <c r="AR641" s="155"/>
      <c r="AS641" s="155"/>
      <c r="AT641" s="155"/>
      <c r="AU641" s="155"/>
      <c r="AV641" s="155"/>
      <c r="AW641" s="155"/>
      <c r="AX641" s="155"/>
      <c r="AY641" s="155"/>
      <c r="AZ641" s="155"/>
      <c r="BA641" s="155"/>
      <c r="BB641" s="155"/>
      <c r="BC641" s="155"/>
      <c r="BD641" s="155"/>
      <c r="BE641" s="155"/>
      <c r="BF641" s="155"/>
      <c r="BG641" s="155"/>
      <c r="BH641" s="155"/>
      <c r="BI641" s="155"/>
      <c r="BJ641" s="155"/>
      <c r="BK641" s="155"/>
      <c r="BL641" s="155"/>
      <c r="BM641" s="155"/>
      <c r="BN641" s="155"/>
      <c r="BO641" s="155"/>
      <c r="BP641" s="155"/>
      <c r="BQ641" s="155"/>
      <c r="BR641" s="155"/>
      <c r="BS641" s="155"/>
      <c r="BT641" s="155"/>
      <c r="BU641" s="155"/>
      <c r="BV641" s="155"/>
      <c r="BW641" s="155"/>
      <c r="BX641" s="155"/>
      <c r="BY641" s="155"/>
      <c r="BZ641" s="155"/>
      <c r="CA641" s="155"/>
      <c r="CB641" s="155"/>
      <c r="CC641" s="155"/>
      <c r="CD641" s="155"/>
      <c r="CE641" s="155"/>
      <c r="CF641" s="155"/>
      <c r="CG641" s="155"/>
    </row>
    <row r="642" spans="1:85" ht="12.75" x14ac:dyDescent="0.2">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c r="AA642" s="155"/>
      <c r="AB642" s="155"/>
      <c r="AC642" s="155"/>
      <c r="AD642" s="155"/>
      <c r="AE642" s="155"/>
      <c r="AF642" s="155"/>
      <c r="AG642" s="155"/>
      <c r="AH642" s="155"/>
      <c r="AI642" s="155"/>
      <c r="AJ642" s="155"/>
      <c r="AK642" s="155"/>
      <c r="AL642" s="155"/>
      <c r="AM642" s="155"/>
      <c r="AN642" s="155"/>
      <c r="AO642" s="155"/>
      <c r="AP642" s="155"/>
      <c r="AQ642" s="155"/>
      <c r="AR642" s="155"/>
      <c r="AS642" s="155"/>
      <c r="AT642" s="155"/>
      <c r="AU642" s="155"/>
      <c r="AV642" s="155"/>
      <c r="AW642" s="155"/>
      <c r="AX642" s="155"/>
      <c r="AY642" s="155"/>
      <c r="AZ642" s="155"/>
      <c r="BA642" s="155"/>
      <c r="BB642" s="155"/>
      <c r="BC642" s="155"/>
      <c r="BD642" s="155"/>
      <c r="BE642" s="155"/>
      <c r="BF642" s="155"/>
      <c r="BG642" s="155"/>
      <c r="BH642" s="155"/>
      <c r="BI642" s="155"/>
      <c r="BJ642" s="155"/>
      <c r="BK642" s="155"/>
      <c r="BL642" s="155"/>
      <c r="BM642" s="155"/>
      <c r="BN642" s="155"/>
      <c r="BO642" s="155"/>
      <c r="BP642" s="155"/>
      <c r="BQ642" s="155"/>
      <c r="BR642" s="155"/>
      <c r="BS642" s="155"/>
      <c r="BT642" s="155"/>
      <c r="BU642" s="155"/>
      <c r="BV642" s="155"/>
      <c r="BW642" s="155"/>
      <c r="BX642" s="155"/>
      <c r="BY642" s="155"/>
      <c r="BZ642" s="155"/>
      <c r="CA642" s="155"/>
      <c r="CB642" s="155"/>
      <c r="CC642" s="155"/>
      <c r="CD642" s="155"/>
      <c r="CE642" s="155"/>
      <c r="CF642" s="155"/>
      <c r="CG642" s="155"/>
    </row>
    <row r="643" spans="1:85" ht="12.75" x14ac:dyDescent="0.2">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5"/>
      <c r="AY643" s="155"/>
      <c r="AZ643" s="155"/>
      <c r="BA643" s="155"/>
      <c r="BB643" s="155"/>
      <c r="BC643" s="155"/>
      <c r="BD643" s="155"/>
      <c r="BE643" s="155"/>
      <c r="BF643" s="155"/>
      <c r="BG643" s="155"/>
      <c r="BH643" s="155"/>
      <c r="BI643" s="155"/>
      <c r="BJ643" s="155"/>
      <c r="BK643" s="155"/>
      <c r="BL643" s="155"/>
      <c r="BM643" s="155"/>
      <c r="BN643" s="155"/>
      <c r="BO643" s="155"/>
      <c r="BP643" s="155"/>
      <c r="BQ643" s="155"/>
      <c r="BR643" s="155"/>
      <c r="BS643" s="155"/>
      <c r="BT643" s="155"/>
      <c r="BU643" s="155"/>
      <c r="BV643" s="155"/>
      <c r="BW643" s="155"/>
      <c r="BX643" s="155"/>
      <c r="BY643" s="155"/>
      <c r="BZ643" s="155"/>
      <c r="CA643" s="155"/>
      <c r="CB643" s="155"/>
      <c r="CC643" s="155"/>
      <c r="CD643" s="155"/>
      <c r="CE643" s="155"/>
      <c r="CF643" s="155"/>
      <c r="CG643" s="155"/>
    </row>
    <row r="644" spans="1:85" ht="12.75" x14ac:dyDescent="0.2">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c r="AA644" s="155"/>
      <c r="AB644" s="155"/>
      <c r="AC644" s="155"/>
      <c r="AD644" s="155"/>
      <c r="AE644" s="155"/>
      <c r="AF644" s="155"/>
      <c r="AG644" s="155"/>
      <c r="AH644" s="155"/>
      <c r="AI644" s="155"/>
      <c r="AJ644" s="155"/>
      <c r="AK644" s="155"/>
      <c r="AL644" s="155"/>
      <c r="AM644" s="155"/>
      <c r="AN644" s="155"/>
      <c r="AO644" s="155"/>
      <c r="AP644" s="155"/>
      <c r="AQ644" s="155"/>
      <c r="AR644" s="155"/>
      <c r="AS644" s="155"/>
      <c r="AT644" s="155"/>
      <c r="AU644" s="155"/>
      <c r="AV644" s="155"/>
      <c r="AW644" s="155"/>
      <c r="AX644" s="155"/>
      <c r="AY644" s="155"/>
      <c r="AZ644" s="155"/>
      <c r="BA644" s="155"/>
      <c r="BB644" s="155"/>
      <c r="BC644" s="155"/>
      <c r="BD644" s="155"/>
      <c r="BE644" s="155"/>
      <c r="BF644" s="155"/>
      <c r="BG644" s="155"/>
      <c r="BH644" s="155"/>
      <c r="BI644" s="155"/>
      <c r="BJ644" s="155"/>
      <c r="BK644" s="155"/>
      <c r="BL644" s="155"/>
      <c r="BM644" s="155"/>
      <c r="BN644" s="155"/>
      <c r="BO644" s="155"/>
      <c r="BP644" s="155"/>
      <c r="BQ644" s="155"/>
      <c r="BR644" s="155"/>
      <c r="BS644" s="155"/>
      <c r="BT644" s="155"/>
      <c r="BU644" s="155"/>
      <c r="BV644" s="155"/>
      <c r="BW644" s="155"/>
      <c r="BX644" s="155"/>
      <c r="BY644" s="155"/>
      <c r="BZ644" s="155"/>
      <c r="CA644" s="155"/>
      <c r="CB644" s="155"/>
      <c r="CC644" s="155"/>
      <c r="CD644" s="155"/>
      <c r="CE644" s="155"/>
      <c r="CF644" s="155"/>
      <c r="CG644" s="155"/>
    </row>
    <row r="645" spans="1:85" ht="12.75" x14ac:dyDescent="0.2">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c r="AA645" s="155"/>
      <c r="AB645" s="155"/>
      <c r="AC645" s="155"/>
      <c r="AD645" s="155"/>
      <c r="AE645" s="155"/>
      <c r="AF645" s="155"/>
      <c r="AG645" s="155"/>
      <c r="AH645" s="155"/>
      <c r="AI645" s="155"/>
      <c r="AJ645" s="155"/>
      <c r="AK645" s="155"/>
      <c r="AL645" s="155"/>
      <c r="AM645" s="155"/>
      <c r="AN645" s="155"/>
      <c r="AO645" s="155"/>
      <c r="AP645" s="155"/>
      <c r="AQ645" s="155"/>
      <c r="AR645" s="155"/>
      <c r="AS645" s="155"/>
      <c r="AT645" s="155"/>
      <c r="AU645" s="155"/>
      <c r="AV645" s="155"/>
      <c r="AW645" s="155"/>
      <c r="AX645" s="155"/>
      <c r="AY645" s="155"/>
      <c r="AZ645" s="155"/>
      <c r="BA645" s="155"/>
      <c r="BB645" s="155"/>
      <c r="BC645" s="155"/>
      <c r="BD645" s="155"/>
      <c r="BE645" s="155"/>
      <c r="BF645" s="155"/>
      <c r="BG645" s="155"/>
      <c r="BH645" s="155"/>
      <c r="BI645" s="155"/>
      <c r="BJ645" s="155"/>
      <c r="BK645" s="155"/>
      <c r="BL645" s="155"/>
      <c r="BM645" s="155"/>
      <c r="BN645" s="155"/>
      <c r="BO645" s="155"/>
      <c r="BP645" s="155"/>
      <c r="BQ645" s="155"/>
      <c r="BR645" s="155"/>
      <c r="BS645" s="155"/>
      <c r="BT645" s="155"/>
      <c r="BU645" s="155"/>
      <c r="BV645" s="155"/>
      <c r="BW645" s="155"/>
      <c r="BX645" s="155"/>
      <c r="BY645" s="155"/>
      <c r="BZ645" s="155"/>
      <c r="CA645" s="155"/>
      <c r="CB645" s="155"/>
      <c r="CC645" s="155"/>
      <c r="CD645" s="155"/>
      <c r="CE645" s="155"/>
      <c r="CF645" s="155"/>
      <c r="CG645" s="155"/>
    </row>
    <row r="646" spans="1:85" ht="12.75" x14ac:dyDescent="0.2">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c r="AA646" s="155"/>
      <c r="AB646" s="155"/>
      <c r="AC646" s="155"/>
      <c r="AD646" s="155"/>
      <c r="AE646" s="155"/>
      <c r="AF646" s="155"/>
      <c r="AG646" s="155"/>
      <c r="AH646" s="155"/>
      <c r="AI646" s="155"/>
      <c r="AJ646" s="155"/>
      <c r="AK646" s="155"/>
      <c r="AL646" s="155"/>
      <c r="AM646" s="155"/>
      <c r="AN646" s="155"/>
      <c r="AO646" s="155"/>
      <c r="AP646" s="155"/>
      <c r="AQ646" s="155"/>
      <c r="AR646" s="155"/>
      <c r="AS646" s="155"/>
      <c r="AT646" s="155"/>
      <c r="AU646" s="155"/>
      <c r="AV646" s="155"/>
      <c r="AW646" s="155"/>
      <c r="AX646" s="155"/>
      <c r="AY646" s="155"/>
      <c r="AZ646" s="155"/>
      <c r="BA646" s="155"/>
      <c r="BB646" s="155"/>
      <c r="BC646" s="155"/>
      <c r="BD646" s="155"/>
      <c r="BE646" s="155"/>
      <c r="BF646" s="155"/>
      <c r="BG646" s="155"/>
      <c r="BH646" s="155"/>
      <c r="BI646" s="155"/>
      <c r="BJ646" s="155"/>
      <c r="BK646" s="155"/>
      <c r="BL646" s="155"/>
      <c r="BM646" s="155"/>
      <c r="BN646" s="155"/>
      <c r="BO646" s="155"/>
      <c r="BP646" s="155"/>
      <c r="BQ646" s="155"/>
      <c r="BR646" s="155"/>
      <c r="BS646" s="155"/>
      <c r="BT646" s="155"/>
      <c r="BU646" s="155"/>
      <c r="BV646" s="155"/>
      <c r="BW646" s="155"/>
      <c r="BX646" s="155"/>
      <c r="BY646" s="155"/>
      <c r="BZ646" s="155"/>
      <c r="CA646" s="155"/>
      <c r="CB646" s="155"/>
      <c r="CC646" s="155"/>
      <c r="CD646" s="155"/>
      <c r="CE646" s="155"/>
      <c r="CF646" s="155"/>
      <c r="CG646" s="155"/>
    </row>
    <row r="647" spans="1:85" ht="12.75" x14ac:dyDescent="0.2">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c r="AA647" s="155"/>
      <c r="AB647" s="155"/>
      <c r="AC647" s="155"/>
      <c r="AD647" s="155"/>
      <c r="AE647" s="155"/>
      <c r="AF647" s="155"/>
      <c r="AG647" s="155"/>
      <c r="AH647" s="155"/>
      <c r="AI647" s="155"/>
      <c r="AJ647" s="155"/>
      <c r="AK647" s="155"/>
      <c r="AL647" s="155"/>
      <c r="AM647" s="155"/>
      <c r="AN647" s="155"/>
      <c r="AO647" s="155"/>
      <c r="AP647" s="155"/>
      <c r="AQ647" s="155"/>
      <c r="AR647" s="155"/>
      <c r="AS647" s="155"/>
      <c r="AT647" s="155"/>
      <c r="AU647" s="155"/>
      <c r="AV647" s="155"/>
      <c r="AW647" s="155"/>
      <c r="AX647" s="155"/>
      <c r="AY647" s="155"/>
      <c r="AZ647" s="155"/>
      <c r="BA647" s="155"/>
      <c r="BB647" s="155"/>
      <c r="BC647" s="155"/>
      <c r="BD647" s="155"/>
      <c r="BE647" s="155"/>
      <c r="BF647" s="155"/>
      <c r="BG647" s="155"/>
      <c r="BH647" s="155"/>
      <c r="BI647" s="155"/>
      <c r="BJ647" s="155"/>
      <c r="BK647" s="155"/>
      <c r="BL647" s="155"/>
      <c r="BM647" s="155"/>
      <c r="BN647" s="155"/>
      <c r="BO647" s="155"/>
      <c r="BP647" s="155"/>
      <c r="BQ647" s="155"/>
      <c r="BR647" s="155"/>
      <c r="BS647" s="155"/>
      <c r="BT647" s="155"/>
      <c r="BU647" s="155"/>
      <c r="BV647" s="155"/>
      <c r="BW647" s="155"/>
      <c r="BX647" s="155"/>
      <c r="BY647" s="155"/>
      <c r="BZ647" s="155"/>
      <c r="CA647" s="155"/>
      <c r="CB647" s="155"/>
      <c r="CC647" s="155"/>
      <c r="CD647" s="155"/>
      <c r="CE647" s="155"/>
      <c r="CF647" s="155"/>
      <c r="CG647" s="155"/>
    </row>
    <row r="648" spans="1:85" ht="12.75" x14ac:dyDescent="0.2">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c r="AA648" s="155"/>
      <c r="AB648" s="155"/>
      <c r="AC648" s="155"/>
      <c r="AD648" s="155"/>
      <c r="AE648" s="155"/>
      <c r="AF648" s="155"/>
      <c r="AG648" s="155"/>
      <c r="AH648" s="155"/>
      <c r="AI648" s="155"/>
      <c r="AJ648" s="155"/>
      <c r="AK648" s="155"/>
      <c r="AL648" s="155"/>
      <c r="AM648" s="155"/>
      <c r="AN648" s="155"/>
      <c r="AO648" s="155"/>
      <c r="AP648" s="155"/>
      <c r="AQ648" s="155"/>
      <c r="AR648" s="155"/>
      <c r="AS648" s="155"/>
      <c r="AT648" s="155"/>
      <c r="AU648" s="155"/>
      <c r="AV648" s="155"/>
      <c r="AW648" s="155"/>
      <c r="AX648" s="155"/>
      <c r="AY648" s="155"/>
      <c r="AZ648" s="155"/>
      <c r="BA648" s="155"/>
      <c r="BB648" s="155"/>
      <c r="BC648" s="155"/>
      <c r="BD648" s="155"/>
      <c r="BE648" s="155"/>
      <c r="BF648" s="155"/>
      <c r="BG648" s="155"/>
      <c r="BH648" s="155"/>
      <c r="BI648" s="155"/>
      <c r="BJ648" s="155"/>
      <c r="BK648" s="155"/>
      <c r="BL648" s="155"/>
      <c r="BM648" s="155"/>
      <c r="BN648" s="155"/>
      <c r="BO648" s="155"/>
      <c r="BP648" s="155"/>
      <c r="BQ648" s="155"/>
      <c r="BR648" s="155"/>
      <c r="BS648" s="155"/>
      <c r="BT648" s="155"/>
      <c r="BU648" s="155"/>
      <c r="BV648" s="155"/>
      <c r="BW648" s="155"/>
      <c r="BX648" s="155"/>
      <c r="BY648" s="155"/>
      <c r="BZ648" s="155"/>
      <c r="CA648" s="155"/>
      <c r="CB648" s="155"/>
      <c r="CC648" s="155"/>
      <c r="CD648" s="155"/>
      <c r="CE648" s="155"/>
      <c r="CF648" s="155"/>
      <c r="CG648" s="155"/>
    </row>
    <row r="649" spans="1:85" ht="12.75" x14ac:dyDescent="0.2">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c r="AA649" s="155"/>
      <c r="AB649" s="155"/>
      <c r="AC649" s="155"/>
      <c r="AD649" s="155"/>
      <c r="AE649" s="155"/>
      <c r="AF649" s="155"/>
      <c r="AG649" s="155"/>
      <c r="AH649" s="155"/>
      <c r="AI649" s="155"/>
      <c r="AJ649" s="155"/>
      <c r="AK649" s="155"/>
      <c r="AL649" s="155"/>
      <c r="AM649" s="155"/>
      <c r="AN649" s="155"/>
      <c r="AO649" s="155"/>
      <c r="AP649" s="155"/>
      <c r="AQ649" s="155"/>
      <c r="AR649" s="155"/>
      <c r="AS649" s="155"/>
      <c r="AT649" s="155"/>
      <c r="AU649" s="155"/>
      <c r="AV649" s="155"/>
      <c r="AW649" s="155"/>
      <c r="AX649" s="155"/>
      <c r="AY649" s="155"/>
      <c r="AZ649" s="155"/>
      <c r="BA649" s="155"/>
      <c r="BB649" s="155"/>
      <c r="BC649" s="155"/>
      <c r="BD649" s="155"/>
      <c r="BE649" s="155"/>
      <c r="BF649" s="155"/>
      <c r="BG649" s="155"/>
      <c r="BH649" s="155"/>
      <c r="BI649" s="155"/>
      <c r="BJ649" s="155"/>
      <c r="BK649" s="155"/>
      <c r="BL649" s="155"/>
      <c r="BM649" s="155"/>
      <c r="BN649" s="155"/>
      <c r="BO649" s="155"/>
      <c r="BP649" s="155"/>
      <c r="BQ649" s="155"/>
      <c r="BR649" s="155"/>
      <c r="BS649" s="155"/>
      <c r="BT649" s="155"/>
      <c r="BU649" s="155"/>
      <c r="BV649" s="155"/>
      <c r="BW649" s="155"/>
      <c r="BX649" s="155"/>
      <c r="BY649" s="155"/>
      <c r="BZ649" s="155"/>
      <c r="CA649" s="155"/>
      <c r="CB649" s="155"/>
      <c r="CC649" s="155"/>
      <c r="CD649" s="155"/>
      <c r="CE649" s="155"/>
      <c r="CF649" s="155"/>
      <c r="CG649" s="155"/>
    </row>
    <row r="650" spans="1:85" ht="12.75" x14ac:dyDescent="0.2">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c r="AA650" s="155"/>
      <c r="AB650" s="155"/>
      <c r="AC650" s="155"/>
      <c r="AD650" s="155"/>
      <c r="AE650" s="155"/>
      <c r="AF650" s="155"/>
      <c r="AG650" s="155"/>
      <c r="AH650" s="155"/>
      <c r="AI650" s="155"/>
      <c r="AJ650" s="155"/>
      <c r="AK650" s="155"/>
      <c r="AL650" s="155"/>
      <c r="AM650" s="155"/>
      <c r="AN650" s="155"/>
      <c r="AO650" s="155"/>
      <c r="AP650" s="155"/>
      <c r="AQ650" s="155"/>
      <c r="AR650" s="155"/>
      <c r="AS650" s="155"/>
      <c r="AT650" s="155"/>
      <c r="AU650" s="155"/>
      <c r="AV650" s="155"/>
      <c r="AW650" s="155"/>
      <c r="AX650" s="155"/>
      <c r="AY650" s="155"/>
      <c r="AZ650" s="155"/>
      <c r="BA650" s="155"/>
      <c r="BB650" s="155"/>
      <c r="BC650" s="155"/>
      <c r="BD650" s="155"/>
      <c r="BE650" s="155"/>
      <c r="BF650" s="155"/>
      <c r="BG650" s="155"/>
      <c r="BH650" s="155"/>
      <c r="BI650" s="155"/>
      <c r="BJ650" s="155"/>
      <c r="BK650" s="155"/>
      <c r="BL650" s="155"/>
      <c r="BM650" s="155"/>
      <c r="BN650" s="155"/>
      <c r="BO650" s="155"/>
      <c r="BP650" s="155"/>
      <c r="BQ650" s="155"/>
      <c r="BR650" s="155"/>
      <c r="BS650" s="155"/>
      <c r="BT650" s="155"/>
      <c r="BU650" s="155"/>
      <c r="BV650" s="155"/>
      <c r="BW650" s="155"/>
      <c r="BX650" s="155"/>
      <c r="BY650" s="155"/>
      <c r="BZ650" s="155"/>
      <c r="CA650" s="155"/>
      <c r="CB650" s="155"/>
      <c r="CC650" s="155"/>
      <c r="CD650" s="155"/>
      <c r="CE650" s="155"/>
      <c r="CF650" s="155"/>
      <c r="CG650" s="155"/>
    </row>
    <row r="651" spans="1:85" ht="12.75" x14ac:dyDescent="0.2">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c r="AA651" s="155"/>
      <c r="AB651" s="155"/>
      <c r="AC651" s="155"/>
      <c r="AD651" s="155"/>
      <c r="AE651" s="155"/>
      <c r="AF651" s="155"/>
      <c r="AG651" s="155"/>
      <c r="AH651" s="155"/>
      <c r="AI651" s="155"/>
      <c r="AJ651" s="155"/>
      <c r="AK651" s="155"/>
      <c r="AL651" s="155"/>
      <c r="AM651" s="155"/>
      <c r="AN651" s="155"/>
      <c r="AO651" s="155"/>
      <c r="AP651" s="155"/>
      <c r="AQ651" s="155"/>
      <c r="AR651" s="155"/>
      <c r="AS651" s="155"/>
      <c r="AT651" s="155"/>
      <c r="AU651" s="155"/>
      <c r="AV651" s="155"/>
      <c r="AW651" s="155"/>
      <c r="AX651" s="155"/>
      <c r="AY651" s="155"/>
      <c r="AZ651" s="155"/>
      <c r="BA651" s="155"/>
      <c r="BB651" s="155"/>
      <c r="BC651" s="155"/>
      <c r="BD651" s="155"/>
      <c r="BE651" s="155"/>
      <c r="BF651" s="155"/>
      <c r="BG651" s="155"/>
      <c r="BH651" s="155"/>
      <c r="BI651" s="155"/>
      <c r="BJ651" s="155"/>
      <c r="BK651" s="155"/>
      <c r="BL651" s="155"/>
      <c r="BM651" s="155"/>
      <c r="BN651" s="155"/>
      <c r="BO651" s="155"/>
      <c r="BP651" s="155"/>
      <c r="BQ651" s="155"/>
      <c r="BR651" s="155"/>
      <c r="BS651" s="155"/>
      <c r="BT651" s="155"/>
      <c r="BU651" s="155"/>
      <c r="BV651" s="155"/>
      <c r="BW651" s="155"/>
      <c r="BX651" s="155"/>
      <c r="BY651" s="155"/>
      <c r="BZ651" s="155"/>
      <c r="CA651" s="155"/>
      <c r="CB651" s="155"/>
      <c r="CC651" s="155"/>
      <c r="CD651" s="155"/>
      <c r="CE651" s="155"/>
      <c r="CF651" s="155"/>
      <c r="CG651" s="155"/>
    </row>
    <row r="652" spans="1:85" ht="12.75" x14ac:dyDescent="0.2">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c r="AA652" s="155"/>
      <c r="AB652" s="155"/>
      <c r="AC652" s="155"/>
      <c r="AD652" s="155"/>
      <c r="AE652" s="155"/>
      <c r="AF652" s="155"/>
      <c r="AG652" s="155"/>
      <c r="AH652" s="155"/>
      <c r="AI652" s="155"/>
      <c r="AJ652" s="155"/>
      <c r="AK652" s="155"/>
      <c r="AL652" s="155"/>
      <c r="AM652" s="155"/>
      <c r="AN652" s="155"/>
      <c r="AO652" s="155"/>
      <c r="AP652" s="155"/>
      <c r="AQ652" s="155"/>
      <c r="AR652" s="155"/>
      <c r="AS652" s="155"/>
      <c r="AT652" s="155"/>
      <c r="AU652" s="155"/>
      <c r="AV652" s="155"/>
      <c r="AW652" s="155"/>
      <c r="AX652" s="155"/>
      <c r="AY652" s="155"/>
      <c r="AZ652" s="155"/>
      <c r="BA652" s="155"/>
      <c r="BB652" s="155"/>
      <c r="BC652" s="155"/>
      <c r="BD652" s="155"/>
      <c r="BE652" s="155"/>
      <c r="BF652" s="155"/>
      <c r="BG652" s="155"/>
      <c r="BH652" s="155"/>
      <c r="BI652" s="155"/>
      <c r="BJ652" s="155"/>
      <c r="BK652" s="155"/>
      <c r="BL652" s="155"/>
      <c r="BM652" s="155"/>
      <c r="BN652" s="155"/>
      <c r="BO652" s="155"/>
      <c r="BP652" s="155"/>
      <c r="BQ652" s="155"/>
      <c r="BR652" s="155"/>
      <c r="BS652" s="155"/>
      <c r="BT652" s="155"/>
      <c r="BU652" s="155"/>
      <c r="BV652" s="155"/>
      <c r="BW652" s="155"/>
      <c r="BX652" s="155"/>
      <c r="BY652" s="155"/>
      <c r="BZ652" s="155"/>
      <c r="CA652" s="155"/>
      <c r="CB652" s="155"/>
      <c r="CC652" s="155"/>
      <c r="CD652" s="155"/>
      <c r="CE652" s="155"/>
      <c r="CF652" s="155"/>
      <c r="CG652" s="155"/>
    </row>
    <row r="653" spans="1:85" ht="12.75" x14ac:dyDescent="0.2">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c r="AA653" s="155"/>
      <c r="AB653" s="155"/>
      <c r="AC653" s="155"/>
      <c r="AD653" s="155"/>
      <c r="AE653" s="155"/>
      <c r="AF653" s="155"/>
      <c r="AG653" s="155"/>
      <c r="AH653" s="155"/>
      <c r="AI653" s="155"/>
      <c r="AJ653" s="155"/>
      <c r="AK653" s="155"/>
      <c r="AL653" s="155"/>
      <c r="AM653" s="155"/>
      <c r="AN653" s="155"/>
      <c r="AO653" s="155"/>
      <c r="AP653" s="155"/>
      <c r="AQ653" s="155"/>
      <c r="AR653" s="155"/>
      <c r="AS653" s="155"/>
      <c r="AT653" s="155"/>
      <c r="AU653" s="155"/>
      <c r="AV653" s="155"/>
      <c r="AW653" s="155"/>
      <c r="AX653" s="155"/>
      <c r="AY653" s="155"/>
      <c r="AZ653" s="155"/>
      <c r="BA653" s="155"/>
      <c r="BB653" s="155"/>
      <c r="BC653" s="155"/>
      <c r="BD653" s="155"/>
      <c r="BE653" s="155"/>
      <c r="BF653" s="155"/>
      <c r="BG653" s="155"/>
      <c r="BH653" s="155"/>
      <c r="BI653" s="155"/>
      <c r="BJ653" s="155"/>
      <c r="BK653" s="155"/>
      <c r="BL653" s="155"/>
      <c r="BM653" s="155"/>
      <c r="BN653" s="155"/>
      <c r="BO653" s="155"/>
      <c r="BP653" s="155"/>
      <c r="BQ653" s="155"/>
      <c r="BR653" s="155"/>
      <c r="BS653" s="155"/>
      <c r="BT653" s="155"/>
      <c r="BU653" s="155"/>
      <c r="BV653" s="155"/>
      <c r="BW653" s="155"/>
      <c r="BX653" s="155"/>
      <c r="BY653" s="155"/>
      <c r="BZ653" s="155"/>
      <c r="CA653" s="155"/>
      <c r="CB653" s="155"/>
      <c r="CC653" s="155"/>
      <c r="CD653" s="155"/>
      <c r="CE653" s="155"/>
      <c r="CF653" s="155"/>
      <c r="CG653" s="155"/>
    </row>
    <row r="654" spans="1:85" ht="12.75" x14ac:dyDescent="0.2">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c r="AA654" s="155"/>
      <c r="AB654" s="155"/>
      <c r="AC654" s="155"/>
      <c r="AD654" s="155"/>
      <c r="AE654" s="155"/>
      <c r="AF654" s="155"/>
      <c r="AG654" s="155"/>
      <c r="AH654" s="155"/>
      <c r="AI654" s="155"/>
      <c r="AJ654" s="155"/>
      <c r="AK654" s="155"/>
      <c r="AL654" s="155"/>
      <c r="AM654" s="155"/>
      <c r="AN654" s="155"/>
      <c r="AO654" s="155"/>
      <c r="AP654" s="155"/>
      <c r="AQ654" s="155"/>
      <c r="AR654" s="155"/>
      <c r="AS654" s="155"/>
      <c r="AT654" s="155"/>
      <c r="AU654" s="155"/>
      <c r="AV654" s="155"/>
      <c r="AW654" s="155"/>
      <c r="AX654" s="155"/>
      <c r="AY654" s="155"/>
      <c r="AZ654" s="155"/>
      <c r="BA654" s="155"/>
      <c r="BB654" s="155"/>
      <c r="BC654" s="155"/>
      <c r="BD654" s="155"/>
      <c r="BE654" s="155"/>
      <c r="BF654" s="155"/>
      <c r="BG654" s="155"/>
      <c r="BH654" s="155"/>
      <c r="BI654" s="155"/>
      <c r="BJ654" s="155"/>
      <c r="BK654" s="155"/>
      <c r="BL654" s="155"/>
      <c r="BM654" s="155"/>
      <c r="BN654" s="155"/>
      <c r="BO654" s="155"/>
      <c r="BP654" s="155"/>
      <c r="BQ654" s="155"/>
      <c r="BR654" s="155"/>
      <c r="BS654" s="155"/>
      <c r="BT654" s="155"/>
      <c r="BU654" s="155"/>
      <c r="BV654" s="155"/>
      <c r="BW654" s="155"/>
      <c r="BX654" s="155"/>
      <c r="BY654" s="155"/>
      <c r="BZ654" s="155"/>
      <c r="CA654" s="155"/>
      <c r="CB654" s="155"/>
      <c r="CC654" s="155"/>
      <c r="CD654" s="155"/>
      <c r="CE654" s="155"/>
      <c r="CF654" s="155"/>
      <c r="CG654" s="155"/>
    </row>
    <row r="655" spans="1:85" ht="12.75" x14ac:dyDescent="0.2">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c r="AA655" s="155"/>
      <c r="AB655" s="155"/>
      <c r="AC655" s="155"/>
      <c r="AD655" s="155"/>
      <c r="AE655" s="155"/>
      <c r="AF655" s="155"/>
      <c r="AG655" s="155"/>
      <c r="AH655" s="155"/>
      <c r="AI655" s="155"/>
      <c r="AJ655" s="155"/>
      <c r="AK655" s="155"/>
      <c r="AL655" s="155"/>
      <c r="AM655" s="155"/>
      <c r="AN655" s="155"/>
      <c r="AO655" s="155"/>
      <c r="AP655" s="155"/>
      <c r="AQ655" s="155"/>
      <c r="AR655" s="155"/>
      <c r="AS655" s="155"/>
      <c r="AT655" s="155"/>
      <c r="AU655" s="155"/>
      <c r="AV655" s="155"/>
      <c r="AW655" s="155"/>
      <c r="AX655" s="155"/>
      <c r="AY655" s="155"/>
      <c r="AZ655" s="155"/>
      <c r="BA655" s="155"/>
      <c r="BB655" s="155"/>
      <c r="BC655" s="155"/>
      <c r="BD655" s="155"/>
      <c r="BE655" s="155"/>
      <c r="BF655" s="155"/>
      <c r="BG655" s="155"/>
      <c r="BH655" s="155"/>
      <c r="BI655" s="155"/>
      <c r="BJ655" s="155"/>
      <c r="BK655" s="155"/>
      <c r="BL655" s="155"/>
      <c r="BM655" s="155"/>
      <c r="BN655" s="155"/>
      <c r="BO655" s="155"/>
      <c r="BP655" s="155"/>
      <c r="BQ655" s="155"/>
      <c r="BR655" s="155"/>
      <c r="BS655" s="155"/>
      <c r="BT655" s="155"/>
      <c r="BU655" s="155"/>
      <c r="BV655" s="155"/>
      <c r="BW655" s="155"/>
      <c r="BX655" s="155"/>
      <c r="BY655" s="155"/>
      <c r="BZ655" s="155"/>
      <c r="CA655" s="155"/>
      <c r="CB655" s="155"/>
      <c r="CC655" s="155"/>
      <c r="CD655" s="155"/>
      <c r="CE655" s="155"/>
      <c r="CF655" s="155"/>
      <c r="CG655" s="155"/>
    </row>
    <row r="656" spans="1:85" ht="12.75" x14ac:dyDescent="0.2">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c r="AA656" s="155"/>
      <c r="AB656" s="155"/>
      <c r="AC656" s="155"/>
      <c r="AD656" s="155"/>
      <c r="AE656" s="155"/>
      <c r="AF656" s="155"/>
      <c r="AG656" s="155"/>
      <c r="AH656" s="155"/>
      <c r="AI656" s="155"/>
      <c r="AJ656" s="155"/>
      <c r="AK656" s="155"/>
      <c r="AL656" s="155"/>
      <c r="AM656" s="155"/>
      <c r="AN656" s="155"/>
      <c r="AO656" s="155"/>
      <c r="AP656" s="155"/>
      <c r="AQ656" s="155"/>
      <c r="AR656" s="155"/>
      <c r="AS656" s="155"/>
      <c r="AT656" s="155"/>
      <c r="AU656" s="155"/>
      <c r="AV656" s="155"/>
      <c r="AW656" s="155"/>
      <c r="AX656" s="155"/>
      <c r="AY656" s="155"/>
      <c r="AZ656" s="155"/>
      <c r="BA656" s="155"/>
      <c r="BB656" s="155"/>
      <c r="BC656" s="155"/>
      <c r="BD656" s="155"/>
      <c r="BE656" s="155"/>
      <c r="BF656" s="155"/>
      <c r="BG656" s="155"/>
      <c r="BH656" s="155"/>
      <c r="BI656" s="155"/>
      <c r="BJ656" s="155"/>
      <c r="BK656" s="155"/>
      <c r="BL656" s="155"/>
      <c r="BM656" s="155"/>
      <c r="BN656" s="155"/>
      <c r="BO656" s="155"/>
      <c r="BP656" s="155"/>
      <c r="BQ656" s="155"/>
      <c r="BR656" s="155"/>
      <c r="BS656" s="155"/>
      <c r="BT656" s="155"/>
      <c r="BU656" s="155"/>
      <c r="BV656" s="155"/>
      <c r="BW656" s="155"/>
      <c r="BX656" s="155"/>
      <c r="BY656" s="155"/>
      <c r="BZ656" s="155"/>
      <c r="CA656" s="155"/>
      <c r="CB656" s="155"/>
      <c r="CC656" s="155"/>
      <c r="CD656" s="155"/>
      <c r="CE656" s="155"/>
      <c r="CF656" s="155"/>
      <c r="CG656" s="155"/>
    </row>
    <row r="657" spans="1:85" ht="12.75" x14ac:dyDescent="0.2">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c r="AA657" s="155"/>
      <c r="AB657" s="155"/>
      <c r="AC657" s="155"/>
      <c r="AD657" s="155"/>
      <c r="AE657" s="155"/>
      <c r="AF657" s="155"/>
      <c r="AG657" s="155"/>
      <c r="AH657" s="155"/>
      <c r="AI657" s="155"/>
      <c r="AJ657" s="155"/>
      <c r="AK657" s="155"/>
      <c r="AL657" s="155"/>
      <c r="AM657" s="155"/>
      <c r="AN657" s="155"/>
      <c r="AO657" s="155"/>
      <c r="AP657" s="155"/>
      <c r="AQ657" s="155"/>
      <c r="AR657" s="155"/>
      <c r="AS657" s="155"/>
      <c r="AT657" s="155"/>
      <c r="AU657" s="155"/>
      <c r="AV657" s="155"/>
      <c r="AW657" s="155"/>
      <c r="AX657" s="155"/>
      <c r="AY657" s="155"/>
      <c r="AZ657" s="155"/>
      <c r="BA657" s="155"/>
      <c r="BB657" s="155"/>
      <c r="BC657" s="155"/>
      <c r="BD657" s="155"/>
      <c r="BE657" s="155"/>
      <c r="BF657" s="155"/>
      <c r="BG657" s="155"/>
      <c r="BH657" s="155"/>
      <c r="BI657" s="155"/>
      <c r="BJ657" s="155"/>
      <c r="BK657" s="155"/>
      <c r="BL657" s="155"/>
      <c r="BM657" s="155"/>
      <c r="BN657" s="155"/>
      <c r="BO657" s="155"/>
      <c r="BP657" s="155"/>
      <c r="BQ657" s="155"/>
      <c r="BR657" s="155"/>
      <c r="BS657" s="155"/>
      <c r="BT657" s="155"/>
      <c r="BU657" s="155"/>
      <c r="BV657" s="155"/>
      <c r="BW657" s="155"/>
      <c r="BX657" s="155"/>
      <c r="BY657" s="155"/>
      <c r="BZ657" s="155"/>
      <c r="CA657" s="155"/>
      <c r="CB657" s="155"/>
      <c r="CC657" s="155"/>
      <c r="CD657" s="155"/>
      <c r="CE657" s="155"/>
      <c r="CF657" s="155"/>
      <c r="CG657" s="155"/>
    </row>
    <row r="658" spans="1:85" ht="12.75" x14ac:dyDescent="0.2">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c r="AA658" s="155"/>
      <c r="AB658" s="155"/>
      <c r="AC658" s="155"/>
      <c r="AD658" s="155"/>
      <c r="AE658" s="155"/>
      <c r="AF658" s="155"/>
      <c r="AG658" s="155"/>
      <c r="AH658" s="155"/>
      <c r="AI658" s="155"/>
      <c r="AJ658" s="155"/>
      <c r="AK658" s="155"/>
      <c r="AL658" s="155"/>
      <c r="AM658" s="155"/>
      <c r="AN658" s="155"/>
      <c r="AO658" s="155"/>
      <c r="AP658" s="155"/>
      <c r="AQ658" s="155"/>
      <c r="AR658" s="155"/>
      <c r="AS658" s="155"/>
      <c r="AT658" s="155"/>
      <c r="AU658" s="155"/>
      <c r="AV658" s="155"/>
      <c r="AW658" s="155"/>
      <c r="AX658" s="155"/>
      <c r="AY658" s="155"/>
      <c r="AZ658" s="155"/>
      <c r="BA658" s="155"/>
      <c r="BB658" s="155"/>
      <c r="BC658" s="155"/>
      <c r="BD658" s="155"/>
      <c r="BE658" s="155"/>
      <c r="BF658" s="155"/>
      <c r="BG658" s="155"/>
      <c r="BH658" s="155"/>
      <c r="BI658" s="155"/>
      <c r="BJ658" s="155"/>
      <c r="BK658" s="155"/>
      <c r="BL658" s="155"/>
      <c r="BM658" s="155"/>
      <c r="BN658" s="155"/>
      <c r="BO658" s="155"/>
      <c r="BP658" s="155"/>
      <c r="BQ658" s="155"/>
      <c r="BR658" s="155"/>
      <c r="BS658" s="155"/>
      <c r="BT658" s="155"/>
      <c r="BU658" s="155"/>
      <c r="BV658" s="155"/>
      <c r="BW658" s="155"/>
      <c r="BX658" s="155"/>
      <c r="BY658" s="155"/>
      <c r="BZ658" s="155"/>
      <c r="CA658" s="155"/>
      <c r="CB658" s="155"/>
      <c r="CC658" s="155"/>
      <c r="CD658" s="155"/>
      <c r="CE658" s="155"/>
      <c r="CF658" s="155"/>
      <c r="CG658" s="155"/>
    </row>
    <row r="659" spans="1:85" ht="12.75" x14ac:dyDescent="0.2">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c r="AA659" s="155"/>
      <c r="AB659" s="155"/>
      <c r="AC659" s="155"/>
      <c r="AD659" s="155"/>
      <c r="AE659" s="155"/>
      <c r="AF659" s="155"/>
      <c r="AG659" s="155"/>
      <c r="AH659" s="155"/>
      <c r="AI659" s="155"/>
      <c r="AJ659" s="155"/>
      <c r="AK659" s="155"/>
      <c r="AL659" s="155"/>
      <c r="AM659" s="155"/>
      <c r="AN659" s="155"/>
      <c r="AO659" s="155"/>
      <c r="AP659" s="155"/>
      <c r="AQ659" s="155"/>
      <c r="AR659" s="155"/>
      <c r="AS659" s="155"/>
      <c r="AT659" s="155"/>
      <c r="AU659" s="155"/>
      <c r="AV659" s="155"/>
      <c r="AW659" s="155"/>
      <c r="AX659" s="155"/>
      <c r="AY659" s="155"/>
      <c r="AZ659" s="155"/>
      <c r="BA659" s="155"/>
      <c r="BB659" s="155"/>
      <c r="BC659" s="155"/>
      <c r="BD659" s="155"/>
      <c r="BE659" s="155"/>
      <c r="BF659" s="155"/>
      <c r="BG659" s="155"/>
      <c r="BH659" s="155"/>
      <c r="BI659" s="155"/>
      <c r="BJ659" s="155"/>
      <c r="BK659" s="155"/>
      <c r="BL659" s="155"/>
      <c r="BM659" s="155"/>
      <c r="BN659" s="155"/>
      <c r="BO659" s="155"/>
      <c r="BP659" s="155"/>
      <c r="BQ659" s="155"/>
      <c r="BR659" s="155"/>
      <c r="BS659" s="155"/>
      <c r="BT659" s="155"/>
      <c r="BU659" s="155"/>
      <c r="BV659" s="155"/>
      <c r="BW659" s="155"/>
      <c r="BX659" s="155"/>
      <c r="BY659" s="155"/>
      <c r="BZ659" s="155"/>
      <c r="CA659" s="155"/>
      <c r="CB659" s="155"/>
      <c r="CC659" s="155"/>
      <c r="CD659" s="155"/>
      <c r="CE659" s="155"/>
      <c r="CF659" s="155"/>
      <c r="CG659" s="155"/>
    </row>
    <row r="660" spans="1:85" ht="12.75" x14ac:dyDescent="0.2">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c r="AA660" s="155"/>
      <c r="AB660" s="155"/>
      <c r="AC660" s="155"/>
      <c r="AD660" s="155"/>
      <c r="AE660" s="155"/>
      <c r="AF660" s="155"/>
      <c r="AG660" s="155"/>
      <c r="AH660" s="155"/>
      <c r="AI660" s="155"/>
      <c r="AJ660" s="155"/>
      <c r="AK660" s="155"/>
      <c r="AL660" s="155"/>
      <c r="AM660" s="155"/>
      <c r="AN660" s="155"/>
      <c r="AO660" s="155"/>
      <c r="AP660" s="155"/>
      <c r="AQ660" s="155"/>
      <c r="AR660" s="155"/>
      <c r="AS660" s="155"/>
      <c r="AT660" s="155"/>
      <c r="AU660" s="155"/>
      <c r="AV660" s="155"/>
      <c r="AW660" s="155"/>
      <c r="AX660" s="155"/>
      <c r="AY660" s="155"/>
      <c r="AZ660" s="155"/>
      <c r="BA660" s="155"/>
      <c r="BB660" s="155"/>
      <c r="BC660" s="155"/>
      <c r="BD660" s="155"/>
      <c r="BE660" s="155"/>
      <c r="BF660" s="155"/>
      <c r="BG660" s="155"/>
      <c r="BH660" s="155"/>
      <c r="BI660" s="155"/>
      <c r="BJ660" s="155"/>
      <c r="BK660" s="155"/>
      <c r="BL660" s="155"/>
      <c r="BM660" s="155"/>
      <c r="BN660" s="155"/>
      <c r="BO660" s="155"/>
      <c r="BP660" s="155"/>
      <c r="BQ660" s="155"/>
      <c r="BR660" s="155"/>
      <c r="BS660" s="155"/>
      <c r="BT660" s="155"/>
      <c r="BU660" s="155"/>
      <c r="BV660" s="155"/>
      <c r="BW660" s="155"/>
      <c r="BX660" s="155"/>
      <c r="BY660" s="155"/>
      <c r="BZ660" s="155"/>
      <c r="CA660" s="155"/>
      <c r="CB660" s="155"/>
      <c r="CC660" s="155"/>
      <c r="CD660" s="155"/>
      <c r="CE660" s="155"/>
      <c r="CF660" s="155"/>
      <c r="CG660" s="155"/>
    </row>
    <row r="661" spans="1:85" ht="12.75" x14ac:dyDescent="0.2">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c r="AA661" s="155"/>
      <c r="AB661" s="155"/>
      <c r="AC661" s="155"/>
      <c r="AD661" s="155"/>
      <c r="AE661" s="155"/>
      <c r="AF661" s="155"/>
      <c r="AG661" s="155"/>
      <c r="AH661" s="155"/>
      <c r="AI661" s="155"/>
      <c r="AJ661" s="155"/>
      <c r="AK661" s="155"/>
      <c r="AL661" s="155"/>
      <c r="AM661" s="155"/>
      <c r="AN661" s="155"/>
      <c r="AO661" s="155"/>
      <c r="AP661" s="155"/>
      <c r="AQ661" s="155"/>
      <c r="AR661" s="155"/>
      <c r="AS661" s="155"/>
      <c r="AT661" s="155"/>
      <c r="AU661" s="155"/>
      <c r="AV661" s="155"/>
      <c r="AW661" s="155"/>
      <c r="AX661" s="155"/>
      <c r="AY661" s="155"/>
      <c r="AZ661" s="155"/>
      <c r="BA661" s="155"/>
      <c r="BB661" s="155"/>
      <c r="BC661" s="155"/>
      <c r="BD661" s="155"/>
      <c r="BE661" s="155"/>
      <c r="BF661" s="155"/>
      <c r="BG661" s="155"/>
      <c r="BH661" s="155"/>
      <c r="BI661" s="155"/>
      <c r="BJ661" s="155"/>
      <c r="BK661" s="155"/>
      <c r="BL661" s="155"/>
      <c r="BM661" s="155"/>
      <c r="BN661" s="155"/>
      <c r="BO661" s="155"/>
      <c r="BP661" s="155"/>
      <c r="BQ661" s="155"/>
      <c r="BR661" s="155"/>
      <c r="BS661" s="155"/>
      <c r="BT661" s="155"/>
      <c r="BU661" s="155"/>
      <c r="BV661" s="155"/>
      <c r="BW661" s="155"/>
      <c r="BX661" s="155"/>
      <c r="BY661" s="155"/>
      <c r="BZ661" s="155"/>
      <c r="CA661" s="155"/>
      <c r="CB661" s="155"/>
      <c r="CC661" s="155"/>
      <c r="CD661" s="155"/>
      <c r="CE661" s="155"/>
      <c r="CF661" s="155"/>
      <c r="CG661" s="155"/>
    </row>
    <row r="662" spans="1:85" ht="12.75" x14ac:dyDescent="0.2">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c r="AA662" s="155"/>
      <c r="AB662" s="155"/>
      <c r="AC662" s="155"/>
      <c r="AD662" s="155"/>
      <c r="AE662" s="155"/>
      <c r="AF662" s="155"/>
      <c r="AG662" s="155"/>
      <c r="AH662" s="155"/>
      <c r="AI662" s="155"/>
      <c r="AJ662" s="155"/>
      <c r="AK662" s="155"/>
      <c r="AL662" s="155"/>
      <c r="AM662" s="155"/>
      <c r="AN662" s="155"/>
      <c r="AO662" s="155"/>
      <c r="AP662" s="155"/>
      <c r="AQ662" s="155"/>
      <c r="AR662" s="155"/>
      <c r="AS662" s="155"/>
      <c r="AT662" s="155"/>
      <c r="AU662" s="155"/>
      <c r="AV662" s="155"/>
      <c r="AW662" s="155"/>
      <c r="AX662" s="155"/>
      <c r="AY662" s="155"/>
      <c r="AZ662" s="155"/>
      <c r="BA662" s="155"/>
      <c r="BB662" s="155"/>
      <c r="BC662" s="155"/>
      <c r="BD662" s="155"/>
      <c r="BE662" s="155"/>
      <c r="BF662" s="155"/>
      <c r="BG662" s="155"/>
      <c r="BH662" s="155"/>
      <c r="BI662" s="155"/>
      <c r="BJ662" s="155"/>
      <c r="BK662" s="155"/>
      <c r="BL662" s="155"/>
      <c r="BM662" s="155"/>
      <c r="BN662" s="155"/>
      <c r="BO662" s="155"/>
      <c r="BP662" s="155"/>
      <c r="BQ662" s="155"/>
      <c r="BR662" s="155"/>
      <c r="BS662" s="155"/>
      <c r="BT662" s="155"/>
      <c r="BU662" s="155"/>
      <c r="BV662" s="155"/>
      <c r="BW662" s="155"/>
      <c r="BX662" s="155"/>
      <c r="BY662" s="155"/>
      <c r="BZ662" s="155"/>
      <c r="CA662" s="155"/>
      <c r="CB662" s="155"/>
      <c r="CC662" s="155"/>
      <c r="CD662" s="155"/>
      <c r="CE662" s="155"/>
      <c r="CF662" s="155"/>
      <c r="CG662" s="155"/>
    </row>
    <row r="663" spans="1:85" ht="12.75" x14ac:dyDescent="0.2">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c r="AA663" s="155"/>
      <c r="AB663" s="155"/>
      <c r="AC663" s="155"/>
      <c r="AD663" s="155"/>
      <c r="AE663" s="155"/>
      <c r="AF663" s="155"/>
      <c r="AG663" s="155"/>
      <c r="AH663" s="155"/>
      <c r="AI663" s="155"/>
      <c r="AJ663" s="155"/>
      <c r="AK663" s="155"/>
      <c r="AL663" s="155"/>
      <c r="AM663" s="155"/>
      <c r="AN663" s="155"/>
      <c r="AO663" s="155"/>
      <c r="AP663" s="155"/>
      <c r="AQ663" s="155"/>
      <c r="AR663" s="155"/>
      <c r="AS663" s="155"/>
      <c r="AT663" s="155"/>
      <c r="AU663" s="155"/>
      <c r="AV663" s="155"/>
      <c r="AW663" s="155"/>
      <c r="AX663" s="155"/>
      <c r="AY663" s="155"/>
      <c r="AZ663" s="155"/>
      <c r="BA663" s="155"/>
      <c r="BB663" s="155"/>
      <c r="BC663" s="155"/>
      <c r="BD663" s="155"/>
      <c r="BE663" s="155"/>
      <c r="BF663" s="155"/>
      <c r="BG663" s="155"/>
      <c r="BH663" s="155"/>
      <c r="BI663" s="155"/>
      <c r="BJ663" s="155"/>
      <c r="BK663" s="155"/>
      <c r="BL663" s="155"/>
      <c r="BM663" s="155"/>
      <c r="BN663" s="155"/>
      <c r="BO663" s="155"/>
      <c r="BP663" s="155"/>
      <c r="BQ663" s="155"/>
      <c r="BR663" s="155"/>
      <c r="BS663" s="155"/>
      <c r="BT663" s="155"/>
      <c r="BU663" s="155"/>
      <c r="BV663" s="155"/>
      <c r="BW663" s="155"/>
      <c r="BX663" s="155"/>
      <c r="BY663" s="155"/>
      <c r="BZ663" s="155"/>
      <c r="CA663" s="155"/>
      <c r="CB663" s="155"/>
      <c r="CC663" s="155"/>
      <c r="CD663" s="155"/>
      <c r="CE663" s="155"/>
      <c r="CF663" s="155"/>
      <c r="CG663" s="155"/>
    </row>
    <row r="664" spans="1:85" ht="12.75" x14ac:dyDescent="0.2">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c r="AA664" s="155"/>
      <c r="AB664" s="155"/>
      <c r="AC664" s="155"/>
      <c r="AD664" s="155"/>
      <c r="AE664" s="155"/>
      <c r="AF664" s="155"/>
      <c r="AG664" s="155"/>
      <c r="AH664" s="155"/>
      <c r="AI664" s="155"/>
      <c r="AJ664" s="155"/>
      <c r="AK664" s="155"/>
      <c r="AL664" s="155"/>
      <c r="AM664" s="155"/>
      <c r="AN664" s="155"/>
      <c r="AO664" s="155"/>
      <c r="AP664" s="155"/>
      <c r="AQ664" s="155"/>
      <c r="AR664" s="155"/>
      <c r="AS664" s="155"/>
      <c r="AT664" s="155"/>
      <c r="AU664" s="155"/>
      <c r="AV664" s="155"/>
      <c r="AW664" s="155"/>
      <c r="AX664" s="155"/>
      <c r="AY664" s="155"/>
      <c r="AZ664" s="155"/>
      <c r="BA664" s="155"/>
      <c r="BB664" s="155"/>
      <c r="BC664" s="155"/>
      <c r="BD664" s="155"/>
      <c r="BE664" s="155"/>
      <c r="BF664" s="155"/>
      <c r="BG664" s="155"/>
      <c r="BH664" s="155"/>
      <c r="BI664" s="155"/>
      <c r="BJ664" s="155"/>
      <c r="BK664" s="155"/>
      <c r="BL664" s="155"/>
      <c r="BM664" s="155"/>
      <c r="BN664" s="155"/>
      <c r="BO664" s="155"/>
      <c r="BP664" s="155"/>
      <c r="BQ664" s="155"/>
      <c r="BR664" s="155"/>
      <c r="BS664" s="155"/>
      <c r="BT664" s="155"/>
      <c r="BU664" s="155"/>
      <c r="BV664" s="155"/>
      <c r="BW664" s="155"/>
      <c r="BX664" s="155"/>
      <c r="BY664" s="155"/>
      <c r="BZ664" s="155"/>
      <c r="CA664" s="155"/>
      <c r="CB664" s="155"/>
      <c r="CC664" s="155"/>
      <c r="CD664" s="155"/>
      <c r="CE664" s="155"/>
      <c r="CF664" s="155"/>
      <c r="CG664" s="155"/>
    </row>
    <row r="665" spans="1:85" ht="12.75" x14ac:dyDescent="0.2">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c r="AA665" s="155"/>
      <c r="AB665" s="155"/>
      <c r="AC665" s="155"/>
      <c r="AD665" s="155"/>
      <c r="AE665" s="155"/>
      <c r="AF665" s="155"/>
      <c r="AG665" s="155"/>
      <c r="AH665" s="155"/>
      <c r="AI665" s="155"/>
      <c r="AJ665" s="155"/>
      <c r="AK665" s="155"/>
      <c r="AL665" s="155"/>
      <c r="AM665" s="155"/>
      <c r="AN665" s="155"/>
      <c r="AO665" s="155"/>
      <c r="AP665" s="155"/>
      <c r="AQ665" s="155"/>
      <c r="AR665" s="155"/>
      <c r="AS665" s="155"/>
      <c r="AT665" s="155"/>
      <c r="AU665" s="155"/>
      <c r="AV665" s="155"/>
      <c r="AW665" s="155"/>
      <c r="AX665" s="155"/>
      <c r="AY665" s="155"/>
      <c r="AZ665" s="155"/>
      <c r="BA665" s="155"/>
      <c r="BB665" s="155"/>
      <c r="BC665" s="155"/>
      <c r="BD665" s="155"/>
      <c r="BE665" s="155"/>
      <c r="BF665" s="155"/>
      <c r="BG665" s="155"/>
      <c r="BH665" s="155"/>
      <c r="BI665" s="155"/>
      <c r="BJ665" s="155"/>
      <c r="BK665" s="155"/>
      <c r="BL665" s="155"/>
      <c r="BM665" s="155"/>
      <c r="BN665" s="155"/>
      <c r="BO665" s="155"/>
      <c r="BP665" s="155"/>
      <c r="BQ665" s="155"/>
      <c r="BR665" s="155"/>
      <c r="BS665" s="155"/>
      <c r="BT665" s="155"/>
      <c r="BU665" s="155"/>
      <c r="BV665" s="155"/>
      <c r="BW665" s="155"/>
      <c r="BX665" s="155"/>
      <c r="BY665" s="155"/>
      <c r="BZ665" s="155"/>
      <c r="CA665" s="155"/>
      <c r="CB665" s="155"/>
      <c r="CC665" s="155"/>
      <c r="CD665" s="155"/>
      <c r="CE665" s="155"/>
      <c r="CF665" s="155"/>
      <c r="CG665" s="155"/>
    </row>
    <row r="666" spans="1:85" ht="12.75" x14ac:dyDescent="0.2">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c r="AA666" s="155"/>
      <c r="AB666" s="155"/>
      <c r="AC666" s="155"/>
      <c r="AD666" s="155"/>
      <c r="AE666" s="155"/>
      <c r="AF666" s="155"/>
      <c r="AG666" s="155"/>
      <c r="AH666" s="155"/>
      <c r="AI666" s="155"/>
      <c r="AJ666" s="155"/>
      <c r="AK666" s="155"/>
      <c r="AL666" s="155"/>
      <c r="AM666" s="155"/>
      <c r="AN666" s="155"/>
      <c r="AO666" s="155"/>
      <c r="AP666" s="155"/>
      <c r="AQ666" s="155"/>
      <c r="AR666" s="155"/>
      <c r="AS666" s="155"/>
      <c r="AT666" s="155"/>
      <c r="AU666" s="155"/>
      <c r="AV666" s="155"/>
      <c r="AW666" s="155"/>
      <c r="AX666" s="155"/>
      <c r="AY666" s="155"/>
      <c r="AZ666" s="155"/>
      <c r="BA666" s="155"/>
      <c r="BB666" s="155"/>
      <c r="BC666" s="155"/>
      <c r="BD666" s="155"/>
      <c r="BE666" s="155"/>
      <c r="BF666" s="155"/>
      <c r="BG666" s="155"/>
      <c r="BH666" s="155"/>
      <c r="BI666" s="155"/>
      <c r="BJ666" s="155"/>
      <c r="BK666" s="155"/>
      <c r="BL666" s="155"/>
      <c r="BM666" s="155"/>
      <c r="BN666" s="155"/>
      <c r="BO666" s="155"/>
      <c r="BP666" s="155"/>
      <c r="BQ666" s="155"/>
      <c r="BR666" s="155"/>
      <c r="BS666" s="155"/>
      <c r="BT666" s="155"/>
      <c r="BU666" s="155"/>
      <c r="BV666" s="155"/>
      <c r="BW666" s="155"/>
      <c r="BX666" s="155"/>
      <c r="BY666" s="155"/>
      <c r="BZ666" s="155"/>
      <c r="CA666" s="155"/>
      <c r="CB666" s="155"/>
      <c r="CC666" s="155"/>
      <c r="CD666" s="155"/>
      <c r="CE666" s="155"/>
      <c r="CF666" s="155"/>
      <c r="CG666" s="155"/>
    </row>
    <row r="667" spans="1:85" ht="12.75" x14ac:dyDescent="0.2">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c r="AA667" s="155"/>
      <c r="AB667" s="155"/>
      <c r="AC667" s="155"/>
      <c r="AD667" s="155"/>
      <c r="AE667" s="155"/>
      <c r="AF667" s="155"/>
      <c r="AG667" s="155"/>
      <c r="AH667" s="155"/>
      <c r="AI667" s="155"/>
      <c r="AJ667" s="155"/>
      <c r="AK667" s="155"/>
      <c r="AL667" s="155"/>
      <c r="AM667" s="155"/>
      <c r="AN667" s="155"/>
      <c r="AO667" s="155"/>
      <c r="AP667" s="155"/>
      <c r="AQ667" s="155"/>
      <c r="AR667" s="155"/>
      <c r="AS667" s="155"/>
      <c r="AT667" s="155"/>
      <c r="AU667" s="155"/>
      <c r="AV667" s="155"/>
      <c r="AW667" s="155"/>
      <c r="AX667" s="155"/>
      <c r="AY667" s="155"/>
      <c r="AZ667" s="155"/>
      <c r="BA667" s="155"/>
      <c r="BB667" s="155"/>
      <c r="BC667" s="155"/>
      <c r="BD667" s="155"/>
      <c r="BE667" s="155"/>
      <c r="BF667" s="155"/>
      <c r="BG667" s="155"/>
      <c r="BH667" s="155"/>
      <c r="BI667" s="155"/>
      <c r="BJ667" s="155"/>
      <c r="BK667" s="155"/>
      <c r="BL667" s="155"/>
      <c r="BM667" s="155"/>
      <c r="BN667" s="155"/>
      <c r="BO667" s="155"/>
      <c r="BP667" s="155"/>
      <c r="BQ667" s="155"/>
      <c r="BR667" s="155"/>
      <c r="BS667" s="155"/>
      <c r="BT667" s="155"/>
      <c r="BU667" s="155"/>
      <c r="BV667" s="155"/>
      <c r="BW667" s="155"/>
      <c r="BX667" s="155"/>
      <c r="BY667" s="155"/>
      <c r="BZ667" s="155"/>
      <c r="CA667" s="155"/>
      <c r="CB667" s="155"/>
      <c r="CC667" s="155"/>
      <c r="CD667" s="155"/>
      <c r="CE667" s="155"/>
      <c r="CF667" s="155"/>
      <c r="CG667" s="155"/>
    </row>
    <row r="668" spans="1:85" ht="12.75" x14ac:dyDescent="0.2">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c r="AA668" s="155"/>
      <c r="AB668" s="155"/>
      <c r="AC668" s="155"/>
      <c r="AD668" s="155"/>
      <c r="AE668" s="155"/>
      <c r="AF668" s="155"/>
      <c r="AG668" s="155"/>
      <c r="AH668" s="155"/>
      <c r="AI668" s="155"/>
      <c r="AJ668" s="155"/>
      <c r="AK668" s="155"/>
      <c r="AL668" s="155"/>
      <c r="AM668" s="155"/>
      <c r="AN668" s="155"/>
      <c r="AO668" s="155"/>
      <c r="AP668" s="155"/>
      <c r="AQ668" s="155"/>
      <c r="AR668" s="155"/>
      <c r="AS668" s="155"/>
      <c r="AT668" s="155"/>
      <c r="AU668" s="155"/>
      <c r="AV668" s="155"/>
      <c r="AW668" s="155"/>
      <c r="AX668" s="155"/>
      <c r="AY668" s="155"/>
      <c r="AZ668" s="155"/>
      <c r="BA668" s="155"/>
      <c r="BB668" s="155"/>
      <c r="BC668" s="155"/>
      <c r="BD668" s="155"/>
      <c r="BE668" s="155"/>
      <c r="BF668" s="155"/>
      <c r="BG668" s="155"/>
      <c r="BH668" s="155"/>
      <c r="BI668" s="155"/>
      <c r="BJ668" s="155"/>
      <c r="BK668" s="155"/>
      <c r="BL668" s="155"/>
      <c r="BM668" s="155"/>
      <c r="BN668" s="155"/>
      <c r="BO668" s="155"/>
      <c r="BP668" s="155"/>
      <c r="BQ668" s="155"/>
      <c r="BR668" s="155"/>
      <c r="BS668" s="155"/>
      <c r="BT668" s="155"/>
      <c r="BU668" s="155"/>
      <c r="BV668" s="155"/>
      <c r="BW668" s="155"/>
      <c r="BX668" s="155"/>
      <c r="BY668" s="155"/>
      <c r="BZ668" s="155"/>
      <c r="CA668" s="155"/>
      <c r="CB668" s="155"/>
      <c r="CC668" s="155"/>
      <c r="CD668" s="155"/>
      <c r="CE668" s="155"/>
      <c r="CF668" s="155"/>
      <c r="CG668" s="155"/>
    </row>
    <row r="669" spans="1:85" ht="12.75" x14ac:dyDescent="0.2">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c r="AA669" s="155"/>
      <c r="AB669" s="155"/>
      <c r="AC669" s="155"/>
      <c r="AD669" s="155"/>
      <c r="AE669" s="155"/>
      <c r="AF669" s="155"/>
      <c r="AG669" s="155"/>
      <c r="AH669" s="155"/>
      <c r="AI669" s="155"/>
      <c r="AJ669" s="155"/>
      <c r="AK669" s="155"/>
      <c r="AL669" s="155"/>
      <c r="AM669" s="155"/>
      <c r="AN669" s="155"/>
      <c r="AO669" s="155"/>
      <c r="AP669" s="155"/>
      <c r="AQ669" s="155"/>
      <c r="AR669" s="155"/>
      <c r="AS669" s="155"/>
      <c r="AT669" s="155"/>
      <c r="AU669" s="155"/>
      <c r="AV669" s="155"/>
      <c r="AW669" s="155"/>
      <c r="AX669" s="155"/>
      <c r="AY669" s="155"/>
      <c r="AZ669" s="155"/>
      <c r="BA669" s="155"/>
      <c r="BB669" s="155"/>
      <c r="BC669" s="155"/>
      <c r="BD669" s="155"/>
      <c r="BE669" s="155"/>
      <c r="BF669" s="155"/>
      <c r="BG669" s="155"/>
      <c r="BH669" s="155"/>
      <c r="BI669" s="155"/>
      <c r="BJ669" s="155"/>
      <c r="BK669" s="155"/>
      <c r="BL669" s="155"/>
      <c r="BM669" s="155"/>
      <c r="BN669" s="155"/>
      <c r="BO669" s="155"/>
      <c r="BP669" s="155"/>
      <c r="BQ669" s="155"/>
      <c r="BR669" s="155"/>
      <c r="BS669" s="155"/>
      <c r="BT669" s="155"/>
      <c r="BU669" s="155"/>
      <c r="BV669" s="155"/>
      <c r="BW669" s="155"/>
      <c r="BX669" s="155"/>
      <c r="BY669" s="155"/>
      <c r="BZ669" s="155"/>
      <c r="CA669" s="155"/>
      <c r="CB669" s="155"/>
      <c r="CC669" s="155"/>
      <c r="CD669" s="155"/>
      <c r="CE669" s="155"/>
      <c r="CF669" s="155"/>
      <c r="CG669" s="155"/>
    </row>
    <row r="670" spans="1:85" ht="12.75" x14ac:dyDescent="0.2">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c r="AA670" s="155"/>
      <c r="AB670" s="155"/>
      <c r="AC670" s="155"/>
      <c r="AD670" s="155"/>
      <c r="AE670" s="155"/>
      <c r="AF670" s="155"/>
      <c r="AG670" s="155"/>
      <c r="AH670" s="155"/>
      <c r="AI670" s="155"/>
      <c r="AJ670" s="155"/>
      <c r="AK670" s="155"/>
      <c r="AL670" s="155"/>
      <c r="AM670" s="155"/>
      <c r="AN670" s="155"/>
      <c r="AO670" s="155"/>
      <c r="AP670" s="155"/>
      <c r="AQ670" s="155"/>
      <c r="AR670" s="155"/>
      <c r="AS670" s="155"/>
      <c r="AT670" s="155"/>
      <c r="AU670" s="155"/>
      <c r="AV670" s="155"/>
      <c r="AW670" s="155"/>
      <c r="AX670" s="155"/>
      <c r="AY670" s="155"/>
      <c r="AZ670" s="155"/>
      <c r="BA670" s="155"/>
      <c r="BB670" s="155"/>
      <c r="BC670" s="155"/>
      <c r="BD670" s="155"/>
      <c r="BE670" s="155"/>
      <c r="BF670" s="155"/>
      <c r="BG670" s="155"/>
      <c r="BH670" s="155"/>
      <c r="BI670" s="155"/>
      <c r="BJ670" s="155"/>
      <c r="BK670" s="155"/>
      <c r="BL670" s="155"/>
      <c r="BM670" s="155"/>
      <c r="BN670" s="155"/>
      <c r="BO670" s="155"/>
      <c r="BP670" s="155"/>
      <c r="BQ670" s="155"/>
      <c r="BR670" s="155"/>
      <c r="BS670" s="155"/>
      <c r="BT670" s="155"/>
      <c r="BU670" s="155"/>
      <c r="BV670" s="155"/>
      <c r="BW670" s="155"/>
      <c r="BX670" s="155"/>
      <c r="BY670" s="155"/>
      <c r="BZ670" s="155"/>
      <c r="CA670" s="155"/>
      <c r="CB670" s="155"/>
      <c r="CC670" s="155"/>
      <c r="CD670" s="155"/>
      <c r="CE670" s="155"/>
      <c r="CF670" s="155"/>
      <c r="CG670" s="155"/>
    </row>
    <row r="671" spans="1:85" ht="12.75" x14ac:dyDescent="0.2">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c r="AA671" s="155"/>
      <c r="AB671" s="155"/>
      <c r="AC671" s="155"/>
      <c r="AD671" s="155"/>
      <c r="AE671" s="155"/>
      <c r="AF671" s="155"/>
      <c r="AG671" s="155"/>
      <c r="AH671" s="155"/>
      <c r="AI671" s="155"/>
      <c r="AJ671" s="155"/>
      <c r="AK671" s="155"/>
      <c r="AL671" s="155"/>
      <c r="AM671" s="155"/>
      <c r="AN671" s="155"/>
      <c r="AO671" s="155"/>
      <c r="AP671" s="155"/>
      <c r="AQ671" s="155"/>
      <c r="AR671" s="155"/>
      <c r="AS671" s="155"/>
      <c r="AT671" s="155"/>
      <c r="AU671" s="155"/>
      <c r="AV671" s="155"/>
      <c r="AW671" s="155"/>
      <c r="AX671" s="155"/>
      <c r="AY671" s="155"/>
      <c r="AZ671" s="155"/>
      <c r="BA671" s="155"/>
      <c r="BB671" s="155"/>
      <c r="BC671" s="155"/>
      <c r="BD671" s="155"/>
      <c r="BE671" s="155"/>
      <c r="BF671" s="155"/>
      <c r="BG671" s="155"/>
      <c r="BH671" s="155"/>
      <c r="BI671" s="155"/>
      <c r="BJ671" s="155"/>
      <c r="BK671" s="155"/>
      <c r="BL671" s="155"/>
      <c r="BM671" s="155"/>
      <c r="BN671" s="155"/>
      <c r="BO671" s="155"/>
      <c r="BP671" s="155"/>
      <c r="BQ671" s="155"/>
      <c r="BR671" s="155"/>
      <c r="BS671" s="155"/>
      <c r="BT671" s="155"/>
      <c r="BU671" s="155"/>
      <c r="BV671" s="155"/>
      <c r="BW671" s="155"/>
      <c r="BX671" s="155"/>
      <c r="BY671" s="155"/>
      <c r="BZ671" s="155"/>
      <c r="CA671" s="155"/>
      <c r="CB671" s="155"/>
      <c r="CC671" s="155"/>
      <c r="CD671" s="155"/>
      <c r="CE671" s="155"/>
      <c r="CF671" s="155"/>
      <c r="CG671" s="155"/>
    </row>
    <row r="672" spans="1:85" ht="12.75" x14ac:dyDescent="0.2">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c r="AA672" s="155"/>
      <c r="AB672" s="155"/>
      <c r="AC672" s="155"/>
      <c r="AD672" s="155"/>
      <c r="AE672" s="155"/>
      <c r="AF672" s="155"/>
      <c r="AG672" s="155"/>
      <c r="AH672" s="155"/>
      <c r="AI672" s="155"/>
      <c r="AJ672" s="155"/>
      <c r="AK672" s="155"/>
      <c r="AL672" s="155"/>
      <c r="AM672" s="155"/>
      <c r="AN672" s="155"/>
      <c r="AO672" s="155"/>
      <c r="AP672" s="155"/>
      <c r="AQ672" s="155"/>
      <c r="AR672" s="155"/>
      <c r="AS672" s="155"/>
      <c r="AT672" s="155"/>
      <c r="AU672" s="155"/>
      <c r="AV672" s="155"/>
      <c r="AW672" s="155"/>
      <c r="AX672" s="155"/>
      <c r="AY672" s="155"/>
      <c r="AZ672" s="155"/>
      <c r="BA672" s="155"/>
      <c r="BB672" s="155"/>
      <c r="BC672" s="155"/>
      <c r="BD672" s="155"/>
      <c r="BE672" s="155"/>
      <c r="BF672" s="155"/>
      <c r="BG672" s="155"/>
      <c r="BH672" s="155"/>
      <c r="BI672" s="155"/>
      <c r="BJ672" s="155"/>
      <c r="BK672" s="155"/>
      <c r="BL672" s="155"/>
      <c r="BM672" s="155"/>
      <c r="BN672" s="155"/>
      <c r="BO672" s="155"/>
      <c r="BP672" s="155"/>
      <c r="BQ672" s="155"/>
      <c r="BR672" s="155"/>
      <c r="BS672" s="155"/>
      <c r="BT672" s="155"/>
      <c r="BU672" s="155"/>
      <c r="BV672" s="155"/>
      <c r="BW672" s="155"/>
      <c r="BX672" s="155"/>
      <c r="BY672" s="155"/>
      <c r="BZ672" s="155"/>
      <c r="CA672" s="155"/>
      <c r="CB672" s="155"/>
      <c r="CC672" s="155"/>
      <c r="CD672" s="155"/>
      <c r="CE672" s="155"/>
      <c r="CF672" s="155"/>
      <c r="CG672" s="155"/>
    </row>
    <row r="673" spans="1:85" ht="12.75" x14ac:dyDescent="0.2">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c r="AA673" s="155"/>
      <c r="AB673" s="155"/>
      <c r="AC673" s="155"/>
      <c r="AD673" s="155"/>
      <c r="AE673" s="155"/>
      <c r="AF673" s="155"/>
      <c r="AG673" s="155"/>
      <c r="AH673" s="155"/>
      <c r="AI673" s="155"/>
      <c r="AJ673" s="155"/>
      <c r="AK673" s="155"/>
      <c r="AL673" s="155"/>
      <c r="AM673" s="155"/>
      <c r="AN673" s="155"/>
      <c r="AO673" s="155"/>
      <c r="AP673" s="155"/>
      <c r="AQ673" s="155"/>
      <c r="AR673" s="155"/>
      <c r="AS673" s="155"/>
      <c r="AT673" s="155"/>
      <c r="AU673" s="155"/>
      <c r="AV673" s="155"/>
      <c r="AW673" s="155"/>
      <c r="AX673" s="155"/>
      <c r="AY673" s="155"/>
      <c r="AZ673" s="155"/>
      <c r="BA673" s="155"/>
      <c r="BB673" s="155"/>
      <c r="BC673" s="155"/>
      <c r="BD673" s="155"/>
      <c r="BE673" s="155"/>
      <c r="BF673" s="155"/>
      <c r="BG673" s="155"/>
      <c r="BH673" s="155"/>
      <c r="BI673" s="155"/>
      <c r="BJ673" s="155"/>
      <c r="BK673" s="155"/>
      <c r="BL673" s="155"/>
      <c r="BM673" s="155"/>
      <c r="BN673" s="155"/>
      <c r="BO673" s="155"/>
      <c r="BP673" s="155"/>
      <c r="BQ673" s="155"/>
      <c r="BR673" s="155"/>
      <c r="BS673" s="155"/>
      <c r="BT673" s="155"/>
      <c r="BU673" s="155"/>
      <c r="BV673" s="155"/>
      <c r="BW673" s="155"/>
      <c r="BX673" s="155"/>
      <c r="BY673" s="155"/>
      <c r="BZ673" s="155"/>
      <c r="CA673" s="155"/>
      <c r="CB673" s="155"/>
      <c r="CC673" s="155"/>
      <c r="CD673" s="155"/>
      <c r="CE673" s="155"/>
      <c r="CF673" s="155"/>
      <c r="CG673" s="155"/>
    </row>
    <row r="674" spans="1:85" ht="12.75" x14ac:dyDescent="0.2">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c r="AA674" s="155"/>
      <c r="AB674" s="155"/>
      <c r="AC674" s="155"/>
      <c r="AD674" s="155"/>
      <c r="AE674" s="155"/>
      <c r="AF674" s="155"/>
      <c r="AG674" s="155"/>
      <c r="AH674" s="155"/>
      <c r="AI674" s="155"/>
      <c r="AJ674" s="155"/>
      <c r="AK674" s="155"/>
      <c r="AL674" s="155"/>
      <c r="AM674" s="155"/>
      <c r="AN674" s="155"/>
      <c r="AO674" s="155"/>
      <c r="AP674" s="155"/>
      <c r="AQ674" s="155"/>
      <c r="AR674" s="155"/>
      <c r="AS674" s="155"/>
      <c r="AT674" s="155"/>
      <c r="AU674" s="155"/>
      <c r="AV674" s="155"/>
      <c r="AW674" s="155"/>
      <c r="AX674" s="155"/>
      <c r="AY674" s="155"/>
      <c r="AZ674" s="155"/>
      <c r="BA674" s="155"/>
      <c r="BB674" s="155"/>
      <c r="BC674" s="155"/>
      <c r="BD674" s="155"/>
      <c r="BE674" s="155"/>
      <c r="BF674" s="155"/>
      <c r="BG674" s="155"/>
      <c r="BH674" s="155"/>
      <c r="BI674" s="155"/>
      <c r="BJ674" s="155"/>
      <c r="BK674" s="155"/>
      <c r="BL674" s="155"/>
      <c r="BM674" s="155"/>
      <c r="BN674" s="155"/>
      <c r="BO674" s="155"/>
      <c r="BP674" s="155"/>
      <c r="BQ674" s="155"/>
      <c r="BR674" s="155"/>
      <c r="BS674" s="155"/>
      <c r="BT674" s="155"/>
      <c r="BU674" s="155"/>
      <c r="BV674" s="155"/>
      <c r="BW674" s="155"/>
      <c r="BX674" s="155"/>
      <c r="BY674" s="155"/>
      <c r="BZ674" s="155"/>
      <c r="CA674" s="155"/>
      <c r="CB674" s="155"/>
      <c r="CC674" s="155"/>
      <c r="CD674" s="155"/>
      <c r="CE674" s="155"/>
      <c r="CF674" s="155"/>
      <c r="CG674" s="155"/>
    </row>
    <row r="675" spans="1:85" ht="12.75" x14ac:dyDescent="0.2">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c r="AA675" s="155"/>
      <c r="AB675" s="155"/>
      <c r="AC675" s="155"/>
      <c r="AD675" s="155"/>
      <c r="AE675" s="155"/>
      <c r="AF675" s="155"/>
      <c r="AG675" s="155"/>
      <c r="AH675" s="155"/>
      <c r="AI675" s="155"/>
      <c r="AJ675" s="155"/>
      <c r="AK675" s="155"/>
      <c r="AL675" s="155"/>
      <c r="AM675" s="155"/>
      <c r="AN675" s="155"/>
      <c r="AO675" s="155"/>
      <c r="AP675" s="155"/>
      <c r="AQ675" s="155"/>
      <c r="AR675" s="155"/>
      <c r="AS675" s="155"/>
      <c r="AT675" s="155"/>
      <c r="AU675" s="155"/>
      <c r="AV675" s="155"/>
      <c r="AW675" s="155"/>
      <c r="AX675" s="155"/>
      <c r="AY675" s="155"/>
      <c r="AZ675" s="155"/>
      <c r="BA675" s="155"/>
      <c r="BB675" s="155"/>
      <c r="BC675" s="155"/>
      <c r="BD675" s="155"/>
      <c r="BE675" s="155"/>
      <c r="BF675" s="155"/>
      <c r="BG675" s="155"/>
      <c r="BH675" s="155"/>
      <c r="BI675" s="155"/>
      <c r="BJ675" s="155"/>
      <c r="BK675" s="155"/>
      <c r="BL675" s="155"/>
      <c r="BM675" s="155"/>
      <c r="BN675" s="155"/>
      <c r="BO675" s="155"/>
      <c r="BP675" s="155"/>
      <c r="BQ675" s="155"/>
      <c r="BR675" s="155"/>
      <c r="BS675" s="155"/>
      <c r="BT675" s="155"/>
      <c r="BU675" s="155"/>
      <c r="BV675" s="155"/>
      <c r="BW675" s="155"/>
      <c r="BX675" s="155"/>
      <c r="BY675" s="155"/>
      <c r="BZ675" s="155"/>
      <c r="CA675" s="155"/>
      <c r="CB675" s="155"/>
      <c r="CC675" s="155"/>
      <c r="CD675" s="155"/>
      <c r="CE675" s="155"/>
      <c r="CF675" s="155"/>
      <c r="CG675" s="155"/>
    </row>
    <row r="676" spans="1:85" ht="12.75" x14ac:dyDescent="0.2">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c r="AA676" s="155"/>
      <c r="AB676" s="155"/>
      <c r="AC676" s="155"/>
      <c r="AD676" s="155"/>
      <c r="AE676" s="155"/>
      <c r="AF676" s="155"/>
      <c r="AG676" s="155"/>
      <c r="AH676" s="155"/>
      <c r="AI676" s="155"/>
      <c r="AJ676" s="155"/>
      <c r="AK676" s="155"/>
      <c r="AL676" s="155"/>
      <c r="AM676" s="155"/>
      <c r="AN676" s="155"/>
      <c r="AO676" s="155"/>
      <c r="AP676" s="155"/>
      <c r="AQ676" s="155"/>
      <c r="AR676" s="155"/>
      <c r="AS676" s="155"/>
      <c r="AT676" s="155"/>
      <c r="AU676" s="155"/>
      <c r="AV676" s="155"/>
      <c r="AW676" s="155"/>
      <c r="AX676" s="155"/>
      <c r="AY676" s="155"/>
      <c r="AZ676" s="155"/>
      <c r="BA676" s="155"/>
      <c r="BB676" s="155"/>
      <c r="BC676" s="155"/>
      <c r="BD676" s="155"/>
      <c r="BE676" s="155"/>
      <c r="BF676" s="155"/>
      <c r="BG676" s="155"/>
      <c r="BH676" s="155"/>
      <c r="BI676" s="155"/>
      <c r="BJ676" s="155"/>
      <c r="BK676" s="155"/>
      <c r="BL676" s="155"/>
      <c r="BM676" s="155"/>
      <c r="BN676" s="155"/>
      <c r="BO676" s="155"/>
      <c r="BP676" s="155"/>
      <c r="BQ676" s="155"/>
      <c r="BR676" s="155"/>
      <c r="BS676" s="155"/>
      <c r="BT676" s="155"/>
      <c r="BU676" s="155"/>
      <c r="BV676" s="155"/>
      <c r="BW676" s="155"/>
      <c r="BX676" s="155"/>
      <c r="BY676" s="155"/>
      <c r="BZ676" s="155"/>
      <c r="CA676" s="155"/>
      <c r="CB676" s="155"/>
      <c r="CC676" s="155"/>
      <c r="CD676" s="155"/>
      <c r="CE676" s="155"/>
      <c r="CF676" s="155"/>
      <c r="CG676" s="155"/>
    </row>
    <row r="677" spans="1:85" ht="12.75" x14ac:dyDescent="0.2">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c r="AA677" s="155"/>
      <c r="AB677" s="155"/>
      <c r="AC677" s="155"/>
      <c r="AD677" s="155"/>
      <c r="AE677" s="155"/>
      <c r="AF677" s="155"/>
      <c r="AG677" s="155"/>
      <c r="AH677" s="155"/>
      <c r="AI677" s="155"/>
      <c r="AJ677" s="155"/>
      <c r="AK677" s="155"/>
      <c r="AL677" s="155"/>
      <c r="AM677" s="155"/>
      <c r="AN677" s="155"/>
      <c r="AO677" s="155"/>
      <c r="AP677" s="155"/>
      <c r="AQ677" s="155"/>
      <c r="AR677" s="155"/>
      <c r="AS677" s="155"/>
      <c r="AT677" s="155"/>
      <c r="AU677" s="155"/>
      <c r="AV677" s="155"/>
      <c r="AW677" s="155"/>
      <c r="AX677" s="155"/>
      <c r="AY677" s="155"/>
      <c r="AZ677" s="155"/>
      <c r="BA677" s="155"/>
      <c r="BB677" s="155"/>
      <c r="BC677" s="155"/>
      <c r="BD677" s="155"/>
      <c r="BE677" s="155"/>
      <c r="BF677" s="155"/>
      <c r="BG677" s="155"/>
      <c r="BH677" s="155"/>
      <c r="BI677" s="155"/>
      <c r="BJ677" s="155"/>
      <c r="BK677" s="155"/>
      <c r="BL677" s="155"/>
      <c r="BM677" s="155"/>
      <c r="BN677" s="155"/>
      <c r="BO677" s="155"/>
      <c r="BP677" s="155"/>
      <c r="BQ677" s="155"/>
      <c r="BR677" s="155"/>
      <c r="BS677" s="155"/>
      <c r="BT677" s="155"/>
      <c r="BU677" s="155"/>
      <c r="BV677" s="155"/>
      <c r="BW677" s="155"/>
      <c r="BX677" s="155"/>
      <c r="BY677" s="155"/>
      <c r="BZ677" s="155"/>
      <c r="CA677" s="155"/>
      <c r="CB677" s="155"/>
      <c r="CC677" s="155"/>
      <c r="CD677" s="155"/>
      <c r="CE677" s="155"/>
      <c r="CF677" s="155"/>
      <c r="CG677" s="155"/>
    </row>
    <row r="678" spans="1:85" ht="12.75" x14ac:dyDescent="0.2">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c r="AA678" s="155"/>
      <c r="AB678" s="155"/>
      <c r="AC678" s="155"/>
      <c r="AD678" s="155"/>
      <c r="AE678" s="155"/>
      <c r="AF678" s="155"/>
      <c r="AG678" s="155"/>
      <c r="AH678" s="155"/>
      <c r="AI678" s="155"/>
      <c r="AJ678" s="155"/>
      <c r="AK678" s="155"/>
      <c r="AL678" s="155"/>
      <c r="AM678" s="155"/>
      <c r="AN678" s="155"/>
      <c r="AO678" s="155"/>
      <c r="AP678" s="155"/>
      <c r="AQ678" s="155"/>
      <c r="AR678" s="155"/>
      <c r="AS678" s="155"/>
      <c r="AT678" s="155"/>
      <c r="AU678" s="155"/>
      <c r="AV678" s="155"/>
      <c r="AW678" s="155"/>
      <c r="AX678" s="155"/>
      <c r="AY678" s="155"/>
      <c r="AZ678" s="155"/>
      <c r="BA678" s="155"/>
      <c r="BB678" s="155"/>
      <c r="BC678" s="155"/>
      <c r="BD678" s="155"/>
      <c r="BE678" s="155"/>
      <c r="BF678" s="155"/>
      <c r="BG678" s="155"/>
      <c r="BH678" s="155"/>
      <c r="BI678" s="155"/>
      <c r="BJ678" s="155"/>
      <c r="BK678" s="155"/>
      <c r="BL678" s="155"/>
      <c r="BM678" s="155"/>
      <c r="BN678" s="155"/>
      <c r="BO678" s="155"/>
      <c r="BP678" s="155"/>
      <c r="BQ678" s="155"/>
      <c r="BR678" s="155"/>
      <c r="BS678" s="155"/>
      <c r="BT678" s="155"/>
      <c r="BU678" s="155"/>
      <c r="BV678" s="155"/>
      <c r="BW678" s="155"/>
      <c r="BX678" s="155"/>
      <c r="BY678" s="155"/>
      <c r="BZ678" s="155"/>
      <c r="CA678" s="155"/>
      <c r="CB678" s="155"/>
      <c r="CC678" s="155"/>
      <c r="CD678" s="155"/>
      <c r="CE678" s="155"/>
      <c r="CF678" s="155"/>
      <c r="CG678" s="155"/>
    </row>
    <row r="679" spans="1:85" ht="12.75" x14ac:dyDescent="0.2">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c r="AA679" s="155"/>
      <c r="AB679" s="155"/>
      <c r="AC679" s="155"/>
      <c r="AD679" s="155"/>
      <c r="AE679" s="155"/>
      <c r="AF679" s="155"/>
      <c r="AG679" s="155"/>
      <c r="AH679" s="155"/>
      <c r="AI679" s="155"/>
      <c r="AJ679" s="155"/>
      <c r="AK679" s="155"/>
      <c r="AL679" s="155"/>
      <c r="AM679" s="155"/>
      <c r="AN679" s="155"/>
      <c r="AO679" s="155"/>
      <c r="AP679" s="155"/>
      <c r="AQ679" s="155"/>
      <c r="AR679" s="155"/>
      <c r="AS679" s="155"/>
      <c r="AT679" s="155"/>
      <c r="AU679" s="155"/>
      <c r="AV679" s="155"/>
      <c r="AW679" s="155"/>
      <c r="AX679" s="155"/>
      <c r="AY679" s="155"/>
      <c r="AZ679" s="155"/>
      <c r="BA679" s="155"/>
      <c r="BB679" s="155"/>
      <c r="BC679" s="155"/>
      <c r="BD679" s="155"/>
      <c r="BE679" s="155"/>
      <c r="BF679" s="155"/>
      <c r="BG679" s="155"/>
      <c r="BH679" s="155"/>
      <c r="BI679" s="155"/>
      <c r="BJ679" s="155"/>
      <c r="BK679" s="155"/>
      <c r="BL679" s="155"/>
      <c r="BM679" s="155"/>
      <c r="BN679" s="155"/>
      <c r="BO679" s="155"/>
      <c r="BP679" s="155"/>
      <c r="BQ679" s="155"/>
      <c r="BR679" s="155"/>
      <c r="BS679" s="155"/>
      <c r="BT679" s="155"/>
      <c r="BU679" s="155"/>
      <c r="BV679" s="155"/>
      <c r="BW679" s="155"/>
      <c r="BX679" s="155"/>
      <c r="BY679" s="155"/>
      <c r="BZ679" s="155"/>
      <c r="CA679" s="155"/>
      <c r="CB679" s="155"/>
      <c r="CC679" s="155"/>
      <c r="CD679" s="155"/>
      <c r="CE679" s="155"/>
      <c r="CF679" s="155"/>
      <c r="CG679" s="155"/>
    </row>
    <row r="680" spans="1:85" ht="12.75" x14ac:dyDescent="0.2">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c r="AA680" s="155"/>
      <c r="AB680" s="155"/>
      <c r="AC680" s="155"/>
      <c r="AD680" s="155"/>
      <c r="AE680" s="155"/>
      <c r="AF680" s="155"/>
      <c r="AG680" s="155"/>
      <c r="AH680" s="155"/>
      <c r="AI680" s="155"/>
      <c r="AJ680" s="155"/>
      <c r="AK680" s="155"/>
      <c r="AL680" s="155"/>
      <c r="AM680" s="155"/>
      <c r="AN680" s="155"/>
      <c r="AO680" s="155"/>
      <c r="AP680" s="155"/>
      <c r="AQ680" s="155"/>
      <c r="AR680" s="155"/>
      <c r="AS680" s="155"/>
      <c r="AT680" s="155"/>
      <c r="AU680" s="155"/>
      <c r="AV680" s="155"/>
      <c r="AW680" s="155"/>
      <c r="AX680" s="155"/>
      <c r="AY680" s="155"/>
      <c r="AZ680" s="155"/>
      <c r="BA680" s="155"/>
      <c r="BB680" s="155"/>
      <c r="BC680" s="155"/>
      <c r="BD680" s="155"/>
      <c r="BE680" s="155"/>
      <c r="BF680" s="155"/>
      <c r="BG680" s="155"/>
      <c r="BH680" s="155"/>
      <c r="BI680" s="155"/>
      <c r="BJ680" s="155"/>
      <c r="BK680" s="155"/>
      <c r="BL680" s="155"/>
      <c r="BM680" s="155"/>
      <c r="BN680" s="155"/>
      <c r="BO680" s="155"/>
      <c r="BP680" s="155"/>
      <c r="BQ680" s="155"/>
      <c r="BR680" s="155"/>
      <c r="BS680" s="155"/>
      <c r="BT680" s="155"/>
      <c r="BU680" s="155"/>
      <c r="BV680" s="155"/>
      <c r="BW680" s="155"/>
      <c r="BX680" s="155"/>
      <c r="BY680" s="155"/>
      <c r="BZ680" s="155"/>
      <c r="CA680" s="155"/>
      <c r="CB680" s="155"/>
      <c r="CC680" s="155"/>
      <c r="CD680" s="155"/>
      <c r="CE680" s="155"/>
      <c r="CF680" s="155"/>
      <c r="CG680" s="155"/>
    </row>
    <row r="681" spans="1:85" ht="12.75" x14ac:dyDescent="0.2">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c r="AA681" s="155"/>
      <c r="AB681" s="155"/>
      <c r="AC681" s="155"/>
      <c r="AD681" s="155"/>
      <c r="AE681" s="155"/>
      <c r="AF681" s="155"/>
      <c r="AG681" s="155"/>
      <c r="AH681" s="155"/>
      <c r="AI681" s="155"/>
      <c r="AJ681" s="155"/>
      <c r="AK681" s="155"/>
      <c r="AL681" s="155"/>
      <c r="AM681" s="155"/>
      <c r="AN681" s="155"/>
      <c r="AO681" s="155"/>
      <c r="AP681" s="155"/>
      <c r="AQ681" s="155"/>
      <c r="AR681" s="155"/>
      <c r="AS681" s="155"/>
      <c r="AT681" s="155"/>
      <c r="AU681" s="155"/>
      <c r="AV681" s="155"/>
      <c r="AW681" s="155"/>
      <c r="AX681" s="155"/>
      <c r="AY681" s="155"/>
      <c r="AZ681" s="155"/>
      <c r="BA681" s="155"/>
      <c r="BB681" s="155"/>
      <c r="BC681" s="155"/>
      <c r="BD681" s="155"/>
      <c r="BE681" s="155"/>
      <c r="BF681" s="155"/>
      <c r="BG681" s="155"/>
      <c r="BH681" s="155"/>
      <c r="BI681" s="155"/>
      <c r="BJ681" s="155"/>
      <c r="BK681" s="155"/>
      <c r="BL681" s="155"/>
      <c r="BM681" s="155"/>
      <c r="BN681" s="155"/>
      <c r="BO681" s="155"/>
      <c r="BP681" s="155"/>
      <c r="BQ681" s="155"/>
      <c r="BR681" s="155"/>
      <c r="BS681" s="155"/>
      <c r="BT681" s="155"/>
      <c r="BU681" s="155"/>
      <c r="BV681" s="155"/>
      <c r="BW681" s="155"/>
      <c r="BX681" s="155"/>
      <c r="BY681" s="155"/>
      <c r="BZ681" s="155"/>
      <c r="CA681" s="155"/>
      <c r="CB681" s="155"/>
      <c r="CC681" s="155"/>
      <c r="CD681" s="155"/>
      <c r="CE681" s="155"/>
      <c r="CF681" s="155"/>
      <c r="CG681" s="155"/>
    </row>
    <row r="682" spans="1:85" ht="12.75" x14ac:dyDescent="0.2">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c r="AA682" s="155"/>
      <c r="AB682" s="155"/>
      <c r="AC682" s="155"/>
      <c r="AD682" s="155"/>
      <c r="AE682" s="155"/>
      <c r="AF682" s="155"/>
      <c r="AG682" s="155"/>
      <c r="AH682" s="155"/>
      <c r="AI682" s="155"/>
      <c r="AJ682" s="155"/>
      <c r="AK682" s="155"/>
      <c r="AL682" s="155"/>
      <c r="AM682" s="155"/>
      <c r="AN682" s="155"/>
      <c r="AO682" s="155"/>
      <c r="AP682" s="155"/>
      <c r="AQ682" s="155"/>
      <c r="AR682" s="155"/>
      <c r="AS682" s="155"/>
      <c r="AT682" s="155"/>
      <c r="AU682" s="155"/>
      <c r="AV682" s="155"/>
      <c r="AW682" s="155"/>
      <c r="AX682" s="155"/>
      <c r="AY682" s="155"/>
      <c r="AZ682" s="155"/>
      <c r="BA682" s="155"/>
      <c r="BB682" s="155"/>
      <c r="BC682" s="155"/>
      <c r="BD682" s="155"/>
      <c r="BE682" s="155"/>
      <c r="BF682" s="155"/>
      <c r="BG682" s="155"/>
      <c r="BH682" s="155"/>
      <c r="BI682" s="155"/>
      <c r="BJ682" s="155"/>
      <c r="BK682" s="155"/>
      <c r="BL682" s="155"/>
      <c r="BM682" s="155"/>
      <c r="BN682" s="155"/>
      <c r="BO682" s="155"/>
      <c r="BP682" s="155"/>
      <c r="BQ682" s="155"/>
      <c r="BR682" s="155"/>
      <c r="BS682" s="155"/>
      <c r="BT682" s="155"/>
      <c r="BU682" s="155"/>
      <c r="BV682" s="155"/>
      <c r="BW682" s="155"/>
      <c r="BX682" s="155"/>
      <c r="BY682" s="155"/>
      <c r="BZ682" s="155"/>
      <c r="CA682" s="155"/>
      <c r="CB682" s="155"/>
      <c r="CC682" s="155"/>
      <c r="CD682" s="155"/>
      <c r="CE682" s="155"/>
      <c r="CF682" s="155"/>
      <c r="CG682" s="155"/>
    </row>
    <row r="683" spans="1:85" ht="12.75" x14ac:dyDescent="0.2">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c r="AA683" s="155"/>
      <c r="AB683" s="155"/>
      <c r="AC683" s="155"/>
      <c r="AD683" s="155"/>
      <c r="AE683" s="155"/>
      <c r="AF683" s="155"/>
      <c r="AG683" s="155"/>
      <c r="AH683" s="155"/>
      <c r="AI683" s="155"/>
      <c r="AJ683" s="155"/>
      <c r="AK683" s="155"/>
      <c r="AL683" s="155"/>
      <c r="AM683" s="155"/>
      <c r="AN683" s="155"/>
      <c r="AO683" s="155"/>
      <c r="AP683" s="155"/>
      <c r="AQ683" s="155"/>
      <c r="AR683" s="155"/>
      <c r="AS683" s="155"/>
      <c r="AT683" s="155"/>
      <c r="AU683" s="155"/>
      <c r="AV683" s="155"/>
      <c r="AW683" s="155"/>
      <c r="AX683" s="155"/>
      <c r="AY683" s="155"/>
      <c r="AZ683" s="155"/>
      <c r="BA683" s="155"/>
      <c r="BB683" s="155"/>
      <c r="BC683" s="155"/>
      <c r="BD683" s="155"/>
      <c r="BE683" s="155"/>
      <c r="BF683" s="155"/>
      <c r="BG683" s="155"/>
      <c r="BH683" s="155"/>
      <c r="BI683" s="155"/>
      <c r="BJ683" s="155"/>
      <c r="BK683" s="155"/>
      <c r="BL683" s="155"/>
      <c r="BM683" s="155"/>
      <c r="BN683" s="155"/>
      <c r="BO683" s="155"/>
      <c r="BP683" s="155"/>
      <c r="BQ683" s="155"/>
      <c r="BR683" s="155"/>
      <c r="BS683" s="155"/>
      <c r="BT683" s="155"/>
      <c r="BU683" s="155"/>
      <c r="BV683" s="155"/>
      <c r="BW683" s="155"/>
      <c r="BX683" s="155"/>
      <c r="BY683" s="155"/>
      <c r="BZ683" s="155"/>
      <c r="CA683" s="155"/>
      <c r="CB683" s="155"/>
      <c r="CC683" s="155"/>
      <c r="CD683" s="155"/>
      <c r="CE683" s="155"/>
      <c r="CF683" s="155"/>
      <c r="CG683" s="155"/>
    </row>
    <row r="684" spans="1:85" ht="12.75" x14ac:dyDescent="0.2">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c r="AA684" s="155"/>
      <c r="AB684" s="155"/>
      <c r="AC684" s="155"/>
      <c r="AD684" s="155"/>
      <c r="AE684" s="155"/>
      <c r="AF684" s="155"/>
      <c r="AG684" s="155"/>
      <c r="AH684" s="155"/>
      <c r="AI684" s="155"/>
      <c r="AJ684" s="155"/>
      <c r="AK684" s="155"/>
      <c r="AL684" s="155"/>
      <c r="AM684" s="155"/>
      <c r="AN684" s="155"/>
      <c r="AO684" s="155"/>
      <c r="AP684" s="155"/>
      <c r="AQ684" s="155"/>
      <c r="AR684" s="155"/>
      <c r="AS684" s="155"/>
      <c r="AT684" s="155"/>
      <c r="AU684" s="155"/>
      <c r="AV684" s="155"/>
      <c r="AW684" s="155"/>
      <c r="AX684" s="155"/>
      <c r="AY684" s="155"/>
      <c r="AZ684" s="155"/>
      <c r="BA684" s="155"/>
      <c r="BB684" s="155"/>
      <c r="BC684" s="155"/>
      <c r="BD684" s="155"/>
      <c r="BE684" s="155"/>
      <c r="BF684" s="155"/>
      <c r="BG684" s="155"/>
      <c r="BH684" s="155"/>
      <c r="BI684" s="155"/>
      <c r="BJ684" s="155"/>
      <c r="BK684" s="155"/>
      <c r="BL684" s="155"/>
      <c r="BM684" s="155"/>
      <c r="BN684" s="155"/>
      <c r="BO684" s="155"/>
      <c r="BP684" s="155"/>
      <c r="BQ684" s="155"/>
      <c r="BR684" s="155"/>
      <c r="BS684" s="155"/>
      <c r="BT684" s="155"/>
      <c r="BU684" s="155"/>
      <c r="BV684" s="155"/>
      <c r="BW684" s="155"/>
      <c r="BX684" s="155"/>
      <c r="BY684" s="155"/>
      <c r="BZ684" s="155"/>
      <c r="CA684" s="155"/>
      <c r="CB684" s="155"/>
      <c r="CC684" s="155"/>
      <c r="CD684" s="155"/>
      <c r="CE684" s="155"/>
      <c r="CF684" s="155"/>
      <c r="CG684" s="155"/>
    </row>
    <row r="685" spans="1:85" ht="12.75" x14ac:dyDescent="0.2">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c r="AA685" s="155"/>
      <c r="AB685" s="155"/>
      <c r="AC685" s="155"/>
      <c r="AD685" s="155"/>
      <c r="AE685" s="155"/>
      <c r="AF685" s="155"/>
      <c r="AG685" s="155"/>
      <c r="AH685" s="155"/>
      <c r="AI685" s="155"/>
      <c r="AJ685" s="155"/>
      <c r="AK685" s="155"/>
      <c r="AL685" s="155"/>
      <c r="AM685" s="155"/>
      <c r="AN685" s="155"/>
      <c r="AO685" s="155"/>
      <c r="AP685" s="155"/>
      <c r="AQ685" s="155"/>
      <c r="AR685" s="155"/>
      <c r="AS685" s="155"/>
      <c r="AT685" s="155"/>
      <c r="AU685" s="155"/>
      <c r="AV685" s="155"/>
      <c r="AW685" s="155"/>
      <c r="AX685" s="155"/>
      <c r="AY685" s="155"/>
      <c r="AZ685" s="155"/>
      <c r="BA685" s="155"/>
      <c r="BB685" s="155"/>
      <c r="BC685" s="155"/>
      <c r="BD685" s="155"/>
      <c r="BE685" s="155"/>
      <c r="BF685" s="155"/>
      <c r="BG685" s="155"/>
      <c r="BH685" s="155"/>
      <c r="BI685" s="155"/>
      <c r="BJ685" s="155"/>
      <c r="BK685" s="155"/>
      <c r="BL685" s="155"/>
      <c r="BM685" s="155"/>
      <c r="BN685" s="155"/>
      <c r="BO685" s="155"/>
      <c r="BP685" s="155"/>
      <c r="BQ685" s="155"/>
      <c r="BR685" s="155"/>
      <c r="BS685" s="155"/>
      <c r="BT685" s="155"/>
      <c r="BU685" s="155"/>
      <c r="BV685" s="155"/>
      <c r="BW685" s="155"/>
      <c r="BX685" s="155"/>
      <c r="BY685" s="155"/>
      <c r="BZ685" s="155"/>
      <c r="CA685" s="155"/>
      <c r="CB685" s="155"/>
      <c r="CC685" s="155"/>
      <c r="CD685" s="155"/>
      <c r="CE685" s="155"/>
      <c r="CF685" s="155"/>
      <c r="CG685" s="155"/>
    </row>
    <row r="686" spans="1:85" ht="12.75" x14ac:dyDescent="0.2">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c r="AA686" s="155"/>
      <c r="AB686" s="155"/>
      <c r="AC686" s="155"/>
      <c r="AD686" s="155"/>
      <c r="AE686" s="155"/>
      <c r="AF686" s="155"/>
      <c r="AG686" s="155"/>
      <c r="AH686" s="155"/>
      <c r="AI686" s="155"/>
      <c r="AJ686" s="155"/>
      <c r="AK686" s="155"/>
      <c r="AL686" s="155"/>
      <c r="AM686" s="155"/>
      <c r="AN686" s="155"/>
      <c r="AO686" s="155"/>
      <c r="AP686" s="155"/>
      <c r="AQ686" s="155"/>
      <c r="AR686" s="155"/>
      <c r="AS686" s="155"/>
      <c r="AT686" s="155"/>
      <c r="AU686" s="155"/>
      <c r="AV686" s="155"/>
      <c r="AW686" s="155"/>
      <c r="AX686" s="155"/>
      <c r="AY686" s="155"/>
      <c r="AZ686" s="155"/>
      <c r="BA686" s="155"/>
      <c r="BB686" s="155"/>
      <c r="BC686" s="155"/>
      <c r="BD686" s="155"/>
      <c r="BE686" s="155"/>
      <c r="BF686" s="155"/>
      <c r="BG686" s="155"/>
      <c r="BH686" s="155"/>
      <c r="BI686" s="155"/>
      <c r="BJ686" s="155"/>
      <c r="BK686" s="155"/>
      <c r="BL686" s="155"/>
      <c r="BM686" s="155"/>
      <c r="BN686" s="155"/>
      <c r="BO686" s="155"/>
      <c r="BP686" s="155"/>
      <c r="BQ686" s="155"/>
      <c r="BR686" s="155"/>
      <c r="BS686" s="155"/>
      <c r="BT686" s="155"/>
      <c r="BU686" s="155"/>
      <c r="BV686" s="155"/>
      <c r="BW686" s="155"/>
      <c r="BX686" s="155"/>
      <c r="BY686" s="155"/>
      <c r="BZ686" s="155"/>
      <c r="CA686" s="155"/>
      <c r="CB686" s="155"/>
      <c r="CC686" s="155"/>
      <c r="CD686" s="155"/>
      <c r="CE686" s="155"/>
      <c r="CF686" s="155"/>
      <c r="CG686" s="155"/>
    </row>
    <row r="687" spans="1:85" ht="12.75" x14ac:dyDescent="0.2">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c r="AA687" s="155"/>
      <c r="AB687" s="155"/>
      <c r="AC687" s="155"/>
      <c r="AD687" s="155"/>
      <c r="AE687" s="155"/>
      <c r="AF687" s="155"/>
      <c r="AG687" s="155"/>
      <c r="AH687" s="155"/>
      <c r="AI687" s="155"/>
      <c r="AJ687" s="155"/>
      <c r="AK687" s="155"/>
      <c r="AL687" s="155"/>
      <c r="AM687" s="155"/>
      <c r="AN687" s="155"/>
      <c r="AO687" s="155"/>
      <c r="AP687" s="155"/>
      <c r="AQ687" s="155"/>
      <c r="AR687" s="155"/>
      <c r="AS687" s="155"/>
      <c r="AT687" s="155"/>
      <c r="AU687" s="155"/>
      <c r="AV687" s="155"/>
      <c r="AW687" s="155"/>
      <c r="AX687" s="155"/>
      <c r="AY687" s="155"/>
      <c r="AZ687" s="155"/>
      <c r="BA687" s="155"/>
      <c r="BB687" s="155"/>
      <c r="BC687" s="155"/>
      <c r="BD687" s="155"/>
      <c r="BE687" s="155"/>
      <c r="BF687" s="155"/>
      <c r="BG687" s="155"/>
      <c r="BH687" s="155"/>
      <c r="BI687" s="155"/>
      <c r="BJ687" s="155"/>
      <c r="BK687" s="155"/>
      <c r="BL687" s="155"/>
      <c r="BM687" s="155"/>
      <c r="BN687" s="155"/>
      <c r="BO687" s="155"/>
      <c r="BP687" s="155"/>
      <c r="BQ687" s="155"/>
      <c r="BR687" s="155"/>
      <c r="BS687" s="155"/>
      <c r="BT687" s="155"/>
      <c r="BU687" s="155"/>
      <c r="BV687" s="155"/>
      <c r="BW687" s="155"/>
      <c r="BX687" s="155"/>
      <c r="BY687" s="155"/>
      <c r="BZ687" s="155"/>
      <c r="CA687" s="155"/>
      <c r="CB687" s="155"/>
      <c r="CC687" s="155"/>
      <c r="CD687" s="155"/>
      <c r="CE687" s="155"/>
      <c r="CF687" s="155"/>
      <c r="CG687" s="155"/>
    </row>
    <row r="688" spans="1:85" ht="12.75" x14ac:dyDescent="0.2">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c r="AA688" s="155"/>
      <c r="AB688" s="155"/>
      <c r="AC688" s="155"/>
      <c r="AD688" s="155"/>
      <c r="AE688" s="155"/>
      <c r="AF688" s="155"/>
      <c r="AG688" s="155"/>
      <c r="AH688" s="155"/>
      <c r="AI688" s="155"/>
      <c r="AJ688" s="155"/>
      <c r="AK688" s="155"/>
      <c r="AL688" s="155"/>
      <c r="AM688" s="155"/>
      <c r="AN688" s="155"/>
      <c r="AO688" s="155"/>
      <c r="AP688" s="155"/>
      <c r="AQ688" s="155"/>
      <c r="AR688" s="155"/>
      <c r="AS688" s="155"/>
      <c r="AT688" s="155"/>
      <c r="AU688" s="155"/>
      <c r="AV688" s="155"/>
      <c r="AW688" s="155"/>
      <c r="AX688" s="155"/>
      <c r="AY688" s="155"/>
      <c r="AZ688" s="155"/>
      <c r="BA688" s="155"/>
      <c r="BB688" s="155"/>
      <c r="BC688" s="155"/>
      <c r="BD688" s="155"/>
      <c r="BE688" s="155"/>
      <c r="BF688" s="155"/>
      <c r="BG688" s="155"/>
      <c r="BH688" s="155"/>
      <c r="BI688" s="155"/>
      <c r="BJ688" s="155"/>
      <c r="BK688" s="155"/>
      <c r="BL688" s="155"/>
      <c r="BM688" s="155"/>
      <c r="BN688" s="155"/>
      <c r="BO688" s="155"/>
      <c r="BP688" s="155"/>
      <c r="BQ688" s="155"/>
      <c r="BR688" s="155"/>
      <c r="BS688" s="155"/>
      <c r="BT688" s="155"/>
      <c r="BU688" s="155"/>
      <c r="BV688" s="155"/>
      <c r="BW688" s="155"/>
      <c r="BX688" s="155"/>
      <c r="BY688" s="155"/>
      <c r="BZ688" s="155"/>
      <c r="CA688" s="155"/>
      <c r="CB688" s="155"/>
      <c r="CC688" s="155"/>
      <c r="CD688" s="155"/>
      <c r="CE688" s="155"/>
      <c r="CF688" s="155"/>
      <c r="CG688" s="155"/>
    </row>
    <row r="689" spans="1:85" ht="12.75" x14ac:dyDescent="0.2">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c r="AA689" s="155"/>
      <c r="AB689" s="155"/>
      <c r="AC689" s="155"/>
      <c r="AD689" s="155"/>
      <c r="AE689" s="155"/>
      <c r="AF689" s="155"/>
      <c r="AG689" s="155"/>
      <c r="AH689" s="155"/>
      <c r="AI689" s="155"/>
      <c r="AJ689" s="155"/>
      <c r="AK689" s="155"/>
      <c r="AL689" s="155"/>
      <c r="AM689" s="155"/>
      <c r="AN689" s="155"/>
      <c r="AO689" s="155"/>
      <c r="AP689" s="155"/>
      <c r="AQ689" s="155"/>
      <c r="AR689" s="155"/>
      <c r="AS689" s="155"/>
      <c r="AT689" s="155"/>
      <c r="AU689" s="155"/>
      <c r="AV689" s="155"/>
      <c r="AW689" s="155"/>
      <c r="AX689" s="155"/>
      <c r="AY689" s="155"/>
      <c r="AZ689" s="155"/>
      <c r="BA689" s="155"/>
      <c r="BB689" s="155"/>
      <c r="BC689" s="155"/>
      <c r="BD689" s="155"/>
      <c r="BE689" s="155"/>
      <c r="BF689" s="155"/>
      <c r="BG689" s="155"/>
      <c r="BH689" s="155"/>
      <c r="BI689" s="155"/>
      <c r="BJ689" s="155"/>
      <c r="BK689" s="155"/>
      <c r="BL689" s="155"/>
      <c r="BM689" s="155"/>
      <c r="BN689" s="155"/>
      <c r="BO689" s="155"/>
      <c r="BP689" s="155"/>
      <c r="BQ689" s="155"/>
      <c r="BR689" s="155"/>
      <c r="BS689" s="155"/>
      <c r="BT689" s="155"/>
      <c r="BU689" s="155"/>
      <c r="BV689" s="155"/>
      <c r="BW689" s="155"/>
      <c r="BX689" s="155"/>
      <c r="BY689" s="155"/>
      <c r="BZ689" s="155"/>
      <c r="CA689" s="155"/>
      <c r="CB689" s="155"/>
      <c r="CC689" s="155"/>
      <c r="CD689" s="155"/>
      <c r="CE689" s="155"/>
      <c r="CF689" s="155"/>
      <c r="CG689" s="155"/>
    </row>
    <row r="690" spans="1:85" ht="12.75" x14ac:dyDescent="0.2">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c r="AA690" s="155"/>
      <c r="AB690" s="155"/>
      <c r="AC690" s="155"/>
      <c r="AD690" s="155"/>
      <c r="AE690" s="155"/>
      <c r="AF690" s="155"/>
      <c r="AG690" s="155"/>
      <c r="AH690" s="155"/>
      <c r="AI690" s="155"/>
      <c r="AJ690" s="155"/>
      <c r="AK690" s="155"/>
      <c r="AL690" s="155"/>
      <c r="AM690" s="155"/>
      <c r="AN690" s="155"/>
      <c r="AO690" s="155"/>
      <c r="AP690" s="155"/>
      <c r="AQ690" s="155"/>
      <c r="AR690" s="155"/>
      <c r="AS690" s="155"/>
      <c r="AT690" s="155"/>
      <c r="AU690" s="155"/>
      <c r="AV690" s="155"/>
      <c r="AW690" s="155"/>
      <c r="AX690" s="155"/>
      <c r="AY690" s="155"/>
      <c r="AZ690" s="155"/>
      <c r="BA690" s="155"/>
      <c r="BB690" s="155"/>
      <c r="BC690" s="155"/>
      <c r="BD690" s="155"/>
      <c r="BE690" s="155"/>
      <c r="BF690" s="155"/>
      <c r="BG690" s="155"/>
      <c r="BH690" s="155"/>
      <c r="BI690" s="155"/>
      <c r="BJ690" s="155"/>
      <c r="BK690" s="155"/>
      <c r="BL690" s="155"/>
      <c r="BM690" s="155"/>
      <c r="BN690" s="155"/>
      <c r="BO690" s="155"/>
      <c r="BP690" s="155"/>
      <c r="BQ690" s="155"/>
      <c r="BR690" s="155"/>
      <c r="BS690" s="155"/>
      <c r="BT690" s="155"/>
      <c r="BU690" s="155"/>
      <c r="BV690" s="155"/>
      <c r="BW690" s="155"/>
      <c r="BX690" s="155"/>
      <c r="BY690" s="155"/>
      <c r="BZ690" s="155"/>
      <c r="CA690" s="155"/>
      <c r="CB690" s="155"/>
      <c r="CC690" s="155"/>
      <c r="CD690" s="155"/>
      <c r="CE690" s="155"/>
      <c r="CF690" s="155"/>
      <c r="CG690" s="155"/>
    </row>
    <row r="691" spans="1:85" ht="12.75" x14ac:dyDescent="0.2">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AJ691" s="155"/>
      <c r="AK691" s="155"/>
      <c r="AL691" s="155"/>
      <c r="AM691" s="155"/>
      <c r="AN691" s="155"/>
      <c r="AO691" s="155"/>
      <c r="AP691" s="155"/>
      <c r="AQ691" s="155"/>
      <c r="AR691" s="155"/>
      <c r="AS691" s="155"/>
      <c r="AT691" s="155"/>
      <c r="AU691" s="155"/>
      <c r="AV691" s="155"/>
      <c r="AW691" s="155"/>
      <c r="AX691" s="155"/>
      <c r="AY691" s="155"/>
      <c r="AZ691" s="155"/>
      <c r="BA691" s="155"/>
      <c r="BB691" s="155"/>
      <c r="BC691" s="155"/>
      <c r="BD691" s="155"/>
      <c r="BE691" s="155"/>
      <c r="BF691" s="155"/>
      <c r="BG691" s="155"/>
      <c r="BH691" s="155"/>
      <c r="BI691" s="155"/>
      <c r="BJ691" s="155"/>
      <c r="BK691" s="155"/>
      <c r="BL691" s="155"/>
      <c r="BM691" s="155"/>
      <c r="BN691" s="155"/>
      <c r="BO691" s="155"/>
      <c r="BP691" s="155"/>
      <c r="BQ691" s="155"/>
      <c r="BR691" s="155"/>
      <c r="BS691" s="155"/>
      <c r="BT691" s="155"/>
      <c r="BU691" s="155"/>
      <c r="BV691" s="155"/>
      <c r="BW691" s="155"/>
      <c r="BX691" s="155"/>
      <c r="BY691" s="155"/>
      <c r="BZ691" s="155"/>
      <c r="CA691" s="155"/>
      <c r="CB691" s="155"/>
      <c r="CC691" s="155"/>
      <c r="CD691" s="155"/>
      <c r="CE691" s="155"/>
      <c r="CF691" s="155"/>
      <c r="CG691" s="155"/>
    </row>
    <row r="692" spans="1:85" ht="12.75" x14ac:dyDescent="0.2">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c r="AA692" s="155"/>
      <c r="AB692" s="155"/>
      <c r="AC692" s="155"/>
      <c r="AD692" s="155"/>
      <c r="AE692" s="155"/>
      <c r="AF692" s="155"/>
      <c r="AG692" s="155"/>
      <c r="AH692" s="155"/>
      <c r="AI692" s="155"/>
      <c r="AJ692" s="155"/>
      <c r="AK692" s="155"/>
      <c r="AL692" s="155"/>
      <c r="AM692" s="155"/>
      <c r="AN692" s="155"/>
      <c r="AO692" s="155"/>
      <c r="AP692" s="155"/>
      <c r="AQ692" s="155"/>
      <c r="AR692" s="155"/>
      <c r="AS692" s="155"/>
      <c r="AT692" s="155"/>
      <c r="AU692" s="155"/>
      <c r="AV692" s="155"/>
      <c r="AW692" s="155"/>
      <c r="AX692" s="155"/>
      <c r="AY692" s="155"/>
      <c r="AZ692" s="155"/>
      <c r="BA692" s="155"/>
      <c r="BB692" s="155"/>
      <c r="BC692" s="155"/>
      <c r="BD692" s="155"/>
      <c r="BE692" s="155"/>
      <c r="BF692" s="155"/>
      <c r="BG692" s="155"/>
      <c r="BH692" s="155"/>
      <c r="BI692" s="155"/>
      <c r="BJ692" s="155"/>
      <c r="BK692" s="155"/>
      <c r="BL692" s="155"/>
      <c r="BM692" s="155"/>
      <c r="BN692" s="155"/>
      <c r="BO692" s="155"/>
      <c r="BP692" s="155"/>
      <c r="BQ692" s="155"/>
      <c r="BR692" s="155"/>
      <c r="BS692" s="155"/>
      <c r="BT692" s="155"/>
      <c r="BU692" s="155"/>
      <c r="BV692" s="155"/>
      <c r="BW692" s="155"/>
      <c r="BX692" s="155"/>
      <c r="BY692" s="155"/>
      <c r="BZ692" s="155"/>
      <c r="CA692" s="155"/>
      <c r="CB692" s="155"/>
      <c r="CC692" s="155"/>
      <c r="CD692" s="155"/>
      <c r="CE692" s="155"/>
      <c r="CF692" s="155"/>
      <c r="CG692" s="155"/>
    </row>
    <row r="693" spans="1:85" ht="12.75" x14ac:dyDescent="0.2">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c r="AA693" s="155"/>
      <c r="AB693" s="155"/>
      <c r="AC693" s="155"/>
      <c r="AD693" s="155"/>
      <c r="AE693" s="155"/>
      <c r="AF693" s="155"/>
      <c r="AG693" s="155"/>
      <c r="AH693" s="155"/>
      <c r="AI693" s="155"/>
      <c r="AJ693" s="155"/>
      <c r="AK693" s="155"/>
      <c r="AL693" s="155"/>
      <c r="AM693" s="155"/>
      <c r="AN693" s="155"/>
      <c r="AO693" s="155"/>
      <c r="AP693" s="155"/>
      <c r="AQ693" s="155"/>
      <c r="AR693" s="155"/>
      <c r="AS693" s="155"/>
      <c r="AT693" s="155"/>
      <c r="AU693" s="155"/>
      <c r="AV693" s="155"/>
      <c r="AW693" s="155"/>
      <c r="AX693" s="155"/>
      <c r="AY693" s="155"/>
      <c r="AZ693" s="155"/>
      <c r="BA693" s="155"/>
      <c r="BB693" s="155"/>
      <c r="BC693" s="155"/>
      <c r="BD693" s="155"/>
      <c r="BE693" s="155"/>
      <c r="BF693" s="155"/>
      <c r="BG693" s="155"/>
      <c r="BH693" s="155"/>
      <c r="BI693" s="155"/>
      <c r="BJ693" s="155"/>
      <c r="BK693" s="155"/>
      <c r="BL693" s="155"/>
      <c r="BM693" s="155"/>
      <c r="BN693" s="155"/>
      <c r="BO693" s="155"/>
      <c r="BP693" s="155"/>
      <c r="BQ693" s="155"/>
      <c r="BR693" s="155"/>
      <c r="BS693" s="155"/>
      <c r="BT693" s="155"/>
      <c r="BU693" s="155"/>
      <c r="BV693" s="155"/>
      <c r="BW693" s="155"/>
      <c r="BX693" s="155"/>
      <c r="BY693" s="155"/>
      <c r="BZ693" s="155"/>
      <c r="CA693" s="155"/>
      <c r="CB693" s="155"/>
      <c r="CC693" s="155"/>
      <c r="CD693" s="155"/>
      <c r="CE693" s="155"/>
      <c r="CF693" s="155"/>
      <c r="CG693" s="155"/>
    </row>
    <row r="694" spans="1:85" ht="12.75" x14ac:dyDescent="0.2">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c r="AA694" s="155"/>
      <c r="AB694" s="155"/>
      <c r="AC694" s="155"/>
      <c r="AD694" s="155"/>
      <c r="AE694" s="155"/>
      <c r="AF694" s="155"/>
      <c r="AG694" s="155"/>
      <c r="AH694" s="155"/>
      <c r="AI694" s="155"/>
      <c r="AJ694" s="155"/>
      <c r="AK694" s="155"/>
      <c r="AL694" s="155"/>
      <c r="AM694" s="155"/>
      <c r="AN694" s="155"/>
      <c r="AO694" s="155"/>
      <c r="AP694" s="155"/>
      <c r="AQ694" s="155"/>
      <c r="AR694" s="155"/>
      <c r="AS694" s="155"/>
      <c r="AT694" s="155"/>
      <c r="AU694" s="155"/>
      <c r="AV694" s="155"/>
      <c r="AW694" s="155"/>
      <c r="AX694" s="155"/>
      <c r="AY694" s="155"/>
      <c r="AZ694" s="155"/>
      <c r="BA694" s="155"/>
      <c r="BB694" s="155"/>
      <c r="BC694" s="155"/>
      <c r="BD694" s="155"/>
      <c r="BE694" s="155"/>
      <c r="BF694" s="155"/>
      <c r="BG694" s="155"/>
      <c r="BH694" s="155"/>
      <c r="BI694" s="155"/>
      <c r="BJ694" s="155"/>
      <c r="BK694" s="155"/>
      <c r="BL694" s="155"/>
      <c r="BM694" s="155"/>
      <c r="BN694" s="155"/>
      <c r="BO694" s="155"/>
      <c r="BP694" s="155"/>
      <c r="BQ694" s="155"/>
      <c r="BR694" s="155"/>
      <c r="BS694" s="155"/>
      <c r="BT694" s="155"/>
      <c r="BU694" s="155"/>
      <c r="BV694" s="155"/>
      <c r="BW694" s="155"/>
      <c r="BX694" s="155"/>
      <c r="BY694" s="155"/>
      <c r="BZ694" s="155"/>
      <c r="CA694" s="155"/>
      <c r="CB694" s="155"/>
      <c r="CC694" s="155"/>
      <c r="CD694" s="155"/>
      <c r="CE694" s="155"/>
      <c r="CF694" s="155"/>
      <c r="CG694" s="155"/>
    </row>
    <row r="695" spans="1:85" ht="12.75" x14ac:dyDescent="0.2">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c r="AA695" s="155"/>
      <c r="AB695" s="155"/>
      <c r="AC695" s="155"/>
      <c r="AD695" s="155"/>
      <c r="AE695" s="155"/>
      <c r="AF695" s="155"/>
      <c r="AG695" s="155"/>
      <c r="AH695" s="155"/>
      <c r="AI695" s="155"/>
      <c r="AJ695" s="155"/>
      <c r="AK695" s="155"/>
      <c r="AL695" s="155"/>
      <c r="AM695" s="155"/>
      <c r="AN695" s="155"/>
      <c r="AO695" s="155"/>
      <c r="AP695" s="155"/>
      <c r="AQ695" s="155"/>
      <c r="AR695" s="155"/>
      <c r="AS695" s="155"/>
      <c r="AT695" s="155"/>
      <c r="AU695" s="155"/>
      <c r="AV695" s="155"/>
      <c r="AW695" s="155"/>
      <c r="AX695" s="155"/>
      <c r="AY695" s="155"/>
      <c r="AZ695" s="155"/>
      <c r="BA695" s="155"/>
      <c r="BB695" s="155"/>
      <c r="BC695" s="155"/>
      <c r="BD695" s="155"/>
      <c r="BE695" s="155"/>
      <c r="BF695" s="155"/>
      <c r="BG695" s="155"/>
      <c r="BH695" s="155"/>
      <c r="BI695" s="155"/>
      <c r="BJ695" s="155"/>
      <c r="BK695" s="155"/>
      <c r="BL695" s="155"/>
      <c r="BM695" s="155"/>
      <c r="BN695" s="155"/>
      <c r="BO695" s="155"/>
      <c r="BP695" s="155"/>
      <c r="BQ695" s="155"/>
      <c r="BR695" s="155"/>
      <c r="BS695" s="155"/>
      <c r="BT695" s="155"/>
      <c r="BU695" s="155"/>
      <c r="BV695" s="155"/>
      <c r="BW695" s="155"/>
      <c r="BX695" s="155"/>
      <c r="BY695" s="155"/>
      <c r="BZ695" s="155"/>
      <c r="CA695" s="155"/>
      <c r="CB695" s="155"/>
      <c r="CC695" s="155"/>
      <c r="CD695" s="155"/>
      <c r="CE695" s="155"/>
      <c r="CF695" s="155"/>
      <c r="CG695" s="155"/>
    </row>
    <row r="696" spans="1:85" ht="12.75" x14ac:dyDescent="0.2">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c r="AA696" s="155"/>
      <c r="AB696" s="155"/>
      <c r="AC696" s="155"/>
      <c r="AD696" s="155"/>
      <c r="AE696" s="155"/>
      <c r="AF696" s="155"/>
      <c r="AG696" s="155"/>
      <c r="AH696" s="155"/>
      <c r="AI696" s="155"/>
      <c r="AJ696" s="155"/>
      <c r="AK696" s="155"/>
      <c r="AL696" s="155"/>
      <c r="AM696" s="155"/>
      <c r="AN696" s="155"/>
      <c r="AO696" s="155"/>
      <c r="AP696" s="155"/>
      <c r="AQ696" s="155"/>
      <c r="AR696" s="155"/>
      <c r="AS696" s="155"/>
      <c r="AT696" s="155"/>
      <c r="AU696" s="155"/>
      <c r="AV696" s="155"/>
      <c r="AW696" s="155"/>
      <c r="AX696" s="155"/>
      <c r="AY696" s="155"/>
      <c r="AZ696" s="155"/>
      <c r="BA696" s="155"/>
      <c r="BB696" s="155"/>
      <c r="BC696" s="155"/>
      <c r="BD696" s="155"/>
      <c r="BE696" s="155"/>
      <c r="BF696" s="155"/>
      <c r="BG696" s="155"/>
      <c r="BH696" s="155"/>
      <c r="BI696" s="155"/>
      <c r="BJ696" s="155"/>
      <c r="BK696" s="155"/>
      <c r="BL696" s="155"/>
      <c r="BM696" s="155"/>
      <c r="BN696" s="155"/>
      <c r="BO696" s="155"/>
      <c r="BP696" s="155"/>
      <c r="BQ696" s="155"/>
      <c r="BR696" s="155"/>
      <c r="BS696" s="155"/>
      <c r="BT696" s="155"/>
      <c r="BU696" s="155"/>
      <c r="BV696" s="155"/>
      <c r="BW696" s="155"/>
      <c r="BX696" s="155"/>
      <c r="BY696" s="155"/>
      <c r="BZ696" s="155"/>
      <c r="CA696" s="155"/>
      <c r="CB696" s="155"/>
      <c r="CC696" s="155"/>
      <c r="CD696" s="155"/>
      <c r="CE696" s="155"/>
      <c r="CF696" s="155"/>
      <c r="CG696" s="155"/>
    </row>
    <row r="697" spans="1:85" ht="12.75" x14ac:dyDescent="0.2">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5"/>
      <c r="AY697" s="155"/>
      <c r="AZ697" s="155"/>
      <c r="BA697" s="155"/>
      <c r="BB697" s="155"/>
      <c r="BC697" s="155"/>
      <c r="BD697" s="155"/>
      <c r="BE697" s="155"/>
      <c r="BF697" s="155"/>
      <c r="BG697" s="155"/>
      <c r="BH697" s="155"/>
      <c r="BI697" s="155"/>
      <c r="BJ697" s="155"/>
      <c r="BK697" s="155"/>
      <c r="BL697" s="155"/>
      <c r="BM697" s="155"/>
      <c r="BN697" s="155"/>
      <c r="BO697" s="155"/>
      <c r="BP697" s="155"/>
      <c r="BQ697" s="155"/>
      <c r="BR697" s="155"/>
      <c r="BS697" s="155"/>
      <c r="BT697" s="155"/>
      <c r="BU697" s="155"/>
      <c r="BV697" s="155"/>
      <c r="BW697" s="155"/>
      <c r="BX697" s="155"/>
      <c r="BY697" s="155"/>
      <c r="BZ697" s="155"/>
      <c r="CA697" s="155"/>
      <c r="CB697" s="155"/>
      <c r="CC697" s="155"/>
      <c r="CD697" s="155"/>
      <c r="CE697" s="155"/>
      <c r="CF697" s="155"/>
      <c r="CG697" s="155"/>
    </row>
    <row r="698" spans="1:85" ht="12.75" x14ac:dyDescent="0.2">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c r="AA698" s="155"/>
      <c r="AB698" s="155"/>
      <c r="AC698" s="155"/>
      <c r="AD698" s="155"/>
      <c r="AE698" s="155"/>
      <c r="AF698" s="155"/>
      <c r="AG698" s="155"/>
      <c r="AH698" s="155"/>
      <c r="AI698" s="155"/>
      <c r="AJ698" s="155"/>
      <c r="AK698" s="155"/>
      <c r="AL698" s="155"/>
      <c r="AM698" s="155"/>
      <c r="AN698" s="155"/>
      <c r="AO698" s="155"/>
      <c r="AP698" s="155"/>
      <c r="AQ698" s="155"/>
      <c r="AR698" s="155"/>
      <c r="AS698" s="155"/>
      <c r="AT698" s="155"/>
      <c r="AU698" s="155"/>
      <c r="AV698" s="155"/>
      <c r="AW698" s="155"/>
      <c r="AX698" s="155"/>
      <c r="AY698" s="155"/>
      <c r="AZ698" s="155"/>
      <c r="BA698" s="155"/>
      <c r="BB698" s="155"/>
      <c r="BC698" s="155"/>
      <c r="BD698" s="155"/>
      <c r="BE698" s="155"/>
      <c r="BF698" s="155"/>
      <c r="BG698" s="155"/>
      <c r="BH698" s="155"/>
      <c r="BI698" s="155"/>
      <c r="BJ698" s="155"/>
      <c r="BK698" s="155"/>
      <c r="BL698" s="155"/>
      <c r="BM698" s="155"/>
      <c r="BN698" s="155"/>
      <c r="BO698" s="155"/>
      <c r="BP698" s="155"/>
      <c r="BQ698" s="155"/>
      <c r="BR698" s="155"/>
      <c r="BS698" s="155"/>
      <c r="BT698" s="155"/>
      <c r="BU698" s="155"/>
      <c r="BV698" s="155"/>
      <c r="BW698" s="155"/>
      <c r="BX698" s="155"/>
      <c r="BY698" s="155"/>
      <c r="BZ698" s="155"/>
      <c r="CA698" s="155"/>
      <c r="CB698" s="155"/>
      <c r="CC698" s="155"/>
      <c r="CD698" s="155"/>
      <c r="CE698" s="155"/>
      <c r="CF698" s="155"/>
      <c r="CG698" s="155"/>
    </row>
    <row r="699" spans="1:85" ht="12.75" x14ac:dyDescent="0.2">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c r="AA699" s="155"/>
      <c r="AB699" s="155"/>
      <c r="AC699" s="155"/>
      <c r="AD699" s="155"/>
      <c r="AE699" s="155"/>
      <c r="AF699" s="155"/>
      <c r="AG699" s="155"/>
      <c r="AH699" s="155"/>
      <c r="AI699" s="155"/>
      <c r="AJ699" s="155"/>
      <c r="AK699" s="155"/>
      <c r="AL699" s="155"/>
      <c r="AM699" s="155"/>
      <c r="AN699" s="155"/>
      <c r="AO699" s="155"/>
      <c r="AP699" s="155"/>
      <c r="AQ699" s="155"/>
      <c r="AR699" s="155"/>
      <c r="AS699" s="155"/>
      <c r="AT699" s="155"/>
      <c r="AU699" s="155"/>
      <c r="AV699" s="155"/>
      <c r="AW699" s="155"/>
      <c r="AX699" s="155"/>
      <c r="AY699" s="155"/>
      <c r="AZ699" s="155"/>
      <c r="BA699" s="155"/>
      <c r="BB699" s="155"/>
      <c r="BC699" s="155"/>
      <c r="BD699" s="155"/>
      <c r="BE699" s="155"/>
      <c r="BF699" s="155"/>
      <c r="BG699" s="155"/>
      <c r="BH699" s="155"/>
      <c r="BI699" s="155"/>
      <c r="BJ699" s="155"/>
      <c r="BK699" s="155"/>
      <c r="BL699" s="155"/>
      <c r="BM699" s="155"/>
      <c r="BN699" s="155"/>
      <c r="BO699" s="155"/>
      <c r="BP699" s="155"/>
      <c r="BQ699" s="155"/>
      <c r="BR699" s="155"/>
      <c r="BS699" s="155"/>
      <c r="BT699" s="155"/>
      <c r="BU699" s="155"/>
      <c r="BV699" s="155"/>
      <c r="BW699" s="155"/>
      <c r="BX699" s="155"/>
      <c r="BY699" s="155"/>
      <c r="BZ699" s="155"/>
      <c r="CA699" s="155"/>
      <c r="CB699" s="155"/>
      <c r="CC699" s="155"/>
      <c r="CD699" s="155"/>
      <c r="CE699" s="155"/>
      <c r="CF699" s="155"/>
      <c r="CG699" s="155"/>
    </row>
    <row r="700" spans="1:85" ht="12.75" x14ac:dyDescent="0.2">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c r="AA700" s="155"/>
      <c r="AB700" s="155"/>
      <c r="AC700" s="155"/>
      <c r="AD700" s="155"/>
      <c r="AE700" s="155"/>
      <c r="AF700" s="155"/>
      <c r="AG700" s="155"/>
      <c r="AH700" s="155"/>
      <c r="AI700" s="155"/>
      <c r="AJ700" s="155"/>
      <c r="AK700" s="155"/>
      <c r="AL700" s="155"/>
      <c r="AM700" s="155"/>
      <c r="AN700" s="155"/>
      <c r="AO700" s="155"/>
      <c r="AP700" s="155"/>
      <c r="AQ700" s="155"/>
      <c r="AR700" s="155"/>
      <c r="AS700" s="155"/>
      <c r="AT700" s="155"/>
      <c r="AU700" s="155"/>
      <c r="AV700" s="155"/>
      <c r="AW700" s="155"/>
      <c r="AX700" s="155"/>
      <c r="AY700" s="155"/>
      <c r="AZ700" s="155"/>
      <c r="BA700" s="155"/>
      <c r="BB700" s="155"/>
      <c r="BC700" s="155"/>
      <c r="BD700" s="155"/>
      <c r="BE700" s="155"/>
      <c r="BF700" s="155"/>
      <c r="BG700" s="155"/>
      <c r="BH700" s="155"/>
      <c r="BI700" s="155"/>
      <c r="BJ700" s="155"/>
      <c r="BK700" s="155"/>
      <c r="BL700" s="155"/>
      <c r="BM700" s="155"/>
      <c r="BN700" s="155"/>
      <c r="BO700" s="155"/>
      <c r="BP700" s="155"/>
      <c r="BQ700" s="155"/>
      <c r="BR700" s="155"/>
      <c r="BS700" s="155"/>
      <c r="BT700" s="155"/>
      <c r="BU700" s="155"/>
      <c r="BV700" s="155"/>
      <c r="BW700" s="155"/>
      <c r="BX700" s="155"/>
      <c r="BY700" s="155"/>
      <c r="BZ700" s="155"/>
      <c r="CA700" s="155"/>
      <c r="CB700" s="155"/>
      <c r="CC700" s="155"/>
      <c r="CD700" s="155"/>
      <c r="CE700" s="155"/>
      <c r="CF700" s="155"/>
      <c r="CG700" s="155"/>
    </row>
    <row r="701" spans="1:85" ht="12.75" x14ac:dyDescent="0.2">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c r="AA701" s="155"/>
      <c r="AB701" s="155"/>
      <c r="AC701" s="155"/>
      <c r="AD701" s="155"/>
      <c r="AE701" s="155"/>
      <c r="AF701" s="155"/>
      <c r="AG701" s="155"/>
      <c r="AH701" s="155"/>
      <c r="AI701" s="155"/>
      <c r="AJ701" s="155"/>
      <c r="AK701" s="155"/>
      <c r="AL701" s="155"/>
      <c r="AM701" s="155"/>
      <c r="AN701" s="155"/>
      <c r="AO701" s="155"/>
      <c r="AP701" s="155"/>
      <c r="AQ701" s="155"/>
      <c r="AR701" s="155"/>
      <c r="AS701" s="155"/>
      <c r="AT701" s="155"/>
      <c r="AU701" s="155"/>
      <c r="AV701" s="155"/>
      <c r="AW701" s="155"/>
      <c r="AX701" s="155"/>
      <c r="AY701" s="155"/>
      <c r="AZ701" s="155"/>
      <c r="BA701" s="155"/>
      <c r="BB701" s="155"/>
      <c r="BC701" s="155"/>
      <c r="BD701" s="155"/>
      <c r="BE701" s="155"/>
      <c r="BF701" s="155"/>
      <c r="BG701" s="155"/>
      <c r="BH701" s="155"/>
      <c r="BI701" s="155"/>
      <c r="BJ701" s="155"/>
      <c r="BK701" s="155"/>
      <c r="BL701" s="155"/>
      <c r="BM701" s="155"/>
      <c r="BN701" s="155"/>
      <c r="BO701" s="155"/>
      <c r="BP701" s="155"/>
      <c r="BQ701" s="155"/>
      <c r="BR701" s="155"/>
      <c r="BS701" s="155"/>
      <c r="BT701" s="155"/>
      <c r="BU701" s="155"/>
      <c r="BV701" s="155"/>
      <c r="BW701" s="155"/>
      <c r="BX701" s="155"/>
      <c r="BY701" s="155"/>
      <c r="BZ701" s="155"/>
      <c r="CA701" s="155"/>
      <c r="CB701" s="155"/>
      <c r="CC701" s="155"/>
      <c r="CD701" s="155"/>
      <c r="CE701" s="155"/>
      <c r="CF701" s="155"/>
      <c r="CG701" s="155"/>
    </row>
    <row r="702" spans="1:85" ht="12.75" x14ac:dyDescent="0.2">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c r="AA702" s="155"/>
      <c r="AB702" s="155"/>
      <c r="AC702" s="155"/>
      <c r="AD702" s="155"/>
      <c r="AE702" s="155"/>
      <c r="AF702" s="155"/>
      <c r="AG702" s="155"/>
      <c r="AH702" s="155"/>
      <c r="AI702" s="155"/>
      <c r="AJ702" s="155"/>
      <c r="AK702" s="155"/>
      <c r="AL702" s="155"/>
      <c r="AM702" s="155"/>
      <c r="AN702" s="155"/>
      <c r="AO702" s="155"/>
      <c r="AP702" s="155"/>
      <c r="AQ702" s="155"/>
      <c r="AR702" s="155"/>
      <c r="AS702" s="155"/>
      <c r="AT702" s="155"/>
      <c r="AU702" s="155"/>
      <c r="AV702" s="155"/>
      <c r="AW702" s="155"/>
      <c r="AX702" s="155"/>
      <c r="AY702" s="155"/>
      <c r="AZ702" s="155"/>
      <c r="BA702" s="155"/>
      <c r="BB702" s="155"/>
      <c r="BC702" s="155"/>
      <c r="BD702" s="155"/>
      <c r="BE702" s="155"/>
      <c r="BF702" s="155"/>
      <c r="BG702" s="155"/>
      <c r="BH702" s="155"/>
      <c r="BI702" s="155"/>
      <c r="BJ702" s="155"/>
      <c r="BK702" s="155"/>
      <c r="BL702" s="155"/>
      <c r="BM702" s="155"/>
      <c r="BN702" s="155"/>
      <c r="BO702" s="155"/>
      <c r="BP702" s="155"/>
      <c r="BQ702" s="155"/>
      <c r="BR702" s="155"/>
      <c r="BS702" s="155"/>
      <c r="BT702" s="155"/>
      <c r="BU702" s="155"/>
      <c r="BV702" s="155"/>
      <c r="BW702" s="155"/>
      <c r="BX702" s="155"/>
      <c r="BY702" s="155"/>
      <c r="BZ702" s="155"/>
      <c r="CA702" s="155"/>
      <c r="CB702" s="155"/>
      <c r="CC702" s="155"/>
      <c r="CD702" s="155"/>
      <c r="CE702" s="155"/>
      <c r="CF702" s="155"/>
      <c r="CG702" s="155"/>
    </row>
    <row r="703" spans="1:85" ht="12.75" x14ac:dyDescent="0.2">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c r="AA703" s="155"/>
      <c r="AB703" s="155"/>
      <c r="AC703" s="155"/>
      <c r="AD703" s="155"/>
      <c r="AE703" s="155"/>
      <c r="AF703" s="155"/>
      <c r="AG703" s="155"/>
      <c r="AH703" s="155"/>
      <c r="AI703" s="155"/>
      <c r="AJ703" s="155"/>
      <c r="AK703" s="155"/>
      <c r="AL703" s="155"/>
      <c r="AM703" s="155"/>
      <c r="AN703" s="155"/>
      <c r="AO703" s="155"/>
      <c r="AP703" s="155"/>
      <c r="AQ703" s="155"/>
      <c r="AR703" s="155"/>
      <c r="AS703" s="155"/>
      <c r="AT703" s="155"/>
      <c r="AU703" s="155"/>
      <c r="AV703" s="155"/>
      <c r="AW703" s="155"/>
      <c r="AX703" s="155"/>
      <c r="AY703" s="155"/>
      <c r="AZ703" s="155"/>
      <c r="BA703" s="155"/>
      <c r="BB703" s="155"/>
      <c r="BC703" s="155"/>
      <c r="BD703" s="155"/>
      <c r="BE703" s="155"/>
      <c r="BF703" s="155"/>
      <c r="BG703" s="155"/>
      <c r="BH703" s="155"/>
      <c r="BI703" s="155"/>
      <c r="BJ703" s="155"/>
      <c r="BK703" s="155"/>
      <c r="BL703" s="155"/>
      <c r="BM703" s="155"/>
      <c r="BN703" s="155"/>
      <c r="BO703" s="155"/>
      <c r="BP703" s="155"/>
      <c r="BQ703" s="155"/>
      <c r="BR703" s="155"/>
      <c r="BS703" s="155"/>
      <c r="BT703" s="155"/>
      <c r="BU703" s="155"/>
      <c r="BV703" s="155"/>
      <c r="BW703" s="155"/>
      <c r="BX703" s="155"/>
      <c r="BY703" s="155"/>
      <c r="BZ703" s="155"/>
      <c r="CA703" s="155"/>
      <c r="CB703" s="155"/>
      <c r="CC703" s="155"/>
      <c r="CD703" s="155"/>
      <c r="CE703" s="155"/>
      <c r="CF703" s="155"/>
      <c r="CG703" s="155"/>
    </row>
    <row r="704" spans="1:85" ht="12.75" x14ac:dyDescent="0.2">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c r="AA704" s="155"/>
      <c r="AB704" s="155"/>
      <c r="AC704" s="155"/>
      <c r="AD704" s="155"/>
      <c r="AE704" s="155"/>
      <c r="AF704" s="155"/>
      <c r="AG704" s="155"/>
      <c r="AH704" s="155"/>
      <c r="AI704" s="155"/>
      <c r="AJ704" s="155"/>
      <c r="AK704" s="155"/>
      <c r="AL704" s="155"/>
      <c r="AM704" s="155"/>
      <c r="AN704" s="155"/>
      <c r="AO704" s="155"/>
      <c r="AP704" s="155"/>
      <c r="AQ704" s="155"/>
      <c r="AR704" s="155"/>
      <c r="AS704" s="155"/>
      <c r="AT704" s="155"/>
      <c r="AU704" s="155"/>
      <c r="AV704" s="155"/>
      <c r="AW704" s="155"/>
      <c r="AX704" s="155"/>
      <c r="AY704" s="155"/>
      <c r="AZ704" s="155"/>
      <c r="BA704" s="155"/>
      <c r="BB704" s="155"/>
      <c r="BC704" s="155"/>
      <c r="BD704" s="155"/>
      <c r="BE704" s="155"/>
      <c r="BF704" s="155"/>
      <c r="BG704" s="155"/>
      <c r="BH704" s="155"/>
      <c r="BI704" s="155"/>
      <c r="BJ704" s="155"/>
      <c r="BK704" s="155"/>
      <c r="BL704" s="155"/>
      <c r="BM704" s="155"/>
      <c r="BN704" s="155"/>
      <c r="BO704" s="155"/>
      <c r="BP704" s="155"/>
      <c r="BQ704" s="155"/>
      <c r="BR704" s="155"/>
      <c r="BS704" s="155"/>
      <c r="BT704" s="155"/>
      <c r="BU704" s="155"/>
      <c r="BV704" s="155"/>
      <c r="BW704" s="155"/>
      <c r="BX704" s="155"/>
      <c r="BY704" s="155"/>
      <c r="BZ704" s="155"/>
      <c r="CA704" s="155"/>
      <c r="CB704" s="155"/>
      <c r="CC704" s="155"/>
      <c r="CD704" s="155"/>
      <c r="CE704" s="155"/>
      <c r="CF704" s="155"/>
      <c r="CG704" s="155"/>
    </row>
    <row r="705" spans="1:85" ht="12.75" x14ac:dyDescent="0.2">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c r="AA705" s="155"/>
      <c r="AB705" s="155"/>
      <c r="AC705" s="155"/>
      <c r="AD705" s="155"/>
      <c r="AE705" s="155"/>
      <c r="AF705" s="155"/>
      <c r="AG705" s="155"/>
      <c r="AH705" s="155"/>
      <c r="AI705" s="155"/>
      <c r="AJ705" s="155"/>
      <c r="AK705" s="155"/>
      <c r="AL705" s="155"/>
      <c r="AM705" s="155"/>
      <c r="AN705" s="155"/>
      <c r="AO705" s="155"/>
      <c r="AP705" s="155"/>
      <c r="AQ705" s="155"/>
      <c r="AR705" s="155"/>
      <c r="AS705" s="155"/>
      <c r="AT705" s="155"/>
      <c r="AU705" s="155"/>
      <c r="AV705" s="155"/>
      <c r="AW705" s="155"/>
      <c r="AX705" s="155"/>
      <c r="AY705" s="155"/>
      <c r="AZ705" s="155"/>
      <c r="BA705" s="155"/>
      <c r="BB705" s="155"/>
      <c r="BC705" s="155"/>
      <c r="BD705" s="155"/>
      <c r="BE705" s="155"/>
      <c r="BF705" s="155"/>
      <c r="BG705" s="155"/>
      <c r="BH705" s="155"/>
      <c r="BI705" s="155"/>
      <c r="BJ705" s="155"/>
      <c r="BK705" s="155"/>
      <c r="BL705" s="155"/>
      <c r="BM705" s="155"/>
      <c r="BN705" s="155"/>
      <c r="BO705" s="155"/>
      <c r="BP705" s="155"/>
      <c r="BQ705" s="155"/>
      <c r="BR705" s="155"/>
      <c r="BS705" s="155"/>
      <c r="BT705" s="155"/>
      <c r="BU705" s="155"/>
      <c r="BV705" s="155"/>
      <c r="BW705" s="155"/>
      <c r="BX705" s="155"/>
      <c r="BY705" s="155"/>
      <c r="BZ705" s="155"/>
      <c r="CA705" s="155"/>
      <c r="CB705" s="155"/>
      <c r="CC705" s="155"/>
      <c r="CD705" s="155"/>
      <c r="CE705" s="155"/>
      <c r="CF705" s="155"/>
      <c r="CG705" s="155"/>
    </row>
    <row r="706" spans="1:85" ht="12.75" x14ac:dyDescent="0.2">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c r="AA706" s="155"/>
      <c r="AB706" s="155"/>
      <c r="AC706" s="155"/>
      <c r="AD706" s="155"/>
      <c r="AE706" s="155"/>
      <c r="AF706" s="155"/>
      <c r="AG706" s="155"/>
      <c r="AH706" s="155"/>
      <c r="AI706" s="155"/>
      <c r="AJ706" s="155"/>
      <c r="AK706" s="155"/>
      <c r="AL706" s="155"/>
      <c r="AM706" s="155"/>
      <c r="AN706" s="155"/>
      <c r="AO706" s="155"/>
      <c r="AP706" s="155"/>
      <c r="AQ706" s="155"/>
      <c r="AR706" s="155"/>
      <c r="AS706" s="155"/>
      <c r="AT706" s="155"/>
      <c r="AU706" s="155"/>
      <c r="AV706" s="155"/>
      <c r="AW706" s="155"/>
      <c r="AX706" s="155"/>
      <c r="AY706" s="155"/>
      <c r="AZ706" s="155"/>
      <c r="BA706" s="155"/>
      <c r="BB706" s="155"/>
      <c r="BC706" s="155"/>
      <c r="BD706" s="155"/>
      <c r="BE706" s="155"/>
      <c r="BF706" s="155"/>
      <c r="BG706" s="155"/>
      <c r="BH706" s="155"/>
      <c r="BI706" s="155"/>
      <c r="BJ706" s="155"/>
      <c r="BK706" s="155"/>
      <c r="BL706" s="155"/>
      <c r="BM706" s="155"/>
      <c r="BN706" s="155"/>
      <c r="BO706" s="155"/>
      <c r="BP706" s="155"/>
      <c r="BQ706" s="155"/>
      <c r="BR706" s="155"/>
      <c r="BS706" s="155"/>
      <c r="BT706" s="155"/>
      <c r="BU706" s="155"/>
      <c r="BV706" s="155"/>
      <c r="BW706" s="155"/>
      <c r="BX706" s="155"/>
      <c r="BY706" s="155"/>
      <c r="BZ706" s="155"/>
      <c r="CA706" s="155"/>
      <c r="CB706" s="155"/>
      <c r="CC706" s="155"/>
      <c r="CD706" s="155"/>
      <c r="CE706" s="155"/>
      <c r="CF706" s="155"/>
      <c r="CG706" s="155"/>
    </row>
    <row r="707" spans="1:85" ht="12.75" x14ac:dyDescent="0.2">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c r="AA707" s="155"/>
      <c r="AB707" s="155"/>
      <c r="AC707" s="155"/>
      <c r="AD707" s="155"/>
      <c r="AE707" s="155"/>
      <c r="AF707" s="155"/>
      <c r="AG707" s="155"/>
      <c r="AH707" s="155"/>
      <c r="AI707" s="155"/>
      <c r="AJ707" s="155"/>
      <c r="AK707" s="155"/>
      <c r="AL707" s="155"/>
      <c r="AM707" s="155"/>
      <c r="AN707" s="155"/>
      <c r="AO707" s="155"/>
      <c r="AP707" s="155"/>
      <c r="AQ707" s="155"/>
      <c r="AR707" s="155"/>
      <c r="AS707" s="155"/>
      <c r="AT707" s="155"/>
      <c r="AU707" s="155"/>
      <c r="AV707" s="155"/>
      <c r="AW707" s="155"/>
      <c r="AX707" s="155"/>
      <c r="AY707" s="155"/>
      <c r="AZ707" s="155"/>
      <c r="BA707" s="155"/>
      <c r="BB707" s="155"/>
      <c r="BC707" s="155"/>
      <c r="BD707" s="155"/>
      <c r="BE707" s="155"/>
      <c r="BF707" s="155"/>
      <c r="BG707" s="155"/>
      <c r="BH707" s="155"/>
      <c r="BI707" s="155"/>
      <c r="BJ707" s="155"/>
      <c r="BK707" s="155"/>
      <c r="BL707" s="155"/>
      <c r="BM707" s="155"/>
      <c r="BN707" s="155"/>
      <c r="BO707" s="155"/>
      <c r="BP707" s="155"/>
      <c r="BQ707" s="155"/>
      <c r="BR707" s="155"/>
      <c r="BS707" s="155"/>
      <c r="BT707" s="155"/>
      <c r="BU707" s="155"/>
      <c r="BV707" s="155"/>
      <c r="BW707" s="155"/>
      <c r="BX707" s="155"/>
      <c r="BY707" s="155"/>
      <c r="BZ707" s="155"/>
      <c r="CA707" s="155"/>
      <c r="CB707" s="155"/>
      <c r="CC707" s="155"/>
      <c r="CD707" s="155"/>
      <c r="CE707" s="155"/>
      <c r="CF707" s="155"/>
      <c r="CG707" s="155"/>
    </row>
    <row r="708" spans="1:85" ht="12.75" x14ac:dyDescent="0.2">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c r="AA708" s="155"/>
      <c r="AB708" s="155"/>
      <c r="AC708" s="155"/>
      <c r="AD708" s="155"/>
      <c r="AE708" s="155"/>
      <c r="AF708" s="155"/>
      <c r="AG708" s="155"/>
      <c r="AH708" s="155"/>
      <c r="AI708" s="155"/>
      <c r="AJ708" s="155"/>
      <c r="AK708" s="155"/>
      <c r="AL708" s="155"/>
      <c r="AM708" s="155"/>
      <c r="AN708" s="155"/>
      <c r="AO708" s="155"/>
      <c r="AP708" s="155"/>
      <c r="AQ708" s="155"/>
      <c r="AR708" s="155"/>
      <c r="AS708" s="155"/>
      <c r="AT708" s="155"/>
      <c r="AU708" s="155"/>
      <c r="AV708" s="155"/>
      <c r="AW708" s="155"/>
      <c r="AX708" s="155"/>
      <c r="AY708" s="155"/>
      <c r="AZ708" s="155"/>
      <c r="BA708" s="155"/>
      <c r="BB708" s="155"/>
      <c r="BC708" s="155"/>
      <c r="BD708" s="155"/>
      <c r="BE708" s="155"/>
      <c r="BF708" s="155"/>
      <c r="BG708" s="155"/>
      <c r="BH708" s="155"/>
      <c r="BI708" s="155"/>
      <c r="BJ708" s="155"/>
      <c r="BK708" s="155"/>
      <c r="BL708" s="155"/>
      <c r="BM708" s="155"/>
      <c r="BN708" s="155"/>
      <c r="BO708" s="155"/>
      <c r="BP708" s="155"/>
      <c r="BQ708" s="155"/>
      <c r="BR708" s="155"/>
      <c r="BS708" s="155"/>
      <c r="BT708" s="155"/>
      <c r="BU708" s="155"/>
      <c r="BV708" s="155"/>
      <c r="BW708" s="155"/>
      <c r="BX708" s="155"/>
      <c r="BY708" s="155"/>
      <c r="BZ708" s="155"/>
      <c r="CA708" s="155"/>
      <c r="CB708" s="155"/>
      <c r="CC708" s="155"/>
      <c r="CD708" s="155"/>
      <c r="CE708" s="155"/>
      <c r="CF708" s="155"/>
      <c r="CG708" s="155"/>
    </row>
    <row r="709" spans="1:85" ht="12.75" x14ac:dyDescent="0.2">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c r="AA709" s="155"/>
      <c r="AB709" s="155"/>
      <c r="AC709" s="155"/>
      <c r="AD709" s="155"/>
      <c r="AE709" s="155"/>
      <c r="AF709" s="155"/>
      <c r="AG709" s="155"/>
      <c r="AH709" s="155"/>
      <c r="AI709" s="155"/>
      <c r="AJ709" s="155"/>
      <c r="AK709" s="155"/>
      <c r="AL709" s="155"/>
      <c r="AM709" s="155"/>
      <c r="AN709" s="155"/>
      <c r="AO709" s="155"/>
      <c r="AP709" s="155"/>
      <c r="AQ709" s="155"/>
      <c r="AR709" s="155"/>
      <c r="AS709" s="155"/>
      <c r="AT709" s="155"/>
      <c r="AU709" s="155"/>
      <c r="AV709" s="155"/>
      <c r="AW709" s="155"/>
      <c r="AX709" s="155"/>
      <c r="AY709" s="155"/>
      <c r="AZ709" s="155"/>
      <c r="BA709" s="155"/>
      <c r="BB709" s="155"/>
      <c r="BC709" s="155"/>
      <c r="BD709" s="155"/>
      <c r="BE709" s="155"/>
      <c r="BF709" s="155"/>
      <c r="BG709" s="155"/>
      <c r="BH709" s="155"/>
      <c r="BI709" s="155"/>
      <c r="BJ709" s="155"/>
      <c r="BK709" s="155"/>
      <c r="BL709" s="155"/>
      <c r="BM709" s="155"/>
      <c r="BN709" s="155"/>
      <c r="BO709" s="155"/>
      <c r="BP709" s="155"/>
      <c r="BQ709" s="155"/>
      <c r="BR709" s="155"/>
      <c r="BS709" s="155"/>
      <c r="BT709" s="155"/>
      <c r="BU709" s="155"/>
      <c r="BV709" s="155"/>
      <c r="BW709" s="155"/>
      <c r="BX709" s="155"/>
      <c r="BY709" s="155"/>
      <c r="BZ709" s="155"/>
      <c r="CA709" s="155"/>
      <c r="CB709" s="155"/>
      <c r="CC709" s="155"/>
      <c r="CD709" s="155"/>
      <c r="CE709" s="155"/>
      <c r="CF709" s="155"/>
      <c r="CG709" s="155"/>
    </row>
    <row r="710" spans="1:85" ht="12.75" x14ac:dyDescent="0.2">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c r="AA710" s="155"/>
      <c r="AB710" s="155"/>
      <c r="AC710" s="155"/>
      <c r="AD710" s="155"/>
      <c r="AE710" s="155"/>
      <c r="AF710" s="155"/>
      <c r="AG710" s="155"/>
      <c r="AH710" s="155"/>
      <c r="AI710" s="155"/>
      <c r="AJ710" s="155"/>
      <c r="AK710" s="155"/>
      <c r="AL710" s="155"/>
      <c r="AM710" s="155"/>
      <c r="AN710" s="155"/>
      <c r="AO710" s="155"/>
      <c r="AP710" s="155"/>
      <c r="AQ710" s="155"/>
      <c r="AR710" s="155"/>
      <c r="AS710" s="155"/>
      <c r="AT710" s="155"/>
      <c r="AU710" s="155"/>
      <c r="AV710" s="155"/>
      <c r="AW710" s="155"/>
      <c r="AX710" s="155"/>
      <c r="AY710" s="155"/>
      <c r="AZ710" s="155"/>
      <c r="BA710" s="155"/>
      <c r="BB710" s="155"/>
      <c r="BC710" s="155"/>
      <c r="BD710" s="155"/>
      <c r="BE710" s="155"/>
      <c r="BF710" s="155"/>
      <c r="BG710" s="155"/>
      <c r="BH710" s="155"/>
      <c r="BI710" s="155"/>
      <c r="BJ710" s="155"/>
      <c r="BK710" s="155"/>
      <c r="BL710" s="155"/>
      <c r="BM710" s="155"/>
      <c r="BN710" s="155"/>
      <c r="BO710" s="155"/>
      <c r="BP710" s="155"/>
      <c r="BQ710" s="155"/>
      <c r="BR710" s="155"/>
      <c r="BS710" s="155"/>
      <c r="BT710" s="155"/>
      <c r="BU710" s="155"/>
      <c r="BV710" s="155"/>
      <c r="BW710" s="155"/>
      <c r="BX710" s="155"/>
      <c r="BY710" s="155"/>
      <c r="BZ710" s="155"/>
      <c r="CA710" s="155"/>
      <c r="CB710" s="155"/>
      <c r="CC710" s="155"/>
      <c r="CD710" s="155"/>
      <c r="CE710" s="155"/>
      <c r="CF710" s="155"/>
      <c r="CG710" s="155"/>
    </row>
    <row r="711" spans="1:85" ht="12.75" x14ac:dyDescent="0.2">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c r="AA711" s="155"/>
      <c r="AB711" s="155"/>
      <c r="AC711" s="155"/>
      <c r="AD711" s="155"/>
      <c r="AE711" s="155"/>
      <c r="AF711" s="155"/>
      <c r="AG711" s="155"/>
      <c r="AH711" s="155"/>
      <c r="AI711" s="155"/>
      <c r="AJ711" s="155"/>
      <c r="AK711" s="155"/>
      <c r="AL711" s="155"/>
      <c r="AM711" s="155"/>
      <c r="AN711" s="155"/>
      <c r="AO711" s="155"/>
      <c r="AP711" s="155"/>
      <c r="AQ711" s="155"/>
      <c r="AR711" s="155"/>
      <c r="AS711" s="155"/>
      <c r="AT711" s="155"/>
      <c r="AU711" s="155"/>
      <c r="AV711" s="155"/>
      <c r="AW711" s="155"/>
      <c r="AX711" s="155"/>
      <c r="AY711" s="155"/>
      <c r="AZ711" s="155"/>
      <c r="BA711" s="155"/>
      <c r="BB711" s="155"/>
      <c r="BC711" s="155"/>
      <c r="BD711" s="155"/>
      <c r="BE711" s="155"/>
      <c r="BF711" s="155"/>
      <c r="BG711" s="155"/>
      <c r="BH711" s="155"/>
      <c r="BI711" s="155"/>
      <c r="BJ711" s="155"/>
      <c r="BK711" s="155"/>
      <c r="BL711" s="155"/>
      <c r="BM711" s="155"/>
      <c r="BN711" s="155"/>
      <c r="BO711" s="155"/>
      <c r="BP711" s="155"/>
      <c r="BQ711" s="155"/>
      <c r="BR711" s="155"/>
      <c r="BS711" s="155"/>
      <c r="BT711" s="155"/>
      <c r="BU711" s="155"/>
      <c r="BV711" s="155"/>
      <c r="BW711" s="155"/>
      <c r="BX711" s="155"/>
      <c r="BY711" s="155"/>
      <c r="BZ711" s="155"/>
      <c r="CA711" s="155"/>
      <c r="CB711" s="155"/>
      <c r="CC711" s="155"/>
      <c r="CD711" s="155"/>
      <c r="CE711" s="155"/>
      <c r="CF711" s="155"/>
      <c r="CG711" s="155"/>
    </row>
    <row r="712" spans="1:85" ht="12.75" x14ac:dyDescent="0.2">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c r="AA712" s="155"/>
      <c r="AB712" s="155"/>
      <c r="AC712" s="155"/>
      <c r="AD712" s="155"/>
      <c r="AE712" s="155"/>
      <c r="AF712" s="155"/>
      <c r="AG712" s="155"/>
      <c r="AH712" s="155"/>
      <c r="AI712" s="155"/>
      <c r="AJ712" s="155"/>
      <c r="AK712" s="155"/>
      <c r="AL712" s="155"/>
      <c r="AM712" s="155"/>
      <c r="AN712" s="155"/>
      <c r="AO712" s="155"/>
      <c r="AP712" s="155"/>
      <c r="AQ712" s="155"/>
      <c r="AR712" s="155"/>
      <c r="AS712" s="155"/>
      <c r="AT712" s="155"/>
      <c r="AU712" s="155"/>
      <c r="AV712" s="155"/>
      <c r="AW712" s="155"/>
      <c r="AX712" s="155"/>
      <c r="AY712" s="155"/>
      <c r="AZ712" s="155"/>
      <c r="BA712" s="155"/>
      <c r="BB712" s="155"/>
      <c r="BC712" s="155"/>
      <c r="BD712" s="155"/>
      <c r="BE712" s="155"/>
      <c r="BF712" s="155"/>
      <c r="BG712" s="155"/>
      <c r="BH712" s="155"/>
      <c r="BI712" s="155"/>
      <c r="BJ712" s="155"/>
      <c r="BK712" s="155"/>
      <c r="BL712" s="155"/>
      <c r="BM712" s="155"/>
      <c r="BN712" s="155"/>
      <c r="BO712" s="155"/>
      <c r="BP712" s="155"/>
      <c r="BQ712" s="155"/>
      <c r="BR712" s="155"/>
      <c r="BS712" s="155"/>
      <c r="BT712" s="155"/>
      <c r="BU712" s="155"/>
      <c r="BV712" s="155"/>
      <c r="BW712" s="155"/>
      <c r="BX712" s="155"/>
      <c r="BY712" s="155"/>
      <c r="BZ712" s="155"/>
      <c r="CA712" s="155"/>
      <c r="CB712" s="155"/>
      <c r="CC712" s="155"/>
      <c r="CD712" s="155"/>
      <c r="CE712" s="155"/>
      <c r="CF712" s="155"/>
      <c r="CG712" s="155"/>
    </row>
    <row r="713" spans="1:85" ht="12.75" x14ac:dyDescent="0.2">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c r="AA713" s="155"/>
      <c r="AB713" s="155"/>
      <c r="AC713" s="155"/>
      <c r="AD713" s="155"/>
      <c r="AE713" s="155"/>
      <c r="AF713" s="155"/>
      <c r="AG713" s="155"/>
      <c r="AH713" s="155"/>
      <c r="AI713" s="155"/>
      <c r="AJ713" s="155"/>
      <c r="AK713" s="155"/>
      <c r="AL713" s="155"/>
      <c r="AM713" s="155"/>
      <c r="AN713" s="155"/>
      <c r="AO713" s="155"/>
      <c r="AP713" s="155"/>
      <c r="AQ713" s="155"/>
      <c r="AR713" s="155"/>
      <c r="AS713" s="155"/>
      <c r="AT713" s="155"/>
      <c r="AU713" s="155"/>
      <c r="AV713" s="155"/>
      <c r="AW713" s="155"/>
      <c r="AX713" s="155"/>
      <c r="AY713" s="155"/>
      <c r="AZ713" s="155"/>
      <c r="BA713" s="155"/>
      <c r="BB713" s="155"/>
      <c r="BC713" s="155"/>
      <c r="BD713" s="155"/>
      <c r="BE713" s="155"/>
      <c r="BF713" s="155"/>
      <c r="BG713" s="155"/>
      <c r="BH713" s="155"/>
      <c r="BI713" s="155"/>
      <c r="BJ713" s="155"/>
      <c r="BK713" s="155"/>
      <c r="BL713" s="155"/>
      <c r="BM713" s="155"/>
      <c r="BN713" s="155"/>
      <c r="BO713" s="155"/>
      <c r="BP713" s="155"/>
      <c r="BQ713" s="155"/>
      <c r="BR713" s="155"/>
      <c r="BS713" s="155"/>
      <c r="BT713" s="155"/>
      <c r="BU713" s="155"/>
      <c r="BV713" s="155"/>
      <c r="BW713" s="155"/>
      <c r="BX713" s="155"/>
      <c r="BY713" s="155"/>
      <c r="BZ713" s="155"/>
      <c r="CA713" s="155"/>
      <c r="CB713" s="155"/>
      <c r="CC713" s="155"/>
      <c r="CD713" s="155"/>
      <c r="CE713" s="155"/>
      <c r="CF713" s="155"/>
      <c r="CG713" s="155"/>
    </row>
    <row r="714" spans="1:85" ht="12.75" x14ac:dyDescent="0.2">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c r="AA714" s="155"/>
      <c r="AB714" s="155"/>
      <c r="AC714" s="155"/>
      <c r="AD714" s="155"/>
      <c r="AE714" s="155"/>
      <c r="AF714" s="155"/>
      <c r="AG714" s="155"/>
      <c r="AH714" s="155"/>
      <c r="AI714" s="155"/>
      <c r="AJ714" s="155"/>
      <c r="AK714" s="155"/>
      <c r="AL714" s="155"/>
      <c r="AM714" s="155"/>
      <c r="AN714" s="155"/>
      <c r="AO714" s="155"/>
      <c r="AP714" s="155"/>
      <c r="AQ714" s="155"/>
      <c r="AR714" s="155"/>
      <c r="AS714" s="155"/>
      <c r="AT714" s="155"/>
      <c r="AU714" s="155"/>
      <c r="AV714" s="155"/>
      <c r="AW714" s="155"/>
      <c r="AX714" s="155"/>
      <c r="AY714" s="155"/>
      <c r="AZ714" s="155"/>
      <c r="BA714" s="155"/>
      <c r="BB714" s="155"/>
      <c r="BC714" s="155"/>
      <c r="BD714" s="155"/>
      <c r="BE714" s="155"/>
      <c r="BF714" s="155"/>
      <c r="BG714" s="155"/>
      <c r="BH714" s="155"/>
      <c r="BI714" s="155"/>
      <c r="BJ714" s="155"/>
      <c r="BK714" s="155"/>
      <c r="BL714" s="155"/>
      <c r="BM714" s="155"/>
      <c r="BN714" s="155"/>
      <c r="BO714" s="155"/>
      <c r="BP714" s="155"/>
      <c r="BQ714" s="155"/>
      <c r="BR714" s="155"/>
      <c r="BS714" s="155"/>
      <c r="BT714" s="155"/>
      <c r="BU714" s="155"/>
      <c r="BV714" s="155"/>
      <c r="BW714" s="155"/>
      <c r="BX714" s="155"/>
      <c r="BY714" s="155"/>
      <c r="BZ714" s="155"/>
      <c r="CA714" s="155"/>
      <c r="CB714" s="155"/>
      <c r="CC714" s="155"/>
      <c r="CD714" s="155"/>
      <c r="CE714" s="155"/>
      <c r="CF714" s="155"/>
      <c r="CG714" s="155"/>
    </row>
    <row r="715" spans="1:85" ht="12.75" x14ac:dyDescent="0.2">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c r="AA715" s="155"/>
      <c r="AB715" s="155"/>
      <c r="AC715" s="155"/>
      <c r="AD715" s="155"/>
      <c r="AE715" s="155"/>
      <c r="AF715" s="155"/>
      <c r="AG715" s="155"/>
      <c r="AH715" s="155"/>
      <c r="AI715" s="155"/>
      <c r="AJ715" s="155"/>
      <c r="AK715" s="155"/>
      <c r="AL715" s="155"/>
      <c r="AM715" s="155"/>
      <c r="AN715" s="155"/>
      <c r="AO715" s="155"/>
      <c r="AP715" s="155"/>
      <c r="AQ715" s="155"/>
      <c r="AR715" s="155"/>
      <c r="AS715" s="155"/>
      <c r="AT715" s="155"/>
      <c r="AU715" s="155"/>
      <c r="AV715" s="155"/>
      <c r="AW715" s="155"/>
      <c r="AX715" s="155"/>
      <c r="AY715" s="155"/>
      <c r="AZ715" s="155"/>
      <c r="BA715" s="155"/>
      <c r="BB715" s="155"/>
      <c r="BC715" s="155"/>
      <c r="BD715" s="155"/>
      <c r="BE715" s="155"/>
      <c r="BF715" s="155"/>
      <c r="BG715" s="155"/>
      <c r="BH715" s="155"/>
      <c r="BI715" s="155"/>
      <c r="BJ715" s="155"/>
      <c r="BK715" s="155"/>
      <c r="BL715" s="155"/>
      <c r="BM715" s="155"/>
      <c r="BN715" s="155"/>
      <c r="BO715" s="155"/>
      <c r="BP715" s="155"/>
      <c r="BQ715" s="155"/>
      <c r="BR715" s="155"/>
      <c r="BS715" s="155"/>
      <c r="BT715" s="155"/>
      <c r="BU715" s="155"/>
      <c r="BV715" s="155"/>
      <c r="BW715" s="155"/>
      <c r="BX715" s="155"/>
      <c r="BY715" s="155"/>
      <c r="BZ715" s="155"/>
      <c r="CA715" s="155"/>
      <c r="CB715" s="155"/>
      <c r="CC715" s="155"/>
      <c r="CD715" s="155"/>
      <c r="CE715" s="155"/>
      <c r="CF715" s="155"/>
      <c r="CG715" s="155"/>
    </row>
    <row r="716" spans="1:85" ht="12.75" x14ac:dyDescent="0.2">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c r="AA716" s="155"/>
      <c r="AB716" s="155"/>
      <c r="AC716" s="155"/>
      <c r="AD716" s="155"/>
      <c r="AE716" s="155"/>
      <c r="AF716" s="155"/>
      <c r="AG716" s="155"/>
      <c r="AH716" s="155"/>
      <c r="AI716" s="155"/>
      <c r="AJ716" s="155"/>
      <c r="AK716" s="155"/>
      <c r="AL716" s="155"/>
      <c r="AM716" s="155"/>
      <c r="AN716" s="155"/>
      <c r="AO716" s="155"/>
      <c r="AP716" s="155"/>
      <c r="AQ716" s="155"/>
      <c r="AR716" s="155"/>
      <c r="AS716" s="155"/>
      <c r="AT716" s="155"/>
      <c r="AU716" s="155"/>
      <c r="AV716" s="155"/>
      <c r="AW716" s="155"/>
      <c r="AX716" s="155"/>
      <c r="AY716" s="155"/>
      <c r="AZ716" s="155"/>
      <c r="BA716" s="155"/>
      <c r="BB716" s="155"/>
      <c r="BC716" s="155"/>
      <c r="BD716" s="155"/>
      <c r="BE716" s="155"/>
      <c r="BF716" s="155"/>
      <c r="BG716" s="155"/>
      <c r="BH716" s="155"/>
      <c r="BI716" s="155"/>
      <c r="BJ716" s="155"/>
      <c r="BK716" s="155"/>
      <c r="BL716" s="155"/>
      <c r="BM716" s="155"/>
      <c r="BN716" s="155"/>
      <c r="BO716" s="155"/>
      <c r="BP716" s="155"/>
      <c r="BQ716" s="155"/>
      <c r="BR716" s="155"/>
      <c r="BS716" s="155"/>
      <c r="BT716" s="155"/>
      <c r="BU716" s="155"/>
      <c r="BV716" s="155"/>
      <c r="BW716" s="155"/>
      <c r="BX716" s="155"/>
      <c r="BY716" s="155"/>
      <c r="BZ716" s="155"/>
      <c r="CA716" s="155"/>
      <c r="CB716" s="155"/>
      <c r="CC716" s="155"/>
      <c r="CD716" s="155"/>
      <c r="CE716" s="155"/>
      <c r="CF716" s="155"/>
      <c r="CG716" s="155"/>
    </row>
    <row r="717" spans="1:85" ht="12.75" x14ac:dyDescent="0.2">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c r="AA717" s="155"/>
      <c r="AB717" s="155"/>
      <c r="AC717" s="155"/>
      <c r="AD717" s="155"/>
      <c r="AE717" s="155"/>
      <c r="AF717" s="155"/>
      <c r="AG717" s="155"/>
      <c r="AH717" s="155"/>
      <c r="AI717" s="155"/>
      <c r="AJ717" s="155"/>
      <c r="AK717" s="155"/>
      <c r="AL717" s="155"/>
      <c r="AM717" s="155"/>
      <c r="AN717" s="155"/>
      <c r="AO717" s="155"/>
      <c r="AP717" s="155"/>
      <c r="AQ717" s="155"/>
      <c r="AR717" s="155"/>
      <c r="AS717" s="155"/>
      <c r="AT717" s="155"/>
      <c r="AU717" s="155"/>
      <c r="AV717" s="155"/>
      <c r="AW717" s="155"/>
      <c r="AX717" s="155"/>
      <c r="AY717" s="155"/>
      <c r="AZ717" s="155"/>
      <c r="BA717" s="155"/>
      <c r="BB717" s="155"/>
      <c r="BC717" s="155"/>
      <c r="BD717" s="155"/>
      <c r="BE717" s="155"/>
      <c r="BF717" s="155"/>
      <c r="BG717" s="155"/>
      <c r="BH717" s="155"/>
      <c r="BI717" s="155"/>
      <c r="BJ717" s="155"/>
      <c r="BK717" s="155"/>
      <c r="BL717" s="155"/>
      <c r="BM717" s="155"/>
      <c r="BN717" s="155"/>
      <c r="BO717" s="155"/>
      <c r="BP717" s="155"/>
      <c r="BQ717" s="155"/>
      <c r="BR717" s="155"/>
      <c r="BS717" s="155"/>
      <c r="BT717" s="155"/>
      <c r="BU717" s="155"/>
      <c r="BV717" s="155"/>
      <c r="BW717" s="155"/>
      <c r="BX717" s="155"/>
      <c r="BY717" s="155"/>
      <c r="BZ717" s="155"/>
      <c r="CA717" s="155"/>
      <c r="CB717" s="155"/>
      <c r="CC717" s="155"/>
      <c r="CD717" s="155"/>
      <c r="CE717" s="155"/>
      <c r="CF717" s="155"/>
      <c r="CG717" s="155"/>
    </row>
    <row r="718" spans="1:85" ht="12.75" x14ac:dyDescent="0.2">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c r="AA718" s="155"/>
      <c r="AB718" s="155"/>
      <c r="AC718" s="155"/>
      <c r="AD718" s="155"/>
      <c r="AE718" s="155"/>
      <c r="AF718" s="155"/>
      <c r="AG718" s="155"/>
      <c r="AH718" s="155"/>
      <c r="AI718" s="155"/>
      <c r="AJ718" s="155"/>
      <c r="AK718" s="155"/>
      <c r="AL718" s="155"/>
      <c r="AM718" s="155"/>
      <c r="AN718" s="155"/>
      <c r="AO718" s="155"/>
      <c r="AP718" s="155"/>
      <c r="AQ718" s="155"/>
      <c r="AR718" s="155"/>
      <c r="AS718" s="155"/>
      <c r="AT718" s="155"/>
      <c r="AU718" s="155"/>
      <c r="AV718" s="155"/>
      <c r="AW718" s="155"/>
      <c r="AX718" s="155"/>
      <c r="AY718" s="155"/>
      <c r="AZ718" s="155"/>
      <c r="BA718" s="155"/>
      <c r="BB718" s="155"/>
      <c r="BC718" s="155"/>
      <c r="BD718" s="155"/>
      <c r="BE718" s="155"/>
      <c r="BF718" s="155"/>
      <c r="BG718" s="155"/>
      <c r="BH718" s="155"/>
      <c r="BI718" s="155"/>
      <c r="BJ718" s="155"/>
      <c r="BK718" s="155"/>
      <c r="BL718" s="155"/>
      <c r="BM718" s="155"/>
      <c r="BN718" s="155"/>
      <c r="BO718" s="155"/>
      <c r="BP718" s="155"/>
      <c r="BQ718" s="155"/>
      <c r="BR718" s="155"/>
      <c r="BS718" s="155"/>
      <c r="BT718" s="155"/>
      <c r="BU718" s="155"/>
      <c r="BV718" s="155"/>
      <c r="BW718" s="155"/>
      <c r="BX718" s="155"/>
      <c r="BY718" s="155"/>
      <c r="BZ718" s="155"/>
      <c r="CA718" s="155"/>
      <c r="CB718" s="155"/>
      <c r="CC718" s="155"/>
      <c r="CD718" s="155"/>
      <c r="CE718" s="155"/>
      <c r="CF718" s="155"/>
      <c r="CG718" s="155"/>
    </row>
    <row r="719" spans="1:85" ht="12.75" x14ac:dyDescent="0.2">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c r="AA719" s="155"/>
      <c r="AB719" s="155"/>
      <c r="AC719" s="155"/>
      <c r="AD719" s="155"/>
      <c r="AE719" s="155"/>
      <c r="AF719" s="155"/>
      <c r="AG719" s="155"/>
      <c r="AH719" s="155"/>
      <c r="AI719" s="155"/>
      <c r="AJ719" s="155"/>
      <c r="AK719" s="155"/>
      <c r="AL719" s="155"/>
      <c r="AM719" s="155"/>
      <c r="AN719" s="155"/>
      <c r="AO719" s="155"/>
      <c r="AP719" s="155"/>
      <c r="AQ719" s="155"/>
      <c r="AR719" s="155"/>
      <c r="AS719" s="155"/>
      <c r="AT719" s="155"/>
      <c r="AU719" s="155"/>
      <c r="AV719" s="155"/>
      <c r="AW719" s="155"/>
      <c r="AX719" s="155"/>
      <c r="AY719" s="155"/>
      <c r="AZ719" s="155"/>
      <c r="BA719" s="155"/>
      <c r="BB719" s="155"/>
      <c r="BC719" s="155"/>
      <c r="BD719" s="155"/>
      <c r="BE719" s="155"/>
      <c r="BF719" s="155"/>
      <c r="BG719" s="155"/>
      <c r="BH719" s="155"/>
      <c r="BI719" s="155"/>
      <c r="BJ719" s="155"/>
      <c r="BK719" s="155"/>
      <c r="BL719" s="155"/>
      <c r="BM719" s="155"/>
      <c r="BN719" s="155"/>
      <c r="BO719" s="155"/>
      <c r="BP719" s="155"/>
      <c r="BQ719" s="155"/>
      <c r="BR719" s="155"/>
      <c r="BS719" s="155"/>
      <c r="BT719" s="155"/>
      <c r="BU719" s="155"/>
      <c r="BV719" s="155"/>
      <c r="BW719" s="155"/>
      <c r="BX719" s="155"/>
      <c r="BY719" s="155"/>
      <c r="BZ719" s="155"/>
      <c r="CA719" s="155"/>
      <c r="CB719" s="155"/>
      <c r="CC719" s="155"/>
      <c r="CD719" s="155"/>
      <c r="CE719" s="155"/>
      <c r="CF719" s="155"/>
      <c r="CG719" s="155"/>
    </row>
    <row r="720" spans="1:85" ht="12.75" x14ac:dyDescent="0.2">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c r="AA720" s="155"/>
      <c r="AB720" s="155"/>
      <c r="AC720" s="155"/>
      <c r="AD720" s="155"/>
      <c r="AE720" s="155"/>
      <c r="AF720" s="155"/>
      <c r="AG720" s="155"/>
      <c r="AH720" s="155"/>
      <c r="AI720" s="155"/>
      <c r="AJ720" s="155"/>
      <c r="AK720" s="155"/>
      <c r="AL720" s="155"/>
      <c r="AM720" s="155"/>
      <c r="AN720" s="155"/>
      <c r="AO720" s="155"/>
      <c r="AP720" s="155"/>
      <c r="AQ720" s="155"/>
      <c r="AR720" s="155"/>
      <c r="AS720" s="155"/>
      <c r="AT720" s="155"/>
      <c r="AU720" s="155"/>
      <c r="AV720" s="155"/>
      <c r="AW720" s="155"/>
      <c r="AX720" s="155"/>
      <c r="AY720" s="155"/>
      <c r="AZ720" s="155"/>
      <c r="BA720" s="155"/>
      <c r="BB720" s="155"/>
      <c r="BC720" s="155"/>
      <c r="BD720" s="155"/>
      <c r="BE720" s="155"/>
      <c r="BF720" s="155"/>
      <c r="BG720" s="155"/>
      <c r="BH720" s="155"/>
      <c r="BI720" s="155"/>
      <c r="BJ720" s="155"/>
      <c r="BK720" s="155"/>
      <c r="BL720" s="155"/>
      <c r="BM720" s="155"/>
      <c r="BN720" s="155"/>
      <c r="BO720" s="155"/>
      <c r="BP720" s="155"/>
      <c r="BQ720" s="155"/>
      <c r="BR720" s="155"/>
      <c r="BS720" s="155"/>
      <c r="BT720" s="155"/>
      <c r="BU720" s="155"/>
      <c r="BV720" s="155"/>
      <c r="BW720" s="155"/>
      <c r="BX720" s="155"/>
      <c r="BY720" s="155"/>
      <c r="BZ720" s="155"/>
      <c r="CA720" s="155"/>
      <c r="CB720" s="155"/>
      <c r="CC720" s="155"/>
      <c r="CD720" s="155"/>
      <c r="CE720" s="155"/>
      <c r="CF720" s="155"/>
      <c r="CG720" s="155"/>
    </row>
    <row r="721" spans="1:85" ht="12.75" x14ac:dyDescent="0.2">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c r="AA721" s="155"/>
      <c r="AB721" s="155"/>
      <c r="AC721" s="155"/>
      <c r="AD721" s="155"/>
      <c r="AE721" s="155"/>
      <c r="AF721" s="155"/>
      <c r="AG721" s="155"/>
      <c r="AH721" s="155"/>
      <c r="AI721" s="155"/>
      <c r="AJ721" s="155"/>
      <c r="AK721" s="155"/>
      <c r="AL721" s="155"/>
      <c r="AM721" s="155"/>
      <c r="AN721" s="155"/>
      <c r="AO721" s="155"/>
      <c r="AP721" s="155"/>
      <c r="AQ721" s="155"/>
      <c r="AR721" s="155"/>
      <c r="AS721" s="155"/>
      <c r="AT721" s="155"/>
      <c r="AU721" s="155"/>
      <c r="AV721" s="155"/>
      <c r="AW721" s="155"/>
      <c r="AX721" s="155"/>
      <c r="AY721" s="155"/>
      <c r="AZ721" s="155"/>
      <c r="BA721" s="155"/>
      <c r="BB721" s="155"/>
      <c r="BC721" s="155"/>
      <c r="BD721" s="155"/>
      <c r="BE721" s="155"/>
      <c r="BF721" s="155"/>
      <c r="BG721" s="155"/>
      <c r="BH721" s="155"/>
      <c r="BI721" s="155"/>
      <c r="BJ721" s="155"/>
      <c r="BK721" s="155"/>
      <c r="BL721" s="155"/>
      <c r="BM721" s="155"/>
      <c r="BN721" s="155"/>
      <c r="BO721" s="155"/>
      <c r="BP721" s="155"/>
      <c r="BQ721" s="155"/>
      <c r="BR721" s="155"/>
      <c r="BS721" s="155"/>
      <c r="BT721" s="155"/>
      <c r="BU721" s="155"/>
      <c r="BV721" s="155"/>
      <c r="BW721" s="155"/>
      <c r="BX721" s="155"/>
      <c r="BY721" s="155"/>
      <c r="BZ721" s="155"/>
      <c r="CA721" s="155"/>
      <c r="CB721" s="155"/>
      <c r="CC721" s="155"/>
      <c r="CD721" s="155"/>
      <c r="CE721" s="155"/>
      <c r="CF721" s="155"/>
      <c r="CG721" s="155"/>
    </row>
    <row r="722" spans="1:85" ht="12.75" x14ac:dyDescent="0.2">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c r="AA722" s="155"/>
      <c r="AB722" s="155"/>
      <c r="AC722" s="155"/>
      <c r="AD722" s="155"/>
      <c r="AE722" s="155"/>
      <c r="AF722" s="155"/>
      <c r="AG722" s="155"/>
      <c r="AH722" s="155"/>
      <c r="AI722" s="155"/>
      <c r="AJ722" s="155"/>
      <c r="AK722" s="155"/>
      <c r="AL722" s="155"/>
      <c r="AM722" s="155"/>
      <c r="AN722" s="155"/>
      <c r="AO722" s="155"/>
      <c r="AP722" s="155"/>
      <c r="AQ722" s="155"/>
      <c r="AR722" s="155"/>
      <c r="AS722" s="155"/>
      <c r="AT722" s="155"/>
      <c r="AU722" s="155"/>
      <c r="AV722" s="155"/>
      <c r="AW722" s="155"/>
      <c r="AX722" s="155"/>
      <c r="AY722" s="155"/>
      <c r="AZ722" s="155"/>
      <c r="BA722" s="155"/>
      <c r="BB722" s="155"/>
      <c r="BC722" s="155"/>
      <c r="BD722" s="155"/>
      <c r="BE722" s="155"/>
      <c r="BF722" s="155"/>
      <c r="BG722" s="155"/>
      <c r="BH722" s="155"/>
      <c r="BI722" s="155"/>
      <c r="BJ722" s="155"/>
      <c r="BK722" s="155"/>
      <c r="BL722" s="155"/>
      <c r="BM722" s="155"/>
      <c r="BN722" s="155"/>
      <c r="BO722" s="155"/>
      <c r="BP722" s="155"/>
      <c r="BQ722" s="155"/>
      <c r="BR722" s="155"/>
      <c r="BS722" s="155"/>
      <c r="BT722" s="155"/>
      <c r="BU722" s="155"/>
      <c r="BV722" s="155"/>
      <c r="BW722" s="155"/>
      <c r="BX722" s="155"/>
      <c r="BY722" s="155"/>
      <c r="BZ722" s="155"/>
      <c r="CA722" s="155"/>
      <c r="CB722" s="155"/>
      <c r="CC722" s="155"/>
      <c r="CD722" s="155"/>
      <c r="CE722" s="155"/>
      <c r="CF722" s="155"/>
      <c r="CG722" s="155"/>
    </row>
    <row r="723" spans="1:85" ht="12.75" x14ac:dyDescent="0.2">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c r="AA723" s="155"/>
      <c r="AB723" s="155"/>
      <c r="AC723" s="155"/>
      <c r="AD723" s="155"/>
      <c r="AE723" s="155"/>
      <c r="AF723" s="155"/>
      <c r="AG723" s="155"/>
      <c r="AH723" s="155"/>
      <c r="AI723" s="155"/>
      <c r="AJ723" s="155"/>
      <c r="AK723" s="155"/>
      <c r="AL723" s="155"/>
      <c r="AM723" s="155"/>
      <c r="AN723" s="155"/>
      <c r="AO723" s="155"/>
      <c r="AP723" s="155"/>
      <c r="AQ723" s="155"/>
      <c r="AR723" s="155"/>
      <c r="AS723" s="155"/>
      <c r="AT723" s="155"/>
      <c r="AU723" s="155"/>
      <c r="AV723" s="155"/>
      <c r="AW723" s="155"/>
      <c r="AX723" s="155"/>
      <c r="AY723" s="155"/>
      <c r="AZ723" s="155"/>
      <c r="BA723" s="155"/>
      <c r="BB723" s="155"/>
      <c r="BC723" s="155"/>
      <c r="BD723" s="155"/>
      <c r="BE723" s="155"/>
      <c r="BF723" s="155"/>
      <c r="BG723" s="155"/>
      <c r="BH723" s="155"/>
      <c r="BI723" s="155"/>
      <c r="BJ723" s="155"/>
      <c r="BK723" s="155"/>
      <c r="BL723" s="155"/>
      <c r="BM723" s="155"/>
      <c r="BN723" s="155"/>
      <c r="BO723" s="155"/>
      <c r="BP723" s="155"/>
      <c r="BQ723" s="155"/>
      <c r="BR723" s="155"/>
      <c r="BS723" s="155"/>
      <c r="BT723" s="155"/>
      <c r="BU723" s="155"/>
      <c r="BV723" s="155"/>
      <c r="BW723" s="155"/>
      <c r="BX723" s="155"/>
      <c r="BY723" s="155"/>
      <c r="BZ723" s="155"/>
      <c r="CA723" s="155"/>
      <c r="CB723" s="155"/>
      <c r="CC723" s="155"/>
      <c r="CD723" s="155"/>
      <c r="CE723" s="155"/>
      <c r="CF723" s="155"/>
      <c r="CG723" s="155"/>
    </row>
    <row r="724" spans="1:85" ht="12.75" x14ac:dyDescent="0.2">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c r="AA724" s="155"/>
      <c r="AB724" s="155"/>
      <c r="AC724" s="155"/>
      <c r="AD724" s="155"/>
      <c r="AE724" s="155"/>
      <c r="AF724" s="155"/>
      <c r="AG724" s="155"/>
      <c r="AH724" s="155"/>
      <c r="AI724" s="155"/>
      <c r="AJ724" s="155"/>
      <c r="AK724" s="155"/>
      <c r="AL724" s="155"/>
      <c r="AM724" s="155"/>
      <c r="AN724" s="155"/>
      <c r="AO724" s="155"/>
      <c r="AP724" s="155"/>
      <c r="AQ724" s="155"/>
      <c r="AR724" s="155"/>
      <c r="AS724" s="155"/>
      <c r="AT724" s="155"/>
      <c r="AU724" s="155"/>
      <c r="AV724" s="155"/>
      <c r="AW724" s="155"/>
      <c r="AX724" s="155"/>
      <c r="AY724" s="155"/>
      <c r="AZ724" s="155"/>
      <c r="BA724" s="155"/>
      <c r="BB724" s="155"/>
      <c r="BC724" s="155"/>
      <c r="BD724" s="155"/>
      <c r="BE724" s="155"/>
      <c r="BF724" s="155"/>
      <c r="BG724" s="155"/>
      <c r="BH724" s="155"/>
      <c r="BI724" s="155"/>
      <c r="BJ724" s="155"/>
      <c r="BK724" s="155"/>
      <c r="BL724" s="155"/>
      <c r="BM724" s="155"/>
      <c r="BN724" s="155"/>
      <c r="BO724" s="155"/>
      <c r="BP724" s="155"/>
      <c r="BQ724" s="155"/>
      <c r="BR724" s="155"/>
      <c r="BS724" s="155"/>
      <c r="BT724" s="155"/>
      <c r="BU724" s="155"/>
      <c r="BV724" s="155"/>
      <c r="BW724" s="155"/>
      <c r="BX724" s="155"/>
      <c r="BY724" s="155"/>
      <c r="BZ724" s="155"/>
      <c r="CA724" s="155"/>
      <c r="CB724" s="155"/>
      <c r="CC724" s="155"/>
      <c r="CD724" s="155"/>
      <c r="CE724" s="155"/>
      <c r="CF724" s="155"/>
      <c r="CG724" s="155"/>
    </row>
    <row r="725" spans="1:85" ht="12.75" x14ac:dyDescent="0.2">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c r="AA725" s="155"/>
      <c r="AB725" s="155"/>
      <c r="AC725" s="155"/>
      <c r="AD725" s="155"/>
      <c r="AE725" s="155"/>
      <c r="AF725" s="155"/>
      <c r="AG725" s="155"/>
      <c r="AH725" s="155"/>
      <c r="AI725" s="155"/>
      <c r="AJ725" s="155"/>
      <c r="AK725" s="155"/>
      <c r="AL725" s="155"/>
      <c r="AM725" s="155"/>
      <c r="AN725" s="155"/>
      <c r="AO725" s="155"/>
      <c r="AP725" s="155"/>
      <c r="AQ725" s="155"/>
      <c r="AR725" s="155"/>
      <c r="AS725" s="155"/>
      <c r="AT725" s="155"/>
      <c r="AU725" s="155"/>
      <c r="AV725" s="155"/>
      <c r="AW725" s="155"/>
      <c r="AX725" s="155"/>
      <c r="AY725" s="155"/>
      <c r="AZ725" s="155"/>
      <c r="BA725" s="155"/>
      <c r="BB725" s="155"/>
      <c r="BC725" s="155"/>
      <c r="BD725" s="155"/>
      <c r="BE725" s="155"/>
      <c r="BF725" s="155"/>
      <c r="BG725" s="155"/>
      <c r="BH725" s="155"/>
      <c r="BI725" s="155"/>
      <c r="BJ725" s="155"/>
      <c r="BK725" s="155"/>
      <c r="BL725" s="155"/>
      <c r="BM725" s="155"/>
      <c r="BN725" s="155"/>
      <c r="BO725" s="155"/>
      <c r="BP725" s="155"/>
      <c r="BQ725" s="155"/>
      <c r="BR725" s="155"/>
      <c r="BS725" s="155"/>
      <c r="BT725" s="155"/>
      <c r="BU725" s="155"/>
      <c r="BV725" s="155"/>
      <c r="BW725" s="155"/>
      <c r="BX725" s="155"/>
      <c r="BY725" s="155"/>
      <c r="BZ725" s="155"/>
      <c r="CA725" s="155"/>
      <c r="CB725" s="155"/>
      <c r="CC725" s="155"/>
      <c r="CD725" s="155"/>
      <c r="CE725" s="155"/>
      <c r="CF725" s="155"/>
      <c r="CG725" s="155"/>
    </row>
    <row r="726" spans="1:85" ht="12.75" x14ac:dyDescent="0.2">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c r="AA726" s="155"/>
      <c r="AB726" s="155"/>
      <c r="AC726" s="155"/>
      <c r="AD726" s="155"/>
      <c r="AE726" s="155"/>
      <c r="AF726" s="155"/>
      <c r="AG726" s="155"/>
      <c r="AH726" s="155"/>
      <c r="AI726" s="155"/>
      <c r="AJ726" s="155"/>
      <c r="AK726" s="155"/>
      <c r="AL726" s="155"/>
      <c r="AM726" s="155"/>
      <c r="AN726" s="155"/>
      <c r="AO726" s="155"/>
      <c r="AP726" s="155"/>
      <c r="AQ726" s="155"/>
      <c r="AR726" s="155"/>
      <c r="AS726" s="155"/>
      <c r="AT726" s="155"/>
      <c r="AU726" s="155"/>
      <c r="AV726" s="155"/>
      <c r="AW726" s="155"/>
      <c r="AX726" s="155"/>
      <c r="AY726" s="155"/>
      <c r="AZ726" s="155"/>
      <c r="BA726" s="155"/>
      <c r="BB726" s="155"/>
      <c r="BC726" s="155"/>
      <c r="BD726" s="155"/>
      <c r="BE726" s="155"/>
      <c r="BF726" s="155"/>
      <c r="BG726" s="155"/>
      <c r="BH726" s="155"/>
      <c r="BI726" s="155"/>
      <c r="BJ726" s="155"/>
      <c r="BK726" s="155"/>
      <c r="BL726" s="155"/>
      <c r="BM726" s="155"/>
      <c r="BN726" s="155"/>
      <c r="BO726" s="155"/>
      <c r="BP726" s="155"/>
      <c r="BQ726" s="155"/>
      <c r="BR726" s="155"/>
      <c r="BS726" s="155"/>
      <c r="BT726" s="155"/>
      <c r="BU726" s="155"/>
      <c r="BV726" s="155"/>
      <c r="BW726" s="155"/>
      <c r="BX726" s="155"/>
      <c r="BY726" s="155"/>
      <c r="BZ726" s="155"/>
      <c r="CA726" s="155"/>
      <c r="CB726" s="155"/>
      <c r="CC726" s="155"/>
      <c r="CD726" s="155"/>
      <c r="CE726" s="155"/>
      <c r="CF726" s="155"/>
      <c r="CG726" s="155"/>
    </row>
    <row r="727" spans="1:85" ht="12.75" x14ac:dyDescent="0.2">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c r="AA727" s="155"/>
      <c r="AB727" s="155"/>
      <c r="AC727" s="155"/>
      <c r="AD727" s="155"/>
      <c r="AE727" s="155"/>
      <c r="AF727" s="155"/>
      <c r="AG727" s="155"/>
      <c r="AH727" s="155"/>
      <c r="AI727" s="155"/>
      <c r="AJ727" s="155"/>
      <c r="AK727" s="155"/>
      <c r="AL727" s="155"/>
      <c r="AM727" s="155"/>
      <c r="AN727" s="155"/>
      <c r="AO727" s="155"/>
      <c r="AP727" s="155"/>
      <c r="AQ727" s="155"/>
      <c r="AR727" s="155"/>
      <c r="AS727" s="155"/>
      <c r="AT727" s="155"/>
      <c r="AU727" s="155"/>
      <c r="AV727" s="155"/>
      <c r="AW727" s="155"/>
      <c r="AX727" s="155"/>
      <c r="AY727" s="155"/>
      <c r="AZ727" s="155"/>
      <c r="BA727" s="155"/>
      <c r="BB727" s="155"/>
      <c r="BC727" s="155"/>
      <c r="BD727" s="155"/>
      <c r="BE727" s="155"/>
      <c r="BF727" s="155"/>
      <c r="BG727" s="155"/>
      <c r="BH727" s="155"/>
      <c r="BI727" s="155"/>
      <c r="BJ727" s="155"/>
      <c r="BK727" s="155"/>
      <c r="BL727" s="155"/>
      <c r="BM727" s="155"/>
      <c r="BN727" s="155"/>
      <c r="BO727" s="155"/>
      <c r="BP727" s="155"/>
      <c r="BQ727" s="155"/>
      <c r="BR727" s="155"/>
      <c r="BS727" s="155"/>
      <c r="BT727" s="155"/>
      <c r="BU727" s="155"/>
      <c r="BV727" s="155"/>
      <c r="BW727" s="155"/>
      <c r="BX727" s="155"/>
      <c r="BY727" s="155"/>
      <c r="BZ727" s="155"/>
      <c r="CA727" s="155"/>
      <c r="CB727" s="155"/>
      <c r="CC727" s="155"/>
      <c r="CD727" s="155"/>
      <c r="CE727" s="155"/>
      <c r="CF727" s="155"/>
      <c r="CG727" s="155"/>
    </row>
    <row r="728" spans="1:85" ht="12.75" x14ac:dyDescent="0.2">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5"/>
      <c r="AY728" s="155"/>
      <c r="AZ728" s="155"/>
      <c r="BA728" s="155"/>
      <c r="BB728" s="155"/>
      <c r="BC728" s="155"/>
      <c r="BD728" s="155"/>
      <c r="BE728" s="155"/>
      <c r="BF728" s="155"/>
      <c r="BG728" s="155"/>
      <c r="BH728" s="155"/>
      <c r="BI728" s="155"/>
      <c r="BJ728" s="155"/>
      <c r="BK728" s="155"/>
      <c r="BL728" s="155"/>
      <c r="BM728" s="155"/>
      <c r="BN728" s="155"/>
      <c r="BO728" s="155"/>
      <c r="BP728" s="155"/>
      <c r="BQ728" s="155"/>
      <c r="BR728" s="155"/>
      <c r="BS728" s="155"/>
      <c r="BT728" s="155"/>
      <c r="BU728" s="155"/>
      <c r="BV728" s="155"/>
      <c r="BW728" s="155"/>
      <c r="BX728" s="155"/>
      <c r="BY728" s="155"/>
      <c r="BZ728" s="155"/>
      <c r="CA728" s="155"/>
      <c r="CB728" s="155"/>
      <c r="CC728" s="155"/>
      <c r="CD728" s="155"/>
      <c r="CE728" s="155"/>
      <c r="CF728" s="155"/>
      <c r="CG728" s="155"/>
    </row>
    <row r="729" spans="1:85" ht="12.75" x14ac:dyDescent="0.2">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5"/>
      <c r="AY729" s="155"/>
      <c r="AZ729" s="155"/>
      <c r="BA729" s="155"/>
      <c r="BB729" s="155"/>
      <c r="BC729" s="155"/>
      <c r="BD729" s="155"/>
      <c r="BE729" s="155"/>
      <c r="BF729" s="155"/>
      <c r="BG729" s="155"/>
      <c r="BH729" s="155"/>
      <c r="BI729" s="155"/>
      <c r="BJ729" s="155"/>
      <c r="BK729" s="155"/>
      <c r="BL729" s="155"/>
      <c r="BM729" s="155"/>
      <c r="BN729" s="155"/>
      <c r="BO729" s="155"/>
      <c r="BP729" s="155"/>
      <c r="BQ729" s="155"/>
      <c r="BR729" s="155"/>
      <c r="BS729" s="155"/>
      <c r="BT729" s="155"/>
      <c r="BU729" s="155"/>
      <c r="BV729" s="155"/>
      <c r="BW729" s="155"/>
      <c r="BX729" s="155"/>
      <c r="BY729" s="155"/>
      <c r="BZ729" s="155"/>
      <c r="CA729" s="155"/>
      <c r="CB729" s="155"/>
      <c r="CC729" s="155"/>
      <c r="CD729" s="155"/>
      <c r="CE729" s="155"/>
      <c r="CF729" s="155"/>
      <c r="CG729" s="155"/>
    </row>
    <row r="730" spans="1:85" ht="12.75" x14ac:dyDescent="0.2">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5"/>
      <c r="AY730" s="155"/>
      <c r="AZ730" s="155"/>
      <c r="BA730" s="155"/>
      <c r="BB730" s="155"/>
      <c r="BC730" s="155"/>
      <c r="BD730" s="155"/>
      <c r="BE730" s="155"/>
      <c r="BF730" s="155"/>
      <c r="BG730" s="155"/>
      <c r="BH730" s="155"/>
      <c r="BI730" s="155"/>
      <c r="BJ730" s="155"/>
      <c r="BK730" s="155"/>
      <c r="BL730" s="155"/>
      <c r="BM730" s="155"/>
      <c r="BN730" s="155"/>
      <c r="BO730" s="155"/>
      <c r="BP730" s="155"/>
      <c r="BQ730" s="155"/>
      <c r="BR730" s="155"/>
      <c r="BS730" s="155"/>
      <c r="BT730" s="155"/>
      <c r="BU730" s="155"/>
      <c r="BV730" s="155"/>
      <c r="BW730" s="155"/>
      <c r="BX730" s="155"/>
      <c r="BY730" s="155"/>
      <c r="BZ730" s="155"/>
      <c r="CA730" s="155"/>
      <c r="CB730" s="155"/>
      <c r="CC730" s="155"/>
      <c r="CD730" s="155"/>
      <c r="CE730" s="155"/>
      <c r="CF730" s="155"/>
      <c r="CG730" s="155"/>
    </row>
    <row r="731" spans="1:85" ht="12.75" x14ac:dyDescent="0.2">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5"/>
      <c r="AY731" s="155"/>
      <c r="AZ731" s="155"/>
      <c r="BA731" s="155"/>
      <c r="BB731" s="155"/>
      <c r="BC731" s="155"/>
      <c r="BD731" s="155"/>
      <c r="BE731" s="155"/>
      <c r="BF731" s="155"/>
      <c r="BG731" s="155"/>
      <c r="BH731" s="155"/>
      <c r="BI731" s="155"/>
      <c r="BJ731" s="155"/>
      <c r="BK731" s="155"/>
      <c r="BL731" s="155"/>
      <c r="BM731" s="155"/>
      <c r="BN731" s="155"/>
      <c r="BO731" s="155"/>
      <c r="BP731" s="155"/>
      <c r="BQ731" s="155"/>
      <c r="BR731" s="155"/>
      <c r="BS731" s="155"/>
      <c r="BT731" s="155"/>
      <c r="BU731" s="155"/>
      <c r="BV731" s="155"/>
      <c r="BW731" s="155"/>
      <c r="BX731" s="155"/>
      <c r="BY731" s="155"/>
      <c r="BZ731" s="155"/>
      <c r="CA731" s="155"/>
      <c r="CB731" s="155"/>
      <c r="CC731" s="155"/>
      <c r="CD731" s="155"/>
      <c r="CE731" s="155"/>
      <c r="CF731" s="155"/>
      <c r="CG731" s="155"/>
    </row>
    <row r="732" spans="1:85" ht="12.75" x14ac:dyDescent="0.2">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5"/>
      <c r="AY732" s="155"/>
      <c r="AZ732" s="155"/>
      <c r="BA732" s="155"/>
      <c r="BB732" s="155"/>
      <c r="BC732" s="155"/>
      <c r="BD732" s="155"/>
      <c r="BE732" s="155"/>
      <c r="BF732" s="155"/>
      <c r="BG732" s="155"/>
      <c r="BH732" s="155"/>
      <c r="BI732" s="155"/>
      <c r="BJ732" s="155"/>
      <c r="BK732" s="155"/>
      <c r="BL732" s="155"/>
      <c r="BM732" s="155"/>
      <c r="BN732" s="155"/>
      <c r="BO732" s="155"/>
      <c r="BP732" s="155"/>
      <c r="BQ732" s="155"/>
      <c r="BR732" s="155"/>
      <c r="BS732" s="155"/>
      <c r="BT732" s="155"/>
      <c r="BU732" s="155"/>
      <c r="BV732" s="155"/>
      <c r="BW732" s="155"/>
      <c r="BX732" s="155"/>
      <c r="BY732" s="155"/>
      <c r="BZ732" s="155"/>
      <c r="CA732" s="155"/>
      <c r="CB732" s="155"/>
      <c r="CC732" s="155"/>
      <c r="CD732" s="155"/>
      <c r="CE732" s="155"/>
      <c r="CF732" s="155"/>
      <c r="CG732" s="155"/>
    </row>
    <row r="733" spans="1:85" ht="12.75" x14ac:dyDescent="0.2">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5"/>
      <c r="AY733" s="155"/>
      <c r="AZ733" s="155"/>
      <c r="BA733" s="155"/>
      <c r="BB733" s="155"/>
      <c r="BC733" s="155"/>
      <c r="BD733" s="155"/>
      <c r="BE733" s="155"/>
      <c r="BF733" s="155"/>
      <c r="BG733" s="155"/>
      <c r="BH733" s="155"/>
      <c r="BI733" s="155"/>
      <c r="BJ733" s="155"/>
      <c r="BK733" s="155"/>
      <c r="BL733" s="155"/>
      <c r="BM733" s="155"/>
      <c r="BN733" s="155"/>
      <c r="BO733" s="155"/>
      <c r="BP733" s="155"/>
      <c r="BQ733" s="155"/>
      <c r="BR733" s="155"/>
      <c r="BS733" s="155"/>
      <c r="BT733" s="155"/>
      <c r="BU733" s="155"/>
      <c r="BV733" s="155"/>
      <c r="BW733" s="155"/>
      <c r="BX733" s="155"/>
      <c r="BY733" s="155"/>
      <c r="BZ733" s="155"/>
      <c r="CA733" s="155"/>
      <c r="CB733" s="155"/>
      <c r="CC733" s="155"/>
      <c r="CD733" s="155"/>
      <c r="CE733" s="155"/>
      <c r="CF733" s="155"/>
      <c r="CG733" s="155"/>
    </row>
    <row r="734" spans="1:85" ht="12.75" x14ac:dyDescent="0.2">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5"/>
      <c r="AY734" s="155"/>
      <c r="AZ734" s="155"/>
      <c r="BA734" s="155"/>
      <c r="BB734" s="155"/>
      <c r="BC734" s="155"/>
      <c r="BD734" s="155"/>
      <c r="BE734" s="155"/>
      <c r="BF734" s="155"/>
      <c r="BG734" s="155"/>
      <c r="BH734" s="155"/>
      <c r="BI734" s="155"/>
      <c r="BJ734" s="155"/>
      <c r="BK734" s="155"/>
      <c r="BL734" s="155"/>
      <c r="BM734" s="155"/>
      <c r="BN734" s="155"/>
      <c r="BO734" s="155"/>
      <c r="BP734" s="155"/>
      <c r="BQ734" s="155"/>
      <c r="BR734" s="155"/>
      <c r="BS734" s="155"/>
      <c r="BT734" s="155"/>
      <c r="BU734" s="155"/>
      <c r="BV734" s="155"/>
      <c r="BW734" s="155"/>
      <c r="BX734" s="155"/>
      <c r="BY734" s="155"/>
      <c r="BZ734" s="155"/>
      <c r="CA734" s="155"/>
      <c r="CB734" s="155"/>
      <c r="CC734" s="155"/>
      <c r="CD734" s="155"/>
      <c r="CE734" s="155"/>
      <c r="CF734" s="155"/>
      <c r="CG734" s="155"/>
    </row>
    <row r="735" spans="1:85" ht="12.75" x14ac:dyDescent="0.2">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5"/>
      <c r="AY735" s="155"/>
      <c r="AZ735" s="155"/>
      <c r="BA735" s="155"/>
      <c r="BB735" s="155"/>
      <c r="BC735" s="155"/>
      <c r="BD735" s="155"/>
      <c r="BE735" s="155"/>
      <c r="BF735" s="155"/>
      <c r="BG735" s="155"/>
      <c r="BH735" s="155"/>
      <c r="BI735" s="155"/>
      <c r="BJ735" s="155"/>
      <c r="BK735" s="155"/>
      <c r="BL735" s="155"/>
      <c r="BM735" s="155"/>
      <c r="BN735" s="155"/>
      <c r="BO735" s="155"/>
      <c r="BP735" s="155"/>
      <c r="BQ735" s="155"/>
      <c r="BR735" s="155"/>
      <c r="BS735" s="155"/>
      <c r="BT735" s="155"/>
      <c r="BU735" s="155"/>
      <c r="BV735" s="155"/>
      <c r="BW735" s="155"/>
      <c r="BX735" s="155"/>
      <c r="BY735" s="155"/>
      <c r="BZ735" s="155"/>
      <c r="CA735" s="155"/>
      <c r="CB735" s="155"/>
      <c r="CC735" s="155"/>
      <c r="CD735" s="155"/>
      <c r="CE735" s="155"/>
      <c r="CF735" s="155"/>
      <c r="CG735" s="155"/>
    </row>
    <row r="736" spans="1:85" ht="12.75" x14ac:dyDescent="0.2">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5"/>
      <c r="AY736" s="155"/>
      <c r="AZ736" s="155"/>
      <c r="BA736" s="155"/>
      <c r="BB736" s="155"/>
      <c r="BC736" s="155"/>
      <c r="BD736" s="155"/>
      <c r="BE736" s="155"/>
      <c r="BF736" s="155"/>
      <c r="BG736" s="155"/>
      <c r="BH736" s="155"/>
      <c r="BI736" s="155"/>
      <c r="BJ736" s="155"/>
      <c r="BK736" s="155"/>
      <c r="BL736" s="155"/>
      <c r="BM736" s="155"/>
      <c r="BN736" s="155"/>
      <c r="BO736" s="155"/>
      <c r="BP736" s="155"/>
      <c r="BQ736" s="155"/>
      <c r="BR736" s="155"/>
      <c r="BS736" s="155"/>
      <c r="BT736" s="155"/>
      <c r="BU736" s="155"/>
      <c r="BV736" s="155"/>
      <c r="BW736" s="155"/>
      <c r="BX736" s="155"/>
      <c r="BY736" s="155"/>
      <c r="BZ736" s="155"/>
      <c r="CA736" s="155"/>
      <c r="CB736" s="155"/>
      <c r="CC736" s="155"/>
      <c r="CD736" s="155"/>
      <c r="CE736" s="155"/>
      <c r="CF736" s="155"/>
      <c r="CG736" s="155"/>
    </row>
    <row r="737" spans="1:85" ht="12.75" x14ac:dyDescent="0.2">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5"/>
      <c r="AY737" s="155"/>
      <c r="AZ737" s="155"/>
      <c r="BA737" s="155"/>
      <c r="BB737" s="155"/>
      <c r="BC737" s="155"/>
      <c r="BD737" s="155"/>
      <c r="BE737" s="155"/>
      <c r="BF737" s="155"/>
      <c r="BG737" s="155"/>
      <c r="BH737" s="155"/>
      <c r="BI737" s="155"/>
      <c r="BJ737" s="155"/>
      <c r="BK737" s="155"/>
      <c r="BL737" s="155"/>
      <c r="BM737" s="155"/>
      <c r="BN737" s="155"/>
      <c r="BO737" s="155"/>
      <c r="BP737" s="155"/>
      <c r="BQ737" s="155"/>
      <c r="BR737" s="155"/>
      <c r="BS737" s="155"/>
      <c r="BT737" s="155"/>
      <c r="BU737" s="155"/>
      <c r="BV737" s="155"/>
      <c r="BW737" s="155"/>
      <c r="BX737" s="155"/>
      <c r="BY737" s="155"/>
      <c r="BZ737" s="155"/>
      <c r="CA737" s="155"/>
      <c r="CB737" s="155"/>
      <c r="CC737" s="155"/>
      <c r="CD737" s="155"/>
      <c r="CE737" s="155"/>
      <c r="CF737" s="155"/>
      <c r="CG737" s="155"/>
    </row>
    <row r="738" spans="1:85" ht="12.75" x14ac:dyDescent="0.2">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5"/>
      <c r="AY738" s="155"/>
      <c r="AZ738" s="155"/>
      <c r="BA738" s="155"/>
      <c r="BB738" s="155"/>
      <c r="BC738" s="155"/>
      <c r="BD738" s="155"/>
      <c r="BE738" s="155"/>
      <c r="BF738" s="155"/>
      <c r="BG738" s="155"/>
      <c r="BH738" s="155"/>
      <c r="BI738" s="155"/>
      <c r="BJ738" s="155"/>
      <c r="BK738" s="155"/>
      <c r="BL738" s="155"/>
      <c r="BM738" s="155"/>
      <c r="BN738" s="155"/>
      <c r="BO738" s="155"/>
      <c r="BP738" s="155"/>
      <c r="BQ738" s="155"/>
      <c r="BR738" s="155"/>
      <c r="BS738" s="155"/>
      <c r="BT738" s="155"/>
      <c r="BU738" s="155"/>
      <c r="BV738" s="155"/>
      <c r="BW738" s="155"/>
      <c r="BX738" s="155"/>
      <c r="BY738" s="155"/>
      <c r="BZ738" s="155"/>
      <c r="CA738" s="155"/>
      <c r="CB738" s="155"/>
      <c r="CC738" s="155"/>
      <c r="CD738" s="155"/>
      <c r="CE738" s="155"/>
      <c r="CF738" s="155"/>
      <c r="CG738" s="155"/>
    </row>
    <row r="739" spans="1:85" ht="12.75" x14ac:dyDescent="0.2">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5"/>
      <c r="AY739" s="155"/>
      <c r="AZ739" s="155"/>
      <c r="BA739" s="155"/>
      <c r="BB739" s="155"/>
      <c r="BC739" s="155"/>
      <c r="BD739" s="155"/>
      <c r="BE739" s="155"/>
      <c r="BF739" s="155"/>
      <c r="BG739" s="155"/>
      <c r="BH739" s="155"/>
      <c r="BI739" s="155"/>
      <c r="BJ739" s="155"/>
      <c r="BK739" s="155"/>
      <c r="BL739" s="155"/>
      <c r="BM739" s="155"/>
      <c r="BN739" s="155"/>
      <c r="BO739" s="155"/>
      <c r="BP739" s="155"/>
      <c r="BQ739" s="155"/>
      <c r="BR739" s="155"/>
      <c r="BS739" s="155"/>
      <c r="BT739" s="155"/>
      <c r="BU739" s="155"/>
      <c r="BV739" s="155"/>
      <c r="BW739" s="155"/>
      <c r="BX739" s="155"/>
      <c r="BY739" s="155"/>
      <c r="BZ739" s="155"/>
      <c r="CA739" s="155"/>
      <c r="CB739" s="155"/>
      <c r="CC739" s="155"/>
      <c r="CD739" s="155"/>
      <c r="CE739" s="155"/>
      <c r="CF739" s="155"/>
      <c r="CG739" s="155"/>
    </row>
    <row r="740" spans="1:85" ht="12.75" x14ac:dyDescent="0.2">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5"/>
      <c r="AY740" s="155"/>
      <c r="AZ740" s="155"/>
      <c r="BA740" s="155"/>
      <c r="BB740" s="155"/>
      <c r="BC740" s="155"/>
      <c r="BD740" s="155"/>
      <c r="BE740" s="155"/>
      <c r="BF740" s="155"/>
      <c r="BG740" s="155"/>
      <c r="BH740" s="155"/>
      <c r="BI740" s="155"/>
      <c r="BJ740" s="155"/>
      <c r="BK740" s="155"/>
      <c r="BL740" s="155"/>
      <c r="BM740" s="155"/>
      <c r="BN740" s="155"/>
      <c r="BO740" s="155"/>
      <c r="BP740" s="155"/>
      <c r="BQ740" s="155"/>
      <c r="BR740" s="155"/>
      <c r="BS740" s="155"/>
      <c r="BT740" s="155"/>
      <c r="BU740" s="155"/>
      <c r="BV740" s="155"/>
      <c r="BW740" s="155"/>
      <c r="BX740" s="155"/>
      <c r="BY740" s="155"/>
      <c r="BZ740" s="155"/>
      <c r="CA740" s="155"/>
      <c r="CB740" s="155"/>
      <c r="CC740" s="155"/>
      <c r="CD740" s="155"/>
      <c r="CE740" s="155"/>
      <c r="CF740" s="155"/>
      <c r="CG740" s="155"/>
    </row>
    <row r="741" spans="1:85" ht="12.75" x14ac:dyDescent="0.2">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c r="AA741" s="155"/>
      <c r="AB741" s="155"/>
      <c r="AC741" s="155"/>
      <c r="AD741" s="155"/>
      <c r="AE741" s="155"/>
      <c r="AF741" s="155"/>
      <c r="AG741" s="155"/>
      <c r="AH741" s="155"/>
      <c r="AI741" s="155"/>
      <c r="AJ741" s="155"/>
      <c r="AK741" s="155"/>
      <c r="AL741" s="155"/>
      <c r="AM741" s="155"/>
      <c r="AN741" s="155"/>
      <c r="AO741" s="155"/>
      <c r="AP741" s="155"/>
      <c r="AQ741" s="155"/>
      <c r="AR741" s="155"/>
      <c r="AS741" s="155"/>
      <c r="AT741" s="155"/>
      <c r="AU741" s="155"/>
      <c r="AV741" s="155"/>
      <c r="AW741" s="155"/>
      <c r="AX741" s="155"/>
      <c r="AY741" s="155"/>
      <c r="AZ741" s="155"/>
      <c r="BA741" s="155"/>
      <c r="BB741" s="155"/>
      <c r="BC741" s="155"/>
      <c r="BD741" s="155"/>
      <c r="BE741" s="155"/>
      <c r="BF741" s="155"/>
      <c r="BG741" s="155"/>
      <c r="BH741" s="155"/>
      <c r="BI741" s="155"/>
      <c r="BJ741" s="155"/>
      <c r="BK741" s="155"/>
      <c r="BL741" s="155"/>
      <c r="BM741" s="155"/>
      <c r="BN741" s="155"/>
      <c r="BO741" s="155"/>
      <c r="BP741" s="155"/>
      <c r="BQ741" s="155"/>
      <c r="BR741" s="155"/>
      <c r="BS741" s="155"/>
      <c r="BT741" s="155"/>
      <c r="BU741" s="155"/>
      <c r="BV741" s="155"/>
      <c r="BW741" s="155"/>
      <c r="BX741" s="155"/>
      <c r="BY741" s="155"/>
      <c r="BZ741" s="155"/>
      <c r="CA741" s="155"/>
      <c r="CB741" s="155"/>
      <c r="CC741" s="155"/>
      <c r="CD741" s="155"/>
      <c r="CE741" s="155"/>
      <c r="CF741" s="155"/>
      <c r="CG741" s="155"/>
    </row>
    <row r="742" spans="1:85" ht="12.75" x14ac:dyDescent="0.2">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c r="AA742" s="155"/>
      <c r="AB742" s="155"/>
      <c r="AC742" s="155"/>
      <c r="AD742" s="155"/>
      <c r="AE742" s="155"/>
      <c r="AF742" s="155"/>
      <c r="AG742" s="155"/>
      <c r="AH742" s="155"/>
      <c r="AI742" s="155"/>
      <c r="AJ742" s="155"/>
      <c r="AK742" s="155"/>
      <c r="AL742" s="155"/>
      <c r="AM742" s="155"/>
      <c r="AN742" s="155"/>
      <c r="AO742" s="155"/>
      <c r="AP742" s="155"/>
      <c r="AQ742" s="155"/>
      <c r="AR742" s="155"/>
      <c r="AS742" s="155"/>
      <c r="AT742" s="155"/>
      <c r="AU742" s="155"/>
      <c r="AV742" s="155"/>
      <c r="AW742" s="155"/>
      <c r="AX742" s="155"/>
      <c r="AY742" s="155"/>
      <c r="AZ742" s="155"/>
      <c r="BA742" s="155"/>
      <c r="BB742" s="155"/>
      <c r="BC742" s="155"/>
      <c r="BD742" s="155"/>
      <c r="BE742" s="155"/>
      <c r="BF742" s="155"/>
      <c r="BG742" s="155"/>
      <c r="BH742" s="155"/>
      <c r="BI742" s="155"/>
      <c r="BJ742" s="155"/>
      <c r="BK742" s="155"/>
      <c r="BL742" s="155"/>
      <c r="BM742" s="155"/>
      <c r="BN742" s="155"/>
      <c r="BO742" s="155"/>
      <c r="BP742" s="155"/>
      <c r="BQ742" s="155"/>
      <c r="BR742" s="155"/>
      <c r="BS742" s="155"/>
      <c r="BT742" s="155"/>
      <c r="BU742" s="155"/>
      <c r="BV742" s="155"/>
      <c r="BW742" s="155"/>
      <c r="BX742" s="155"/>
      <c r="BY742" s="155"/>
      <c r="BZ742" s="155"/>
      <c r="CA742" s="155"/>
      <c r="CB742" s="155"/>
      <c r="CC742" s="155"/>
      <c r="CD742" s="155"/>
      <c r="CE742" s="155"/>
      <c r="CF742" s="155"/>
      <c r="CG742" s="155"/>
    </row>
    <row r="743" spans="1:85" ht="12.75" x14ac:dyDescent="0.2">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c r="AA743" s="155"/>
      <c r="AB743" s="155"/>
      <c r="AC743" s="155"/>
      <c r="AD743" s="155"/>
      <c r="AE743" s="155"/>
      <c r="AF743" s="155"/>
      <c r="AG743" s="155"/>
      <c r="AH743" s="155"/>
      <c r="AI743" s="155"/>
      <c r="AJ743" s="155"/>
      <c r="AK743" s="155"/>
      <c r="AL743" s="155"/>
      <c r="AM743" s="155"/>
      <c r="AN743" s="155"/>
      <c r="AO743" s="155"/>
      <c r="AP743" s="155"/>
      <c r="AQ743" s="155"/>
      <c r="AR743" s="155"/>
      <c r="AS743" s="155"/>
      <c r="AT743" s="155"/>
      <c r="AU743" s="155"/>
      <c r="AV743" s="155"/>
      <c r="AW743" s="155"/>
      <c r="AX743" s="155"/>
      <c r="AY743" s="155"/>
      <c r="AZ743" s="155"/>
      <c r="BA743" s="155"/>
      <c r="BB743" s="155"/>
      <c r="BC743" s="155"/>
      <c r="BD743" s="155"/>
      <c r="BE743" s="155"/>
      <c r="BF743" s="155"/>
      <c r="BG743" s="155"/>
      <c r="BH743" s="155"/>
      <c r="BI743" s="155"/>
      <c r="BJ743" s="155"/>
      <c r="BK743" s="155"/>
      <c r="BL743" s="155"/>
      <c r="BM743" s="155"/>
      <c r="BN743" s="155"/>
      <c r="BO743" s="155"/>
      <c r="BP743" s="155"/>
      <c r="BQ743" s="155"/>
      <c r="BR743" s="155"/>
      <c r="BS743" s="155"/>
      <c r="BT743" s="155"/>
      <c r="BU743" s="155"/>
      <c r="BV743" s="155"/>
      <c r="BW743" s="155"/>
      <c r="BX743" s="155"/>
      <c r="BY743" s="155"/>
      <c r="BZ743" s="155"/>
      <c r="CA743" s="155"/>
      <c r="CB743" s="155"/>
      <c r="CC743" s="155"/>
      <c r="CD743" s="155"/>
      <c r="CE743" s="155"/>
      <c r="CF743" s="155"/>
      <c r="CG743" s="155"/>
    </row>
    <row r="744" spans="1:85" ht="12.75" x14ac:dyDescent="0.2">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c r="AA744" s="155"/>
      <c r="AB744" s="155"/>
      <c r="AC744" s="155"/>
      <c r="AD744" s="155"/>
      <c r="AE744" s="155"/>
      <c r="AF744" s="155"/>
      <c r="AG744" s="155"/>
      <c r="AH744" s="155"/>
      <c r="AI744" s="155"/>
      <c r="AJ744" s="155"/>
      <c r="AK744" s="155"/>
      <c r="AL744" s="155"/>
      <c r="AM744" s="155"/>
      <c r="AN744" s="155"/>
      <c r="AO744" s="155"/>
      <c r="AP744" s="155"/>
      <c r="AQ744" s="155"/>
      <c r="AR744" s="155"/>
      <c r="AS744" s="155"/>
      <c r="AT744" s="155"/>
      <c r="AU744" s="155"/>
      <c r="AV744" s="155"/>
      <c r="AW744" s="155"/>
      <c r="AX744" s="155"/>
      <c r="AY744" s="155"/>
      <c r="AZ744" s="155"/>
      <c r="BA744" s="155"/>
      <c r="BB744" s="155"/>
      <c r="BC744" s="155"/>
      <c r="BD744" s="155"/>
      <c r="BE744" s="155"/>
      <c r="BF744" s="155"/>
      <c r="BG744" s="155"/>
      <c r="BH744" s="155"/>
      <c r="BI744" s="155"/>
      <c r="BJ744" s="155"/>
      <c r="BK744" s="155"/>
      <c r="BL744" s="155"/>
      <c r="BM744" s="155"/>
      <c r="BN744" s="155"/>
      <c r="BO744" s="155"/>
      <c r="BP744" s="155"/>
      <c r="BQ744" s="155"/>
      <c r="BR744" s="155"/>
      <c r="BS744" s="155"/>
      <c r="BT744" s="155"/>
      <c r="BU744" s="155"/>
      <c r="BV744" s="155"/>
      <c r="BW744" s="155"/>
      <c r="BX744" s="155"/>
      <c r="BY744" s="155"/>
      <c r="BZ744" s="155"/>
      <c r="CA744" s="155"/>
      <c r="CB744" s="155"/>
      <c r="CC744" s="155"/>
      <c r="CD744" s="155"/>
      <c r="CE744" s="155"/>
      <c r="CF744" s="155"/>
      <c r="CG744" s="155"/>
    </row>
    <row r="745" spans="1:85" ht="12.75" x14ac:dyDescent="0.2">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c r="AA745" s="155"/>
      <c r="AB745" s="155"/>
      <c r="AC745" s="155"/>
      <c r="AD745" s="155"/>
      <c r="AE745" s="155"/>
      <c r="AF745" s="155"/>
      <c r="AG745" s="155"/>
      <c r="AH745" s="155"/>
      <c r="AI745" s="155"/>
      <c r="AJ745" s="155"/>
      <c r="AK745" s="155"/>
      <c r="AL745" s="155"/>
      <c r="AM745" s="155"/>
      <c r="AN745" s="155"/>
      <c r="AO745" s="155"/>
      <c r="AP745" s="155"/>
      <c r="AQ745" s="155"/>
      <c r="AR745" s="155"/>
      <c r="AS745" s="155"/>
      <c r="AT745" s="155"/>
      <c r="AU745" s="155"/>
      <c r="AV745" s="155"/>
      <c r="AW745" s="155"/>
      <c r="AX745" s="155"/>
      <c r="AY745" s="155"/>
      <c r="AZ745" s="155"/>
      <c r="BA745" s="155"/>
      <c r="BB745" s="155"/>
      <c r="BC745" s="155"/>
      <c r="BD745" s="155"/>
      <c r="BE745" s="155"/>
      <c r="BF745" s="155"/>
      <c r="BG745" s="155"/>
      <c r="BH745" s="155"/>
      <c r="BI745" s="155"/>
      <c r="BJ745" s="155"/>
      <c r="BK745" s="155"/>
      <c r="BL745" s="155"/>
      <c r="BM745" s="155"/>
      <c r="BN745" s="155"/>
      <c r="BO745" s="155"/>
      <c r="BP745" s="155"/>
      <c r="BQ745" s="155"/>
      <c r="BR745" s="155"/>
      <c r="BS745" s="155"/>
      <c r="BT745" s="155"/>
      <c r="BU745" s="155"/>
      <c r="BV745" s="155"/>
      <c r="BW745" s="155"/>
      <c r="BX745" s="155"/>
      <c r="BY745" s="155"/>
      <c r="BZ745" s="155"/>
      <c r="CA745" s="155"/>
      <c r="CB745" s="155"/>
      <c r="CC745" s="155"/>
      <c r="CD745" s="155"/>
      <c r="CE745" s="155"/>
      <c r="CF745" s="155"/>
      <c r="CG745" s="155"/>
    </row>
    <row r="746" spans="1:85" ht="12.75" x14ac:dyDescent="0.2">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c r="AA746" s="155"/>
      <c r="AB746" s="155"/>
      <c r="AC746" s="155"/>
      <c r="AD746" s="155"/>
      <c r="AE746" s="155"/>
      <c r="AF746" s="155"/>
      <c r="AG746" s="155"/>
      <c r="AH746" s="155"/>
      <c r="AI746" s="155"/>
      <c r="AJ746" s="155"/>
      <c r="AK746" s="155"/>
      <c r="AL746" s="155"/>
      <c r="AM746" s="155"/>
      <c r="AN746" s="155"/>
      <c r="AO746" s="155"/>
      <c r="AP746" s="155"/>
      <c r="AQ746" s="155"/>
      <c r="AR746" s="155"/>
      <c r="AS746" s="155"/>
      <c r="AT746" s="155"/>
      <c r="AU746" s="155"/>
      <c r="AV746" s="155"/>
      <c r="AW746" s="155"/>
      <c r="AX746" s="155"/>
      <c r="AY746" s="155"/>
      <c r="AZ746" s="155"/>
      <c r="BA746" s="155"/>
      <c r="BB746" s="155"/>
      <c r="BC746" s="155"/>
      <c r="BD746" s="155"/>
      <c r="BE746" s="155"/>
      <c r="BF746" s="155"/>
      <c r="BG746" s="155"/>
      <c r="BH746" s="155"/>
      <c r="BI746" s="155"/>
      <c r="BJ746" s="155"/>
      <c r="BK746" s="155"/>
      <c r="BL746" s="155"/>
      <c r="BM746" s="155"/>
      <c r="BN746" s="155"/>
      <c r="BO746" s="155"/>
      <c r="BP746" s="155"/>
      <c r="BQ746" s="155"/>
      <c r="BR746" s="155"/>
      <c r="BS746" s="155"/>
      <c r="BT746" s="155"/>
      <c r="BU746" s="155"/>
      <c r="BV746" s="155"/>
      <c r="BW746" s="155"/>
      <c r="BX746" s="155"/>
      <c r="BY746" s="155"/>
      <c r="BZ746" s="155"/>
      <c r="CA746" s="155"/>
      <c r="CB746" s="155"/>
      <c r="CC746" s="155"/>
      <c r="CD746" s="155"/>
      <c r="CE746" s="155"/>
      <c r="CF746" s="155"/>
      <c r="CG746" s="155"/>
    </row>
    <row r="747" spans="1:85" ht="12.75" x14ac:dyDescent="0.2">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c r="AA747" s="155"/>
      <c r="AB747" s="155"/>
      <c r="AC747" s="155"/>
      <c r="AD747" s="155"/>
      <c r="AE747" s="155"/>
      <c r="AF747" s="155"/>
      <c r="AG747" s="155"/>
      <c r="AH747" s="155"/>
      <c r="AI747" s="155"/>
      <c r="AJ747" s="155"/>
      <c r="AK747" s="155"/>
      <c r="AL747" s="155"/>
      <c r="AM747" s="155"/>
      <c r="AN747" s="155"/>
      <c r="AO747" s="155"/>
      <c r="AP747" s="155"/>
      <c r="AQ747" s="155"/>
      <c r="AR747" s="155"/>
      <c r="AS747" s="155"/>
      <c r="AT747" s="155"/>
      <c r="AU747" s="155"/>
      <c r="AV747" s="155"/>
      <c r="AW747" s="155"/>
      <c r="AX747" s="155"/>
      <c r="AY747" s="155"/>
      <c r="AZ747" s="155"/>
      <c r="BA747" s="155"/>
      <c r="BB747" s="155"/>
      <c r="BC747" s="155"/>
      <c r="BD747" s="155"/>
      <c r="BE747" s="155"/>
      <c r="BF747" s="155"/>
      <c r="BG747" s="155"/>
      <c r="BH747" s="155"/>
      <c r="BI747" s="155"/>
      <c r="BJ747" s="155"/>
      <c r="BK747" s="155"/>
      <c r="BL747" s="155"/>
      <c r="BM747" s="155"/>
      <c r="BN747" s="155"/>
      <c r="BO747" s="155"/>
      <c r="BP747" s="155"/>
      <c r="BQ747" s="155"/>
      <c r="BR747" s="155"/>
      <c r="BS747" s="155"/>
      <c r="BT747" s="155"/>
      <c r="BU747" s="155"/>
      <c r="BV747" s="155"/>
      <c r="BW747" s="155"/>
      <c r="BX747" s="155"/>
      <c r="BY747" s="155"/>
      <c r="BZ747" s="155"/>
      <c r="CA747" s="155"/>
      <c r="CB747" s="155"/>
      <c r="CC747" s="155"/>
      <c r="CD747" s="155"/>
      <c r="CE747" s="155"/>
      <c r="CF747" s="155"/>
      <c r="CG747" s="155"/>
    </row>
    <row r="748" spans="1:85" ht="12.75" x14ac:dyDescent="0.2">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c r="AA748" s="155"/>
      <c r="AB748" s="155"/>
      <c r="AC748" s="155"/>
      <c r="AD748" s="155"/>
      <c r="AE748" s="155"/>
      <c r="AF748" s="155"/>
      <c r="AG748" s="155"/>
      <c r="AH748" s="155"/>
      <c r="AI748" s="155"/>
      <c r="AJ748" s="155"/>
      <c r="AK748" s="155"/>
      <c r="AL748" s="155"/>
      <c r="AM748" s="155"/>
      <c r="AN748" s="155"/>
      <c r="AO748" s="155"/>
      <c r="AP748" s="155"/>
      <c r="AQ748" s="155"/>
      <c r="AR748" s="155"/>
      <c r="AS748" s="155"/>
      <c r="AT748" s="155"/>
      <c r="AU748" s="155"/>
      <c r="AV748" s="155"/>
      <c r="AW748" s="155"/>
      <c r="AX748" s="155"/>
      <c r="AY748" s="155"/>
      <c r="AZ748" s="155"/>
      <c r="BA748" s="155"/>
      <c r="BB748" s="155"/>
      <c r="BC748" s="155"/>
      <c r="BD748" s="155"/>
      <c r="BE748" s="155"/>
      <c r="BF748" s="155"/>
      <c r="BG748" s="155"/>
      <c r="BH748" s="155"/>
      <c r="BI748" s="155"/>
      <c r="BJ748" s="155"/>
      <c r="BK748" s="155"/>
      <c r="BL748" s="155"/>
      <c r="BM748" s="155"/>
      <c r="BN748" s="155"/>
      <c r="BO748" s="155"/>
      <c r="BP748" s="155"/>
      <c r="BQ748" s="155"/>
      <c r="BR748" s="155"/>
      <c r="BS748" s="155"/>
      <c r="BT748" s="155"/>
      <c r="BU748" s="155"/>
      <c r="BV748" s="155"/>
      <c r="BW748" s="155"/>
      <c r="BX748" s="155"/>
      <c r="BY748" s="155"/>
      <c r="BZ748" s="155"/>
      <c r="CA748" s="155"/>
      <c r="CB748" s="155"/>
      <c r="CC748" s="155"/>
      <c r="CD748" s="155"/>
      <c r="CE748" s="155"/>
      <c r="CF748" s="155"/>
      <c r="CG748" s="155"/>
    </row>
    <row r="749" spans="1:85" ht="12.75" x14ac:dyDescent="0.2">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c r="AA749" s="155"/>
      <c r="AB749" s="155"/>
      <c r="AC749" s="155"/>
      <c r="AD749" s="155"/>
      <c r="AE749" s="155"/>
      <c r="AF749" s="155"/>
      <c r="AG749" s="155"/>
      <c r="AH749" s="155"/>
      <c r="AI749" s="155"/>
      <c r="AJ749" s="155"/>
      <c r="AK749" s="155"/>
      <c r="AL749" s="155"/>
      <c r="AM749" s="155"/>
      <c r="AN749" s="155"/>
      <c r="AO749" s="155"/>
      <c r="AP749" s="155"/>
      <c r="AQ749" s="155"/>
      <c r="AR749" s="155"/>
      <c r="AS749" s="155"/>
      <c r="AT749" s="155"/>
      <c r="AU749" s="155"/>
      <c r="AV749" s="155"/>
      <c r="AW749" s="155"/>
      <c r="AX749" s="155"/>
      <c r="AY749" s="155"/>
      <c r="AZ749" s="155"/>
      <c r="BA749" s="155"/>
      <c r="BB749" s="155"/>
      <c r="BC749" s="155"/>
      <c r="BD749" s="155"/>
      <c r="BE749" s="155"/>
      <c r="BF749" s="155"/>
      <c r="BG749" s="155"/>
      <c r="BH749" s="155"/>
      <c r="BI749" s="155"/>
      <c r="BJ749" s="155"/>
      <c r="BK749" s="155"/>
      <c r="BL749" s="155"/>
      <c r="BM749" s="155"/>
      <c r="BN749" s="155"/>
      <c r="BO749" s="155"/>
      <c r="BP749" s="155"/>
      <c r="BQ749" s="155"/>
      <c r="BR749" s="155"/>
      <c r="BS749" s="155"/>
      <c r="BT749" s="155"/>
      <c r="BU749" s="155"/>
      <c r="BV749" s="155"/>
      <c r="BW749" s="155"/>
      <c r="BX749" s="155"/>
      <c r="BY749" s="155"/>
      <c r="BZ749" s="155"/>
      <c r="CA749" s="155"/>
      <c r="CB749" s="155"/>
      <c r="CC749" s="155"/>
      <c r="CD749" s="155"/>
      <c r="CE749" s="155"/>
      <c r="CF749" s="155"/>
      <c r="CG749" s="155"/>
    </row>
    <row r="750" spans="1:85" ht="12.75" x14ac:dyDescent="0.2">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c r="AA750" s="155"/>
      <c r="AB750" s="155"/>
      <c r="AC750" s="155"/>
      <c r="AD750" s="155"/>
      <c r="AE750" s="155"/>
      <c r="AF750" s="155"/>
      <c r="AG750" s="155"/>
      <c r="AH750" s="155"/>
      <c r="AI750" s="155"/>
      <c r="AJ750" s="155"/>
      <c r="AK750" s="155"/>
      <c r="AL750" s="155"/>
      <c r="AM750" s="155"/>
      <c r="AN750" s="155"/>
      <c r="AO750" s="155"/>
      <c r="AP750" s="155"/>
      <c r="AQ750" s="155"/>
      <c r="AR750" s="155"/>
      <c r="AS750" s="155"/>
      <c r="AT750" s="155"/>
      <c r="AU750" s="155"/>
      <c r="AV750" s="155"/>
      <c r="AW750" s="155"/>
      <c r="AX750" s="155"/>
      <c r="AY750" s="155"/>
      <c r="AZ750" s="155"/>
      <c r="BA750" s="155"/>
      <c r="BB750" s="155"/>
      <c r="BC750" s="155"/>
      <c r="BD750" s="155"/>
      <c r="BE750" s="155"/>
      <c r="BF750" s="155"/>
      <c r="BG750" s="155"/>
      <c r="BH750" s="155"/>
      <c r="BI750" s="155"/>
      <c r="BJ750" s="155"/>
      <c r="BK750" s="155"/>
      <c r="BL750" s="155"/>
      <c r="BM750" s="155"/>
      <c r="BN750" s="155"/>
      <c r="BO750" s="155"/>
      <c r="BP750" s="155"/>
      <c r="BQ750" s="155"/>
      <c r="BR750" s="155"/>
      <c r="BS750" s="155"/>
      <c r="BT750" s="155"/>
      <c r="BU750" s="155"/>
      <c r="BV750" s="155"/>
      <c r="BW750" s="155"/>
      <c r="BX750" s="155"/>
      <c r="BY750" s="155"/>
      <c r="BZ750" s="155"/>
      <c r="CA750" s="155"/>
      <c r="CB750" s="155"/>
      <c r="CC750" s="155"/>
      <c r="CD750" s="155"/>
      <c r="CE750" s="155"/>
      <c r="CF750" s="155"/>
      <c r="CG750" s="155"/>
    </row>
    <row r="751" spans="1:85" ht="12.75" x14ac:dyDescent="0.2">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c r="AA751" s="155"/>
      <c r="AB751" s="155"/>
      <c r="AC751" s="155"/>
      <c r="AD751" s="155"/>
      <c r="AE751" s="155"/>
      <c r="AF751" s="155"/>
      <c r="AG751" s="155"/>
      <c r="AH751" s="155"/>
      <c r="AI751" s="155"/>
      <c r="AJ751" s="155"/>
      <c r="AK751" s="155"/>
      <c r="AL751" s="155"/>
      <c r="AM751" s="155"/>
      <c r="AN751" s="155"/>
      <c r="AO751" s="155"/>
      <c r="AP751" s="155"/>
      <c r="AQ751" s="155"/>
      <c r="AR751" s="155"/>
      <c r="AS751" s="155"/>
      <c r="AT751" s="155"/>
      <c r="AU751" s="155"/>
      <c r="AV751" s="155"/>
      <c r="AW751" s="155"/>
      <c r="AX751" s="155"/>
      <c r="AY751" s="155"/>
      <c r="AZ751" s="155"/>
      <c r="BA751" s="155"/>
      <c r="BB751" s="155"/>
      <c r="BC751" s="155"/>
      <c r="BD751" s="155"/>
      <c r="BE751" s="155"/>
      <c r="BF751" s="155"/>
      <c r="BG751" s="155"/>
      <c r="BH751" s="155"/>
      <c r="BI751" s="155"/>
      <c r="BJ751" s="155"/>
      <c r="BK751" s="155"/>
      <c r="BL751" s="155"/>
      <c r="BM751" s="155"/>
      <c r="BN751" s="155"/>
      <c r="BO751" s="155"/>
      <c r="BP751" s="155"/>
      <c r="BQ751" s="155"/>
      <c r="BR751" s="155"/>
      <c r="BS751" s="155"/>
      <c r="BT751" s="155"/>
      <c r="BU751" s="155"/>
      <c r="BV751" s="155"/>
      <c r="BW751" s="155"/>
      <c r="BX751" s="155"/>
      <c r="BY751" s="155"/>
      <c r="BZ751" s="155"/>
      <c r="CA751" s="155"/>
      <c r="CB751" s="155"/>
      <c r="CC751" s="155"/>
      <c r="CD751" s="155"/>
      <c r="CE751" s="155"/>
      <c r="CF751" s="155"/>
      <c r="CG751" s="155"/>
    </row>
    <row r="752" spans="1:85" ht="12.75" x14ac:dyDescent="0.2">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c r="AA752" s="155"/>
      <c r="AB752" s="155"/>
      <c r="AC752" s="155"/>
      <c r="AD752" s="155"/>
      <c r="AE752" s="155"/>
      <c r="AF752" s="155"/>
      <c r="AG752" s="155"/>
      <c r="AH752" s="155"/>
      <c r="AI752" s="155"/>
      <c r="AJ752" s="155"/>
      <c r="AK752" s="155"/>
      <c r="AL752" s="155"/>
      <c r="AM752" s="155"/>
      <c r="AN752" s="155"/>
      <c r="AO752" s="155"/>
      <c r="AP752" s="155"/>
      <c r="AQ752" s="155"/>
      <c r="AR752" s="155"/>
      <c r="AS752" s="155"/>
      <c r="AT752" s="155"/>
      <c r="AU752" s="155"/>
      <c r="AV752" s="155"/>
      <c r="AW752" s="155"/>
      <c r="AX752" s="155"/>
      <c r="AY752" s="155"/>
      <c r="AZ752" s="155"/>
      <c r="BA752" s="155"/>
      <c r="BB752" s="155"/>
      <c r="BC752" s="155"/>
      <c r="BD752" s="155"/>
      <c r="BE752" s="155"/>
      <c r="BF752" s="155"/>
      <c r="BG752" s="155"/>
      <c r="BH752" s="155"/>
      <c r="BI752" s="155"/>
      <c r="BJ752" s="155"/>
      <c r="BK752" s="155"/>
      <c r="BL752" s="155"/>
      <c r="BM752" s="155"/>
      <c r="BN752" s="155"/>
      <c r="BO752" s="155"/>
      <c r="BP752" s="155"/>
      <c r="BQ752" s="155"/>
      <c r="BR752" s="155"/>
      <c r="BS752" s="155"/>
      <c r="BT752" s="155"/>
      <c r="BU752" s="155"/>
      <c r="BV752" s="155"/>
      <c r="BW752" s="155"/>
      <c r="BX752" s="155"/>
      <c r="BY752" s="155"/>
      <c r="BZ752" s="155"/>
      <c r="CA752" s="155"/>
      <c r="CB752" s="155"/>
      <c r="CC752" s="155"/>
      <c r="CD752" s="155"/>
      <c r="CE752" s="155"/>
      <c r="CF752" s="155"/>
      <c r="CG752" s="155"/>
    </row>
    <row r="753" spans="1:85" ht="12.75" x14ac:dyDescent="0.2">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c r="AA753" s="155"/>
      <c r="AB753" s="155"/>
      <c r="AC753" s="155"/>
      <c r="AD753" s="155"/>
      <c r="AE753" s="155"/>
      <c r="AF753" s="155"/>
      <c r="AG753" s="155"/>
      <c r="AH753" s="155"/>
      <c r="AI753" s="155"/>
      <c r="AJ753" s="155"/>
      <c r="AK753" s="155"/>
      <c r="AL753" s="155"/>
      <c r="AM753" s="155"/>
      <c r="AN753" s="155"/>
      <c r="AO753" s="155"/>
      <c r="AP753" s="155"/>
      <c r="AQ753" s="155"/>
      <c r="AR753" s="155"/>
      <c r="AS753" s="155"/>
      <c r="AT753" s="155"/>
      <c r="AU753" s="155"/>
      <c r="AV753" s="155"/>
      <c r="AW753" s="155"/>
      <c r="AX753" s="155"/>
      <c r="AY753" s="155"/>
      <c r="AZ753" s="155"/>
      <c r="BA753" s="155"/>
      <c r="BB753" s="155"/>
      <c r="BC753" s="155"/>
      <c r="BD753" s="155"/>
      <c r="BE753" s="155"/>
      <c r="BF753" s="155"/>
      <c r="BG753" s="155"/>
      <c r="BH753" s="155"/>
      <c r="BI753" s="155"/>
      <c r="BJ753" s="155"/>
      <c r="BK753" s="155"/>
      <c r="BL753" s="155"/>
      <c r="BM753" s="155"/>
      <c r="BN753" s="155"/>
      <c r="BO753" s="155"/>
      <c r="BP753" s="155"/>
      <c r="BQ753" s="155"/>
      <c r="BR753" s="155"/>
      <c r="BS753" s="155"/>
      <c r="BT753" s="155"/>
      <c r="BU753" s="155"/>
      <c r="BV753" s="155"/>
      <c r="BW753" s="155"/>
      <c r="BX753" s="155"/>
      <c r="BY753" s="155"/>
      <c r="BZ753" s="155"/>
      <c r="CA753" s="155"/>
      <c r="CB753" s="155"/>
      <c r="CC753" s="155"/>
      <c r="CD753" s="155"/>
      <c r="CE753" s="155"/>
      <c r="CF753" s="155"/>
      <c r="CG753" s="155"/>
    </row>
    <row r="754" spans="1:85" ht="12.75" x14ac:dyDescent="0.2">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c r="AA754" s="155"/>
      <c r="AB754" s="155"/>
      <c r="AC754" s="155"/>
      <c r="AD754" s="155"/>
      <c r="AE754" s="155"/>
      <c r="AF754" s="155"/>
      <c r="AG754" s="155"/>
      <c r="AH754" s="155"/>
      <c r="AI754" s="155"/>
      <c r="AJ754" s="155"/>
      <c r="AK754" s="155"/>
      <c r="AL754" s="155"/>
      <c r="AM754" s="155"/>
      <c r="AN754" s="155"/>
      <c r="AO754" s="155"/>
      <c r="AP754" s="155"/>
      <c r="AQ754" s="155"/>
      <c r="AR754" s="155"/>
      <c r="AS754" s="155"/>
      <c r="AT754" s="155"/>
      <c r="AU754" s="155"/>
      <c r="AV754" s="155"/>
      <c r="AW754" s="155"/>
      <c r="AX754" s="155"/>
      <c r="AY754" s="155"/>
      <c r="AZ754" s="155"/>
      <c r="BA754" s="155"/>
      <c r="BB754" s="155"/>
      <c r="BC754" s="155"/>
      <c r="BD754" s="155"/>
      <c r="BE754" s="155"/>
      <c r="BF754" s="155"/>
      <c r="BG754" s="155"/>
      <c r="BH754" s="155"/>
      <c r="BI754" s="155"/>
      <c r="BJ754" s="155"/>
      <c r="BK754" s="155"/>
      <c r="BL754" s="155"/>
      <c r="BM754" s="155"/>
      <c r="BN754" s="155"/>
      <c r="BO754" s="155"/>
      <c r="BP754" s="155"/>
      <c r="BQ754" s="155"/>
      <c r="BR754" s="155"/>
      <c r="BS754" s="155"/>
      <c r="BT754" s="155"/>
      <c r="BU754" s="155"/>
      <c r="BV754" s="155"/>
      <c r="BW754" s="155"/>
      <c r="BX754" s="155"/>
      <c r="BY754" s="155"/>
      <c r="BZ754" s="155"/>
      <c r="CA754" s="155"/>
      <c r="CB754" s="155"/>
      <c r="CC754" s="155"/>
      <c r="CD754" s="155"/>
      <c r="CE754" s="155"/>
      <c r="CF754" s="155"/>
      <c r="CG754" s="155"/>
    </row>
    <row r="755" spans="1:85" ht="12.75" x14ac:dyDescent="0.2">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c r="AA755" s="155"/>
      <c r="AB755" s="155"/>
      <c r="AC755" s="155"/>
      <c r="AD755" s="155"/>
      <c r="AE755" s="155"/>
      <c r="AF755" s="155"/>
      <c r="AG755" s="155"/>
      <c r="AH755" s="155"/>
      <c r="AI755" s="155"/>
      <c r="AJ755" s="155"/>
      <c r="AK755" s="155"/>
      <c r="AL755" s="155"/>
      <c r="AM755" s="155"/>
      <c r="AN755" s="155"/>
      <c r="AO755" s="155"/>
      <c r="AP755" s="155"/>
      <c r="AQ755" s="155"/>
      <c r="AR755" s="155"/>
      <c r="AS755" s="155"/>
      <c r="AT755" s="155"/>
      <c r="AU755" s="155"/>
      <c r="AV755" s="155"/>
      <c r="AW755" s="155"/>
      <c r="AX755" s="155"/>
      <c r="AY755" s="155"/>
      <c r="AZ755" s="155"/>
      <c r="BA755" s="155"/>
      <c r="BB755" s="155"/>
      <c r="BC755" s="155"/>
      <c r="BD755" s="155"/>
      <c r="BE755" s="155"/>
      <c r="BF755" s="155"/>
      <c r="BG755" s="155"/>
      <c r="BH755" s="155"/>
      <c r="BI755" s="155"/>
      <c r="BJ755" s="155"/>
      <c r="BK755" s="155"/>
      <c r="BL755" s="155"/>
      <c r="BM755" s="155"/>
      <c r="BN755" s="155"/>
      <c r="BO755" s="155"/>
      <c r="BP755" s="155"/>
      <c r="BQ755" s="155"/>
      <c r="BR755" s="155"/>
      <c r="BS755" s="155"/>
      <c r="BT755" s="155"/>
      <c r="BU755" s="155"/>
      <c r="BV755" s="155"/>
      <c r="BW755" s="155"/>
      <c r="BX755" s="155"/>
      <c r="BY755" s="155"/>
      <c r="BZ755" s="155"/>
      <c r="CA755" s="155"/>
      <c r="CB755" s="155"/>
      <c r="CC755" s="155"/>
      <c r="CD755" s="155"/>
      <c r="CE755" s="155"/>
      <c r="CF755" s="155"/>
      <c r="CG755" s="155"/>
    </row>
    <row r="756" spans="1:85" ht="12.75" x14ac:dyDescent="0.2">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c r="AA756" s="155"/>
      <c r="AB756" s="155"/>
      <c r="AC756" s="155"/>
      <c r="AD756" s="155"/>
      <c r="AE756" s="155"/>
      <c r="AF756" s="155"/>
      <c r="AG756" s="155"/>
      <c r="AH756" s="155"/>
      <c r="AI756" s="155"/>
      <c r="AJ756" s="155"/>
      <c r="AK756" s="155"/>
      <c r="AL756" s="155"/>
      <c r="AM756" s="155"/>
      <c r="AN756" s="155"/>
      <c r="AO756" s="155"/>
      <c r="AP756" s="155"/>
      <c r="AQ756" s="155"/>
      <c r="AR756" s="155"/>
      <c r="AS756" s="155"/>
      <c r="AT756" s="155"/>
      <c r="AU756" s="155"/>
      <c r="AV756" s="155"/>
      <c r="AW756" s="155"/>
      <c r="AX756" s="155"/>
      <c r="AY756" s="155"/>
      <c r="AZ756" s="155"/>
      <c r="BA756" s="155"/>
      <c r="BB756" s="155"/>
      <c r="BC756" s="155"/>
      <c r="BD756" s="155"/>
      <c r="BE756" s="155"/>
      <c r="BF756" s="155"/>
      <c r="BG756" s="155"/>
      <c r="BH756" s="155"/>
      <c r="BI756" s="155"/>
      <c r="BJ756" s="155"/>
      <c r="BK756" s="155"/>
      <c r="BL756" s="155"/>
      <c r="BM756" s="155"/>
      <c r="BN756" s="155"/>
      <c r="BO756" s="155"/>
      <c r="BP756" s="155"/>
      <c r="BQ756" s="155"/>
      <c r="BR756" s="155"/>
      <c r="BS756" s="155"/>
      <c r="BT756" s="155"/>
      <c r="BU756" s="155"/>
      <c r="BV756" s="155"/>
      <c r="BW756" s="155"/>
      <c r="BX756" s="155"/>
      <c r="BY756" s="155"/>
      <c r="BZ756" s="155"/>
      <c r="CA756" s="155"/>
      <c r="CB756" s="155"/>
      <c r="CC756" s="155"/>
      <c r="CD756" s="155"/>
      <c r="CE756" s="155"/>
      <c r="CF756" s="155"/>
      <c r="CG756" s="155"/>
    </row>
    <row r="757" spans="1:85" ht="12.75" x14ac:dyDescent="0.2">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c r="AA757" s="155"/>
      <c r="AB757" s="155"/>
      <c r="AC757" s="155"/>
      <c r="AD757" s="155"/>
      <c r="AE757" s="155"/>
      <c r="AF757" s="155"/>
      <c r="AG757" s="155"/>
      <c r="AH757" s="155"/>
      <c r="AI757" s="155"/>
      <c r="AJ757" s="155"/>
      <c r="AK757" s="155"/>
      <c r="AL757" s="155"/>
      <c r="AM757" s="155"/>
      <c r="AN757" s="155"/>
      <c r="AO757" s="155"/>
      <c r="AP757" s="155"/>
      <c r="AQ757" s="155"/>
      <c r="AR757" s="155"/>
      <c r="AS757" s="155"/>
      <c r="AT757" s="155"/>
      <c r="AU757" s="155"/>
      <c r="AV757" s="155"/>
      <c r="AW757" s="155"/>
      <c r="AX757" s="155"/>
      <c r="AY757" s="155"/>
      <c r="AZ757" s="155"/>
      <c r="BA757" s="155"/>
      <c r="BB757" s="155"/>
      <c r="BC757" s="155"/>
      <c r="BD757" s="155"/>
      <c r="BE757" s="155"/>
      <c r="BF757" s="155"/>
      <c r="BG757" s="155"/>
      <c r="BH757" s="155"/>
      <c r="BI757" s="155"/>
      <c r="BJ757" s="155"/>
      <c r="BK757" s="155"/>
      <c r="BL757" s="155"/>
      <c r="BM757" s="155"/>
      <c r="BN757" s="155"/>
      <c r="BO757" s="155"/>
      <c r="BP757" s="155"/>
      <c r="BQ757" s="155"/>
      <c r="BR757" s="155"/>
      <c r="BS757" s="155"/>
      <c r="BT757" s="155"/>
      <c r="BU757" s="155"/>
      <c r="BV757" s="155"/>
      <c r="BW757" s="155"/>
      <c r="BX757" s="155"/>
      <c r="BY757" s="155"/>
      <c r="BZ757" s="155"/>
      <c r="CA757" s="155"/>
      <c r="CB757" s="155"/>
      <c r="CC757" s="155"/>
      <c r="CD757" s="155"/>
      <c r="CE757" s="155"/>
      <c r="CF757" s="155"/>
      <c r="CG757" s="155"/>
    </row>
    <row r="758" spans="1:85" ht="12.75" x14ac:dyDescent="0.2">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AV758" s="155"/>
      <c r="AW758" s="155"/>
      <c r="AX758" s="155"/>
      <c r="AY758" s="155"/>
      <c r="AZ758" s="155"/>
      <c r="BA758" s="155"/>
      <c r="BB758" s="155"/>
      <c r="BC758" s="155"/>
      <c r="BD758" s="155"/>
      <c r="BE758" s="155"/>
      <c r="BF758" s="155"/>
      <c r="BG758" s="155"/>
      <c r="BH758" s="155"/>
      <c r="BI758" s="155"/>
      <c r="BJ758" s="155"/>
      <c r="BK758" s="155"/>
      <c r="BL758" s="155"/>
      <c r="BM758" s="155"/>
      <c r="BN758" s="155"/>
      <c r="BO758" s="155"/>
      <c r="BP758" s="155"/>
      <c r="BQ758" s="155"/>
      <c r="BR758" s="155"/>
      <c r="BS758" s="155"/>
      <c r="BT758" s="155"/>
      <c r="BU758" s="155"/>
      <c r="BV758" s="155"/>
      <c r="BW758" s="155"/>
      <c r="BX758" s="155"/>
      <c r="BY758" s="155"/>
      <c r="BZ758" s="155"/>
      <c r="CA758" s="155"/>
      <c r="CB758" s="155"/>
      <c r="CC758" s="155"/>
      <c r="CD758" s="155"/>
      <c r="CE758" s="155"/>
      <c r="CF758" s="155"/>
      <c r="CG758" s="155"/>
    </row>
    <row r="759" spans="1:85" ht="12.75" x14ac:dyDescent="0.2">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c r="AA759" s="155"/>
      <c r="AB759" s="155"/>
      <c r="AC759" s="155"/>
      <c r="AD759" s="155"/>
      <c r="AE759" s="155"/>
      <c r="AF759" s="155"/>
      <c r="AG759" s="155"/>
      <c r="AH759" s="155"/>
      <c r="AI759" s="155"/>
      <c r="AJ759" s="155"/>
      <c r="AK759" s="155"/>
      <c r="AL759" s="155"/>
      <c r="AM759" s="155"/>
      <c r="AN759" s="155"/>
      <c r="AO759" s="155"/>
      <c r="AP759" s="155"/>
      <c r="AQ759" s="155"/>
      <c r="AR759" s="155"/>
      <c r="AS759" s="155"/>
      <c r="AT759" s="155"/>
      <c r="AU759" s="155"/>
      <c r="AV759" s="155"/>
      <c r="AW759" s="155"/>
      <c r="AX759" s="155"/>
      <c r="AY759" s="155"/>
      <c r="AZ759" s="155"/>
      <c r="BA759" s="155"/>
      <c r="BB759" s="155"/>
      <c r="BC759" s="155"/>
      <c r="BD759" s="155"/>
      <c r="BE759" s="155"/>
      <c r="BF759" s="155"/>
      <c r="BG759" s="155"/>
      <c r="BH759" s="155"/>
      <c r="BI759" s="155"/>
      <c r="BJ759" s="155"/>
      <c r="BK759" s="155"/>
      <c r="BL759" s="155"/>
      <c r="BM759" s="155"/>
      <c r="BN759" s="155"/>
      <c r="BO759" s="155"/>
      <c r="BP759" s="155"/>
      <c r="BQ759" s="155"/>
      <c r="BR759" s="155"/>
      <c r="BS759" s="155"/>
      <c r="BT759" s="155"/>
      <c r="BU759" s="155"/>
      <c r="BV759" s="155"/>
      <c r="BW759" s="155"/>
      <c r="BX759" s="155"/>
      <c r="BY759" s="155"/>
      <c r="BZ759" s="155"/>
      <c r="CA759" s="155"/>
      <c r="CB759" s="155"/>
      <c r="CC759" s="155"/>
      <c r="CD759" s="155"/>
      <c r="CE759" s="155"/>
      <c r="CF759" s="155"/>
      <c r="CG759" s="155"/>
    </row>
    <row r="760" spans="1:85" ht="12.75" x14ac:dyDescent="0.2">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AV760" s="155"/>
      <c r="AW760" s="155"/>
      <c r="AX760" s="155"/>
      <c r="AY760" s="155"/>
      <c r="AZ760" s="155"/>
      <c r="BA760" s="155"/>
      <c r="BB760" s="155"/>
      <c r="BC760" s="155"/>
      <c r="BD760" s="155"/>
      <c r="BE760" s="155"/>
      <c r="BF760" s="155"/>
      <c r="BG760" s="155"/>
      <c r="BH760" s="155"/>
      <c r="BI760" s="155"/>
      <c r="BJ760" s="155"/>
      <c r="BK760" s="155"/>
      <c r="BL760" s="155"/>
      <c r="BM760" s="155"/>
      <c r="BN760" s="155"/>
      <c r="BO760" s="155"/>
      <c r="BP760" s="155"/>
      <c r="BQ760" s="155"/>
      <c r="BR760" s="155"/>
      <c r="BS760" s="155"/>
      <c r="BT760" s="155"/>
      <c r="BU760" s="155"/>
      <c r="BV760" s="155"/>
      <c r="BW760" s="155"/>
      <c r="BX760" s="155"/>
      <c r="BY760" s="155"/>
      <c r="BZ760" s="155"/>
      <c r="CA760" s="155"/>
      <c r="CB760" s="155"/>
      <c r="CC760" s="155"/>
      <c r="CD760" s="155"/>
      <c r="CE760" s="155"/>
      <c r="CF760" s="155"/>
      <c r="CG760" s="155"/>
    </row>
    <row r="761" spans="1:85" ht="12.75" x14ac:dyDescent="0.2">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c r="AA761" s="155"/>
      <c r="AB761" s="155"/>
      <c r="AC761" s="155"/>
      <c r="AD761" s="155"/>
      <c r="AE761" s="155"/>
      <c r="AF761" s="155"/>
      <c r="AG761" s="155"/>
      <c r="AH761" s="155"/>
      <c r="AI761" s="155"/>
      <c r="AJ761" s="155"/>
      <c r="AK761" s="155"/>
      <c r="AL761" s="155"/>
      <c r="AM761" s="155"/>
      <c r="AN761" s="155"/>
      <c r="AO761" s="155"/>
      <c r="AP761" s="155"/>
      <c r="AQ761" s="155"/>
      <c r="AR761" s="155"/>
      <c r="AS761" s="155"/>
      <c r="AT761" s="155"/>
      <c r="AU761" s="155"/>
      <c r="AV761" s="155"/>
      <c r="AW761" s="155"/>
      <c r="AX761" s="155"/>
      <c r="AY761" s="155"/>
      <c r="AZ761" s="155"/>
      <c r="BA761" s="155"/>
      <c r="BB761" s="155"/>
      <c r="BC761" s="155"/>
      <c r="BD761" s="155"/>
      <c r="BE761" s="155"/>
      <c r="BF761" s="155"/>
      <c r="BG761" s="155"/>
      <c r="BH761" s="155"/>
      <c r="BI761" s="155"/>
      <c r="BJ761" s="155"/>
      <c r="BK761" s="155"/>
      <c r="BL761" s="155"/>
      <c r="BM761" s="155"/>
      <c r="BN761" s="155"/>
      <c r="BO761" s="155"/>
      <c r="BP761" s="155"/>
      <c r="BQ761" s="155"/>
      <c r="BR761" s="155"/>
      <c r="BS761" s="155"/>
      <c r="BT761" s="155"/>
      <c r="BU761" s="155"/>
      <c r="BV761" s="155"/>
      <c r="BW761" s="155"/>
      <c r="BX761" s="155"/>
      <c r="BY761" s="155"/>
      <c r="BZ761" s="155"/>
      <c r="CA761" s="155"/>
      <c r="CB761" s="155"/>
      <c r="CC761" s="155"/>
      <c r="CD761" s="155"/>
      <c r="CE761" s="155"/>
      <c r="CF761" s="155"/>
      <c r="CG761" s="155"/>
    </row>
    <row r="762" spans="1:85" ht="12.75" x14ac:dyDescent="0.2">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c r="AA762" s="155"/>
      <c r="AB762" s="155"/>
      <c r="AC762" s="155"/>
      <c r="AD762" s="155"/>
      <c r="AE762" s="155"/>
      <c r="AF762" s="155"/>
      <c r="AG762" s="155"/>
      <c r="AH762" s="155"/>
      <c r="AI762" s="155"/>
      <c r="AJ762" s="155"/>
      <c r="AK762" s="155"/>
      <c r="AL762" s="155"/>
      <c r="AM762" s="155"/>
      <c r="AN762" s="155"/>
      <c r="AO762" s="155"/>
      <c r="AP762" s="155"/>
      <c r="AQ762" s="155"/>
      <c r="AR762" s="155"/>
      <c r="AS762" s="155"/>
      <c r="AT762" s="155"/>
      <c r="AU762" s="155"/>
      <c r="AV762" s="155"/>
      <c r="AW762" s="155"/>
      <c r="AX762" s="155"/>
      <c r="AY762" s="155"/>
      <c r="AZ762" s="155"/>
      <c r="BA762" s="155"/>
      <c r="BB762" s="155"/>
      <c r="BC762" s="155"/>
      <c r="BD762" s="155"/>
      <c r="BE762" s="155"/>
      <c r="BF762" s="155"/>
      <c r="BG762" s="155"/>
      <c r="BH762" s="155"/>
      <c r="BI762" s="155"/>
      <c r="BJ762" s="155"/>
      <c r="BK762" s="155"/>
      <c r="BL762" s="155"/>
      <c r="BM762" s="155"/>
      <c r="BN762" s="155"/>
      <c r="BO762" s="155"/>
      <c r="BP762" s="155"/>
      <c r="BQ762" s="155"/>
      <c r="BR762" s="155"/>
      <c r="BS762" s="155"/>
      <c r="BT762" s="155"/>
      <c r="BU762" s="155"/>
      <c r="BV762" s="155"/>
      <c r="BW762" s="155"/>
      <c r="BX762" s="155"/>
      <c r="BY762" s="155"/>
      <c r="BZ762" s="155"/>
      <c r="CA762" s="155"/>
      <c r="CB762" s="155"/>
      <c r="CC762" s="155"/>
      <c r="CD762" s="155"/>
      <c r="CE762" s="155"/>
      <c r="CF762" s="155"/>
      <c r="CG762" s="155"/>
    </row>
    <row r="763" spans="1:85" ht="12.75" x14ac:dyDescent="0.2">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c r="AA763" s="155"/>
      <c r="AB763" s="155"/>
      <c r="AC763" s="155"/>
      <c r="AD763" s="155"/>
      <c r="AE763" s="155"/>
      <c r="AF763" s="155"/>
      <c r="AG763" s="155"/>
      <c r="AH763" s="155"/>
      <c r="AI763" s="155"/>
      <c r="AJ763" s="155"/>
      <c r="AK763" s="155"/>
      <c r="AL763" s="155"/>
      <c r="AM763" s="155"/>
      <c r="AN763" s="155"/>
      <c r="AO763" s="155"/>
      <c r="AP763" s="155"/>
      <c r="AQ763" s="155"/>
      <c r="AR763" s="155"/>
      <c r="AS763" s="155"/>
      <c r="AT763" s="155"/>
      <c r="AU763" s="155"/>
      <c r="AV763" s="155"/>
      <c r="AW763" s="155"/>
      <c r="AX763" s="155"/>
      <c r="AY763" s="155"/>
      <c r="AZ763" s="155"/>
      <c r="BA763" s="155"/>
      <c r="BB763" s="155"/>
      <c r="BC763" s="155"/>
      <c r="BD763" s="155"/>
      <c r="BE763" s="155"/>
      <c r="BF763" s="155"/>
      <c r="BG763" s="155"/>
      <c r="BH763" s="155"/>
      <c r="BI763" s="155"/>
      <c r="BJ763" s="155"/>
      <c r="BK763" s="155"/>
      <c r="BL763" s="155"/>
      <c r="BM763" s="155"/>
      <c r="BN763" s="155"/>
      <c r="BO763" s="155"/>
      <c r="BP763" s="155"/>
      <c r="BQ763" s="155"/>
      <c r="BR763" s="155"/>
      <c r="BS763" s="155"/>
      <c r="BT763" s="155"/>
      <c r="BU763" s="155"/>
      <c r="BV763" s="155"/>
      <c r="BW763" s="155"/>
      <c r="BX763" s="155"/>
      <c r="BY763" s="155"/>
      <c r="BZ763" s="155"/>
      <c r="CA763" s="155"/>
      <c r="CB763" s="155"/>
      <c r="CC763" s="155"/>
      <c r="CD763" s="155"/>
      <c r="CE763" s="155"/>
      <c r="CF763" s="155"/>
      <c r="CG763" s="155"/>
    </row>
    <row r="764" spans="1:85" ht="12.75" x14ac:dyDescent="0.2">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c r="AA764" s="155"/>
      <c r="AB764" s="155"/>
      <c r="AC764" s="155"/>
      <c r="AD764" s="155"/>
      <c r="AE764" s="155"/>
      <c r="AF764" s="155"/>
      <c r="AG764" s="155"/>
      <c r="AH764" s="155"/>
      <c r="AI764" s="155"/>
      <c r="AJ764" s="155"/>
      <c r="AK764" s="155"/>
      <c r="AL764" s="155"/>
      <c r="AM764" s="155"/>
      <c r="AN764" s="155"/>
      <c r="AO764" s="155"/>
      <c r="AP764" s="155"/>
      <c r="AQ764" s="155"/>
      <c r="AR764" s="155"/>
      <c r="AS764" s="155"/>
      <c r="AT764" s="155"/>
      <c r="AU764" s="155"/>
      <c r="AV764" s="155"/>
      <c r="AW764" s="155"/>
      <c r="AX764" s="155"/>
      <c r="AY764" s="155"/>
      <c r="AZ764" s="155"/>
      <c r="BA764" s="155"/>
      <c r="BB764" s="155"/>
      <c r="BC764" s="155"/>
      <c r="BD764" s="155"/>
      <c r="BE764" s="155"/>
      <c r="BF764" s="155"/>
      <c r="BG764" s="155"/>
      <c r="BH764" s="155"/>
      <c r="BI764" s="155"/>
      <c r="BJ764" s="155"/>
      <c r="BK764" s="155"/>
      <c r="BL764" s="155"/>
      <c r="BM764" s="155"/>
      <c r="BN764" s="155"/>
      <c r="BO764" s="155"/>
      <c r="BP764" s="155"/>
      <c r="BQ764" s="155"/>
      <c r="BR764" s="155"/>
      <c r="BS764" s="155"/>
      <c r="BT764" s="155"/>
      <c r="BU764" s="155"/>
      <c r="BV764" s="155"/>
      <c r="BW764" s="155"/>
      <c r="BX764" s="155"/>
      <c r="BY764" s="155"/>
      <c r="BZ764" s="155"/>
      <c r="CA764" s="155"/>
      <c r="CB764" s="155"/>
      <c r="CC764" s="155"/>
      <c r="CD764" s="155"/>
      <c r="CE764" s="155"/>
      <c r="CF764" s="155"/>
      <c r="CG764" s="155"/>
    </row>
    <row r="765" spans="1:85" ht="12.75" x14ac:dyDescent="0.2">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c r="AA765" s="155"/>
      <c r="AB765" s="155"/>
      <c r="AC765" s="155"/>
      <c r="AD765" s="155"/>
      <c r="AE765" s="155"/>
      <c r="AF765" s="155"/>
      <c r="AG765" s="155"/>
      <c r="AH765" s="155"/>
      <c r="AI765" s="155"/>
      <c r="AJ765" s="155"/>
      <c r="AK765" s="155"/>
      <c r="AL765" s="155"/>
      <c r="AM765" s="155"/>
      <c r="AN765" s="155"/>
      <c r="AO765" s="155"/>
      <c r="AP765" s="155"/>
      <c r="AQ765" s="155"/>
      <c r="AR765" s="155"/>
      <c r="AS765" s="155"/>
      <c r="AT765" s="155"/>
      <c r="AU765" s="155"/>
      <c r="AV765" s="155"/>
      <c r="AW765" s="155"/>
      <c r="AX765" s="155"/>
      <c r="AY765" s="155"/>
      <c r="AZ765" s="155"/>
      <c r="BA765" s="155"/>
      <c r="BB765" s="155"/>
      <c r="BC765" s="155"/>
      <c r="BD765" s="155"/>
      <c r="BE765" s="155"/>
      <c r="BF765" s="155"/>
      <c r="BG765" s="155"/>
      <c r="BH765" s="155"/>
      <c r="BI765" s="155"/>
      <c r="BJ765" s="155"/>
      <c r="BK765" s="155"/>
      <c r="BL765" s="155"/>
      <c r="BM765" s="155"/>
      <c r="BN765" s="155"/>
      <c r="BO765" s="155"/>
      <c r="BP765" s="155"/>
      <c r="BQ765" s="155"/>
      <c r="BR765" s="155"/>
      <c r="BS765" s="155"/>
      <c r="BT765" s="155"/>
      <c r="BU765" s="155"/>
      <c r="BV765" s="155"/>
      <c r="BW765" s="155"/>
      <c r="BX765" s="155"/>
      <c r="BY765" s="155"/>
      <c r="BZ765" s="155"/>
      <c r="CA765" s="155"/>
      <c r="CB765" s="155"/>
      <c r="CC765" s="155"/>
      <c r="CD765" s="155"/>
      <c r="CE765" s="155"/>
      <c r="CF765" s="155"/>
      <c r="CG765" s="155"/>
    </row>
    <row r="766" spans="1:85" ht="12.75" x14ac:dyDescent="0.2">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AV766" s="155"/>
      <c r="AW766" s="155"/>
      <c r="AX766" s="155"/>
      <c r="AY766" s="155"/>
      <c r="AZ766" s="155"/>
      <c r="BA766" s="155"/>
      <c r="BB766" s="155"/>
      <c r="BC766" s="155"/>
      <c r="BD766" s="155"/>
      <c r="BE766" s="155"/>
      <c r="BF766" s="155"/>
      <c r="BG766" s="155"/>
      <c r="BH766" s="155"/>
      <c r="BI766" s="155"/>
      <c r="BJ766" s="155"/>
      <c r="BK766" s="155"/>
      <c r="BL766" s="155"/>
      <c r="BM766" s="155"/>
      <c r="BN766" s="155"/>
      <c r="BO766" s="155"/>
      <c r="BP766" s="155"/>
      <c r="BQ766" s="155"/>
      <c r="BR766" s="155"/>
      <c r="BS766" s="155"/>
      <c r="BT766" s="155"/>
      <c r="BU766" s="155"/>
      <c r="BV766" s="155"/>
      <c r="BW766" s="155"/>
      <c r="BX766" s="155"/>
      <c r="BY766" s="155"/>
      <c r="BZ766" s="155"/>
      <c r="CA766" s="155"/>
      <c r="CB766" s="155"/>
      <c r="CC766" s="155"/>
      <c r="CD766" s="155"/>
      <c r="CE766" s="155"/>
      <c r="CF766" s="155"/>
      <c r="CG766" s="155"/>
    </row>
    <row r="767" spans="1:85" ht="12.75" x14ac:dyDescent="0.2">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AV767" s="155"/>
      <c r="AW767" s="155"/>
      <c r="AX767" s="155"/>
      <c r="AY767" s="155"/>
      <c r="AZ767" s="155"/>
      <c r="BA767" s="155"/>
      <c r="BB767" s="155"/>
      <c r="BC767" s="155"/>
      <c r="BD767" s="155"/>
      <c r="BE767" s="155"/>
      <c r="BF767" s="155"/>
      <c r="BG767" s="155"/>
      <c r="BH767" s="155"/>
      <c r="BI767" s="155"/>
      <c r="BJ767" s="155"/>
      <c r="BK767" s="155"/>
      <c r="BL767" s="155"/>
      <c r="BM767" s="155"/>
      <c r="BN767" s="155"/>
      <c r="BO767" s="155"/>
      <c r="BP767" s="155"/>
      <c r="BQ767" s="155"/>
      <c r="BR767" s="155"/>
      <c r="BS767" s="155"/>
      <c r="BT767" s="155"/>
      <c r="BU767" s="155"/>
      <c r="BV767" s="155"/>
      <c r="BW767" s="155"/>
      <c r="BX767" s="155"/>
      <c r="BY767" s="155"/>
      <c r="BZ767" s="155"/>
      <c r="CA767" s="155"/>
      <c r="CB767" s="155"/>
      <c r="CC767" s="155"/>
      <c r="CD767" s="155"/>
      <c r="CE767" s="155"/>
      <c r="CF767" s="155"/>
      <c r="CG767" s="155"/>
    </row>
    <row r="768" spans="1:85" ht="12.75" x14ac:dyDescent="0.2">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c r="AA768" s="155"/>
      <c r="AB768" s="155"/>
      <c r="AC768" s="155"/>
      <c r="AD768" s="155"/>
      <c r="AE768" s="155"/>
      <c r="AF768" s="155"/>
      <c r="AG768" s="155"/>
      <c r="AH768" s="155"/>
      <c r="AI768" s="155"/>
      <c r="AJ768" s="155"/>
      <c r="AK768" s="155"/>
      <c r="AL768" s="155"/>
      <c r="AM768" s="155"/>
      <c r="AN768" s="155"/>
      <c r="AO768" s="155"/>
      <c r="AP768" s="155"/>
      <c r="AQ768" s="155"/>
      <c r="AR768" s="155"/>
      <c r="AS768" s="155"/>
      <c r="AT768" s="155"/>
      <c r="AU768" s="155"/>
      <c r="AV768" s="155"/>
      <c r="AW768" s="155"/>
      <c r="AX768" s="155"/>
      <c r="AY768" s="155"/>
      <c r="AZ768" s="155"/>
      <c r="BA768" s="155"/>
      <c r="BB768" s="155"/>
      <c r="BC768" s="155"/>
      <c r="BD768" s="155"/>
      <c r="BE768" s="155"/>
      <c r="BF768" s="155"/>
      <c r="BG768" s="155"/>
      <c r="BH768" s="155"/>
      <c r="BI768" s="155"/>
      <c r="BJ768" s="155"/>
      <c r="BK768" s="155"/>
      <c r="BL768" s="155"/>
      <c r="BM768" s="155"/>
      <c r="BN768" s="155"/>
      <c r="BO768" s="155"/>
      <c r="BP768" s="155"/>
      <c r="BQ768" s="155"/>
      <c r="BR768" s="155"/>
      <c r="BS768" s="155"/>
      <c r="BT768" s="155"/>
      <c r="BU768" s="155"/>
      <c r="BV768" s="155"/>
      <c r="BW768" s="155"/>
      <c r="BX768" s="155"/>
      <c r="BY768" s="155"/>
      <c r="BZ768" s="155"/>
      <c r="CA768" s="155"/>
      <c r="CB768" s="155"/>
      <c r="CC768" s="155"/>
      <c r="CD768" s="155"/>
      <c r="CE768" s="155"/>
      <c r="CF768" s="155"/>
      <c r="CG768" s="155"/>
    </row>
    <row r="769" spans="1:85" ht="12.75" x14ac:dyDescent="0.2">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AV769" s="155"/>
      <c r="AW769" s="155"/>
      <c r="AX769" s="155"/>
      <c r="AY769" s="155"/>
      <c r="AZ769" s="155"/>
      <c r="BA769" s="155"/>
      <c r="BB769" s="155"/>
      <c r="BC769" s="155"/>
      <c r="BD769" s="155"/>
      <c r="BE769" s="155"/>
      <c r="BF769" s="155"/>
      <c r="BG769" s="155"/>
      <c r="BH769" s="155"/>
      <c r="BI769" s="155"/>
      <c r="BJ769" s="155"/>
      <c r="BK769" s="155"/>
      <c r="BL769" s="155"/>
      <c r="BM769" s="155"/>
      <c r="BN769" s="155"/>
      <c r="BO769" s="155"/>
      <c r="BP769" s="155"/>
      <c r="BQ769" s="155"/>
      <c r="BR769" s="155"/>
      <c r="BS769" s="155"/>
      <c r="BT769" s="155"/>
      <c r="BU769" s="155"/>
      <c r="BV769" s="155"/>
      <c r="BW769" s="155"/>
      <c r="BX769" s="155"/>
      <c r="BY769" s="155"/>
      <c r="BZ769" s="155"/>
      <c r="CA769" s="155"/>
      <c r="CB769" s="155"/>
      <c r="CC769" s="155"/>
      <c r="CD769" s="155"/>
      <c r="CE769" s="155"/>
      <c r="CF769" s="155"/>
      <c r="CG769" s="155"/>
    </row>
    <row r="770" spans="1:85" ht="12.75" x14ac:dyDescent="0.2">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c r="AA770" s="155"/>
      <c r="AB770" s="155"/>
      <c r="AC770" s="155"/>
      <c r="AD770" s="155"/>
      <c r="AE770" s="155"/>
      <c r="AF770" s="155"/>
      <c r="AG770" s="155"/>
      <c r="AH770" s="155"/>
      <c r="AI770" s="155"/>
      <c r="AJ770" s="155"/>
      <c r="AK770" s="155"/>
      <c r="AL770" s="155"/>
      <c r="AM770" s="155"/>
      <c r="AN770" s="155"/>
      <c r="AO770" s="155"/>
      <c r="AP770" s="155"/>
      <c r="AQ770" s="155"/>
      <c r="AR770" s="155"/>
      <c r="AS770" s="155"/>
      <c r="AT770" s="155"/>
      <c r="AU770" s="155"/>
      <c r="AV770" s="155"/>
      <c r="AW770" s="155"/>
      <c r="AX770" s="155"/>
      <c r="AY770" s="155"/>
      <c r="AZ770" s="155"/>
      <c r="BA770" s="155"/>
      <c r="BB770" s="155"/>
      <c r="BC770" s="155"/>
      <c r="BD770" s="155"/>
      <c r="BE770" s="155"/>
      <c r="BF770" s="155"/>
      <c r="BG770" s="155"/>
      <c r="BH770" s="155"/>
      <c r="BI770" s="155"/>
      <c r="BJ770" s="155"/>
      <c r="BK770" s="155"/>
      <c r="BL770" s="155"/>
      <c r="BM770" s="155"/>
      <c r="BN770" s="155"/>
      <c r="BO770" s="155"/>
      <c r="BP770" s="155"/>
      <c r="BQ770" s="155"/>
      <c r="BR770" s="155"/>
      <c r="BS770" s="155"/>
      <c r="BT770" s="155"/>
      <c r="BU770" s="155"/>
      <c r="BV770" s="155"/>
      <c r="BW770" s="155"/>
      <c r="BX770" s="155"/>
      <c r="BY770" s="155"/>
      <c r="BZ770" s="155"/>
      <c r="CA770" s="155"/>
      <c r="CB770" s="155"/>
      <c r="CC770" s="155"/>
      <c r="CD770" s="155"/>
      <c r="CE770" s="155"/>
      <c r="CF770" s="155"/>
      <c r="CG770" s="155"/>
    </row>
    <row r="771" spans="1:85" ht="12.75" x14ac:dyDescent="0.2">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AV771" s="155"/>
      <c r="AW771" s="155"/>
      <c r="AX771" s="155"/>
      <c r="AY771" s="155"/>
      <c r="AZ771" s="155"/>
      <c r="BA771" s="155"/>
      <c r="BB771" s="155"/>
      <c r="BC771" s="155"/>
      <c r="BD771" s="155"/>
      <c r="BE771" s="155"/>
      <c r="BF771" s="155"/>
      <c r="BG771" s="155"/>
      <c r="BH771" s="155"/>
      <c r="BI771" s="155"/>
      <c r="BJ771" s="155"/>
      <c r="BK771" s="155"/>
      <c r="BL771" s="155"/>
      <c r="BM771" s="155"/>
      <c r="BN771" s="155"/>
      <c r="BO771" s="155"/>
      <c r="BP771" s="155"/>
      <c r="BQ771" s="155"/>
      <c r="BR771" s="155"/>
      <c r="BS771" s="155"/>
      <c r="BT771" s="155"/>
      <c r="BU771" s="155"/>
      <c r="BV771" s="155"/>
      <c r="BW771" s="155"/>
      <c r="BX771" s="155"/>
      <c r="BY771" s="155"/>
      <c r="BZ771" s="155"/>
      <c r="CA771" s="155"/>
      <c r="CB771" s="155"/>
      <c r="CC771" s="155"/>
      <c r="CD771" s="155"/>
      <c r="CE771" s="155"/>
      <c r="CF771" s="155"/>
      <c r="CG771" s="155"/>
    </row>
    <row r="772" spans="1:85" ht="12.75" x14ac:dyDescent="0.2">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c r="AA772" s="155"/>
      <c r="AB772" s="155"/>
      <c r="AC772" s="155"/>
      <c r="AD772" s="155"/>
      <c r="AE772" s="155"/>
      <c r="AF772" s="155"/>
      <c r="AG772" s="155"/>
      <c r="AH772" s="155"/>
      <c r="AI772" s="155"/>
      <c r="AJ772" s="155"/>
      <c r="AK772" s="155"/>
      <c r="AL772" s="155"/>
      <c r="AM772" s="155"/>
      <c r="AN772" s="155"/>
      <c r="AO772" s="155"/>
      <c r="AP772" s="155"/>
      <c r="AQ772" s="155"/>
      <c r="AR772" s="155"/>
      <c r="AS772" s="155"/>
      <c r="AT772" s="155"/>
      <c r="AU772" s="155"/>
      <c r="AV772" s="155"/>
      <c r="AW772" s="155"/>
      <c r="AX772" s="155"/>
      <c r="AY772" s="155"/>
      <c r="AZ772" s="155"/>
      <c r="BA772" s="155"/>
      <c r="BB772" s="155"/>
      <c r="BC772" s="155"/>
      <c r="BD772" s="155"/>
      <c r="BE772" s="155"/>
      <c r="BF772" s="155"/>
      <c r="BG772" s="155"/>
      <c r="BH772" s="155"/>
      <c r="BI772" s="155"/>
      <c r="BJ772" s="155"/>
      <c r="BK772" s="155"/>
      <c r="BL772" s="155"/>
      <c r="BM772" s="155"/>
      <c r="BN772" s="155"/>
      <c r="BO772" s="155"/>
      <c r="BP772" s="155"/>
      <c r="BQ772" s="155"/>
      <c r="BR772" s="155"/>
      <c r="BS772" s="155"/>
      <c r="BT772" s="155"/>
      <c r="BU772" s="155"/>
      <c r="BV772" s="155"/>
      <c r="BW772" s="155"/>
      <c r="BX772" s="155"/>
      <c r="BY772" s="155"/>
      <c r="BZ772" s="155"/>
      <c r="CA772" s="155"/>
      <c r="CB772" s="155"/>
      <c r="CC772" s="155"/>
      <c r="CD772" s="155"/>
      <c r="CE772" s="155"/>
      <c r="CF772" s="155"/>
      <c r="CG772" s="155"/>
    </row>
    <row r="773" spans="1:85" ht="12.75" x14ac:dyDescent="0.2">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c r="AA773" s="155"/>
      <c r="AB773" s="155"/>
      <c r="AC773" s="155"/>
      <c r="AD773" s="155"/>
      <c r="AE773" s="155"/>
      <c r="AF773" s="155"/>
      <c r="AG773" s="155"/>
      <c r="AH773" s="155"/>
      <c r="AI773" s="155"/>
      <c r="AJ773" s="155"/>
      <c r="AK773" s="155"/>
      <c r="AL773" s="155"/>
      <c r="AM773" s="155"/>
      <c r="AN773" s="155"/>
      <c r="AO773" s="155"/>
      <c r="AP773" s="155"/>
      <c r="AQ773" s="155"/>
      <c r="AR773" s="155"/>
      <c r="AS773" s="155"/>
      <c r="AT773" s="155"/>
      <c r="AU773" s="155"/>
      <c r="AV773" s="155"/>
      <c r="AW773" s="155"/>
      <c r="AX773" s="155"/>
      <c r="AY773" s="155"/>
      <c r="AZ773" s="155"/>
      <c r="BA773" s="155"/>
      <c r="BB773" s="155"/>
      <c r="BC773" s="155"/>
      <c r="BD773" s="155"/>
      <c r="BE773" s="155"/>
      <c r="BF773" s="155"/>
      <c r="BG773" s="155"/>
      <c r="BH773" s="155"/>
      <c r="BI773" s="155"/>
      <c r="BJ773" s="155"/>
      <c r="BK773" s="155"/>
      <c r="BL773" s="155"/>
      <c r="BM773" s="155"/>
      <c r="BN773" s="155"/>
      <c r="BO773" s="155"/>
      <c r="BP773" s="155"/>
      <c r="BQ773" s="155"/>
      <c r="BR773" s="155"/>
      <c r="BS773" s="155"/>
      <c r="BT773" s="155"/>
      <c r="BU773" s="155"/>
      <c r="BV773" s="155"/>
      <c r="BW773" s="155"/>
      <c r="BX773" s="155"/>
      <c r="BY773" s="155"/>
      <c r="BZ773" s="155"/>
      <c r="CA773" s="155"/>
      <c r="CB773" s="155"/>
      <c r="CC773" s="155"/>
      <c r="CD773" s="155"/>
      <c r="CE773" s="155"/>
      <c r="CF773" s="155"/>
      <c r="CG773" s="155"/>
    </row>
    <row r="774" spans="1:85" ht="12.75" x14ac:dyDescent="0.2">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AV774" s="155"/>
      <c r="AW774" s="155"/>
      <c r="AX774" s="155"/>
      <c r="AY774" s="155"/>
      <c r="AZ774" s="155"/>
      <c r="BA774" s="155"/>
      <c r="BB774" s="155"/>
      <c r="BC774" s="155"/>
      <c r="BD774" s="155"/>
      <c r="BE774" s="155"/>
      <c r="BF774" s="155"/>
      <c r="BG774" s="155"/>
      <c r="BH774" s="155"/>
      <c r="BI774" s="155"/>
      <c r="BJ774" s="155"/>
      <c r="BK774" s="155"/>
      <c r="BL774" s="155"/>
      <c r="BM774" s="155"/>
      <c r="BN774" s="155"/>
      <c r="BO774" s="155"/>
      <c r="BP774" s="155"/>
      <c r="BQ774" s="155"/>
      <c r="BR774" s="155"/>
      <c r="BS774" s="155"/>
      <c r="BT774" s="155"/>
      <c r="BU774" s="155"/>
      <c r="BV774" s="155"/>
      <c r="BW774" s="155"/>
      <c r="BX774" s="155"/>
      <c r="BY774" s="155"/>
      <c r="BZ774" s="155"/>
      <c r="CA774" s="155"/>
      <c r="CB774" s="155"/>
      <c r="CC774" s="155"/>
      <c r="CD774" s="155"/>
      <c r="CE774" s="155"/>
      <c r="CF774" s="155"/>
      <c r="CG774" s="155"/>
    </row>
    <row r="775" spans="1:85" ht="12.75" x14ac:dyDescent="0.2">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c r="AA775" s="155"/>
      <c r="AB775" s="155"/>
      <c r="AC775" s="155"/>
      <c r="AD775" s="155"/>
      <c r="AE775" s="155"/>
      <c r="AF775" s="155"/>
      <c r="AG775" s="155"/>
      <c r="AH775" s="155"/>
      <c r="AI775" s="155"/>
      <c r="AJ775" s="155"/>
      <c r="AK775" s="155"/>
      <c r="AL775" s="155"/>
      <c r="AM775" s="155"/>
      <c r="AN775" s="155"/>
      <c r="AO775" s="155"/>
      <c r="AP775" s="155"/>
      <c r="AQ775" s="155"/>
      <c r="AR775" s="155"/>
      <c r="AS775" s="155"/>
      <c r="AT775" s="155"/>
      <c r="AU775" s="155"/>
      <c r="AV775" s="155"/>
      <c r="AW775" s="155"/>
      <c r="AX775" s="155"/>
      <c r="AY775" s="155"/>
      <c r="AZ775" s="155"/>
      <c r="BA775" s="155"/>
      <c r="BB775" s="155"/>
      <c r="BC775" s="155"/>
      <c r="BD775" s="155"/>
      <c r="BE775" s="155"/>
      <c r="BF775" s="155"/>
      <c r="BG775" s="155"/>
      <c r="BH775" s="155"/>
      <c r="BI775" s="155"/>
      <c r="BJ775" s="155"/>
      <c r="BK775" s="155"/>
      <c r="BL775" s="155"/>
      <c r="BM775" s="155"/>
      <c r="BN775" s="155"/>
      <c r="BO775" s="155"/>
      <c r="BP775" s="155"/>
      <c r="BQ775" s="155"/>
      <c r="BR775" s="155"/>
      <c r="BS775" s="155"/>
      <c r="BT775" s="155"/>
      <c r="BU775" s="155"/>
      <c r="BV775" s="155"/>
      <c r="BW775" s="155"/>
      <c r="BX775" s="155"/>
      <c r="BY775" s="155"/>
      <c r="BZ775" s="155"/>
      <c r="CA775" s="155"/>
      <c r="CB775" s="155"/>
      <c r="CC775" s="155"/>
      <c r="CD775" s="155"/>
      <c r="CE775" s="155"/>
      <c r="CF775" s="155"/>
      <c r="CG775" s="155"/>
    </row>
    <row r="776" spans="1:85" ht="12.75" x14ac:dyDescent="0.2">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c r="AA776" s="155"/>
      <c r="AB776" s="155"/>
      <c r="AC776" s="155"/>
      <c r="AD776" s="155"/>
      <c r="AE776" s="155"/>
      <c r="AF776" s="155"/>
      <c r="AG776" s="155"/>
      <c r="AH776" s="155"/>
      <c r="AI776" s="155"/>
      <c r="AJ776" s="155"/>
      <c r="AK776" s="155"/>
      <c r="AL776" s="155"/>
      <c r="AM776" s="155"/>
      <c r="AN776" s="155"/>
      <c r="AO776" s="155"/>
      <c r="AP776" s="155"/>
      <c r="AQ776" s="155"/>
      <c r="AR776" s="155"/>
      <c r="AS776" s="155"/>
      <c r="AT776" s="155"/>
      <c r="AU776" s="155"/>
      <c r="AV776" s="155"/>
      <c r="AW776" s="155"/>
      <c r="AX776" s="155"/>
      <c r="AY776" s="155"/>
      <c r="AZ776" s="155"/>
      <c r="BA776" s="155"/>
      <c r="BB776" s="155"/>
      <c r="BC776" s="155"/>
      <c r="BD776" s="155"/>
      <c r="BE776" s="155"/>
      <c r="BF776" s="155"/>
      <c r="BG776" s="155"/>
      <c r="BH776" s="155"/>
      <c r="BI776" s="155"/>
      <c r="BJ776" s="155"/>
      <c r="BK776" s="155"/>
      <c r="BL776" s="155"/>
      <c r="BM776" s="155"/>
      <c r="BN776" s="155"/>
      <c r="BO776" s="155"/>
      <c r="BP776" s="155"/>
      <c r="BQ776" s="155"/>
      <c r="BR776" s="155"/>
      <c r="BS776" s="155"/>
      <c r="BT776" s="155"/>
      <c r="BU776" s="155"/>
      <c r="BV776" s="155"/>
      <c r="BW776" s="155"/>
      <c r="BX776" s="155"/>
      <c r="BY776" s="155"/>
      <c r="BZ776" s="155"/>
      <c r="CA776" s="155"/>
      <c r="CB776" s="155"/>
      <c r="CC776" s="155"/>
      <c r="CD776" s="155"/>
      <c r="CE776" s="155"/>
      <c r="CF776" s="155"/>
      <c r="CG776" s="155"/>
    </row>
    <row r="777" spans="1:85" ht="12.75" x14ac:dyDescent="0.2">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AV777" s="155"/>
      <c r="AW777" s="155"/>
      <c r="AX777" s="155"/>
      <c r="AY777" s="155"/>
      <c r="AZ777" s="155"/>
      <c r="BA777" s="155"/>
      <c r="BB777" s="155"/>
      <c r="BC777" s="155"/>
      <c r="BD777" s="155"/>
      <c r="BE777" s="155"/>
      <c r="BF777" s="155"/>
      <c r="BG777" s="155"/>
      <c r="BH777" s="155"/>
      <c r="BI777" s="155"/>
      <c r="BJ777" s="155"/>
      <c r="BK777" s="155"/>
      <c r="BL777" s="155"/>
      <c r="BM777" s="155"/>
      <c r="BN777" s="155"/>
      <c r="BO777" s="155"/>
      <c r="BP777" s="155"/>
      <c r="BQ777" s="155"/>
      <c r="BR777" s="155"/>
      <c r="BS777" s="155"/>
      <c r="BT777" s="155"/>
      <c r="BU777" s="155"/>
      <c r="BV777" s="155"/>
      <c r="BW777" s="155"/>
      <c r="BX777" s="155"/>
      <c r="BY777" s="155"/>
      <c r="BZ777" s="155"/>
      <c r="CA777" s="155"/>
      <c r="CB777" s="155"/>
      <c r="CC777" s="155"/>
      <c r="CD777" s="155"/>
      <c r="CE777" s="155"/>
      <c r="CF777" s="155"/>
      <c r="CG777" s="155"/>
    </row>
    <row r="778" spans="1:85" ht="12.75" x14ac:dyDescent="0.2">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AV778" s="155"/>
      <c r="AW778" s="155"/>
      <c r="AX778" s="155"/>
      <c r="AY778" s="155"/>
      <c r="AZ778" s="155"/>
      <c r="BA778" s="155"/>
      <c r="BB778" s="155"/>
      <c r="BC778" s="155"/>
      <c r="BD778" s="155"/>
      <c r="BE778" s="155"/>
      <c r="BF778" s="155"/>
      <c r="BG778" s="155"/>
      <c r="BH778" s="155"/>
      <c r="BI778" s="155"/>
      <c r="BJ778" s="155"/>
      <c r="BK778" s="155"/>
      <c r="BL778" s="155"/>
      <c r="BM778" s="155"/>
      <c r="BN778" s="155"/>
      <c r="BO778" s="155"/>
      <c r="BP778" s="155"/>
      <c r="BQ778" s="155"/>
      <c r="BR778" s="155"/>
      <c r="BS778" s="155"/>
      <c r="BT778" s="155"/>
      <c r="BU778" s="155"/>
      <c r="BV778" s="155"/>
      <c r="BW778" s="155"/>
      <c r="BX778" s="155"/>
      <c r="BY778" s="155"/>
      <c r="BZ778" s="155"/>
      <c r="CA778" s="155"/>
      <c r="CB778" s="155"/>
      <c r="CC778" s="155"/>
      <c r="CD778" s="155"/>
      <c r="CE778" s="155"/>
      <c r="CF778" s="155"/>
      <c r="CG778" s="155"/>
    </row>
    <row r="779" spans="1:85" ht="12.75" x14ac:dyDescent="0.2">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c r="AA779" s="155"/>
      <c r="AB779" s="155"/>
      <c r="AC779" s="155"/>
      <c r="AD779" s="155"/>
      <c r="AE779" s="155"/>
      <c r="AF779" s="155"/>
      <c r="AG779" s="155"/>
      <c r="AH779" s="155"/>
      <c r="AI779" s="155"/>
      <c r="AJ779" s="155"/>
      <c r="AK779" s="155"/>
      <c r="AL779" s="155"/>
      <c r="AM779" s="155"/>
      <c r="AN779" s="155"/>
      <c r="AO779" s="155"/>
      <c r="AP779" s="155"/>
      <c r="AQ779" s="155"/>
      <c r="AR779" s="155"/>
      <c r="AS779" s="155"/>
      <c r="AT779" s="155"/>
      <c r="AU779" s="155"/>
      <c r="AV779" s="155"/>
      <c r="AW779" s="155"/>
      <c r="AX779" s="155"/>
      <c r="AY779" s="155"/>
      <c r="AZ779" s="155"/>
      <c r="BA779" s="155"/>
      <c r="BB779" s="155"/>
      <c r="BC779" s="155"/>
      <c r="BD779" s="155"/>
      <c r="BE779" s="155"/>
      <c r="BF779" s="155"/>
      <c r="BG779" s="155"/>
      <c r="BH779" s="155"/>
      <c r="BI779" s="155"/>
      <c r="BJ779" s="155"/>
      <c r="BK779" s="155"/>
      <c r="BL779" s="155"/>
      <c r="BM779" s="155"/>
      <c r="BN779" s="155"/>
      <c r="BO779" s="155"/>
      <c r="BP779" s="155"/>
      <c r="BQ779" s="155"/>
      <c r="BR779" s="155"/>
      <c r="BS779" s="155"/>
      <c r="BT779" s="155"/>
      <c r="BU779" s="155"/>
      <c r="BV779" s="155"/>
      <c r="BW779" s="155"/>
      <c r="BX779" s="155"/>
      <c r="BY779" s="155"/>
      <c r="BZ779" s="155"/>
      <c r="CA779" s="155"/>
      <c r="CB779" s="155"/>
      <c r="CC779" s="155"/>
      <c r="CD779" s="155"/>
      <c r="CE779" s="155"/>
      <c r="CF779" s="155"/>
      <c r="CG779" s="155"/>
    </row>
    <row r="780" spans="1:85" ht="12.75" x14ac:dyDescent="0.2">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c r="AA780" s="155"/>
      <c r="AB780" s="155"/>
      <c r="AC780" s="155"/>
      <c r="AD780" s="155"/>
      <c r="AE780" s="155"/>
      <c r="AF780" s="155"/>
      <c r="AG780" s="155"/>
      <c r="AH780" s="155"/>
      <c r="AI780" s="155"/>
      <c r="AJ780" s="155"/>
      <c r="AK780" s="155"/>
      <c r="AL780" s="155"/>
      <c r="AM780" s="155"/>
      <c r="AN780" s="155"/>
      <c r="AO780" s="155"/>
      <c r="AP780" s="155"/>
      <c r="AQ780" s="155"/>
      <c r="AR780" s="155"/>
      <c r="AS780" s="155"/>
      <c r="AT780" s="155"/>
      <c r="AU780" s="155"/>
      <c r="AV780" s="155"/>
      <c r="AW780" s="155"/>
      <c r="AX780" s="155"/>
      <c r="AY780" s="155"/>
      <c r="AZ780" s="155"/>
      <c r="BA780" s="155"/>
      <c r="BB780" s="155"/>
      <c r="BC780" s="155"/>
      <c r="BD780" s="155"/>
      <c r="BE780" s="155"/>
      <c r="BF780" s="155"/>
      <c r="BG780" s="155"/>
      <c r="BH780" s="155"/>
      <c r="BI780" s="155"/>
      <c r="BJ780" s="155"/>
      <c r="BK780" s="155"/>
      <c r="BL780" s="155"/>
      <c r="BM780" s="155"/>
      <c r="BN780" s="155"/>
      <c r="BO780" s="155"/>
      <c r="BP780" s="155"/>
      <c r="BQ780" s="155"/>
      <c r="BR780" s="155"/>
      <c r="BS780" s="155"/>
      <c r="BT780" s="155"/>
      <c r="BU780" s="155"/>
      <c r="BV780" s="155"/>
      <c r="BW780" s="155"/>
      <c r="BX780" s="155"/>
      <c r="BY780" s="155"/>
      <c r="BZ780" s="155"/>
      <c r="CA780" s="155"/>
      <c r="CB780" s="155"/>
      <c r="CC780" s="155"/>
      <c r="CD780" s="155"/>
      <c r="CE780" s="155"/>
      <c r="CF780" s="155"/>
      <c r="CG780" s="155"/>
    </row>
    <row r="781" spans="1:85" ht="12.75" x14ac:dyDescent="0.2">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c r="AA781" s="155"/>
      <c r="AB781" s="155"/>
      <c r="AC781" s="155"/>
      <c r="AD781" s="155"/>
      <c r="AE781" s="155"/>
      <c r="AF781" s="155"/>
      <c r="AG781" s="155"/>
      <c r="AH781" s="155"/>
      <c r="AI781" s="155"/>
      <c r="AJ781" s="155"/>
      <c r="AK781" s="155"/>
      <c r="AL781" s="155"/>
      <c r="AM781" s="155"/>
      <c r="AN781" s="155"/>
      <c r="AO781" s="155"/>
      <c r="AP781" s="155"/>
      <c r="AQ781" s="155"/>
      <c r="AR781" s="155"/>
      <c r="AS781" s="155"/>
      <c r="AT781" s="155"/>
      <c r="AU781" s="155"/>
      <c r="AV781" s="155"/>
      <c r="AW781" s="155"/>
      <c r="AX781" s="155"/>
      <c r="AY781" s="155"/>
      <c r="AZ781" s="155"/>
      <c r="BA781" s="155"/>
      <c r="BB781" s="155"/>
      <c r="BC781" s="155"/>
      <c r="BD781" s="155"/>
      <c r="BE781" s="155"/>
      <c r="BF781" s="155"/>
      <c r="BG781" s="155"/>
      <c r="BH781" s="155"/>
      <c r="BI781" s="155"/>
      <c r="BJ781" s="155"/>
      <c r="BK781" s="155"/>
      <c r="BL781" s="155"/>
      <c r="BM781" s="155"/>
      <c r="BN781" s="155"/>
      <c r="BO781" s="155"/>
      <c r="BP781" s="155"/>
      <c r="BQ781" s="155"/>
      <c r="BR781" s="155"/>
      <c r="BS781" s="155"/>
      <c r="BT781" s="155"/>
      <c r="BU781" s="155"/>
      <c r="BV781" s="155"/>
      <c r="BW781" s="155"/>
      <c r="BX781" s="155"/>
      <c r="BY781" s="155"/>
      <c r="BZ781" s="155"/>
      <c r="CA781" s="155"/>
      <c r="CB781" s="155"/>
      <c r="CC781" s="155"/>
      <c r="CD781" s="155"/>
      <c r="CE781" s="155"/>
      <c r="CF781" s="155"/>
      <c r="CG781" s="155"/>
    </row>
    <row r="782" spans="1:85" ht="12.75" x14ac:dyDescent="0.2">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c r="AA782" s="155"/>
      <c r="AB782" s="155"/>
      <c r="AC782" s="155"/>
      <c r="AD782" s="155"/>
      <c r="AE782" s="155"/>
      <c r="AF782" s="155"/>
      <c r="AG782" s="155"/>
      <c r="AH782" s="155"/>
      <c r="AI782" s="155"/>
      <c r="AJ782" s="155"/>
      <c r="AK782" s="155"/>
      <c r="AL782" s="155"/>
      <c r="AM782" s="155"/>
      <c r="AN782" s="155"/>
      <c r="AO782" s="155"/>
      <c r="AP782" s="155"/>
      <c r="AQ782" s="155"/>
      <c r="AR782" s="155"/>
      <c r="AS782" s="155"/>
      <c r="AT782" s="155"/>
      <c r="AU782" s="155"/>
      <c r="AV782" s="155"/>
      <c r="AW782" s="155"/>
      <c r="AX782" s="155"/>
      <c r="AY782" s="155"/>
      <c r="AZ782" s="155"/>
      <c r="BA782" s="155"/>
      <c r="BB782" s="155"/>
      <c r="BC782" s="155"/>
      <c r="BD782" s="155"/>
      <c r="BE782" s="155"/>
      <c r="BF782" s="155"/>
      <c r="BG782" s="155"/>
      <c r="BH782" s="155"/>
      <c r="BI782" s="155"/>
      <c r="BJ782" s="155"/>
      <c r="BK782" s="155"/>
      <c r="BL782" s="155"/>
      <c r="BM782" s="155"/>
      <c r="BN782" s="155"/>
      <c r="BO782" s="155"/>
      <c r="BP782" s="155"/>
      <c r="BQ782" s="155"/>
      <c r="BR782" s="155"/>
      <c r="BS782" s="155"/>
      <c r="BT782" s="155"/>
      <c r="BU782" s="155"/>
      <c r="BV782" s="155"/>
      <c r="BW782" s="155"/>
      <c r="BX782" s="155"/>
      <c r="BY782" s="155"/>
      <c r="BZ782" s="155"/>
      <c r="CA782" s="155"/>
      <c r="CB782" s="155"/>
      <c r="CC782" s="155"/>
      <c r="CD782" s="155"/>
      <c r="CE782" s="155"/>
      <c r="CF782" s="155"/>
      <c r="CG782" s="155"/>
    </row>
    <row r="783" spans="1:85" ht="12.75" x14ac:dyDescent="0.2">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c r="AA783" s="155"/>
      <c r="AB783" s="155"/>
      <c r="AC783" s="155"/>
      <c r="AD783" s="155"/>
      <c r="AE783" s="155"/>
      <c r="AF783" s="155"/>
      <c r="AG783" s="155"/>
      <c r="AH783" s="155"/>
      <c r="AI783" s="155"/>
      <c r="AJ783" s="155"/>
      <c r="AK783" s="155"/>
      <c r="AL783" s="155"/>
      <c r="AM783" s="155"/>
      <c r="AN783" s="155"/>
      <c r="AO783" s="155"/>
      <c r="AP783" s="155"/>
      <c r="AQ783" s="155"/>
      <c r="AR783" s="155"/>
      <c r="AS783" s="155"/>
      <c r="AT783" s="155"/>
      <c r="AU783" s="155"/>
      <c r="AV783" s="155"/>
      <c r="AW783" s="155"/>
      <c r="AX783" s="155"/>
      <c r="AY783" s="155"/>
      <c r="AZ783" s="155"/>
      <c r="BA783" s="155"/>
      <c r="BB783" s="155"/>
      <c r="BC783" s="155"/>
      <c r="BD783" s="155"/>
      <c r="BE783" s="155"/>
      <c r="BF783" s="155"/>
      <c r="BG783" s="155"/>
      <c r="BH783" s="155"/>
      <c r="BI783" s="155"/>
      <c r="BJ783" s="155"/>
      <c r="BK783" s="155"/>
      <c r="BL783" s="155"/>
      <c r="BM783" s="155"/>
      <c r="BN783" s="155"/>
      <c r="BO783" s="155"/>
      <c r="BP783" s="155"/>
      <c r="BQ783" s="155"/>
      <c r="BR783" s="155"/>
      <c r="BS783" s="155"/>
      <c r="BT783" s="155"/>
      <c r="BU783" s="155"/>
      <c r="BV783" s="155"/>
      <c r="BW783" s="155"/>
      <c r="BX783" s="155"/>
      <c r="BY783" s="155"/>
      <c r="BZ783" s="155"/>
      <c r="CA783" s="155"/>
      <c r="CB783" s="155"/>
      <c r="CC783" s="155"/>
      <c r="CD783" s="155"/>
      <c r="CE783" s="155"/>
      <c r="CF783" s="155"/>
      <c r="CG783" s="155"/>
    </row>
    <row r="784" spans="1:85" ht="12.75" x14ac:dyDescent="0.2">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c r="AA784" s="155"/>
      <c r="AB784" s="155"/>
      <c r="AC784" s="155"/>
      <c r="AD784" s="155"/>
      <c r="AE784" s="155"/>
      <c r="AF784" s="155"/>
      <c r="AG784" s="155"/>
      <c r="AH784" s="155"/>
      <c r="AI784" s="155"/>
      <c r="AJ784" s="155"/>
      <c r="AK784" s="155"/>
      <c r="AL784" s="155"/>
      <c r="AM784" s="155"/>
      <c r="AN784" s="155"/>
      <c r="AO784" s="155"/>
      <c r="AP784" s="155"/>
      <c r="AQ784" s="155"/>
      <c r="AR784" s="155"/>
      <c r="AS784" s="155"/>
      <c r="AT784" s="155"/>
      <c r="AU784" s="155"/>
      <c r="AV784" s="155"/>
      <c r="AW784" s="155"/>
      <c r="AX784" s="155"/>
      <c r="AY784" s="155"/>
      <c r="AZ784" s="155"/>
      <c r="BA784" s="155"/>
      <c r="BB784" s="155"/>
      <c r="BC784" s="155"/>
      <c r="BD784" s="155"/>
      <c r="BE784" s="155"/>
      <c r="BF784" s="155"/>
      <c r="BG784" s="155"/>
      <c r="BH784" s="155"/>
      <c r="BI784" s="155"/>
      <c r="BJ784" s="155"/>
      <c r="BK784" s="155"/>
      <c r="BL784" s="155"/>
      <c r="BM784" s="155"/>
      <c r="BN784" s="155"/>
      <c r="BO784" s="155"/>
      <c r="BP784" s="155"/>
      <c r="BQ784" s="155"/>
      <c r="BR784" s="155"/>
      <c r="BS784" s="155"/>
      <c r="BT784" s="155"/>
      <c r="BU784" s="155"/>
      <c r="BV784" s="155"/>
      <c r="BW784" s="155"/>
      <c r="BX784" s="155"/>
      <c r="BY784" s="155"/>
      <c r="BZ784" s="155"/>
      <c r="CA784" s="155"/>
      <c r="CB784" s="155"/>
      <c r="CC784" s="155"/>
      <c r="CD784" s="155"/>
      <c r="CE784" s="155"/>
      <c r="CF784" s="155"/>
      <c r="CG784" s="155"/>
    </row>
    <row r="785" spans="1:85" ht="12.75" x14ac:dyDescent="0.2">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AV785" s="155"/>
      <c r="AW785" s="155"/>
      <c r="AX785" s="155"/>
      <c r="AY785" s="155"/>
      <c r="AZ785" s="155"/>
      <c r="BA785" s="155"/>
      <c r="BB785" s="155"/>
      <c r="BC785" s="155"/>
      <c r="BD785" s="155"/>
      <c r="BE785" s="155"/>
      <c r="BF785" s="155"/>
      <c r="BG785" s="155"/>
      <c r="BH785" s="155"/>
      <c r="BI785" s="155"/>
      <c r="BJ785" s="155"/>
      <c r="BK785" s="155"/>
      <c r="BL785" s="155"/>
      <c r="BM785" s="155"/>
      <c r="BN785" s="155"/>
      <c r="BO785" s="155"/>
      <c r="BP785" s="155"/>
      <c r="BQ785" s="155"/>
      <c r="BR785" s="155"/>
      <c r="BS785" s="155"/>
      <c r="BT785" s="155"/>
      <c r="BU785" s="155"/>
      <c r="BV785" s="155"/>
      <c r="BW785" s="155"/>
      <c r="BX785" s="155"/>
      <c r="BY785" s="155"/>
      <c r="BZ785" s="155"/>
      <c r="CA785" s="155"/>
      <c r="CB785" s="155"/>
      <c r="CC785" s="155"/>
      <c r="CD785" s="155"/>
      <c r="CE785" s="155"/>
      <c r="CF785" s="155"/>
      <c r="CG785" s="155"/>
    </row>
    <row r="786" spans="1:85" ht="12.75" x14ac:dyDescent="0.2">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c r="AA786" s="155"/>
      <c r="AB786" s="155"/>
      <c r="AC786" s="155"/>
      <c r="AD786" s="155"/>
      <c r="AE786" s="155"/>
      <c r="AF786" s="155"/>
      <c r="AG786" s="155"/>
      <c r="AH786" s="155"/>
      <c r="AI786" s="155"/>
      <c r="AJ786" s="155"/>
      <c r="AK786" s="155"/>
      <c r="AL786" s="155"/>
      <c r="AM786" s="155"/>
      <c r="AN786" s="155"/>
      <c r="AO786" s="155"/>
      <c r="AP786" s="155"/>
      <c r="AQ786" s="155"/>
      <c r="AR786" s="155"/>
      <c r="AS786" s="155"/>
      <c r="AT786" s="155"/>
      <c r="AU786" s="155"/>
      <c r="AV786" s="155"/>
      <c r="AW786" s="155"/>
      <c r="AX786" s="155"/>
      <c r="AY786" s="155"/>
      <c r="AZ786" s="155"/>
      <c r="BA786" s="155"/>
      <c r="BB786" s="155"/>
      <c r="BC786" s="155"/>
      <c r="BD786" s="155"/>
      <c r="BE786" s="155"/>
      <c r="BF786" s="155"/>
      <c r="BG786" s="155"/>
      <c r="BH786" s="155"/>
      <c r="BI786" s="155"/>
      <c r="BJ786" s="155"/>
      <c r="BK786" s="155"/>
      <c r="BL786" s="155"/>
      <c r="BM786" s="155"/>
      <c r="BN786" s="155"/>
      <c r="BO786" s="155"/>
      <c r="BP786" s="155"/>
      <c r="BQ786" s="155"/>
      <c r="BR786" s="155"/>
      <c r="BS786" s="155"/>
      <c r="BT786" s="155"/>
      <c r="BU786" s="155"/>
      <c r="BV786" s="155"/>
      <c r="BW786" s="155"/>
      <c r="BX786" s="155"/>
      <c r="BY786" s="155"/>
      <c r="BZ786" s="155"/>
      <c r="CA786" s="155"/>
      <c r="CB786" s="155"/>
      <c r="CC786" s="155"/>
      <c r="CD786" s="155"/>
      <c r="CE786" s="155"/>
      <c r="CF786" s="155"/>
      <c r="CG786" s="155"/>
    </row>
    <row r="787" spans="1:85" ht="12.75" x14ac:dyDescent="0.2">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c r="AA787" s="155"/>
      <c r="AB787" s="155"/>
      <c r="AC787" s="155"/>
      <c r="AD787" s="155"/>
      <c r="AE787" s="155"/>
      <c r="AF787" s="155"/>
      <c r="AG787" s="155"/>
      <c r="AH787" s="155"/>
      <c r="AI787" s="155"/>
      <c r="AJ787" s="155"/>
      <c r="AK787" s="155"/>
      <c r="AL787" s="155"/>
      <c r="AM787" s="155"/>
      <c r="AN787" s="155"/>
      <c r="AO787" s="155"/>
      <c r="AP787" s="155"/>
      <c r="AQ787" s="155"/>
      <c r="AR787" s="155"/>
      <c r="AS787" s="155"/>
      <c r="AT787" s="155"/>
      <c r="AU787" s="155"/>
      <c r="AV787" s="155"/>
      <c r="AW787" s="155"/>
      <c r="AX787" s="155"/>
      <c r="AY787" s="155"/>
      <c r="AZ787" s="155"/>
      <c r="BA787" s="155"/>
      <c r="BB787" s="155"/>
      <c r="BC787" s="155"/>
      <c r="BD787" s="155"/>
      <c r="BE787" s="155"/>
      <c r="BF787" s="155"/>
      <c r="BG787" s="155"/>
      <c r="BH787" s="155"/>
      <c r="BI787" s="155"/>
      <c r="BJ787" s="155"/>
      <c r="BK787" s="155"/>
      <c r="BL787" s="155"/>
      <c r="BM787" s="155"/>
      <c r="BN787" s="155"/>
      <c r="BO787" s="155"/>
      <c r="BP787" s="155"/>
      <c r="BQ787" s="155"/>
      <c r="BR787" s="155"/>
      <c r="BS787" s="155"/>
      <c r="BT787" s="155"/>
      <c r="BU787" s="155"/>
      <c r="BV787" s="155"/>
      <c r="BW787" s="155"/>
      <c r="BX787" s="155"/>
      <c r="BY787" s="155"/>
      <c r="BZ787" s="155"/>
      <c r="CA787" s="155"/>
      <c r="CB787" s="155"/>
      <c r="CC787" s="155"/>
      <c r="CD787" s="155"/>
      <c r="CE787" s="155"/>
      <c r="CF787" s="155"/>
      <c r="CG787" s="155"/>
    </row>
    <row r="788" spans="1:85" ht="12.75" x14ac:dyDescent="0.2">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c r="AA788" s="155"/>
      <c r="AB788" s="155"/>
      <c r="AC788" s="155"/>
      <c r="AD788" s="155"/>
      <c r="AE788" s="155"/>
      <c r="AF788" s="155"/>
      <c r="AG788" s="155"/>
      <c r="AH788" s="155"/>
      <c r="AI788" s="155"/>
      <c r="AJ788" s="155"/>
      <c r="AK788" s="155"/>
      <c r="AL788" s="155"/>
      <c r="AM788" s="155"/>
      <c r="AN788" s="155"/>
      <c r="AO788" s="155"/>
      <c r="AP788" s="155"/>
      <c r="AQ788" s="155"/>
      <c r="AR788" s="155"/>
      <c r="AS788" s="155"/>
      <c r="AT788" s="155"/>
      <c r="AU788" s="155"/>
      <c r="AV788" s="155"/>
      <c r="AW788" s="155"/>
      <c r="AX788" s="155"/>
      <c r="AY788" s="155"/>
      <c r="AZ788" s="155"/>
      <c r="BA788" s="155"/>
      <c r="BB788" s="155"/>
      <c r="BC788" s="155"/>
      <c r="BD788" s="155"/>
      <c r="BE788" s="155"/>
      <c r="BF788" s="155"/>
      <c r="BG788" s="155"/>
      <c r="BH788" s="155"/>
      <c r="BI788" s="155"/>
      <c r="BJ788" s="155"/>
      <c r="BK788" s="155"/>
      <c r="BL788" s="155"/>
      <c r="BM788" s="155"/>
      <c r="BN788" s="155"/>
      <c r="BO788" s="155"/>
      <c r="BP788" s="155"/>
      <c r="BQ788" s="155"/>
      <c r="BR788" s="155"/>
      <c r="BS788" s="155"/>
      <c r="BT788" s="155"/>
      <c r="BU788" s="155"/>
      <c r="BV788" s="155"/>
      <c r="BW788" s="155"/>
      <c r="BX788" s="155"/>
      <c r="BY788" s="155"/>
      <c r="BZ788" s="155"/>
      <c r="CA788" s="155"/>
      <c r="CB788" s="155"/>
      <c r="CC788" s="155"/>
      <c r="CD788" s="155"/>
      <c r="CE788" s="155"/>
      <c r="CF788" s="155"/>
      <c r="CG788" s="155"/>
    </row>
    <row r="789" spans="1:85" ht="12.75" x14ac:dyDescent="0.2">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c r="AA789" s="155"/>
      <c r="AB789" s="155"/>
      <c r="AC789" s="155"/>
      <c r="AD789" s="155"/>
      <c r="AE789" s="155"/>
      <c r="AF789" s="155"/>
      <c r="AG789" s="155"/>
      <c r="AH789" s="155"/>
      <c r="AI789" s="155"/>
      <c r="AJ789" s="155"/>
      <c r="AK789" s="155"/>
      <c r="AL789" s="155"/>
      <c r="AM789" s="155"/>
      <c r="AN789" s="155"/>
      <c r="AO789" s="155"/>
      <c r="AP789" s="155"/>
      <c r="AQ789" s="155"/>
      <c r="AR789" s="155"/>
      <c r="AS789" s="155"/>
      <c r="AT789" s="155"/>
      <c r="AU789" s="155"/>
      <c r="AV789" s="155"/>
      <c r="AW789" s="155"/>
      <c r="AX789" s="155"/>
      <c r="AY789" s="155"/>
      <c r="AZ789" s="155"/>
      <c r="BA789" s="155"/>
      <c r="BB789" s="155"/>
      <c r="BC789" s="155"/>
      <c r="BD789" s="155"/>
      <c r="BE789" s="155"/>
      <c r="BF789" s="155"/>
      <c r="BG789" s="155"/>
      <c r="BH789" s="155"/>
      <c r="BI789" s="155"/>
      <c r="BJ789" s="155"/>
      <c r="BK789" s="155"/>
      <c r="BL789" s="155"/>
      <c r="BM789" s="155"/>
      <c r="BN789" s="155"/>
      <c r="BO789" s="155"/>
      <c r="BP789" s="155"/>
      <c r="BQ789" s="155"/>
      <c r="BR789" s="155"/>
      <c r="BS789" s="155"/>
      <c r="BT789" s="155"/>
      <c r="BU789" s="155"/>
      <c r="BV789" s="155"/>
      <c r="BW789" s="155"/>
      <c r="BX789" s="155"/>
      <c r="BY789" s="155"/>
      <c r="BZ789" s="155"/>
      <c r="CA789" s="155"/>
      <c r="CB789" s="155"/>
      <c r="CC789" s="155"/>
      <c r="CD789" s="155"/>
      <c r="CE789" s="155"/>
      <c r="CF789" s="155"/>
      <c r="CG789" s="155"/>
    </row>
    <row r="790" spans="1:85" ht="12.75" x14ac:dyDescent="0.2">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c r="AA790" s="155"/>
      <c r="AB790" s="155"/>
      <c r="AC790" s="155"/>
      <c r="AD790" s="155"/>
      <c r="AE790" s="155"/>
      <c r="AF790" s="155"/>
      <c r="AG790" s="155"/>
      <c r="AH790" s="155"/>
      <c r="AI790" s="155"/>
      <c r="AJ790" s="155"/>
      <c r="AK790" s="155"/>
      <c r="AL790" s="155"/>
      <c r="AM790" s="155"/>
      <c r="AN790" s="155"/>
      <c r="AO790" s="155"/>
      <c r="AP790" s="155"/>
      <c r="AQ790" s="155"/>
      <c r="AR790" s="155"/>
      <c r="AS790" s="155"/>
      <c r="AT790" s="155"/>
      <c r="AU790" s="155"/>
      <c r="AV790" s="155"/>
      <c r="AW790" s="155"/>
      <c r="AX790" s="155"/>
      <c r="AY790" s="155"/>
      <c r="AZ790" s="155"/>
      <c r="BA790" s="155"/>
      <c r="BB790" s="155"/>
      <c r="BC790" s="155"/>
      <c r="BD790" s="155"/>
      <c r="BE790" s="155"/>
      <c r="BF790" s="155"/>
      <c r="BG790" s="155"/>
      <c r="BH790" s="155"/>
      <c r="BI790" s="155"/>
      <c r="BJ790" s="155"/>
      <c r="BK790" s="155"/>
      <c r="BL790" s="155"/>
      <c r="BM790" s="155"/>
      <c r="BN790" s="155"/>
      <c r="BO790" s="155"/>
      <c r="BP790" s="155"/>
      <c r="BQ790" s="155"/>
      <c r="BR790" s="155"/>
      <c r="BS790" s="155"/>
      <c r="BT790" s="155"/>
      <c r="BU790" s="155"/>
      <c r="BV790" s="155"/>
      <c r="BW790" s="155"/>
      <c r="BX790" s="155"/>
      <c r="BY790" s="155"/>
      <c r="BZ790" s="155"/>
      <c r="CA790" s="155"/>
      <c r="CB790" s="155"/>
      <c r="CC790" s="155"/>
      <c r="CD790" s="155"/>
      <c r="CE790" s="155"/>
      <c r="CF790" s="155"/>
      <c r="CG790" s="155"/>
    </row>
    <row r="791" spans="1:85" ht="12.75" x14ac:dyDescent="0.2">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c r="AA791" s="155"/>
      <c r="AB791" s="155"/>
      <c r="AC791" s="155"/>
      <c r="AD791" s="155"/>
      <c r="AE791" s="155"/>
      <c r="AF791" s="155"/>
      <c r="AG791" s="155"/>
      <c r="AH791" s="155"/>
      <c r="AI791" s="155"/>
      <c r="AJ791" s="155"/>
      <c r="AK791" s="155"/>
      <c r="AL791" s="155"/>
      <c r="AM791" s="155"/>
      <c r="AN791" s="155"/>
      <c r="AO791" s="155"/>
      <c r="AP791" s="155"/>
      <c r="AQ791" s="155"/>
      <c r="AR791" s="155"/>
      <c r="AS791" s="155"/>
      <c r="AT791" s="155"/>
      <c r="AU791" s="155"/>
      <c r="AV791" s="155"/>
      <c r="AW791" s="155"/>
      <c r="AX791" s="155"/>
      <c r="AY791" s="155"/>
      <c r="AZ791" s="155"/>
      <c r="BA791" s="155"/>
      <c r="BB791" s="155"/>
      <c r="BC791" s="155"/>
      <c r="BD791" s="155"/>
      <c r="BE791" s="155"/>
      <c r="BF791" s="155"/>
      <c r="BG791" s="155"/>
      <c r="BH791" s="155"/>
      <c r="BI791" s="155"/>
      <c r="BJ791" s="155"/>
      <c r="BK791" s="155"/>
      <c r="BL791" s="155"/>
      <c r="BM791" s="155"/>
      <c r="BN791" s="155"/>
      <c r="BO791" s="155"/>
      <c r="BP791" s="155"/>
      <c r="BQ791" s="155"/>
      <c r="BR791" s="155"/>
      <c r="BS791" s="155"/>
      <c r="BT791" s="155"/>
      <c r="BU791" s="155"/>
      <c r="BV791" s="155"/>
      <c r="BW791" s="155"/>
      <c r="BX791" s="155"/>
      <c r="BY791" s="155"/>
      <c r="BZ791" s="155"/>
      <c r="CA791" s="155"/>
      <c r="CB791" s="155"/>
      <c r="CC791" s="155"/>
      <c r="CD791" s="155"/>
      <c r="CE791" s="155"/>
      <c r="CF791" s="155"/>
      <c r="CG791" s="155"/>
    </row>
    <row r="792" spans="1:85" ht="12.75" x14ac:dyDescent="0.2">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c r="AA792" s="155"/>
      <c r="AB792" s="155"/>
      <c r="AC792" s="155"/>
      <c r="AD792" s="155"/>
      <c r="AE792" s="155"/>
      <c r="AF792" s="155"/>
      <c r="AG792" s="155"/>
      <c r="AH792" s="155"/>
      <c r="AI792" s="155"/>
      <c r="AJ792" s="155"/>
      <c r="AK792" s="155"/>
      <c r="AL792" s="155"/>
      <c r="AM792" s="155"/>
      <c r="AN792" s="155"/>
      <c r="AO792" s="155"/>
      <c r="AP792" s="155"/>
      <c r="AQ792" s="155"/>
      <c r="AR792" s="155"/>
      <c r="AS792" s="155"/>
      <c r="AT792" s="155"/>
      <c r="AU792" s="155"/>
      <c r="AV792" s="155"/>
      <c r="AW792" s="155"/>
      <c r="AX792" s="155"/>
      <c r="AY792" s="155"/>
      <c r="AZ792" s="155"/>
      <c r="BA792" s="155"/>
      <c r="BB792" s="155"/>
      <c r="BC792" s="155"/>
      <c r="BD792" s="155"/>
      <c r="BE792" s="155"/>
      <c r="BF792" s="155"/>
      <c r="BG792" s="155"/>
      <c r="BH792" s="155"/>
      <c r="BI792" s="155"/>
      <c r="BJ792" s="155"/>
      <c r="BK792" s="155"/>
      <c r="BL792" s="155"/>
      <c r="BM792" s="155"/>
      <c r="BN792" s="155"/>
      <c r="BO792" s="155"/>
      <c r="BP792" s="155"/>
      <c r="BQ792" s="155"/>
      <c r="BR792" s="155"/>
      <c r="BS792" s="155"/>
      <c r="BT792" s="155"/>
      <c r="BU792" s="155"/>
      <c r="BV792" s="155"/>
      <c r="BW792" s="155"/>
      <c r="BX792" s="155"/>
      <c r="BY792" s="155"/>
      <c r="BZ792" s="155"/>
      <c r="CA792" s="155"/>
      <c r="CB792" s="155"/>
      <c r="CC792" s="155"/>
      <c r="CD792" s="155"/>
      <c r="CE792" s="155"/>
      <c r="CF792" s="155"/>
      <c r="CG792" s="155"/>
    </row>
    <row r="793" spans="1:85" ht="12.75" x14ac:dyDescent="0.2">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c r="AA793" s="155"/>
      <c r="AB793" s="155"/>
      <c r="AC793" s="155"/>
      <c r="AD793" s="155"/>
      <c r="AE793" s="155"/>
      <c r="AF793" s="155"/>
      <c r="AG793" s="155"/>
      <c r="AH793" s="155"/>
      <c r="AI793" s="155"/>
      <c r="AJ793" s="155"/>
      <c r="AK793" s="155"/>
      <c r="AL793" s="155"/>
      <c r="AM793" s="155"/>
      <c r="AN793" s="155"/>
      <c r="AO793" s="155"/>
      <c r="AP793" s="155"/>
      <c r="AQ793" s="155"/>
      <c r="AR793" s="155"/>
      <c r="AS793" s="155"/>
      <c r="AT793" s="155"/>
      <c r="AU793" s="155"/>
      <c r="AV793" s="155"/>
      <c r="AW793" s="155"/>
      <c r="AX793" s="155"/>
      <c r="AY793" s="155"/>
      <c r="AZ793" s="155"/>
      <c r="BA793" s="155"/>
      <c r="BB793" s="155"/>
      <c r="BC793" s="155"/>
      <c r="BD793" s="155"/>
      <c r="BE793" s="155"/>
      <c r="BF793" s="155"/>
      <c r="BG793" s="155"/>
      <c r="BH793" s="155"/>
      <c r="BI793" s="155"/>
      <c r="BJ793" s="155"/>
      <c r="BK793" s="155"/>
      <c r="BL793" s="155"/>
      <c r="BM793" s="155"/>
      <c r="BN793" s="155"/>
      <c r="BO793" s="155"/>
      <c r="BP793" s="155"/>
      <c r="BQ793" s="155"/>
      <c r="BR793" s="155"/>
      <c r="BS793" s="155"/>
      <c r="BT793" s="155"/>
      <c r="BU793" s="155"/>
      <c r="BV793" s="155"/>
      <c r="BW793" s="155"/>
      <c r="BX793" s="155"/>
      <c r="BY793" s="155"/>
      <c r="BZ793" s="155"/>
      <c r="CA793" s="155"/>
      <c r="CB793" s="155"/>
      <c r="CC793" s="155"/>
      <c r="CD793" s="155"/>
      <c r="CE793" s="155"/>
      <c r="CF793" s="155"/>
      <c r="CG793" s="155"/>
    </row>
    <row r="794" spans="1:85" ht="12.75" x14ac:dyDescent="0.2">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c r="AA794" s="155"/>
      <c r="AB794" s="155"/>
      <c r="AC794" s="155"/>
      <c r="AD794" s="155"/>
      <c r="AE794" s="155"/>
      <c r="AF794" s="155"/>
      <c r="AG794" s="155"/>
      <c r="AH794" s="155"/>
      <c r="AI794" s="155"/>
      <c r="AJ794" s="155"/>
      <c r="AK794" s="155"/>
      <c r="AL794" s="155"/>
      <c r="AM794" s="155"/>
      <c r="AN794" s="155"/>
      <c r="AO794" s="155"/>
      <c r="AP794" s="155"/>
      <c r="AQ794" s="155"/>
      <c r="AR794" s="155"/>
      <c r="AS794" s="155"/>
      <c r="AT794" s="155"/>
      <c r="AU794" s="155"/>
      <c r="AV794" s="155"/>
      <c r="AW794" s="155"/>
      <c r="AX794" s="155"/>
      <c r="AY794" s="155"/>
      <c r="AZ794" s="155"/>
      <c r="BA794" s="155"/>
      <c r="BB794" s="155"/>
      <c r="BC794" s="155"/>
      <c r="BD794" s="155"/>
      <c r="BE794" s="155"/>
      <c r="BF794" s="155"/>
      <c r="BG794" s="155"/>
      <c r="BH794" s="155"/>
      <c r="BI794" s="155"/>
      <c r="BJ794" s="155"/>
      <c r="BK794" s="155"/>
      <c r="BL794" s="155"/>
      <c r="BM794" s="155"/>
      <c r="BN794" s="155"/>
      <c r="BO794" s="155"/>
      <c r="BP794" s="155"/>
      <c r="BQ794" s="155"/>
      <c r="BR794" s="155"/>
      <c r="BS794" s="155"/>
      <c r="BT794" s="155"/>
      <c r="BU794" s="155"/>
      <c r="BV794" s="155"/>
      <c r="BW794" s="155"/>
      <c r="BX794" s="155"/>
      <c r="BY794" s="155"/>
      <c r="BZ794" s="155"/>
      <c r="CA794" s="155"/>
      <c r="CB794" s="155"/>
      <c r="CC794" s="155"/>
      <c r="CD794" s="155"/>
      <c r="CE794" s="155"/>
      <c r="CF794" s="155"/>
      <c r="CG794" s="155"/>
    </row>
    <row r="795" spans="1:85" ht="12.75" x14ac:dyDescent="0.2">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c r="AA795" s="155"/>
      <c r="AB795" s="155"/>
      <c r="AC795" s="155"/>
      <c r="AD795" s="155"/>
      <c r="AE795" s="155"/>
      <c r="AF795" s="155"/>
      <c r="AG795" s="155"/>
      <c r="AH795" s="155"/>
      <c r="AI795" s="155"/>
      <c r="AJ795" s="155"/>
      <c r="AK795" s="155"/>
      <c r="AL795" s="155"/>
      <c r="AM795" s="155"/>
      <c r="AN795" s="155"/>
      <c r="AO795" s="155"/>
      <c r="AP795" s="155"/>
      <c r="AQ795" s="155"/>
      <c r="AR795" s="155"/>
      <c r="AS795" s="155"/>
      <c r="AT795" s="155"/>
      <c r="AU795" s="155"/>
      <c r="AV795" s="155"/>
      <c r="AW795" s="155"/>
      <c r="AX795" s="155"/>
      <c r="AY795" s="155"/>
      <c r="AZ795" s="155"/>
      <c r="BA795" s="155"/>
      <c r="BB795" s="155"/>
      <c r="BC795" s="155"/>
      <c r="BD795" s="155"/>
      <c r="BE795" s="155"/>
      <c r="BF795" s="155"/>
      <c r="BG795" s="155"/>
      <c r="BH795" s="155"/>
      <c r="BI795" s="155"/>
      <c r="BJ795" s="155"/>
      <c r="BK795" s="155"/>
      <c r="BL795" s="155"/>
      <c r="BM795" s="155"/>
      <c r="BN795" s="155"/>
      <c r="BO795" s="155"/>
      <c r="BP795" s="155"/>
      <c r="BQ795" s="155"/>
      <c r="BR795" s="155"/>
      <c r="BS795" s="155"/>
      <c r="BT795" s="155"/>
      <c r="BU795" s="155"/>
      <c r="BV795" s="155"/>
      <c r="BW795" s="155"/>
      <c r="BX795" s="155"/>
      <c r="BY795" s="155"/>
      <c r="BZ795" s="155"/>
      <c r="CA795" s="155"/>
      <c r="CB795" s="155"/>
      <c r="CC795" s="155"/>
      <c r="CD795" s="155"/>
      <c r="CE795" s="155"/>
      <c r="CF795" s="155"/>
      <c r="CG795" s="155"/>
    </row>
    <row r="796" spans="1:85" ht="12.75" x14ac:dyDescent="0.2">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c r="AA796" s="155"/>
      <c r="AB796" s="155"/>
      <c r="AC796" s="155"/>
      <c r="AD796" s="155"/>
      <c r="AE796" s="155"/>
      <c r="AF796" s="155"/>
      <c r="AG796" s="155"/>
      <c r="AH796" s="155"/>
      <c r="AI796" s="155"/>
      <c r="AJ796" s="155"/>
      <c r="AK796" s="155"/>
      <c r="AL796" s="155"/>
      <c r="AM796" s="155"/>
      <c r="AN796" s="155"/>
      <c r="AO796" s="155"/>
      <c r="AP796" s="155"/>
      <c r="AQ796" s="155"/>
      <c r="AR796" s="155"/>
      <c r="AS796" s="155"/>
      <c r="AT796" s="155"/>
      <c r="AU796" s="155"/>
      <c r="AV796" s="155"/>
      <c r="AW796" s="155"/>
      <c r="AX796" s="155"/>
      <c r="AY796" s="155"/>
      <c r="AZ796" s="155"/>
      <c r="BA796" s="155"/>
      <c r="BB796" s="155"/>
      <c r="BC796" s="155"/>
      <c r="BD796" s="155"/>
      <c r="BE796" s="155"/>
      <c r="BF796" s="155"/>
      <c r="BG796" s="155"/>
      <c r="BH796" s="155"/>
      <c r="BI796" s="155"/>
      <c r="BJ796" s="155"/>
      <c r="BK796" s="155"/>
      <c r="BL796" s="155"/>
      <c r="BM796" s="155"/>
      <c r="BN796" s="155"/>
      <c r="BO796" s="155"/>
      <c r="BP796" s="155"/>
      <c r="BQ796" s="155"/>
      <c r="BR796" s="155"/>
      <c r="BS796" s="155"/>
      <c r="BT796" s="155"/>
      <c r="BU796" s="155"/>
      <c r="BV796" s="155"/>
      <c r="BW796" s="155"/>
      <c r="BX796" s="155"/>
      <c r="BY796" s="155"/>
      <c r="BZ796" s="155"/>
      <c r="CA796" s="155"/>
      <c r="CB796" s="155"/>
      <c r="CC796" s="155"/>
      <c r="CD796" s="155"/>
      <c r="CE796" s="155"/>
      <c r="CF796" s="155"/>
      <c r="CG796" s="155"/>
    </row>
    <row r="797" spans="1:85" ht="12.75" x14ac:dyDescent="0.2">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c r="AA797" s="155"/>
      <c r="AB797" s="155"/>
      <c r="AC797" s="155"/>
      <c r="AD797" s="155"/>
      <c r="AE797" s="155"/>
      <c r="AF797" s="155"/>
      <c r="AG797" s="155"/>
      <c r="AH797" s="155"/>
      <c r="AI797" s="155"/>
      <c r="AJ797" s="155"/>
      <c r="AK797" s="155"/>
      <c r="AL797" s="155"/>
      <c r="AM797" s="155"/>
      <c r="AN797" s="155"/>
      <c r="AO797" s="155"/>
      <c r="AP797" s="155"/>
      <c r="AQ797" s="155"/>
      <c r="AR797" s="155"/>
      <c r="AS797" s="155"/>
      <c r="AT797" s="155"/>
      <c r="AU797" s="155"/>
      <c r="AV797" s="155"/>
      <c r="AW797" s="155"/>
      <c r="AX797" s="155"/>
      <c r="AY797" s="155"/>
      <c r="AZ797" s="155"/>
      <c r="BA797" s="155"/>
      <c r="BB797" s="155"/>
      <c r="BC797" s="155"/>
      <c r="BD797" s="155"/>
      <c r="BE797" s="155"/>
      <c r="BF797" s="155"/>
      <c r="BG797" s="155"/>
      <c r="BH797" s="155"/>
      <c r="BI797" s="155"/>
      <c r="BJ797" s="155"/>
      <c r="BK797" s="155"/>
      <c r="BL797" s="155"/>
      <c r="BM797" s="155"/>
      <c r="BN797" s="155"/>
      <c r="BO797" s="155"/>
      <c r="BP797" s="155"/>
      <c r="BQ797" s="155"/>
      <c r="BR797" s="155"/>
      <c r="BS797" s="155"/>
      <c r="BT797" s="155"/>
      <c r="BU797" s="155"/>
      <c r="BV797" s="155"/>
      <c r="BW797" s="155"/>
      <c r="BX797" s="155"/>
      <c r="BY797" s="155"/>
      <c r="BZ797" s="155"/>
      <c r="CA797" s="155"/>
      <c r="CB797" s="155"/>
      <c r="CC797" s="155"/>
      <c r="CD797" s="155"/>
      <c r="CE797" s="155"/>
      <c r="CF797" s="155"/>
      <c r="CG797" s="155"/>
    </row>
    <row r="798" spans="1:85" ht="12.75" x14ac:dyDescent="0.2">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c r="AA798" s="155"/>
      <c r="AB798" s="155"/>
      <c r="AC798" s="155"/>
      <c r="AD798" s="155"/>
      <c r="AE798" s="155"/>
      <c r="AF798" s="155"/>
      <c r="AG798" s="155"/>
      <c r="AH798" s="155"/>
      <c r="AI798" s="155"/>
      <c r="AJ798" s="155"/>
      <c r="AK798" s="155"/>
      <c r="AL798" s="155"/>
      <c r="AM798" s="155"/>
      <c r="AN798" s="155"/>
      <c r="AO798" s="155"/>
      <c r="AP798" s="155"/>
      <c r="AQ798" s="155"/>
      <c r="AR798" s="155"/>
      <c r="AS798" s="155"/>
      <c r="AT798" s="155"/>
      <c r="AU798" s="155"/>
      <c r="AV798" s="155"/>
      <c r="AW798" s="155"/>
      <c r="AX798" s="155"/>
      <c r="AY798" s="155"/>
      <c r="AZ798" s="155"/>
      <c r="BA798" s="155"/>
      <c r="BB798" s="155"/>
      <c r="BC798" s="155"/>
      <c r="BD798" s="155"/>
      <c r="BE798" s="155"/>
      <c r="BF798" s="155"/>
      <c r="BG798" s="155"/>
      <c r="BH798" s="155"/>
      <c r="BI798" s="155"/>
      <c r="BJ798" s="155"/>
      <c r="BK798" s="155"/>
      <c r="BL798" s="155"/>
      <c r="BM798" s="155"/>
      <c r="BN798" s="155"/>
      <c r="BO798" s="155"/>
      <c r="BP798" s="155"/>
      <c r="BQ798" s="155"/>
      <c r="BR798" s="155"/>
      <c r="BS798" s="155"/>
      <c r="BT798" s="155"/>
      <c r="BU798" s="155"/>
      <c r="BV798" s="155"/>
      <c r="BW798" s="155"/>
      <c r="BX798" s="155"/>
      <c r="BY798" s="155"/>
      <c r="BZ798" s="155"/>
      <c r="CA798" s="155"/>
      <c r="CB798" s="155"/>
      <c r="CC798" s="155"/>
      <c r="CD798" s="155"/>
      <c r="CE798" s="155"/>
      <c r="CF798" s="155"/>
      <c r="CG798" s="155"/>
    </row>
    <row r="799" spans="1:85" ht="12.75" x14ac:dyDescent="0.2">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c r="AA799" s="155"/>
      <c r="AB799" s="155"/>
      <c r="AC799" s="155"/>
      <c r="AD799" s="155"/>
      <c r="AE799" s="155"/>
      <c r="AF799" s="155"/>
      <c r="AG799" s="155"/>
      <c r="AH799" s="155"/>
      <c r="AI799" s="155"/>
      <c r="AJ799" s="155"/>
      <c r="AK799" s="155"/>
      <c r="AL799" s="155"/>
      <c r="AM799" s="155"/>
      <c r="AN799" s="155"/>
      <c r="AO799" s="155"/>
      <c r="AP799" s="155"/>
      <c r="AQ799" s="155"/>
      <c r="AR799" s="155"/>
      <c r="AS799" s="155"/>
      <c r="AT799" s="155"/>
      <c r="AU799" s="155"/>
      <c r="AV799" s="155"/>
      <c r="AW799" s="155"/>
      <c r="AX799" s="155"/>
      <c r="AY799" s="155"/>
      <c r="AZ799" s="155"/>
      <c r="BA799" s="155"/>
      <c r="BB799" s="155"/>
      <c r="BC799" s="155"/>
      <c r="BD799" s="155"/>
      <c r="BE799" s="155"/>
      <c r="BF799" s="155"/>
      <c r="BG799" s="155"/>
      <c r="BH799" s="155"/>
      <c r="BI799" s="155"/>
      <c r="BJ799" s="155"/>
      <c r="BK799" s="155"/>
      <c r="BL799" s="155"/>
      <c r="BM799" s="155"/>
      <c r="BN799" s="155"/>
      <c r="BO799" s="155"/>
      <c r="BP799" s="155"/>
      <c r="BQ799" s="155"/>
      <c r="BR799" s="155"/>
      <c r="BS799" s="155"/>
      <c r="BT799" s="155"/>
      <c r="BU799" s="155"/>
      <c r="BV799" s="155"/>
      <c r="BW799" s="155"/>
      <c r="BX799" s="155"/>
      <c r="BY799" s="155"/>
      <c r="BZ799" s="155"/>
      <c r="CA799" s="155"/>
      <c r="CB799" s="155"/>
      <c r="CC799" s="155"/>
      <c r="CD799" s="155"/>
      <c r="CE799" s="155"/>
      <c r="CF799" s="155"/>
      <c r="CG799" s="155"/>
    </row>
    <row r="800" spans="1:85" ht="12.75" x14ac:dyDescent="0.2">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c r="AA800" s="155"/>
      <c r="AB800" s="155"/>
      <c r="AC800" s="155"/>
      <c r="AD800" s="155"/>
      <c r="AE800" s="155"/>
      <c r="AF800" s="155"/>
      <c r="AG800" s="155"/>
      <c r="AH800" s="155"/>
      <c r="AI800" s="155"/>
      <c r="AJ800" s="155"/>
      <c r="AK800" s="155"/>
      <c r="AL800" s="155"/>
      <c r="AM800" s="155"/>
      <c r="AN800" s="155"/>
      <c r="AO800" s="155"/>
      <c r="AP800" s="155"/>
      <c r="AQ800" s="155"/>
      <c r="AR800" s="155"/>
      <c r="AS800" s="155"/>
      <c r="AT800" s="155"/>
      <c r="AU800" s="155"/>
      <c r="AV800" s="155"/>
      <c r="AW800" s="155"/>
      <c r="AX800" s="155"/>
      <c r="AY800" s="155"/>
      <c r="AZ800" s="155"/>
      <c r="BA800" s="155"/>
      <c r="BB800" s="155"/>
      <c r="BC800" s="155"/>
      <c r="BD800" s="155"/>
      <c r="BE800" s="155"/>
      <c r="BF800" s="155"/>
      <c r="BG800" s="155"/>
      <c r="BH800" s="155"/>
      <c r="BI800" s="155"/>
      <c r="BJ800" s="155"/>
      <c r="BK800" s="155"/>
      <c r="BL800" s="155"/>
      <c r="BM800" s="155"/>
      <c r="BN800" s="155"/>
      <c r="BO800" s="155"/>
      <c r="BP800" s="155"/>
      <c r="BQ800" s="155"/>
      <c r="BR800" s="155"/>
      <c r="BS800" s="155"/>
      <c r="BT800" s="155"/>
      <c r="BU800" s="155"/>
      <c r="BV800" s="155"/>
      <c r="BW800" s="155"/>
      <c r="BX800" s="155"/>
      <c r="BY800" s="155"/>
      <c r="BZ800" s="155"/>
      <c r="CA800" s="155"/>
      <c r="CB800" s="155"/>
      <c r="CC800" s="155"/>
      <c r="CD800" s="155"/>
      <c r="CE800" s="155"/>
      <c r="CF800" s="155"/>
      <c r="CG800" s="155"/>
    </row>
    <row r="801" spans="1:85" ht="12.75" x14ac:dyDescent="0.2">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AV801" s="155"/>
      <c r="AW801" s="155"/>
      <c r="AX801" s="155"/>
      <c r="AY801" s="155"/>
      <c r="AZ801" s="155"/>
      <c r="BA801" s="155"/>
      <c r="BB801" s="155"/>
      <c r="BC801" s="155"/>
      <c r="BD801" s="155"/>
      <c r="BE801" s="155"/>
      <c r="BF801" s="155"/>
      <c r="BG801" s="155"/>
      <c r="BH801" s="155"/>
      <c r="BI801" s="155"/>
      <c r="BJ801" s="155"/>
      <c r="BK801" s="155"/>
      <c r="BL801" s="155"/>
      <c r="BM801" s="155"/>
      <c r="BN801" s="155"/>
      <c r="BO801" s="155"/>
      <c r="BP801" s="155"/>
      <c r="BQ801" s="155"/>
      <c r="BR801" s="155"/>
      <c r="BS801" s="155"/>
      <c r="BT801" s="155"/>
      <c r="BU801" s="155"/>
      <c r="BV801" s="155"/>
      <c r="BW801" s="155"/>
      <c r="BX801" s="155"/>
      <c r="BY801" s="155"/>
      <c r="BZ801" s="155"/>
      <c r="CA801" s="155"/>
      <c r="CB801" s="155"/>
      <c r="CC801" s="155"/>
      <c r="CD801" s="155"/>
      <c r="CE801" s="155"/>
      <c r="CF801" s="155"/>
      <c r="CG801" s="155"/>
    </row>
    <row r="802" spans="1:85" ht="12.75" x14ac:dyDescent="0.2">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c r="AA802" s="155"/>
      <c r="AB802" s="155"/>
      <c r="AC802" s="155"/>
      <c r="AD802" s="155"/>
      <c r="AE802" s="155"/>
      <c r="AF802" s="155"/>
      <c r="AG802" s="155"/>
      <c r="AH802" s="155"/>
      <c r="AI802" s="155"/>
      <c r="AJ802" s="155"/>
      <c r="AK802" s="155"/>
      <c r="AL802" s="155"/>
      <c r="AM802" s="155"/>
      <c r="AN802" s="155"/>
      <c r="AO802" s="155"/>
      <c r="AP802" s="155"/>
      <c r="AQ802" s="155"/>
      <c r="AR802" s="155"/>
      <c r="AS802" s="155"/>
      <c r="AT802" s="155"/>
      <c r="AU802" s="155"/>
      <c r="AV802" s="155"/>
      <c r="AW802" s="155"/>
      <c r="AX802" s="155"/>
      <c r="AY802" s="155"/>
      <c r="AZ802" s="155"/>
      <c r="BA802" s="155"/>
      <c r="BB802" s="155"/>
      <c r="BC802" s="155"/>
      <c r="BD802" s="155"/>
      <c r="BE802" s="155"/>
      <c r="BF802" s="155"/>
      <c r="BG802" s="155"/>
      <c r="BH802" s="155"/>
      <c r="BI802" s="155"/>
      <c r="BJ802" s="155"/>
      <c r="BK802" s="155"/>
      <c r="BL802" s="155"/>
      <c r="BM802" s="155"/>
      <c r="BN802" s="155"/>
      <c r="BO802" s="155"/>
      <c r="BP802" s="155"/>
      <c r="BQ802" s="155"/>
      <c r="BR802" s="155"/>
      <c r="BS802" s="155"/>
      <c r="BT802" s="155"/>
      <c r="BU802" s="155"/>
      <c r="BV802" s="155"/>
      <c r="BW802" s="155"/>
      <c r="BX802" s="155"/>
      <c r="BY802" s="155"/>
      <c r="BZ802" s="155"/>
      <c r="CA802" s="155"/>
      <c r="CB802" s="155"/>
      <c r="CC802" s="155"/>
      <c r="CD802" s="155"/>
      <c r="CE802" s="155"/>
      <c r="CF802" s="155"/>
      <c r="CG802" s="155"/>
    </row>
    <row r="803" spans="1:85" ht="12.75" x14ac:dyDescent="0.2">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c r="AA803" s="155"/>
      <c r="AB803" s="155"/>
      <c r="AC803" s="155"/>
      <c r="AD803" s="155"/>
      <c r="AE803" s="155"/>
      <c r="AF803" s="155"/>
      <c r="AG803" s="155"/>
      <c r="AH803" s="155"/>
      <c r="AI803" s="155"/>
      <c r="AJ803" s="155"/>
      <c r="AK803" s="155"/>
      <c r="AL803" s="155"/>
      <c r="AM803" s="155"/>
      <c r="AN803" s="155"/>
      <c r="AO803" s="155"/>
      <c r="AP803" s="155"/>
      <c r="AQ803" s="155"/>
      <c r="AR803" s="155"/>
      <c r="AS803" s="155"/>
      <c r="AT803" s="155"/>
      <c r="AU803" s="155"/>
      <c r="AV803" s="155"/>
      <c r="AW803" s="155"/>
      <c r="AX803" s="155"/>
      <c r="AY803" s="155"/>
      <c r="AZ803" s="155"/>
      <c r="BA803" s="155"/>
      <c r="BB803" s="155"/>
      <c r="BC803" s="155"/>
      <c r="BD803" s="155"/>
      <c r="BE803" s="155"/>
      <c r="BF803" s="155"/>
      <c r="BG803" s="155"/>
      <c r="BH803" s="155"/>
      <c r="BI803" s="155"/>
      <c r="BJ803" s="155"/>
      <c r="BK803" s="155"/>
      <c r="BL803" s="155"/>
      <c r="BM803" s="155"/>
      <c r="BN803" s="155"/>
      <c r="BO803" s="155"/>
      <c r="BP803" s="155"/>
      <c r="BQ803" s="155"/>
      <c r="BR803" s="155"/>
      <c r="BS803" s="155"/>
      <c r="BT803" s="155"/>
      <c r="BU803" s="155"/>
      <c r="BV803" s="155"/>
      <c r="BW803" s="155"/>
      <c r="BX803" s="155"/>
      <c r="BY803" s="155"/>
      <c r="BZ803" s="155"/>
      <c r="CA803" s="155"/>
      <c r="CB803" s="155"/>
      <c r="CC803" s="155"/>
      <c r="CD803" s="155"/>
      <c r="CE803" s="155"/>
      <c r="CF803" s="155"/>
      <c r="CG803" s="155"/>
    </row>
    <row r="804" spans="1:85" ht="12.75" x14ac:dyDescent="0.2">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c r="AA804" s="155"/>
      <c r="AB804" s="155"/>
      <c r="AC804" s="155"/>
      <c r="AD804" s="155"/>
      <c r="AE804" s="155"/>
      <c r="AF804" s="155"/>
      <c r="AG804" s="155"/>
      <c r="AH804" s="155"/>
      <c r="AI804" s="155"/>
      <c r="AJ804" s="155"/>
      <c r="AK804" s="155"/>
      <c r="AL804" s="155"/>
      <c r="AM804" s="155"/>
      <c r="AN804" s="155"/>
      <c r="AO804" s="155"/>
      <c r="AP804" s="155"/>
      <c r="AQ804" s="155"/>
      <c r="AR804" s="155"/>
      <c r="AS804" s="155"/>
      <c r="AT804" s="155"/>
      <c r="AU804" s="155"/>
      <c r="AV804" s="155"/>
      <c r="AW804" s="155"/>
      <c r="AX804" s="155"/>
      <c r="AY804" s="155"/>
      <c r="AZ804" s="155"/>
      <c r="BA804" s="155"/>
      <c r="BB804" s="155"/>
      <c r="BC804" s="155"/>
      <c r="BD804" s="155"/>
      <c r="BE804" s="155"/>
      <c r="BF804" s="155"/>
      <c r="BG804" s="155"/>
      <c r="BH804" s="155"/>
      <c r="BI804" s="155"/>
      <c r="BJ804" s="155"/>
      <c r="BK804" s="155"/>
      <c r="BL804" s="155"/>
      <c r="BM804" s="155"/>
      <c r="BN804" s="155"/>
      <c r="BO804" s="155"/>
      <c r="BP804" s="155"/>
      <c r="BQ804" s="155"/>
      <c r="BR804" s="155"/>
      <c r="BS804" s="155"/>
      <c r="BT804" s="155"/>
      <c r="BU804" s="155"/>
      <c r="BV804" s="155"/>
      <c r="BW804" s="155"/>
      <c r="BX804" s="155"/>
      <c r="BY804" s="155"/>
      <c r="BZ804" s="155"/>
      <c r="CA804" s="155"/>
      <c r="CB804" s="155"/>
      <c r="CC804" s="155"/>
      <c r="CD804" s="155"/>
      <c r="CE804" s="155"/>
      <c r="CF804" s="155"/>
      <c r="CG804" s="155"/>
    </row>
    <row r="805" spans="1:85" ht="12.75" x14ac:dyDescent="0.2">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c r="AA805" s="155"/>
      <c r="AB805" s="155"/>
      <c r="AC805" s="155"/>
      <c r="AD805" s="155"/>
      <c r="AE805" s="155"/>
      <c r="AF805" s="155"/>
      <c r="AG805" s="155"/>
      <c r="AH805" s="155"/>
      <c r="AI805" s="155"/>
      <c r="AJ805" s="155"/>
      <c r="AK805" s="155"/>
      <c r="AL805" s="155"/>
      <c r="AM805" s="155"/>
      <c r="AN805" s="155"/>
      <c r="AO805" s="155"/>
      <c r="AP805" s="155"/>
      <c r="AQ805" s="155"/>
      <c r="AR805" s="155"/>
      <c r="AS805" s="155"/>
      <c r="AT805" s="155"/>
      <c r="AU805" s="155"/>
      <c r="AV805" s="155"/>
      <c r="AW805" s="155"/>
      <c r="AX805" s="155"/>
      <c r="AY805" s="155"/>
      <c r="AZ805" s="155"/>
      <c r="BA805" s="155"/>
      <c r="BB805" s="155"/>
      <c r="BC805" s="155"/>
      <c r="BD805" s="155"/>
      <c r="BE805" s="155"/>
      <c r="BF805" s="155"/>
      <c r="BG805" s="155"/>
      <c r="BH805" s="155"/>
      <c r="BI805" s="155"/>
      <c r="BJ805" s="155"/>
      <c r="BK805" s="155"/>
      <c r="BL805" s="155"/>
      <c r="BM805" s="155"/>
      <c r="BN805" s="155"/>
      <c r="BO805" s="155"/>
      <c r="BP805" s="155"/>
      <c r="BQ805" s="155"/>
      <c r="BR805" s="155"/>
      <c r="BS805" s="155"/>
      <c r="BT805" s="155"/>
      <c r="BU805" s="155"/>
      <c r="BV805" s="155"/>
      <c r="BW805" s="155"/>
      <c r="BX805" s="155"/>
      <c r="BY805" s="155"/>
      <c r="BZ805" s="155"/>
      <c r="CA805" s="155"/>
      <c r="CB805" s="155"/>
      <c r="CC805" s="155"/>
      <c r="CD805" s="155"/>
      <c r="CE805" s="155"/>
      <c r="CF805" s="155"/>
      <c r="CG805" s="155"/>
    </row>
    <row r="806" spans="1:85" ht="12.75" x14ac:dyDescent="0.2">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c r="AA806" s="155"/>
      <c r="AB806" s="155"/>
      <c r="AC806" s="155"/>
      <c r="AD806" s="155"/>
      <c r="AE806" s="155"/>
      <c r="AF806" s="155"/>
      <c r="AG806" s="155"/>
      <c r="AH806" s="155"/>
      <c r="AI806" s="155"/>
      <c r="AJ806" s="155"/>
      <c r="AK806" s="155"/>
      <c r="AL806" s="155"/>
      <c r="AM806" s="155"/>
      <c r="AN806" s="155"/>
      <c r="AO806" s="155"/>
      <c r="AP806" s="155"/>
      <c r="AQ806" s="155"/>
      <c r="AR806" s="155"/>
      <c r="AS806" s="155"/>
      <c r="AT806" s="155"/>
      <c r="AU806" s="155"/>
      <c r="AV806" s="155"/>
      <c r="AW806" s="155"/>
      <c r="AX806" s="155"/>
      <c r="AY806" s="155"/>
      <c r="AZ806" s="155"/>
      <c r="BA806" s="155"/>
      <c r="BB806" s="155"/>
      <c r="BC806" s="155"/>
      <c r="BD806" s="155"/>
      <c r="BE806" s="155"/>
      <c r="BF806" s="155"/>
      <c r="BG806" s="155"/>
      <c r="BH806" s="155"/>
      <c r="BI806" s="155"/>
      <c r="BJ806" s="155"/>
      <c r="BK806" s="155"/>
      <c r="BL806" s="155"/>
      <c r="BM806" s="155"/>
      <c r="BN806" s="155"/>
      <c r="BO806" s="155"/>
      <c r="BP806" s="155"/>
      <c r="BQ806" s="155"/>
      <c r="BR806" s="155"/>
      <c r="BS806" s="155"/>
      <c r="BT806" s="155"/>
      <c r="BU806" s="155"/>
      <c r="BV806" s="155"/>
      <c r="BW806" s="155"/>
      <c r="BX806" s="155"/>
      <c r="BY806" s="155"/>
      <c r="BZ806" s="155"/>
      <c r="CA806" s="155"/>
      <c r="CB806" s="155"/>
      <c r="CC806" s="155"/>
      <c r="CD806" s="155"/>
      <c r="CE806" s="155"/>
      <c r="CF806" s="155"/>
      <c r="CG806" s="155"/>
    </row>
    <row r="807" spans="1:85" ht="12.75" x14ac:dyDescent="0.2">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c r="AA807" s="155"/>
      <c r="AB807" s="155"/>
      <c r="AC807" s="155"/>
      <c r="AD807" s="155"/>
      <c r="AE807" s="155"/>
      <c r="AF807" s="155"/>
      <c r="AG807" s="155"/>
      <c r="AH807" s="155"/>
      <c r="AI807" s="155"/>
      <c r="AJ807" s="155"/>
      <c r="AK807" s="155"/>
      <c r="AL807" s="155"/>
      <c r="AM807" s="155"/>
      <c r="AN807" s="155"/>
      <c r="AO807" s="155"/>
      <c r="AP807" s="155"/>
      <c r="AQ807" s="155"/>
      <c r="AR807" s="155"/>
      <c r="AS807" s="155"/>
      <c r="AT807" s="155"/>
      <c r="AU807" s="155"/>
      <c r="AV807" s="155"/>
      <c r="AW807" s="155"/>
      <c r="AX807" s="155"/>
      <c r="AY807" s="155"/>
      <c r="AZ807" s="155"/>
      <c r="BA807" s="155"/>
      <c r="BB807" s="155"/>
      <c r="BC807" s="155"/>
      <c r="BD807" s="155"/>
      <c r="BE807" s="155"/>
      <c r="BF807" s="155"/>
      <c r="BG807" s="155"/>
      <c r="BH807" s="155"/>
      <c r="BI807" s="155"/>
      <c r="BJ807" s="155"/>
      <c r="BK807" s="155"/>
      <c r="BL807" s="155"/>
      <c r="BM807" s="155"/>
      <c r="BN807" s="155"/>
      <c r="BO807" s="155"/>
      <c r="BP807" s="155"/>
      <c r="BQ807" s="155"/>
      <c r="BR807" s="155"/>
      <c r="BS807" s="155"/>
      <c r="BT807" s="155"/>
      <c r="BU807" s="155"/>
      <c r="BV807" s="155"/>
      <c r="BW807" s="155"/>
      <c r="BX807" s="155"/>
      <c r="BY807" s="155"/>
      <c r="BZ807" s="155"/>
      <c r="CA807" s="155"/>
      <c r="CB807" s="155"/>
      <c r="CC807" s="155"/>
      <c r="CD807" s="155"/>
      <c r="CE807" s="155"/>
      <c r="CF807" s="155"/>
      <c r="CG807" s="155"/>
    </row>
    <row r="808" spans="1:85" ht="12.75" x14ac:dyDescent="0.2">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c r="AA808" s="155"/>
      <c r="AB808" s="155"/>
      <c r="AC808" s="155"/>
      <c r="AD808" s="155"/>
      <c r="AE808" s="155"/>
      <c r="AF808" s="155"/>
      <c r="AG808" s="155"/>
      <c r="AH808" s="155"/>
      <c r="AI808" s="155"/>
      <c r="AJ808" s="155"/>
      <c r="AK808" s="155"/>
      <c r="AL808" s="155"/>
      <c r="AM808" s="155"/>
      <c r="AN808" s="155"/>
      <c r="AO808" s="155"/>
      <c r="AP808" s="155"/>
      <c r="AQ808" s="155"/>
      <c r="AR808" s="155"/>
      <c r="AS808" s="155"/>
      <c r="AT808" s="155"/>
      <c r="AU808" s="155"/>
      <c r="AV808" s="155"/>
      <c r="AW808" s="155"/>
      <c r="AX808" s="155"/>
      <c r="AY808" s="155"/>
      <c r="AZ808" s="155"/>
      <c r="BA808" s="155"/>
      <c r="BB808" s="155"/>
      <c r="BC808" s="155"/>
      <c r="BD808" s="155"/>
      <c r="BE808" s="155"/>
      <c r="BF808" s="155"/>
      <c r="BG808" s="155"/>
      <c r="BH808" s="155"/>
      <c r="BI808" s="155"/>
      <c r="BJ808" s="155"/>
      <c r="BK808" s="155"/>
      <c r="BL808" s="155"/>
      <c r="BM808" s="155"/>
      <c r="BN808" s="155"/>
      <c r="BO808" s="155"/>
      <c r="BP808" s="155"/>
      <c r="BQ808" s="155"/>
      <c r="BR808" s="155"/>
      <c r="BS808" s="155"/>
      <c r="BT808" s="155"/>
      <c r="BU808" s="155"/>
      <c r="BV808" s="155"/>
      <c r="BW808" s="155"/>
      <c r="BX808" s="155"/>
      <c r="BY808" s="155"/>
      <c r="BZ808" s="155"/>
      <c r="CA808" s="155"/>
      <c r="CB808" s="155"/>
      <c r="CC808" s="155"/>
      <c r="CD808" s="155"/>
      <c r="CE808" s="155"/>
      <c r="CF808" s="155"/>
      <c r="CG808" s="155"/>
    </row>
    <row r="809" spans="1:85" ht="12.75" x14ac:dyDescent="0.2">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c r="AA809" s="155"/>
      <c r="AB809" s="155"/>
      <c r="AC809" s="155"/>
      <c r="AD809" s="155"/>
      <c r="AE809" s="155"/>
      <c r="AF809" s="155"/>
      <c r="AG809" s="155"/>
      <c r="AH809" s="155"/>
      <c r="AI809" s="155"/>
      <c r="AJ809" s="155"/>
      <c r="AK809" s="155"/>
      <c r="AL809" s="155"/>
      <c r="AM809" s="155"/>
      <c r="AN809" s="155"/>
      <c r="AO809" s="155"/>
      <c r="AP809" s="155"/>
      <c r="AQ809" s="155"/>
      <c r="AR809" s="155"/>
      <c r="AS809" s="155"/>
      <c r="AT809" s="155"/>
      <c r="AU809" s="155"/>
      <c r="AV809" s="155"/>
      <c r="AW809" s="155"/>
      <c r="AX809" s="155"/>
      <c r="AY809" s="155"/>
      <c r="AZ809" s="155"/>
      <c r="BA809" s="155"/>
      <c r="BB809" s="155"/>
      <c r="BC809" s="155"/>
      <c r="BD809" s="155"/>
      <c r="BE809" s="155"/>
      <c r="BF809" s="155"/>
      <c r="BG809" s="155"/>
      <c r="BH809" s="155"/>
      <c r="BI809" s="155"/>
      <c r="BJ809" s="155"/>
      <c r="BK809" s="155"/>
      <c r="BL809" s="155"/>
      <c r="BM809" s="155"/>
      <c r="BN809" s="155"/>
      <c r="BO809" s="155"/>
      <c r="BP809" s="155"/>
      <c r="BQ809" s="155"/>
      <c r="BR809" s="155"/>
      <c r="BS809" s="155"/>
      <c r="BT809" s="155"/>
      <c r="BU809" s="155"/>
      <c r="BV809" s="155"/>
      <c r="BW809" s="155"/>
      <c r="BX809" s="155"/>
      <c r="BY809" s="155"/>
      <c r="BZ809" s="155"/>
      <c r="CA809" s="155"/>
      <c r="CB809" s="155"/>
      <c r="CC809" s="155"/>
      <c r="CD809" s="155"/>
      <c r="CE809" s="155"/>
      <c r="CF809" s="155"/>
      <c r="CG809" s="155"/>
    </row>
    <row r="810" spans="1:85" ht="12.75" x14ac:dyDescent="0.2">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c r="AA810" s="155"/>
      <c r="AB810" s="155"/>
      <c r="AC810" s="155"/>
      <c r="AD810" s="155"/>
      <c r="AE810" s="155"/>
      <c r="AF810" s="155"/>
      <c r="AG810" s="155"/>
      <c r="AH810" s="155"/>
      <c r="AI810" s="155"/>
      <c r="AJ810" s="155"/>
      <c r="AK810" s="155"/>
      <c r="AL810" s="155"/>
      <c r="AM810" s="155"/>
      <c r="AN810" s="155"/>
      <c r="AO810" s="155"/>
      <c r="AP810" s="155"/>
      <c r="AQ810" s="155"/>
      <c r="AR810" s="155"/>
      <c r="AS810" s="155"/>
      <c r="AT810" s="155"/>
      <c r="AU810" s="155"/>
      <c r="AV810" s="155"/>
      <c r="AW810" s="155"/>
      <c r="AX810" s="155"/>
      <c r="AY810" s="155"/>
      <c r="AZ810" s="155"/>
      <c r="BA810" s="155"/>
      <c r="BB810" s="155"/>
      <c r="BC810" s="155"/>
      <c r="BD810" s="155"/>
      <c r="BE810" s="155"/>
      <c r="BF810" s="155"/>
      <c r="BG810" s="155"/>
      <c r="BH810" s="155"/>
      <c r="BI810" s="155"/>
      <c r="BJ810" s="155"/>
      <c r="BK810" s="155"/>
      <c r="BL810" s="155"/>
      <c r="BM810" s="155"/>
      <c r="BN810" s="155"/>
      <c r="BO810" s="155"/>
      <c r="BP810" s="155"/>
      <c r="BQ810" s="155"/>
      <c r="BR810" s="155"/>
      <c r="BS810" s="155"/>
      <c r="BT810" s="155"/>
      <c r="BU810" s="155"/>
      <c r="BV810" s="155"/>
      <c r="BW810" s="155"/>
      <c r="BX810" s="155"/>
      <c r="BY810" s="155"/>
      <c r="BZ810" s="155"/>
      <c r="CA810" s="155"/>
      <c r="CB810" s="155"/>
      <c r="CC810" s="155"/>
      <c r="CD810" s="155"/>
      <c r="CE810" s="155"/>
      <c r="CF810" s="155"/>
      <c r="CG810" s="155"/>
    </row>
    <row r="811" spans="1:85" ht="12.75" x14ac:dyDescent="0.2">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c r="AA811" s="155"/>
      <c r="AB811" s="155"/>
      <c r="AC811" s="155"/>
      <c r="AD811" s="155"/>
      <c r="AE811" s="155"/>
      <c r="AF811" s="155"/>
      <c r="AG811" s="155"/>
      <c r="AH811" s="155"/>
      <c r="AI811" s="155"/>
      <c r="AJ811" s="155"/>
      <c r="AK811" s="155"/>
      <c r="AL811" s="155"/>
      <c r="AM811" s="155"/>
      <c r="AN811" s="155"/>
      <c r="AO811" s="155"/>
      <c r="AP811" s="155"/>
      <c r="AQ811" s="155"/>
      <c r="AR811" s="155"/>
      <c r="AS811" s="155"/>
      <c r="AT811" s="155"/>
      <c r="AU811" s="155"/>
      <c r="AV811" s="155"/>
      <c r="AW811" s="155"/>
      <c r="AX811" s="155"/>
      <c r="AY811" s="155"/>
      <c r="AZ811" s="155"/>
      <c r="BA811" s="155"/>
      <c r="BB811" s="155"/>
      <c r="BC811" s="155"/>
      <c r="BD811" s="155"/>
      <c r="BE811" s="155"/>
      <c r="BF811" s="155"/>
      <c r="BG811" s="155"/>
      <c r="BH811" s="155"/>
      <c r="BI811" s="155"/>
      <c r="BJ811" s="155"/>
      <c r="BK811" s="155"/>
      <c r="BL811" s="155"/>
      <c r="BM811" s="155"/>
      <c r="BN811" s="155"/>
      <c r="BO811" s="155"/>
      <c r="BP811" s="155"/>
      <c r="BQ811" s="155"/>
      <c r="BR811" s="155"/>
      <c r="BS811" s="155"/>
      <c r="BT811" s="155"/>
      <c r="BU811" s="155"/>
      <c r="BV811" s="155"/>
      <c r="BW811" s="155"/>
      <c r="BX811" s="155"/>
      <c r="BY811" s="155"/>
      <c r="BZ811" s="155"/>
      <c r="CA811" s="155"/>
      <c r="CB811" s="155"/>
      <c r="CC811" s="155"/>
      <c r="CD811" s="155"/>
      <c r="CE811" s="155"/>
      <c r="CF811" s="155"/>
      <c r="CG811" s="155"/>
    </row>
    <row r="812" spans="1:85" ht="12.75" x14ac:dyDescent="0.2">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AV812" s="155"/>
      <c r="AW812" s="155"/>
      <c r="AX812" s="155"/>
      <c r="AY812" s="155"/>
      <c r="AZ812" s="155"/>
      <c r="BA812" s="155"/>
      <c r="BB812" s="155"/>
      <c r="BC812" s="155"/>
      <c r="BD812" s="155"/>
      <c r="BE812" s="155"/>
      <c r="BF812" s="155"/>
      <c r="BG812" s="155"/>
      <c r="BH812" s="155"/>
      <c r="BI812" s="155"/>
      <c r="BJ812" s="155"/>
      <c r="BK812" s="155"/>
      <c r="BL812" s="155"/>
      <c r="BM812" s="155"/>
      <c r="BN812" s="155"/>
      <c r="BO812" s="155"/>
      <c r="BP812" s="155"/>
      <c r="BQ812" s="155"/>
      <c r="BR812" s="155"/>
      <c r="BS812" s="155"/>
      <c r="BT812" s="155"/>
      <c r="BU812" s="155"/>
      <c r="BV812" s="155"/>
      <c r="BW812" s="155"/>
      <c r="BX812" s="155"/>
      <c r="BY812" s="155"/>
      <c r="BZ812" s="155"/>
      <c r="CA812" s="155"/>
      <c r="CB812" s="155"/>
      <c r="CC812" s="155"/>
      <c r="CD812" s="155"/>
      <c r="CE812" s="155"/>
      <c r="CF812" s="155"/>
      <c r="CG812" s="155"/>
    </row>
    <row r="813" spans="1:85" ht="12.75" x14ac:dyDescent="0.2">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c r="AA813" s="155"/>
      <c r="AB813" s="155"/>
      <c r="AC813" s="155"/>
      <c r="AD813" s="155"/>
      <c r="AE813" s="155"/>
      <c r="AF813" s="155"/>
      <c r="AG813" s="155"/>
      <c r="AH813" s="155"/>
      <c r="AI813" s="155"/>
      <c r="AJ813" s="155"/>
      <c r="AK813" s="155"/>
      <c r="AL813" s="155"/>
      <c r="AM813" s="155"/>
      <c r="AN813" s="155"/>
      <c r="AO813" s="155"/>
      <c r="AP813" s="155"/>
      <c r="AQ813" s="155"/>
      <c r="AR813" s="155"/>
      <c r="AS813" s="155"/>
      <c r="AT813" s="155"/>
      <c r="AU813" s="155"/>
      <c r="AV813" s="155"/>
      <c r="AW813" s="155"/>
      <c r="AX813" s="155"/>
      <c r="AY813" s="155"/>
      <c r="AZ813" s="155"/>
      <c r="BA813" s="155"/>
      <c r="BB813" s="155"/>
      <c r="BC813" s="155"/>
      <c r="BD813" s="155"/>
      <c r="BE813" s="155"/>
      <c r="BF813" s="155"/>
      <c r="BG813" s="155"/>
      <c r="BH813" s="155"/>
      <c r="BI813" s="155"/>
      <c r="BJ813" s="155"/>
      <c r="BK813" s="155"/>
      <c r="BL813" s="155"/>
      <c r="BM813" s="155"/>
      <c r="BN813" s="155"/>
      <c r="BO813" s="155"/>
      <c r="BP813" s="155"/>
      <c r="BQ813" s="155"/>
      <c r="BR813" s="155"/>
      <c r="BS813" s="155"/>
      <c r="BT813" s="155"/>
      <c r="BU813" s="155"/>
      <c r="BV813" s="155"/>
      <c r="BW813" s="155"/>
      <c r="BX813" s="155"/>
      <c r="BY813" s="155"/>
      <c r="BZ813" s="155"/>
      <c r="CA813" s="155"/>
      <c r="CB813" s="155"/>
      <c r="CC813" s="155"/>
      <c r="CD813" s="155"/>
      <c r="CE813" s="155"/>
      <c r="CF813" s="155"/>
      <c r="CG813" s="155"/>
    </row>
    <row r="814" spans="1:85" ht="12.75" x14ac:dyDescent="0.2">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c r="AA814" s="155"/>
      <c r="AB814" s="155"/>
      <c r="AC814" s="155"/>
      <c r="AD814" s="155"/>
      <c r="AE814" s="155"/>
      <c r="AF814" s="155"/>
      <c r="AG814" s="155"/>
      <c r="AH814" s="155"/>
      <c r="AI814" s="155"/>
      <c r="AJ814" s="155"/>
      <c r="AK814" s="155"/>
      <c r="AL814" s="155"/>
      <c r="AM814" s="155"/>
      <c r="AN814" s="155"/>
      <c r="AO814" s="155"/>
      <c r="AP814" s="155"/>
      <c r="AQ814" s="155"/>
      <c r="AR814" s="155"/>
      <c r="AS814" s="155"/>
      <c r="AT814" s="155"/>
      <c r="AU814" s="155"/>
      <c r="AV814" s="155"/>
      <c r="AW814" s="155"/>
      <c r="AX814" s="155"/>
      <c r="AY814" s="155"/>
      <c r="AZ814" s="155"/>
      <c r="BA814" s="155"/>
      <c r="BB814" s="155"/>
      <c r="BC814" s="155"/>
      <c r="BD814" s="155"/>
      <c r="BE814" s="155"/>
      <c r="BF814" s="155"/>
      <c r="BG814" s="155"/>
      <c r="BH814" s="155"/>
      <c r="BI814" s="155"/>
      <c r="BJ814" s="155"/>
      <c r="BK814" s="155"/>
      <c r="BL814" s="155"/>
      <c r="BM814" s="155"/>
      <c r="BN814" s="155"/>
      <c r="BO814" s="155"/>
      <c r="BP814" s="155"/>
      <c r="BQ814" s="155"/>
      <c r="BR814" s="155"/>
      <c r="BS814" s="155"/>
      <c r="BT814" s="155"/>
      <c r="BU814" s="155"/>
      <c r="BV814" s="155"/>
      <c r="BW814" s="155"/>
      <c r="BX814" s="155"/>
      <c r="BY814" s="155"/>
      <c r="BZ814" s="155"/>
      <c r="CA814" s="155"/>
      <c r="CB814" s="155"/>
      <c r="CC814" s="155"/>
      <c r="CD814" s="155"/>
      <c r="CE814" s="155"/>
      <c r="CF814" s="155"/>
      <c r="CG814" s="155"/>
    </row>
    <row r="815" spans="1:85" ht="12.75" x14ac:dyDescent="0.2">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c r="AA815" s="155"/>
      <c r="AB815" s="155"/>
      <c r="AC815" s="155"/>
      <c r="AD815" s="155"/>
      <c r="AE815" s="155"/>
      <c r="AF815" s="155"/>
      <c r="AG815" s="155"/>
      <c r="AH815" s="155"/>
      <c r="AI815" s="155"/>
      <c r="AJ815" s="155"/>
      <c r="AK815" s="155"/>
      <c r="AL815" s="155"/>
      <c r="AM815" s="155"/>
      <c r="AN815" s="155"/>
      <c r="AO815" s="155"/>
      <c r="AP815" s="155"/>
      <c r="AQ815" s="155"/>
      <c r="AR815" s="155"/>
      <c r="AS815" s="155"/>
      <c r="AT815" s="155"/>
      <c r="AU815" s="155"/>
      <c r="AV815" s="155"/>
      <c r="AW815" s="155"/>
      <c r="AX815" s="155"/>
      <c r="AY815" s="155"/>
      <c r="AZ815" s="155"/>
      <c r="BA815" s="155"/>
      <c r="BB815" s="155"/>
      <c r="BC815" s="155"/>
      <c r="BD815" s="155"/>
      <c r="BE815" s="155"/>
      <c r="BF815" s="155"/>
      <c r="BG815" s="155"/>
      <c r="BH815" s="155"/>
      <c r="BI815" s="155"/>
      <c r="BJ815" s="155"/>
      <c r="BK815" s="155"/>
      <c r="BL815" s="155"/>
      <c r="BM815" s="155"/>
      <c r="BN815" s="155"/>
      <c r="BO815" s="155"/>
      <c r="BP815" s="155"/>
      <c r="BQ815" s="155"/>
      <c r="BR815" s="155"/>
      <c r="BS815" s="155"/>
      <c r="BT815" s="155"/>
      <c r="BU815" s="155"/>
      <c r="BV815" s="155"/>
      <c r="BW815" s="155"/>
      <c r="BX815" s="155"/>
      <c r="BY815" s="155"/>
      <c r="BZ815" s="155"/>
      <c r="CA815" s="155"/>
      <c r="CB815" s="155"/>
      <c r="CC815" s="155"/>
      <c r="CD815" s="155"/>
      <c r="CE815" s="155"/>
      <c r="CF815" s="155"/>
      <c r="CG815" s="155"/>
    </row>
    <row r="816" spans="1:85" ht="12.75" x14ac:dyDescent="0.2">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c r="AA816" s="155"/>
      <c r="AB816" s="155"/>
      <c r="AC816" s="155"/>
      <c r="AD816" s="155"/>
      <c r="AE816" s="155"/>
      <c r="AF816" s="155"/>
      <c r="AG816" s="155"/>
      <c r="AH816" s="155"/>
      <c r="AI816" s="155"/>
      <c r="AJ816" s="155"/>
      <c r="AK816" s="155"/>
      <c r="AL816" s="155"/>
      <c r="AM816" s="155"/>
      <c r="AN816" s="155"/>
      <c r="AO816" s="155"/>
      <c r="AP816" s="155"/>
      <c r="AQ816" s="155"/>
      <c r="AR816" s="155"/>
      <c r="AS816" s="155"/>
      <c r="AT816" s="155"/>
      <c r="AU816" s="155"/>
      <c r="AV816" s="155"/>
      <c r="AW816" s="155"/>
      <c r="AX816" s="155"/>
      <c r="AY816" s="155"/>
      <c r="AZ816" s="155"/>
      <c r="BA816" s="155"/>
      <c r="BB816" s="155"/>
      <c r="BC816" s="155"/>
      <c r="BD816" s="155"/>
      <c r="BE816" s="155"/>
      <c r="BF816" s="155"/>
      <c r="BG816" s="155"/>
      <c r="BH816" s="155"/>
      <c r="BI816" s="155"/>
      <c r="BJ816" s="155"/>
      <c r="BK816" s="155"/>
      <c r="BL816" s="155"/>
      <c r="BM816" s="155"/>
      <c r="BN816" s="155"/>
      <c r="BO816" s="155"/>
      <c r="BP816" s="155"/>
      <c r="BQ816" s="155"/>
      <c r="BR816" s="155"/>
      <c r="BS816" s="155"/>
      <c r="BT816" s="155"/>
      <c r="BU816" s="155"/>
      <c r="BV816" s="155"/>
      <c r="BW816" s="155"/>
      <c r="BX816" s="155"/>
      <c r="BY816" s="155"/>
      <c r="BZ816" s="155"/>
      <c r="CA816" s="155"/>
      <c r="CB816" s="155"/>
      <c r="CC816" s="155"/>
      <c r="CD816" s="155"/>
      <c r="CE816" s="155"/>
      <c r="CF816" s="155"/>
      <c r="CG816" s="155"/>
    </row>
    <row r="817" spans="1:85" ht="12.75" x14ac:dyDescent="0.2">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c r="AA817" s="155"/>
      <c r="AB817" s="155"/>
      <c r="AC817" s="155"/>
      <c r="AD817" s="155"/>
      <c r="AE817" s="155"/>
      <c r="AF817" s="155"/>
      <c r="AG817" s="155"/>
      <c r="AH817" s="155"/>
      <c r="AI817" s="155"/>
      <c r="AJ817" s="155"/>
      <c r="AK817" s="155"/>
      <c r="AL817" s="155"/>
      <c r="AM817" s="155"/>
      <c r="AN817" s="155"/>
      <c r="AO817" s="155"/>
      <c r="AP817" s="155"/>
      <c r="AQ817" s="155"/>
      <c r="AR817" s="155"/>
      <c r="AS817" s="155"/>
      <c r="AT817" s="155"/>
      <c r="AU817" s="155"/>
      <c r="AV817" s="155"/>
      <c r="AW817" s="155"/>
      <c r="AX817" s="155"/>
      <c r="AY817" s="155"/>
      <c r="AZ817" s="155"/>
      <c r="BA817" s="155"/>
      <c r="BB817" s="155"/>
      <c r="BC817" s="155"/>
      <c r="BD817" s="155"/>
      <c r="BE817" s="155"/>
      <c r="BF817" s="155"/>
      <c r="BG817" s="155"/>
      <c r="BH817" s="155"/>
      <c r="BI817" s="155"/>
      <c r="BJ817" s="155"/>
      <c r="BK817" s="155"/>
      <c r="BL817" s="155"/>
      <c r="BM817" s="155"/>
      <c r="BN817" s="155"/>
      <c r="BO817" s="155"/>
      <c r="BP817" s="155"/>
      <c r="BQ817" s="155"/>
      <c r="BR817" s="155"/>
      <c r="BS817" s="155"/>
      <c r="BT817" s="155"/>
      <c r="BU817" s="155"/>
      <c r="BV817" s="155"/>
      <c r="BW817" s="155"/>
      <c r="BX817" s="155"/>
      <c r="BY817" s="155"/>
      <c r="BZ817" s="155"/>
      <c r="CA817" s="155"/>
      <c r="CB817" s="155"/>
      <c r="CC817" s="155"/>
      <c r="CD817" s="155"/>
      <c r="CE817" s="155"/>
      <c r="CF817" s="155"/>
      <c r="CG817" s="155"/>
    </row>
    <row r="818" spans="1:85" ht="12.75" x14ac:dyDescent="0.2">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c r="AA818" s="155"/>
      <c r="AB818" s="155"/>
      <c r="AC818" s="155"/>
      <c r="AD818" s="155"/>
      <c r="AE818" s="155"/>
      <c r="AF818" s="155"/>
      <c r="AG818" s="155"/>
      <c r="AH818" s="155"/>
      <c r="AI818" s="155"/>
      <c r="AJ818" s="155"/>
      <c r="AK818" s="155"/>
      <c r="AL818" s="155"/>
      <c r="AM818" s="155"/>
      <c r="AN818" s="155"/>
      <c r="AO818" s="155"/>
      <c r="AP818" s="155"/>
      <c r="AQ818" s="155"/>
      <c r="AR818" s="155"/>
      <c r="AS818" s="155"/>
      <c r="AT818" s="155"/>
      <c r="AU818" s="155"/>
      <c r="AV818" s="155"/>
      <c r="AW818" s="155"/>
      <c r="AX818" s="155"/>
      <c r="AY818" s="155"/>
      <c r="AZ818" s="155"/>
      <c r="BA818" s="155"/>
      <c r="BB818" s="155"/>
      <c r="BC818" s="155"/>
      <c r="BD818" s="155"/>
      <c r="BE818" s="155"/>
      <c r="BF818" s="155"/>
      <c r="BG818" s="155"/>
      <c r="BH818" s="155"/>
      <c r="BI818" s="155"/>
      <c r="BJ818" s="155"/>
      <c r="BK818" s="155"/>
      <c r="BL818" s="155"/>
      <c r="BM818" s="155"/>
      <c r="BN818" s="155"/>
      <c r="BO818" s="155"/>
      <c r="BP818" s="155"/>
      <c r="BQ818" s="155"/>
      <c r="BR818" s="155"/>
      <c r="BS818" s="155"/>
      <c r="BT818" s="155"/>
      <c r="BU818" s="155"/>
      <c r="BV818" s="155"/>
      <c r="BW818" s="155"/>
      <c r="BX818" s="155"/>
      <c r="BY818" s="155"/>
      <c r="BZ818" s="155"/>
      <c r="CA818" s="155"/>
      <c r="CB818" s="155"/>
      <c r="CC818" s="155"/>
      <c r="CD818" s="155"/>
      <c r="CE818" s="155"/>
      <c r="CF818" s="155"/>
      <c r="CG818" s="155"/>
    </row>
    <row r="819" spans="1:85" ht="12.75" x14ac:dyDescent="0.2">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c r="AA819" s="155"/>
      <c r="AB819" s="155"/>
      <c r="AC819" s="155"/>
      <c r="AD819" s="155"/>
      <c r="AE819" s="155"/>
      <c r="AF819" s="155"/>
      <c r="AG819" s="155"/>
      <c r="AH819" s="155"/>
      <c r="AI819" s="155"/>
      <c r="AJ819" s="155"/>
      <c r="AK819" s="155"/>
      <c r="AL819" s="155"/>
      <c r="AM819" s="155"/>
      <c r="AN819" s="155"/>
      <c r="AO819" s="155"/>
      <c r="AP819" s="155"/>
      <c r="AQ819" s="155"/>
      <c r="AR819" s="155"/>
      <c r="AS819" s="155"/>
      <c r="AT819" s="155"/>
      <c r="AU819" s="155"/>
      <c r="AV819" s="155"/>
      <c r="AW819" s="155"/>
      <c r="AX819" s="155"/>
      <c r="AY819" s="155"/>
      <c r="AZ819" s="155"/>
      <c r="BA819" s="155"/>
      <c r="BB819" s="155"/>
      <c r="BC819" s="155"/>
      <c r="BD819" s="155"/>
      <c r="BE819" s="155"/>
      <c r="BF819" s="155"/>
      <c r="BG819" s="155"/>
      <c r="BH819" s="155"/>
      <c r="BI819" s="155"/>
      <c r="BJ819" s="155"/>
      <c r="BK819" s="155"/>
      <c r="BL819" s="155"/>
      <c r="BM819" s="155"/>
      <c r="BN819" s="155"/>
      <c r="BO819" s="155"/>
      <c r="BP819" s="155"/>
      <c r="BQ819" s="155"/>
      <c r="BR819" s="155"/>
      <c r="BS819" s="155"/>
      <c r="BT819" s="155"/>
      <c r="BU819" s="155"/>
      <c r="BV819" s="155"/>
      <c r="BW819" s="155"/>
      <c r="BX819" s="155"/>
      <c r="BY819" s="155"/>
      <c r="BZ819" s="155"/>
      <c r="CA819" s="155"/>
      <c r="CB819" s="155"/>
      <c r="CC819" s="155"/>
      <c r="CD819" s="155"/>
      <c r="CE819" s="155"/>
      <c r="CF819" s="155"/>
      <c r="CG819" s="155"/>
    </row>
    <row r="820" spans="1:85" ht="12.75" x14ac:dyDescent="0.2">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c r="AA820" s="155"/>
      <c r="AB820" s="155"/>
      <c r="AC820" s="155"/>
      <c r="AD820" s="155"/>
      <c r="AE820" s="155"/>
      <c r="AF820" s="155"/>
      <c r="AG820" s="155"/>
      <c r="AH820" s="155"/>
      <c r="AI820" s="155"/>
      <c r="AJ820" s="155"/>
      <c r="AK820" s="155"/>
      <c r="AL820" s="155"/>
      <c r="AM820" s="155"/>
      <c r="AN820" s="155"/>
      <c r="AO820" s="155"/>
      <c r="AP820" s="155"/>
      <c r="AQ820" s="155"/>
      <c r="AR820" s="155"/>
      <c r="AS820" s="155"/>
      <c r="AT820" s="155"/>
      <c r="AU820" s="155"/>
      <c r="AV820" s="155"/>
      <c r="AW820" s="155"/>
      <c r="AX820" s="155"/>
      <c r="AY820" s="155"/>
      <c r="AZ820" s="155"/>
      <c r="BA820" s="155"/>
      <c r="BB820" s="155"/>
      <c r="BC820" s="155"/>
      <c r="BD820" s="155"/>
      <c r="BE820" s="155"/>
      <c r="BF820" s="155"/>
      <c r="BG820" s="155"/>
      <c r="BH820" s="155"/>
      <c r="BI820" s="155"/>
      <c r="BJ820" s="155"/>
      <c r="BK820" s="155"/>
      <c r="BL820" s="155"/>
      <c r="BM820" s="155"/>
      <c r="BN820" s="155"/>
      <c r="BO820" s="155"/>
      <c r="BP820" s="155"/>
      <c r="BQ820" s="155"/>
      <c r="BR820" s="155"/>
      <c r="BS820" s="155"/>
      <c r="BT820" s="155"/>
      <c r="BU820" s="155"/>
      <c r="BV820" s="155"/>
      <c r="BW820" s="155"/>
      <c r="BX820" s="155"/>
      <c r="BY820" s="155"/>
      <c r="BZ820" s="155"/>
      <c r="CA820" s="155"/>
      <c r="CB820" s="155"/>
      <c r="CC820" s="155"/>
      <c r="CD820" s="155"/>
      <c r="CE820" s="155"/>
      <c r="CF820" s="155"/>
      <c r="CG820" s="155"/>
    </row>
    <row r="821" spans="1:85" ht="12.75" x14ac:dyDescent="0.2">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c r="AA821" s="155"/>
      <c r="AB821" s="155"/>
      <c r="AC821" s="155"/>
      <c r="AD821" s="155"/>
      <c r="AE821" s="155"/>
      <c r="AF821" s="155"/>
      <c r="AG821" s="155"/>
      <c r="AH821" s="155"/>
      <c r="AI821" s="155"/>
      <c r="AJ821" s="155"/>
      <c r="AK821" s="155"/>
      <c r="AL821" s="155"/>
      <c r="AM821" s="155"/>
      <c r="AN821" s="155"/>
      <c r="AO821" s="155"/>
      <c r="AP821" s="155"/>
      <c r="AQ821" s="155"/>
      <c r="AR821" s="155"/>
      <c r="AS821" s="155"/>
      <c r="AT821" s="155"/>
      <c r="AU821" s="155"/>
      <c r="AV821" s="155"/>
      <c r="AW821" s="155"/>
      <c r="AX821" s="155"/>
      <c r="AY821" s="155"/>
      <c r="AZ821" s="155"/>
      <c r="BA821" s="155"/>
      <c r="BB821" s="155"/>
      <c r="BC821" s="155"/>
      <c r="BD821" s="155"/>
      <c r="BE821" s="155"/>
      <c r="BF821" s="155"/>
      <c r="BG821" s="155"/>
      <c r="BH821" s="155"/>
      <c r="BI821" s="155"/>
      <c r="BJ821" s="155"/>
      <c r="BK821" s="155"/>
      <c r="BL821" s="155"/>
      <c r="BM821" s="155"/>
      <c r="BN821" s="155"/>
      <c r="BO821" s="155"/>
      <c r="BP821" s="155"/>
      <c r="BQ821" s="155"/>
      <c r="BR821" s="155"/>
      <c r="BS821" s="155"/>
      <c r="BT821" s="155"/>
      <c r="BU821" s="155"/>
      <c r="BV821" s="155"/>
      <c r="BW821" s="155"/>
      <c r="BX821" s="155"/>
      <c r="BY821" s="155"/>
      <c r="BZ821" s="155"/>
      <c r="CA821" s="155"/>
      <c r="CB821" s="155"/>
      <c r="CC821" s="155"/>
      <c r="CD821" s="155"/>
      <c r="CE821" s="155"/>
      <c r="CF821" s="155"/>
      <c r="CG821" s="155"/>
    </row>
    <row r="822" spans="1:85" ht="12.75" x14ac:dyDescent="0.2">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c r="AA822" s="155"/>
      <c r="AB822" s="155"/>
      <c r="AC822" s="155"/>
      <c r="AD822" s="155"/>
      <c r="AE822" s="155"/>
      <c r="AF822" s="155"/>
      <c r="AG822" s="155"/>
      <c r="AH822" s="155"/>
      <c r="AI822" s="155"/>
      <c r="AJ822" s="155"/>
      <c r="AK822" s="155"/>
      <c r="AL822" s="155"/>
      <c r="AM822" s="155"/>
      <c r="AN822" s="155"/>
      <c r="AO822" s="155"/>
      <c r="AP822" s="155"/>
      <c r="AQ822" s="155"/>
      <c r="AR822" s="155"/>
      <c r="AS822" s="155"/>
      <c r="AT822" s="155"/>
      <c r="AU822" s="155"/>
      <c r="AV822" s="155"/>
      <c r="AW822" s="155"/>
      <c r="AX822" s="155"/>
      <c r="AY822" s="155"/>
      <c r="AZ822" s="155"/>
      <c r="BA822" s="155"/>
      <c r="BB822" s="155"/>
      <c r="BC822" s="155"/>
      <c r="BD822" s="155"/>
      <c r="BE822" s="155"/>
      <c r="BF822" s="155"/>
      <c r="BG822" s="155"/>
      <c r="BH822" s="155"/>
      <c r="BI822" s="155"/>
      <c r="BJ822" s="155"/>
      <c r="BK822" s="155"/>
      <c r="BL822" s="155"/>
      <c r="BM822" s="155"/>
      <c r="BN822" s="155"/>
      <c r="BO822" s="155"/>
      <c r="BP822" s="155"/>
      <c r="BQ822" s="155"/>
      <c r="BR822" s="155"/>
      <c r="BS822" s="155"/>
      <c r="BT822" s="155"/>
      <c r="BU822" s="155"/>
      <c r="BV822" s="155"/>
      <c r="BW822" s="155"/>
      <c r="BX822" s="155"/>
      <c r="BY822" s="155"/>
      <c r="BZ822" s="155"/>
      <c r="CA822" s="155"/>
      <c r="CB822" s="155"/>
      <c r="CC822" s="155"/>
      <c r="CD822" s="155"/>
      <c r="CE822" s="155"/>
      <c r="CF822" s="155"/>
      <c r="CG822" s="155"/>
    </row>
    <row r="823" spans="1:85" ht="12.75" x14ac:dyDescent="0.2">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c r="AA823" s="155"/>
      <c r="AB823" s="155"/>
      <c r="AC823" s="155"/>
      <c r="AD823" s="155"/>
      <c r="AE823" s="155"/>
      <c r="AF823" s="155"/>
      <c r="AG823" s="155"/>
      <c r="AH823" s="155"/>
      <c r="AI823" s="155"/>
      <c r="AJ823" s="155"/>
      <c r="AK823" s="155"/>
      <c r="AL823" s="155"/>
      <c r="AM823" s="155"/>
      <c r="AN823" s="155"/>
      <c r="AO823" s="155"/>
      <c r="AP823" s="155"/>
      <c r="AQ823" s="155"/>
      <c r="AR823" s="155"/>
      <c r="AS823" s="155"/>
      <c r="AT823" s="155"/>
      <c r="AU823" s="155"/>
      <c r="AV823" s="155"/>
      <c r="AW823" s="155"/>
      <c r="AX823" s="155"/>
      <c r="AY823" s="155"/>
      <c r="AZ823" s="155"/>
      <c r="BA823" s="155"/>
      <c r="BB823" s="155"/>
      <c r="BC823" s="155"/>
      <c r="BD823" s="155"/>
      <c r="BE823" s="155"/>
      <c r="BF823" s="155"/>
      <c r="BG823" s="155"/>
      <c r="BH823" s="155"/>
      <c r="BI823" s="155"/>
      <c r="BJ823" s="155"/>
      <c r="BK823" s="155"/>
      <c r="BL823" s="155"/>
      <c r="BM823" s="155"/>
      <c r="BN823" s="155"/>
      <c r="BO823" s="155"/>
      <c r="BP823" s="155"/>
      <c r="BQ823" s="155"/>
      <c r="BR823" s="155"/>
      <c r="BS823" s="155"/>
      <c r="BT823" s="155"/>
      <c r="BU823" s="155"/>
      <c r="BV823" s="155"/>
      <c r="BW823" s="155"/>
      <c r="BX823" s="155"/>
      <c r="BY823" s="155"/>
      <c r="BZ823" s="155"/>
      <c r="CA823" s="155"/>
      <c r="CB823" s="155"/>
      <c r="CC823" s="155"/>
      <c r="CD823" s="155"/>
      <c r="CE823" s="155"/>
      <c r="CF823" s="155"/>
      <c r="CG823" s="155"/>
    </row>
    <row r="824" spans="1:85" ht="12.75" x14ac:dyDescent="0.2">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c r="AA824" s="155"/>
      <c r="AB824" s="155"/>
      <c r="AC824" s="155"/>
      <c r="AD824" s="155"/>
      <c r="AE824" s="155"/>
      <c r="AF824" s="155"/>
      <c r="AG824" s="155"/>
      <c r="AH824" s="155"/>
      <c r="AI824" s="155"/>
      <c r="AJ824" s="155"/>
      <c r="AK824" s="155"/>
      <c r="AL824" s="155"/>
      <c r="AM824" s="155"/>
      <c r="AN824" s="155"/>
      <c r="AO824" s="155"/>
      <c r="AP824" s="155"/>
      <c r="AQ824" s="155"/>
      <c r="AR824" s="155"/>
      <c r="AS824" s="155"/>
      <c r="AT824" s="155"/>
      <c r="AU824" s="155"/>
      <c r="AV824" s="155"/>
      <c r="AW824" s="155"/>
      <c r="AX824" s="155"/>
      <c r="AY824" s="155"/>
      <c r="AZ824" s="155"/>
      <c r="BA824" s="155"/>
      <c r="BB824" s="155"/>
      <c r="BC824" s="155"/>
      <c r="BD824" s="155"/>
      <c r="BE824" s="155"/>
      <c r="BF824" s="155"/>
      <c r="BG824" s="155"/>
      <c r="BH824" s="155"/>
      <c r="BI824" s="155"/>
      <c r="BJ824" s="155"/>
      <c r="BK824" s="155"/>
      <c r="BL824" s="155"/>
      <c r="BM824" s="155"/>
      <c r="BN824" s="155"/>
      <c r="BO824" s="155"/>
      <c r="BP824" s="155"/>
      <c r="BQ824" s="155"/>
      <c r="BR824" s="155"/>
      <c r="BS824" s="155"/>
      <c r="BT824" s="155"/>
      <c r="BU824" s="155"/>
      <c r="BV824" s="155"/>
      <c r="BW824" s="155"/>
      <c r="BX824" s="155"/>
      <c r="BY824" s="155"/>
      <c r="BZ824" s="155"/>
      <c r="CA824" s="155"/>
      <c r="CB824" s="155"/>
      <c r="CC824" s="155"/>
      <c r="CD824" s="155"/>
      <c r="CE824" s="155"/>
      <c r="CF824" s="155"/>
      <c r="CG824" s="155"/>
    </row>
    <row r="825" spans="1:85" ht="12.75" x14ac:dyDescent="0.2">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c r="AA825" s="155"/>
      <c r="AB825" s="155"/>
      <c r="AC825" s="155"/>
      <c r="AD825" s="155"/>
      <c r="AE825" s="155"/>
      <c r="AF825" s="155"/>
      <c r="AG825" s="155"/>
      <c r="AH825" s="155"/>
      <c r="AI825" s="155"/>
      <c r="AJ825" s="155"/>
      <c r="AK825" s="155"/>
      <c r="AL825" s="155"/>
      <c r="AM825" s="155"/>
      <c r="AN825" s="155"/>
      <c r="AO825" s="155"/>
      <c r="AP825" s="155"/>
      <c r="AQ825" s="155"/>
      <c r="AR825" s="155"/>
      <c r="AS825" s="155"/>
      <c r="AT825" s="155"/>
      <c r="AU825" s="155"/>
      <c r="AV825" s="155"/>
      <c r="AW825" s="155"/>
      <c r="AX825" s="155"/>
      <c r="AY825" s="155"/>
      <c r="AZ825" s="155"/>
      <c r="BA825" s="155"/>
      <c r="BB825" s="155"/>
      <c r="BC825" s="155"/>
      <c r="BD825" s="155"/>
      <c r="BE825" s="155"/>
      <c r="BF825" s="155"/>
      <c r="BG825" s="155"/>
      <c r="BH825" s="155"/>
      <c r="BI825" s="155"/>
      <c r="BJ825" s="155"/>
      <c r="BK825" s="155"/>
      <c r="BL825" s="155"/>
      <c r="BM825" s="155"/>
      <c r="BN825" s="155"/>
      <c r="BO825" s="155"/>
      <c r="BP825" s="155"/>
      <c r="BQ825" s="155"/>
      <c r="BR825" s="155"/>
      <c r="BS825" s="155"/>
      <c r="BT825" s="155"/>
      <c r="BU825" s="155"/>
      <c r="BV825" s="155"/>
      <c r="BW825" s="155"/>
      <c r="BX825" s="155"/>
      <c r="BY825" s="155"/>
      <c r="BZ825" s="155"/>
      <c r="CA825" s="155"/>
      <c r="CB825" s="155"/>
      <c r="CC825" s="155"/>
      <c r="CD825" s="155"/>
      <c r="CE825" s="155"/>
      <c r="CF825" s="155"/>
      <c r="CG825" s="155"/>
    </row>
    <row r="826" spans="1:85" ht="12.75" x14ac:dyDescent="0.2">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c r="AA826" s="155"/>
      <c r="AB826" s="155"/>
      <c r="AC826" s="155"/>
      <c r="AD826" s="155"/>
      <c r="AE826" s="155"/>
      <c r="AF826" s="155"/>
      <c r="AG826" s="155"/>
      <c r="AH826" s="155"/>
      <c r="AI826" s="155"/>
      <c r="AJ826" s="155"/>
      <c r="AK826" s="155"/>
      <c r="AL826" s="155"/>
      <c r="AM826" s="155"/>
      <c r="AN826" s="155"/>
      <c r="AO826" s="155"/>
      <c r="AP826" s="155"/>
      <c r="AQ826" s="155"/>
      <c r="AR826" s="155"/>
      <c r="AS826" s="155"/>
      <c r="AT826" s="155"/>
      <c r="AU826" s="155"/>
      <c r="AV826" s="155"/>
      <c r="AW826" s="155"/>
      <c r="AX826" s="155"/>
      <c r="AY826" s="155"/>
      <c r="AZ826" s="155"/>
      <c r="BA826" s="155"/>
      <c r="BB826" s="155"/>
      <c r="BC826" s="155"/>
      <c r="BD826" s="155"/>
      <c r="BE826" s="155"/>
      <c r="BF826" s="155"/>
      <c r="BG826" s="155"/>
      <c r="BH826" s="155"/>
      <c r="BI826" s="155"/>
      <c r="BJ826" s="155"/>
      <c r="BK826" s="155"/>
      <c r="BL826" s="155"/>
      <c r="BM826" s="155"/>
      <c r="BN826" s="155"/>
      <c r="BO826" s="155"/>
      <c r="BP826" s="155"/>
      <c r="BQ826" s="155"/>
      <c r="BR826" s="155"/>
      <c r="BS826" s="155"/>
      <c r="BT826" s="155"/>
      <c r="BU826" s="155"/>
      <c r="BV826" s="155"/>
      <c r="BW826" s="155"/>
      <c r="BX826" s="155"/>
      <c r="BY826" s="155"/>
      <c r="BZ826" s="155"/>
      <c r="CA826" s="155"/>
      <c r="CB826" s="155"/>
      <c r="CC826" s="155"/>
      <c r="CD826" s="155"/>
      <c r="CE826" s="155"/>
      <c r="CF826" s="155"/>
      <c r="CG826" s="155"/>
    </row>
    <row r="827" spans="1:85" ht="12.75" x14ac:dyDescent="0.2">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c r="AA827" s="155"/>
      <c r="AB827" s="155"/>
      <c r="AC827" s="155"/>
      <c r="AD827" s="155"/>
      <c r="AE827" s="155"/>
      <c r="AF827" s="155"/>
      <c r="AG827" s="155"/>
      <c r="AH827" s="155"/>
      <c r="AI827" s="155"/>
      <c r="AJ827" s="155"/>
      <c r="AK827" s="155"/>
      <c r="AL827" s="155"/>
      <c r="AM827" s="155"/>
      <c r="AN827" s="155"/>
      <c r="AO827" s="155"/>
      <c r="AP827" s="155"/>
      <c r="AQ827" s="155"/>
      <c r="AR827" s="155"/>
      <c r="AS827" s="155"/>
      <c r="AT827" s="155"/>
      <c r="AU827" s="155"/>
      <c r="AV827" s="155"/>
      <c r="AW827" s="155"/>
      <c r="AX827" s="155"/>
      <c r="AY827" s="155"/>
      <c r="AZ827" s="155"/>
      <c r="BA827" s="155"/>
      <c r="BB827" s="155"/>
      <c r="BC827" s="155"/>
      <c r="BD827" s="155"/>
      <c r="BE827" s="155"/>
      <c r="BF827" s="155"/>
      <c r="BG827" s="155"/>
      <c r="BH827" s="155"/>
      <c r="BI827" s="155"/>
      <c r="BJ827" s="155"/>
      <c r="BK827" s="155"/>
      <c r="BL827" s="155"/>
      <c r="BM827" s="155"/>
      <c r="BN827" s="155"/>
      <c r="BO827" s="155"/>
      <c r="BP827" s="155"/>
      <c r="BQ827" s="155"/>
      <c r="BR827" s="155"/>
      <c r="BS827" s="155"/>
      <c r="BT827" s="155"/>
      <c r="BU827" s="155"/>
      <c r="BV827" s="155"/>
      <c r="BW827" s="155"/>
      <c r="BX827" s="155"/>
      <c r="BY827" s="155"/>
      <c r="BZ827" s="155"/>
      <c r="CA827" s="155"/>
      <c r="CB827" s="155"/>
      <c r="CC827" s="155"/>
      <c r="CD827" s="155"/>
      <c r="CE827" s="155"/>
      <c r="CF827" s="155"/>
      <c r="CG827" s="155"/>
    </row>
    <row r="828" spans="1:85" ht="12.75" x14ac:dyDescent="0.2">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c r="AA828" s="155"/>
      <c r="AB828" s="155"/>
      <c r="AC828" s="155"/>
      <c r="AD828" s="155"/>
      <c r="AE828" s="155"/>
      <c r="AF828" s="155"/>
      <c r="AG828" s="155"/>
      <c r="AH828" s="155"/>
      <c r="AI828" s="155"/>
      <c r="AJ828" s="155"/>
      <c r="AK828" s="155"/>
      <c r="AL828" s="155"/>
      <c r="AM828" s="155"/>
      <c r="AN828" s="155"/>
      <c r="AO828" s="155"/>
      <c r="AP828" s="155"/>
      <c r="AQ828" s="155"/>
      <c r="AR828" s="155"/>
      <c r="AS828" s="155"/>
      <c r="AT828" s="155"/>
      <c r="AU828" s="155"/>
      <c r="AV828" s="155"/>
      <c r="AW828" s="155"/>
      <c r="AX828" s="155"/>
      <c r="AY828" s="155"/>
      <c r="AZ828" s="155"/>
      <c r="BA828" s="155"/>
      <c r="BB828" s="155"/>
      <c r="BC828" s="155"/>
      <c r="BD828" s="155"/>
      <c r="BE828" s="155"/>
      <c r="BF828" s="155"/>
      <c r="BG828" s="155"/>
      <c r="BH828" s="155"/>
      <c r="BI828" s="155"/>
      <c r="BJ828" s="155"/>
      <c r="BK828" s="155"/>
      <c r="BL828" s="155"/>
      <c r="BM828" s="155"/>
      <c r="BN828" s="155"/>
      <c r="BO828" s="155"/>
      <c r="BP828" s="155"/>
      <c r="BQ828" s="155"/>
      <c r="BR828" s="155"/>
      <c r="BS828" s="155"/>
      <c r="BT828" s="155"/>
      <c r="BU828" s="155"/>
      <c r="BV828" s="155"/>
      <c r="BW828" s="155"/>
      <c r="BX828" s="155"/>
      <c r="BY828" s="155"/>
      <c r="BZ828" s="155"/>
      <c r="CA828" s="155"/>
      <c r="CB828" s="155"/>
      <c r="CC828" s="155"/>
      <c r="CD828" s="155"/>
      <c r="CE828" s="155"/>
      <c r="CF828" s="155"/>
      <c r="CG828" s="155"/>
    </row>
    <row r="829" spans="1:85" ht="12.75" x14ac:dyDescent="0.2">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c r="AA829" s="155"/>
      <c r="AB829" s="155"/>
      <c r="AC829" s="155"/>
      <c r="AD829" s="155"/>
      <c r="AE829" s="155"/>
      <c r="AF829" s="155"/>
      <c r="AG829" s="155"/>
      <c r="AH829" s="155"/>
      <c r="AI829" s="155"/>
      <c r="AJ829" s="155"/>
      <c r="AK829" s="155"/>
      <c r="AL829" s="155"/>
      <c r="AM829" s="155"/>
      <c r="AN829" s="155"/>
      <c r="AO829" s="155"/>
      <c r="AP829" s="155"/>
      <c r="AQ829" s="155"/>
      <c r="AR829" s="155"/>
      <c r="AS829" s="155"/>
      <c r="AT829" s="155"/>
      <c r="AU829" s="155"/>
      <c r="AV829" s="155"/>
      <c r="AW829" s="155"/>
      <c r="AX829" s="155"/>
      <c r="AY829" s="155"/>
      <c r="AZ829" s="155"/>
      <c r="BA829" s="155"/>
      <c r="BB829" s="155"/>
      <c r="BC829" s="155"/>
      <c r="BD829" s="155"/>
      <c r="BE829" s="155"/>
      <c r="BF829" s="155"/>
      <c r="BG829" s="155"/>
      <c r="BH829" s="155"/>
      <c r="BI829" s="155"/>
      <c r="BJ829" s="155"/>
      <c r="BK829" s="155"/>
      <c r="BL829" s="155"/>
      <c r="BM829" s="155"/>
      <c r="BN829" s="155"/>
      <c r="BO829" s="155"/>
      <c r="BP829" s="155"/>
      <c r="BQ829" s="155"/>
      <c r="BR829" s="155"/>
      <c r="BS829" s="155"/>
      <c r="BT829" s="155"/>
      <c r="BU829" s="155"/>
      <c r="BV829" s="155"/>
      <c r="BW829" s="155"/>
      <c r="BX829" s="155"/>
      <c r="BY829" s="155"/>
      <c r="BZ829" s="155"/>
      <c r="CA829" s="155"/>
      <c r="CB829" s="155"/>
      <c r="CC829" s="155"/>
      <c r="CD829" s="155"/>
      <c r="CE829" s="155"/>
      <c r="CF829" s="155"/>
      <c r="CG829" s="155"/>
    </row>
    <row r="830" spans="1:85" ht="12.75" x14ac:dyDescent="0.2">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c r="AA830" s="155"/>
      <c r="AB830" s="155"/>
      <c r="AC830" s="155"/>
      <c r="AD830" s="155"/>
      <c r="AE830" s="155"/>
      <c r="AF830" s="155"/>
      <c r="AG830" s="155"/>
      <c r="AH830" s="155"/>
      <c r="AI830" s="155"/>
      <c r="AJ830" s="155"/>
      <c r="AK830" s="155"/>
      <c r="AL830" s="155"/>
      <c r="AM830" s="155"/>
      <c r="AN830" s="155"/>
      <c r="AO830" s="155"/>
      <c r="AP830" s="155"/>
      <c r="AQ830" s="155"/>
      <c r="AR830" s="155"/>
      <c r="AS830" s="155"/>
      <c r="AT830" s="155"/>
      <c r="AU830" s="155"/>
      <c r="AV830" s="155"/>
      <c r="AW830" s="155"/>
      <c r="AX830" s="155"/>
      <c r="AY830" s="155"/>
      <c r="AZ830" s="155"/>
      <c r="BA830" s="155"/>
      <c r="BB830" s="155"/>
      <c r="BC830" s="155"/>
      <c r="BD830" s="155"/>
      <c r="BE830" s="155"/>
      <c r="BF830" s="155"/>
      <c r="BG830" s="155"/>
      <c r="BH830" s="155"/>
      <c r="BI830" s="155"/>
      <c r="BJ830" s="155"/>
      <c r="BK830" s="155"/>
      <c r="BL830" s="155"/>
      <c r="BM830" s="155"/>
      <c r="BN830" s="155"/>
      <c r="BO830" s="155"/>
      <c r="BP830" s="155"/>
      <c r="BQ830" s="155"/>
      <c r="BR830" s="155"/>
      <c r="BS830" s="155"/>
      <c r="BT830" s="155"/>
      <c r="BU830" s="155"/>
      <c r="BV830" s="155"/>
      <c r="BW830" s="155"/>
      <c r="BX830" s="155"/>
      <c r="BY830" s="155"/>
      <c r="BZ830" s="155"/>
      <c r="CA830" s="155"/>
      <c r="CB830" s="155"/>
      <c r="CC830" s="155"/>
      <c r="CD830" s="155"/>
      <c r="CE830" s="155"/>
      <c r="CF830" s="155"/>
      <c r="CG830" s="155"/>
    </row>
    <row r="831" spans="1:85" ht="12.75" x14ac:dyDescent="0.2">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c r="AA831" s="155"/>
      <c r="AB831" s="155"/>
      <c r="AC831" s="155"/>
      <c r="AD831" s="155"/>
      <c r="AE831" s="155"/>
      <c r="AF831" s="155"/>
      <c r="AG831" s="155"/>
      <c r="AH831" s="155"/>
      <c r="AI831" s="155"/>
      <c r="AJ831" s="155"/>
      <c r="AK831" s="155"/>
      <c r="AL831" s="155"/>
      <c r="AM831" s="155"/>
      <c r="AN831" s="155"/>
      <c r="AO831" s="155"/>
      <c r="AP831" s="155"/>
      <c r="AQ831" s="155"/>
      <c r="AR831" s="155"/>
      <c r="AS831" s="155"/>
      <c r="AT831" s="155"/>
      <c r="AU831" s="155"/>
      <c r="AV831" s="155"/>
      <c r="AW831" s="155"/>
      <c r="AX831" s="155"/>
      <c r="AY831" s="155"/>
      <c r="AZ831" s="155"/>
      <c r="BA831" s="155"/>
      <c r="BB831" s="155"/>
      <c r="BC831" s="155"/>
      <c r="BD831" s="155"/>
      <c r="BE831" s="155"/>
      <c r="BF831" s="155"/>
      <c r="BG831" s="155"/>
      <c r="BH831" s="155"/>
      <c r="BI831" s="155"/>
      <c r="BJ831" s="155"/>
      <c r="BK831" s="155"/>
      <c r="BL831" s="155"/>
      <c r="BM831" s="155"/>
      <c r="BN831" s="155"/>
      <c r="BO831" s="155"/>
      <c r="BP831" s="155"/>
      <c r="BQ831" s="155"/>
      <c r="BR831" s="155"/>
      <c r="BS831" s="155"/>
      <c r="BT831" s="155"/>
      <c r="BU831" s="155"/>
      <c r="BV831" s="155"/>
      <c r="BW831" s="155"/>
      <c r="BX831" s="155"/>
      <c r="BY831" s="155"/>
      <c r="BZ831" s="155"/>
      <c r="CA831" s="155"/>
      <c r="CB831" s="155"/>
      <c r="CC831" s="155"/>
      <c r="CD831" s="155"/>
      <c r="CE831" s="155"/>
      <c r="CF831" s="155"/>
      <c r="CG831" s="155"/>
    </row>
    <row r="832" spans="1:85" ht="12.75" x14ac:dyDescent="0.2">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c r="AA832" s="155"/>
      <c r="AB832" s="155"/>
      <c r="AC832" s="155"/>
      <c r="AD832" s="155"/>
      <c r="AE832" s="155"/>
      <c r="AF832" s="155"/>
      <c r="AG832" s="155"/>
      <c r="AH832" s="155"/>
      <c r="AI832" s="155"/>
      <c r="AJ832" s="155"/>
      <c r="AK832" s="155"/>
      <c r="AL832" s="155"/>
      <c r="AM832" s="155"/>
      <c r="AN832" s="155"/>
      <c r="AO832" s="155"/>
      <c r="AP832" s="155"/>
      <c r="AQ832" s="155"/>
      <c r="AR832" s="155"/>
      <c r="AS832" s="155"/>
      <c r="AT832" s="155"/>
      <c r="AU832" s="155"/>
      <c r="AV832" s="155"/>
      <c r="AW832" s="155"/>
      <c r="AX832" s="155"/>
      <c r="AY832" s="155"/>
      <c r="AZ832" s="155"/>
      <c r="BA832" s="155"/>
      <c r="BB832" s="155"/>
      <c r="BC832" s="155"/>
      <c r="BD832" s="155"/>
      <c r="BE832" s="155"/>
      <c r="BF832" s="155"/>
      <c r="BG832" s="155"/>
      <c r="BH832" s="155"/>
      <c r="BI832" s="155"/>
      <c r="BJ832" s="155"/>
      <c r="BK832" s="155"/>
      <c r="BL832" s="155"/>
      <c r="BM832" s="155"/>
      <c r="BN832" s="155"/>
      <c r="BO832" s="155"/>
      <c r="BP832" s="155"/>
      <c r="BQ832" s="155"/>
      <c r="BR832" s="155"/>
      <c r="BS832" s="155"/>
      <c r="BT832" s="155"/>
      <c r="BU832" s="155"/>
      <c r="BV832" s="155"/>
      <c r="BW832" s="155"/>
      <c r="BX832" s="155"/>
      <c r="BY832" s="155"/>
      <c r="BZ832" s="155"/>
      <c r="CA832" s="155"/>
      <c r="CB832" s="155"/>
      <c r="CC832" s="155"/>
      <c r="CD832" s="155"/>
      <c r="CE832" s="155"/>
      <c r="CF832" s="155"/>
      <c r="CG832" s="155"/>
    </row>
    <row r="833" spans="1:85" ht="12.75" x14ac:dyDescent="0.2">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c r="AA833" s="155"/>
      <c r="AB833" s="155"/>
      <c r="AC833" s="155"/>
      <c r="AD833" s="155"/>
      <c r="AE833" s="155"/>
      <c r="AF833" s="155"/>
      <c r="AG833" s="155"/>
      <c r="AH833" s="155"/>
      <c r="AI833" s="155"/>
      <c r="AJ833" s="155"/>
      <c r="AK833" s="155"/>
      <c r="AL833" s="155"/>
      <c r="AM833" s="155"/>
      <c r="AN833" s="155"/>
      <c r="AO833" s="155"/>
      <c r="AP833" s="155"/>
      <c r="AQ833" s="155"/>
      <c r="AR833" s="155"/>
      <c r="AS833" s="155"/>
      <c r="AT833" s="155"/>
      <c r="AU833" s="155"/>
      <c r="AV833" s="155"/>
      <c r="AW833" s="155"/>
      <c r="AX833" s="155"/>
      <c r="AY833" s="155"/>
      <c r="AZ833" s="155"/>
      <c r="BA833" s="155"/>
      <c r="BB833" s="155"/>
      <c r="BC833" s="155"/>
      <c r="BD833" s="155"/>
      <c r="BE833" s="155"/>
      <c r="BF833" s="155"/>
      <c r="BG833" s="155"/>
      <c r="BH833" s="155"/>
      <c r="BI833" s="155"/>
      <c r="BJ833" s="155"/>
      <c r="BK833" s="155"/>
      <c r="BL833" s="155"/>
      <c r="BM833" s="155"/>
      <c r="BN833" s="155"/>
      <c r="BO833" s="155"/>
      <c r="BP833" s="155"/>
      <c r="BQ833" s="155"/>
      <c r="BR833" s="155"/>
      <c r="BS833" s="155"/>
      <c r="BT833" s="155"/>
      <c r="BU833" s="155"/>
      <c r="BV833" s="155"/>
      <c r="BW833" s="155"/>
      <c r="BX833" s="155"/>
      <c r="BY833" s="155"/>
      <c r="BZ833" s="155"/>
      <c r="CA833" s="155"/>
      <c r="CB833" s="155"/>
      <c r="CC833" s="155"/>
      <c r="CD833" s="155"/>
      <c r="CE833" s="155"/>
      <c r="CF833" s="155"/>
      <c r="CG833" s="155"/>
    </row>
    <row r="834" spans="1:85" ht="12.75" x14ac:dyDescent="0.2">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c r="AA834" s="155"/>
      <c r="AB834" s="155"/>
      <c r="AC834" s="155"/>
      <c r="AD834" s="155"/>
      <c r="AE834" s="155"/>
      <c r="AF834" s="155"/>
      <c r="AG834" s="155"/>
      <c r="AH834" s="155"/>
      <c r="AI834" s="155"/>
      <c r="AJ834" s="155"/>
      <c r="AK834" s="155"/>
      <c r="AL834" s="155"/>
      <c r="AM834" s="155"/>
      <c r="AN834" s="155"/>
      <c r="AO834" s="155"/>
      <c r="AP834" s="155"/>
      <c r="AQ834" s="155"/>
      <c r="AR834" s="155"/>
      <c r="AS834" s="155"/>
      <c r="AT834" s="155"/>
      <c r="AU834" s="155"/>
      <c r="AV834" s="155"/>
      <c r="AW834" s="155"/>
      <c r="AX834" s="155"/>
      <c r="AY834" s="155"/>
      <c r="AZ834" s="155"/>
      <c r="BA834" s="155"/>
      <c r="BB834" s="155"/>
      <c r="BC834" s="155"/>
      <c r="BD834" s="155"/>
      <c r="BE834" s="155"/>
      <c r="BF834" s="155"/>
      <c r="BG834" s="155"/>
      <c r="BH834" s="155"/>
      <c r="BI834" s="155"/>
      <c r="BJ834" s="155"/>
      <c r="BK834" s="155"/>
      <c r="BL834" s="155"/>
      <c r="BM834" s="155"/>
      <c r="BN834" s="155"/>
      <c r="BO834" s="155"/>
      <c r="BP834" s="155"/>
      <c r="BQ834" s="155"/>
      <c r="BR834" s="155"/>
      <c r="BS834" s="155"/>
      <c r="BT834" s="155"/>
      <c r="BU834" s="155"/>
      <c r="BV834" s="155"/>
      <c r="BW834" s="155"/>
      <c r="BX834" s="155"/>
      <c r="BY834" s="155"/>
      <c r="BZ834" s="155"/>
      <c r="CA834" s="155"/>
      <c r="CB834" s="155"/>
      <c r="CC834" s="155"/>
      <c r="CD834" s="155"/>
      <c r="CE834" s="155"/>
      <c r="CF834" s="155"/>
      <c r="CG834" s="155"/>
    </row>
    <row r="835" spans="1:85" ht="12.75" x14ac:dyDescent="0.2">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c r="AA835" s="155"/>
      <c r="AB835" s="155"/>
      <c r="AC835" s="155"/>
      <c r="AD835" s="155"/>
      <c r="AE835" s="155"/>
      <c r="AF835" s="155"/>
      <c r="AG835" s="155"/>
      <c r="AH835" s="155"/>
      <c r="AI835" s="155"/>
      <c r="AJ835" s="155"/>
      <c r="AK835" s="155"/>
      <c r="AL835" s="155"/>
      <c r="AM835" s="155"/>
      <c r="AN835" s="155"/>
      <c r="AO835" s="155"/>
      <c r="AP835" s="155"/>
      <c r="AQ835" s="155"/>
      <c r="AR835" s="155"/>
      <c r="AS835" s="155"/>
      <c r="AT835" s="155"/>
      <c r="AU835" s="155"/>
      <c r="AV835" s="155"/>
      <c r="AW835" s="155"/>
      <c r="AX835" s="155"/>
      <c r="AY835" s="155"/>
      <c r="AZ835" s="155"/>
      <c r="BA835" s="155"/>
      <c r="BB835" s="155"/>
      <c r="BC835" s="155"/>
      <c r="BD835" s="155"/>
      <c r="BE835" s="155"/>
      <c r="BF835" s="155"/>
      <c r="BG835" s="155"/>
      <c r="BH835" s="155"/>
      <c r="BI835" s="155"/>
      <c r="BJ835" s="155"/>
      <c r="BK835" s="155"/>
      <c r="BL835" s="155"/>
      <c r="BM835" s="155"/>
      <c r="BN835" s="155"/>
      <c r="BO835" s="155"/>
      <c r="BP835" s="155"/>
      <c r="BQ835" s="155"/>
      <c r="BR835" s="155"/>
      <c r="BS835" s="155"/>
      <c r="BT835" s="155"/>
      <c r="BU835" s="155"/>
      <c r="BV835" s="155"/>
      <c r="BW835" s="155"/>
      <c r="BX835" s="155"/>
      <c r="BY835" s="155"/>
      <c r="BZ835" s="155"/>
      <c r="CA835" s="155"/>
      <c r="CB835" s="155"/>
      <c r="CC835" s="155"/>
      <c r="CD835" s="155"/>
      <c r="CE835" s="155"/>
      <c r="CF835" s="155"/>
      <c r="CG835" s="155"/>
    </row>
    <row r="836" spans="1:85" ht="12.75" x14ac:dyDescent="0.2">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c r="AA836" s="155"/>
      <c r="AB836" s="155"/>
      <c r="AC836" s="155"/>
      <c r="AD836" s="155"/>
      <c r="AE836" s="155"/>
      <c r="AF836" s="155"/>
      <c r="AG836" s="155"/>
      <c r="AH836" s="155"/>
      <c r="AI836" s="155"/>
      <c r="AJ836" s="155"/>
      <c r="AK836" s="155"/>
      <c r="AL836" s="155"/>
      <c r="AM836" s="155"/>
      <c r="AN836" s="155"/>
      <c r="AO836" s="155"/>
      <c r="AP836" s="155"/>
      <c r="AQ836" s="155"/>
      <c r="AR836" s="155"/>
      <c r="AS836" s="155"/>
      <c r="AT836" s="155"/>
      <c r="AU836" s="155"/>
      <c r="AV836" s="155"/>
      <c r="AW836" s="155"/>
      <c r="AX836" s="155"/>
      <c r="AY836" s="155"/>
      <c r="AZ836" s="155"/>
      <c r="BA836" s="155"/>
      <c r="BB836" s="155"/>
      <c r="BC836" s="155"/>
      <c r="BD836" s="155"/>
      <c r="BE836" s="155"/>
      <c r="BF836" s="155"/>
      <c r="BG836" s="155"/>
      <c r="BH836" s="155"/>
      <c r="BI836" s="155"/>
      <c r="BJ836" s="155"/>
      <c r="BK836" s="155"/>
      <c r="BL836" s="155"/>
      <c r="BM836" s="155"/>
      <c r="BN836" s="155"/>
      <c r="BO836" s="155"/>
      <c r="BP836" s="155"/>
      <c r="BQ836" s="155"/>
      <c r="BR836" s="155"/>
      <c r="BS836" s="155"/>
      <c r="BT836" s="155"/>
      <c r="BU836" s="155"/>
      <c r="BV836" s="155"/>
      <c r="BW836" s="155"/>
      <c r="BX836" s="155"/>
      <c r="BY836" s="155"/>
      <c r="BZ836" s="155"/>
      <c r="CA836" s="155"/>
      <c r="CB836" s="155"/>
      <c r="CC836" s="155"/>
      <c r="CD836" s="155"/>
      <c r="CE836" s="155"/>
      <c r="CF836" s="155"/>
      <c r="CG836" s="155"/>
    </row>
    <row r="837" spans="1:85" ht="12.75" x14ac:dyDescent="0.2">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c r="AA837" s="155"/>
      <c r="AB837" s="155"/>
      <c r="AC837" s="155"/>
      <c r="AD837" s="155"/>
      <c r="AE837" s="155"/>
      <c r="AF837" s="155"/>
      <c r="AG837" s="155"/>
      <c r="AH837" s="155"/>
      <c r="AI837" s="155"/>
      <c r="AJ837" s="155"/>
      <c r="AK837" s="155"/>
      <c r="AL837" s="155"/>
      <c r="AM837" s="155"/>
      <c r="AN837" s="155"/>
      <c r="AO837" s="155"/>
      <c r="AP837" s="155"/>
      <c r="AQ837" s="155"/>
      <c r="AR837" s="155"/>
      <c r="AS837" s="155"/>
      <c r="AT837" s="155"/>
      <c r="AU837" s="155"/>
      <c r="AV837" s="155"/>
      <c r="AW837" s="155"/>
      <c r="AX837" s="155"/>
      <c r="AY837" s="155"/>
      <c r="AZ837" s="155"/>
      <c r="BA837" s="155"/>
      <c r="BB837" s="155"/>
      <c r="BC837" s="155"/>
      <c r="BD837" s="155"/>
      <c r="BE837" s="155"/>
      <c r="BF837" s="155"/>
      <c r="BG837" s="155"/>
      <c r="BH837" s="155"/>
      <c r="BI837" s="155"/>
      <c r="BJ837" s="155"/>
      <c r="BK837" s="155"/>
      <c r="BL837" s="155"/>
      <c r="BM837" s="155"/>
      <c r="BN837" s="155"/>
      <c r="BO837" s="155"/>
      <c r="BP837" s="155"/>
      <c r="BQ837" s="155"/>
      <c r="BR837" s="155"/>
      <c r="BS837" s="155"/>
      <c r="BT837" s="155"/>
      <c r="BU837" s="155"/>
      <c r="BV837" s="155"/>
      <c r="BW837" s="155"/>
      <c r="BX837" s="155"/>
      <c r="BY837" s="155"/>
      <c r="BZ837" s="155"/>
      <c r="CA837" s="155"/>
      <c r="CB837" s="155"/>
      <c r="CC837" s="155"/>
      <c r="CD837" s="155"/>
      <c r="CE837" s="155"/>
      <c r="CF837" s="155"/>
      <c r="CG837" s="155"/>
    </row>
    <row r="838" spans="1:85" ht="12.75" x14ac:dyDescent="0.2">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c r="AA838" s="155"/>
      <c r="AB838" s="155"/>
      <c r="AC838" s="155"/>
      <c r="AD838" s="155"/>
      <c r="AE838" s="155"/>
      <c r="AF838" s="155"/>
      <c r="AG838" s="155"/>
      <c r="AH838" s="155"/>
      <c r="AI838" s="155"/>
      <c r="AJ838" s="155"/>
      <c r="AK838" s="155"/>
      <c r="AL838" s="155"/>
      <c r="AM838" s="155"/>
      <c r="AN838" s="155"/>
      <c r="AO838" s="155"/>
      <c r="AP838" s="155"/>
      <c r="AQ838" s="155"/>
      <c r="AR838" s="155"/>
      <c r="AS838" s="155"/>
      <c r="AT838" s="155"/>
      <c r="AU838" s="155"/>
      <c r="AV838" s="155"/>
      <c r="AW838" s="155"/>
      <c r="AX838" s="155"/>
      <c r="AY838" s="155"/>
      <c r="AZ838" s="155"/>
      <c r="BA838" s="155"/>
      <c r="BB838" s="155"/>
      <c r="BC838" s="155"/>
      <c r="BD838" s="155"/>
      <c r="BE838" s="155"/>
      <c r="BF838" s="155"/>
      <c r="BG838" s="155"/>
      <c r="BH838" s="155"/>
      <c r="BI838" s="155"/>
      <c r="BJ838" s="155"/>
      <c r="BK838" s="155"/>
      <c r="BL838" s="155"/>
      <c r="BM838" s="155"/>
      <c r="BN838" s="155"/>
      <c r="BO838" s="155"/>
      <c r="BP838" s="155"/>
      <c r="BQ838" s="155"/>
      <c r="BR838" s="155"/>
      <c r="BS838" s="155"/>
      <c r="BT838" s="155"/>
      <c r="BU838" s="155"/>
      <c r="BV838" s="155"/>
      <c r="BW838" s="155"/>
      <c r="BX838" s="155"/>
      <c r="BY838" s="155"/>
      <c r="BZ838" s="155"/>
      <c r="CA838" s="155"/>
      <c r="CB838" s="155"/>
      <c r="CC838" s="155"/>
      <c r="CD838" s="155"/>
      <c r="CE838" s="155"/>
      <c r="CF838" s="155"/>
      <c r="CG838" s="155"/>
    </row>
    <row r="839" spans="1:85" ht="12.75" x14ac:dyDescent="0.2">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c r="AA839" s="155"/>
      <c r="AB839" s="155"/>
      <c r="AC839" s="155"/>
      <c r="AD839" s="155"/>
      <c r="AE839" s="155"/>
      <c r="AF839" s="155"/>
      <c r="AG839" s="155"/>
      <c r="AH839" s="155"/>
      <c r="AI839" s="155"/>
      <c r="AJ839" s="155"/>
      <c r="AK839" s="155"/>
      <c r="AL839" s="155"/>
      <c r="AM839" s="155"/>
      <c r="AN839" s="155"/>
      <c r="AO839" s="155"/>
      <c r="AP839" s="155"/>
      <c r="AQ839" s="155"/>
      <c r="AR839" s="155"/>
      <c r="AS839" s="155"/>
      <c r="AT839" s="155"/>
      <c r="AU839" s="155"/>
      <c r="AV839" s="155"/>
      <c r="AW839" s="155"/>
      <c r="AX839" s="155"/>
      <c r="AY839" s="155"/>
      <c r="AZ839" s="155"/>
      <c r="BA839" s="155"/>
      <c r="BB839" s="155"/>
      <c r="BC839" s="155"/>
      <c r="BD839" s="155"/>
      <c r="BE839" s="155"/>
      <c r="BF839" s="155"/>
      <c r="BG839" s="155"/>
      <c r="BH839" s="155"/>
      <c r="BI839" s="155"/>
      <c r="BJ839" s="155"/>
      <c r="BK839" s="155"/>
      <c r="BL839" s="155"/>
      <c r="BM839" s="155"/>
      <c r="BN839" s="155"/>
      <c r="BO839" s="155"/>
      <c r="BP839" s="155"/>
      <c r="BQ839" s="155"/>
      <c r="BR839" s="155"/>
      <c r="BS839" s="155"/>
      <c r="BT839" s="155"/>
      <c r="BU839" s="155"/>
      <c r="BV839" s="155"/>
      <c r="BW839" s="155"/>
      <c r="BX839" s="155"/>
      <c r="BY839" s="155"/>
      <c r="BZ839" s="155"/>
      <c r="CA839" s="155"/>
      <c r="CB839" s="155"/>
      <c r="CC839" s="155"/>
      <c r="CD839" s="155"/>
      <c r="CE839" s="155"/>
      <c r="CF839" s="155"/>
      <c r="CG839" s="155"/>
    </row>
    <row r="840" spans="1:85" ht="12.75" x14ac:dyDescent="0.2">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c r="AA840" s="155"/>
      <c r="AB840" s="155"/>
      <c r="AC840" s="155"/>
      <c r="AD840" s="155"/>
      <c r="AE840" s="155"/>
      <c r="AF840" s="155"/>
      <c r="AG840" s="155"/>
      <c r="AH840" s="155"/>
      <c r="AI840" s="155"/>
      <c r="AJ840" s="155"/>
      <c r="AK840" s="155"/>
      <c r="AL840" s="155"/>
      <c r="AM840" s="155"/>
      <c r="AN840" s="155"/>
      <c r="AO840" s="155"/>
      <c r="AP840" s="155"/>
      <c r="AQ840" s="155"/>
      <c r="AR840" s="155"/>
      <c r="AS840" s="155"/>
      <c r="AT840" s="155"/>
      <c r="AU840" s="155"/>
      <c r="AV840" s="155"/>
      <c r="AW840" s="155"/>
      <c r="AX840" s="155"/>
      <c r="AY840" s="155"/>
      <c r="AZ840" s="155"/>
      <c r="BA840" s="155"/>
      <c r="BB840" s="155"/>
      <c r="BC840" s="155"/>
      <c r="BD840" s="155"/>
      <c r="BE840" s="155"/>
      <c r="BF840" s="155"/>
      <c r="BG840" s="155"/>
      <c r="BH840" s="155"/>
      <c r="BI840" s="155"/>
      <c r="BJ840" s="155"/>
      <c r="BK840" s="155"/>
      <c r="BL840" s="155"/>
      <c r="BM840" s="155"/>
      <c r="BN840" s="155"/>
      <c r="BO840" s="155"/>
      <c r="BP840" s="155"/>
      <c r="BQ840" s="155"/>
      <c r="BR840" s="155"/>
      <c r="BS840" s="155"/>
      <c r="BT840" s="155"/>
      <c r="BU840" s="155"/>
      <c r="BV840" s="155"/>
      <c r="BW840" s="155"/>
      <c r="BX840" s="155"/>
      <c r="BY840" s="155"/>
      <c r="BZ840" s="155"/>
      <c r="CA840" s="155"/>
      <c r="CB840" s="155"/>
      <c r="CC840" s="155"/>
      <c r="CD840" s="155"/>
      <c r="CE840" s="155"/>
      <c r="CF840" s="155"/>
      <c r="CG840" s="155"/>
    </row>
    <row r="841" spans="1:85" ht="12.75" x14ac:dyDescent="0.2">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c r="AA841" s="155"/>
      <c r="AB841" s="155"/>
      <c r="AC841" s="155"/>
      <c r="AD841" s="155"/>
      <c r="AE841" s="155"/>
      <c r="AF841" s="155"/>
      <c r="AG841" s="155"/>
      <c r="AH841" s="155"/>
      <c r="AI841" s="155"/>
      <c r="AJ841" s="155"/>
      <c r="AK841" s="155"/>
      <c r="AL841" s="155"/>
      <c r="AM841" s="155"/>
      <c r="AN841" s="155"/>
      <c r="AO841" s="155"/>
      <c r="AP841" s="155"/>
      <c r="AQ841" s="155"/>
      <c r="AR841" s="155"/>
      <c r="AS841" s="155"/>
      <c r="AT841" s="155"/>
      <c r="AU841" s="155"/>
      <c r="AV841" s="155"/>
      <c r="AW841" s="155"/>
      <c r="AX841" s="155"/>
      <c r="AY841" s="155"/>
      <c r="AZ841" s="155"/>
      <c r="BA841" s="155"/>
      <c r="BB841" s="155"/>
      <c r="BC841" s="155"/>
      <c r="BD841" s="155"/>
      <c r="BE841" s="155"/>
      <c r="BF841" s="155"/>
      <c r="BG841" s="155"/>
      <c r="BH841" s="155"/>
      <c r="BI841" s="155"/>
      <c r="BJ841" s="155"/>
      <c r="BK841" s="155"/>
      <c r="BL841" s="155"/>
      <c r="BM841" s="155"/>
      <c r="BN841" s="155"/>
      <c r="BO841" s="155"/>
      <c r="BP841" s="155"/>
      <c r="BQ841" s="155"/>
      <c r="BR841" s="155"/>
      <c r="BS841" s="155"/>
      <c r="BT841" s="155"/>
      <c r="BU841" s="155"/>
      <c r="BV841" s="155"/>
      <c r="BW841" s="155"/>
      <c r="BX841" s="155"/>
      <c r="BY841" s="155"/>
      <c r="BZ841" s="155"/>
      <c r="CA841" s="155"/>
      <c r="CB841" s="155"/>
      <c r="CC841" s="155"/>
      <c r="CD841" s="155"/>
      <c r="CE841" s="155"/>
      <c r="CF841" s="155"/>
      <c r="CG841" s="155"/>
    </row>
    <row r="842" spans="1:85" ht="12.75" x14ac:dyDescent="0.2">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c r="AA842" s="155"/>
      <c r="AB842" s="155"/>
      <c r="AC842" s="155"/>
      <c r="AD842" s="155"/>
      <c r="AE842" s="155"/>
      <c r="AF842" s="155"/>
      <c r="AG842" s="155"/>
      <c r="AH842" s="155"/>
      <c r="AI842" s="155"/>
      <c r="AJ842" s="155"/>
      <c r="AK842" s="155"/>
      <c r="AL842" s="155"/>
      <c r="AM842" s="155"/>
      <c r="AN842" s="155"/>
      <c r="AO842" s="155"/>
      <c r="AP842" s="155"/>
      <c r="AQ842" s="155"/>
      <c r="AR842" s="155"/>
      <c r="AS842" s="155"/>
      <c r="AT842" s="155"/>
      <c r="AU842" s="155"/>
      <c r="AV842" s="155"/>
      <c r="AW842" s="155"/>
      <c r="AX842" s="155"/>
      <c r="AY842" s="155"/>
      <c r="AZ842" s="155"/>
      <c r="BA842" s="155"/>
      <c r="BB842" s="155"/>
      <c r="BC842" s="155"/>
      <c r="BD842" s="155"/>
      <c r="BE842" s="155"/>
      <c r="BF842" s="155"/>
      <c r="BG842" s="155"/>
      <c r="BH842" s="155"/>
      <c r="BI842" s="155"/>
      <c r="BJ842" s="155"/>
      <c r="BK842" s="155"/>
      <c r="BL842" s="155"/>
      <c r="BM842" s="155"/>
      <c r="BN842" s="155"/>
      <c r="BO842" s="155"/>
      <c r="BP842" s="155"/>
      <c r="BQ842" s="155"/>
      <c r="BR842" s="155"/>
      <c r="BS842" s="155"/>
      <c r="BT842" s="155"/>
      <c r="BU842" s="155"/>
      <c r="BV842" s="155"/>
      <c r="BW842" s="155"/>
      <c r="BX842" s="155"/>
      <c r="BY842" s="155"/>
      <c r="BZ842" s="155"/>
      <c r="CA842" s="155"/>
      <c r="CB842" s="155"/>
      <c r="CC842" s="155"/>
      <c r="CD842" s="155"/>
      <c r="CE842" s="155"/>
      <c r="CF842" s="155"/>
      <c r="CG842" s="155"/>
    </row>
    <row r="843" spans="1:85" ht="12.75" x14ac:dyDescent="0.2">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c r="AA843" s="155"/>
      <c r="AB843" s="155"/>
      <c r="AC843" s="155"/>
      <c r="AD843" s="155"/>
      <c r="AE843" s="155"/>
      <c r="AF843" s="155"/>
      <c r="AG843" s="155"/>
      <c r="AH843" s="155"/>
      <c r="AI843" s="155"/>
      <c r="AJ843" s="155"/>
      <c r="AK843" s="155"/>
      <c r="AL843" s="155"/>
      <c r="AM843" s="155"/>
      <c r="AN843" s="155"/>
      <c r="AO843" s="155"/>
      <c r="AP843" s="155"/>
      <c r="AQ843" s="155"/>
      <c r="AR843" s="155"/>
      <c r="AS843" s="155"/>
      <c r="AT843" s="155"/>
      <c r="AU843" s="155"/>
      <c r="AV843" s="155"/>
      <c r="AW843" s="155"/>
      <c r="AX843" s="155"/>
      <c r="AY843" s="155"/>
      <c r="AZ843" s="155"/>
      <c r="BA843" s="155"/>
      <c r="BB843" s="155"/>
      <c r="BC843" s="155"/>
      <c r="BD843" s="155"/>
      <c r="BE843" s="155"/>
      <c r="BF843" s="155"/>
      <c r="BG843" s="155"/>
      <c r="BH843" s="155"/>
      <c r="BI843" s="155"/>
      <c r="BJ843" s="155"/>
      <c r="BK843" s="155"/>
      <c r="BL843" s="155"/>
      <c r="BM843" s="155"/>
      <c r="BN843" s="155"/>
      <c r="BO843" s="155"/>
      <c r="BP843" s="155"/>
      <c r="BQ843" s="155"/>
      <c r="BR843" s="155"/>
      <c r="BS843" s="155"/>
      <c r="BT843" s="155"/>
      <c r="BU843" s="155"/>
      <c r="BV843" s="155"/>
      <c r="BW843" s="155"/>
      <c r="BX843" s="155"/>
      <c r="BY843" s="155"/>
      <c r="BZ843" s="155"/>
      <c r="CA843" s="155"/>
      <c r="CB843" s="155"/>
      <c r="CC843" s="155"/>
      <c r="CD843" s="155"/>
      <c r="CE843" s="155"/>
      <c r="CF843" s="155"/>
      <c r="CG843" s="155"/>
    </row>
    <row r="844" spans="1:85" ht="12.75" x14ac:dyDescent="0.2">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c r="AA844" s="155"/>
      <c r="AB844" s="155"/>
      <c r="AC844" s="155"/>
      <c r="AD844" s="155"/>
      <c r="AE844" s="155"/>
      <c r="AF844" s="155"/>
      <c r="AG844" s="155"/>
      <c r="AH844" s="155"/>
      <c r="AI844" s="155"/>
      <c r="AJ844" s="155"/>
      <c r="AK844" s="155"/>
      <c r="AL844" s="155"/>
      <c r="AM844" s="155"/>
      <c r="AN844" s="155"/>
      <c r="AO844" s="155"/>
      <c r="AP844" s="155"/>
      <c r="AQ844" s="155"/>
      <c r="AR844" s="155"/>
      <c r="AS844" s="155"/>
      <c r="AT844" s="155"/>
      <c r="AU844" s="155"/>
      <c r="AV844" s="155"/>
      <c r="AW844" s="155"/>
      <c r="AX844" s="155"/>
      <c r="AY844" s="155"/>
      <c r="AZ844" s="155"/>
      <c r="BA844" s="155"/>
      <c r="BB844" s="155"/>
      <c r="BC844" s="155"/>
      <c r="BD844" s="155"/>
      <c r="BE844" s="155"/>
      <c r="BF844" s="155"/>
      <c r="BG844" s="155"/>
      <c r="BH844" s="155"/>
      <c r="BI844" s="155"/>
      <c r="BJ844" s="155"/>
      <c r="BK844" s="155"/>
      <c r="BL844" s="155"/>
      <c r="BM844" s="155"/>
      <c r="BN844" s="155"/>
      <c r="BO844" s="155"/>
      <c r="BP844" s="155"/>
      <c r="BQ844" s="155"/>
      <c r="BR844" s="155"/>
      <c r="BS844" s="155"/>
      <c r="BT844" s="155"/>
      <c r="BU844" s="155"/>
      <c r="BV844" s="155"/>
      <c r="BW844" s="155"/>
      <c r="BX844" s="155"/>
      <c r="BY844" s="155"/>
      <c r="BZ844" s="155"/>
      <c r="CA844" s="155"/>
      <c r="CB844" s="155"/>
      <c r="CC844" s="155"/>
      <c r="CD844" s="155"/>
      <c r="CE844" s="155"/>
      <c r="CF844" s="155"/>
      <c r="CG844" s="155"/>
    </row>
    <row r="845" spans="1:85" ht="12.75" x14ac:dyDescent="0.2">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c r="AA845" s="155"/>
      <c r="AB845" s="155"/>
      <c r="AC845" s="155"/>
      <c r="AD845" s="155"/>
      <c r="AE845" s="155"/>
      <c r="AF845" s="155"/>
      <c r="AG845" s="155"/>
      <c r="AH845" s="155"/>
      <c r="AI845" s="155"/>
      <c r="AJ845" s="155"/>
      <c r="AK845" s="155"/>
      <c r="AL845" s="155"/>
      <c r="AM845" s="155"/>
      <c r="AN845" s="155"/>
      <c r="AO845" s="155"/>
      <c r="AP845" s="155"/>
      <c r="AQ845" s="155"/>
      <c r="AR845" s="155"/>
      <c r="AS845" s="155"/>
      <c r="AT845" s="155"/>
      <c r="AU845" s="155"/>
      <c r="AV845" s="155"/>
      <c r="AW845" s="155"/>
      <c r="AX845" s="155"/>
      <c r="AY845" s="155"/>
      <c r="AZ845" s="155"/>
      <c r="BA845" s="155"/>
      <c r="BB845" s="155"/>
      <c r="BC845" s="155"/>
      <c r="BD845" s="155"/>
      <c r="BE845" s="155"/>
      <c r="BF845" s="155"/>
      <c r="BG845" s="155"/>
      <c r="BH845" s="155"/>
      <c r="BI845" s="155"/>
      <c r="BJ845" s="155"/>
      <c r="BK845" s="155"/>
      <c r="BL845" s="155"/>
      <c r="BM845" s="155"/>
      <c r="BN845" s="155"/>
      <c r="BO845" s="155"/>
      <c r="BP845" s="155"/>
      <c r="BQ845" s="155"/>
      <c r="BR845" s="155"/>
      <c r="BS845" s="155"/>
      <c r="BT845" s="155"/>
      <c r="BU845" s="155"/>
      <c r="BV845" s="155"/>
      <c r="BW845" s="155"/>
      <c r="BX845" s="155"/>
      <c r="BY845" s="155"/>
      <c r="BZ845" s="155"/>
      <c r="CA845" s="155"/>
      <c r="CB845" s="155"/>
      <c r="CC845" s="155"/>
      <c r="CD845" s="155"/>
      <c r="CE845" s="155"/>
      <c r="CF845" s="155"/>
      <c r="CG845" s="155"/>
    </row>
    <row r="846" spans="1:85" ht="12.75" x14ac:dyDescent="0.2">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c r="AA846" s="155"/>
      <c r="AB846" s="155"/>
      <c r="AC846" s="155"/>
      <c r="AD846" s="155"/>
      <c r="AE846" s="155"/>
      <c r="AF846" s="155"/>
      <c r="AG846" s="155"/>
      <c r="AH846" s="155"/>
      <c r="AI846" s="155"/>
      <c r="AJ846" s="155"/>
      <c r="AK846" s="155"/>
      <c r="AL846" s="155"/>
      <c r="AM846" s="155"/>
      <c r="AN846" s="155"/>
      <c r="AO846" s="155"/>
      <c r="AP846" s="155"/>
      <c r="AQ846" s="155"/>
      <c r="AR846" s="155"/>
      <c r="AS846" s="155"/>
      <c r="AT846" s="155"/>
      <c r="AU846" s="155"/>
      <c r="AV846" s="155"/>
      <c r="AW846" s="155"/>
      <c r="AX846" s="155"/>
      <c r="AY846" s="155"/>
      <c r="AZ846" s="155"/>
      <c r="BA846" s="155"/>
      <c r="BB846" s="155"/>
      <c r="BC846" s="155"/>
      <c r="BD846" s="155"/>
      <c r="BE846" s="155"/>
      <c r="BF846" s="155"/>
      <c r="BG846" s="155"/>
      <c r="BH846" s="155"/>
      <c r="BI846" s="155"/>
      <c r="BJ846" s="155"/>
      <c r="BK846" s="155"/>
      <c r="BL846" s="155"/>
      <c r="BM846" s="155"/>
      <c r="BN846" s="155"/>
      <c r="BO846" s="155"/>
      <c r="BP846" s="155"/>
      <c r="BQ846" s="155"/>
      <c r="BR846" s="155"/>
      <c r="BS846" s="155"/>
      <c r="BT846" s="155"/>
      <c r="BU846" s="155"/>
      <c r="BV846" s="155"/>
      <c r="BW846" s="155"/>
      <c r="BX846" s="155"/>
      <c r="BY846" s="155"/>
      <c r="BZ846" s="155"/>
      <c r="CA846" s="155"/>
      <c r="CB846" s="155"/>
      <c r="CC846" s="155"/>
      <c r="CD846" s="155"/>
      <c r="CE846" s="155"/>
      <c r="CF846" s="155"/>
      <c r="CG846" s="155"/>
    </row>
    <row r="847" spans="1:85" ht="12.75" x14ac:dyDescent="0.2">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c r="AA847" s="155"/>
      <c r="AB847" s="155"/>
      <c r="AC847" s="155"/>
      <c r="AD847" s="155"/>
      <c r="AE847" s="155"/>
      <c r="AF847" s="155"/>
      <c r="AG847" s="155"/>
      <c r="AH847" s="155"/>
      <c r="AI847" s="155"/>
      <c r="AJ847" s="155"/>
      <c r="AK847" s="155"/>
      <c r="AL847" s="155"/>
      <c r="AM847" s="155"/>
      <c r="AN847" s="155"/>
      <c r="AO847" s="155"/>
      <c r="AP847" s="155"/>
      <c r="AQ847" s="155"/>
      <c r="AR847" s="155"/>
      <c r="AS847" s="155"/>
      <c r="AT847" s="155"/>
      <c r="AU847" s="155"/>
      <c r="AV847" s="155"/>
      <c r="AW847" s="155"/>
      <c r="AX847" s="155"/>
      <c r="AY847" s="155"/>
      <c r="AZ847" s="155"/>
      <c r="BA847" s="155"/>
      <c r="BB847" s="155"/>
      <c r="BC847" s="155"/>
      <c r="BD847" s="155"/>
      <c r="BE847" s="155"/>
      <c r="BF847" s="155"/>
      <c r="BG847" s="155"/>
      <c r="BH847" s="155"/>
      <c r="BI847" s="155"/>
      <c r="BJ847" s="155"/>
      <c r="BK847" s="155"/>
      <c r="BL847" s="155"/>
      <c r="BM847" s="155"/>
      <c r="BN847" s="155"/>
      <c r="BO847" s="155"/>
      <c r="BP847" s="155"/>
      <c r="BQ847" s="155"/>
      <c r="BR847" s="155"/>
      <c r="BS847" s="155"/>
      <c r="BT847" s="155"/>
      <c r="BU847" s="155"/>
      <c r="BV847" s="155"/>
      <c r="BW847" s="155"/>
      <c r="BX847" s="155"/>
      <c r="BY847" s="155"/>
      <c r="BZ847" s="155"/>
      <c r="CA847" s="155"/>
      <c r="CB847" s="155"/>
      <c r="CC847" s="155"/>
      <c r="CD847" s="155"/>
      <c r="CE847" s="155"/>
      <c r="CF847" s="155"/>
      <c r="CG847" s="155"/>
    </row>
    <row r="848" spans="1:85" ht="12.75" x14ac:dyDescent="0.2">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c r="AA848" s="155"/>
      <c r="AB848" s="155"/>
      <c r="AC848" s="155"/>
      <c r="AD848" s="155"/>
      <c r="AE848" s="155"/>
      <c r="AF848" s="155"/>
      <c r="AG848" s="155"/>
      <c r="AH848" s="155"/>
      <c r="AI848" s="155"/>
      <c r="AJ848" s="155"/>
      <c r="AK848" s="155"/>
      <c r="AL848" s="155"/>
      <c r="AM848" s="155"/>
      <c r="AN848" s="155"/>
      <c r="AO848" s="155"/>
      <c r="AP848" s="155"/>
      <c r="AQ848" s="155"/>
      <c r="AR848" s="155"/>
      <c r="AS848" s="155"/>
      <c r="AT848" s="155"/>
      <c r="AU848" s="155"/>
      <c r="AV848" s="155"/>
      <c r="AW848" s="155"/>
      <c r="AX848" s="155"/>
      <c r="AY848" s="155"/>
      <c r="AZ848" s="155"/>
      <c r="BA848" s="155"/>
      <c r="BB848" s="155"/>
      <c r="BC848" s="155"/>
      <c r="BD848" s="155"/>
      <c r="BE848" s="155"/>
      <c r="BF848" s="155"/>
      <c r="BG848" s="155"/>
      <c r="BH848" s="155"/>
      <c r="BI848" s="155"/>
      <c r="BJ848" s="155"/>
      <c r="BK848" s="155"/>
      <c r="BL848" s="155"/>
      <c r="BM848" s="155"/>
      <c r="BN848" s="155"/>
      <c r="BO848" s="155"/>
      <c r="BP848" s="155"/>
      <c r="BQ848" s="155"/>
      <c r="BR848" s="155"/>
      <c r="BS848" s="155"/>
      <c r="BT848" s="155"/>
      <c r="BU848" s="155"/>
      <c r="BV848" s="155"/>
      <c r="BW848" s="155"/>
      <c r="BX848" s="155"/>
      <c r="BY848" s="155"/>
      <c r="BZ848" s="155"/>
      <c r="CA848" s="155"/>
      <c r="CB848" s="155"/>
      <c r="CC848" s="155"/>
      <c r="CD848" s="155"/>
      <c r="CE848" s="155"/>
      <c r="CF848" s="155"/>
      <c r="CG848" s="155"/>
    </row>
    <row r="849" spans="1:85" ht="12.75" x14ac:dyDescent="0.2">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c r="AA849" s="155"/>
      <c r="AB849" s="155"/>
      <c r="AC849" s="155"/>
      <c r="AD849" s="155"/>
      <c r="AE849" s="155"/>
      <c r="AF849" s="155"/>
      <c r="AG849" s="155"/>
      <c r="AH849" s="155"/>
      <c r="AI849" s="155"/>
      <c r="AJ849" s="155"/>
      <c r="AK849" s="155"/>
      <c r="AL849" s="155"/>
      <c r="AM849" s="155"/>
      <c r="AN849" s="155"/>
      <c r="AO849" s="155"/>
      <c r="AP849" s="155"/>
      <c r="AQ849" s="155"/>
      <c r="AR849" s="155"/>
      <c r="AS849" s="155"/>
      <c r="AT849" s="155"/>
      <c r="AU849" s="155"/>
      <c r="AV849" s="155"/>
      <c r="AW849" s="155"/>
      <c r="AX849" s="155"/>
      <c r="AY849" s="155"/>
      <c r="AZ849" s="155"/>
      <c r="BA849" s="155"/>
      <c r="BB849" s="155"/>
      <c r="BC849" s="155"/>
      <c r="BD849" s="155"/>
      <c r="BE849" s="155"/>
      <c r="BF849" s="155"/>
      <c r="BG849" s="155"/>
      <c r="BH849" s="155"/>
      <c r="BI849" s="155"/>
      <c r="BJ849" s="155"/>
      <c r="BK849" s="155"/>
      <c r="BL849" s="155"/>
      <c r="BM849" s="155"/>
      <c r="BN849" s="155"/>
      <c r="BO849" s="155"/>
      <c r="BP849" s="155"/>
      <c r="BQ849" s="155"/>
      <c r="BR849" s="155"/>
      <c r="BS849" s="155"/>
      <c r="BT849" s="155"/>
      <c r="BU849" s="155"/>
      <c r="BV849" s="155"/>
      <c r="BW849" s="155"/>
      <c r="BX849" s="155"/>
      <c r="BY849" s="155"/>
      <c r="BZ849" s="155"/>
      <c r="CA849" s="155"/>
      <c r="CB849" s="155"/>
      <c r="CC849" s="155"/>
      <c r="CD849" s="155"/>
      <c r="CE849" s="155"/>
      <c r="CF849" s="155"/>
      <c r="CG849" s="155"/>
    </row>
    <row r="850" spans="1:85" ht="12.75" x14ac:dyDescent="0.2">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c r="AA850" s="155"/>
      <c r="AB850" s="155"/>
      <c r="AC850" s="155"/>
      <c r="AD850" s="155"/>
      <c r="AE850" s="155"/>
      <c r="AF850" s="155"/>
      <c r="AG850" s="155"/>
      <c r="AH850" s="155"/>
      <c r="AI850" s="155"/>
      <c r="AJ850" s="155"/>
      <c r="AK850" s="155"/>
      <c r="AL850" s="155"/>
      <c r="AM850" s="155"/>
      <c r="AN850" s="155"/>
      <c r="AO850" s="155"/>
      <c r="AP850" s="155"/>
      <c r="AQ850" s="155"/>
      <c r="AR850" s="155"/>
      <c r="AS850" s="155"/>
      <c r="AT850" s="155"/>
      <c r="AU850" s="155"/>
      <c r="AV850" s="155"/>
      <c r="AW850" s="155"/>
      <c r="AX850" s="155"/>
      <c r="AY850" s="155"/>
      <c r="AZ850" s="155"/>
      <c r="BA850" s="155"/>
      <c r="BB850" s="155"/>
      <c r="BC850" s="155"/>
      <c r="BD850" s="155"/>
      <c r="BE850" s="155"/>
      <c r="BF850" s="155"/>
      <c r="BG850" s="155"/>
      <c r="BH850" s="155"/>
      <c r="BI850" s="155"/>
      <c r="BJ850" s="155"/>
      <c r="BK850" s="155"/>
      <c r="BL850" s="155"/>
      <c r="BM850" s="155"/>
      <c r="BN850" s="155"/>
      <c r="BO850" s="155"/>
      <c r="BP850" s="155"/>
      <c r="BQ850" s="155"/>
      <c r="BR850" s="155"/>
      <c r="BS850" s="155"/>
      <c r="BT850" s="155"/>
      <c r="BU850" s="155"/>
      <c r="BV850" s="155"/>
      <c r="BW850" s="155"/>
      <c r="BX850" s="155"/>
      <c r="BY850" s="155"/>
      <c r="BZ850" s="155"/>
      <c r="CA850" s="155"/>
      <c r="CB850" s="155"/>
      <c r="CC850" s="155"/>
      <c r="CD850" s="155"/>
      <c r="CE850" s="155"/>
      <c r="CF850" s="155"/>
      <c r="CG850" s="155"/>
    </row>
    <row r="851" spans="1:85" ht="12.75" x14ac:dyDescent="0.2">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c r="AA851" s="155"/>
      <c r="AB851" s="155"/>
      <c r="AC851" s="155"/>
      <c r="AD851" s="155"/>
      <c r="AE851" s="155"/>
      <c r="AF851" s="155"/>
      <c r="AG851" s="155"/>
      <c r="AH851" s="155"/>
      <c r="AI851" s="155"/>
      <c r="AJ851" s="155"/>
      <c r="AK851" s="155"/>
      <c r="AL851" s="155"/>
      <c r="AM851" s="155"/>
      <c r="AN851" s="155"/>
      <c r="AO851" s="155"/>
      <c r="AP851" s="155"/>
      <c r="AQ851" s="155"/>
      <c r="AR851" s="155"/>
      <c r="AS851" s="155"/>
      <c r="AT851" s="155"/>
      <c r="AU851" s="155"/>
      <c r="AV851" s="155"/>
      <c r="AW851" s="155"/>
      <c r="AX851" s="155"/>
      <c r="AY851" s="155"/>
      <c r="AZ851" s="155"/>
      <c r="BA851" s="155"/>
      <c r="BB851" s="155"/>
      <c r="BC851" s="155"/>
      <c r="BD851" s="155"/>
      <c r="BE851" s="155"/>
      <c r="BF851" s="155"/>
      <c r="BG851" s="155"/>
      <c r="BH851" s="155"/>
      <c r="BI851" s="155"/>
      <c r="BJ851" s="155"/>
      <c r="BK851" s="155"/>
      <c r="BL851" s="155"/>
      <c r="BM851" s="155"/>
      <c r="BN851" s="155"/>
      <c r="BO851" s="155"/>
      <c r="BP851" s="155"/>
      <c r="BQ851" s="155"/>
      <c r="BR851" s="155"/>
      <c r="BS851" s="155"/>
      <c r="BT851" s="155"/>
      <c r="BU851" s="155"/>
      <c r="BV851" s="155"/>
      <c r="BW851" s="155"/>
      <c r="BX851" s="155"/>
      <c r="BY851" s="155"/>
      <c r="BZ851" s="155"/>
      <c r="CA851" s="155"/>
      <c r="CB851" s="155"/>
      <c r="CC851" s="155"/>
      <c r="CD851" s="155"/>
      <c r="CE851" s="155"/>
      <c r="CF851" s="155"/>
      <c r="CG851" s="155"/>
    </row>
    <row r="852" spans="1:85" ht="12.75" x14ac:dyDescent="0.2">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c r="AA852" s="155"/>
      <c r="AB852" s="155"/>
      <c r="AC852" s="155"/>
      <c r="AD852" s="155"/>
      <c r="AE852" s="155"/>
      <c r="AF852" s="155"/>
      <c r="AG852" s="155"/>
      <c r="AH852" s="155"/>
      <c r="AI852" s="155"/>
      <c r="AJ852" s="155"/>
      <c r="AK852" s="155"/>
      <c r="AL852" s="155"/>
      <c r="AM852" s="155"/>
      <c r="AN852" s="155"/>
      <c r="AO852" s="155"/>
      <c r="AP852" s="155"/>
      <c r="AQ852" s="155"/>
      <c r="AR852" s="155"/>
      <c r="AS852" s="155"/>
      <c r="AT852" s="155"/>
      <c r="AU852" s="155"/>
      <c r="AV852" s="155"/>
      <c r="AW852" s="155"/>
      <c r="AX852" s="155"/>
      <c r="AY852" s="155"/>
      <c r="AZ852" s="155"/>
      <c r="BA852" s="155"/>
      <c r="BB852" s="155"/>
      <c r="BC852" s="155"/>
      <c r="BD852" s="155"/>
      <c r="BE852" s="155"/>
      <c r="BF852" s="155"/>
      <c r="BG852" s="155"/>
      <c r="BH852" s="155"/>
      <c r="BI852" s="155"/>
      <c r="BJ852" s="155"/>
      <c r="BK852" s="155"/>
      <c r="BL852" s="155"/>
      <c r="BM852" s="155"/>
      <c r="BN852" s="155"/>
      <c r="BO852" s="155"/>
      <c r="BP852" s="155"/>
      <c r="BQ852" s="155"/>
      <c r="BR852" s="155"/>
      <c r="BS852" s="155"/>
      <c r="BT852" s="155"/>
      <c r="BU852" s="155"/>
      <c r="BV852" s="155"/>
      <c r="BW852" s="155"/>
      <c r="BX852" s="155"/>
      <c r="BY852" s="155"/>
      <c r="BZ852" s="155"/>
      <c r="CA852" s="155"/>
      <c r="CB852" s="155"/>
      <c r="CC852" s="155"/>
      <c r="CD852" s="155"/>
      <c r="CE852" s="155"/>
      <c r="CF852" s="155"/>
      <c r="CG852" s="155"/>
    </row>
    <row r="853" spans="1:85" ht="12.75" x14ac:dyDescent="0.2">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c r="AA853" s="155"/>
      <c r="AB853" s="155"/>
      <c r="AC853" s="155"/>
      <c r="AD853" s="155"/>
      <c r="AE853" s="155"/>
      <c r="AF853" s="155"/>
      <c r="AG853" s="155"/>
      <c r="AH853" s="155"/>
      <c r="AI853" s="155"/>
      <c r="AJ853" s="155"/>
      <c r="AK853" s="155"/>
      <c r="AL853" s="155"/>
      <c r="AM853" s="155"/>
      <c r="AN853" s="155"/>
      <c r="AO853" s="155"/>
      <c r="AP853" s="155"/>
      <c r="AQ853" s="155"/>
      <c r="AR853" s="155"/>
      <c r="AS853" s="155"/>
      <c r="AT853" s="155"/>
      <c r="AU853" s="155"/>
      <c r="AV853" s="155"/>
      <c r="AW853" s="155"/>
      <c r="AX853" s="155"/>
      <c r="AY853" s="155"/>
      <c r="AZ853" s="155"/>
      <c r="BA853" s="155"/>
      <c r="BB853" s="155"/>
      <c r="BC853" s="155"/>
      <c r="BD853" s="155"/>
      <c r="BE853" s="155"/>
      <c r="BF853" s="155"/>
      <c r="BG853" s="155"/>
      <c r="BH853" s="155"/>
      <c r="BI853" s="155"/>
      <c r="BJ853" s="155"/>
      <c r="BK853" s="155"/>
      <c r="BL853" s="155"/>
      <c r="BM853" s="155"/>
      <c r="BN853" s="155"/>
      <c r="BO853" s="155"/>
      <c r="BP853" s="155"/>
      <c r="BQ853" s="155"/>
      <c r="BR853" s="155"/>
      <c r="BS853" s="155"/>
      <c r="BT853" s="155"/>
      <c r="BU853" s="155"/>
      <c r="BV853" s="155"/>
      <c r="BW853" s="155"/>
      <c r="BX853" s="155"/>
      <c r="BY853" s="155"/>
      <c r="BZ853" s="155"/>
      <c r="CA853" s="155"/>
      <c r="CB853" s="155"/>
      <c r="CC853" s="155"/>
      <c r="CD853" s="155"/>
      <c r="CE853" s="155"/>
      <c r="CF853" s="155"/>
      <c r="CG853" s="155"/>
    </row>
    <row r="854" spans="1:85" ht="12.75" x14ac:dyDescent="0.2">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c r="AA854" s="155"/>
      <c r="AB854" s="155"/>
      <c r="AC854" s="155"/>
      <c r="AD854" s="155"/>
      <c r="AE854" s="155"/>
      <c r="AF854" s="155"/>
      <c r="AG854" s="155"/>
      <c r="AH854" s="155"/>
      <c r="AI854" s="155"/>
      <c r="AJ854" s="155"/>
      <c r="AK854" s="155"/>
      <c r="AL854" s="155"/>
      <c r="AM854" s="155"/>
      <c r="AN854" s="155"/>
      <c r="AO854" s="155"/>
      <c r="AP854" s="155"/>
      <c r="AQ854" s="155"/>
      <c r="AR854" s="155"/>
      <c r="AS854" s="155"/>
      <c r="AT854" s="155"/>
      <c r="AU854" s="155"/>
      <c r="AV854" s="155"/>
      <c r="AW854" s="155"/>
      <c r="AX854" s="155"/>
      <c r="AY854" s="155"/>
      <c r="AZ854" s="155"/>
      <c r="BA854" s="155"/>
      <c r="BB854" s="155"/>
      <c r="BC854" s="155"/>
      <c r="BD854" s="155"/>
      <c r="BE854" s="155"/>
      <c r="BF854" s="155"/>
      <c r="BG854" s="155"/>
      <c r="BH854" s="155"/>
      <c r="BI854" s="155"/>
      <c r="BJ854" s="155"/>
      <c r="BK854" s="155"/>
      <c r="BL854" s="155"/>
      <c r="BM854" s="155"/>
      <c r="BN854" s="155"/>
      <c r="BO854" s="155"/>
      <c r="BP854" s="155"/>
      <c r="BQ854" s="155"/>
      <c r="BR854" s="155"/>
      <c r="BS854" s="155"/>
      <c r="BT854" s="155"/>
      <c r="BU854" s="155"/>
      <c r="BV854" s="155"/>
      <c r="BW854" s="155"/>
      <c r="BX854" s="155"/>
      <c r="BY854" s="155"/>
      <c r="BZ854" s="155"/>
      <c r="CA854" s="155"/>
      <c r="CB854" s="155"/>
      <c r="CC854" s="155"/>
      <c r="CD854" s="155"/>
      <c r="CE854" s="155"/>
      <c r="CF854" s="155"/>
      <c r="CG854" s="155"/>
    </row>
    <row r="855" spans="1:85" ht="12.75" x14ac:dyDescent="0.2">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c r="AA855" s="155"/>
      <c r="AB855" s="155"/>
      <c r="AC855" s="155"/>
      <c r="AD855" s="155"/>
      <c r="AE855" s="155"/>
      <c r="AF855" s="155"/>
      <c r="AG855" s="155"/>
      <c r="AH855" s="155"/>
      <c r="AI855" s="155"/>
      <c r="AJ855" s="155"/>
      <c r="AK855" s="155"/>
      <c r="AL855" s="155"/>
      <c r="AM855" s="155"/>
      <c r="AN855" s="155"/>
      <c r="AO855" s="155"/>
      <c r="AP855" s="155"/>
      <c r="AQ855" s="155"/>
      <c r="AR855" s="155"/>
      <c r="AS855" s="155"/>
      <c r="AT855" s="155"/>
      <c r="AU855" s="155"/>
      <c r="AV855" s="155"/>
      <c r="AW855" s="155"/>
      <c r="AX855" s="155"/>
      <c r="AY855" s="155"/>
      <c r="AZ855" s="155"/>
      <c r="BA855" s="155"/>
      <c r="BB855" s="155"/>
      <c r="BC855" s="155"/>
      <c r="BD855" s="155"/>
      <c r="BE855" s="155"/>
      <c r="BF855" s="155"/>
      <c r="BG855" s="155"/>
      <c r="BH855" s="155"/>
      <c r="BI855" s="155"/>
      <c r="BJ855" s="155"/>
      <c r="BK855" s="155"/>
      <c r="BL855" s="155"/>
      <c r="BM855" s="155"/>
      <c r="BN855" s="155"/>
      <c r="BO855" s="155"/>
      <c r="BP855" s="155"/>
      <c r="BQ855" s="155"/>
      <c r="BR855" s="155"/>
      <c r="BS855" s="155"/>
      <c r="BT855" s="155"/>
      <c r="BU855" s="155"/>
      <c r="BV855" s="155"/>
      <c r="BW855" s="155"/>
      <c r="BX855" s="155"/>
      <c r="BY855" s="155"/>
      <c r="BZ855" s="155"/>
      <c r="CA855" s="155"/>
      <c r="CB855" s="155"/>
      <c r="CC855" s="155"/>
      <c r="CD855" s="155"/>
      <c r="CE855" s="155"/>
      <c r="CF855" s="155"/>
      <c r="CG855" s="155"/>
    </row>
    <row r="856" spans="1:85" ht="12.75" x14ac:dyDescent="0.2">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c r="AA856" s="155"/>
      <c r="AB856" s="155"/>
      <c r="AC856" s="155"/>
      <c r="AD856" s="155"/>
      <c r="AE856" s="155"/>
      <c r="AF856" s="155"/>
      <c r="AG856" s="155"/>
      <c r="AH856" s="155"/>
      <c r="AI856" s="155"/>
      <c r="AJ856" s="155"/>
      <c r="AK856" s="155"/>
      <c r="AL856" s="155"/>
      <c r="AM856" s="155"/>
      <c r="AN856" s="155"/>
      <c r="AO856" s="155"/>
      <c r="AP856" s="155"/>
      <c r="AQ856" s="155"/>
      <c r="AR856" s="155"/>
      <c r="AS856" s="155"/>
      <c r="AT856" s="155"/>
      <c r="AU856" s="155"/>
      <c r="AV856" s="155"/>
      <c r="AW856" s="155"/>
      <c r="AX856" s="155"/>
      <c r="AY856" s="155"/>
      <c r="AZ856" s="155"/>
      <c r="BA856" s="155"/>
      <c r="BB856" s="155"/>
      <c r="BC856" s="155"/>
      <c r="BD856" s="155"/>
      <c r="BE856" s="155"/>
      <c r="BF856" s="155"/>
      <c r="BG856" s="155"/>
      <c r="BH856" s="155"/>
      <c r="BI856" s="155"/>
      <c r="BJ856" s="155"/>
      <c r="BK856" s="155"/>
      <c r="BL856" s="155"/>
      <c r="BM856" s="155"/>
      <c r="BN856" s="155"/>
      <c r="BO856" s="155"/>
      <c r="BP856" s="155"/>
      <c r="BQ856" s="155"/>
      <c r="BR856" s="155"/>
      <c r="BS856" s="155"/>
      <c r="BT856" s="155"/>
      <c r="BU856" s="155"/>
      <c r="BV856" s="155"/>
      <c r="BW856" s="155"/>
      <c r="BX856" s="155"/>
      <c r="BY856" s="155"/>
      <c r="BZ856" s="155"/>
      <c r="CA856" s="155"/>
      <c r="CB856" s="155"/>
      <c r="CC856" s="155"/>
      <c r="CD856" s="155"/>
      <c r="CE856" s="155"/>
      <c r="CF856" s="155"/>
      <c r="CG856" s="155"/>
    </row>
    <row r="857" spans="1:85" ht="12.75" x14ac:dyDescent="0.2">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c r="AA857" s="155"/>
      <c r="AB857" s="155"/>
      <c r="AC857" s="155"/>
      <c r="AD857" s="155"/>
      <c r="AE857" s="155"/>
      <c r="AF857" s="155"/>
      <c r="AG857" s="155"/>
      <c r="AH857" s="155"/>
      <c r="AI857" s="155"/>
      <c r="AJ857" s="155"/>
      <c r="AK857" s="155"/>
      <c r="AL857" s="155"/>
      <c r="AM857" s="155"/>
      <c r="AN857" s="155"/>
      <c r="AO857" s="155"/>
      <c r="AP857" s="155"/>
      <c r="AQ857" s="155"/>
      <c r="AR857" s="155"/>
      <c r="AS857" s="155"/>
      <c r="AT857" s="155"/>
      <c r="AU857" s="155"/>
      <c r="AV857" s="155"/>
      <c r="AW857" s="155"/>
      <c r="AX857" s="155"/>
      <c r="AY857" s="155"/>
      <c r="AZ857" s="155"/>
      <c r="BA857" s="155"/>
      <c r="BB857" s="155"/>
      <c r="BC857" s="155"/>
      <c r="BD857" s="155"/>
      <c r="BE857" s="155"/>
      <c r="BF857" s="155"/>
      <c r="BG857" s="155"/>
      <c r="BH857" s="155"/>
      <c r="BI857" s="155"/>
      <c r="BJ857" s="155"/>
      <c r="BK857" s="155"/>
      <c r="BL857" s="155"/>
      <c r="BM857" s="155"/>
      <c r="BN857" s="155"/>
      <c r="BO857" s="155"/>
      <c r="BP857" s="155"/>
      <c r="BQ857" s="155"/>
      <c r="BR857" s="155"/>
      <c r="BS857" s="155"/>
      <c r="BT857" s="155"/>
      <c r="BU857" s="155"/>
      <c r="BV857" s="155"/>
      <c r="BW857" s="155"/>
      <c r="BX857" s="155"/>
      <c r="BY857" s="155"/>
      <c r="BZ857" s="155"/>
      <c r="CA857" s="155"/>
      <c r="CB857" s="155"/>
      <c r="CC857" s="155"/>
      <c r="CD857" s="155"/>
      <c r="CE857" s="155"/>
      <c r="CF857" s="155"/>
      <c r="CG857" s="155"/>
    </row>
    <row r="858" spans="1:85" ht="12.75" x14ac:dyDescent="0.2">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c r="AA858" s="155"/>
      <c r="AB858" s="155"/>
      <c r="AC858" s="155"/>
      <c r="AD858" s="155"/>
      <c r="AE858" s="155"/>
      <c r="AF858" s="155"/>
      <c r="AG858" s="155"/>
      <c r="AH858" s="155"/>
      <c r="AI858" s="155"/>
      <c r="AJ858" s="155"/>
      <c r="AK858" s="155"/>
      <c r="AL858" s="155"/>
      <c r="AM858" s="155"/>
      <c r="AN858" s="155"/>
      <c r="AO858" s="155"/>
      <c r="AP858" s="155"/>
      <c r="AQ858" s="155"/>
      <c r="AR858" s="155"/>
      <c r="AS858" s="155"/>
      <c r="AT858" s="155"/>
      <c r="AU858" s="155"/>
      <c r="AV858" s="155"/>
      <c r="AW858" s="155"/>
      <c r="AX858" s="155"/>
      <c r="AY858" s="155"/>
      <c r="AZ858" s="155"/>
      <c r="BA858" s="155"/>
      <c r="BB858" s="155"/>
      <c r="BC858" s="155"/>
      <c r="BD858" s="155"/>
      <c r="BE858" s="155"/>
      <c r="BF858" s="155"/>
      <c r="BG858" s="155"/>
      <c r="BH858" s="155"/>
      <c r="BI858" s="155"/>
      <c r="BJ858" s="155"/>
      <c r="BK858" s="155"/>
      <c r="BL858" s="155"/>
      <c r="BM858" s="155"/>
      <c r="BN858" s="155"/>
      <c r="BO858" s="155"/>
      <c r="BP858" s="155"/>
      <c r="BQ858" s="155"/>
      <c r="BR858" s="155"/>
      <c r="BS858" s="155"/>
      <c r="BT858" s="155"/>
      <c r="BU858" s="155"/>
      <c r="BV858" s="155"/>
      <c r="BW858" s="155"/>
      <c r="BX858" s="155"/>
      <c r="BY858" s="155"/>
      <c r="BZ858" s="155"/>
      <c r="CA858" s="155"/>
      <c r="CB858" s="155"/>
      <c r="CC858" s="155"/>
      <c r="CD858" s="155"/>
      <c r="CE858" s="155"/>
      <c r="CF858" s="155"/>
      <c r="CG858" s="155"/>
    </row>
    <row r="859" spans="1:85" ht="12.75" x14ac:dyDescent="0.2">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c r="AA859" s="155"/>
      <c r="AB859" s="155"/>
      <c r="AC859" s="155"/>
      <c r="AD859" s="155"/>
      <c r="AE859" s="155"/>
      <c r="AF859" s="155"/>
      <c r="AG859" s="155"/>
      <c r="AH859" s="155"/>
      <c r="AI859" s="155"/>
      <c r="AJ859" s="155"/>
      <c r="AK859" s="155"/>
      <c r="AL859" s="155"/>
      <c r="AM859" s="155"/>
      <c r="AN859" s="155"/>
      <c r="AO859" s="155"/>
      <c r="AP859" s="155"/>
      <c r="AQ859" s="155"/>
      <c r="AR859" s="155"/>
      <c r="AS859" s="155"/>
      <c r="AT859" s="155"/>
      <c r="AU859" s="155"/>
      <c r="AV859" s="155"/>
      <c r="AW859" s="155"/>
      <c r="AX859" s="155"/>
      <c r="AY859" s="155"/>
      <c r="AZ859" s="155"/>
      <c r="BA859" s="155"/>
      <c r="BB859" s="155"/>
      <c r="BC859" s="155"/>
      <c r="BD859" s="155"/>
      <c r="BE859" s="155"/>
      <c r="BF859" s="155"/>
      <c r="BG859" s="155"/>
      <c r="BH859" s="155"/>
      <c r="BI859" s="155"/>
      <c r="BJ859" s="155"/>
      <c r="BK859" s="155"/>
      <c r="BL859" s="155"/>
      <c r="BM859" s="155"/>
      <c r="BN859" s="155"/>
      <c r="BO859" s="155"/>
      <c r="BP859" s="155"/>
      <c r="BQ859" s="155"/>
      <c r="BR859" s="155"/>
      <c r="BS859" s="155"/>
      <c r="BT859" s="155"/>
      <c r="BU859" s="155"/>
      <c r="BV859" s="155"/>
      <c r="BW859" s="155"/>
      <c r="BX859" s="155"/>
      <c r="BY859" s="155"/>
      <c r="BZ859" s="155"/>
      <c r="CA859" s="155"/>
      <c r="CB859" s="155"/>
      <c r="CC859" s="155"/>
      <c r="CD859" s="155"/>
      <c r="CE859" s="155"/>
      <c r="CF859" s="155"/>
      <c r="CG859" s="155"/>
    </row>
    <row r="860" spans="1:85" ht="12.75" x14ac:dyDescent="0.2">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c r="AA860" s="155"/>
      <c r="AB860" s="155"/>
      <c r="AC860" s="155"/>
      <c r="AD860" s="155"/>
      <c r="AE860" s="155"/>
      <c r="AF860" s="155"/>
      <c r="AG860" s="155"/>
      <c r="AH860" s="155"/>
      <c r="AI860" s="155"/>
      <c r="AJ860" s="155"/>
      <c r="AK860" s="155"/>
      <c r="AL860" s="155"/>
      <c r="AM860" s="155"/>
      <c r="AN860" s="155"/>
      <c r="AO860" s="155"/>
      <c r="AP860" s="155"/>
      <c r="AQ860" s="155"/>
      <c r="AR860" s="155"/>
      <c r="AS860" s="155"/>
      <c r="AT860" s="155"/>
      <c r="AU860" s="155"/>
      <c r="AV860" s="155"/>
      <c r="AW860" s="155"/>
      <c r="AX860" s="155"/>
      <c r="AY860" s="155"/>
      <c r="AZ860" s="155"/>
      <c r="BA860" s="155"/>
      <c r="BB860" s="155"/>
      <c r="BC860" s="155"/>
      <c r="BD860" s="155"/>
      <c r="BE860" s="155"/>
      <c r="BF860" s="155"/>
      <c r="BG860" s="155"/>
      <c r="BH860" s="155"/>
      <c r="BI860" s="155"/>
      <c r="BJ860" s="155"/>
      <c r="BK860" s="155"/>
      <c r="BL860" s="155"/>
      <c r="BM860" s="155"/>
      <c r="BN860" s="155"/>
      <c r="BO860" s="155"/>
      <c r="BP860" s="155"/>
      <c r="BQ860" s="155"/>
      <c r="BR860" s="155"/>
      <c r="BS860" s="155"/>
      <c r="BT860" s="155"/>
      <c r="BU860" s="155"/>
      <c r="BV860" s="155"/>
      <c r="BW860" s="155"/>
      <c r="BX860" s="155"/>
      <c r="BY860" s="155"/>
      <c r="BZ860" s="155"/>
      <c r="CA860" s="155"/>
      <c r="CB860" s="155"/>
      <c r="CC860" s="155"/>
      <c r="CD860" s="155"/>
      <c r="CE860" s="155"/>
      <c r="CF860" s="155"/>
      <c r="CG860" s="155"/>
    </row>
    <row r="861" spans="1:85" ht="12.75" x14ac:dyDescent="0.2">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c r="AA861" s="155"/>
      <c r="AB861" s="155"/>
      <c r="AC861" s="155"/>
      <c r="AD861" s="155"/>
      <c r="AE861" s="155"/>
      <c r="AF861" s="155"/>
      <c r="AG861" s="155"/>
      <c r="AH861" s="155"/>
      <c r="AI861" s="155"/>
      <c r="AJ861" s="155"/>
      <c r="AK861" s="155"/>
      <c r="AL861" s="155"/>
      <c r="AM861" s="155"/>
      <c r="AN861" s="155"/>
      <c r="AO861" s="155"/>
      <c r="AP861" s="155"/>
      <c r="AQ861" s="155"/>
      <c r="AR861" s="155"/>
      <c r="AS861" s="155"/>
      <c r="AT861" s="155"/>
      <c r="AU861" s="155"/>
      <c r="AV861" s="155"/>
      <c r="AW861" s="155"/>
      <c r="AX861" s="155"/>
      <c r="AY861" s="155"/>
      <c r="AZ861" s="155"/>
      <c r="BA861" s="155"/>
      <c r="BB861" s="155"/>
      <c r="BC861" s="155"/>
      <c r="BD861" s="155"/>
      <c r="BE861" s="155"/>
      <c r="BF861" s="155"/>
      <c r="BG861" s="155"/>
      <c r="BH861" s="155"/>
      <c r="BI861" s="155"/>
      <c r="BJ861" s="155"/>
      <c r="BK861" s="155"/>
      <c r="BL861" s="155"/>
      <c r="BM861" s="155"/>
      <c r="BN861" s="155"/>
      <c r="BO861" s="155"/>
      <c r="BP861" s="155"/>
      <c r="BQ861" s="155"/>
      <c r="BR861" s="155"/>
      <c r="BS861" s="155"/>
      <c r="BT861" s="155"/>
      <c r="BU861" s="155"/>
      <c r="BV861" s="155"/>
      <c r="BW861" s="155"/>
      <c r="BX861" s="155"/>
      <c r="BY861" s="155"/>
      <c r="BZ861" s="155"/>
      <c r="CA861" s="155"/>
      <c r="CB861" s="155"/>
      <c r="CC861" s="155"/>
      <c r="CD861" s="155"/>
      <c r="CE861" s="155"/>
      <c r="CF861" s="155"/>
      <c r="CG861" s="155"/>
    </row>
    <row r="862" spans="1:85" ht="12.75" x14ac:dyDescent="0.2">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c r="AA862" s="155"/>
      <c r="AB862" s="155"/>
      <c r="AC862" s="155"/>
      <c r="AD862" s="155"/>
      <c r="AE862" s="155"/>
      <c r="AF862" s="155"/>
      <c r="AG862" s="155"/>
      <c r="AH862" s="155"/>
      <c r="AI862" s="155"/>
      <c r="AJ862" s="155"/>
      <c r="AK862" s="155"/>
      <c r="AL862" s="155"/>
      <c r="AM862" s="155"/>
      <c r="AN862" s="155"/>
      <c r="AO862" s="155"/>
      <c r="AP862" s="155"/>
      <c r="AQ862" s="155"/>
      <c r="AR862" s="155"/>
      <c r="AS862" s="155"/>
      <c r="AT862" s="155"/>
      <c r="AU862" s="155"/>
      <c r="AV862" s="155"/>
      <c r="AW862" s="155"/>
      <c r="AX862" s="155"/>
      <c r="AY862" s="155"/>
      <c r="AZ862" s="155"/>
      <c r="BA862" s="155"/>
      <c r="BB862" s="155"/>
      <c r="BC862" s="155"/>
      <c r="BD862" s="155"/>
      <c r="BE862" s="155"/>
      <c r="BF862" s="155"/>
      <c r="BG862" s="155"/>
      <c r="BH862" s="155"/>
      <c r="BI862" s="155"/>
      <c r="BJ862" s="155"/>
      <c r="BK862" s="155"/>
      <c r="BL862" s="155"/>
      <c r="BM862" s="155"/>
      <c r="BN862" s="155"/>
      <c r="BO862" s="155"/>
      <c r="BP862" s="155"/>
      <c r="BQ862" s="155"/>
      <c r="BR862" s="155"/>
      <c r="BS862" s="155"/>
      <c r="BT862" s="155"/>
      <c r="BU862" s="155"/>
      <c r="BV862" s="155"/>
      <c r="BW862" s="155"/>
      <c r="BX862" s="155"/>
      <c r="BY862" s="155"/>
      <c r="BZ862" s="155"/>
      <c r="CA862" s="155"/>
      <c r="CB862" s="155"/>
      <c r="CC862" s="155"/>
      <c r="CD862" s="155"/>
      <c r="CE862" s="155"/>
      <c r="CF862" s="155"/>
      <c r="CG862" s="155"/>
    </row>
    <row r="863" spans="1:85" ht="12.75" x14ac:dyDescent="0.2">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c r="AA863" s="155"/>
      <c r="AB863" s="155"/>
      <c r="AC863" s="155"/>
      <c r="AD863" s="155"/>
      <c r="AE863" s="155"/>
      <c r="AF863" s="155"/>
      <c r="AG863" s="155"/>
      <c r="AH863" s="155"/>
      <c r="AI863" s="155"/>
      <c r="AJ863" s="155"/>
      <c r="AK863" s="155"/>
      <c r="AL863" s="155"/>
      <c r="AM863" s="155"/>
      <c r="AN863" s="155"/>
      <c r="AO863" s="155"/>
      <c r="AP863" s="155"/>
      <c r="AQ863" s="155"/>
      <c r="AR863" s="155"/>
      <c r="AS863" s="155"/>
      <c r="AT863" s="155"/>
      <c r="AU863" s="155"/>
      <c r="AV863" s="155"/>
      <c r="AW863" s="155"/>
      <c r="AX863" s="155"/>
      <c r="AY863" s="155"/>
      <c r="AZ863" s="155"/>
      <c r="BA863" s="155"/>
      <c r="BB863" s="155"/>
      <c r="BC863" s="155"/>
      <c r="BD863" s="155"/>
      <c r="BE863" s="155"/>
      <c r="BF863" s="155"/>
      <c r="BG863" s="155"/>
      <c r="BH863" s="155"/>
      <c r="BI863" s="155"/>
      <c r="BJ863" s="155"/>
      <c r="BK863" s="155"/>
      <c r="BL863" s="155"/>
      <c r="BM863" s="155"/>
      <c r="BN863" s="155"/>
      <c r="BO863" s="155"/>
      <c r="BP863" s="155"/>
      <c r="BQ863" s="155"/>
      <c r="BR863" s="155"/>
      <c r="BS863" s="155"/>
      <c r="BT863" s="155"/>
      <c r="BU863" s="155"/>
      <c r="BV863" s="155"/>
      <c r="BW863" s="155"/>
      <c r="BX863" s="155"/>
      <c r="BY863" s="155"/>
      <c r="BZ863" s="155"/>
      <c r="CA863" s="155"/>
      <c r="CB863" s="155"/>
      <c r="CC863" s="155"/>
      <c r="CD863" s="155"/>
      <c r="CE863" s="155"/>
      <c r="CF863" s="155"/>
      <c r="CG863" s="155"/>
    </row>
    <row r="864" spans="1:85" ht="12.75" x14ac:dyDescent="0.2">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c r="AA864" s="155"/>
      <c r="AB864" s="155"/>
      <c r="AC864" s="155"/>
      <c r="AD864" s="155"/>
      <c r="AE864" s="155"/>
      <c r="AF864" s="155"/>
      <c r="AG864" s="155"/>
      <c r="AH864" s="155"/>
      <c r="AI864" s="155"/>
      <c r="AJ864" s="155"/>
      <c r="AK864" s="155"/>
      <c r="AL864" s="155"/>
      <c r="AM864" s="155"/>
      <c r="AN864" s="155"/>
      <c r="AO864" s="155"/>
      <c r="AP864" s="155"/>
      <c r="AQ864" s="155"/>
      <c r="AR864" s="155"/>
      <c r="AS864" s="155"/>
      <c r="AT864" s="155"/>
      <c r="AU864" s="155"/>
      <c r="AV864" s="155"/>
      <c r="AW864" s="155"/>
      <c r="AX864" s="155"/>
      <c r="AY864" s="155"/>
      <c r="AZ864" s="155"/>
      <c r="BA864" s="155"/>
      <c r="BB864" s="155"/>
      <c r="BC864" s="155"/>
      <c r="BD864" s="155"/>
      <c r="BE864" s="155"/>
      <c r="BF864" s="155"/>
      <c r="BG864" s="155"/>
      <c r="BH864" s="155"/>
      <c r="BI864" s="155"/>
      <c r="BJ864" s="155"/>
      <c r="BK864" s="155"/>
      <c r="BL864" s="155"/>
      <c r="BM864" s="155"/>
      <c r="BN864" s="155"/>
      <c r="BO864" s="155"/>
      <c r="BP864" s="155"/>
      <c r="BQ864" s="155"/>
      <c r="BR864" s="155"/>
      <c r="BS864" s="155"/>
      <c r="BT864" s="155"/>
      <c r="BU864" s="155"/>
      <c r="BV864" s="155"/>
      <c r="BW864" s="155"/>
      <c r="BX864" s="155"/>
      <c r="BY864" s="155"/>
      <c r="BZ864" s="155"/>
      <c r="CA864" s="155"/>
      <c r="CB864" s="155"/>
      <c r="CC864" s="155"/>
      <c r="CD864" s="155"/>
      <c r="CE864" s="155"/>
      <c r="CF864" s="155"/>
      <c r="CG864" s="155"/>
    </row>
    <row r="865" spans="1:85" ht="12.75" x14ac:dyDescent="0.2">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c r="AA865" s="155"/>
      <c r="AB865" s="155"/>
      <c r="AC865" s="155"/>
      <c r="AD865" s="155"/>
      <c r="AE865" s="155"/>
      <c r="AF865" s="155"/>
      <c r="AG865" s="155"/>
      <c r="AH865" s="155"/>
      <c r="AI865" s="155"/>
      <c r="AJ865" s="155"/>
      <c r="AK865" s="155"/>
      <c r="AL865" s="155"/>
      <c r="AM865" s="155"/>
      <c r="AN865" s="155"/>
      <c r="AO865" s="155"/>
      <c r="AP865" s="155"/>
      <c r="AQ865" s="155"/>
      <c r="AR865" s="155"/>
      <c r="AS865" s="155"/>
      <c r="AT865" s="155"/>
      <c r="AU865" s="155"/>
      <c r="AV865" s="155"/>
      <c r="AW865" s="155"/>
      <c r="AX865" s="155"/>
      <c r="AY865" s="155"/>
      <c r="AZ865" s="155"/>
      <c r="BA865" s="155"/>
      <c r="BB865" s="155"/>
      <c r="BC865" s="155"/>
      <c r="BD865" s="155"/>
      <c r="BE865" s="155"/>
      <c r="BF865" s="155"/>
      <c r="BG865" s="155"/>
      <c r="BH865" s="155"/>
      <c r="BI865" s="155"/>
      <c r="BJ865" s="155"/>
      <c r="BK865" s="155"/>
      <c r="BL865" s="155"/>
      <c r="BM865" s="155"/>
      <c r="BN865" s="155"/>
      <c r="BO865" s="155"/>
      <c r="BP865" s="155"/>
      <c r="BQ865" s="155"/>
      <c r="BR865" s="155"/>
      <c r="BS865" s="155"/>
      <c r="BT865" s="155"/>
      <c r="BU865" s="155"/>
      <c r="BV865" s="155"/>
      <c r="BW865" s="155"/>
      <c r="BX865" s="155"/>
      <c r="BY865" s="155"/>
      <c r="BZ865" s="155"/>
      <c r="CA865" s="155"/>
      <c r="CB865" s="155"/>
      <c r="CC865" s="155"/>
      <c r="CD865" s="155"/>
      <c r="CE865" s="155"/>
      <c r="CF865" s="155"/>
      <c r="CG865" s="155"/>
    </row>
    <row r="866" spans="1:85" ht="12.75" x14ac:dyDescent="0.2">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c r="AA866" s="155"/>
      <c r="AB866" s="155"/>
      <c r="AC866" s="155"/>
      <c r="AD866" s="155"/>
      <c r="AE866" s="155"/>
      <c r="AF866" s="155"/>
      <c r="AG866" s="155"/>
      <c r="AH866" s="155"/>
      <c r="AI866" s="155"/>
      <c r="AJ866" s="155"/>
      <c r="AK866" s="155"/>
      <c r="AL866" s="155"/>
      <c r="AM866" s="155"/>
      <c r="AN866" s="155"/>
      <c r="AO866" s="155"/>
      <c r="AP866" s="155"/>
      <c r="AQ866" s="155"/>
      <c r="AR866" s="155"/>
      <c r="AS866" s="155"/>
      <c r="AT866" s="155"/>
      <c r="AU866" s="155"/>
      <c r="AV866" s="155"/>
      <c r="AW866" s="155"/>
      <c r="AX866" s="155"/>
      <c r="AY866" s="155"/>
      <c r="AZ866" s="155"/>
      <c r="BA866" s="155"/>
      <c r="BB866" s="155"/>
      <c r="BC866" s="155"/>
      <c r="BD866" s="155"/>
      <c r="BE866" s="155"/>
      <c r="BF866" s="155"/>
      <c r="BG866" s="155"/>
      <c r="BH866" s="155"/>
      <c r="BI866" s="155"/>
      <c r="BJ866" s="155"/>
      <c r="BK866" s="155"/>
      <c r="BL866" s="155"/>
      <c r="BM866" s="155"/>
      <c r="BN866" s="155"/>
      <c r="BO866" s="155"/>
      <c r="BP866" s="155"/>
      <c r="BQ866" s="155"/>
      <c r="BR866" s="155"/>
      <c r="BS866" s="155"/>
      <c r="BT866" s="155"/>
      <c r="BU866" s="155"/>
      <c r="BV866" s="155"/>
      <c r="BW866" s="155"/>
      <c r="BX866" s="155"/>
      <c r="BY866" s="155"/>
      <c r="BZ866" s="155"/>
      <c r="CA866" s="155"/>
      <c r="CB866" s="155"/>
      <c r="CC866" s="155"/>
      <c r="CD866" s="155"/>
      <c r="CE866" s="155"/>
      <c r="CF866" s="155"/>
      <c r="CG866" s="155"/>
    </row>
    <row r="867" spans="1:85" ht="12.75" x14ac:dyDescent="0.2">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c r="AA867" s="155"/>
      <c r="AB867" s="155"/>
      <c r="AC867" s="155"/>
      <c r="AD867" s="155"/>
      <c r="AE867" s="155"/>
      <c r="AF867" s="155"/>
      <c r="AG867" s="155"/>
      <c r="AH867" s="155"/>
      <c r="AI867" s="155"/>
      <c r="AJ867" s="155"/>
      <c r="AK867" s="155"/>
      <c r="AL867" s="155"/>
      <c r="AM867" s="155"/>
      <c r="AN867" s="155"/>
      <c r="AO867" s="155"/>
      <c r="AP867" s="155"/>
      <c r="AQ867" s="155"/>
      <c r="AR867" s="155"/>
      <c r="AS867" s="155"/>
      <c r="AT867" s="155"/>
      <c r="AU867" s="155"/>
      <c r="AV867" s="155"/>
      <c r="AW867" s="155"/>
      <c r="AX867" s="155"/>
      <c r="AY867" s="155"/>
      <c r="AZ867" s="155"/>
      <c r="BA867" s="155"/>
      <c r="BB867" s="155"/>
      <c r="BC867" s="155"/>
      <c r="BD867" s="155"/>
      <c r="BE867" s="155"/>
      <c r="BF867" s="155"/>
      <c r="BG867" s="155"/>
      <c r="BH867" s="155"/>
      <c r="BI867" s="155"/>
      <c r="BJ867" s="155"/>
      <c r="BK867" s="155"/>
      <c r="BL867" s="155"/>
      <c r="BM867" s="155"/>
      <c r="BN867" s="155"/>
      <c r="BO867" s="155"/>
      <c r="BP867" s="155"/>
      <c r="BQ867" s="155"/>
      <c r="BR867" s="155"/>
      <c r="BS867" s="155"/>
      <c r="BT867" s="155"/>
      <c r="BU867" s="155"/>
      <c r="BV867" s="155"/>
      <c r="BW867" s="155"/>
      <c r="BX867" s="155"/>
      <c r="BY867" s="155"/>
      <c r="BZ867" s="155"/>
      <c r="CA867" s="155"/>
      <c r="CB867" s="155"/>
      <c r="CC867" s="155"/>
      <c r="CD867" s="155"/>
      <c r="CE867" s="155"/>
      <c r="CF867" s="155"/>
      <c r="CG867" s="155"/>
    </row>
    <row r="868" spans="1:85" ht="12.75" x14ac:dyDescent="0.2">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c r="AA868" s="155"/>
      <c r="AB868" s="155"/>
      <c r="AC868" s="155"/>
      <c r="AD868" s="155"/>
      <c r="AE868" s="155"/>
      <c r="AF868" s="155"/>
      <c r="AG868" s="155"/>
      <c r="AH868" s="155"/>
      <c r="AI868" s="155"/>
      <c r="AJ868" s="155"/>
      <c r="AK868" s="155"/>
      <c r="AL868" s="155"/>
      <c r="AM868" s="155"/>
      <c r="AN868" s="155"/>
      <c r="AO868" s="155"/>
      <c r="AP868" s="155"/>
      <c r="AQ868" s="155"/>
      <c r="AR868" s="155"/>
      <c r="AS868" s="155"/>
      <c r="AT868" s="155"/>
      <c r="AU868" s="155"/>
      <c r="AV868" s="155"/>
      <c r="AW868" s="155"/>
      <c r="AX868" s="155"/>
      <c r="AY868" s="155"/>
      <c r="AZ868" s="155"/>
      <c r="BA868" s="155"/>
      <c r="BB868" s="155"/>
      <c r="BC868" s="155"/>
      <c r="BD868" s="155"/>
      <c r="BE868" s="155"/>
      <c r="BF868" s="155"/>
      <c r="BG868" s="155"/>
      <c r="BH868" s="155"/>
      <c r="BI868" s="155"/>
      <c r="BJ868" s="155"/>
      <c r="BK868" s="155"/>
      <c r="BL868" s="155"/>
      <c r="BM868" s="155"/>
      <c r="BN868" s="155"/>
      <c r="BO868" s="155"/>
      <c r="BP868" s="155"/>
      <c r="BQ868" s="155"/>
      <c r="BR868" s="155"/>
      <c r="BS868" s="155"/>
      <c r="BT868" s="155"/>
      <c r="BU868" s="155"/>
      <c r="BV868" s="155"/>
      <c r="BW868" s="155"/>
      <c r="BX868" s="155"/>
      <c r="BY868" s="155"/>
      <c r="BZ868" s="155"/>
      <c r="CA868" s="155"/>
      <c r="CB868" s="155"/>
      <c r="CC868" s="155"/>
      <c r="CD868" s="155"/>
      <c r="CE868" s="155"/>
      <c r="CF868" s="155"/>
      <c r="CG868" s="155"/>
    </row>
    <row r="869" spans="1:85" ht="12.75" x14ac:dyDescent="0.2">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c r="AA869" s="155"/>
      <c r="AB869" s="155"/>
      <c r="AC869" s="155"/>
      <c r="AD869" s="155"/>
      <c r="AE869" s="155"/>
      <c r="AF869" s="155"/>
      <c r="AG869" s="155"/>
      <c r="AH869" s="155"/>
      <c r="AI869" s="155"/>
      <c r="AJ869" s="155"/>
      <c r="AK869" s="155"/>
      <c r="AL869" s="155"/>
      <c r="AM869" s="155"/>
      <c r="AN869" s="155"/>
      <c r="AO869" s="155"/>
      <c r="AP869" s="155"/>
      <c r="AQ869" s="155"/>
      <c r="AR869" s="155"/>
      <c r="AS869" s="155"/>
      <c r="AT869" s="155"/>
      <c r="AU869" s="155"/>
      <c r="AV869" s="155"/>
      <c r="AW869" s="155"/>
      <c r="AX869" s="155"/>
      <c r="AY869" s="155"/>
      <c r="AZ869" s="155"/>
      <c r="BA869" s="155"/>
      <c r="BB869" s="155"/>
      <c r="BC869" s="155"/>
      <c r="BD869" s="155"/>
      <c r="BE869" s="155"/>
      <c r="BF869" s="155"/>
      <c r="BG869" s="155"/>
      <c r="BH869" s="155"/>
      <c r="BI869" s="155"/>
      <c r="BJ869" s="155"/>
      <c r="BK869" s="155"/>
      <c r="BL869" s="155"/>
      <c r="BM869" s="155"/>
      <c r="BN869" s="155"/>
      <c r="BO869" s="155"/>
      <c r="BP869" s="155"/>
      <c r="BQ869" s="155"/>
      <c r="BR869" s="155"/>
      <c r="BS869" s="155"/>
      <c r="BT869" s="155"/>
      <c r="BU869" s="155"/>
      <c r="BV869" s="155"/>
      <c r="BW869" s="155"/>
      <c r="BX869" s="155"/>
      <c r="BY869" s="155"/>
      <c r="BZ869" s="155"/>
      <c r="CA869" s="155"/>
      <c r="CB869" s="155"/>
      <c r="CC869" s="155"/>
      <c r="CD869" s="155"/>
      <c r="CE869" s="155"/>
      <c r="CF869" s="155"/>
      <c r="CG869" s="155"/>
    </row>
    <row r="870" spans="1:85" ht="12.75" x14ac:dyDescent="0.2">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c r="AA870" s="155"/>
      <c r="AB870" s="155"/>
      <c r="AC870" s="155"/>
      <c r="AD870" s="155"/>
      <c r="AE870" s="155"/>
      <c r="AF870" s="155"/>
      <c r="AG870" s="155"/>
      <c r="AH870" s="155"/>
      <c r="AI870" s="155"/>
      <c r="AJ870" s="155"/>
      <c r="AK870" s="155"/>
      <c r="AL870" s="155"/>
      <c r="AM870" s="155"/>
      <c r="AN870" s="155"/>
      <c r="AO870" s="155"/>
      <c r="AP870" s="155"/>
      <c r="AQ870" s="155"/>
      <c r="AR870" s="155"/>
      <c r="AS870" s="155"/>
      <c r="AT870" s="155"/>
      <c r="AU870" s="155"/>
      <c r="AV870" s="155"/>
      <c r="AW870" s="155"/>
      <c r="AX870" s="155"/>
      <c r="AY870" s="155"/>
      <c r="AZ870" s="155"/>
      <c r="BA870" s="155"/>
      <c r="BB870" s="155"/>
      <c r="BC870" s="155"/>
      <c r="BD870" s="155"/>
      <c r="BE870" s="155"/>
      <c r="BF870" s="155"/>
      <c r="BG870" s="155"/>
      <c r="BH870" s="155"/>
      <c r="BI870" s="155"/>
      <c r="BJ870" s="155"/>
      <c r="BK870" s="155"/>
      <c r="BL870" s="155"/>
      <c r="BM870" s="155"/>
      <c r="BN870" s="155"/>
      <c r="BO870" s="155"/>
      <c r="BP870" s="155"/>
      <c r="BQ870" s="155"/>
      <c r="BR870" s="155"/>
      <c r="BS870" s="155"/>
      <c r="BT870" s="155"/>
      <c r="BU870" s="155"/>
      <c r="BV870" s="155"/>
      <c r="BW870" s="155"/>
      <c r="BX870" s="155"/>
      <c r="BY870" s="155"/>
      <c r="BZ870" s="155"/>
      <c r="CA870" s="155"/>
      <c r="CB870" s="155"/>
      <c r="CC870" s="155"/>
      <c r="CD870" s="155"/>
      <c r="CE870" s="155"/>
      <c r="CF870" s="155"/>
      <c r="CG870" s="155"/>
    </row>
    <row r="871" spans="1:85" ht="12.75" x14ac:dyDescent="0.2">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c r="AA871" s="155"/>
      <c r="AB871" s="155"/>
      <c r="AC871" s="155"/>
      <c r="AD871" s="155"/>
      <c r="AE871" s="155"/>
      <c r="AF871" s="155"/>
      <c r="AG871" s="155"/>
      <c r="AH871" s="155"/>
      <c r="AI871" s="155"/>
      <c r="AJ871" s="155"/>
      <c r="AK871" s="155"/>
      <c r="AL871" s="155"/>
      <c r="AM871" s="155"/>
      <c r="AN871" s="155"/>
      <c r="AO871" s="155"/>
      <c r="AP871" s="155"/>
      <c r="AQ871" s="155"/>
      <c r="AR871" s="155"/>
      <c r="AS871" s="155"/>
      <c r="AT871" s="155"/>
      <c r="AU871" s="155"/>
      <c r="AV871" s="155"/>
      <c r="AW871" s="155"/>
      <c r="AX871" s="155"/>
      <c r="AY871" s="155"/>
      <c r="AZ871" s="155"/>
      <c r="BA871" s="155"/>
      <c r="BB871" s="155"/>
      <c r="BC871" s="155"/>
      <c r="BD871" s="155"/>
      <c r="BE871" s="155"/>
      <c r="BF871" s="155"/>
      <c r="BG871" s="155"/>
      <c r="BH871" s="155"/>
      <c r="BI871" s="155"/>
      <c r="BJ871" s="155"/>
      <c r="BK871" s="155"/>
      <c r="BL871" s="155"/>
      <c r="BM871" s="155"/>
      <c r="BN871" s="155"/>
      <c r="BO871" s="155"/>
      <c r="BP871" s="155"/>
      <c r="BQ871" s="155"/>
      <c r="BR871" s="155"/>
      <c r="BS871" s="155"/>
      <c r="BT871" s="155"/>
      <c r="BU871" s="155"/>
      <c r="BV871" s="155"/>
      <c r="BW871" s="155"/>
      <c r="BX871" s="155"/>
      <c r="BY871" s="155"/>
      <c r="BZ871" s="155"/>
      <c r="CA871" s="155"/>
      <c r="CB871" s="155"/>
      <c r="CC871" s="155"/>
      <c r="CD871" s="155"/>
      <c r="CE871" s="155"/>
      <c r="CF871" s="155"/>
      <c r="CG871" s="155"/>
    </row>
    <row r="872" spans="1:85" ht="12.75" x14ac:dyDescent="0.2">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c r="AA872" s="155"/>
      <c r="AB872" s="155"/>
      <c r="AC872" s="155"/>
      <c r="AD872" s="155"/>
      <c r="AE872" s="155"/>
      <c r="AF872" s="155"/>
      <c r="AG872" s="155"/>
      <c r="AH872" s="155"/>
      <c r="AI872" s="155"/>
      <c r="AJ872" s="155"/>
      <c r="AK872" s="155"/>
      <c r="AL872" s="155"/>
      <c r="AM872" s="155"/>
      <c r="AN872" s="155"/>
      <c r="AO872" s="155"/>
      <c r="AP872" s="155"/>
      <c r="AQ872" s="155"/>
      <c r="AR872" s="155"/>
      <c r="AS872" s="155"/>
      <c r="AT872" s="155"/>
      <c r="AU872" s="155"/>
      <c r="AV872" s="155"/>
      <c r="AW872" s="155"/>
      <c r="AX872" s="155"/>
      <c r="AY872" s="155"/>
      <c r="AZ872" s="155"/>
      <c r="BA872" s="155"/>
      <c r="BB872" s="155"/>
      <c r="BC872" s="155"/>
      <c r="BD872" s="155"/>
      <c r="BE872" s="155"/>
      <c r="BF872" s="155"/>
      <c r="BG872" s="155"/>
      <c r="BH872" s="155"/>
      <c r="BI872" s="155"/>
      <c r="BJ872" s="155"/>
      <c r="BK872" s="155"/>
      <c r="BL872" s="155"/>
      <c r="BM872" s="155"/>
      <c r="BN872" s="155"/>
      <c r="BO872" s="155"/>
      <c r="BP872" s="155"/>
      <c r="BQ872" s="155"/>
      <c r="BR872" s="155"/>
      <c r="BS872" s="155"/>
      <c r="BT872" s="155"/>
      <c r="BU872" s="155"/>
      <c r="BV872" s="155"/>
      <c r="BW872" s="155"/>
      <c r="BX872" s="155"/>
      <c r="BY872" s="155"/>
      <c r="BZ872" s="155"/>
      <c r="CA872" s="155"/>
      <c r="CB872" s="155"/>
      <c r="CC872" s="155"/>
      <c r="CD872" s="155"/>
      <c r="CE872" s="155"/>
      <c r="CF872" s="155"/>
      <c r="CG872" s="155"/>
    </row>
    <row r="873" spans="1:85" ht="12.75" x14ac:dyDescent="0.2">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c r="AA873" s="155"/>
      <c r="AB873" s="155"/>
      <c r="AC873" s="155"/>
      <c r="AD873" s="155"/>
      <c r="AE873" s="155"/>
      <c r="AF873" s="155"/>
      <c r="AG873" s="155"/>
      <c r="AH873" s="155"/>
      <c r="AI873" s="155"/>
      <c r="AJ873" s="155"/>
      <c r="AK873" s="155"/>
      <c r="AL873" s="155"/>
      <c r="AM873" s="155"/>
      <c r="AN873" s="155"/>
      <c r="AO873" s="155"/>
      <c r="AP873" s="155"/>
      <c r="AQ873" s="155"/>
      <c r="AR873" s="155"/>
      <c r="AS873" s="155"/>
      <c r="AT873" s="155"/>
      <c r="AU873" s="155"/>
      <c r="AV873" s="155"/>
      <c r="AW873" s="155"/>
      <c r="AX873" s="155"/>
      <c r="AY873" s="155"/>
      <c r="AZ873" s="155"/>
      <c r="BA873" s="155"/>
      <c r="BB873" s="155"/>
      <c r="BC873" s="155"/>
      <c r="BD873" s="155"/>
      <c r="BE873" s="155"/>
      <c r="BF873" s="155"/>
      <c r="BG873" s="155"/>
      <c r="BH873" s="155"/>
      <c r="BI873" s="155"/>
      <c r="BJ873" s="155"/>
      <c r="BK873" s="155"/>
      <c r="BL873" s="155"/>
      <c r="BM873" s="155"/>
      <c r="BN873" s="155"/>
      <c r="BO873" s="155"/>
      <c r="BP873" s="155"/>
      <c r="BQ873" s="155"/>
      <c r="BR873" s="155"/>
      <c r="BS873" s="155"/>
      <c r="BT873" s="155"/>
      <c r="BU873" s="155"/>
      <c r="BV873" s="155"/>
      <c r="BW873" s="155"/>
      <c r="BX873" s="155"/>
      <c r="BY873" s="155"/>
      <c r="BZ873" s="155"/>
      <c r="CA873" s="155"/>
      <c r="CB873" s="155"/>
      <c r="CC873" s="155"/>
      <c r="CD873" s="155"/>
      <c r="CE873" s="155"/>
      <c r="CF873" s="155"/>
      <c r="CG873" s="155"/>
    </row>
    <row r="874" spans="1:85" ht="12.75" x14ac:dyDescent="0.2">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c r="AA874" s="155"/>
      <c r="AB874" s="155"/>
      <c r="AC874" s="155"/>
      <c r="AD874" s="155"/>
      <c r="AE874" s="155"/>
      <c r="AF874" s="155"/>
      <c r="AG874" s="155"/>
      <c r="AH874" s="155"/>
      <c r="AI874" s="155"/>
      <c r="AJ874" s="155"/>
      <c r="AK874" s="155"/>
      <c r="AL874" s="155"/>
      <c r="AM874" s="155"/>
      <c r="AN874" s="155"/>
      <c r="AO874" s="155"/>
      <c r="AP874" s="155"/>
      <c r="AQ874" s="155"/>
      <c r="AR874" s="155"/>
      <c r="AS874" s="155"/>
      <c r="AT874" s="155"/>
      <c r="AU874" s="155"/>
      <c r="AV874" s="155"/>
      <c r="AW874" s="155"/>
      <c r="AX874" s="155"/>
      <c r="AY874" s="155"/>
      <c r="AZ874" s="155"/>
      <c r="BA874" s="155"/>
      <c r="BB874" s="155"/>
      <c r="BC874" s="155"/>
      <c r="BD874" s="155"/>
      <c r="BE874" s="155"/>
      <c r="BF874" s="155"/>
      <c r="BG874" s="155"/>
      <c r="BH874" s="155"/>
      <c r="BI874" s="155"/>
      <c r="BJ874" s="155"/>
      <c r="BK874" s="155"/>
      <c r="BL874" s="155"/>
      <c r="BM874" s="155"/>
      <c r="BN874" s="155"/>
      <c r="BO874" s="155"/>
      <c r="BP874" s="155"/>
      <c r="BQ874" s="155"/>
      <c r="BR874" s="155"/>
      <c r="BS874" s="155"/>
      <c r="BT874" s="155"/>
      <c r="BU874" s="155"/>
      <c r="BV874" s="155"/>
      <c r="BW874" s="155"/>
      <c r="BX874" s="155"/>
      <c r="BY874" s="155"/>
      <c r="BZ874" s="155"/>
      <c r="CA874" s="155"/>
      <c r="CB874" s="155"/>
      <c r="CC874" s="155"/>
      <c r="CD874" s="155"/>
      <c r="CE874" s="155"/>
      <c r="CF874" s="155"/>
      <c r="CG874" s="155"/>
    </row>
    <row r="875" spans="1:85" ht="12.75" x14ac:dyDescent="0.2">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c r="AA875" s="155"/>
      <c r="AB875" s="155"/>
      <c r="AC875" s="155"/>
      <c r="AD875" s="155"/>
      <c r="AE875" s="155"/>
      <c r="AF875" s="155"/>
      <c r="AG875" s="155"/>
      <c r="AH875" s="155"/>
      <c r="AI875" s="155"/>
      <c r="AJ875" s="155"/>
      <c r="AK875" s="155"/>
      <c r="AL875" s="155"/>
      <c r="AM875" s="155"/>
      <c r="AN875" s="155"/>
      <c r="AO875" s="155"/>
      <c r="AP875" s="155"/>
      <c r="AQ875" s="155"/>
      <c r="AR875" s="155"/>
      <c r="AS875" s="155"/>
      <c r="AT875" s="155"/>
      <c r="AU875" s="155"/>
      <c r="AV875" s="155"/>
      <c r="AW875" s="155"/>
      <c r="AX875" s="155"/>
      <c r="AY875" s="155"/>
      <c r="AZ875" s="155"/>
      <c r="BA875" s="155"/>
      <c r="BB875" s="155"/>
      <c r="BC875" s="155"/>
      <c r="BD875" s="155"/>
      <c r="BE875" s="155"/>
      <c r="BF875" s="155"/>
      <c r="BG875" s="155"/>
      <c r="BH875" s="155"/>
      <c r="BI875" s="155"/>
      <c r="BJ875" s="155"/>
      <c r="BK875" s="155"/>
      <c r="BL875" s="155"/>
      <c r="BM875" s="155"/>
      <c r="BN875" s="155"/>
      <c r="BO875" s="155"/>
      <c r="BP875" s="155"/>
      <c r="BQ875" s="155"/>
      <c r="BR875" s="155"/>
      <c r="BS875" s="155"/>
      <c r="BT875" s="155"/>
      <c r="BU875" s="155"/>
      <c r="BV875" s="155"/>
      <c r="BW875" s="155"/>
      <c r="BX875" s="155"/>
      <c r="BY875" s="155"/>
      <c r="BZ875" s="155"/>
      <c r="CA875" s="155"/>
      <c r="CB875" s="155"/>
      <c r="CC875" s="155"/>
      <c r="CD875" s="155"/>
      <c r="CE875" s="155"/>
      <c r="CF875" s="155"/>
      <c r="CG875" s="155"/>
    </row>
    <row r="876" spans="1:85" ht="12.75" x14ac:dyDescent="0.2">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c r="AA876" s="155"/>
      <c r="AB876" s="155"/>
      <c r="AC876" s="155"/>
      <c r="AD876" s="155"/>
      <c r="AE876" s="155"/>
      <c r="AF876" s="155"/>
      <c r="AG876" s="155"/>
      <c r="AH876" s="155"/>
      <c r="AI876" s="155"/>
      <c r="AJ876" s="155"/>
      <c r="AK876" s="155"/>
      <c r="AL876" s="155"/>
      <c r="AM876" s="155"/>
      <c r="AN876" s="155"/>
      <c r="AO876" s="155"/>
      <c r="AP876" s="155"/>
      <c r="AQ876" s="155"/>
      <c r="AR876" s="155"/>
      <c r="AS876" s="155"/>
      <c r="AT876" s="155"/>
      <c r="AU876" s="155"/>
      <c r="AV876" s="155"/>
      <c r="AW876" s="155"/>
      <c r="AX876" s="155"/>
      <c r="AY876" s="155"/>
      <c r="AZ876" s="155"/>
      <c r="BA876" s="155"/>
      <c r="BB876" s="155"/>
      <c r="BC876" s="155"/>
      <c r="BD876" s="155"/>
      <c r="BE876" s="155"/>
      <c r="BF876" s="155"/>
      <c r="BG876" s="155"/>
      <c r="BH876" s="155"/>
      <c r="BI876" s="155"/>
      <c r="BJ876" s="155"/>
      <c r="BK876" s="155"/>
      <c r="BL876" s="155"/>
      <c r="BM876" s="155"/>
      <c r="BN876" s="155"/>
      <c r="BO876" s="155"/>
      <c r="BP876" s="155"/>
      <c r="BQ876" s="155"/>
      <c r="BR876" s="155"/>
      <c r="BS876" s="155"/>
      <c r="BT876" s="155"/>
      <c r="BU876" s="155"/>
      <c r="BV876" s="155"/>
      <c r="BW876" s="155"/>
      <c r="BX876" s="155"/>
      <c r="BY876" s="155"/>
      <c r="BZ876" s="155"/>
      <c r="CA876" s="155"/>
      <c r="CB876" s="155"/>
      <c r="CC876" s="155"/>
      <c r="CD876" s="155"/>
      <c r="CE876" s="155"/>
      <c r="CF876" s="155"/>
      <c r="CG876" s="155"/>
    </row>
    <row r="877" spans="1:85" ht="12.75" x14ac:dyDescent="0.2">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c r="AA877" s="155"/>
      <c r="AB877" s="155"/>
      <c r="AC877" s="155"/>
      <c r="AD877" s="155"/>
      <c r="AE877" s="155"/>
      <c r="AF877" s="155"/>
      <c r="AG877" s="155"/>
      <c r="AH877" s="155"/>
      <c r="AI877" s="155"/>
      <c r="AJ877" s="155"/>
      <c r="AK877" s="155"/>
      <c r="AL877" s="155"/>
      <c r="AM877" s="155"/>
      <c r="AN877" s="155"/>
      <c r="AO877" s="155"/>
      <c r="AP877" s="155"/>
      <c r="AQ877" s="155"/>
      <c r="AR877" s="155"/>
      <c r="AS877" s="155"/>
      <c r="AT877" s="155"/>
      <c r="AU877" s="155"/>
      <c r="AV877" s="155"/>
      <c r="AW877" s="155"/>
      <c r="AX877" s="155"/>
      <c r="AY877" s="155"/>
      <c r="AZ877" s="155"/>
      <c r="BA877" s="155"/>
      <c r="BB877" s="155"/>
      <c r="BC877" s="155"/>
      <c r="BD877" s="155"/>
      <c r="BE877" s="155"/>
      <c r="BF877" s="155"/>
      <c r="BG877" s="155"/>
      <c r="BH877" s="155"/>
      <c r="BI877" s="155"/>
      <c r="BJ877" s="155"/>
      <c r="BK877" s="155"/>
      <c r="BL877" s="155"/>
      <c r="BM877" s="155"/>
      <c r="BN877" s="155"/>
      <c r="BO877" s="155"/>
      <c r="BP877" s="155"/>
      <c r="BQ877" s="155"/>
      <c r="BR877" s="155"/>
      <c r="BS877" s="155"/>
      <c r="BT877" s="155"/>
      <c r="BU877" s="155"/>
      <c r="BV877" s="155"/>
      <c r="BW877" s="155"/>
      <c r="BX877" s="155"/>
      <c r="BY877" s="155"/>
      <c r="BZ877" s="155"/>
      <c r="CA877" s="155"/>
      <c r="CB877" s="155"/>
      <c r="CC877" s="155"/>
      <c r="CD877" s="155"/>
      <c r="CE877" s="155"/>
      <c r="CF877" s="155"/>
      <c r="CG877" s="155"/>
    </row>
    <row r="878" spans="1:85" ht="12.75" x14ac:dyDescent="0.2">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c r="AA878" s="155"/>
      <c r="AB878" s="155"/>
      <c r="AC878" s="155"/>
      <c r="AD878" s="155"/>
      <c r="AE878" s="155"/>
      <c r="AF878" s="155"/>
      <c r="AG878" s="155"/>
      <c r="AH878" s="155"/>
      <c r="AI878" s="155"/>
      <c r="AJ878" s="155"/>
      <c r="AK878" s="155"/>
      <c r="AL878" s="155"/>
      <c r="AM878" s="155"/>
      <c r="AN878" s="155"/>
      <c r="AO878" s="155"/>
      <c r="AP878" s="155"/>
      <c r="AQ878" s="155"/>
      <c r="AR878" s="155"/>
      <c r="AS878" s="155"/>
      <c r="AT878" s="155"/>
      <c r="AU878" s="155"/>
      <c r="AV878" s="155"/>
      <c r="AW878" s="155"/>
      <c r="AX878" s="155"/>
      <c r="AY878" s="155"/>
      <c r="AZ878" s="155"/>
      <c r="BA878" s="155"/>
      <c r="BB878" s="155"/>
      <c r="BC878" s="155"/>
      <c r="BD878" s="155"/>
      <c r="BE878" s="155"/>
      <c r="BF878" s="155"/>
      <c r="BG878" s="155"/>
      <c r="BH878" s="155"/>
      <c r="BI878" s="155"/>
      <c r="BJ878" s="155"/>
      <c r="BK878" s="155"/>
      <c r="BL878" s="155"/>
      <c r="BM878" s="155"/>
      <c r="BN878" s="155"/>
      <c r="BO878" s="155"/>
      <c r="BP878" s="155"/>
      <c r="BQ878" s="155"/>
      <c r="BR878" s="155"/>
      <c r="BS878" s="155"/>
      <c r="BT878" s="155"/>
      <c r="BU878" s="155"/>
      <c r="BV878" s="155"/>
      <c r="BW878" s="155"/>
      <c r="BX878" s="155"/>
      <c r="BY878" s="155"/>
      <c r="BZ878" s="155"/>
      <c r="CA878" s="155"/>
      <c r="CB878" s="155"/>
      <c r="CC878" s="155"/>
      <c r="CD878" s="155"/>
      <c r="CE878" s="155"/>
      <c r="CF878" s="155"/>
      <c r="CG878" s="155"/>
    </row>
    <row r="879" spans="1:85" ht="12.75" x14ac:dyDescent="0.2">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c r="AA879" s="155"/>
      <c r="AB879" s="155"/>
      <c r="AC879" s="155"/>
      <c r="AD879" s="155"/>
      <c r="AE879" s="155"/>
      <c r="AF879" s="155"/>
      <c r="AG879" s="155"/>
      <c r="AH879" s="155"/>
      <c r="AI879" s="155"/>
      <c r="AJ879" s="155"/>
      <c r="AK879" s="155"/>
      <c r="AL879" s="155"/>
      <c r="AM879" s="155"/>
      <c r="AN879" s="155"/>
      <c r="AO879" s="155"/>
      <c r="AP879" s="155"/>
      <c r="AQ879" s="155"/>
      <c r="AR879" s="155"/>
      <c r="AS879" s="155"/>
      <c r="AT879" s="155"/>
      <c r="AU879" s="155"/>
      <c r="AV879" s="155"/>
      <c r="AW879" s="155"/>
      <c r="AX879" s="155"/>
      <c r="AY879" s="155"/>
      <c r="AZ879" s="155"/>
      <c r="BA879" s="155"/>
      <c r="BB879" s="155"/>
      <c r="BC879" s="155"/>
      <c r="BD879" s="155"/>
      <c r="BE879" s="155"/>
      <c r="BF879" s="155"/>
      <c r="BG879" s="155"/>
      <c r="BH879" s="155"/>
      <c r="BI879" s="155"/>
      <c r="BJ879" s="155"/>
      <c r="BK879" s="155"/>
      <c r="BL879" s="155"/>
      <c r="BM879" s="155"/>
      <c r="BN879" s="155"/>
      <c r="BO879" s="155"/>
      <c r="BP879" s="155"/>
      <c r="BQ879" s="155"/>
      <c r="BR879" s="155"/>
      <c r="BS879" s="155"/>
      <c r="BT879" s="155"/>
      <c r="BU879" s="155"/>
      <c r="BV879" s="155"/>
      <c r="BW879" s="155"/>
      <c r="BX879" s="155"/>
      <c r="BY879" s="155"/>
      <c r="BZ879" s="155"/>
      <c r="CA879" s="155"/>
      <c r="CB879" s="155"/>
      <c r="CC879" s="155"/>
      <c r="CD879" s="155"/>
      <c r="CE879" s="155"/>
      <c r="CF879" s="155"/>
      <c r="CG879" s="155"/>
    </row>
    <row r="880" spans="1:85" ht="12.75" x14ac:dyDescent="0.2">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c r="AA880" s="155"/>
      <c r="AB880" s="155"/>
      <c r="AC880" s="155"/>
      <c r="AD880" s="155"/>
      <c r="AE880" s="155"/>
      <c r="AF880" s="155"/>
      <c r="AG880" s="155"/>
      <c r="AH880" s="155"/>
      <c r="AI880" s="155"/>
      <c r="AJ880" s="155"/>
      <c r="AK880" s="155"/>
      <c r="AL880" s="155"/>
      <c r="AM880" s="155"/>
      <c r="AN880" s="155"/>
      <c r="AO880" s="155"/>
      <c r="AP880" s="155"/>
      <c r="AQ880" s="155"/>
      <c r="AR880" s="155"/>
      <c r="AS880" s="155"/>
      <c r="AT880" s="155"/>
      <c r="AU880" s="155"/>
      <c r="AV880" s="155"/>
      <c r="AW880" s="155"/>
      <c r="AX880" s="155"/>
      <c r="AY880" s="155"/>
      <c r="AZ880" s="155"/>
      <c r="BA880" s="155"/>
      <c r="BB880" s="155"/>
      <c r="BC880" s="155"/>
      <c r="BD880" s="155"/>
      <c r="BE880" s="155"/>
      <c r="BF880" s="155"/>
      <c r="BG880" s="155"/>
      <c r="BH880" s="155"/>
      <c r="BI880" s="155"/>
      <c r="BJ880" s="155"/>
      <c r="BK880" s="155"/>
      <c r="BL880" s="155"/>
      <c r="BM880" s="155"/>
      <c r="BN880" s="155"/>
      <c r="BO880" s="155"/>
      <c r="BP880" s="155"/>
      <c r="BQ880" s="155"/>
      <c r="BR880" s="155"/>
      <c r="BS880" s="155"/>
      <c r="BT880" s="155"/>
      <c r="BU880" s="155"/>
      <c r="BV880" s="155"/>
      <c r="BW880" s="155"/>
      <c r="BX880" s="155"/>
      <c r="BY880" s="155"/>
      <c r="BZ880" s="155"/>
      <c r="CA880" s="155"/>
      <c r="CB880" s="155"/>
      <c r="CC880" s="155"/>
      <c r="CD880" s="155"/>
      <c r="CE880" s="155"/>
      <c r="CF880" s="155"/>
      <c r="CG880" s="155"/>
    </row>
    <row r="881" spans="1:85" ht="12.75" x14ac:dyDescent="0.2">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c r="AA881" s="155"/>
      <c r="AB881" s="155"/>
      <c r="AC881" s="155"/>
      <c r="AD881" s="155"/>
      <c r="AE881" s="155"/>
      <c r="AF881" s="155"/>
      <c r="AG881" s="155"/>
      <c r="AH881" s="155"/>
      <c r="AI881" s="155"/>
      <c r="AJ881" s="155"/>
      <c r="AK881" s="155"/>
      <c r="AL881" s="155"/>
      <c r="AM881" s="155"/>
      <c r="AN881" s="155"/>
      <c r="AO881" s="155"/>
      <c r="AP881" s="155"/>
      <c r="AQ881" s="155"/>
      <c r="AR881" s="155"/>
      <c r="AS881" s="155"/>
      <c r="AT881" s="155"/>
      <c r="AU881" s="155"/>
      <c r="AV881" s="155"/>
      <c r="AW881" s="155"/>
      <c r="AX881" s="155"/>
      <c r="AY881" s="155"/>
      <c r="AZ881" s="155"/>
      <c r="BA881" s="155"/>
      <c r="BB881" s="155"/>
      <c r="BC881" s="155"/>
      <c r="BD881" s="155"/>
      <c r="BE881" s="155"/>
      <c r="BF881" s="155"/>
      <c r="BG881" s="155"/>
      <c r="BH881" s="155"/>
      <c r="BI881" s="155"/>
      <c r="BJ881" s="155"/>
      <c r="BK881" s="155"/>
      <c r="BL881" s="155"/>
      <c r="BM881" s="155"/>
      <c r="BN881" s="155"/>
      <c r="BO881" s="155"/>
      <c r="BP881" s="155"/>
      <c r="BQ881" s="155"/>
      <c r="BR881" s="155"/>
      <c r="BS881" s="155"/>
      <c r="BT881" s="155"/>
      <c r="BU881" s="155"/>
      <c r="BV881" s="155"/>
      <c r="BW881" s="155"/>
      <c r="BX881" s="155"/>
      <c r="BY881" s="155"/>
      <c r="BZ881" s="155"/>
      <c r="CA881" s="155"/>
      <c r="CB881" s="155"/>
      <c r="CC881" s="155"/>
      <c r="CD881" s="155"/>
      <c r="CE881" s="155"/>
      <c r="CF881" s="155"/>
      <c r="CG881" s="155"/>
    </row>
    <row r="882" spans="1:85" ht="12.75" x14ac:dyDescent="0.2">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c r="AA882" s="155"/>
      <c r="AB882" s="155"/>
      <c r="AC882" s="155"/>
      <c r="AD882" s="155"/>
      <c r="AE882" s="155"/>
      <c r="AF882" s="155"/>
      <c r="AG882" s="155"/>
      <c r="AH882" s="155"/>
      <c r="AI882" s="155"/>
      <c r="AJ882" s="155"/>
      <c r="AK882" s="155"/>
      <c r="AL882" s="155"/>
      <c r="AM882" s="155"/>
      <c r="AN882" s="155"/>
      <c r="AO882" s="155"/>
      <c r="AP882" s="155"/>
      <c r="AQ882" s="155"/>
      <c r="AR882" s="155"/>
      <c r="AS882" s="155"/>
      <c r="AT882" s="155"/>
      <c r="AU882" s="155"/>
      <c r="AV882" s="155"/>
      <c r="AW882" s="155"/>
      <c r="AX882" s="155"/>
      <c r="AY882" s="155"/>
      <c r="AZ882" s="155"/>
      <c r="BA882" s="155"/>
      <c r="BB882" s="155"/>
      <c r="BC882" s="155"/>
      <c r="BD882" s="155"/>
      <c r="BE882" s="155"/>
      <c r="BF882" s="155"/>
      <c r="BG882" s="155"/>
      <c r="BH882" s="155"/>
      <c r="BI882" s="155"/>
      <c r="BJ882" s="155"/>
      <c r="BK882" s="155"/>
      <c r="BL882" s="155"/>
      <c r="BM882" s="155"/>
      <c r="BN882" s="155"/>
      <c r="BO882" s="155"/>
      <c r="BP882" s="155"/>
      <c r="BQ882" s="155"/>
      <c r="BR882" s="155"/>
      <c r="BS882" s="155"/>
      <c r="BT882" s="155"/>
      <c r="BU882" s="155"/>
      <c r="BV882" s="155"/>
      <c r="BW882" s="155"/>
      <c r="BX882" s="155"/>
      <c r="BY882" s="155"/>
      <c r="BZ882" s="155"/>
      <c r="CA882" s="155"/>
      <c r="CB882" s="155"/>
      <c r="CC882" s="155"/>
      <c r="CD882" s="155"/>
      <c r="CE882" s="155"/>
      <c r="CF882" s="155"/>
      <c r="CG882" s="155"/>
    </row>
    <row r="883" spans="1:85" ht="12.75" x14ac:dyDescent="0.2">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c r="AA883" s="155"/>
      <c r="AB883" s="155"/>
      <c r="AC883" s="155"/>
      <c r="AD883" s="155"/>
      <c r="AE883" s="155"/>
      <c r="AF883" s="155"/>
      <c r="AG883" s="155"/>
      <c r="AH883" s="155"/>
      <c r="AI883" s="155"/>
      <c r="AJ883" s="155"/>
      <c r="AK883" s="155"/>
      <c r="AL883" s="155"/>
      <c r="AM883" s="155"/>
      <c r="AN883" s="155"/>
      <c r="AO883" s="155"/>
      <c r="AP883" s="155"/>
      <c r="AQ883" s="155"/>
      <c r="AR883" s="155"/>
      <c r="AS883" s="155"/>
      <c r="AT883" s="155"/>
      <c r="AU883" s="155"/>
      <c r="AV883" s="155"/>
      <c r="AW883" s="155"/>
      <c r="AX883" s="155"/>
      <c r="AY883" s="155"/>
      <c r="AZ883" s="155"/>
      <c r="BA883" s="155"/>
      <c r="BB883" s="155"/>
      <c r="BC883" s="155"/>
      <c r="BD883" s="155"/>
      <c r="BE883" s="155"/>
      <c r="BF883" s="155"/>
      <c r="BG883" s="155"/>
      <c r="BH883" s="155"/>
      <c r="BI883" s="155"/>
      <c r="BJ883" s="155"/>
      <c r="BK883" s="155"/>
      <c r="BL883" s="155"/>
      <c r="BM883" s="155"/>
      <c r="BN883" s="155"/>
      <c r="BO883" s="155"/>
      <c r="BP883" s="155"/>
      <c r="BQ883" s="155"/>
      <c r="BR883" s="155"/>
      <c r="BS883" s="155"/>
      <c r="BT883" s="155"/>
      <c r="BU883" s="155"/>
      <c r="BV883" s="155"/>
      <c r="BW883" s="155"/>
      <c r="BX883" s="155"/>
      <c r="BY883" s="155"/>
      <c r="BZ883" s="155"/>
      <c r="CA883" s="155"/>
      <c r="CB883" s="155"/>
      <c r="CC883" s="155"/>
      <c r="CD883" s="155"/>
      <c r="CE883" s="155"/>
      <c r="CF883" s="155"/>
      <c r="CG883" s="155"/>
    </row>
    <row r="884" spans="1:85" ht="12.75" x14ac:dyDescent="0.2">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c r="AA884" s="155"/>
      <c r="AB884" s="155"/>
      <c r="AC884" s="155"/>
      <c r="AD884" s="155"/>
      <c r="AE884" s="155"/>
      <c r="AF884" s="155"/>
      <c r="AG884" s="155"/>
      <c r="AH884" s="155"/>
      <c r="AI884" s="155"/>
      <c r="AJ884" s="155"/>
      <c r="AK884" s="155"/>
      <c r="AL884" s="155"/>
      <c r="AM884" s="155"/>
      <c r="AN884" s="155"/>
      <c r="AO884" s="155"/>
      <c r="AP884" s="155"/>
      <c r="AQ884" s="155"/>
      <c r="AR884" s="155"/>
      <c r="AS884" s="155"/>
      <c r="AT884" s="155"/>
      <c r="AU884" s="155"/>
      <c r="AV884" s="155"/>
      <c r="AW884" s="155"/>
      <c r="AX884" s="155"/>
      <c r="AY884" s="155"/>
      <c r="AZ884" s="155"/>
      <c r="BA884" s="155"/>
      <c r="BB884" s="155"/>
      <c r="BC884" s="155"/>
      <c r="BD884" s="155"/>
      <c r="BE884" s="155"/>
      <c r="BF884" s="155"/>
      <c r="BG884" s="155"/>
      <c r="BH884" s="155"/>
      <c r="BI884" s="155"/>
      <c r="BJ884" s="155"/>
      <c r="BK884" s="155"/>
      <c r="BL884" s="155"/>
      <c r="BM884" s="155"/>
      <c r="BN884" s="155"/>
      <c r="BO884" s="155"/>
      <c r="BP884" s="155"/>
      <c r="BQ884" s="155"/>
      <c r="BR884" s="155"/>
      <c r="BS884" s="155"/>
      <c r="BT884" s="155"/>
      <c r="BU884" s="155"/>
      <c r="BV884" s="155"/>
      <c r="BW884" s="155"/>
      <c r="BX884" s="155"/>
      <c r="BY884" s="155"/>
      <c r="BZ884" s="155"/>
      <c r="CA884" s="155"/>
      <c r="CB884" s="155"/>
      <c r="CC884" s="155"/>
      <c r="CD884" s="155"/>
      <c r="CE884" s="155"/>
      <c r="CF884" s="155"/>
      <c r="CG884" s="155"/>
    </row>
    <row r="885" spans="1:85" ht="12.75" x14ac:dyDescent="0.2">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c r="AA885" s="155"/>
      <c r="AB885" s="155"/>
      <c r="AC885" s="155"/>
      <c r="AD885" s="155"/>
      <c r="AE885" s="155"/>
      <c r="AF885" s="155"/>
      <c r="AG885" s="155"/>
      <c r="AH885" s="155"/>
      <c r="AI885" s="155"/>
      <c r="AJ885" s="155"/>
      <c r="AK885" s="155"/>
      <c r="AL885" s="155"/>
      <c r="AM885" s="155"/>
      <c r="AN885" s="155"/>
      <c r="AO885" s="155"/>
      <c r="AP885" s="155"/>
      <c r="AQ885" s="155"/>
      <c r="AR885" s="155"/>
      <c r="AS885" s="155"/>
      <c r="AT885" s="155"/>
      <c r="AU885" s="155"/>
      <c r="AV885" s="155"/>
      <c r="AW885" s="155"/>
      <c r="AX885" s="155"/>
      <c r="AY885" s="155"/>
      <c r="AZ885" s="155"/>
      <c r="BA885" s="155"/>
      <c r="BB885" s="155"/>
      <c r="BC885" s="155"/>
      <c r="BD885" s="155"/>
      <c r="BE885" s="155"/>
      <c r="BF885" s="155"/>
      <c r="BG885" s="155"/>
      <c r="BH885" s="155"/>
      <c r="BI885" s="155"/>
      <c r="BJ885" s="155"/>
      <c r="BK885" s="155"/>
      <c r="BL885" s="155"/>
      <c r="BM885" s="155"/>
      <c r="BN885" s="155"/>
      <c r="BO885" s="155"/>
      <c r="BP885" s="155"/>
      <c r="BQ885" s="155"/>
      <c r="BR885" s="155"/>
      <c r="BS885" s="155"/>
      <c r="BT885" s="155"/>
      <c r="BU885" s="155"/>
      <c r="BV885" s="155"/>
      <c r="BW885" s="155"/>
      <c r="BX885" s="155"/>
      <c r="BY885" s="155"/>
      <c r="BZ885" s="155"/>
      <c r="CA885" s="155"/>
      <c r="CB885" s="155"/>
      <c r="CC885" s="155"/>
      <c r="CD885" s="155"/>
      <c r="CE885" s="155"/>
      <c r="CF885" s="155"/>
      <c r="CG885" s="155"/>
    </row>
    <row r="886" spans="1:85" ht="12.75" x14ac:dyDescent="0.2">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c r="AA886" s="155"/>
      <c r="AB886" s="155"/>
      <c r="AC886" s="155"/>
      <c r="AD886" s="155"/>
      <c r="AE886" s="155"/>
      <c r="AF886" s="155"/>
      <c r="AG886" s="155"/>
      <c r="AH886" s="155"/>
      <c r="AI886" s="155"/>
      <c r="AJ886" s="155"/>
      <c r="AK886" s="155"/>
      <c r="AL886" s="155"/>
      <c r="AM886" s="155"/>
      <c r="AN886" s="155"/>
      <c r="AO886" s="155"/>
      <c r="AP886" s="155"/>
      <c r="AQ886" s="155"/>
      <c r="AR886" s="155"/>
      <c r="AS886" s="155"/>
      <c r="AT886" s="155"/>
      <c r="AU886" s="155"/>
      <c r="AV886" s="155"/>
      <c r="AW886" s="155"/>
      <c r="AX886" s="155"/>
      <c r="AY886" s="155"/>
      <c r="AZ886" s="155"/>
      <c r="BA886" s="155"/>
      <c r="BB886" s="155"/>
      <c r="BC886" s="155"/>
      <c r="BD886" s="155"/>
      <c r="BE886" s="155"/>
      <c r="BF886" s="155"/>
      <c r="BG886" s="155"/>
      <c r="BH886" s="155"/>
      <c r="BI886" s="155"/>
      <c r="BJ886" s="155"/>
      <c r="BK886" s="155"/>
      <c r="BL886" s="155"/>
      <c r="BM886" s="155"/>
      <c r="BN886" s="155"/>
      <c r="BO886" s="155"/>
      <c r="BP886" s="155"/>
      <c r="BQ886" s="155"/>
      <c r="BR886" s="155"/>
      <c r="BS886" s="155"/>
      <c r="BT886" s="155"/>
      <c r="BU886" s="155"/>
      <c r="BV886" s="155"/>
      <c r="BW886" s="155"/>
      <c r="BX886" s="155"/>
      <c r="BY886" s="155"/>
      <c r="BZ886" s="155"/>
      <c r="CA886" s="155"/>
      <c r="CB886" s="155"/>
      <c r="CC886" s="155"/>
      <c r="CD886" s="155"/>
      <c r="CE886" s="155"/>
      <c r="CF886" s="155"/>
      <c r="CG886" s="155"/>
    </row>
    <row r="887" spans="1:85" ht="12.75" x14ac:dyDescent="0.2">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c r="AA887" s="155"/>
      <c r="AB887" s="155"/>
      <c r="AC887" s="155"/>
      <c r="AD887" s="155"/>
      <c r="AE887" s="155"/>
      <c r="AF887" s="155"/>
      <c r="AG887" s="155"/>
      <c r="AH887" s="155"/>
      <c r="AI887" s="155"/>
      <c r="AJ887" s="155"/>
      <c r="AK887" s="155"/>
      <c r="AL887" s="155"/>
      <c r="AM887" s="155"/>
      <c r="AN887" s="155"/>
      <c r="AO887" s="155"/>
      <c r="AP887" s="155"/>
      <c r="AQ887" s="155"/>
      <c r="AR887" s="155"/>
      <c r="AS887" s="155"/>
      <c r="AT887" s="155"/>
      <c r="AU887" s="155"/>
      <c r="AV887" s="155"/>
      <c r="AW887" s="155"/>
      <c r="AX887" s="155"/>
      <c r="AY887" s="155"/>
      <c r="AZ887" s="155"/>
      <c r="BA887" s="155"/>
      <c r="BB887" s="155"/>
      <c r="BC887" s="155"/>
      <c r="BD887" s="155"/>
      <c r="BE887" s="155"/>
      <c r="BF887" s="155"/>
      <c r="BG887" s="155"/>
      <c r="BH887" s="155"/>
      <c r="BI887" s="155"/>
      <c r="BJ887" s="155"/>
      <c r="BK887" s="155"/>
      <c r="BL887" s="155"/>
      <c r="BM887" s="155"/>
      <c r="BN887" s="155"/>
      <c r="BO887" s="155"/>
      <c r="BP887" s="155"/>
      <c r="BQ887" s="155"/>
      <c r="BR887" s="155"/>
      <c r="BS887" s="155"/>
      <c r="BT887" s="155"/>
      <c r="BU887" s="155"/>
      <c r="BV887" s="155"/>
      <c r="BW887" s="155"/>
      <c r="BX887" s="155"/>
      <c r="BY887" s="155"/>
      <c r="BZ887" s="155"/>
      <c r="CA887" s="155"/>
      <c r="CB887" s="155"/>
      <c r="CC887" s="155"/>
      <c r="CD887" s="155"/>
      <c r="CE887" s="155"/>
      <c r="CF887" s="155"/>
      <c r="CG887" s="155"/>
    </row>
    <row r="888" spans="1:85" ht="12.75" x14ac:dyDescent="0.2">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c r="AA888" s="155"/>
      <c r="AB888" s="155"/>
      <c r="AC888" s="155"/>
      <c r="AD888" s="155"/>
      <c r="AE888" s="155"/>
      <c r="AF888" s="155"/>
      <c r="AG888" s="155"/>
      <c r="AH888" s="155"/>
      <c r="AI888" s="155"/>
      <c r="AJ888" s="155"/>
      <c r="AK888" s="155"/>
      <c r="AL888" s="155"/>
      <c r="AM888" s="155"/>
      <c r="AN888" s="155"/>
      <c r="AO888" s="155"/>
      <c r="AP888" s="155"/>
      <c r="AQ888" s="155"/>
      <c r="AR888" s="155"/>
      <c r="AS888" s="155"/>
      <c r="AT888" s="155"/>
      <c r="AU888" s="155"/>
      <c r="AV888" s="155"/>
      <c r="AW888" s="155"/>
      <c r="AX888" s="155"/>
      <c r="AY888" s="155"/>
      <c r="AZ888" s="155"/>
      <c r="BA888" s="155"/>
      <c r="BB888" s="155"/>
      <c r="BC888" s="155"/>
      <c r="BD888" s="155"/>
      <c r="BE888" s="155"/>
      <c r="BF888" s="155"/>
      <c r="BG888" s="155"/>
      <c r="BH888" s="155"/>
      <c r="BI888" s="155"/>
      <c r="BJ888" s="155"/>
      <c r="BK888" s="155"/>
      <c r="BL888" s="155"/>
      <c r="BM888" s="155"/>
      <c r="BN888" s="155"/>
      <c r="BO888" s="155"/>
      <c r="BP888" s="155"/>
      <c r="BQ888" s="155"/>
      <c r="BR888" s="155"/>
      <c r="BS888" s="155"/>
      <c r="BT888" s="155"/>
      <c r="BU888" s="155"/>
      <c r="BV888" s="155"/>
      <c r="BW888" s="155"/>
      <c r="BX888" s="155"/>
      <c r="BY888" s="155"/>
      <c r="BZ888" s="155"/>
      <c r="CA888" s="155"/>
      <c r="CB888" s="155"/>
      <c r="CC888" s="155"/>
      <c r="CD888" s="155"/>
      <c r="CE888" s="155"/>
      <c r="CF888" s="155"/>
      <c r="CG888" s="155"/>
    </row>
    <row r="889" spans="1:85" ht="12.75" x14ac:dyDescent="0.2">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c r="AA889" s="155"/>
      <c r="AB889" s="155"/>
      <c r="AC889" s="155"/>
      <c r="AD889" s="155"/>
      <c r="AE889" s="155"/>
      <c r="AF889" s="155"/>
      <c r="AG889" s="155"/>
      <c r="AH889" s="155"/>
      <c r="AI889" s="155"/>
      <c r="AJ889" s="155"/>
      <c r="AK889" s="155"/>
      <c r="AL889" s="155"/>
      <c r="AM889" s="155"/>
      <c r="AN889" s="155"/>
      <c r="AO889" s="155"/>
      <c r="AP889" s="155"/>
      <c r="AQ889" s="155"/>
      <c r="AR889" s="155"/>
      <c r="AS889" s="155"/>
      <c r="AT889" s="155"/>
      <c r="AU889" s="155"/>
      <c r="AV889" s="155"/>
      <c r="AW889" s="155"/>
      <c r="AX889" s="155"/>
      <c r="AY889" s="155"/>
      <c r="AZ889" s="155"/>
      <c r="BA889" s="155"/>
      <c r="BB889" s="155"/>
      <c r="BC889" s="155"/>
      <c r="BD889" s="155"/>
      <c r="BE889" s="155"/>
      <c r="BF889" s="155"/>
      <c r="BG889" s="155"/>
      <c r="BH889" s="155"/>
      <c r="BI889" s="155"/>
      <c r="BJ889" s="155"/>
      <c r="BK889" s="155"/>
      <c r="BL889" s="155"/>
      <c r="BM889" s="155"/>
      <c r="BN889" s="155"/>
      <c r="BO889" s="155"/>
      <c r="BP889" s="155"/>
      <c r="BQ889" s="155"/>
      <c r="BR889" s="155"/>
      <c r="BS889" s="155"/>
      <c r="BT889" s="155"/>
      <c r="BU889" s="155"/>
      <c r="BV889" s="155"/>
      <c r="BW889" s="155"/>
      <c r="BX889" s="155"/>
      <c r="BY889" s="155"/>
      <c r="BZ889" s="155"/>
      <c r="CA889" s="155"/>
      <c r="CB889" s="155"/>
      <c r="CC889" s="155"/>
      <c r="CD889" s="155"/>
      <c r="CE889" s="155"/>
      <c r="CF889" s="155"/>
      <c r="CG889" s="155"/>
    </row>
    <row r="890" spans="1:85" ht="12.75" x14ac:dyDescent="0.2">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c r="AA890" s="155"/>
      <c r="AB890" s="155"/>
      <c r="AC890" s="155"/>
      <c r="AD890" s="155"/>
      <c r="AE890" s="155"/>
      <c r="AF890" s="155"/>
      <c r="AG890" s="155"/>
      <c r="AH890" s="155"/>
      <c r="AI890" s="155"/>
      <c r="AJ890" s="155"/>
      <c r="AK890" s="155"/>
      <c r="AL890" s="155"/>
      <c r="AM890" s="155"/>
      <c r="AN890" s="155"/>
      <c r="AO890" s="155"/>
      <c r="AP890" s="155"/>
      <c r="AQ890" s="155"/>
      <c r="AR890" s="155"/>
      <c r="AS890" s="155"/>
      <c r="AT890" s="155"/>
      <c r="AU890" s="155"/>
      <c r="AV890" s="155"/>
      <c r="AW890" s="155"/>
      <c r="AX890" s="155"/>
      <c r="AY890" s="155"/>
      <c r="AZ890" s="155"/>
      <c r="BA890" s="155"/>
      <c r="BB890" s="155"/>
      <c r="BC890" s="155"/>
      <c r="BD890" s="155"/>
      <c r="BE890" s="155"/>
      <c r="BF890" s="155"/>
      <c r="BG890" s="155"/>
      <c r="BH890" s="155"/>
      <c r="BI890" s="155"/>
      <c r="BJ890" s="155"/>
      <c r="BK890" s="155"/>
      <c r="BL890" s="155"/>
      <c r="BM890" s="155"/>
      <c r="BN890" s="155"/>
      <c r="BO890" s="155"/>
      <c r="BP890" s="155"/>
      <c r="BQ890" s="155"/>
      <c r="BR890" s="155"/>
      <c r="BS890" s="155"/>
      <c r="BT890" s="155"/>
      <c r="BU890" s="155"/>
      <c r="BV890" s="155"/>
      <c r="BW890" s="155"/>
      <c r="BX890" s="155"/>
      <c r="BY890" s="155"/>
      <c r="BZ890" s="155"/>
      <c r="CA890" s="155"/>
      <c r="CB890" s="155"/>
      <c r="CC890" s="155"/>
      <c r="CD890" s="155"/>
      <c r="CE890" s="155"/>
      <c r="CF890" s="155"/>
      <c r="CG890" s="155"/>
    </row>
    <row r="891" spans="1:85" ht="12.75" x14ac:dyDescent="0.2">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c r="AA891" s="155"/>
      <c r="AB891" s="155"/>
      <c r="AC891" s="155"/>
      <c r="AD891" s="155"/>
      <c r="AE891" s="155"/>
      <c r="AF891" s="155"/>
      <c r="AG891" s="155"/>
      <c r="AH891" s="155"/>
      <c r="AI891" s="155"/>
      <c r="AJ891" s="155"/>
      <c r="AK891" s="155"/>
      <c r="AL891" s="155"/>
      <c r="AM891" s="155"/>
      <c r="AN891" s="155"/>
      <c r="AO891" s="155"/>
      <c r="AP891" s="155"/>
      <c r="AQ891" s="155"/>
      <c r="AR891" s="155"/>
      <c r="AS891" s="155"/>
      <c r="AT891" s="155"/>
      <c r="AU891" s="155"/>
      <c r="AV891" s="155"/>
      <c r="AW891" s="155"/>
      <c r="AX891" s="155"/>
      <c r="AY891" s="155"/>
      <c r="AZ891" s="155"/>
      <c r="BA891" s="155"/>
      <c r="BB891" s="155"/>
      <c r="BC891" s="155"/>
      <c r="BD891" s="155"/>
      <c r="BE891" s="155"/>
      <c r="BF891" s="155"/>
      <c r="BG891" s="155"/>
      <c r="BH891" s="155"/>
      <c r="BI891" s="155"/>
      <c r="BJ891" s="155"/>
      <c r="BK891" s="155"/>
      <c r="BL891" s="155"/>
      <c r="BM891" s="155"/>
      <c r="BN891" s="155"/>
      <c r="BO891" s="155"/>
      <c r="BP891" s="155"/>
      <c r="BQ891" s="155"/>
      <c r="BR891" s="155"/>
      <c r="BS891" s="155"/>
      <c r="BT891" s="155"/>
      <c r="BU891" s="155"/>
      <c r="BV891" s="155"/>
      <c r="BW891" s="155"/>
      <c r="BX891" s="155"/>
      <c r="BY891" s="155"/>
      <c r="BZ891" s="155"/>
      <c r="CA891" s="155"/>
      <c r="CB891" s="155"/>
      <c r="CC891" s="155"/>
      <c r="CD891" s="155"/>
      <c r="CE891" s="155"/>
      <c r="CF891" s="155"/>
      <c r="CG891" s="155"/>
    </row>
    <row r="892" spans="1:85" ht="12.75" x14ac:dyDescent="0.2">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c r="AA892" s="155"/>
      <c r="AB892" s="155"/>
      <c r="AC892" s="155"/>
      <c r="AD892" s="155"/>
      <c r="AE892" s="155"/>
      <c r="AF892" s="155"/>
      <c r="AG892" s="155"/>
      <c r="AH892" s="155"/>
      <c r="AI892" s="155"/>
      <c r="AJ892" s="155"/>
      <c r="AK892" s="155"/>
      <c r="AL892" s="155"/>
      <c r="AM892" s="155"/>
      <c r="AN892" s="155"/>
      <c r="AO892" s="155"/>
      <c r="AP892" s="155"/>
      <c r="AQ892" s="155"/>
      <c r="AR892" s="155"/>
      <c r="AS892" s="155"/>
      <c r="AT892" s="155"/>
      <c r="AU892" s="155"/>
      <c r="AV892" s="155"/>
      <c r="AW892" s="155"/>
      <c r="AX892" s="155"/>
      <c r="AY892" s="155"/>
      <c r="AZ892" s="155"/>
      <c r="BA892" s="155"/>
      <c r="BB892" s="155"/>
      <c r="BC892" s="155"/>
      <c r="BD892" s="155"/>
      <c r="BE892" s="155"/>
      <c r="BF892" s="155"/>
      <c r="BG892" s="155"/>
      <c r="BH892" s="155"/>
      <c r="BI892" s="155"/>
      <c r="BJ892" s="155"/>
      <c r="BK892" s="155"/>
      <c r="BL892" s="155"/>
      <c r="BM892" s="155"/>
      <c r="BN892" s="155"/>
      <c r="BO892" s="155"/>
      <c r="BP892" s="155"/>
      <c r="BQ892" s="155"/>
      <c r="BR892" s="155"/>
      <c r="BS892" s="155"/>
      <c r="BT892" s="155"/>
      <c r="BU892" s="155"/>
      <c r="BV892" s="155"/>
      <c r="BW892" s="155"/>
      <c r="BX892" s="155"/>
      <c r="BY892" s="155"/>
      <c r="BZ892" s="155"/>
      <c r="CA892" s="155"/>
      <c r="CB892" s="155"/>
      <c r="CC892" s="155"/>
      <c r="CD892" s="155"/>
      <c r="CE892" s="155"/>
      <c r="CF892" s="155"/>
      <c r="CG892" s="155"/>
    </row>
    <row r="893" spans="1:85" ht="12.75" x14ac:dyDescent="0.2">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c r="AA893" s="155"/>
      <c r="AB893" s="155"/>
      <c r="AC893" s="155"/>
      <c r="AD893" s="155"/>
      <c r="AE893" s="155"/>
      <c r="AF893" s="155"/>
      <c r="AG893" s="155"/>
      <c r="AH893" s="155"/>
      <c r="AI893" s="155"/>
      <c r="AJ893" s="155"/>
      <c r="AK893" s="155"/>
      <c r="AL893" s="155"/>
      <c r="AM893" s="155"/>
      <c r="AN893" s="155"/>
      <c r="AO893" s="155"/>
      <c r="AP893" s="155"/>
      <c r="AQ893" s="155"/>
      <c r="AR893" s="155"/>
      <c r="AS893" s="155"/>
      <c r="AT893" s="155"/>
      <c r="AU893" s="155"/>
      <c r="AV893" s="155"/>
      <c r="AW893" s="155"/>
      <c r="AX893" s="155"/>
      <c r="AY893" s="155"/>
      <c r="AZ893" s="155"/>
      <c r="BA893" s="155"/>
      <c r="BB893" s="155"/>
      <c r="BC893" s="155"/>
      <c r="BD893" s="155"/>
      <c r="BE893" s="155"/>
      <c r="BF893" s="155"/>
      <c r="BG893" s="155"/>
      <c r="BH893" s="155"/>
      <c r="BI893" s="155"/>
      <c r="BJ893" s="155"/>
      <c r="BK893" s="155"/>
      <c r="BL893" s="155"/>
      <c r="BM893" s="155"/>
      <c r="BN893" s="155"/>
      <c r="BO893" s="155"/>
      <c r="BP893" s="155"/>
      <c r="BQ893" s="155"/>
      <c r="BR893" s="155"/>
      <c r="BS893" s="155"/>
      <c r="BT893" s="155"/>
      <c r="BU893" s="155"/>
      <c r="BV893" s="155"/>
      <c r="BW893" s="155"/>
      <c r="BX893" s="155"/>
      <c r="BY893" s="155"/>
      <c r="BZ893" s="155"/>
      <c r="CA893" s="155"/>
      <c r="CB893" s="155"/>
      <c r="CC893" s="155"/>
      <c r="CD893" s="155"/>
      <c r="CE893" s="155"/>
      <c r="CF893" s="155"/>
      <c r="CG893" s="155"/>
    </row>
    <row r="894" spans="1:85" ht="12.75" x14ac:dyDescent="0.2">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c r="AA894" s="155"/>
      <c r="AB894" s="155"/>
      <c r="AC894" s="155"/>
      <c r="AD894" s="155"/>
      <c r="AE894" s="155"/>
      <c r="AF894" s="155"/>
      <c r="AG894" s="155"/>
      <c r="AH894" s="155"/>
      <c r="AI894" s="155"/>
      <c r="AJ894" s="155"/>
      <c r="AK894" s="155"/>
      <c r="AL894" s="155"/>
      <c r="AM894" s="155"/>
      <c r="AN894" s="155"/>
      <c r="AO894" s="155"/>
      <c r="AP894" s="155"/>
      <c r="AQ894" s="155"/>
      <c r="AR894" s="155"/>
      <c r="AS894" s="155"/>
      <c r="AT894" s="155"/>
      <c r="AU894" s="155"/>
      <c r="AV894" s="155"/>
      <c r="AW894" s="155"/>
      <c r="AX894" s="155"/>
      <c r="AY894" s="155"/>
      <c r="AZ894" s="155"/>
      <c r="BA894" s="155"/>
      <c r="BB894" s="155"/>
      <c r="BC894" s="155"/>
      <c r="BD894" s="155"/>
      <c r="BE894" s="155"/>
      <c r="BF894" s="155"/>
      <c r="BG894" s="155"/>
      <c r="BH894" s="155"/>
      <c r="BI894" s="155"/>
      <c r="BJ894" s="155"/>
      <c r="BK894" s="155"/>
      <c r="BL894" s="155"/>
      <c r="BM894" s="155"/>
      <c r="BN894" s="155"/>
      <c r="BO894" s="155"/>
      <c r="BP894" s="155"/>
      <c r="BQ894" s="155"/>
      <c r="BR894" s="155"/>
      <c r="BS894" s="155"/>
      <c r="BT894" s="155"/>
      <c r="BU894" s="155"/>
      <c r="BV894" s="155"/>
      <c r="BW894" s="155"/>
      <c r="BX894" s="155"/>
      <c r="BY894" s="155"/>
      <c r="BZ894" s="155"/>
      <c r="CA894" s="155"/>
      <c r="CB894" s="155"/>
      <c r="CC894" s="155"/>
      <c r="CD894" s="155"/>
      <c r="CE894" s="155"/>
      <c r="CF894" s="155"/>
      <c r="CG894" s="155"/>
    </row>
    <row r="895" spans="1:85" ht="12.75" x14ac:dyDescent="0.2">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c r="AA895" s="155"/>
      <c r="AB895" s="155"/>
      <c r="AC895" s="155"/>
      <c r="AD895" s="155"/>
      <c r="AE895" s="155"/>
      <c r="AF895" s="155"/>
      <c r="AG895" s="155"/>
      <c r="AH895" s="155"/>
      <c r="AI895" s="155"/>
      <c r="AJ895" s="155"/>
      <c r="AK895" s="155"/>
      <c r="AL895" s="155"/>
      <c r="AM895" s="155"/>
      <c r="AN895" s="155"/>
      <c r="AO895" s="155"/>
      <c r="AP895" s="155"/>
      <c r="AQ895" s="155"/>
      <c r="AR895" s="155"/>
      <c r="AS895" s="155"/>
      <c r="AT895" s="155"/>
      <c r="AU895" s="155"/>
      <c r="AV895" s="155"/>
      <c r="AW895" s="155"/>
      <c r="AX895" s="155"/>
      <c r="AY895" s="155"/>
      <c r="AZ895" s="155"/>
      <c r="BA895" s="155"/>
      <c r="BB895" s="155"/>
      <c r="BC895" s="155"/>
      <c r="BD895" s="155"/>
      <c r="BE895" s="155"/>
      <c r="BF895" s="155"/>
      <c r="BG895" s="155"/>
      <c r="BH895" s="155"/>
      <c r="BI895" s="155"/>
      <c r="BJ895" s="155"/>
      <c r="BK895" s="155"/>
      <c r="BL895" s="155"/>
      <c r="BM895" s="155"/>
      <c r="BN895" s="155"/>
      <c r="BO895" s="155"/>
      <c r="BP895" s="155"/>
      <c r="BQ895" s="155"/>
      <c r="BR895" s="155"/>
      <c r="BS895" s="155"/>
      <c r="BT895" s="155"/>
      <c r="BU895" s="155"/>
      <c r="BV895" s="155"/>
      <c r="BW895" s="155"/>
      <c r="BX895" s="155"/>
      <c r="BY895" s="155"/>
      <c r="BZ895" s="155"/>
      <c r="CA895" s="155"/>
      <c r="CB895" s="155"/>
      <c r="CC895" s="155"/>
      <c r="CD895" s="155"/>
      <c r="CE895" s="155"/>
      <c r="CF895" s="155"/>
      <c r="CG895" s="155"/>
    </row>
    <row r="896" spans="1:85" ht="12.75" x14ac:dyDescent="0.2">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c r="AA896" s="155"/>
      <c r="AB896" s="155"/>
      <c r="AC896" s="155"/>
      <c r="AD896" s="155"/>
      <c r="AE896" s="155"/>
      <c r="AF896" s="155"/>
      <c r="AG896" s="155"/>
      <c r="AH896" s="155"/>
      <c r="AI896" s="155"/>
      <c r="AJ896" s="155"/>
      <c r="AK896" s="155"/>
      <c r="AL896" s="155"/>
      <c r="AM896" s="155"/>
      <c r="AN896" s="155"/>
      <c r="AO896" s="155"/>
      <c r="AP896" s="155"/>
      <c r="AQ896" s="155"/>
      <c r="AR896" s="155"/>
      <c r="AS896" s="155"/>
      <c r="AT896" s="155"/>
      <c r="AU896" s="155"/>
      <c r="AV896" s="155"/>
      <c r="AW896" s="155"/>
      <c r="AX896" s="155"/>
      <c r="AY896" s="155"/>
      <c r="AZ896" s="155"/>
      <c r="BA896" s="155"/>
      <c r="BB896" s="155"/>
      <c r="BC896" s="155"/>
      <c r="BD896" s="155"/>
      <c r="BE896" s="155"/>
      <c r="BF896" s="155"/>
      <c r="BG896" s="155"/>
      <c r="BH896" s="155"/>
      <c r="BI896" s="155"/>
      <c r="BJ896" s="155"/>
      <c r="BK896" s="155"/>
      <c r="BL896" s="155"/>
      <c r="BM896" s="155"/>
      <c r="BN896" s="155"/>
      <c r="BO896" s="155"/>
      <c r="BP896" s="155"/>
      <c r="BQ896" s="155"/>
      <c r="BR896" s="155"/>
      <c r="BS896" s="155"/>
      <c r="BT896" s="155"/>
      <c r="BU896" s="155"/>
      <c r="BV896" s="155"/>
      <c r="BW896" s="155"/>
      <c r="BX896" s="155"/>
      <c r="BY896" s="155"/>
      <c r="BZ896" s="155"/>
      <c r="CA896" s="155"/>
      <c r="CB896" s="155"/>
      <c r="CC896" s="155"/>
      <c r="CD896" s="155"/>
      <c r="CE896" s="155"/>
      <c r="CF896" s="155"/>
      <c r="CG896" s="155"/>
    </row>
    <row r="897" spans="1:85" ht="12.75" x14ac:dyDescent="0.2">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c r="AA897" s="155"/>
      <c r="AB897" s="155"/>
      <c r="AC897" s="155"/>
      <c r="AD897" s="155"/>
      <c r="AE897" s="155"/>
      <c r="AF897" s="155"/>
      <c r="AG897" s="155"/>
      <c r="AH897" s="155"/>
      <c r="AI897" s="155"/>
      <c r="AJ897" s="155"/>
      <c r="AK897" s="155"/>
      <c r="AL897" s="155"/>
      <c r="AM897" s="155"/>
      <c r="AN897" s="155"/>
      <c r="AO897" s="155"/>
      <c r="AP897" s="155"/>
      <c r="AQ897" s="155"/>
      <c r="AR897" s="155"/>
      <c r="AS897" s="155"/>
      <c r="AT897" s="155"/>
      <c r="AU897" s="155"/>
      <c r="AV897" s="155"/>
      <c r="AW897" s="155"/>
      <c r="AX897" s="155"/>
      <c r="AY897" s="155"/>
      <c r="AZ897" s="155"/>
      <c r="BA897" s="155"/>
      <c r="BB897" s="155"/>
      <c r="BC897" s="155"/>
      <c r="BD897" s="155"/>
      <c r="BE897" s="155"/>
      <c r="BF897" s="155"/>
      <c r="BG897" s="155"/>
      <c r="BH897" s="155"/>
      <c r="BI897" s="155"/>
      <c r="BJ897" s="155"/>
      <c r="BK897" s="155"/>
      <c r="BL897" s="155"/>
      <c r="BM897" s="155"/>
      <c r="BN897" s="155"/>
      <c r="BO897" s="155"/>
      <c r="BP897" s="155"/>
      <c r="BQ897" s="155"/>
      <c r="BR897" s="155"/>
      <c r="BS897" s="155"/>
      <c r="BT897" s="155"/>
      <c r="BU897" s="155"/>
      <c r="BV897" s="155"/>
      <c r="BW897" s="155"/>
      <c r="BX897" s="155"/>
      <c r="BY897" s="155"/>
      <c r="BZ897" s="155"/>
      <c r="CA897" s="155"/>
      <c r="CB897" s="155"/>
      <c r="CC897" s="155"/>
      <c r="CD897" s="155"/>
      <c r="CE897" s="155"/>
      <c r="CF897" s="155"/>
      <c r="CG897" s="155"/>
    </row>
    <row r="898" spans="1:85" ht="12.75" x14ac:dyDescent="0.2">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c r="AA898" s="155"/>
      <c r="AB898" s="155"/>
      <c r="AC898" s="155"/>
      <c r="AD898" s="155"/>
      <c r="AE898" s="155"/>
      <c r="AF898" s="155"/>
      <c r="AG898" s="155"/>
      <c r="AH898" s="155"/>
      <c r="AI898" s="155"/>
      <c r="AJ898" s="155"/>
      <c r="AK898" s="155"/>
      <c r="AL898" s="155"/>
      <c r="AM898" s="155"/>
      <c r="AN898" s="155"/>
      <c r="AO898" s="155"/>
      <c r="AP898" s="155"/>
      <c r="AQ898" s="155"/>
      <c r="AR898" s="155"/>
      <c r="AS898" s="155"/>
      <c r="AT898" s="155"/>
      <c r="AU898" s="155"/>
      <c r="AV898" s="155"/>
      <c r="AW898" s="155"/>
      <c r="AX898" s="155"/>
      <c r="AY898" s="155"/>
      <c r="AZ898" s="155"/>
      <c r="BA898" s="155"/>
      <c r="BB898" s="155"/>
      <c r="BC898" s="155"/>
      <c r="BD898" s="155"/>
      <c r="BE898" s="155"/>
      <c r="BF898" s="155"/>
      <c r="BG898" s="155"/>
      <c r="BH898" s="155"/>
      <c r="BI898" s="155"/>
      <c r="BJ898" s="155"/>
      <c r="BK898" s="155"/>
      <c r="BL898" s="155"/>
      <c r="BM898" s="155"/>
      <c r="BN898" s="155"/>
      <c r="BO898" s="155"/>
      <c r="BP898" s="155"/>
      <c r="BQ898" s="155"/>
      <c r="BR898" s="155"/>
      <c r="BS898" s="155"/>
      <c r="BT898" s="155"/>
      <c r="BU898" s="155"/>
      <c r="BV898" s="155"/>
      <c r="BW898" s="155"/>
      <c r="BX898" s="155"/>
      <c r="BY898" s="155"/>
      <c r="BZ898" s="155"/>
      <c r="CA898" s="155"/>
      <c r="CB898" s="155"/>
      <c r="CC898" s="155"/>
      <c r="CD898" s="155"/>
      <c r="CE898" s="155"/>
      <c r="CF898" s="155"/>
      <c r="CG898" s="155"/>
    </row>
    <row r="899" spans="1:85" ht="12.75" x14ac:dyDescent="0.2">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c r="AA899" s="155"/>
      <c r="AB899" s="155"/>
      <c r="AC899" s="155"/>
      <c r="AD899" s="155"/>
      <c r="AE899" s="155"/>
      <c r="AF899" s="155"/>
      <c r="AG899" s="155"/>
      <c r="AH899" s="155"/>
      <c r="AI899" s="155"/>
      <c r="AJ899" s="155"/>
      <c r="AK899" s="155"/>
      <c r="AL899" s="155"/>
      <c r="AM899" s="155"/>
      <c r="AN899" s="155"/>
      <c r="AO899" s="155"/>
      <c r="AP899" s="155"/>
      <c r="AQ899" s="155"/>
      <c r="AR899" s="155"/>
      <c r="AS899" s="155"/>
      <c r="AT899" s="155"/>
      <c r="AU899" s="155"/>
      <c r="AV899" s="155"/>
      <c r="AW899" s="155"/>
      <c r="AX899" s="155"/>
      <c r="AY899" s="155"/>
      <c r="AZ899" s="155"/>
      <c r="BA899" s="155"/>
      <c r="BB899" s="155"/>
      <c r="BC899" s="155"/>
      <c r="BD899" s="155"/>
      <c r="BE899" s="155"/>
      <c r="BF899" s="155"/>
      <c r="BG899" s="155"/>
      <c r="BH899" s="155"/>
      <c r="BI899" s="155"/>
      <c r="BJ899" s="155"/>
      <c r="BK899" s="155"/>
      <c r="BL899" s="155"/>
      <c r="BM899" s="155"/>
      <c r="BN899" s="155"/>
      <c r="BO899" s="155"/>
      <c r="BP899" s="155"/>
      <c r="BQ899" s="155"/>
      <c r="BR899" s="155"/>
      <c r="BS899" s="155"/>
      <c r="BT899" s="155"/>
      <c r="BU899" s="155"/>
      <c r="BV899" s="155"/>
      <c r="BW899" s="155"/>
      <c r="BX899" s="155"/>
      <c r="BY899" s="155"/>
      <c r="BZ899" s="155"/>
      <c r="CA899" s="155"/>
      <c r="CB899" s="155"/>
      <c r="CC899" s="155"/>
      <c r="CD899" s="155"/>
      <c r="CE899" s="155"/>
      <c r="CF899" s="155"/>
      <c r="CG899" s="155"/>
    </row>
    <row r="900" spans="1:85" ht="12.75" x14ac:dyDescent="0.2">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c r="AA900" s="155"/>
      <c r="AB900" s="155"/>
      <c r="AC900" s="155"/>
      <c r="AD900" s="155"/>
      <c r="AE900" s="155"/>
      <c r="AF900" s="155"/>
      <c r="AG900" s="155"/>
      <c r="AH900" s="155"/>
      <c r="AI900" s="155"/>
      <c r="AJ900" s="155"/>
      <c r="AK900" s="155"/>
      <c r="AL900" s="155"/>
      <c r="AM900" s="155"/>
      <c r="AN900" s="155"/>
      <c r="AO900" s="155"/>
      <c r="AP900" s="155"/>
      <c r="AQ900" s="155"/>
      <c r="AR900" s="155"/>
      <c r="AS900" s="155"/>
      <c r="AT900" s="155"/>
      <c r="AU900" s="155"/>
      <c r="AV900" s="155"/>
      <c r="AW900" s="155"/>
      <c r="AX900" s="155"/>
      <c r="AY900" s="155"/>
      <c r="AZ900" s="155"/>
      <c r="BA900" s="155"/>
      <c r="BB900" s="155"/>
      <c r="BC900" s="155"/>
      <c r="BD900" s="155"/>
      <c r="BE900" s="155"/>
      <c r="BF900" s="155"/>
      <c r="BG900" s="155"/>
      <c r="BH900" s="155"/>
      <c r="BI900" s="155"/>
      <c r="BJ900" s="155"/>
      <c r="BK900" s="155"/>
      <c r="BL900" s="155"/>
      <c r="BM900" s="155"/>
      <c r="BN900" s="155"/>
      <c r="BO900" s="155"/>
      <c r="BP900" s="155"/>
      <c r="BQ900" s="155"/>
      <c r="BR900" s="155"/>
      <c r="BS900" s="155"/>
      <c r="BT900" s="155"/>
      <c r="BU900" s="155"/>
      <c r="BV900" s="155"/>
      <c r="BW900" s="155"/>
      <c r="BX900" s="155"/>
      <c r="BY900" s="155"/>
      <c r="BZ900" s="155"/>
      <c r="CA900" s="155"/>
      <c r="CB900" s="155"/>
      <c r="CC900" s="155"/>
      <c r="CD900" s="155"/>
      <c r="CE900" s="155"/>
      <c r="CF900" s="155"/>
      <c r="CG900" s="155"/>
    </row>
    <row r="901" spans="1:85" ht="12.75" x14ac:dyDescent="0.2">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c r="AA901" s="155"/>
      <c r="AB901" s="155"/>
      <c r="AC901" s="155"/>
      <c r="AD901" s="155"/>
      <c r="AE901" s="155"/>
      <c r="AF901" s="155"/>
      <c r="AG901" s="155"/>
      <c r="AH901" s="155"/>
      <c r="AI901" s="155"/>
      <c r="AJ901" s="155"/>
      <c r="AK901" s="155"/>
      <c r="AL901" s="155"/>
      <c r="AM901" s="155"/>
      <c r="AN901" s="155"/>
      <c r="AO901" s="155"/>
      <c r="AP901" s="155"/>
      <c r="AQ901" s="155"/>
      <c r="AR901" s="155"/>
      <c r="AS901" s="155"/>
      <c r="AT901" s="155"/>
      <c r="AU901" s="155"/>
      <c r="AV901" s="155"/>
      <c r="AW901" s="155"/>
      <c r="AX901" s="155"/>
      <c r="AY901" s="155"/>
      <c r="AZ901" s="155"/>
      <c r="BA901" s="155"/>
      <c r="BB901" s="155"/>
      <c r="BC901" s="155"/>
      <c r="BD901" s="155"/>
      <c r="BE901" s="155"/>
      <c r="BF901" s="155"/>
      <c r="BG901" s="155"/>
      <c r="BH901" s="155"/>
      <c r="BI901" s="155"/>
      <c r="BJ901" s="155"/>
      <c r="BK901" s="155"/>
      <c r="BL901" s="155"/>
      <c r="BM901" s="155"/>
      <c r="BN901" s="155"/>
      <c r="BO901" s="155"/>
      <c r="BP901" s="155"/>
      <c r="BQ901" s="155"/>
      <c r="BR901" s="155"/>
      <c r="BS901" s="155"/>
      <c r="BT901" s="155"/>
      <c r="BU901" s="155"/>
      <c r="BV901" s="155"/>
      <c r="BW901" s="155"/>
      <c r="BX901" s="155"/>
      <c r="BY901" s="155"/>
      <c r="BZ901" s="155"/>
      <c r="CA901" s="155"/>
      <c r="CB901" s="155"/>
      <c r="CC901" s="155"/>
      <c r="CD901" s="155"/>
      <c r="CE901" s="155"/>
      <c r="CF901" s="155"/>
      <c r="CG901" s="155"/>
    </row>
    <row r="902" spans="1:85" ht="12.75" x14ac:dyDescent="0.2">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c r="AA902" s="155"/>
      <c r="AB902" s="155"/>
      <c r="AC902" s="155"/>
      <c r="AD902" s="155"/>
      <c r="AE902" s="155"/>
      <c r="AF902" s="155"/>
      <c r="AG902" s="155"/>
      <c r="AH902" s="155"/>
      <c r="AI902" s="155"/>
      <c r="AJ902" s="155"/>
      <c r="AK902" s="155"/>
      <c r="AL902" s="155"/>
      <c r="AM902" s="155"/>
      <c r="AN902" s="155"/>
      <c r="AO902" s="155"/>
      <c r="AP902" s="155"/>
      <c r="AQ902" s="155"/>
      <c r="AR902" s="155"/>
      <c r="AS902" s="155"/>
      <c r="AT902" s="155"/>
      <c r="AU902" s="155"/>
      <c r="AV902" s="155"/>
      <c r="AW902" s="155"/>
      <c r="AX902" s="155"/>
      <c r="AY902" s="155"/>
      <c r="AZ902" s="155"/>
      <c r="BA902" s="155"/>
      <c r="BB902" s="155"/>
      <c r="BC902" s="155"/>
      <c r="BD902" s="155"/>
      <c r="BE902" s="155"/>
      <c r="BF902" s="155"/>
      <c r="BG902" s="155"/>
      <c r="BH902" s="155"/>
      <c r="BI902" s="155"/>
      <c r="BJ902" s="155"/>
      <c r="BK902" s="155"/>
      <c r="BL902" s="155"/>
      <c r="BM902" s="155"/>
      <c r="BN902" s="155"/>
      <c r="BO902" s="155"/>
      <c r="BP902" s="155"/>
      <c r="BQ902" s="155"/>
      <c r="BR902" s="155"/>
      <c r="BS902" s="155"/>
      <c r="BT902" s="155"/>
      <c r="BU902" s="155"/>
      <c r="BV902" s="155"/>
      <c r="BW902" s="155"/>
      <c r="BX902" s="155"/>
      <c r="BY902" s="155"/>
      <c r="BZ902" s="155"/>
      <c r="CA902" s="155"/>
      <c r="CB902" s="155"/>
      <c r="CC902" s="155"/>
      <c r="CD902" s="155"/>
      <c r="CE902" s="155"/>
      <c r="CF902" s="155"/>
      <c r="CG902" s="155"/>
    </row>
    <row r="903" spans="1:85" ht="12.75" x14ac:dyDescent="0.2">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c r="AA903" s="155"/>
      <c r="AB903" s="155"/>
      <c r="AC903" s="155"/>
      <c r="AD903" s="155"/>
      <c r="AE903" s="155"/>
      <c r="AF903" s="155"/>
      <c r="AG903" s="155"/>
      <c r="AH903" s="155"/>
      <c r="AI903" s="155"/>
      <c r="AJ903" s="155"/>
      <c r="AK903" s="155"/>
      <c r="AL903" s="155"/>
      <c r="AM903" s="155"/>
      <c r="AN903" s="155"/>
      <c r="AO903" s="155"/>
      <c r="AP903" s="155"/>
      <c r="AQ903" s="155"/>
      <c r="AR903" s="155"/>
      <c r="AS903" s="155"/>
      <c r="AT903" s="155"/>
      <c r="AU903" s="155"/>
      <c r="AV903" s="155"/>
      <c r="AW903" s="155"/>
      <c r="AX903" s="155"/>
      <c r="AY903" s="155"/>
      <c r="AZ903" s="155"/>
      <c r="BA903" s="155"/>
      <c r="BB903" s="155"/>
      <c r="BC903" s="155"/>
      <c r="BD903" s="155"/>
      <c r="BE903" s="155"/>
      <c r="BF903" s="155"/>
      <c r="BG903" s="155"/>
      <c r="BH903" s="155"/>
      <c r="BI903" s="155"/>
      <c r="BJ903" s="155"/>
      <c r="BK903" s="155"/>
      <c r="BL903" s="155"/>
      <c r="BM903" s="155"/>
      <c r="BN903" s="155"/>
      <c r="BO903" s="155"/>
      <c r="BP903" s="155"/>
      <c r="BQ903" s="155"/>
      <c r="BR903" s="155"/>
      <c r="BS903" s="155"/>
      <c r="BT903" s="155"/>
      <c r="BU903" s="155"/>
      <c r="BV903" s="155"/>
      <c r="BW903" s="155"/>
      <c r="BX903" s="155"/>
      <c r="BY903" s="155"/>
      <c r="BZ903" s="155"/>
      <c r="CA903" s="155"/>
      <c r="CB903" s="155"/>
      <c r="CC903" s="155"/>
      <c r="CD903" s="155"/>
      <c r="CE903" s="155"/>
      <c r="CF903" s="155"/>
      <c r="CG903" s="155"/>
    </row>
    <row r="904" spans="1:85" ht="12.75" x14ac:dyDescent="0.2">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c r="AA904" s="155"/>
      <c r="AB904" s="155"/>
      <c r="AC904" s="155"/>
      <c r="AD904" s="155"/>
      <c r="AE904" s="155"/>
      <c r="AF904" s="155"/>
      <c r="AG904" s="155"/>
      <c r="AH904" s="155"/>
      <c r="AI904" s="155"/>
      <c r="AJ904" s="155"/>
      <c r="AK904" s="155"/>
      <c r="AL904" s="155"/>
      <c r="AM904" s="155"/>
      <c r="AN904" s="155"/>
      <c r="AO904" s="155"/>
      <c r="AP904" s="155"/>
      <c r="AQ904" s="155"/>
      <c r="AR904" s="155"/>
      <c r="AS904" s="155"/>
      <c r="AT904" s="155"/>
      <c r="AU904" s="155"/>
      <c r="AV904" s="155"/>
      <c r="AW904" s="155"/>
      <c r="AX904" s="155"/>
      <c r="AY904" s="155"/>
      <c r="AZ904" s="155"/>
      <c r="BA904" s="155"/>
      <c r="BB904" s="155"/>
      <c r="BC904" s="155"/>
      <c r="BD904" s="155"/>
      <c r="BE904" s="155"/>
      <c r="BF904" s="155"/>
      <c r="BG904" s="155"/>
      <c r="BH904" s="155"/>
      <c r="BI904" s="155"/>
      <c r="BJ904" s="155"/>
      <c r="BK904" s="155"/>
      <c r="BL904" s="155"/>
      <c r="BM904" s="155"/>
      <c r="BN904" s="155"/>
      <c r="BO904" s="155"/>
      <c r="BP904" s="155"/>
      <c r="BQ904" s="155"/>
      <c r="BR904" s="155"/>
      <c r="BS904" s="155"/>
      <c r="BT904" s="155"/>
      <c r="BU904" s="155"/>
      <c r="BV904" s="155"/>
      <c r="BW904" s="155"/>
      <c r="BX904" s="155"/>
      <c r="BY904" s="155"/>
      <c r="BZ904" s="155"/>
      <c r="CA904" s="155"/>
      <c r="CB904" s="155"/>
      <c r="CC904" s="155"/>
      <c r="CD904" s="155"/>
      <c r="CE904" s="155"/>
      <c r="CF904" s="155"/>
      <c r="CG904" s="155"/>
    </row>
    <row r="905" spans="1:85" ht="12.75" x14ac:dyDescent="0.2">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c r="AA905" s="155"/>
      <c r="AB905" s="155"/>
      <c r="AC905" s="155"/>
      <c r="AD905" s="155"/>
      <c r="AE905" s="155"/>
      <c r="AF905" s="155"/>
      <c r="AG905" s="155"/>
      <c r="AH905" s="155"/>
      <c r="AI905" s="155"/>
      <c r="AJ905" s="155"/>
      <c r="AK905" s="155"/>
      <c r="AL905" s="155"/>
      <c r="AM905" s="155"/>
      <c r="AN905" s="155"/>
      <c r="AO905" s="155"/>
      <c r="AP905" s="155"/>
      <c r="AQ905" s="155"/>
      <c r="AR905" s="155"/>
      <c r="AS905" s="155"/>
      <c r="AT905" s="155"/>
      <c r="AU905" s="155"/>
      <c r="AV905" s="155"/>
      <c r="AW905" s="155"/>
      <c r="AX905" s="155"/>
      <c r="AY905" s="155"/>
      <c r="AZ905" s="155"/>
      <c r="BA905" s="155"/>
      <c r="BB905" s="155"/>
      <c r="BC905" s="155"/>
      <c r="BD905" s="155"/>
      <c r="BE905" s="155"/>
      <c r="BF905" s="155"/>
      <c r="BG905" s="155"/>
      <c r="BH905" s="155"/>
      <c r="BI905" s="155"/>
      <c r="BJ905" s="155"/>
      <c r="BK905" s="155"/>
      <c r="BL905" s="155"/>
      <c r="BM905" s="155"/>
      <c r="BN905" s="155"/>
      <c r="BO905" s="155"/>
      <c r="BP905" s="155"/>
      <c r="BQ905" s="155"/>
      <c r="BR905" s="155"/>
      <c r="BS905" s="155"/>
      <c r="BT905" s="155"/>
      <c r="BU905" s="155"/>
      <c r="BV905" s="155"/>
      <c r="BW905" s="155"/>
      <c r="BX905" s="155"/>
      <c r="BY905" s="155"/>
      <c r="BZ905" s="155"/>
      <c r="CA905" s="155"/>
      <c r="CB905" s="155"/>
      <c r="CC905" s="155"/>
      <c r="CD905" s="155"/>
      <c r="CE905" s="155"/>
      <c r="CF905" s="155"/>
      <c r="CG905" s="155"/>
    </row>
    <row r="906" spans="1:85" ht="12.75" x14ac:dyDescent="0.2">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c r="AA906" s="155"/>
      <c r="AB906" s="155"/>
      <c r="AC906" s="155"/>
      <c r="AD906" s="155"/>
      <c r="AE906" s="155"/>
      <c r="AF906" s="155"/>
      <c r="AG906" s="155"/>
      <c r="AH906" s="155"/>
      <c r="AI906" s="155"/>
      <c r="AJ906" s="155"/>
      <c r="AK906" s="155"/>
      <c r="AL906" s="155"/>
      <c r="AM906" s="155"/>
      <c r="AN906" s="155"/>
      <c r="AO906" s="155"/>
      <c r="AP906" s="155"/>
      <c r="AQ906" s="155"/>
      <c r="AR906" s="155"/>
      <c r="AS906" s="155"/>
      <c r="AT906" s="155"/>
      <c r="AU906" s="155"/>
      <c r="AV906" s="155"/>
      <c r="AW906" s="155"/>
      <c r="AX906" s="155"/>
      <c r="AY906" s="155"/>
      <c r="AZ906" s="155"/>
      <c r="BA906" s="155"/>
      <c r="BB906" s="155"/>
      <c r="BC906" s="155"/>
      <c r="BD906" s="155"/>
      <c r="BE906" s="155"/>
      <c r="BF906" s="155"/>
      <c r="BG906" s="155"/>
      <c r="BH906" s="155"/>
      <c r="BI906" s="155"/>
      <c r="BJ906" s="155"/>
      <c r="BK906" s="155"/>
      <c r="BL906" s="155"/>
      <c r="BM906" s="155"/>
      <c r="BN906" s="155"/>
      <c r="BO906" s="155"/>
      <c r="BP906" s="155"/>
      <c r="BQ906" s="155"/>
      <c r="BR906" s="155"/>
      <c r="BS906" s="155"/>
      <c r="BT906" s="155"/>
      <c r="BU906" s="155"/>
      <c r="BV906" s="155"/>
      <c r="BW906" s="155"/>
      <c r="BX906" s="155"/>
      <c r="BY906" s="155"/>
      <c r="BZ906" s="155"/>
      <c r="CA906" s="155"/>
      <c r="CB906" s="155"/>
      <c r="CC906" s="155"/>
      <c r="CD906" s="155"/>
      <c r="CE906" s="155"/>
      <c r="CF906" s="155"/>
      <c r="CG906" s="155"/>
    </row>
    <row r="907" spans="1:85" ht="12.75" x14ac:dyDescent="0.2">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c r="AA907" s="155"/>
      <c r="AB907" s="155"/>
      <c r="AC907" s="155"/>
      <c r="AD907" s="155"/>
      <c r="AE907" s="155"/>
      <c r="AF907" s="155"/>
      <c r="AG907" s="155"/>
      <c r="AH907" s="155"/>
      <c r="AI907" s="155"/>
      <c r="AJ907" s="155"/>
      <c r="AK907" s="155"/>
      <c r="AL907" s="155"/>
      <c r="AM907" s="155"/>
      <c r="AN907" s="155"/>
      <c r="AO907" s="155"/>
      <c r="AP907" s="155"/>
      <c r="AQ907" s="155"/>
      <c r="AR907" s="155"/>
      <c r="AS907" s="155"/>
      <c r="AT907" s="155"/>
      <c r="AU907" s="155"/>
      <c r="AV907" s="155"/>
      <c r="AW907" s="155"/>
      <c r="AX907" s="155"/>
      <c r="AY907" s="155"/>
      <c r="AZ907" s="155"/>
      <c r="BA907" s="155"/>
      <c r="BB907" s="155"/>
      <c r="BC907" s="155"/>
      <c r="BD907" s="155"/>
      <c r="BE907" s="155"/>
      <c r="BF907" s="155"/>
      <c r="BG907" s="155"/>
      <c r="BH907" s="155"/>
      <c r="BI907" s="155"/>
      <c r="BJ907" s="155"/>
      <c r="BK907" s="155"/>
      <c r="BL907" s="155"/>
      <c r="BM907" s="155"/>
      <c r="BN907" s="155"/>
      <c r="BO907" s="155"/>
      <c r="BP907" s="155"/>
      <c r="BQ907" s="155"/>
      <c r="BR907" s="155"/>
      <c r="BS907" s="155"/>
      <c r="BT907" s="155"/>
      <c r="BU907" s="155"/>
      <c r="BV907" s="155"/>
      <c r="BW907" s="155"/>
      <c r="BX907" s="155"/>
      <c r="BY907" s="155"/>
      <c r="BZ907" s="155"/>
      <c r="CA907" s="155"/>
      <c r="CB907" s="155"/>
      <c r="CC907" s="155"/>
      <c r="CD907" s="155"/>
      <c r="CE907" s="155"/>
      <c r="CF907" s="155"/>
      <c r="CG907" s="155"/>
    </row>
    <row r="908" spans="1:85" ht="12.75" x14ac:dyDescent="0.2">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c r="AA908" s="155"/>
      <c r="AB908" s="155"/>
      <c r="AC908" s="155"/>
      <c r="AD908" s="155"/>
      <c r="AE908" s="155"/>
      <c r="AF908" s="155"/>
      <c r="AG908" s="155"/>
      <c r="AH908" s="155"/>
      <c r="AI908" s="155"/>
      <c r="AJ908" s="155"/>
      <c r="AK908" s="155"/>
      <c r="AL908" s="155"/>
      <c r="AM908" s="155"/>
      <c r="AN908" s="155"/>
      <c r="AO908" s="155"/>
      <c r="AP908" s="155"/>
      <c r="AQ908" s="155"/>
      <c r="AR908" s="155"/>
      <c r="AS908" s="155"/>
      <c r="AT908" s="155"/>
      <c r="AU908" s="155"/>
      <c r="AV908" s="155"/>
      <c r="AW908" s="155"/>
      <c r="AX908" s="155"/>
      <c r="AY908" s="155"/>
      <c r="AZ908" s="155"/>
      <c r="BA908" s="155"/>
      <c r="BB908" s="155"/>
      <c r="BC908" s="155"/>
      <c r="BD908" s="155"/>
      <c r="BE908" s="155"/>
      <c r="BF908" s="155"/>
      <c r="BG908" s="155"/>
      <c r="BH908" s="155"/>
      <c r="BI908" s="155"/>
      <c r="BJ908" s="155"/>
      <c r="BK908" s="155"/>
      <c r="BL908" s="155"/>
      <c r="BM908" s="155"/>
      <c r="BN908" s="155"/>
      <c r="BO908" s="155"/>
      <c r="BP908" s="155"/>
      <c r="BQ908" s="155"/>
      <c r="BR908" s="155"/>
      <c r="BS908" s="155"/>
      <c r="BT908" s="155"/>
      <c r="BU908" s="155"/>
      <c r="BV908" s="155"/>
      <c r="BW908" s="155"/>
      <c r="BX908" s="155"/>
      <c r="BY908" s="155"/>
      <c r="BZ908" s="155"/>
      <c r="CA908" s="155"/>
      <c r="CB908" s="155"/>
      <c r="CC908" s="155"/>
      <c r="CD908" s="155"/>
      <c r="CE908" s="155"/>
      <c r="CF908" s="155"/>
      <c r="CG908" s="155"/>
    </row>
    <row r="909" spans="1:85" ht="12.75" x14ac:dyDescent="0.2">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c r="AA909" s="155"/>
      <c r="AB909" s="155"/>
      <c r="AC909" s="155"/>
      <c r="AD909" s="155"/>
      <c r="AE909" s="155"/>
      <c r="AF909" s="155"/>
      <c r="AG909" s="155"/>
      <c r="AH909" s="155"/>
      <c r="AI909" s="155"/>
      <c r="AJ909" s="155"/>
      <c r="AK909" s="155"/>
      <c r="AL909" s="155"/>
      <c r="AM909" s="155"/>
      <c r="AN909" s="155"/>
      <c r="AO909" s="155"/>
      <c r="AP909" s="155"/>
      <c r="AQ909" s="155"/>
      <c r="AR909" s="155"/>
      <c r="AS909" s="155"/>
      <c r="AT909" s="155"/>
      <c r="AU909" s="155"/>
      <c r="AV909" s="155"/>
      <c r="AW909" s="155"/>
      <c r="AX909" s="155"/>
      <c r="AY909" s="155"/>
      <c r="AZ909" s="155"/>
      <c r="BA909" s="155"/>
      <c r="BB909" s="155"/>
      <c r="BC909" s="155"/>
      <c r="BD909" s="155"/>
      <c r="BE909" s="155"/>
      <c r="BF909" s="155"/>
      <c r="BG909" s="155"/>
      <c r="BH909" s="155"/>
      <c r="BI909" s="155"/>
      <c r="BJ909" s="155"/>
      <c r="BK909" s="155"/>
      <c r="BL909" s="155"/>
      <c r="BM909" s="155"/>
      <c r="BN909" s="155"/>
      <c r="BO909" s="155"/>
      <c r="BP909" s="155"/>
      <c r="BQ909" s="155"/>
      <c r="BR909" s="155"/>
      <c r="BS909" s="155"/>
      <c r="BT909" s="155"/>
      <c r="BU909" s="155"/>
      <c r="BV909" s="155"/>
      <c r="BW909" s="155"/>
      <c r="BX909" s="155"/>
      <c r="BY909" s="155"/>
      <c r="BZ909" s="155"/>
      <c r="CA909" s="155"/>
      <c r="CB909" s="155"/>
      <c r="CC909" s="155"/>
      <c r="CD909" s="155"/>
      <c r="CE909" s="155"/>
      <c r="CF909" s="155"/>
      <c r="CG909" s="155"/>
    </row>
    <row r="910" spans="1:85" ht="12.75" x14ac:dyDescent="0.2">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c r="AA910" s="155"/>
      <c r="AB910" s="155"/>
      <c r="AC910" s="155"/>
      <c r="AD910" s="155"/>
      <c r="AE910" s="155"/>
      <c r="AF910" s="155"/>
      <c r="AG910" s="155"/>
      <c r="AH910" s="155"/>
      <c r="AI910" s="155"/>
      <c r="AJ910" s="155"/>
      <c r="AK910" s="155"/>
      <c r="AL910" s="155"/>
      <c r="AM910" s="155"/>
      <c r="AN910" s="155"/>
      <c r="AO910" s="155"/>
      <c r="AP910" s="155"/>
      <c r="AQ910" s="155"/>
      <c r="AR910" s="155"/>
      <c r="AS910" s="155"/>
      <c r="AT910" s="155"/>
      <c r="AU910" s="155"/>
      <c r="AV910" s="155"/>
      <c r="AW910" s="155"/>
      <c r="AX910" s="155"/>
      <c r="AY910" s="155"/>
      <c r="AZ910" s="155"/>
      <c r="BA910" s="155"/>
      <c r="BB910" s="155"/>
      <c r="BC910" s="155"/>
      <c r="BD910" s="155"/>
      <c r="BE910" s="155"/>
      <c r="BF910" s="155"/>
      <c r="BG910" s="155"/>
      <c r="BH910" s="155"/>
      <c r="BI910" s="155"/>
      <c r="BJ910" s="155"/>
      <c r="BK910" s="155"/>
      <c r="BL910" s="155"/>
      <c r="BM910" s="155"/>
      <c r="BN910" s="155"/>
      <c r="BO910" s="155"/>
      <c r="BP910" s="155"/>
      <c r="BQ910" s="155"/>
      <c r="BR910" s="155"/>
      <c r="BS910" s="155"/>
      <c r="BT910" s="155"/>
      <c r="BU910" s="155"/>
      <c r="BV910" s="155"/>
      <c r="BW910" s="155"/>
      <c r="BX910" s="155"/>
      <c r="BY910" s="155"/>
      <c r="BZ910" s="155"/>
      <c r="CA910" s="155"/>
      <c r="CB910" s="155"/>
      <c r="CC910" s="155"/>
      <c r="CD910" s="155"/>
      <c r="CE910" s="155"/>
      <c r="CF910" s="155"/>
      <c r="CG910" s="155"/>
    </row>
    <row r="911" spans="1:85" ht="12.75" x14ac:dyDescent="0.2">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c r="AA911" s="155"/>
      <c r="AB911" s="155"/>
      <c r="AC911" s="155"/>
      <c r="AD911" s="155"/>
      <c r="AE911" s="155"/>
      <c r="AF911" s="155"/>
      <c r="AG911" s="155"/>
      <c r="AH911" s="155"/>
      <c r="AI911" s="155"/>
      <c r="AJ911" s="155"/>
      <c r="AK911" s="155"/>
      <c r="AL911" s="155"/>
      <c r="AM911" s="155"/>
      <c r="AN911" s="155"/>
      <c r="AO911" s="155"/>
      <c r="AP911" s="155"/>
      <c r="AQ911" s="155"/>
      <c r="AR911" s="155"/>
      <c r="AS911" s="155"/>
      <c r="AT911" s="155"/>
      <c r="AU911" s="155"/>
      <c r="AV911" s="155"/>
      <c r="AW911" s="155"/>
      <c r="AX911" s="155"/>
      <c r="AY911" s="155"/>
      <c r="AZ911" s="155"/>
      <c r="BA911" s="155"/>
      <c r="BB911" s="155"/>
      <c r="BC911" s="155"/>
      <c r="BD911" s="155"/>
      <c r="BE911" s="155"/>
      <c r="BF911" s="155"/>
      <c r="BG911" s="155"/>
      <c r="BH911" s="155"/>
      <c r="BI911" s="155"/>
      <c r="BJ911" s="155"/>
      <c r="BK911" s="155"/>
      <c r="BL911" s="155"/>
      <c r="BM911" s="155"/>
      <c r="BN911" s="155"/>
      <c r="BO911" s="155"/>
      <c r="BP911" s="155"/>
      <c r="BQ911" s="155"/>
      <c r="BR911" s="155"/>
      <c r="BS911" s="155"/>
      <c r="BT911" s="155"/>
      <c r="BU911" s="155"/>
      <c r="BV911" s="155"/>
      <c r="BW911" s="155"/>
      <c r="BX911" s="155"/>
      <c r="BY911" s="155"/>
      <c r="BZ911" s="155"/>
      <c r="CA911" s="155"/>
      <c r="CB911" s="155"/>
      <c r="CC911" s="155"/>
      <c r="CD911" s="155"/>
      <c r="CE911" s="155"/>
      <c r="CF911" s="155"/>
      <c r="CG911" s="155"/>
    </row>
    <row r="912" spans="1:85" ht="12.75" x14ac:dyDescent="0.2">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c r="AA912" s="155"/>
      <c r="AB912" s="155"/>
      <c r="AC912" s="155"/>
      <c r="AD912" s="155"/>
      <c r="AE912" s="155"/>
      <c r="AF912" s="155"/>
      <c r="AG912" s="155"/>
      <c r="AH912" s="155"/>
      <c r="AI912" s="155"/>
      <c r="AJ912" s="155"/>
      <c r="AK912" s="155"/>
      <c r="AL912" s="155"/>
      <c r="AM912" s="155"/>
      <c r="AN912" s="155"/>
      <c r="AO912" s="155"/>
      <c r="AP912" s="155"/>
      <c r="AQ912" s="155"/>
      <c r="AR912" s="155"/>
      <c r="AS912" s="155"/>
      <c r="AT912" s="155"/>
      <c r="AU912" s="155"/>
      <c r="AV912" s="155"/>
      <c r="AW912" s="155"/>
      <c r="AX912" s="155"/>
      <c r="AY912" s="155"/>
      <c r="AZ912" s="155"/>
      <c r="BA912" s="155"/>
      <c r="BB912" s="155"/>
      <c r="BC912" s="155"/>
      <c r="BD912" s="155"/>
      <c r="BE912" s="155"/>
      <c r="BF912" s="155"/>
      <c r="BG912" s="155"/>
      <c r="BH912" s="155"/>
      <c r="BI912" s="155"/>
      <c r="BJ912" s="155"/>
      <c r="BK912" s="155"/>
      <c r="BL912" s="155"/>
      <c r="BM912" s="155"/>
      <c r="BN912" s="155"/>
      <c r="BO912" s="155"/>
      <c r="BP912" s="155"/>
      <c r="BQ912" s="155"/>
      <c r="BR912" s="155"/>
      <c r="BS912" s="155"/>
      <c r="BT912" s="155"/>
      <c r="BU912" s="155"/>
      <c r="BV912" s="155"/>
      <c r="BW912" s="155"/>
      <c r="BX912" s="155"/>
      <c r="BY912" s="155"/>
      <c r="BZ912" s="155"/>
      <c r="CA912" s="155"/>
      <c r="CB912" s="155"/>
      <c r="CC912" s="155"/>
      <c r="CD912" s="155"/>
      <c r="CE912" s="155"/>
      <c r="CF912" s="155"/>
      <c r="CG912" s="155"/>
    </row>
    <row r="913" spans="1:85" ht="12.75" x14ac:dyDescent="0.2">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c r="AA913" s="155"/>
      <c r="AB913" s="155"/>
      <c r="AC913" s="155"/>
      <c r="AD913" s="155"/>
      <c r="AE913" s="155"/>
      <c r="AF913" s="155"/>
      <c r="AG913" s="155"/>
      <c r="AH913" s="155"/>
      <c r="AI913" s="155"/>
      <c r="AJ913" s="155"/>
      <c r="AK913" s="155"/>
      <c r="AL913" s="155"/>
      <c r="AM913" s="155"/>
      <c r="AN913" s="155"/>
      <c r="AO913" s="155"/>
      <c r="AP913" s="155"/>
      <c r="AQ913" s="155"/>
      <c r="AR913" s="155"/>
      <c r="AS913" s="155"/>
      <c r="AT913" s="155"/>
      <c r="AU913" s="155"/>
      <c r="AV913" s="155"/>
      <c r="AW913" s="155"/>
      <c r="AX913" s="155"/>
      <c r="AY913" s="155"/>
      <c r="AZ913" s="155"/>
      <c r="BA913" s="155"/>
      <c r="BB913" s="155"/>
      <c r="BC913" s="155"/>
      <c r="BD913" s="155"/>
      <c r="BE913" s="155"/>
      <c r="BF913" s="155"/>
      <c r="BG913" s="155"/>
      <c r="BH913" s="155"/>
      <c r="BI913" s="155"/>
      <c r="BJ913" s="155"/>
      <c r="BK913" s="155"/>
      <c r="BL913" s="155"/>
      <c r="BM913" s="155"/>
      <c r="BN913" s="155"/>
      <c r="BO913" s="155"/>
      <c r="BP913" s="155"/>
      <c r="BQ913" s="155"/>
      <c r="BR913" s="155"/>
      <c r="BS913" s="155"/>
      <c r="BT913" s="155"/>
      <c r="BU913" s="155"/>
      <c r="BV913" s="155"/>
      <c r="BW913" s="155"/>
      <c r="BX913" s="155"/>
      <c r="BY913" s="155"/>
      <c r="BZ913" s="155"/>
      <c r="CA913" s="155"/>
      <c r="CB913" s="155"/>
      <c r="CC913" s="155"/>
      <c r="CD913" s="155"/>
      <c r="CE913" s="155"/>
      <c r="CF913" s="155"/>
      <c r="CG913" s="155"/>
    </row>
    <row r="914" spans="1:85" ht="12.75" x14ac:dyDescent="0.2">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c r="AA914" s="155"/>
      <c r="AB914" s="155"/>
      <c r="AC914" s="155"/>
      <c r="AD914" s="155"/>
      <c r="AE914" s="155"/>
      <c r="AF914" s="155"/>
      <c r="AG914" s="155"/>
      <c r="AH914" s="155"/>
      <c r="AI914" s="155"/>
      <c r="AJ914" s="155"/>
      <c r="AK914" s="155"/>
      <c r="AL914" s="155"/>
      <c r="AM914" s="155"/>
      <c r="AN914" s="155"/>
      <c r="AO914" s="155"/>
      <c r="AP914" s="155"/>
      <c r="AQ914" s="155"/>
      <c r="AR914" s="155"/>
      <c r="AS914" s="155"/>
      <c r="AT914" s="155"/>
      <c r="AU914" s="155"/>
      <c r="AV914" s="155"/>
      <c r="AW914" s="155"/>
      <c r="AX914" s="155"/>
      <c r="AY914" s="155"/>
      <c r="AZ914" s="155"/>
      <c r="BA914" s="155"/>
      <c r="BB914" s="155"/>
      <c r="BC914" s="155"/>
      <c r="BD914" s="155"/>
      <c r="BE914" s="155"/>
      <c r="BF914" s="155"/>
      <c r="BG914" s="155"/>
      <c r="BH914" s="155"/>
      <c r="BI914" s="155"/>
      <c r="BJ914" s="155"/>
      <c r="BK914" s="155"/>
      <c r="BL914" s="155"/>
      <c r="BM914" s="155"/>
      <c r="BN914" s="155"/>
      <c r="BO914" s="155"/>
      <c r="BP914" s="155"/>
      <c r="BQ914" s="155"/>
      <c r="BR914" s="155"/>
      <c r="BS914" s="155"/>
      <c r="BT914" s="155"/>
      <c r="BU914" s="155"/>
      <c r="BV914" s="155"/>
      <c r="BW914" s="155"/>
      <c r="BX914" s="155"/>
      <c r="BY914" s="155"/>
      <c r="BZ914" s="155"/>
      <c r="CA914" s="155"/>
      <c r="CB914" s="155"/>
      <c r="CC914" s="155"/>
      <c r="CD914" s="155"/>
      <c r="CE914" s="155"/>
      <c r="CF914" s="155"/>
      <c r="CG914" s="155"/>
    </row>
    <row r="915" spans="1:85" ht="12.75" x14ac:dyDescent="0.2">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c r="AA915" s="155"/>
      <c r="AB915" s="155"/>
      <c r="AC915" s="155"/>
      <c r="AD915" s="155"/>
      <c r="AE915" s="155"/>
      <c r="AF915" s="155"/>
      <c r="AG915" s="155"/>
      <c r="AH915" s="155"/>
      <c r="AI915" s="155"/>
      <c r="AJ915" s="155"/>
      <c r="AK915" s="155"/>
      <c r="AL915" s="155"/>
      <c r="AM915" s="155"/>
      <c r="AN915" s="155"/>
      <c r="AO915" s="155"/>
      <c r="AP915" s="155"/>
      <c r="AQ915" s="155"/>
      <c r="AR915" s="155"/>
      <c r="AS915" s="155"/>
      <c r="AT915" s="155"/>
      <c r="AU915" s="155"/>
      <c r="AV915" s="155"/>
      <c r="AW915" s="155"/>
      <c r="AX915" s="155"/>
      <c r="AY915" s="155"/>
      <c r="AZ915" s="155"/>
      <c r="BA915" s="155"/>
      <c r="BB915" s="155"/>
      <c r="BC915" s="155"/>
      <c r="BD915" s="155"/>
      <c r="BE915" s="155"/>
      <c r="BF915" s="155"/>
      <c r="BG915" s="155"/>
      <c r="BH915" s="155"/>
      <c r="BI915" s="155"/>
      <c r="BJ915" s="155"/>
      <c r="BK915" s="155"/>
      <c r="BL915" s="155"/>
      <c r="BM915" s="155"/>
      <c r="BN915" s="155"/>
      <c r="BO915" s="155"/>
      <c r="BP915" s="155"/>
      <c r="BQ915" s="155"/>
      <c r="BR915" s="155"/>
      <c r="BS915" s="155"/>
      <c r="BT915" s="155"/>
      <c r="BU915" s="155"/>
      <c r="BV915" s="155"/>
      <c r="BW915" s="155"/>
      <c r="BX915" s="155"/>
      <c r="BY915" s="155"/>
      <c r="BZ915" s="155"/>
      <c r="CA915" s="155"/>
      <c r="CB915" s="155"/>
      <c r="CC915" s="155"/>
      <c r="CD915" s="155"/>
      <c r="CE915" s="155"/>
      <c r="CF915" s="155"/>
      <c r="CG915" s="155"/>
    </row>
    <row r="916" spans="1:85" ht="12.75" x14ac:dyDescent="0.2">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c r="AA916" s="155"/>
      <c r="AB916" s="155"/>
      <c r="AC916" s="155"/>
      <c r="AD916" s="155"/>
      <c r="AE916" s="155"/>
      <c r="AF916" s="155"/>
      <c r="AG916" s="155"/>
      <c r="AH916" s="155"/>
      <c r="AI916" s="155"/>
      <c r="AJ916" s="155"/>
      <c r="AK916" s="155"/>
      <c r="AL916" s="155"/>
      <c r="AM916" s="155"/>
      <c r="AN916" s="155"/>
      <c r="AO916" s="155"/>
      <c r="AP916" s="155"/>
      <c r="AQ916" s="155"/>
      <c r="AR916" s="155"/>
      <c r="AS916" s="155"/>
      <c r="AT916" s="155"/>
      <c r="AU916" s="155"/>
      <c r="AV916" s="155"/>
      <c r="AW916" s="155"/>
      <c r="AX916" s="155"/>
      <c r="AY916" s="155"/>
      <c r="AZ916" s="155"/>
      <c r="BA916" s="155"/>
      <c r="BB916" s="155"/>
      <c r="BC916" s="155"/>
      <c r="BD916" s="155"/>
      <c r="BE916" s="155"/>
      <c r="BF916" s="155"/>
      <c r="BG916" s="155"/>
      <c r="BH916" s="155"/>
      <c r="BI916" s="155"/>
      <c r="BJ916" s="155"/>
      <c r="BK916" s="155"/>
      <c r="BL916" s="155"/>
      <c r="BM916" s="155"/>
      <c r="BN916" s="155"/>
      <c r="BO916" s="155"/>
      <c r="BP916" s="155"/>
      <c r="BQ916" s="155"/>
      <c r="BR916" s="155"/>
      <c r="BS916" s="155"/>
      <c r="BT916" s="155"/>
      <c r="BU916" s="155"/>
      <c r="BV916" s="155"/>
      <c r="BW916" s="155"/>
      <c r="BX916" s="155"/>
      <c r="BY916" s="155"/>
      <c r="BZ916" s="155"/>
      <c r="CA916" s="155"/>
      <c r="CB916" s="155"/>
      <c r="CC916" s="155"/>
      <c r="CD916" s="155"/>
      <c r="CE916" s="155"/>
      <c r="CF916" s="155"/>
      <c r="CG916" s="155"/>
    </row>
    <row r="917" spans="1:85" ht="12.75" x14ac:dyDescent="0.2">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c r="AA917" s="155"/>
      <c r="AB917" s="155"/>
      <c r="AC917" s="155"/>
      <c r="AD917" s="155"/>
      <c r="AE917" s="155"/>
      <c r="AF917" s="155"/>
      <c r="AG917" s="155"/>
      <c r="AH917" s="155"/>
      <c r="AI917" s="155"/>
      <c r="AJ917" s="155"/>
      <c r="AK917" s="155"/>
      <c r="AL917" s="155"/>
      <c r="AM917" s="155"/>
      <c r="AN917" s="155"/>
      <c r="AO917" s="155"/>
      <c r="AP917" s="155"/>
      <c r="AQ917" s="155"/>
      <c r="AR917" s="155"/>
      <c r="AS917" s="155"/>
      <c r="AT917" s="155"/>
      <c r="AU917" s="155"/>
      <c r="AV917" s="155"/>
      <c r="AW917" s="155"/>
      <c r="AX917" s="155"/>
      <c r="AY917" s="155"/>
      <c r="AZ917" s="155"/>
      <c r="BA917" s="155"/>
      <c r="BB917" s="155"/>
      <c r="BC917" s="155"/>
      <c r="BD917" s="155"/>
      <c r="BE917" s="155"/>
      <c r="BF917" s="155"/>
      <c r="BG917" s="155"/>
      <c r="BH917" s="155"/>
      <c r="BI917" s="155"/>
      <c r="BJ917" s="155"/>
      <c r="BK917" s="155"/>
      <c r="BL917" s="155"/>
      <c r="BM917" s="155"/>
      <c r="BN917" s="155"/>
      <c r="BO917" s="155"/>
      <c r="BP917" s="155"/>
      <c r="BQ917" s="155"/>
      <c r="BR917" s="155"/>
      <c r="BS917" s="155"/>
      <c r="BT917" s="155"/>
      <c r="BU917" s="155"/>
      <c r="BV917" s="155"/>
      <c r="BW917" s="155"/>
      <c r="BX917" s="155"/>
      <c r="BY917" s="155"/>
      <c r="BZ917" s="155"/>
      <c r="CA917" s="155"/>
      <c r="CB917" s="155"/>
      <c r="CC917" s="155"/>
      <c r="CD917" s="155"/>
      <c r="CE917" s="155"/>
      <c r="CF917" s="155"/>
      <c r="CG917" s="155"/>
    </row>
    <row r="918" spans="1:85" ht="12.75" x14ac:dyDescent="0.2">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c r="AA918" s="155"/>
      <c r="AB918" s="155"/>
      <c r="AC918" s="155"/>
      <c r="AD918" s="155"/>
      <c r="AE918" s="155"/>
      <c r="AF918" s="155"/>
      <c r="AG918" s="155"/>
      <c r="AH918" s="155"/>
      <c r="AI918" s="155"/>
      <c r="AJ918" s="155"/>
      <c r="AK918" s="155"/>
      <c r="AL918" s="155"/>
      <c r="AM918" s="155"/>
      <c r="AN918" s="155"/>
      <c r="AO918" s="155"/>
      <c r="AP918" s="155"/>
      <c r="AQ918" s="155"/>
      <c r="AR918" s="155"/>
      <c r="AS918" s="155"/>
      <c r="AT918" s="155"/>
      <c r="AU918" s="155"/>
      <c r="AV918" s="155"/>
      <c r="AW918" s="155"/>
      <c r="AX918" s="155"/>
      <c r="AY918" s="155"/>
      <c r="AZ918" s="155"/>
      <c r="BA918" s="155"/>
      <c r="BB918" s="155"/>
      <c r="BC918" s="155"/>
      <c r="BD918" s="155"/>
      <c r="BE918" s="155"/>
      <c r="BF918" s="155"/>
      <c r="BG918" s="155"/>
      <c r="BH918" s="155"/>
      <c r="BI918" s="155"/>
      <c r="BJ918" s="155"/>
      <c r="BK918" s="155"/>
      <c r="BL918" s="155"/>
      <c r="BM918" s="155"/>
      <c r="BN918" s="155"/>
      <c r="BO918" s="155"/>
      <c r="BP918" s="155"/>
      <c r="BQ918" s="155"/>
      <c r="BR918" s="155"/>
      <c r="BS918" s="155"/>
      <c r="BT918" s="155"/>
      <c r="BU918" s="155"/>
      <c r="BV918" s="155"/>
      <c r="BW918" s="155"/>
      <c r="BX918" s="155"/>
      <c r="BY918" s="155"/>
      <c r="BZ918" s="155"/>
      <c r="CA918" s="155"/>
      <c r="CB918" s="155"/>
      <c r="CC918" s="155"/>
      <c r="CD918" s="155"/>
      <c r="CE918" s="155"/>
      <c r="CF918" s="155"/>
      <c r="CG918" s="155"/>
    </row>
    <row r="919" spans="1:85" ht="12.75" x14ac:dyDescent="0.2">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c r="AA919" s="155"/>
      <c r="AB919" s="155"/>
      <c r="AC919" s="155"/>
      <c r="AD919" s="155"/>
      <c r="AE919" s="155"/>
      <c r="AF919" s="155"/>
      <c r="AG919" s="155"/>
      <c r="AH919" s="155"/>
      <c r="AI919" s="155"/>
      <c r="AJ919" s="155"/>
      <c r="AK919" s="155"/>
      <c r="AL919" s="155"/>
      <c r="AM919" s="155"/>
      <c r="AN919" s="155"/>
      <c r="AO919" s="155"/>
      <c r="AP919" s="155"/>
      <c r="AQ919" s="155"/>
      <c r="AR919" s="155"/>
      <c r="AS919" s="155"/>
      <c r="AT919" s="155"/>
      <c r="AU919" s="155"/>
      <c r="AV919" s="155"/>
      <c r="AW919" s="155"/>
      <c r="AX919" s="155"/>
      <c r="AY919" s="155"/>
      <c r="AZ919" s="155"/>
      <c r="BA919" s="155"/>
      <c r="BB919" s="155"/>
      <c r="BC919" s="155"/>
      <c r="BD919" s="155"/>
      <c r="BE919" s="155"/>
      <c r="BF919" s="155"/>
      <c r="BG919" s="155"/>
      <c r="BH919" s="155"/>
      <c r="BI919" s="155"/>
      <c r="BJ919" s="155"/>
      <c r="BK919" s="155"/>
      <c r="BL919" s="155"/>
      <c r="BM919" s="155"/>
      <c r="BN919" s="155"/>
      <c r="BO919" s="155"/>
      <c r="BP919" s="155"/>
      <c r="BQ919" s="155"/>
      <c r="BR919" s="155"/>
      <c r="BS919" s="155"/>
      <c r="BT919" s="155"/>
      <c r="BU919" s="155"/>
      <c r="BV919" s="155"/>
      <c r="BW919" s="155"/>
      <c r="BX919" s="155"/>
      <c r="BY919" s="155"/>
      <c r="BZ919" s="155"/>
      <c r="CA919" s="155"/>
      <c r="CB919" s="155"/>
      <c r="CC919" s="155"/>
      <c r="CD919" s="155"/>
      <c r="CE919" s="155"/>
      <c r="CF919" s="155"/>
      <c r="CG919" s="155"/>
    </row>
    <row r="920" spans="1:85" ht="12.75" x14ac:dyDescent="0.2">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c r="AA920" s="155"/>
      <c r="AB920" s="155"/>
      <c r="AC920" s="155"/>
      <c r="AD920" s="155"/>
      <c r="AE920" s="155"/>
      <c r="AF920" s="155"/>
      <c r="AG920" s="155"/>
      <c r="AH920" s="155"/>
      <c r="AI920" s="155"/>
      <c r="AJ920" s="155"/>
      <c r="AK920" s="155"/>
      <c r="AL920" s="155"/>
      <c r="AM920" s="155"/>
      <c r="AN920" s="155"/>
      <c r="AO920" s="155"/>
      <c r="AP920" s="155"/>
      <c r="AQ920" s="155"/>
      <c r="AR920" s="155"/>
      <c r="AS920" s="155"/>
      <c r="AT920" s="155"/>
      <c r="AU920" s="155"/>
      <c r="AV920" s="155"/>
      <c r="AW920" s="155"/>
      <c r="AX920" s="155"/>
      <c r="AY920" s="155"/>
      <c r="AZ920" s="155"/>
      <c r="BA920" s="155"/>
      <c r="BB920" s="155"/>
      <c r="BC920" s="155"/>
      <c r="BD920" s="155"/>
      <c r="BE920" s="155"/>
      <c r="BF920" s="155"/>
      <c r="BG920" s="155"/>
      <c r="BH920" s="155"/>
      <c r="BI920" s="155"/>
      <c r="BJ920" s="155"/>
      <c r="BK920" s="155"/>
      <c r="BL920" s="155"/>
      <c r="BM920" s="155"/>
      <c r="BN920" s="155"/>
      <c r="BO920" s="155"/>
      <c r="BP920" s="155"/>
      <c r="BQ920" s="155"/>
      <c r="BR920" s="155"/>
      <c r="BS920" s="155"/>
      <c r="BT920" s="155"/>
      <c r="BU920" s="155"/>
      <c r="BV920" s="155"/>
      <c r="BW920" s="155"/>
      <c r="BX920" s="155"/>
      <c r="BY920" s="155"/>
      <c r="BZ920" s="155"/>
      <c r="CA920" s="155"/>
      <c r="CB920" s="155"/>
      <c r="CC920" s="155"/>
      <c r="CD920" s="155"/>
      <c r="CE920" s="155"/>
      <c r="CF920" s="155"/>
      <c r="CG920" s="155"/>
    </row>
    <row r="921" spans="1:85" ht="12.75" x14ac:dyDescent="0.2">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c r="AA921" s="155"/>
      <c r="AB921" s="155"/>
      <c r="AC921" s="155"/>
      <c r="AD921" s="155"/>
      <c r="AE921" s="155"/>
      <c r="AF921" s="155"/>
      <c r="AG921" s="155"/>
      <c r="AH921" s="155"/>
      <c r="AI921" s="155"/>
      <c r="AJ921" s="155"/>
      <c r="AK921" s="155"/>
      <c r="AL921" s="155"/>
      <c r="AM921" s="155"/>
      <c r="AN921" s="155"/>
      <c r="AO921" s="155"/>
      <c r="AP921" s="155"/>
      <c r="AQ921" s="155"/>
      <c r="AR921" s="155"/>
      <c r="AS921" s="155"/>
      <c r="AT921" s="155"/>
      <c r="AU921" s="155"/>
      <c r="AV921" s="155"/>
      <c r="AW921" s="155"/>
      <c r="AX921" s="155"/>
      <c r="AY921" s="155"/>
      <c r="AZ921" s="155"/>
      <c r="BA921" s="155"/>
      <c r="BB921" s="155"/>
      <c r="BC921" s="155"/>
      <c r="BD921" s="155"/>
      <c r="BE921" s="155"/>
      <c r="BF921" s="155"/>
      <c r="BG921" s="155"/>
      <c r="BH921" s="155"/>
      <c r="BI921" s="155"/>
      <c r="BJ921" s="155"/>
      <c r="BK921" s="155"/>
      <c r="BL921" s="155"/>
      <c r="BM921" s="155"/>
      <c r="BN921" s="155"/>
      <c r="BO921" s="155"/>
      <c r="BP921" s="155"/>
      <c r="BQ921" s="155"/>
      <c r="BR921" s="155"/>
      <c r="BS921" s="155"/>
      <c r="BT921" s="155"/>
      <c r="BU921" s="155"/>
      <c r="BV921" s="155"/>
      <c r="BW921" s="155"/>
      <c r="BX921" s="155"/>
      <c r="BY921" s="155"/>
      <c r="BZ921" s="155"/>
      <c r="CA921" s="155"/>
      <c r="CB921" s="155"/>
      <c r="CC921" s="155"/>
      <c r="CD921" s="155"/>
      <c r="CE921" s="155"/>
      <c r="CF921" s="155"/>
      <c r="CG921" s="155"/>
    </row>
    <row r="922" spans="1:85" ht="12.75" x14ac:dyDescent="0.2">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c r="AA922" s="155"/>
      <c r="AB922" s="155"/>
      <c r="AC922" s="155"/>
      <c r="AD922" s="155"/>
      <c r="AE922" s="155"/>
      <c r="AF922" s="155"/>
      <c r="AG922" s="155"/>
      <c r="AH922" s="155"/>
      <c r="AI922" s="155"/>
      <c r="AJ922" s="155"/>
      <c r="AK922" s="155"/>
      <c r="AL922" s="155"/>
      <c r="AM922" s="155"/>
      <c r="AN922" s="155"/>
      <c r="AO922" s="155"/>
      <c r="AP922" s="155"/>
      <c r="AQ922" s="155"/>
      <c r="AR922" s="155"/>
      <c r="AS922" s="155"/>
      <c r="AT922" s="155"/>
      <c r="AU922" s="155"/>
      <c r="AV922" s="155"/>
      <c r="AW922" s="155"/>
      <c r="AX922" s="155"/>
      <c r="AY922" s="155"/>
      <c r="AZ922" s="155"/>
      <c r="BA922" s="155"/>
      <c r="BB922" s="155"/>
      <c r="BC922" s="155"/>
      <c r="BD922" s="155"/>
      <c r="BE922" s="155"/>
      <c r="BF922" s="155"/>
      <c r="BG922" s="155"/>
      <c r="BH922" s="155"/>
      <c r="BI922" s="155"/>
      <c r="BJ922" s="155"/>
      <c r="BK922" s="155"/>
      <c r="BL922" s="155"/>
      <c r="BM922" s="155"/>
      <c r="BN922" s="155"/>
      <c r="BO922" s="155"/>
      <c r="BP922" s="155"/>
      <c r="BQ922" s="155"/>
      <c r="BR922" s="155"/>
      <c r="BS922" s="155"/>
      <c r="BT922" s="155"/>
      <c r="BU922" s="155"/>
      <c r="BV922" s="155"/>
      <c r="BW922" s="155"/>
      <c r="BX922" s="155"/>
      <c r="BY922" s="155"/>
      <c r="BZ922" s="155"/>
      <c r="CA922" s="155"/>
      <c r="CB922" s="155"/>
      <c r="CC922" s="155"/>
      <c r="CD922" s="155"/>
      <c r="CE922" s="155"/>
      <c r="CF922" s="155"/>
      <c r="CG922" s="155"/>
    </row>
    <row r="923" spans="1:85" ht="12.75" x14ac:dyDescent="0.2">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c r="AA923" s="155"/>
      <c r="AB923" s="155"/>
      <c r="AC923" s="155"/>
      <c r="AD923" s="155"/>
      <c r="AE923" s="155"/>
      <c r="AF923" s="155"/>
      <c r="AG923" s="155"/>
      <c r="AH923" s="155"/>
      <c r="AI923" s="155"/>
      <c r="AJ923" s="155"/>
      <c r="AK923" s="155"/>
      <c r="AL923" s="155"/>
      <c r="AM923" s="155"/>
      <c r="AN923" s="155"/>
      <c r="AO923" s="155"/>
      <c r="AP923" s="155"/>
      <c r="AQ923" s="155"/>
      <c r="AR923" s="155"/>
      <c r="AS923" s="155"/>
      <c r="AT923" s="155"/>
      <c r="AU923" s="155"/>
      <c r="AV923" s="155"/>
      <c r="AW923" s="155"/>
      <c r="AX923" s="155"/>
      <c r="AY923" s="155"/>
      <c r="AZ923" s="155"/>
      <c r="BA923" s="155"/>
      <c r="BB923" s="155"/>
      <c r="BC923" s="155"/>
      <c r="BD923" s="155"/>
      <c r="BE923" s="155"/>
      <c r="BF923" s="155"/>
      <c r="BG923" s="155"/>
      <c r="BH923" s="155"/>
      <c r="BI923" s="155"/>
      <c r="BJ923" s="155"/>
      <c r="BK923" s="155"/>
      <c r="BL923" s="155"/>
      <c r="BM923" s="155"/>
      <c r="BN923" s="155"/>
      <c r="BO923" s="155"/>
      <c r="BP923" s="155"/>
      <c r="BQ923" s="155"/>
      <c r="BR923" s="155"/>
      <c r="BS923" s="155"/>
      <c r="BT923" s="155"/>
      <c r="BU923" s="155"/>
      <c r="BV923" s="155"/>
      <c r="BW923" s="155"/>
      <c r="BX923" s="155"/>
      <c r="BY923" s="155"/>
      <c r="BZ923" s="155"/>
      <c r="CA923" s="155"/>
      <c r="CB923" s="155"/>
      <c r="CC923" s="155"/>
      <c r="CD923" s="155"/>
      <c r="CE923" s="155"/>
      <c r="CF923" s="155"/>
      <c r="CG923" s="155"/>
    </row>
    <row r="924" spans="1:85" ht="12.75" x14ac:dyDescent="0.2">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c r="AA924" s="155"/>
      <c r="AB924" s="155"/>
      <c r="AC924" s="155"/>
      <c r="AD924" s="155"/>
      <c r="AE924" s="155"/>
      <c r="AF924" s="155"/>
      <c r="AG924" s="155"/>
      <c r="AH924" s="155"/>
      <c r="AI924" s="155"/>
      <c r="AJ924" s="155"/>
      <c r="AK924" s="155"/>
      <c r="AL924" s="155"/>
      <c r="AM924" s="155"/>
      <c r="AN924" s="155"/>
      <c r="AO924" s="155"/>
      <c r="AP924" s="155"/>
      <c r="AQ924" s="155"/>
      <c r="AR924" s="155"/>
      <c r="AS924" s="155"/>
      <c r="AT924" s="155"/>
      <c r="AU924" s="155"/>
      <c r="AV924" s="155"/>
      <c r="AW924" s="155"/>
      <c r="AX924" s="155"/>
      <c r="AY924" s="155"/>
      <c r="AZ924" s="155"/>
      <c r="BA924" s="155"/>
      <c r="BB924" s="155"/>
      <c r="BC924" s="155"/>
      <c r="BD924" s="155"/>
      <c r="BE924" s="155"/>
      <c r="BF924" s="155"/>
      <c r="BG924" s="155"/>
      <c r="BH924" s="155"/>
      <c r="BI924" s="155"/>
      <c r="BJ924" s="155"/>
      <c r="BK924" s="155"/>
      <c r="BL924" s="155"/>
      <c r="BM924" s="155"/>
      <c r="BN924" s="155"/>
      <c r="BO924" s="155"/>
      <c r="BP924" s="155"/>
      <c r="BQ924" s="155"/>
      <c r="BR924" s="155"/>
      <c r="BS924" s="155"/>
      <c r="BT924" s="155"/>
      <c r="BU924" s="155"/>
      <c r="BV924" s="155"/>
      <c r="BW924" s="155"/>
      <c r="BX924" s="155"/>
      <c r="BY924" s="155"/>
      <c r="BZ924" s="155"/>
      <c r="CA924" s="155"/>
      <c r="CB924" s="155"/>
      <c r="CC924" s="155"/>
      <c r="CD924" s="155"/>
      <c r="CE924" s="155"/>
      <c r="CF924" s="155"/>
      <c r="CG924" s="155"/>
    </row>
    <row r="925" spans="1:85" ht="12.75" x14ac:dyDescent="0.2">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c r="AA925" s="155"/>
      <c r="AB925" s="155"/>
      <c r="AC925" s="155"/>
      <c r="AD925" s="155"/>
      <c r="AE925" s="155"/>
      <c r="AF925" s="155"/>
      <c r="AG925" s="155"/>
      <c r="AH925" s="155"/>
      <c r="AI925" s="155"/>
      <c r="AJ925" s="155"/>
      <c r="AK925" s="155"/>
      <c r="AL925" s="155"/>
      <c r="AM925" s="155"/>
      <c r="AN925" s="155"/>
      <c r="AO925" s="155"/>
      <c r="AP925" s="155"/>
      <c r="AQ925" s="155"/>
      <c r="AR925" s="155"/>
      <c r="AS925" s="155"/>
      <c r="AT925" s="155"/>
      <c r="AU925" s="155"/>
      <c r="AV925" s="155"/>
      <c r="AW925" s="155"/>
      <c r="AX925" s="155"/>
      <c r="AY925" s="155"/>
      <c r="AZ925" s="155"/>
      <c r="BA925" s="155"/>
      <c r="BB925" s="155"/>
      <c r="BC925" s="155"/>
      <c r="BD925" s="155"/>
      <c r="BE925" s="155"/>
      <c r="BF925" s="155"/>
      <c r="BG925" s="155"/>
      <c r="BH925" s="155"/>
      <c r="BI925" s="155"/>
      <c r="BJ925" s="155"/>
      <c r="BK925" s="155"/>
      <c r="BL925" s="155"/>
      <c r="BM925" s="155"/>
      <c r="BN925" s="155"/>
      <c r="BO925" s="155"/>
      <c r="BP925" s="155"/>
      <c r="BQ925" s="155"/>
      <c r="BR925" s="155"/>
      <c r="BS925" s="155"/>
      <c r="BT925" s="155"/>
      <c r="BU925" s="155"/>
      <c r="BV925" s="155"/>
      <c r="BW925" s="155"/>
      <c r="BX925" s="155"/>
      <c r="BY925" s="155"/>
      <c r="BZ925" s="155"/>
      <c r="CA925" s="155"/>
      <c r="CB925" s="155"/>
      <c r="CC925" s="155"/>
      <c r="CD925" s="155"/>
      <c r="CE925" s="155"/>
      <c r="CF925" s="155"/>
      <c r="CG925" s="155"/>
    </row>
    <row r="926" spans="1:85" ht="12.75" x14ac:dyDescent="0.2">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c r="AA926" s="155"/>
      <c r="AB926" s="155"/>
      <c r="AC926" s="155"/>
      <c r="AD926" s="155"/>
      <c r="AE926" s="155"/>
      <c r="AF926" s="155"/>
      <c r="AG926" s="155"/>
      <c r="AH926" s="155"/>
      <c r="AI926" s="155"/>
      <c r="AJ926" s="155"/>
      <c r="AK926" s="155"/>
      <c r="AL926" s="155"/>
      <c r="AM926" s="155"/>
      <c r="AN926" s="155"/>
      <c r="AO926" s="155"/>
      <c r="AP926" s="155"/>
      <c r="AQ926" s="155"/>
      <c r="AR926" s="155"/>
      <c r="AS926" s="155"/>
      <c r="AT926" s="155"/>
      <c r="AU926" s="155"/>
      <c r="AV926" s="155"/>
      <c r="AW926" s="155"/>
      <c r="AX926" s="155"/>
      <c r="AY926" s="155"/>
      <c r="AZ926" s="155"/>
      <c r="BA926" s="155"/>
      <c r="BB926" s="155"/>
      <c r="BC926" s="155"/>
      <c r="BD926" s="155"/>
      <c r="BE926" s="155"/>
      <c r="BF926" s="155"/>
      <c r="BG926" s="155"/>
      <c r="BH926" s="155"/>
      <c r="BI926" s="155"/>
      <c r="BJ926" s="155"/>
      <c r="BK926" s="155"/>
      <c r="BL926" s="155"/>
      <c r="BM926" s="155"/>
      <c r="BN926" s="155"/>
      <c r="BO926" s="155"/>
      <c r="BP926" s="155"/>
      <c r="BQ926" s="155"/>
      <c r="BR926" s="155"/>
      <c r="BS926" s="155"/>
      <c r="BT926" s="155"/>
      <c r="BU926" s="155"/>
      <c r="BV926" s="155"/>
      <c r="BW926" s="155"/>
      <c r="BX926" s="155"/>
      <c r="BY926" s="155"/>
      <c r="BZ926" s="155"/>
      <c r="CA926" s="155"/>
      <c r="CB926" s="155"/>
      <c r="CC926" s="155"/>
      <c r="CD926" s="155"/>
      <c r="CE926" s="155"/>
      <c r="CF926" s="155"/>
      <c r="CG926" s="155"/>
    </row>
    <row r="927" spans="1:85" ht="12.75" x14ac:dyDescent="0.2">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c r="AA927" s="155"/>
      <c r="AB927" s="155"/>
      <c r="AC927" s="155"/>
      <c r="AD927" s="155"/>
      <c r="AE927" s="155"/>
      <c r="AF927" s="155"/>
      <c r="AG927" s="155"/>
      <c r="AH927" s="155"/>
      <c r="AI927" s="155"/>
      <c r="AJ927" s="155"/>
      <c r="AK927" s="155"/>
      <c r="AL927" s="155"/>
      <c r="AM927" s="155"/>
      <c r="AN927" s="155"/>
      <c r="AO927" s="155"/>
      <c r="AP927" s="155"/>
      <c r="AQ927" s="155"/>
      <c r="AR927" s="155"/>
      <c r="AS927" s="155"/>
      <c r="AT927" s="155"/>
      <c r="AU927" s="155"/>
      <c r="AV927" s="155"/>
      <c r="AW927" s="155"/>
      <c r="AX927" s="155"/>
      <c r="AY927" s="155"/>
      <c r="AZ927" s="155"/>
      <c r="BA927" s="155"/>
      <c r="BB927" s="155"/>
      <c r="BC927" s="155"/>
      <c r="BD927" s="155"/>
      <c r="BE927" s="155"/>
      <c r="BF927" s="155"/>
      <c r="BG927" s="155"/>
      <c r="BH927" s="155"/>
      <c r="BI927" s="155"/>
      <c r="BJ927" s="155"/>
      <c r="BK927" s="155"/>
      <c r="BL927" s="155"/>
      <c r="BM927" s="155"/>
      <c r="BN927" s="155"/>
      <c r="BO927" s="155"/>
      <c r="BP927" s="155"/>
      <c r="BQ927" s="155"/>
      <c r="BR927" s="155"/>
      <c r="BS927" s="155"/>
      <c r="BT927" s="155"/>
      <c r="BU927" s="155"/>
      <c r="BV927" s="155"/>
      <c r="BW927" s="155"/>
      <c r="BX927" s="155"/>
      <c r="BY927" s="155"/>
      <c r="BZ927" s="155"/>
      <c r="CA927" s="155"/>
      <c r="CB927" s="155"/>
      <c r="CC927" s="155"/>
      <c r="CD927" s="155"/>
      <c r="CE927" s="155"/>
      <c r="CF927" s="155"/>
      <c r="CG927" s="155"/>
    </row>
    <row r="928" spans="1:85" ht="12.75" x14ac:dyDescent="0.2">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c r="AA928" s="155"/>
      <c r="AB928" s="155"/>
      <c r="AC928" s="155"/>
      <c r="AD928" s="155"/>
      <c r="AE928" s="155"/>
      <c r="AF928" s="155"/>
      <c r="AG928" s="155"/>
      <c r="AH928" s="155"/>
      <c r="AI928" s="155"/>
      <c r="AJ928" s="155"/>
      <c r="AK928" s="155"/>
      <c r="AL928" s="155"/>
      <c r="AM928" s="155"/>
      <c r="AN928" s="155"/>
      <c r="AO928" s="155"/>
      <c r="AP928" s="155"/>
      <c r="AQ928" s="155"/>
      <c r="AR928" s="155"/>
      <c r="AS928" s="155"/>
      <c r="AT928" s="155"/>
      <c r="AU928" s="155"/>
      <c r="AV928" s="155"/>
      <c r="AW928" s="155"/>
      <c r="AX928" s="155"/>
      <c r="AY928" s="155"/>
      <c r="AZ928" s="155"/>
      <c r="BA928" s="155"/>
      <c r="BB928" s="155"/>
      <c r="BC928" s="155"/>
      <c r="BD928" s="155"/>
      <c r="BE928" s="155"/>
      <c r="BF928" s="155"/>
      <c r="BG928" s="155"/>
      <c r="BH928" s="155"/>
      <c r="BI928" s="155"/>
      <c r="BJ928" s="155"/>
      <c r="BK928" s="155"/>
      <c r="BL928" s="155"/>
      <c r="BM928" s="155"/>
      <c r="BN928" s="155"/>
      <c r="BO928" s="155"/>
      <c r="BP928" s="155"/>
      <c r="BQ928" s="155"/>
      <c r="BR928" s="155"/>
      <c r="BS928" s="155"/>
      <c r="BT928" s="155"/>
      <c r="BU928" s="155"/>
      <c r="BV928" s="155"/>
      <c r="BW928" s="155"/>
      <c r="BX928" s="155"/>
      <c r="BY928" s="155"/>
      <c r="BZ928" s="155"/>
      <c r="CA928" s="155"/>
      <c r="CB928" s="155"/>
      <c r="CC928" s="155"/>
      <c r="CD928" s="155"/>
      <c r="CE928" s="155"/>
      <c r="CF928" s="155"/>
      <c r="CG928" s="155"/>
    </row>
    <row r="929" spans="1:85" ht="12.75" x14ac:dyDescent="0.2">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c r="AA929" s="155"/>
      <c r="AB929" s="155"/>
      <c r="AC929" s="155"/>
      <c r="AD929" s="155"/>
      <c r="AE929" s="155"/>
      <c r="AF929" s="155"/>
      <c r="AG929" s="155"/>
      <c r="AH929" s="155"/>
      <c r="AI929" s="155"/>
      <c r="AJ929" s="155"/>
      <c r="AK929" s="155"/>
      <c r="AL929" s="155"/>
      <c r="AM929" s="155"/>
      <c r="AN929" s="155"/>
      <c r="AO929" s="155"/>
      <c r="AP929" s="155"/>
      <c r="AQ929" s="155"/>
      <c r="AR929" s="155"/>
      <c r="AS929" s="155"/>
      <c r="AT929" s="155"/>
      <c r="AU929" s="155"/>
      <c r="AV929" s="155"/>
      <c r="AW929" s="155"/>
      <c r="AX929" s="155"/>
      <c r="AY929" s="155"/>
      <c r="AZ929" s="155"/>
      <c r="BA929" s="155"/>
      <c r="BB929" s="155"/>
      <c r="BC929" s="155"/>
      <c r="BD929" s="155"/>
      <c r="BE929" s="155"/>
      <c r="BF929" s="155"/>
      <c r="BG929" s="155"/>
      <c r="BH929" s="155"/>
      <c r="BI929" s="155"/>
      <c r="BJ929" s="155"/>
      <c r="BK929" s="155"/>
      <c r="BL929" s="155"/>
      <c r="BM929" s="155"/>
      <c r="BN929" s="155"/>
      <c r="BO929" s="155"/>
      <c r="BP929" s="155"/>
      <c r="BQ929" s="155"/>
      <c r="BR929" s="155"/>
      <c r="BS929" s="155"/>
      <c r="BT929" s="155"/>
      <c r="BU929" s="155"/>
      <c r="BV929" s="155"/>
      <c r="BW929" s="155"/>
      <c r="BX929" s="155"/>
      <c r="BY929" s="155"/>
      <c r="BZ929" s="155"/>
      <c r="CA929" s="155"/>
      <c r="CB929" s="155"/>
      <c r="CC929" s="155"/>
      <c r="CD929" s="155"/>
      <c r="CE929" s="155"/>
      <c r="CF929" s="155"/>
      <c r="CG929" s="155"/>
    </row>
    <row r="930" spans="1:85" ht="12.75" x14ac:dyDescent="0.2">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c r="AA930" s="155"/>
      <c r="AB930" s="155"/>
      <c r="AC930" s="155"/>
      <c r="AD930" s="155"/>
      <c r="AE930" s="155"/>
      <c r="AF930" s="155"/>
      <c r="AG930" s="155"/>
      <c r="AH930" s="155"/>
      <c r="AI930" s="155"/>
      <c r="AJ930" s="155"/>
      <c r="AK930" s="155"/>
      <c r="AL930" s="155"/>
      <c r="AM930" s="155"/>
      <c r="AN930" s="155"/>
      <c r="AO930" s="155"/>
      <c r="AP930" s="155"/>
      <c r="AQ930" s="155"/>
      <c r="AR930" s="155"/>
      <c r="AS930" s="155"/>
      <c r="AT930" s="155"/>
      <c r="AU930" s="155"/>
      <c r="AV930" s="155"/>
      <c r="AW930" s="155"/>
      <c r="AX930" s="155"/>
      <c r="AY930" s="155"/>
      <c r="AZ930" s="155"/>
      <c r="BA930" s="155"/>
      <c r="BB930" s="155"/>
      <c r="BC930" s="155"/>
      <c r="BD930" s="155"/>
      <c r="BE930" s="155"/>
      <c r="BF930" s="155"/>
      <c r="BG930" s="155"/>
      <c r="BH930" s="155"/>
      <c r="BI930" s="155"/>
      <c r="BJ930" s="155"/>
      <c r="BK930" s="155"/>
      <c r="BL930" s="155"/>
      <c r="BM930" s="155"/>
      <c r="BN930" s="155"/>
      <c r="BO930" s="155"/>
      <c r="BP930" s="155"/>
      <c r="BQ930" s="155"/>
      <c r="BR930" s="155"/>
      <c r="BS930" s="155"/>
      <c r="BT930" s="155"/>
      <c r="BU930" s="155"/>
      <c r="BV930" s="155"/>
      <c r="BW930" s="155"/>
      <c r="BX930" s="155"/>
      <c r="BY930" s="155"/>
      <c r="BZ930" s="155"/>
      <c r="CA930" s="155"/>
      <c r="CB930" s="155"/>
      <c r="CC930" s="155"/>
      <c r="CD930" s="155"/>
      <c r="CE930" s="155"/>
      <c r="CF930" s="155"/>
      <c r="CG930" s="155"/>
    </row>
    <row r="931" spans="1:85" ht="12.75" x14ac:dyDescent="0.2">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c r="AA931" s="155"/>
      <c r="AB931" s="155"/>
      <c r="AC931" s="155"/>
      <c r="AD931" s="155"/>
      <c r="AE931" s="155"/>
      <c r="AF931" s="155"/>
      <c r="AG931" s="155"/>
      <c r="AH931" s="155"/>
      <c r="AI931" s="155"/>
      <c r="AJ931" s="155"/>
      <c r="AK931" s="155"/>
      <c r="AL931" s="155"/>
      <c r="AM931" s="155"/>
      <c r="AN931" s="155"/>
      <c r="AO931" s="155"/>
      <c r="AP931" s="155"/>
      <c r="AQ931" s="155"/>
      <c r="AR931" s="155"/>
      <c r="AS931" s="155"/>
      <c r="AT931" s="155"/>
      <c r="AU931" s="155"/>
      <c r="AV931" s="155"/>
      <c r="AW931" s="155"/>
      <c r="AX931" s="155"/>
      <c r="AY931" s="155"/>
      <c r="AZ931" s="155"/>
      <c r="BA931" s="155"/>
      <c r="BB931" s="155"/>
      <c r="BC931" s="155"/>
      <c r="BD931" s="155"/>
      <c r="BE931" s="155"/>
      <c r="BF931" s="155"/>
      <c r="BG931" s="155"/>
      <c r="BH931" s="155"/>
      <c r="BI931" s="155"/>
      <c r="BJ931" s="155"/>
      <c r="BK931" s="155"/>
      <c r="BL931" s="155"/>
      <c r="BM931" s="155"/>
      <c r="BN931" s="155"/>
      <c r="BO931" s="155"/>
      <c r="BP931" s="155"/>
      <c r="BQ931" s="155"/>
      <c r="BR931" s="155"/>
      <c r="BS931" s="155"/>
      <c r="BT931" s="155"/>
      <c r="BU931" s="155"/>
      <c r="BV931" s="155"/>
      <c r="BW931" s="155"/>
      <c r="BX931" s="155"/>
      <c r="BY931" s="155"/>
      <c r="BZ931" s="155"/>
      <c r="CA931" s="155"/>
      <c r="CB931" s="155"/>
      <c r="CC931" s="155"/>
      <c r="CD931" s="155"/>
      <c r="CE931" s="155"/>
      <c r="CF931" s="155"/>
      <c r="CG931" s="155"/>
    </row>
    <row r="932" spans="1:85" ht="12.75" x14ac:dyDescent="0.2">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c r="AA932" s="155"/>
      <c r="AB932" s="155"/>
      <c r="AC932" s="155"/>
      <c r="AD932" s="155"/>
      <c r="AE932" s="155"/>
      <c r="AF932" s="155"/>
      <c r="AG932" s="155"/>
      <c r="AH932" s="155"/>
      <c r="AI932" s="155"/>
      <c r="AJ932" s="155"/>
      <c r="AK932" s="155"/>
      <c r="AL932" s="155"/>
      <c r="AM932" s="155"/>
      <c r="AN932" s="155"/>
      <c r="AO932" s="155"/>
      <c r="AP932" s="155"/>
      <c r="AQ932" s="155"/>
      <c r="AR932" s="155"/>
      <c r="AS932" s="155"/>
      <c r="AT932" s="155"/>
      <c r="AU932" s="155"/>
      <c r="AV932" s="155"/>
      <c r="AW932" s="155"/>
      <c r="AX932" s="155"/>
      <c r="AY932" s="155"/>
      <c r="AZ932" s="155"/>
      <c r="BA932" s="155"/>
      <c r="BB932" s="155"/>
      <c r="BC932" s="155"/>
      <c r="BD932" s="155"/>
      <c r="BE932" s="155"/>
      <c r="BF932" s="155"/>
      <c r="BG932" s="155"/>
      <c r="BH932" s="155"/>
      <c r="BI932" s="155"/>
      <c r="BJ932" s="155"/>
      <c r="BK932" s="155"/>
      <c r="BL932" s="155"/>
      <c r="BM932" s="155"/>
      <c r="BN932" s="155"/>
      <c r="BO932" s="155"/>
      <c r="BP932" s="155"/>
      <c r="BQ932" s="155"/>
      <c r="BR932" s="155"/>
      <c r="BS932" s="155"/>
      <c r="BT932" s="155"/>
      <c r="BU932" s="155"/>
      <c r="BV932" s="155"/>
      <c r="BW932" s="155"/>
      <c r="BX932" s="155"/>
      <c r="BY932" s="155"/>
      <c r="BZ932" s="155"/>
      <c r="CA932" s="155"/>
      <c r="CB932" s="155"/>
      <c r="CC932" s="155"/>
      <c r="CD932" s="155"/>
      <c r="CE932" s="155"/>
      <c r="CF932" s="155"/>
      <c r="CG932" s="155"/>
    </row>
    <row r="933" spans="1:85" ht="12.75" x14ac:dyDescent="0.2">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c r="AA933" s="155"/>
      <c r="AB933" s="155"/>
      <c r="AC933" s="155"/>
      <c r="AD933" s="155"/>
      <c r="AE933" s="155"/>
      <c r="AF933" s="155"/>
      <c r="AG933" s="155"/>
      <c r="AH933" s="155"/>
      <c r="AI933" s="155"/>
      <c r="AJ933" s="155"/>
      <c r="AK933" s="155"/>
      <c r="AL933" s="155"/>
      <c r="AM933" s="155"/>
      <c r="AN933" s="155"/>
      <c r="AO933" s="155"/>
      <c r="AP933" s="155"/>
      <c r="AQ933" s="155"/>
      <c r="AR933" s="155"/>
      <c r="AS933" s="155"/>
      <c r="AT933" s="155"/>
      <c r="AU933" s="155"/>
      <c r="AV933" s="155"/>
      <c r="AW933" s="155"/>
      <c r="AX933" s="155"/>
      <c r="AY933" s="155"/>
      <c r="AZ933" s="155"/>
      <c r="BA933" s="155"/>
      <c r="BB933" s="155"/>
      <c r="BC933" s="155"/>
      <c r="BD933" s="155"/>
      <c r="BE933" s="155"/>
      <c r="BF933" s="155"/>
      <c r="BG933" s="155"/>
      <c r="BH933" s="155"/>
      <c r="BI933" s="155"/>
      <c r="BJ933" s="155"/>
      <c r="BK933" s="155"/>
      <c r="BL933" s="155"/>
      <c r="BM933" s="155"/>
      <c r="BN933" s="155"/>
      <c r="BO933" s="155"/>
      <c r="BP933" s="155"/>
      <c r="BQ933" s="155"/>
      <c r="BR933" s="155"/>
      <c r="BS933" s="155"/>
      <c r="BT933" s="155"/>
      <c r="BU933" s="155"/>
      <c r="BV933" s="155"/>
      <c r="BW933" s="155"/>
      <c r="BX933" s="155"/>
      <c r="BY933" s="155"/>
      <c r="BZ933" s="155"/>
      <c r="CA933" s="155"/>
      <c r="CB933" s="155"/>
      <c r="CC933" s="155"/>
      <c r="CD933" s="155"/>
      <c r="CE933" s="155"/>
      <c r="CF933" s="155"/>
      <c r="CG933" s="155"/>
    </row>
    <row r="934" spans="1:85" ht="12.75" x14ac:dyDescent="0.2">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c r="AA934" s="155"/>
      <c r="AB934" s="155"/>
      <c r="AC934" s="155"/>
      <c r="AD934" s="155"/>
      <c r="AE934" s="155"/>
      <c r="AF934" s="155"/>
      <c r="AG934" s="155"/>
      <c r="AH934" s="155"/>
      <c r="AI934" s="155"/>
      <c r="AJ934" s="155"/>
      <c r="AK934" s="155"/>
      <c r="AL934" s="155"/>
      <c r="AM934" s="155"/>
      <c r="AN934" s="155"/>
      <c r="AO934" s="155"/>
      <c r="AP934" s="155"/>
      <c r="AQ934" s="155"/>
      <c r="AR934" s="155"/>
      <c r="AS934" s="155"/>
      <c r="AT934" s="155"/>
      <c r="AU934" s="155"/>
      <c r="AV934" s="155"/>
      <c r="AW934" s="155"/>
      <c r="AX934" s="155"/>
      <c r="AY934" s="155"/>
      <c r="AZ934" s="155"/>
      <c r="BA934" s="155"/>
      <c r="BB934" s="155"/>
      <c r="BC934" s="155"/>
      <c r="BD934" s="155"/>
      <c r="BE934" s="155"/>
      <c r="BF934" s="155"/>
      <c r="BG934" s="155"/>
      <c r="BH934" s="155"/>
      <c r="BI934" s="155"/>
      <c r="BJ934" s="155"/>
      <c r="BK934" s="155"/>
      <c r="BL934" s="155"/>
      <c r="BM934" s="155"/>
      <c r="BN934" s="155"/>
      <c r="BO934" s="155"/>
      <c r="BP934" s="155"/>
      <c r="BQ934" s="155"/>
      <c r="BR934" s="155"/>
      <c r="BS934" s="155"/>
      <c r="BT934" s="155"/>
      <c r="BU934" s="155"/>
      <c r="BV934" s="155"/>
      <c r="BW934" s="155"/>
      <c r="BX934" s="155"/>
      <c r="BY934" s="155"/>
      <c r="BZ934" s="155"/>
      <c r="CA934" s="155"/>
      <c r="CB934" s="155"/>
      <c r="CC934" s="155"/>
      <c r="CD934" s="155"/>
      <c r="CE934" s="155"/>
      <c r="CF934" s="155"/>
      <c r="CG934" s="155"/>
    </row>
    <row r="935" spans="1:85" ht="12.75" x14ac:dyDescent="0.2">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c r="AA935" s="155"/>
      <c r="AB935" s="155"/>
      <c r="AC935" s="155"/>
      <c r="AD935" s="155"/>
      <c r="AE935" s="155"/>
      <c r="AF935" s="155"/>
      <c r="AG935" s="155"/>
      <c r="AH935" s="155"/>
      <c r="AI935" s="155"/>
      <c r="AJ935" s="155"/>
      <c r="AK935" s="155"/>
      <c r="AL935" s="155"/>
      <c r="AM935" s="155"/>
      <c r="AN935" s="155"/>
      <c r="AO935" s="155"/>
      <c r="AP935" s="155"/>
      <c r="AQ935" s="155"/>
      <c r="AR935" s="155"/>
      <c r="AS935" s="155"/>
      <c r="AT935" s="155"/>
      <c r="AU935" s="155"/>
      <c r="AV935" s="155"/>
      <c r="AW935" s="155"/>
      <c r="AX935" s="155"/>
      <c r="AY935" s="155"/>
      <c r="AZ935" s="155"/>
      <c r="BA935" s="155"/>
      <c r="BB935" s="155"/>
      <c r="BC935" s="155"/>
      <c r="BD935" s="155"/>
      <c r="BE935" s="155"/>
      <c r="BF935" s="155"/>
      <c r="BG935" s="155"/>
      <c r="BH935" s="155"/>
      <c r="BI935" s="155"/>
      <c r="BJ935" s="155"/>
      <c r="BK935" s="155"/>
      <c r="BL935" s="155"/>
      <c r="BM935" s="155"/>
      <c r="BN935" s="155"/>
      <c r="BO935" s="155"/>
      <c r="BP935" s="155"/>
      <c r="BQ935" s="155"/>
      <c r="BR935" s="155"/>
      <c r="BS935" s="155"/>
      <c r="BT935" s="155"/>
      <c r="BU935" s="155"/>
      <c r="BV935" s="155"/>
      <c r="BW935" s="155"/>
      <c r="BX935" s="155"/>
      <c r="BY935" s="155"/>
      <c r="BZ935" s="155"/>
      <c r="CA935" s="155"/>
      <c r="CB935" s="155"/>
      <c r="CC935" s="155"/>
      <c r="CD935" s="155"/>
      <c r="CE935" s="155"/>
      <c r="CF935" s="155"/>
      <c r="CG935" s="155"/>
    </row>
    <row r="936" spans="1:85" ht="12.75" x14ac:dyDescent="0.2">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c r="AA936" s="155"/>
      <c r="AB936" s="155"/>
      <c r="AC936" s="155"/>
      <c r="AD936" s="155"/>
      <c r="AE936" s="155"/>
      <c r="AF936" s="155"/>
      <c r="AG936" s="155"/>
      <c r="AH936" s="155"/>
      <c r="AI936" s="155"/>
      <c r="AJ936" s="155"/>
      <c r="AK936" s="155"/>
      <c r="AL936" s="155"/>
      <c r="AM936" s="155"/>
      <c r="AN936" s="155"/>
      <c r="AO936" s="155"/>
      <c r="AP936" s="155"/>
      <c r="AQ936" s="155"/>
      <c r="AR936" s="155"/>
      <c r="AS936" s="155"/>
      <c r="AT936" s="155"/>
      <c r="AU936" s="155"/>
      <c r="AV936" s="155"/>
      <c r="AW936" s="155"/>
      <c r="AX936" s="155"/>
      <c r="AY936" s="155"/>
      <c r="AZ936" s="155"/>
      <c r="BA936" s="155"/>
      <c r="BB936" s="155"/>
      <c r="BC936" s="155"/>
      <c r="BD936" s="155"/>
      <c r="BE936" s="155"/>
      <c r="BF936" s="155"/>
      <c r="BG936" s="155"/>
      <c r="BH936" s="155"/>
      <c r="BI936" s="155"/>
      <c r="BJ936" s="155"/>
      <c r="BK936" s="155"/>
      <c r="BL936" s="155"/>
      <c r="BM936" s="155"/>
      <c r="BN936" s="155"/>
      <c r="BO936" s="155"/>
      <c r="BP936" s="155"/>
      <c r="BQ936" s="155"/>
      <c r="BR936" s="155"/>
      <c r="BS936" s="155"/>
      <c r="BT936" s="155"/>
      <c r="BU936" s="155"/>
      <c r="BV936" s="155"/>
      <c r="BW936" s="155"/>
      <c r="BX936" s="155"/>
      <c r="BY936" s="155"/>
      <c r="BZ936" s="155"/>
      <c r="CA936" s="155"/>
      <c r="CB936" s="155"/>
      <c r="CC936" s="155"/>
      <c r="CD936" s="155"/>
      <c r="CE936" s="155"/>
      <c r="CF936" s="155"/>
      <c r="CG936" s="155"/>
    </row>
    <row r="937" spans="1:85" ht="12.75" x14ac:dyDescent="0.2">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c r="AA937" s="155"/>
      <c r="AB937" s="155"/>
      <c r="AC937" s="155"/>
      <c r="AD937" s="155"/>
      <c r="AE937" s="155"/>
      <c r="AF937" s="155"/>
      <c r="AG937" s="155"/>
      <c r="AH937" s="155"/>
      <c r="AI937" s="155"/>
      <c r="AJ937" s="155"/>
      <c r="AK937" s="155"/>
      <c r="AL937" s="155"/>
      <c r="AM937" s="155"/>
      <c r="AN937" s="155"/>
      <c r="AO937" s="155"/>
      <c r="AP937" s="155"/>
      <c r="AQ937" s="155"/>
      <c r="AR937" s="155"/>
      <c r="AS937" s="155"/>
      <c r="AT937" s="155"/>
      <c r="AU937" s="155"/>
      <c r="AV937" s="155"/>
      <c r="AW937" s="155"/>
      <c r="AX937" s="155"/>
      <c r="AY937" s="155"/>
      <c r="AZ937" s="155"/>
      <c r="BA937" s="155"/>
      <c r="BB937" s="155"/>
      <c r="BC937" s="155"/>
      <c r="BD937" s="155"/>
      <c r="BE937" s="155"/>
      <c r="BF937" s="155"/>
      <c r="BG937" s="155"/>
      <c r="BH937" s="155"/>
      <c r="BI937" s="155"/>
      <c r="BJ937" s="155"/>
      <c r="BK937" s="155"/>
      <c r="BL937" s="155"/>
      <c r="BM937" s="155"/>
      <c r="BN937" s="155"/>
      <c r="BO937" s="155"/>
      <c r="BP937" s="155"/>
      <c r="BQ937" s="155"/>
      <c r="BR937" s="155"/>
      <c r="BS937" s="155"/>
      <c r="BT937" s="155"/>
      <c r="BU937" s="155"/>
      <c r="BV937" s="155"/>
      <c r="BW937" s="155"/>
      <c r="BX937" s="155"/>
      <c r="BY937" s="155"/>
      <c r="BZ937" s="155"/>
      <c r="CA937" s="155"/>
      <c r="CB937" s="155"/>
      <c r="CC937" s="155"/>
      <c r="CD937" s="155"/>
      <c r="CE937" s="155"/>
      <c r="CF937" s="155"/>
      <c r="CG937" s="155"/>
    </row>
    <row r="938" spans="1:85" ht="12.75" x14ac:dyDescent="0.2">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c r="AA938" s="155"/>
      <c r="AB938" s="155"/>
      <c r="AC938" s="155"/>
      <c r="AD938" s="155"/>
      <c r="AE938" s="155"/>
      <c r="AF938" s="155"/>
      <c r="AG938" s="155"/>
      <c r="AH938" s="155"/>
      <c r="AI938" s="155"/>
      <c r="AJ938" s="155"/>
      <c r="AK938" s="155"/>
      <c r="AL938" s="155"/>
      <c r="AM938" s="155"/>
      <c r="AN938" s="155"/>
      <c r="AO938" s="155"/>
      <c r="AP938" s="155"/>
      <c r="AQ938" s="155"/>
      <c r="AR938" s="155"/>
      <c r="AS938" s="155"/>
      <c r="AT938" s="155"/>
      <c r="AU938" s="155"/>
      <c r="AV938" s="155"/>
      <c r="AW938" s="155"/>
      <c r="AX938" s="155"/>
      <c r="AY938" s="155"/>
      <c r="AZ938" s="155"/>
      <c r="BA938" s="155"/>
      <c r="BB938" s="155"/>
      <c r="BC938" s="155"/>
      <c r="BD938" s="155"/>
      <c r="BE938" s="155"/>
      <c r="BF938" s="155"/>
      <c r="BG938" s="155"/>
      <c r="BH938" s="155"/>
      <c r="BI938" s="155"/>
      <c r="BJ938" s="155"/>
      <c r="BK938" s="155"/>
      <c r="BL938" s="155"/>
      <c r="BM938" s="155"/>
      <c r="BN938" s="155"/>
      <c r="BO938" s="155"/>
      <c r="BP938" s="155"/>
      <c r="BQ938" s="155"/>
      <c r="BR938" s="155"/>
      <c r="BS938" s="155"/>
      <c r="BT938" s="155"/>
      <c r="BU938" s="155"/>
      <c r="BV938" s="155"/>
      <c r="BW938" s="155"/>
      <c r="BX938" s="155"/>
      <c r="BY938" s="155"/>
      <c r="BZ938" s="155"/>
      <c r="CA938" s="155"/>
      <c r="CB938" s="155"/>
      <c r="CC938" s="155"/>
      <c r="CD938" s="155"/>
      <c r="CE938" s="155"/>
      <c r="CF938" s="155"/>
      <c r="CG938" s="155"/>
    </row>
    <row r="939" spans="1:85" ht="12.75" x14ac:dyDescent="0.2">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c r="AA939" s="155"/>
      <c r="AB939" s="155"/>
      <c r="AC939" s="155"/>
      <c r="AD939" s="155"/>
      <c r="AE939" s="155"/>
      <c r="AF939" s="155"/>
      <c r="AG939" s="155"/>
      <c r="AH939" s="155"/>
      <c r="AI939" s="155"/>
      <c r="AJ939" s="155"/>
      <c r="AK939" s="155"/>
      <c r="AL939" s="155"/>
      <c r="AM939" s="155"/>
      <c r="AN939" s="155"/>
      <c r="AO939" s="155"/>
      <c r="AP939" s="155"/>
      <c r="AQ939" s="155"/>
      <c r="AR939" s="155"/>
      <c r="AS939" s="155"/>
      <c r="AT939" s="155"/>
      <c r="AU939" s="155"/>
      <c r="AV939" s="155"/>
      <c r="AW939" s="155"/>
      <c r="AX939" s="155"/>
      <c r="AY939" s="155"/>
      <c r="AZ939" s="155"/>
      <c r="BA939" s="155"/>
      <c r="BB939" s="155"/>
      <c r="BC939" s="155"/>
      <c r="BD939" s="155"/>
      <c r="BE939" s="155"/>
      <c r="BF939" s="155"/>
      <c r="BG939" s="155"/>
      <c r="BH939" s="155"/>
      <c r="BI939" s="155"/>
      <c r="BJ939" s="155"/>
      <c r="BK939" s="155"/>
      <c r="BL939" s="155"/>
      <c r="BM939" s="155"/>
      <c r="BN939" s="155"/>
      <c r="BO939" s="155"/>
      <c r="BP939" s="155"/>
      <c r="BQ939" s="155"/>
      <c r="BR939" s="155"/>
      <c r="BS939" s="155"/>
      <c r="BT939" s="155"/>
      <c r="BU939" s="155"/>
      <c r="BV939" s="155"/>
      <c r="BW939" s="155"/>
      <c r="BX939" s="155"/>
      <c r="BY939" s="155"/>
      <c r="BZ939" s="155"/>
      <c r="CA939" s="155"/>
      <c r="CB939" s="155"/>
      <c r="CC939" s="155"/>
      <c r="CD939" s="155"/>
      <c r="CE939" s="155"/>
      <c r="CF939" s="155"/>
      <c r="CG939" s="155"/>
    </row>
    <row r="940" spans="1:85" ht="12.75" x14ac:dyDescent="0.2">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c r="AA940" s="155"/>
      <c r="AB940" s="155"/>
      <c r="AC940" s="155"/>
      <c r="AD940" s="155"/>
      <c r="AE940" s="155"/>
      <c r="AF940" s="155"/>
      <c r="AG940" s="155"/>
      <c r="AH940" s="155"/>
      <c r="AI940" s="155"/>
      <c r="AJ940" s="155"/>
      <c r="AK940" s="155"/>
      <c r="AL940" s="155"/>
      <c r="AM940" s="155"/>
      <c r="AN940" s="155"/>
      <c r="AO940" s="155"/>
      <c r="AP940" s="155"/>
      <c r="AQ940" s="155"/>
      <c r="AR940" s="155"/>
      <c r="AS940" s="155"/>
      <c r="AT940" s="155"/>
      <c r="AU940" s="155"/>
      <c r="AV940" s="155"/>
      <c r="AW940" s="155"/>
      <c r="AX940" s="155"/>
      <c r="AY940" s="155"/>
      <c r="AZ940" s="155"/>
      <c r="BA940" s="155"/>
      <c r="BB940" s="155"/>
      <c r="BC940" s="155"/>
      <c r="BD940" s="155"/>
      <c r="BE940" s="155"/>
      <c r="BF940" s="155"/>
      <c r="BG940" s="155"/>
      <c r="BH940" s="155"/>
      <c r="BI940" s="155"/>
      <c r="BJ940" s="155"/>
      <c r="BK940" s="155"/>
      <c r="BL940" s="155"/>
      <c r="BM940" s="155"/>
      <c r="BN940" s="155"/>
      <c r="BO940" s="155"/>
      <c r="BP940" s="155"/>
      <c r="BQ940" s="155"/>
      <c r="BR940" s="155"/>
      <c r="BS940" s="155"/>
      <c r="BT940" s="155"/>
      <c r="BU940" s="155"/>
      <c r="BV940" s="155"/>
      <c r="BW940" s="155"/>
      <c r="BX940" s="155"/>
      <c r="BY940" s="155"/>
      <c r="BZ940" s="155"/>
      <c r="CA940" s="155"/>
      <c r="CB940" s="155"/>
      <c r="CC940" s="155"/>
      <c r="CD940" s="155"/>
      <c r="CE940" s="155"/>
      <c r="CF940" s="155"/>
      <c r="CG940" s="155"/>
    </row>
    <row r="941" spans="1:85" ht="12.75" x14ac:dyDescent="0.2">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c r="AA941" s="155"/>
      <c r="AB941" s="155"/>
      <c r="AC941" s="155"/>
      <c r="AD941" s="155"/>
      <c r="AE941" s="155"/>
      <c r="AF941" s="155"/>
      <c r="AG941" s="155"/>
      <c r="AH941" s="155"/>
      <c r="AI941" s="155"/>
      <c r="AJ941" s="155"/>
      <c r="AK941" s="155"/>
      <c r="AL941" s="155"/>
      <c r="AM941" s="155"/>
      <c r="AN941" s="155"/>
      <c r="AO941" s="155"/>
      <c r="AP941" s="155"/>
      <c r="AQ941" s="155"/>
      <c r="AR941" s="155"/>
      <c r="AS941" s="155"/>
      <c r="AT941" s="155"/>
      <c r="AU941" s="155"/>
      <c r="AV941" s="155"/>
      <c r="AW941" s="155"/>
      <c r="AX941" s="155"/>
      <c r="AY941" s="155"/>
      <c r="AZ941" s="155"/>
      <c r="BA941" s="155"/>
      <c r="BB941" s="155"/>
      <c r="BC941" s="155"/>
      <c r="BD941" s="155"/>
      <c r="BE941" s="155"/>
      <c r="BF941" s="155"/>
      <c r="BG941" s="155"/>
      <c r="BH941" s="155"/>
      <c r="BI941" s="155"/>
      <c r="BJ941" s="155"/>
      <c r="BK941" s="155"/>
      <c r="BL941" s="155"/>
      <c r="BM941" s="155"/>
      <c r="BN941" s="155"/>
      <c r="BO941" s="155"/>
      <c r="BP941" s="155"/>
      <c r="BQ941" s="155"/>
      <c r="BR941" s="155"/>
      <c r="BS941" s="155"/>
      <c r="BT941" s="155"/>
      <c r="BU941" s="155"/>
      <c r="BV941" s="155"/>
      <c r="BW941" s="155"/>
      <c r="BX941" s="155"/>
      <c r="BY941" s="155"/>
      <c r="BZ941" s="155"/>
      <c r="CA941" s="155"/>
      <c r="CB941" s="155"/>
      <c r="CC941" s="155"/>
      <c r="CD941" s="155"/>
      <c r="CE941" s="155"/>
      <c r="CF941" s="155"/>
      <c r="CG941" s="155"/>
    </row>
    <row r="942" spans="1:85" ht="12.75" x14ac:dyDescent="0.2">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c r="AA942" s="155"/>
      <c r="AB942" s="155"/>
      <c r="AC942" s="155"/>
      <c r="AD942" s="155"/>
      <c r="AE942" s="155"/>
      <c r="AF942" s="155"/>
      <c r="AG942" s="155"/>
      <c r="AH942" s="155"/>
      <c r="AI942" s="155"/>
      <c r="AJ942" s="155"/>
      <c r="AK942" s="155"/>
      <c r="AL942" s="155"/>
      <c r="AM942" s="155"/>
      <c r="AN942" s="155"/>
      <c r="AO942" s="155"/>
      <c r="AP942" s="155"/>
      <c r="AQ942" s="155"/>
      <c r="AR942" s="155"/>
      <c r="AS942" s="155"/>
      <c r="AT942" s="155"/>
      <c r="AU942" s="155"/>
      <c r="AV942" s="155"/>
      <c r="AW942" s="155"/>
      <c r="AX942" s="155"/>
      <c r="AY942" s="155"/>
      <c r="AZ942" s="155"/>
      <c r="BA942" s="155"/>
      <c r="BB942" s="155"/>
      <c r="BC942" s="155"/>
      <c r="BD942" s="155"/>
      <c r="BE942" s="155"/>
      <c r="BF942" s="155"/>
      <c r="BG942" s="155"/>
      <c r="BH942" s="155"/>
      <c r="BI942" s="155"/>
      <c r="BJ942" s="155"/>
      <c r="BK942" s="155"/>
      <c r="BL942" s="155"/>
      <c r="BM942" s="155"/>
      <c r="BN942" s="155"/>
      <c r="BO942" s="155"/>
      <c r="BP942" s="155"/>
      <c r="BQ942" s="155"/>
      <c r="BR942" s="155"/>
      <c r="BS942" s="155"/>
      <c r="BT942" s="155"/>
      <c r="BU942" s="155"/>
      <c r="BV942" s="155"/>
      <c r="BW942" s="155"/>
      <c r="BX942" s="155"/>
      <c r="BY942" s="155"/>
      <c r="BZ942" s="155"/>
      <c r="CA942" s="155"/>
      <c r="CB942" s="155"/>
      <c r="CC942" s="155"/>
      <c r="CD942" s="155"/>
      <c r="CE942" s="155"/>
      <c r="CF942" s="155"/>
      <c r="CG942" s="155"/>
    </row>
    <row r="943" spans="1:85" ht="12.75" x14ac:dyDescent="0.2">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55"/>
      <c r="BB943" s="155"/>
      <c r="BC943" s="155"/>
      <c r="BD943" s="155"/>
      <c r="BE943" s="155"/>
      <c r="BF943" s="155"/>
      <c r="BG943" s="155"/>
      <c r="BH943" s="155"/>
      <c r="BI943" s="155"/>
      <c r="BJ943" s="155"/>
      <c r="BK943" s="155"/>
      <c r="BL943" s="155"/>
      <c r="BM943" s="155"/>
      <c r="BN943" s="155"/>
      <c r="BO943" s="155"/>
      <c r="BP943" s="155"/>
      <c r="BQ943" s="155"/>
      <c r="BR943" s="155"/>
      <c r="BS943" s="155"/>
      <c r="BT943" s="155"/>
      <c r="BU943" s="155"/>
      <c r="BV943" s="155"/>
      <c r="BW943" s="155"/>
      <c r="BX943" s="155"/>
      <c r="BY943" s="155"/>
      <c r="BZ943" s="155"/>
      <c r="CA943" s="155"/>
      <c r="CB943" s="155"/>
      <c r="CC943" s="155"/>
      <c r="CD943" s="155"/>
      <c r="CE943" s="155"/>
      <c r="CF943" s="155"/>
      <c r="CG943" s="155"/>
    </row>
    <row r="944" spans="1:85" ht="12.75" x14ac:dyDescent="0.2">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c r="AA944" s="155"/>
      <c r="AB944" s="155"/>
      <c r="AC944" s="155"/>
      <c r="AD944" s="155"/>
      <c r="AE944" s="155"/>
      <c r="AF944" s="155"/>
      <c r="AG944" s="155"/>
      <c r="AH944" s="155"/>
      <c r="AI944" s="155"/>
      <c r="AJ944" s="155"/>
      <c r="AK944" s="155"/>
      <c r="AL944" s="155"/>
      <c r="AM944" s="155"/>
      <c r="AN944" s="155"/>
      <c r="AO944" s="155"/>
      <c r="AP944" s="155"/>
      <c r="AQ944" s="155"/>
      <c r="AR944" s="155"/>
      <c r="AS944" s="155"/>
      <c r="AT944" s="155"/>
      <c r="AU944" s="155"/>
      <c r="AV944" s="155"/>
      <c r="AW944" s="155"/>
      <c r="AX944" s="155"/>
      <c r="AY944" s="155"/>
      <c r="AZ944" s="155"/>
      <c r="BA944" s="155"/>
      <c r="BB944" s="155"/>
      <c r="BC944" s="155"/>
      <c r="BD944" s="155"/>
      <c r="BE944" s="155"/>
      <c r="BF944" s="155"/>
      <c r="BG944" s="155"/>
      <c r="BH944" s="155"/>
      <c r="BI944" s="155"/>
      <c r="BJ944" s="155"/>
      <c r="BK944" s="155"/>
      <c r="BL944" s="155"/>
      <c r="BM944" s="155"/>
      <c r="BN944" s="155"/>
      <c r="BO944" s="155"/>
      <c r="BP944" s="155"/>
      <c r="BQ944" s="155"/>
      <c r="BR944" s="155"/>
      <c r="BS944" s="155"/>
      <c r="BT944" s="155"/>
      <c r="BU944" s="155"/>
      <c r="BV944" s="155"/>
      <c r="BW944" s="155"/>
      <c r="BX944" s="155"/>
      <c r="BY944" s="155"/>
      <c r="BZ944" s="155"/>
      <c r="CA944" s="155"/>
      <c r="CB944" s="155"/>
      <c r="CC944" s="155"/>
      <c r="CD944" s="155"/>
      <c r="CE944" s="155"/>
      <c r="CF944" s="155"/>
      <c r="CG944" s="155"/>
    </row>
    <row r="945" spans="1:85" ht="12.75" x14ac:dyDescent="0.2">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c r="AA945" s="155"/>
      <c r="AB945" s="155"/>
      <c r="AC945" s="155"/>
      <c r="AD945" s="155"/>
      <c r="AE945" s="155"/>
      <c r="AF945" s="155"/>
      <c r="AG945" s="155"/>
      <c r="AH945" s="155"/>
      <c r="AI945" s="155"/>
      <c r="AJ945" s="155"/>
      <c r="AK945" s="155"/>
      <c r="AL945" s="155"/>
      <c r="AM945" s="155"/>
      <c r="AN945" s="155"/>
      <c r="AO945" s="155"/>
      <c r="AP945" s="155"/>
      <c r="AQ945" s="155"/>
      <c r="AR945" s="155"/>
      <c r="AS945" s="155"/>
      <c r="AT945" s="155"/>
      <c r="AU945" s="155"/>
      <c r="AV945" s="155"/>
      <c r="AW945" s="155"/>
      <c r="AX945" s="155"/>
      <c r="AY945" s="155"/>
      <c r="AZ945" s="155"/>
      <c r="BA945" s="155"/>
      <c r="BB945" s="155"/>
      <c r="BC945" s="155"/>
      <c r="BD945" s="155"/>
      <c r="BE945" s="155"/>
      <c r="BF945" s="155"/>
      <c r="BG945" s="155"/>
      <c r="BH945" s="155"/>
      <c r="BI945" s="155"/>
      <c r="BJ945" s="155"/>
      <c r="BK945" s="155"/>
      <c r="BL945" s="155"/>
      <c r="BM945" s="155"/>
      <c r="BN945" s="155"/>
      <c r="BO945" s="155"/>
      <c r="BP945" s="155"/>
      <c r="BQ945" s="155"/>
      <c r="BR945" s="155"/>
      <c r="BS945" s="155"/>
      <c r="BT945" s="155"/>
      <c r="BU945" s="155"/>
      <c r="BV945" s="155"/>
      <c r="BW945" s="155"/>
      <c r="BX945" s="155"/>
      <c r="BY945" s="155"/>
      <c r="BZ945" s="155"/>
      <c r="CA945" s="155"/>
      <c r="CB945" s="155"/>
      <c r="CC945" s="155"/>
      <c r="CD945" s="155"/>
      <c r="CE945" s="155"/>
      <c r="CF945" s="155"/>
      <c r="CG945" s="155"/>
    </row>
    <row r="946" spans="1:85" ht="12.75" x14ac:dyDescent="0.2">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c r="AA946" s="155"/>
      <c r="AB946" s="155"/>
      <c r="AC946" s="155"/>
      <c r="AD946" s="155"/>
      <c r="AE946" s="155"/>
      <c r="AF946" s="155"/>
      <c r="AG946" s="155"/>
      <c r="AH946" s="155"/>
      <c r="AI946" s="155"/>
      <c r="AJ946" s="155"/>
      <c r="AK946" s="155"/>
      <c r="AL946" s="155"/>
      <c r="AM946" s="155"/>
      <c r="AN946" s="155"/>
      <c r="AO946" s="155"/>
      <c r="AP946" s="155"/>
      <c r="AQ946" s="155"/>
      <c r="AR946" s="155"/>
      <c r="AS946" s="155"/>
      <c r="AT946" s="155"/>
      <c r="AU946" s="155"/>
      <c r="AV946" s="155"/>
      <c r="AW946" s="155"/>
      <c r="AX946" s="155"/>
      <c r="AY946" s="155"/>
      <c r="AZ946" s="155"/>
      <c r="BA946" s="155"/>
      <c r="BB946" s="155"/>
      <c r="BC946" s="155"/>
      <c r="BD946" s="155"/>
      <c r="BE946" s="155"/>
      <c r="BF946" s="155"/>
      <c r="BG946" s="155"/>
      <c r="BH946" s="155"/>
      <c r="BI946" s="155"/>
      <c r="BJ946" s="155"/>
      <c r="BK946" s="155"/>
      <c r="BL946" s="155"/>
      <c r="BM946" s="155"/>
      <c r="BN946" s="155"/>
      <c r="BO946" s="155"/>
      <c r="BP946" s="155"/>
      <c r="BQ946" s="155"/>
      <c r="BR946" s="155"/>
      <c r="BS946" s="155"/>
      <c r="BT946" s="155"/>
      <c r="BU946" s="155"/>
      <c r="BV946" s="155"/>
      <c r="BW946" s="155"/>
      <c r="BX946" s="155"/>
      <c r="BY946" s="155"/>
      <c r="BZ946" s="155"/>
      <c r="CA946" s="155"/>
      <c r="CB946" s="155"/>
      <c r="CC946" s="155"/>
      <c r="CD946" s="155"/>
      <c r="CE946" s="155"/>
      <c r="CF946" s="155"/>
      <c r="CG946" s="155"/>
    </row>
    <row r="947" spans="1:85" ht="12.75" x14ac:dyDescent="0.2">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c r="AA947" s="155"/>
      <c r="AB947" s="155"/>
      <c r="AC947" s="155"/>
      <c r="AD947" s="155"/>
      <c r="AE947" s="155"/>
      <c r="AF947" s="155"/>
      <c r="AG947" s="155"/>
      <c r="AH947" s="155"/>
      <c r="AI947" s="155"/>
      <c r="AJ947" s="155"/>
      <c r="AK947" s="155"/>
      <c r="AL947" s="155"/>
      <c r="AM947" s="155"/>
      <c r="AN947" s="155"/>
      <c r="AO947" s="155"/>
      <c r="AP947" s="155"/>
      <c r="AQ947" s="155"/>
      <c r="AR947" s="155"/>
      <c r="AS947" s="155"/>
      <c r="AT947" s="155"/>
      <c r="AU947" s="155"/>
      <c r="AV947" s="155"/>
      <c r="AW947" s="155"/>
      <c r="AX947" s="155"/>
      <c r="AY947" s="155"/>
      <c r="AZ947" s="155"/>
      <c r="BA947" s="155"/>
      <c r="BB947" s="155"/>
      <c r="BC947" s="155"/>
      <c r="BD947" s="155"/>
      <c r="BE947" s="155"/>
      <c r="BF947" s="155"/>
      <c r="BG947" s="155"/>
      <c r="BH947" s="155"/>
      <c r="BI947" s="155"/>
      <c r="BJ947" s="155"/>
      <c r="BK947" s="155"/>
      <c r="BL947" s="155"/>
      <c r="BM947" s="155"/>
      <c r="BN947" s="155"/>
      <c r="BO947" s="155"/>
      <c r="BP947" s="155"/>
      <c r="BQ947" s="155"/>
      <c r="BR947" s="155"/>
      <c r="BS947" s="155"/>
      <c r="BT947" s="155"/>
      <c r="BU947" s="155"/>
      <c r="BV947" s="155"/>
      <c r="BW947" s="155"/>
      <c r="BX947" s="155"/>
      <c r="BY947" s="155"/>
      <c r="BZ947" s="155"/>
      <c r="CA947" s="155"/>
      <c r="CB947" s="155"/>
      <c r="CC947" s="155"/>
      <c r="CD947" s="155"/>
      <c r="CE947" s="155"/>
      <c r="CF947" s="155"/>
      <c r="CG947" s="155"/>
    </row>
    <row r="948" spans="1:85" ht="12.75" x14ac:dyDescent="0.2">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c r="AA948" s="155"/>
      <c r="AB948" s="155"/>
      <c r="AC948" s="155"/>
      <c r="AD948" s="155"/>
      <c r="AE948" s="155"/>
      <c r="AF948" s="155"/>
      <c r="AG948" s="155"/>
      <c r="AH948" s="155"/>
      <c r="AI948" s="155"/>
      <c r="AJ948" s="155"/>
      <c r="AK948" s="155"/>
      <c r="AL948" s="155"/>
      <c r="AM948" s="155"/>
      <c r="AN948" s="155"/>
      <c r="AO948" s="155"/>
      <c r="AP948" s="155"/>
      <c r="AQ948" s="155"/>
      <c r="AR948" s="155"/>
      <c r="AS948" s="155"/>
      <c r="AT948" s="155"/>
      <c r="AU948" s="155"/>
      <c r="AV948" s="155"/>
      <c r="AW948" s="155"/>
      <c r="AX948" s="155"/>
      <c r="AY948" s="155"/>
      <c r="AZ948" s="155"/>
      <c r="BA948" s="155"/>
      <c r="BB948" s="155"/>
      <c r="BC948" s="155"/>
      <c r="BD948" s="155"/>
      <c r="BE948" s="155"/>
      <c r="BF948" s="155"/>
      <c r="BG948" s="155"/>
      <c r="BH948" s="155"/>
      <c r="BI948" s="155"/>
      <c r="BJ948" s="155"/>
      <c r="BK948" s="155"/>
      <c r="BL948" s="155"/>
      <c r="BM948" s="155"/>
      <c r="BN948" s="155"/>
      <c r="BO948" s="155"/>
      <c r="BP948" s="155"/>
      <c r="BQ948" s="155"/>
      <c r="BR948" s="155"/>
      <c r="BS948" s="155"/>
      <c r="BT948" s="155"/>
      <c r="BU948" s="155"/>
      <c r="BV948" s="155"/>
      <c r="BW948" s="155"/>
      <c r="BX948" s="155"/>
      <c r="BY948" s="155"/>
      <c r="BZ948" s="155"/>
      <c r="CA948" s="155"/>
      <c r="CB948" s="155"/>
      <c r="CC948" s="155"/>
      <c r="CD948" s="155"/>
      <c r="CE948" s="155"/>
      <c r="CF948" s="155"/>
      <c r="CG948" s="155"/>
    </row>
    <row r="949" spans="1:85" ht="12.75" x14ac:dyDescent="0.2">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c r="AA949" s="155"/>
      <c r="AB949" s="155"/>
      <c r="AC949" s="155"/>
      <c r="AD949" s="155"/>
      <c r="AE949" s="155"/>
      <c r="AF949" s="155"/>
      <c r="AG949" s="155"/>
      <c r="AH949" s="155"/>
      <c r="AI949" s="155"/>
      <c r="AJ949" s="155"/>
      <c r="AK949" s="155"/>
      <c r="AL949" s="155"/>
      <c r="AM949" s="155"/>
      <c r="AN949" s="155"/>
      <c r="AO949" s="155"/>
      <c r="AP949" s="155"/>
      <c r="AQ949" s="155"/>
      <c r="AR949" s="155"/>
      <c r="AS949" s="155"/>
      <c r="AT949" s="155"/>
      <c r="AU949" s="155"/>
      <c r="AV949" s="155"/>
      <c r="AW949" s="155"/>
      <c r="AX949" s="155"/>
      <c r="AY949" s="155"/>
      <c r="AZ949" s="155"/>
      <c r="BA949" s="155"/>
      <c r="BB949" s="155"/>
      <c r="BC949" s="155"/>
      <c r="BD949" s="155"/>
      <c r="BE949" s="155"/>
      <c r="BF949" s="155"/>
      <c r="BG949" s="155"/>
      <c r="BH949" s="155"/>
      <c r="BI949" s="155"/>
      <c r="BJ949" s="155"/>
      <c r="BK949" s="155"/>
      <c r="BL949" s="155"/>
      <c r="BM949" s="155"/>
      <c r="BN949" s="155"/>
      <c r="BO949" s="155"/>
      <c r="BP949" s="155"/>
      <c r="BQ949" s="155"/>
      <c r="BR949" s="155"/>
      <c r="BS949" s="155"/>
      <c r="BT949" s="155"/>
      <c r="BU949" s="155"/>
      <c r="BV949" s="155"/>
      <c r="BW949" s="155"/>
      <c r="BX949" s="155"/>
      <c r="BY949" s="155"/>
      <c r="BZ949" s="155"/>
      <c r="CA949" s="155"/>
      <c r="CB949" s="155"/>
      <c r="CC949" s="155"/>
      <c r="CD949" s="155"/>
      <c r="CE949" s="155"/>
      <c r="CF949" s="155"/>
      <c r="CG949" s="155"/>
    </row>
    <row r="950" spans="1:85" ht="12.75" x14ac:dyDescent="0.2">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c r="AA950" s="155"/>
      <c r="AB950" s="155"/>
      <c r="AC950" s="155"/>
      <c r="AD950" s="155"/>
      <c r="AE950" s="155"/>
      <c r="AF950" s="155"/>
      <c r="AG950" s="155"/>
      <c r="AH950" s="155"/>
      <c r="AI950" s="155"/>
      <c r="AJ950" s="155"/>
      <c r="AK950" s="155"/>
      <c r="AL950" s="155"/>
      <c r="AM950" s="155"/>
      <c r="AN950" s="155"/>
      <c r="AO950" s="155"/>
      <c r="AP950" s="155"/>
      <c r="AQ950" s="155"/>
      <c r="AR950" s="155"/>
      <c r="AS950" s="155"/>
      <c r="AT950" s="155"/>
      <c r="AU950" s="155"/>
      <c r="AV950" s="155"/>
      <c r="AW950" s="155"/>
      <c r="AX950" s="155"/>
      <c r="AY950" s="155"/>
      <c r="AZ950" s="155"/>
      <c r="BA950" s="155"/>
      <c r="BB950" s="155"/>
      <c r="BC950" s="155"/>
      <c r="BD950" s="155"/>
      <c r="BE950" s="155"/>
      <c r="BF950" s="155"/>
      <c r="BG950" s="155"/>
      <c r="BH950" s="155"/>
      <c r="BI950" s="155"/>
      <c r="BJ950" s="155"/>
      <c r="BK950" s="155"/>
      <c r="BL950" s="155"/>
      <c r="BM950" s="155"/>
      <c r="BN950" s="155"/>
      <c r="BO950" s="155"/>
      <c r="BP950" s="155"/>
      <c r="BQ950" s="155"/>
      <c r="BR950" s="155"/>
      <c r="BS950" s="155"/>
      <c r="BT950" s="155"/>
      <c r="BU950" s="155"/>
      <c r="BV950" s="155"/>
      <c r="BW950" s="155"/>
      <c r="BX950" s="155"/>
      <c r="BY950" s="155"/>
      <c r="BZ950" s="155"/>
      <c r="CA950" s="155"/>
      <c r="CB950" s="155"/>
      <c r="CC950" s="155"/>
      <c r="CD950" s="155"/>
      <c r="CE950" s="155"/>
      <c r="CF950" s="155"/>
      <c r="CG950" s="155"/>
    </row>
    <row r="951" spans="1:85" ht="12.75" x14ac:dyDescent="0.2">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c r="AA951" s="155"/>
      <c r="AB951" s="155"/>
      <c r="AC951" s="155"/>
      <c r="AD951" s="155"/>
      <c r="AE951" s="155"/>
      <c r="AF951" s="155"/>
      <c r="AG951" s="155"/>
      <c r="AH951" s="155"/>
      <c r="AI951" s="155"/>
      <c r="AJ951" s="155"/>
      <c r="AK951" s="155"/>
      <c r="AL951" s="155"/>
      <c r="AM951" s="155"/>
      <c r="AN951" s="155"/>
      <c r="AO951" s="155"/>
      <c r="AP951" s="155"/>
      <c r="AQ951" s="155"/>
      <c r="AR951" s="155"/>
      <c r="AS951" s="155"/>
      <c r="AT951" s="155"/>
      <c r="AU951" s="155"/>
      <c r="AV951" s="155"/>
      <c r="AW951" s="155"/>
      <c r="AX951" s="155"/>
      <c r="AY951" s="155"/>
      <c r="AZ951" s="155"/>
      <c r="BA951" s="155"/>
      <c r="BB951" s="155"/>
      <c r="BC951" s="155"/>
      <c r="BD951" s="155"/>
      <c r="BE951" s="155"/>
      <c r="BF951" s="155"/>
      <c r="BG951" s="155"/>
      <c r="BH951" s="155"/>
      <c r="BI951" s="155"/>
      <c r="BJ951" s="155"/>
      <c r="BK951" s="155"/>
      <c r="BL951" s="155"/>
      <c r="BM951" s="155"/>
      <c r="BN951" s="155"/>
      <c r="BO951" s="155"/>
      <c r="BP951" s="155"/>
      <c r="BQ951" s="155"/>
      <c r="BR951" s="155"/>
      <c r="BS951" s="155"/>
      <c r="BT951" s="155"/>
      <c r="BU951" s="155"/>
      <c r="BV951" s="155"/>
      <c r="BW951" s="155"/>
      <c r="BX951" s="155"/>
      <c r="BY951" s="155"/>
      <c r="BZ951" s="155"/>
      <c r="CA951" s="155"/>
      <c r="CB951" s="155"/>
      <c r="CC951" s="155"/>
      <c r="CD951" s="155"/>
      <c r="CE951" s="155"/>
      <c r="CF951" s="155"/>
      <c r="CG951" s="155"/>
    </row>
    <row r="952" spans="1:85" ht="12.75" x14ac:dyDescent="0.2">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c r="AA952" s="155"/>
      <c r="AB952" s="155"/>
      <c r="AC952" s="155"/>
      <c r="AD952" s="155"/>
      <c r="AE952" s="155"/>
      <c r="AF952" s="155"/>
      <c r="AG952" s="155"/>
      <c r="AH952" s="155"/>
      <c r="AI952" s="155"/>
      <c r="AJ952" s="155"/>
      <c r="AK952" s="155"/>
      <c r="AL952" s="155"/>
      <c r="AM952" s="155"/>
      <c r="AN952" s="155"/>
      <c r="AO952" s="155"/>
      <c r="AP952" s="155"/>
      <c r="AQ952" s="155"/>
      <c r="AR952" s="155"/>
      <c r="AS952" s="155"/>
      <c r="AT952" s="155"/>
      <c r="AU952" s="155"/>
      <c r="AV952" s="155"/>
      <c r="AW952" s="155"/>
      <c r="AX952" s="155"/>
      <c r="AY952" s="155"/>
      <c r="AZ952" s="155"/>
      <c r="BA952" s="155"/>
      <c r="BB952" s="155"/>
      <c r="BC952" s="155"/>
      <c r="BD952" s="155"/>
      <c r="BE952" s="155"/>
      <c r="BF952" s="155"/>
      <c r="BG952" s="155"/>
      <c r="BH952" s="155"/>
      <c r="BI952" s="155"/>
      <c r="BJ952" s="155"/>
      <c r="BK952" s="155"/>
      <c r="BL952" s="155"/>
      <c r="BM952" s="155"/>
      <c r="BN952" s="155"/>
      <c r="BO952" s="155"/>
      <c r="BP952" s="155"/>
      <c r="BQ952" s="155"/>
      <c r="BR952" s="155"/>
      <c r="BS952" s="155"/>
      <c r="BT952" s="155"/>
      <c r="BU952" s="155"/>
      <c r="BV952" s="155"/>
      <c r="BW952" s="155"/>
      <c r="BX952" s="155"/>
      <c r="BY952" s="155"/>
      <c r="BZ952" s="155"/>
      <c r="CA952" s="155"/>
      <c r="CB952" s="155"/>
      <c r="CC952" s="155"/>
      <c r="CD952" s="155"/>
      <c r="CE952" s="155"/>
      <c r="CF952" s="155"/>
      <c r="CG952" s="155"/>
    </row>
    <row r="953" spans="1:85" ht="12.75" x14ac:dyDescent="0.2">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c r="AA953" s="155"/>
      <c r="AB953" s="155"/>
      <c r="AC953" s="155"/>
      <c r="AD953" s="155"/>
      <c r="AE953" s="155"/>
      <c r="AF953" s="155"/>
      <c r="AG953" s="155"/>
      <c r="AH953" s="155"/>
      <c r="AI953" s="155"/>
      <c r="AJ953" s="155"/>
      <c r="AK953" s="155"/>
      <c r="AL953" s="155"/>
      <c r="AM953" s="155"/>
      <c r="AN953" s="155"/>
      <c r="AO953" s="155"/>
      <c r="AP953" s="155"/>
      <c r="AQ953" s="155"/>
      <c r="AR953" s="155"/>
      <c r="AS953" s="155"/>
      <c r="AT953" s="155"/>
      <c r="AU953" s="155"/>
      <c r="AV953" s="155"/>
      <c r="AW953" s="155"/>
      <c r="AX953" s="155"/>
      <c r="AY953" s="155"/>
      <c r="AZ953" s="155"/>
      <c r="BA953" s="155"/>
      <c r="BB953" s="155"/>
      <c r="BC953" s="155"/>
      <c r="BD953" s="155"/>
      <c r="BE953" s="155"/>
      <c r="BF953" s="155"/>
      <c r="BG953" s="155"/>
      <c r="BH953" s="155"/>
      <c r="BI953" s="155"/>
      <c r="BJ953" s="155"/>
      <c r="BK953" s="155"/>
      <c r="BL953" s="155"/>
      <c r="BM953" s="155"/>
      <c r="BN953" s="155"/>
      <c r="BO953" s="155"/>
      <c r="BP953" s="155"/>
      <c r="BQ953" s="155"/>
      <c r="BR953" s="155"/>
      <c r="BS953" s="155"/>
      <c r="BT953" s="155"/>
      <c r="BU953" s="155"/>
      <c r="BV953" s="155"/>
      <c r="BW953" s="155"/>
      <c r="BX953" s="155"/>
      <c r="BY953" s="155"/>
      <c r="BZ953" s="155"/>
      <c r="CA953" s="155"/>
      <c r="CB953" s="155"/>
      <c r="CC953" s="155"/>
      <c r="CD953" s="155"/>
      <c r="CE953" s="155"/>
      <c r="CF953" s="155"/>
      <c r="CG953" s="155"/>
    </row>
    <row r="954" spans="1:85" ht="12.75" x14ac:dyDescent="0.2">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c r="AA954" s="155"/>
      <c r="AB954" s="155"/>
      <c r="AC954" s="155"/>
      <c r="AD954" s="155"/>
      <c r="AE954" s="155"/>
      <c r="AF954" s="155"/>
      <c r="AG954" s="155"/>
      <c r="AH954" s="155"/>
      <c r="AI954" s="155"/>
      <c r="AJ954" s="155"/>
      <c r="AK954" s="155"/>
      <c r="AL954" s="155"/>
      <c r="AM954" s="155"/>
      <c r="AN954" s="155"/>
      <c r="AO954" s="155"/>
      <c r="AP954" s="155"/>
      <c r="AQ954" s="155"/>
      <c r="AR954" s="155"/>
      <c r="AS954" s="155"/>
      <c r="AT954" s="155"/>
      <c r="AU954" s="155"/>
      <c r="AV954" s="155"/>
      <c r="AW954" s="155"/>
      <c r="AX954" s="155"/>
      <c r="AY954" s="155"/>
      <c r="AZ954" s="155"/>
      <c r="BA954" s="155"/>
      <c r="BB954" s="155"/>
      <c r="BC954" s="155"/>
      <c r="BD954" s="155"/>
      <c r="BE954" s="155"/>
      <c r="BF954" s="155"/>
      <c r="BG954" s="155"/>
      <c r="BH954" s="155"/>
      <c r="BI954" s="155"/>
      <c r="BJ954" s="155"/>
      <c r="BK954" s="155"/>
      <c r="BL954" s="155"/>
      <c r="BM954" s="155"/>
      <c r="BN954" s="155"/>
      <c r="BO954" s="155"/>
      <c r="BP954" s="155"/>
      <c r="BQ954" s="155"/>
      <c r="BR954" s="155"/>
      <c r="BS954" s="155"/>
      <c r="BT954" s="155"/>
      <c r="BU954" s="155"/>
      <c r="BV954" s="155"/>
      <c r="BW954" s="155"/>
      <c r="BX954" s="155"/>
      <c r="BY954" s="155"/>
      <c r="BZ954" s="155"/>
      <c r="CA954" s="155"/>
      <c r="CB954" s="155"/>
      <c r="CC954" s="155"/>
      <c r="CD954" s="155"/>
      <c r="CE954" s="155"/>
      <c r="CF954" s="155"/>
      <c r="CG954" s="155"/>
    </row>
    <row r="955" spans="1:85" ht="12.75" x14ac:dyDescent="0.2">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c r="AA955" s="155"/>
      <c r="AB955" s="155"/>
      <c r="AC955" s="155"/>
      <c r="AD955" s="155"/>
      <c r="AE955" s="155"/>
      <c r="AF955" s="155"/>
      <c r="AG955" s="155"/>
      <c r="AH955" s="155"/>
      <c r="AI955" s="155"/>
      <c r="AJ955" s="155"/>
      <c r="AK955" s="155"/>
      <c r="AL955" s="155"/>
      <c r="AM955" s="155"/>
      <c r="AN955" s="155"/>
      <c r="AO955" s="155"/>
      <c r="AP955" s="155"/>
      <c r="AQ955" s="155"/>
      <c r="AR955" s="155"/>
      <c r="AS955" s="155"/>
      <c r="AT955" s="155"/>
      <c r="AU955" s="155"/>
      <c r="AV955" s="155"/>
      <c r="AW955" s="155"/>
      <c r="AX955" s="155"/>
      <c r="AY955" s="155"/>
      <c r="AZ955" s="155"/>
      <c r="BA955" s="155"/>
      <c r="BB955" s="155"/>
      <c r="BC955" s="155"/>
      <c r="BD955" s="155"/>
      <c r="BE955" s="155"/>
      <c r="BF955" s="155"/>
      <c r="BG955" s="155"/>
      <c r="BH955" s="155"/>
      <c r="BI955" s="155"/>
      <c r="BJ955" s="155"/>
      <c r="BK955" s="155"/>
      <c r="BL955" s="155"/>
      <c r="BM955" s="155"/>
      <c r="BN955" s="155"/>
      <c r="BO955" s="155"/>
      <c r="BP955" s="155"/>
      <c r="BQ955" s="155"/>
      <c r="BR955" s="155"/>
      <c r="BS955" s="155"/>
      <c r="BT955" s="155"/>
      <c r="BU955" s="155"/>
      <c r="BV955" s="155"/>
      <c r="BW955" s="155"/>
      <c r="BX955" s="155"/>
      <c r="BY955" s="155"/>
      <c r="BZ955" s="155"/>
      <c r="CA955" s="155"/>
      <c r="CB955" s="155"/>
      <c r="CC955" s="155"/>
      <c r="CD955" s="155"/>
      <c r="CE955" s="155"/>
      <c r="CF955" s="155"/>
      <c r="CG955" s="155"/>
    </row>
    <row r="956" spans="1:85" ht="12.75" x14ac:dyDescent="0.2">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c r="AA956" s="155"/>
      <c r="AB956" s="155"/>
      <c r="AC956" s="155"/>
      <c r="AD956" s="155"/>
      <c r="AE956" s="155"/>
      <c r="AF956" s="155"/>
      <c r="AG956" s="155"/>
      <c r="AH956" s="155"/>
      <c r="AI956" s="155"/>
      <c r="AJ956" s="155"/>
      <c r="AK956" s="155"/>
      <c r="AL956" s="155"/>
      <c r="AM956" s="155"/>
      <c r="AN956" s="155"/>
      <c r="AO956" s="155"/>
      <c r="AP956" s="155"/>
      <c r="AQ956" s="155"/>
      <c r="AR956" s="155"/>
      <c r="AS956" s="155"/>
      <c r="AT956" s="155"/>
      <c r="AU956" s="155"/>
      <c r="AV956" s="155"/>
      <c r="AW956" s="155"/>
      <c r="AX956" s="155"/>
      <c r="AY956" s="155"/>
      <c r="AZ956" s="155"/>
      <c r="BA956" s="155"/>
      <c r="BB956" s="155"/>
      <c r="BC956" s="155"/>
      <c r="BD956" s="155"/>
      <c r="BE956" s="155"/>
      <c r="BF956" s="155"/>
      <c r="BG956" s="155"/>
      <c r="BH956" s="155"/>
      <c r="BI956" s="155"/>
      <c r="BJ956" s="155"/>
      <c r="BK956" s="155"/>
      <c r="BL956" s="155"/>
      <c r="BM956" s="155"/>
      <c r="BN956" s="155"/>
      <c r="BO956" s="155"/>
      <c r="BP956" s="155"/>
      <c r="BQ956" s="155"/>
      <c r="BR956" s="155"/>
      <c r="BS956" s="155"/>
      <c r="BT956" s="155"/>
      <c r="BU956" s="155"/>
      <c r="BV956" s="155"/>
      <c r="BW956" s="155"/>
      <c r="BX956" s="155"/>
      <c r="BY956" s="155"/>
      <c r="BZ956" s="155"/>
      <c r="CA956" s="155"/>
      <c r="CB956" s="155"/>
      <c r="CC956" s="155"/>
      <c r="CD956" s="155"/>
      <c r="CE956" s="155"/>
      <c r="CF956" s="155"/>
      <c r="CG956" s="155"/>
    </row>
    <row r="957" spans="1:85" ht="12.75" x14ac:dyDescent="0.2">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c r="AA957" s="155"/>
      <c r="AB957" s="155"/>
      <c r="AC957" s="155"/>
      <c r="AD957" s="155"/>
      <c r="AE957" s="155"/>
      <c r="AF957" s="155"/>
      <c r="AG957" s="155"/>
      <c r="AH957" s="155"/>
      <c r="AI957" s="155"/>
      <c r="AJ957" s="155"/>
      <c r="AK957" s="155"/>
      <c r="AL957" s="155"/>
      <c r="AM957" s="155"/>
      <c r="AN957" s="155"/>
      <c r="AO957" s="155"/>
      <c r="AP957" s="155"/>
      <c r="AQ957" s="155"/>
      <c r="AR957" s="155"/>
      <c r="AS957" s="155"/>
      <c r="AT957" s="155"/>
      <c r="AU957" s="155"/>
      <c r="AV957" s="155"/>
      <c r="AW957" s="155"/>
      <c r="AX957" s="155"/>
      <c r="AY957" s="155"/>
      <c r="AZ957" s="155"/>
      <c r="BA957" s="155"/>
      <c r="BB957" s="155"/>
      <c r="BC957" s="155"/>
      <c r="BD957" s="155"/>
      <c r="BE957" s="155"/>
      <c r="BF957" s="155"/>
      <c r="BG957" s="155"/>
      <c r="BH957" s="155"/>
      <c r="BI957" s="155"/>
      <c r="BJ957" s="155"/>
      <c r="BK957" s="155"/>
      <c r="BL957" s="155"/>
      <c r="BM957" s="155"/>
      <c r="BN957" s="155"/>
      <c r="BO957" s="155"/>
      <c r="BP957" s="155"/>
      <c r="BQ957" s="155"/>
      <c r="BR957" s="155"/>
      <c r="BS957" s="155"/>
      <c r="BT957" s="155"/>
      <c r="BU957" s="155"/>
      <c r="BV957" s="155"/>
      <c r="BW957" s="155"/>
      <c r="BX957" s="155"/>
      <c r="BY957" s="155"/>
      <c r="BZ957" s="155"/>
      <c r="CA957" s="155"/>
      <c r="CB957" s="155"/>
      <c r="CC957" s="155"/>
      <c r="CD957" s="155"/>
      <c r="CE957" s="155"/>
      <c r="CF957" s="155"/>
      <c r="CG957" s="155"/>
    </row>
    <row r="958" spans="1:85" ht="12.75" x14ac:dyDescent="0.2">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c r="AA958" s="155"/>
      <c r="AB958" s="155"/>
      <c r="AC958" s="155"/>
      <c r="AD958" s="155"/>
      <c r="AE958" s="155"/>
      <c r="AF958" s="155"/>
      <c r="AG958" s="155"/>
      <c r="AH958" s="155"/>
      <c r="AI958" s="155"/>
      <c r="AJ958" s="155"/>
      <c r="AK958" s="155"/>
      <c r="AL958" s="155"/>
      <c r="AM958" s="155"/>
      <c r="AN958" s="155"/>
      <c r="AO958" s="155"/>
      <c r="AP958" s="155"/>
      <c r="AQ958" s="155"/>
      <c r="AR958" s="155"/>
      <c r="AS958" s="155"/>
      <c r="AT958" s="155"/>
      <c r="AU958" s="155"/>
      <c r="AV958" s="155"/>
      <c r="AW958" s="155"/>
      <c r="AX958" s="155"/>
      <c r="AY958" s="155"/>
      <c r="AZ958" s="155"/>
      <c r="BA958" s="155"/>
      <c r="BB958" s="155"/>
      <c r="BC958" s="155"/>
      <c r="BD958" s="155"/>
      <c r="BE958" s="155"/>
      <c r="BF958" s="155"/>
      <c r="BG958" s="155"/>
      <c r="BH958" s="155"/>
      <c r="BI958" s="155"/>
      <c r="BJ958" s="155"/>
      <c r="BK958" s="155"/>
      <c r="BL958" s="155"/>
      <c r="BM958" s="155"/>
      <c r="BN958" s="155"/>
      <c r="BO958" s="155"/>
      <c r="BP958" s="155"/>
      <c r="BQ958" s="155"/>
      <c r="BR958" s="155"/>
      <c r="BS958" s="155"/>
      <c r="BT958" s="155"/>
      <c r="BU958" s="155"/>
      <c r="BV958" s="155"/>
      <c r="BW958" s="155"/>
      <c r="BX958" s="155"/>
      <c r="BY958" s="155"/>
      <c r="BZ958" s="155"/>
      <c r="CA958" s="155"/>
      <c r="CB958" s="155"/>
      <c r="CC958" s="155"/>
      <c r="CD958" s="155"/>
      <c r="CE958" s="155"/>
      <c r="CF958" s="155"/>
      <c r="CG958" s="155"/>
    </row>
    <row r="959" spans="1:85" ht="12.75" x14ac:dyDescent="0.2">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c r="AA959" s="155"/>
      <c r="AB959" s="155"/>
      <c r="AC959" s="155"/>
      <c r="AD959" s="155"/>
      <c r="AE959" s="155"/>
      <c r="AF959" s="155"/>
      <c r="AG959" s="155"/>
      <c r="AH959" s="155"/>
      <c r="AI959" s="155"/>
      <c r="AJ959" s="155"/>
      <c r="AK959" s="155"/>
      <c r="AL959" s="155"/>
      <c r="AM959" s="155"/>
      <c r="AN959" s="155"/>
      <c r="AO959" s="155"/>
      <c r="AP959" s="155"/>
      <c r="AQ959" s="155"/>
      <c r="AR959" s="155"/>
      <c r="AS959" s="155"/>
      <c r="AT959" s="155"/>
      <c r="AU959" s="155"/>
      <c r="AV959" s="155"/>
      <c r="AW959" s="155"/>
      <c r="AX959" s="155"/>
      <c r="AY959" s="155"/>
      <c r="AZ959" s="155"/>
      <c r="BA959" s="155"/>
      <c r="BB959" s="155"/>
      <c r="BC959" s="155"/>
      <c r="BD959" s="155"/>
      <c r="BE959" s="155"/>
      <c r="BF959" s="155"/>
      <c r="BG959" s="155"/>
      <c r="BH959" s="155"/>
      <c r="BI959" s="155"/>
      <c r="BJ959" s="155"/>
      <c r="BK959" s="155"/>
      <c r="BL959" s="155"/>
      <c r="BM959" s="155"/>
      <c r="BN959" s="155"/>
      <c r="BO959" s="155"/>
      <c r="BP959" s="155"/>
      <c r="BQ959" s="155"/>
      <c r="BR959" s="155"/>
      <c r="BS959" s="155"/>
      <c r="BT959" s="155"/>
      <c r="BU959" s="155"/>
      <c r="BV959" s="155"/>
      <c r="BW959" s="155"/>
      <c r="BX959" s="155"/>
      <c r="BY959" s="155"/>
      <c r="BZ959" s="155"/>
      <c r="CA959" s="155"/>
      <c r="CB959" s="155"/>
      <c r="CC959" s="155"/>
      <c r="CD959" s="155"/>
      <c r="CE959" s="155"/>
      <c r="CF959" s="155"/>
      <c r="CG959" s="155"/>
    </row>
    <row r="960" spans="1:85" ht="12.75" x14ac:dyDescent="0.2">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c r="AA960" s="155"/>
      <c r="AB960" s="155"/>
      <c r="AC960" s="155"/>
      <c r="AD960" s="155"/>
      <c r="AE960" s="155"/>
      <c r="AF960" s="155"/>
      <c r="AG960" s="155"/>
      <c r="AH960" s="155"/>
      <c r="AI960" s="155"/>
      <c r="AJ960" s="155"/>
      <c r="AK960" s="155"/>
      <c r="AL960" s="155"/>
      <c r="AM960" s="155"/>
      <c r="AN960" s="155"/>
      <c r="AO960" s="155"/>
      <c r="AP960" s="155"/>
      <c r="AQ960" s="155"/>
      <c r="AR960" s="155"/>
      <c r="AS960" s="155"/>
      <c r="AT960" s="155"/>
      <c r="AU960" s="155"/>
      <c r="AV960" s="155"/>
      <c r="AW960" s="155"/>
      <c r="AX960" s="155"/>
      <c r="AY960" s="155"/>
      <c r="AZ960" s="155"/>
      <c r="BA960" s="155"/>
      <c r="BB960" s="155"/>
      <c r="BC960" s="155"/>
      <c r="BD960" s="155"/>
      <c r="BE960" s="155"/>
      <c r="BF960" s="155"/>
      <c r="BG960" s="155"/>
      <c r="BH960" s="155"/>
      <c r="BI960" s="155"/>
      <c r="BJ960" s="155"/>
      <c r="BK960" s="155"/>
      <c r="BL960" s="155"/>
      <c r="BM960" s="155"/>
      <c r="BN960" s="155"/>
      <c r="BO960" s="155"/>
      <c r="BP960" s="155"/>
      <c r="BQ960" s="155"/>
      <c r="BR960" s="155"/>
      <c r="BS960" s="155"/>
      <c r="BT960" s="155"/>
      <c r="BU960" s="155"/>
      <c r="BV960" s="155"/>
      <c r="BW960" s="155"/>
      <c r="BX960" s="155"/>
      <c r="BY960" s="155"/>
      <c r="BZ960" s="155"/>
      <c r="CA960" s="155"/>
      <c r="CB960" s="155"/>
      <c r="CC960" s="155"/>
      <c r="CD960" s="155"/>
      <c r="CE960" s="155"/>
      <c r="CF960" s="155"/>
      <c r="CG960" s="155"/>
    </row>
    <row r="961" spans="1:85" ht="12.75" x14ac:dyDescent="0.2">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c r="AA961" s="155"/>
      <c r="AB961" s="155"/>
      <c r="AC961" s="155"/>
      <c r="AD961" s="155"/>
      <c r="AE961" s="155"/>
      <c r="AF961" s="155"/>
      <c r="AG961" s="155"/>
      <c r="AH961" s="155"/>
      <c r="AI961" s="155"/>
      <c r="AJ961" s="155"/>
      <c r="AK961" s="155"/>
      <c r="AL961" s="155"/>
      <c r="AM961" s="155"/>
      <c r="AN961" s="155"/>
      <c r="AO961" s="155"/>
      <c r="AP961" s="155"/>
      <c r="AQ961" s="155"/>
      <c r="AR961" s="155"/>
      <c r="AS961" s="155"/>
      <c r="AT961" s="155"/>
      <c r="AU961" s="155"/>
      <c r="AV961" s="155"/>
      <c r="AW961" s="155"/>
      <c r="AX961" s="155"/>
      <c r="AY961" s="155"/>
      <c r="AZ961" s="155"/>
      <c r="BA961" s="155"/>
      <c r="BB961" s="155"/>
      <c r="BC961" s="155"/>
      <c r="BD961" s="155"/>
      <c r="BE961" s="155"/>
      <c r="BF961" s="155"/>
      <c r="BG961" s="155"/>
      <c r="BH961" s="155"/>
      <c r="BI961" s="155"/>
      <c r="BJ961" s="155"/>
      <c r="BK961" s="155"/>
      <c r="BL961" s="155"/>
      <c r="BM961" s="155"/>
      <c r="BN961" s="155"/>
      <c r="BO961" s="155"/>
      <c r="BP961" s="155"/>
      <c r="BQ961" s="155"/>
      <c r="BR961" s="155"/>
      <c r="BS961" s="155"/>
      <c r="BT961" s="155"/>
      <c r="BU961" s="155"/>
      <c r="BV961" s="155"/>
      <c r="BW961" s="155"/>
      <c r="BX961" s="155"/>
      <c r="BY961" s="155"/>
      <c r="BZ961" s="155"/>
      <c r="CA961" s="155"/>
      <c r="CB961" s="155"/>
      <c r="CC961" s="155"/>
      <c r="CD961" s="155"/>
      <c r="CE961" s="155"/>
      <c r="CF961" s="155"/>
      <c r="CG961" s="155"/>
    </row>
    <row r="962" spans="1:85" ht="12.75" x14ac:dyDescent="0.2">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c r="AA962" s="155"/>
      <c r="AB962" s="155"/>
      <c r="AC962" s="155"/>
      <c r="AD962" s="155"/>
      <c r="AE962" s="155"/>
      <c r="AF962" s="155"/>
      <c r="AG962" s="155"/>
      <c r="AH962" s="155"/>
      <c r="AI962" s="155"/>
      <c r="AJ962" s="155"/>
      <c r="AK962" s="155"/>
      <c r="AL962" s="155"/>
      <c r="AM962" s="155"/>
      <c r="AN962" s="155"/>
      <c r="AO962" s="155"/>
      <c r="AP962" s="155"/>
      <c r="AQ962" s="155"/>
      <c r="AR962" s="155"/>
      <c r="AS962" s="155"/>
      <c r="AT962" s="155"/>
      <c r="AU962" s="155"/>
      <c r="AV962" s="155"/>
      <c r="AW962" s="155"/>
      <c r="AX962" s="155"/>
      <c r="AY962" s="155"/>
      <c r="AZ962" s="155"/>
      <c r="BA962" s="155"/>
      <c r="BB962" s="155"/>
      <c r="BC962" s="155"/>
      <c r="BD962" s="155"/>
      <c r="BE962" s="155"/>
      <c r="BF962" s="155"/>
      <c r="BG962" s="155"/>
      <c r="BH962" s="155"/>
      <c r="BI962" s="155"/>
      <c r="BJ962" s="155"/>
      <c r="BK962" s="155"/>
      <c r="BL962" s="155"/>
      <c r="BM962" s="155"/>
      <c r="BN962" s="155"/>
      <c r="BO962" s="155"/>
      <c r="BP962" s="155"/>
      <c r="BQ962" s="155"/>
      <c r="BR962" s="155"/>
      <c r="BS962" s="155"/>
      <c r="BT962" s="155"/>
      <c r="BU962" s="155"/>
      <c r="BV962" s="155"/>
      <c r="BW962" s="155"/>
      <c r="BX962" s="155"/>
      <c r="BY962" s="155"/>
      <c r="BZ962" s="155"/>
      <c r="CA962" s="155"/>
      <c r="CB962" s="155"/>
      <c r="CC962" s="155"/>
      <c r="CD962" s="155"/>
      <c r="CE962" s="155"/>
      <c r="CF962" s="155"/>
      <c r="CG962" s="155"/>
    </row>
    <row r="963" spans="1:85" ht="12.75" x14ac:dyDescent="0.2">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c r="AA963" s="155"/>
      <c r="AB963" s="155"/>
      <c r="AC963" s="155"/>
      <c r="AD963" s="155"/>
      <c r="AE963" s="155"/>
      <c r="AF963" s="155"/>
      <c r="AG963" s="155"/>
      <c r="AH963" s="155"/>
      <c r="AI963" s="155"/>
      <c r="AJ963" s="155"/>
      <c r="AK963" s="155"/>
      <c r="AL963" s="155"/>
      <c r="AM963" s="155"/>
      <c r="AN963" s="155"/>
      <c r="AO963" s="155"/>
      <c r="AP963" s="155"/>
      <c r="AQ963" s="155"/>
      <c r="AR963" s="155"/>
      <c r="AS963" s="155"/>
      <c r="AT963" s="155"/>
      <c r="AU963" s="155"/>
      <c r="AV963" s="155"/>
      <c r="AW963" s="155"/>
      <c r="AX963" s="155"/>
      <c r="AY963" s="155"/>
      <c r="AZ963" s="155"/>
      <c r="BA963" s="155"/>
      <c r="BB963" s="155"/>
      <c r="BC963" s="155"/>
      <c r="BD963" s="155"/>
      <c r="BE963" s="155"/>
      <c r="BF963" s="155"/>
      <c r="BG963" s="155"/>
      <c r="BH963" s="155"/>
      <c r="BI963" s="155"/>
      <c r="BJ963" s="155"/>
      <c r="BK963" s="155"/>
      <c r="BL963" s="155"/>
      <c r="BM963" s="155"/>
      <c r="BN963" s="155"/>
      <c r="BO963" s="155"/>
      <c r="BP963" s="155"/>
      <c r="BQ963" s="155"/>
      <c r="BR963" s="155"/>
      <c r="BS963" s="155"/>
      <c r="BT963" s="155"/>
      <c r="BU963" s="155"/>
      <c r="BV963" s="155"/>
      <c r="BW963" s="155"/>
      <c r="BX963" s="155"/>
      <c r="BY963" s="155"/>
      <c r="BZ963" s="155"/>
      <c r="CA963" s="155"/>
      <c r="CB963" s="155"/>
      <c r="CC963" s="155"/>
      <c r="CD963" s="155"/>
      <c r="CE963" s="155"/>
      <c r="CF963" s="155"/>
      <c r="CG963" s="155"/>
    </row>
    <row r="964" spans="1:85" ht="12.75" x14ac:dyDescent="0.2">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c r="AA964" s="155"/>
      <c r="AB964" s="155"/>
      <c r="AC964" s="155"/>
      <c r="AD964" s="155"/>
      <c r="AE964" s="155"/>
      <c r="AF964" s="155"/>
      <c r="AG964" s="155"/>
      <c r="AH964" s="155"/>
      <c r="AI964" s="155"/>
      <c r="AJ964" s="155"/>
      <c r="AK964" s="155"/>
      <c r="AL964" s="155"/>
      <c r="AM964" s="155"/>
      <c r="AN964" s="155"/>
      <c r="AO964" s="155"/>
      <c r="AP964" s="155"/>
      <c r="AQ964" s="155"/>
      <c r="AR964" s="155"/>
      <c r="AS964" s="155"/>
      <c r="AT964" s="155"/>
      <c r="AU964" s="155"/>
      <c r="AV964" s="155"/>
      <c r="AW964" s="155"/>
      <c r="AX964" s="155"/>
      <c r="AY964" s="155"/>
      <c r="AZ964" s="155"/>
      <c r="BA964" s="155"/>
      <c r="BB964" s="155"/>
      <c r="BC964" s="155"/>
      <c r="BD964" s="155"/>
      <c r="BE964" s="155"/>
      <c r="BF964" s="155"/>
      <c r="BG964" s="155"/>
      <c r="BH964" s="155"/>
      <c r="BI964" s="155"/>
      <c r="BJ964" s="155"/>
      <c r="BK964" s="155"/>
      <c r="BL964" s="155"/>
      <c r="BM964" s="155"/>
      <c r="BN964" s="155"/>
      <c r="BO964" s="155"/>
      <c r="BP964" s="155"/>
      <c r="BQ964" s="155"/>
      <c r="BR964" s="155"/>
      <c r="BS964" s="155"/>
      <c r="BT964" s="155"/>
      <c r="BU964" s="155"/>
      <c r="BV964" s="155"/>
      <c r="BW964" s="155"/>
      <c r="BX964" s="155"/>
      <c r="BY964" s="155"/>
      <c r="BZ964" s="155"/>
      <c r="CA964" s="155"/>
      <c r="CB964" s="155"/>
      <c r="CC964" s="155"/>
      <c r="CD964" s="155"/>
      <c r="CE964" s="155"/>
      <c r="CF964" s="155"/>
      <c r="CG964" s="155"/>
    </row>
    <row r="965" spans="1:85" ht="12.75" x14ac:dyDescent="0.2">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c r="AA965" s="155"/>
      <c r="AB965" s="155"/>
      <c r="AC965" s="155"/>
      <c r="AD965" s="155"/>
      <c r="AE965" s="155"/>
      <c r="AF965" s="155"/>
      <c r="AG965" s="155"/>
      <c r="AH965" s="155"/>
      <c r="AI965" s="155"/>
      <c r="AJ965" s="155"/>
      <c r="AK965" s="155"/>
      <c r="AL965" s="155"/>
      <c r="AM965" s="155"/>
      <c r="AN965" s="155"/>
      <c r="AO965" s="155"/>
      <c r="AP965" s="155"/>
      <c r="AQ965" s="155"/>
      <c r="AR965" s="155"/>
      <c r="AS965" s="155"/>
      <c r="AT965" s="155"/>
      <c r="AU965" s="155"/>
      <c r="AV965" s="155"/>
      <c r="AW965" s="155"/>
      <c r="AX965" s="155"/>
      <c r="AY965" s="155"/>
      <c r="AZ965" s="155"/>
      <c r="BA965" s="155"/>
      <c r="BB965" s="155"/>
      <c r="BC965" s="155"/>
      <c r="BD965" s="155"/>
      <c r="BE965" s="155"/>
      <c r="BF965" s="155"/>
      <c r="BG965" s="155"/>
      <c r="BH965" s="155"/>
      <c r="BI965" s="155"/>
      <c r="BJ965" s="155"/>
      <c r="BK965" s="155"/>
      <c r="BL965" s="155"/>
      <c r="BM965" s="155"/>
      <c r="BN965" s="155"/>
      <c r="BO965" s="155"/>
      <c r="BP965" s="155"/>
      <c r="BQ965" s="155"/>
      <c r="BR965" s="155"/>
      <c r="BS965" s="155"/>
      <c r="BT965" s="155"/>
      <c r="BU965" s="155"/>
      <c r="BV965" s="155"/>
      <c r="BW965" s="155"/>
      <c r="BX965" s="155"/>
      <c r="BY965" s="155"/>
      <c r="BZ965" s="155"/>
      <c r="CA965" s="155"/>
      <c r="CB965" s="155"/>
      <c r="CC965" s="155"/>
      <c r="CD965" s="155"/>
      <c r="CE965" s="155"/>
      <c r="CF965" s="155"/>
      <c r="CG965" s="155"/>
    </row>
    <row r="966" spans="1:85" ht="12.75" x14ac:dyDescent="0.2">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c r="AA966" s="155"/>
      <c r="AB966" s="155"/>
      <c r="AC966" s="155"/>
      <c r="AD966" s="155"/>
      <c r="AE966" s="155"/>
      <c r="AF966" s="155"/>
      <c r="AG966" s="155"/>
      <c r="AH966" s="155"/>
      <c r="AI966" s="155"/>
      <c r="AJ966" s="155"/>
      <c r="AK966" s="155"/>
      <c r="AL966" s="155"/>
      <c r="AM966" s="155"/>
      <c r="AN966" s="155"/>
      <c r="AO966" s="155"/>
      <c r="AP966" s="155"/>
      <c r="AQ966" s="155"/>
      <c r="AR966" s="155"/>
      <c r="AS966" s="155"/>
      <c r="AT966" s="155"/>
      <c r="AU966" s="155"/>
      <c r="AV966" s="155"/>
      <c r="AW966" s="155"/>
      <c r="AX966" s="155"/>
      <c r="AY966" s="155"/>
      <c r="AZ966" s="155"/>
      <c r="BA966" s="155"/>
      <c r="BB966" s="155"/>
      <c r="BC966" s="155"/>
      <c r="BD966" s="155"/>
      <c r="BE966" s="155"/>
      <c r="BF966" s="155"/>
      <c r="BG966" s="155"/>
      <c r="BH966" s="155"/>
      <c r="BI966" s="155"/>
      <c r="BJ966" s="155"/>
      <c r="BK966" s="155"/>
      <c r="BL966" s="155"/>
      <c r="BM966" s="155"/>
      <c r="BN966" s="155"/>
      <c r="BO966" s="155"/>
      <c r="BP966" s="155"/>
      <c r="BQ966" s="155"/>
      <c r="BR966" s="155"/>
      <c r="BS966" s="155"/>
      <c r="BT966" s="155"/>
      <c r="BU966" s="155"/>
      <c r="BV966" s="155"/>
      <c r="BW966" s="155"/>
      <c r="BX966" s="155"/>
      <c r="BY966" s="155"/>
      <c r="BZ966" s="155"/>
      <c r="CA966" s="155"/>
      <c r="CB966" s="155"/>
      <c r="CC966" s="155"/>
      <c r="CD966" s="155"/>
      <c r="CE966" s="155"/>
      <c r="CF966" s="155"/>
      <c r="CG966" s="155"/>
    </row>
    <row r="967" spans="1:85" ht="12.75" x14ac:dyDescent="0.2">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c r="AA967" s="155"/>
      <c r="AB967" s="155"/>
      <c r="AC967" s="155"/>
      <c r="AD967" s="155"/>
      <c r="AE967" s="155"/>
      <c r="AF967" s="155"/>
      <c r="AG967" s="155"/>
      <c r="AH967" s="155"/>
      <c r="AI967" s="155"/>
      <c r="AJ967" s="155"/>
      <c r="AK967" s="155"/>
      <c r="AL967" s="155"/>
      <c r="AM967" s="155"/>
      <c r="AN967" s="155"/>
      <c r="AO967" s="155"/>
      <c r="AP967" s="155"/>
      <c r="AQ967" s="155"/>
      <c r="AR967" s="155"/>
      <c r="AS967" s="155"/>
      <c r="AT967" s="155"/>
      <c r="AU967" s="155"/>
      <c r="AV967" s="155"/>
      <c r="AW967" s="155"/>
      <c r="AX967" s="155"/>
      <c r="AY967" s="155"/>
      <c r="AZ967" s="155"/>
      <c r="BA967" s="155"/>
      <c r="BB967" s="155"/>
      <c r="BC967" s="155"/>
      <c r="BD967" s="155"/>
      <c r="BE967" s="155"/>
      <c r="BF967" s="155"/>
      <c r="BG967" s="155"/>
      <c r="BH967" s="155"/>
      <c r="BI967" s="155"/>
      <c r="BJ967" s="155"/>
      <c r="BK967" s="155"/>
      <c r="BL967" s="155"/>
      <c r="BM967" s="155"/>
      <c r="BN967" s="155"/>
      <c r="BO967" s="155"/>
      <c r="BP967" s="155"/>
      <c r="BQ967" s="155"/>
      <c r="BR967" s="155"/>
      <c r="BS967" s="155"/>
      <c r="BT967" s="155"/>
      <c r="BU967" s="155"/>
      <c r="BV967" s="155"/>
      <c r="BW967" s="155"/>
      <c r="BX967" s="155"/>
      <c r="BY967" s="155"/>
      <c r="BZ967" s="155"/>
      <c r="CA967" s="155"/>
      <c r="CB967" s="155"/>
      <c r="CC967" s="155"/>
      <c r="CD967" s="155"/>
      <c r="CE967" s="155"/>
      <c r="CF967" s="155"/>
      <c r="CG967" s="155"/>
    </row>
    <row r="968" spans="1:85" ht="12.75" x14ac:dyDescent="0.2">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c r="AA968" s="155"/>
      <c r="AB968" s="155"/>
      <c r="AC968" s="155"/>
      <c r="AD968" s="155"/>
      <c r="AE968" s="155"/>
      <c r="AF968" s="155"/>
      <c r="AG968" s="155"/>
      <c r="AH968" s="155"/>
      <c r="AI968" s="155"/>
      <c r="AJ968" s="155"/>
      <c r="AK968" s="155"/>
      <c r="AL968" s="155"/>
      <c r="AM968" s="155"/>
      <c r="AN968" s="155"/>
      <c r="AO968" s="155"/>
      <c r="AP968" s="155"/>
      <c r="AQ968" s="155"/>
      <c r="AR968" s="155"/>
      <c r="AS968" s="155"/>
      <c r="AT968" s="155"/>
      <c r="AU968" s="155"/>
      <c r="AV968" s="155"/>
      <c r="AW968" s="155"/>
      <c r="AX968" s="155"/>
      <c r="AY968" s="155"/>
      <c r="AZ968" s="155"/>
      <c r="BA968" s="155"/>
      <c r="BB968" s="155"/>
      <c r="BC968" s="155"/>
      <c r="BD968" s="155"/>
      <c r="BE968" s="155"/>
      <c r="BF968" s="155"/>
      <c r="BG968" s="155"/>
      <c r="BH968" s="155"/>
      <c r="BI968" s="155"/>
      <c r="BJ968" s="155"/>
      <c r="BK968" s="155"/>
      <c r="BL968" s="155"/>
      <c r="BM968" s="155"/>
      <c r="BN968" s="155"/>
      <c r="BO968" s="155"/>
      <c r="BP968" s="155"/>
      <c r="BQ968" s="155"/>
      <c r="BR968" s="155"/>
      <c r="BS968" s="155"/>
      <c r="BT968" s="155"/>
      <c r="BU968" s="155"/>
      <c r="BV968" s="155"/>
      <c r="BW968" s="155"/>
      <c r="BX968" s="155"/>
      <c r="BY968" s="155"/>
      <c r="BZ968" s="155"/>
      <c r="CA968" s="155"/>
      <c r="CB968" s="155"/>
      <c r="CC968" s="155"/>
      <c r="CD968" s="155"/>
      <c r="CE968" s="155"/>
      <c r="CF968" s="155"/>
      <c r="CG968" s="155"/>
    </row>
    <row r="969" spans="1:85" ht="12.75" x14ac:dyDescent="0.2">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c r="AA969" s="155"/>
      <c r="AB969" s="155"/>
      <c r="AC969" s="155"/>
      <c r="AD969" s="155"/>
      <c r="AE969" s="155"/>
      <c r="AF969" s="155"/>
      <c r="AG969" s="155"/>
      <c r="AH969" s="155"/>
      <c r="AI969" s="155"/>
      <c r="AJ969" s="155"/>
      <c r="AK969" s="155"/>
      <c r="AL969" s="155"/>
      <c r="AM969" s="155"/>
      <c r="AN969" s="155"/>
      <c r="AO969" s="155"/>
      <c r="AP969" s="155"/>
      <c r="AQ969" s="155"/>
      <c r="AR969" s="155"/>
      <c r="AS969" s="155"/>
      <c r="AT969" s="155"/>
      <c r="AU969" s="155"/>
      <c r="AV969" s="155"/>
      <c r="AW969" s="155"/>
      <c r="AX969" s="155"/>
      <c r="AY969" s="155"/>
      <c r="AZ969" s="155"/>
      <c r="BA969" s="155"/>
      <c r="BB969" s="155"/>
      <c r="BC969" s="155"/>
      <c r="BD969" s="155"/>
      <c r="BE969" s="155"/>
      <c r="BF969" s="155"/>
      <c r="BG969" s="155"/>
      <c r="BH969" s="155"/>
      <c r="BI969" s="155"/>
      <c r="BJ969" s="155"/>
      <c r="BK969" s="155"/>
      <c r="BL969" s="155"/>
      <c r="BM969" s="155"/>
      <c r="BN969" s="155"/>
      <c r="BO969" s="155"/>
      <c r="BP969" s="155"/>
      <c r="BQ969" s="155"/>
      <c r="BR969" s="155"/>
      <c r="BS969" s="155"/>
      <c r="BT969" s="155"/>
      <c r="BU969" s="155"/>
      <c r="BV969" s="155"/>
      <c r="BW969" s="155"/>
      <c r="BX969" s="155"/>
      <c r="BY969" s="155"/>
      <c r="BZ969" s="155"/>
      <c r="CA969" s="155"/>
      <c r="CB969" s="155"/>
      <c r="CC969" s="155"/>
      <c r="CD969" s="155"/>
      <c r="CE969" s="155"/>
      <c r="CF969" s="155"/>
      <c r="CG969" s="155"/>
    </row>
    <row r="970" spans="1:85" ht="12.75" x14ac:dyDescent="0.2">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c r="AA970" s="155"/>
      <c r="AB970" s="155"/>
      <c r="AC970" s="155"/>
      <c r="AD970" s="155"/>
      <c r="AE970" s="155"/>
      <c r="AF970" s="155"/>
      <c r="AG970" s="155"/>
      <c r="AH970" s="155"/>
      <c r="AI970" s="155"/>
      <c r="AJ970" s="155"/>
      <c r="AK970" s="155"/>
      <c r="AL970" s="155"/>
      <c r="AM970" s="155"/>
      <c r="AN970" s="155"/>
      <c r="AO970" s="155"/>
      <c r="AP970" s="155"/>
      <c r="AQ970" s="155"/>
      <c r="AR970" s="155"/>
      <c r="AS970" s="155"/>
      <c r="AT970" s="155"/>
      <c r="AU970" s="155"/>
      <c r="AV970" s="155"/>
      <c r="AW970" s="155"/>
      <c r="AX970" s="155"/>
      <c r="AY970" s="155"/>
      <c r="AZ970" s="155"/>
      <c r="BA970" s="155"/>
      <c r="BB970" s="155"/>
      <c r="BC970" s="155"/>
      <c r="BD970" s="155"/>
      <c r="BE970" s="155"/>
      <c r="BF970" s="155"/>
      <c r="BG970" s="155"/>
      <c r="BH970" s="155"/>
      <c r="BI970" s="155"/>
      <c r="BJ970" s="155"/>
      <c r="BK970" s="155"/>
      <c r="BL970" s="155"/>
      <c r="BM970" s="155"/>
      <c r="BN970" s="155"/>
      <c r="BO970" s="155"/>
      <c r="BP970" s="155"/>
      <c r="BQ970" s="155"/>
      <c r="BR970" s="155"/>
      <c r="BS970" s="155"/>
      <c r="BT970" s="155"/>
      <c r="BU970" s="155"/>
      <c r="BV970" s="155"/>
      <c r="BW970" s="155"/>
      <c r="BX970" s="155"/>
      <c r="BY970" s="155"/>
      <c r="BZ970" s="155"/>
      <c r="CA970" s="155"/>
      <c r="CB970" s="155"/>
      <c r="CC970" s="155"/>
      <c r="CD970" s="155"/>
      <c r="CE970" s="155"/>
      <c r="CF970" s="155"/>
      <c r="CG970" s="155"/>
    </row>
    <row r="971" spans="1:85" ht="12.75" x14ac:dyDescent="0.2">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c r="AA971" s="155"/>
      <c r="AB971" s="155"/>
      <c r="AC971" s="155"/>
      <c r="AD971" s="155"/>
      <c r="AE971" s="155"/>
      <c r="AF971" s="155"/>
      <c r="AG971" s="155"/>
      <c r="AH971" s="155"/>
      <c r="AI971" s="155"/>
      <c r="AJ971" s="155"/>
      <c r="AK971" s="155"/>
      <c r="AL971" s="155"/>
      <c r="AM971" s="155"/>
      <c r="AN971" s="155"/>
      <c r="AO971" s="155"/>
      <c r="AP971" s="155"/>
      <c r="AQ971" s="155"/>
      <c r="AR971" s="155"/>
      <c r="AS971" s="155"/>
      <c r="AT971" s="155"/>
      <c r="AU971" s="155"/>
      <c r="AV971" s="155"/>
      <c r="AW971" s="155"/>
      <c r="AX971" s="155"/>
      <c r="AY971" s="155"/>
      <c r="AZ971" s="155"/>
      <c r="BA971" s="155"/>
      <c r="BB971" s="155"/>
      <c r="BC971" s="155"/>
      <c r="BD971" s="155"/>
      <c r="BE971" s="155"/>
      <c r="BF971" s="155"/>
      <c r="BG971" s="155"/>
      <c r="BH971" s="155"/>
      <c r="BI971" s="155"/>
      <c r="BJ971" s="155"/>
      <c r="BK971" s="155"/>
      <c r="BL971" s="155"/>
      <c r="BM971" s="155"/>
      <c r="BN971" s="155"/>
      <c r="BO971" s="155"/>
      <c r="BP971" s="155"/>
      <c r="BQ971" s="155"/>
      <c r="BR971" s="155"/>
      <c r="BS971" s="155"/>
      <c r="BT971" s="155"/>
      <c r="BU971" s="155"/>
      <c r="BV971" s="155"/>
      <c r="BW971" s="155"/>
      <c r="BX971" s="155"/>
      <c r="BY971" s="155"/>
      <c r="BZ971" s="155"/>
      <c r="CA971" s="155"/>
      <c r="CB971" s="155"/>
      <c r="CC971" s="155"/>
      <c r="CD971" s="155"/>
      <c r="CE971" s="155"/>
      <c r="CF971" s="155"/>
      <c r="CG971" s="155"/>
    </row>
    <row r="972" spans="1:85" ht="12.75" x14ac:dyDescent="0.2">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55"/>
      <c r="BB972" s="155"/>
      <c r="BC972" s="155"/>
      <c r="BD972" s="155"/>
      <c r="BE972" s="155"/>
      <c r="BF972" s="155"/>
      <c r="BG972" s="155"/>
      <c r="BH972" s="155"/>
      <c r="BI972" s="155"/>
      <c r="BJ972" s="155"/>
      <c r="BK972" s="155"/>
      <c r="BL972" s="155"/>
      <c r="BM972" s="155"/>
      <c r="BN972" s="155"/>
      <c r="BO972" s="155"/>
      <c r="BP972" s="155"/>
      <c r="BQ972" s="155"/>
      <c r="BR972" s="155"/>
      <c r="BS972" s="155"/>
      <c r="BT972" s="155"/>
      <c r="BU972" s="155"/>
      <c r="BV972" s="155"/>
      <c r="BW972" s="155"/>
      <c r="BX972" s="155"/>
      <c r="BY972" s="155"/>
      <c r="BZ972" s="155"/>
      <c r="CA972" s="155"/>
      <c r="CB972" s="155"/>
      <c r="CC972" s="155"/>
      <c r="CD972" s="155"/>
      <c r="CE972" s="155"/>
      <c r="CF972" s="155"/>
      <c r="CG972" s="155"/>
    </row>
    <row r="973" spans="1:85" ht="12.75" x14ac:dyDescent="0.2">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55"/>
      <c r="BB973" s="155"/>
      <c r="BC973" s="155"/>
      <c r="BD973" s="155"/>
      <c r="BE973" s="155"/>
      <c r="BF973" s="155"/>
      <c r="BG973" s="155"/>
      <c r="BH973" s="155"/>
      <c r="BI973" s="155"/>
      <c r="BJ973" s="155"/>
      <c r="BK973" s="155"/>
      <c r="BL973" s="155"/>
      <c r="BM973" s="155"/>
      <c r="BN973" s="155"/>
      <c r="BO973" s="155"/>
      <c r="BP973" s="155"/>
      <c r="BQ973" s="155"/>
      <c r="BR973" s="155"/>
      <c r="BS973" s="155"/>
      <c r="BT973" s="155"/>
      <c r="BU973" s="155"/>
      <c r="BV973" s="155"/>
      <c r="BW973" s="155"/>
      <c r="BX973" s="155"/>
      <c r="BY973" s="155"/>
      <c r="BZ973" s="155"/>
      <c r="CA973" s="155"/>
      <c r="CB973" s="155"/>
      <c r="CC973" s="155"/>
      <c r="CD973" s="155"/>
      <c r="CE973" s="155"/>
      <c r="CF973" s="155"/>
      <c r="CG973" s="155"/>
    </row>
    <row r="974" spans="1:85" ht="12.75" x14ac:dyDescent="0.2">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55"/>
      <c r="AD974" s="155"/>
      <c r="AE974" s="155"/>
      <c r="AF974" s="155"/>
      <c r="AG974" s="155"/>
      <c r="AH974" s="155"/>
      <c r="AI974" s="155"/>
      <c r="AJ974" s="155"/>
      <c r="AK974" s="155"/>
      <c r="AL974" s="155"/>
      <c r="AM974" s="155"/>
      <c r="AN974" s="155"/>
      <c r="AO974" s="155"/>
      <c r="AP974" s="155"/>
      <c r="AQ974" s="155"/>
      <c r="AR974" s="155"/>
      <c r="AS974" s="155"/>
      <c r="AT974" s="155"/>
      <c r="AU974" s="155"/>
      <c r="AV974" s="155"/>
      <c r="AW974" s="155"/>
      <c r="AX974" s="155"/>
      <c r="AY974" s="155"/>
      <c r="AZ974" s="155"/>
      <c r="BA974" s="155"/>
      <c r="BB974" s="155"/>
      <c r="BC974" s="155"/>
      <c r="BD974" s="155"/>
      <c r="BE974" s="155"/>
      <c r="BF974" s="155"/>
      <c r="BG974" s="155"/>
      <c r="BH974" s="155"/>
      <c r="BI974" s="155"/>
      <c r="BJ974" s="155"/>
      <c r="BK974" s="155"/>
      <c r="BL974" s="155"/>
      <c r="BM974" s="155"/>
      <c r="BN974" s="155"/>
      <c r="BO974" s="155"/>
      <c r="BP974" s="155"/>
      <c r="BQ974" s="155"/>
      <c r="BR974" s="155"/>
      <c r="BS974" s="155"/>
      <c r="BT974" s="155"/>
      <c r="BU974" s="155"/>
      <c r="BV974" s="155"/>
      <c r="BW974" s="155"/>
      <c r="BX974" s="155"/>
      <c r="BY974" s="155"/>
      <c r="BZ974" s="155"/>
      <c r="CA974" s="155"/>
      <c r="CB974" s="155"/>
      <c r="CC974" s="155"/>
      <c r="CD974" s="155"/>
      <c r="CE974" s="155"/>
      <c r="CF974" s="155"/>
      <c r="CG974" s="155"/>
    </row>
    <row r="975" spans="1:85" ht="12.75" x14ac:dyDescent="0.2">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c r="AA975" s="155"/>
      <c r="AB975" s="155"/>
      <c r="AC975" s="155"/>
      <c r="AD975" s="155"/>
      <c r="AE975" s="155"/>
      <c r="AF975" s="155"/>
      <c r="AG975" s="155"/>
      <c r="AH975" s="155"/>
      <c r="AI975" s="155"/>
      <c r="AJ975" s="155"/>
      <c r="AK975" s="155"/>
      <c r="AL975" s="155"/>
      <c r="AM975" s="155"/>
      <c r="AN975" s="155"/>
      <c r="AO975" s="155"/>
      <c r="AP975" s="155"/>
      <c r="AQ975" s="155"/>
      <c r="AR975" s="155"/>
      <c r="AS975" s="155"/>
      <c r="AT975" s="155"/>
      <c r="AU975" s="155"/>
      <c r="AV975" s="155"/>
      <c r="AW975" s="155"/>
      <c r="AX975" s="155"/>
      <c r="AY975" s="155"/>
      <c r="AZ975" s="155"/>
      <c r="BA975" s="155"/>
      <c r="BB975" s="155"/>
      <c r="BC975" s="155"/>
      <c r="BD975" s="155"/>
      <c r="BE975" s="155"/>
      <c r="BF975" s="155"/>
      <c r="BG975" s="155"/>
      <c r="BH975" s="155"/>
      <c r="BI975" s="155"/>
      <c r="BJ975" s="155"/>
      <c r="BK975" s="155"/>
      <c r="BL975" s="155"/>
      <c r="BM975" s="155"/>
      <c r="BN975" s="155"/>
      <c r="BO975" s="155"/>
      <c r="BP975" s="155"/>
      <c r="BQ975" s="155"/>
      <c r="BR975" s="155"/>
      <c r="BS975" s="155"/>
      <c r="BT975" s="155"/>
      <c r="BU975" s="155"/>
      <c r="BV975" s="155"/>
      <c r="BW975" s="155"/>
      <c r="BX975" s="155"/>
      <c r="BY975" s="155"/>
      <c r="BZ975" s="155"/>
      <c r="CA975" s="155"/>
      <c r="CB975" s="155"/>
      <c r="CC975" s="155"/>
      <c r="CD975" s="155"/>
      <c r="CE975" s="155"/>
      <c r="CF975" s="155"/>
      <c r="CG975" s="155"/>
    </row>
    <row r="976" spans="1:85" ht="12.75" x14ac:dyDescent="0.2">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c r="AA976" s="155"/>
      <c r="AB976" s="155"/>
      <c r="AC976" s="155"/>
      <c r="AD976" s="155"/>
      <c r="AE976" s="155"/>
      <c r="AF976" s="155"/>
      <c r="AG976" s="155"/>
      <c r="AH976" s="155"/>
      <c r="AI976" s="155"/>
      <c r="AJ976" s="155"/>
      <c r="AK976" s="155"/>
      <c r="AL976" s="155"/>
      <c r="AM976" s="155"/>
      <c r="AN976" s="155"/>
      <c r="AO976" s="155"/>
      <c r="AP976" s="155"/>
      <c r="AQ976" s="155"/>
      <c r="AR976" s="155"/>
      <c r="AS976" s="155"/>
      <c r="AT976" s="155"/>
      <c r="AU976" s="155"/>
      <c r="AV976" s="155"/>
      <c r="AW976" s="155"/>
      <c r="AX976" s="155"/>
      <c r="AY976" s="155"/>
      <c r="AZ976" s="155"/>
      <c r="BA976" s="155"/>
      <c r="BB976" s="155"/>
      <c r="BC976" s="155"/>
      <c r="BD976" s="155"/>
      <c r="BE976" s="155"/>
      <c r="BF976" s="155"/>
      <c r="BG976" s="155"/>
      <c r="BH976" s="155"/>
      <c r="BI976" s="155"/>
      <c r="BJ976" s="155"/>
      <c r="BK976" s="155"/>
      <c r="BL976" s="155"/>
      <c r="BM976" s="155"/>
      <c r="BN976" s="155"/>
      <c r="BO976" s="155"/>
      <c r="BP976" s="155"/>
      <c r="BQ976" s="155"/>
      <c r="BR976" s="155"/>
      <c r="BS976" s="155"/>
      <c r="BT976" s="155"/>
      <c r="BU976" s="155"/>
      <c r="BV976" s="155"/>
      <c r="BW976" s="155"/>
      <c r="BX976" s="155"/>
      <c r="BY976" s="155"/>
      <c r="BZ976" s="155"/>
      <c r="CA976" s="155"/>
      <c r="CB976" s="155"/>
      <c r="CC976" s="155"/>
      <c r="CD976" s="155"/>
      <c r="CE976" s="155"/>
      <c r="CF976" s="155"/>
      <c r="CG976" s="155"/>
    </row>
    <row r="977" spans="1:85" ht="12.75" x14ac:dyDescent="0.2">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c r="AA977" s="155"/>
      <c r="AB977" s="155"/>
      <c r="AC977" s="155"/>
      <c r="AD977" s="155"/>
      <c r="AE977" s="155"/>
      <c r="AF977" s="155"/>
      <c r="AG977" s="155"/>
      <c r="AH977" s="155"/>
      <c r="AI977" s="155"/>
      <c r="AJ977" s="155"/>
      <c r="AK977" s="155"/>
      <c r="AL977" s="155"/>
      <c r="AM977" s="155"/>
      <c r="AN977" s="155"/>
      <c r="AO977" s="155"/>
      <c r="AP977" s="155"/>
      <c r="AQ977" s="155"/>
      <c r="AR977" s="155"/>
      <c r="AS977" s="155"/>
      <c r="AT977" s="155"/>
      <c r="AU977" s="155"/>
      <c r="AV977" s="155"/>
      <c r="AW977" s="155"/>
      <c r="AX977" s="155"/>
      <c r="AY977" s="155"/>
      <c r="AZ977" s="155"/>
      <c r="BA977" s="155"/>
      <c r="BB977" s="155"/>
      <c r="BC977" s="155"/>
      <c r="BD977" s="155"/>
      <c r="BE977" s="155"/>
      <c r="BF977" s="155"/>
      <c r="BG977" s="155"/>
      <c r="BH977" s="155"/>
      <c r="BI977" s="155"/>
      <c r="BJ977" s="155"/>
      <c r="BK977" s="155"/>
      <c r="BL977" s="155"/>
      <c r="BM977" s="155"/>
      <c r="BN977" s="155"/>
      <c r="BO977" s="155"/>
      <c r="BP977" s="155"/>
      <c r="BQ977" s="155"/>
      <c r="BR977" s="155"/>
      <c r="BS977" s="155"/>
      <c r="BT977" s="155"/>
      <c r="BU977" s="155"/>
      <c r="BV977" s="155"/>
      <c r="BW977" s="155"/>
      <c r="BX977" s="155"/>
      <c r="BY977" s="155"/>
      <c r="BZ977" s="155"/>
      <c r="CA977" s="155"/>
      <c r="CB977" s="155"/>
      <c r="CC977" s="155"/>
      <c r="CD977" s="155"/>
      <c r="CE977" s="155"/>
      <c r="CF977" s="155"/>
      <c r="CG977" s="155"/>
    </row>
    <row r="978" spans="1:85" ht="12.75" x14ac:dyDescent="0.2">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c r="AA978" s="155"/>
      <c r="AB978" s="155"/>
      <c r="AC978" s="155"/>
      <c r="AD978" s="155"/>
      <c r="AE978" s="155"/>
      <c r="AF978" s="155"/>
      <c r="AG978" s="155"/>
      <c r="AH978" s="155"/>
      <c r="AI978" s="155"/>
      <c r="AJ978" s="155"/>
      <c r="AK978" s="155"/>
      <c r="AL978" s="155"/>
      <c r="AM978" s="155"/>
      <c r="AN978" s="155"/>
      <c r="AO978" s="155"/>
      <c r="AP978" s="155"/>
      <c r="AQ978" s="155"/>
      <c r="AR978" s="155"/>
      <c r="AS978" s="155"/>
      <c r="AT978" s="155"/>
      <c r="AU978" s="155"/>
      <c r="AV978" s="155"/>
      <c r="AW978" s="155"/>
      <c r="AX978" s="155"/>
      <c r="AY978" s="155"/>
      <c r="AZ978" s="155"/>
      <c r="BA978" s="155"/>
      <c r="BB978" s="155"/>
      <c r="BC978" s="155"/>
      <c r="BD978" s="155"/>
      <c r="BE978" s="155"/>
      <c r="BF978" s="155"/>
      <c r="BG978" s="155"/>
      <c r="BH978" s="155"/>
      <c r="BI978" s="155"/>
      <c r="BJ978" s="155"/>
      <c r="BK978" s="155"/>
      <c r="BL978" s="155"/>
      <c r="BM978" s="155"/>
      <c r="BN978" s="155"/>
      <c r="BO978" s="155"/>
      <c r="BP978" s="155"/>
      <c r="BQ978" s="155"/>
      <c r="BR978" s="155"/>
      <c r="BS978" s="155"/>
      <c r="BT978" s="155"/>
      <c r="BU978" s="155"/>
      <c r="BV978" s="155"/>
      <c r="BW978" s="155"/>
      <c r="BX978" s="155"/>
      <c r="BY978" s="155"/>
      <c r="BZ978" s="155"/>
      <c r="CA978" s="155"/>
      <c r="CB978" s="155"/>
      <c r="CC978" s="155"/>
      <c r="CD978" s="155"/>
      <c r="CE978" s="155"/>
      <c r="CF978" s="155"/>
      <c r="CG978" s="155"/>
    </row>
    <row r="979" spans="1:85" ht="12.75" x14ac:dyDescent="0.2">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c r="AA979" s="155"/>
      <c r="AB979" s="155"/>
      <c r="AC979" s="155"/>
      <c r="AD979" s="155"/>
      <c r="AE979" s="155"/>
      <c r="AF979" s="155"/>
      <c r="AG979" s="155"/>
      <c r="AH979" s="155"/>
      <c r="AI979" s="155"/>
      <c r="AJ979" s="155"/>
      <c r="AK979" s="155"/>
      <c r="AL979" s="155"/>
      <c r="AM979" s="155"/>
      <c r="AN979" s="155"/>
      <c r="AO979" s="155"/>
      <c r="AP979" s="155"/>
      <c r="AQ979" s="155"/>
      <c r="AR979" s="155"/>
      <c r="AS979" s="155"/>
      <c r="AT979" s="155"/>
      <c r="AU979" s="155"/>
      <c r="AV979" s="155"/>
      <c r="AW979" s="155"/>
      <c r="AX979" s="155"/>
      <c r="AY979" s="155"/>
      <c r="AZ979" s="155"/>
      <c r="BA979" s="155"/>
      <c r="BB979" s="155"/>
      <c r="BC979" s="155"/>
      <c r="BD979" s="155"/>
      <c r="BE979" s="155"/>
      <c r="BF979" s="155"/>
      <c r="BG979" s="155"/>
      <c r="BH979" s="155"/>
      <c r="BI979" s="155"/>
      <c r="BJ979" s="155"/>
      <c r="BK979" s="155"/>
      <c r="BL979" s="155"/>
      <c r="BM979" s="155"/>
      <c r="BN979" s="155"/>
      <c r="BO979" s="155"/>
      <c r="BP979" s="155"/>
      <c r="BQ979" s="155"/>
      <c r="BR979" s="155"/>
      <c r="BS979" s="155"/>
      <c r="BT979" s="155"/>
      <c r="BU979" s="155"/>
      <c r="BV979" s="155"/>
      <c r="BW979" s="155"/>
      <c r="BX979" s="155"/>
      <c r="BY979" s="155"/>
      <c r="BZ979" s="155"/>
      <c r="CA979" s="155"/>
      <c r="CB979" s="155"/>
      <c r="CC979" s="155"/>
      <c r="CD979" s="155"/>
      <c r="CE979" s="155"/>
      <c r="CF979" s="155"/>
      <c r="CG979" s="155"/>
    </row>
    <row r="980" spans="1:85" ht="12.75" x14ac:dyDescent="0.2">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c r="AA980" s="155"/>
      <c r="AB980" s="155"/>
      <c r="AC980" s="155"/>
      <c r="AD980" s="155"/>
      <c r="AE980" s="155"/>
      <c r="AF980" s="155"/>
      <c r="AG980" s="155"/>
      <c r="AH980" s="155"/>
      <c r="AI980" s="155"/>
      <c r="AJ980" s="155"/>
      <c r="AK980" s="155"/>
      <c r="AL980" s="155"/>
      <c r="AM980" s="155"/>
      <c r="AN980" s="155"/>
      <c r="AO980" s="155"/>
      <c r="AP980" s="155"/>
      <c r="AQ980" s="155"/>
      <c r="AR980" s="155"/>
      <c r="AS980" s="155"/>
      <c r="AT980" s="155"/>
      <c r="AU980" s="155"/>
      <c r="AV980" s="155"/>
      <c r="AW980" s="155"/>
      <c r="AX980" s="155"/>
      <c r="AY980" s="155"/>
      <c r="AZ980" s="155"/>
      <c r="BA980" s="155"/>
      <c r="BB980" s="155"/>
      <c r="BC980" s="155"/>
      <c r="BD980" s="155"/>
      <c r="BE980" s="155"/>
      <c r="BF980" s="155"/>
      <c r="BG980" s="155"/>
      <c r="BH980" s="155"/>
      <c r="BI980" s="155"/>
      <c r="BJ980" s="155"/>
      <c r="BK980" s="155"/>
      <c r="BL980" s="155"/>
      <c r="BM980" s="155"/>
      <c r="BN980" s="155"/>
      <c r="BO980" s="155"/>
      <c r="BP980" s="155"/>
      <c r="BQ980" s="155"/>
      <c r="BR980" s="155"/>
      <c r="BS980" s="155"/>
      <c r="BT980" s="155"/>
      <c r="BU980" s="155"/>
      <c r="BV980" s="155"/>
      <c r="BW980" s="155"/>
      <c r="BX980" s="155"/>
      <c r="BY980" s="155"/>
      <c r="BZ980" s="155"/>
      <c r="CA980" s="155"/>
      <c r="CB980" s="155"/>
      <c r="CC980" s="155"/>
      <c r="CD980" s="155"/>
      <c r="CE980" s="155"/>
      <c r="CF980" s="155"/>
      <c r="CG980" s="155"/>
    </row>
    <row r="981" spans="1:85" ht="12.75" x14ac:dyDescent="0.2">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c r="AA981" s="155"/>
      <c r="AB981" s="155"/>
      <c r="AC981" s="155"/>
      <c r="AD981" s="155"/>
      <c r="AE981" s="155"/>
      <c r="AF981" s="155"/>
      <c r="AG981" s="155"/>
      <c r="AH981" s="155"/>
      <c r="AI981" s="155"/>
      <c r="AJ981" s="155"/>
      <c r="AK981" s="155"/>
      <c r="AL981" s="155"/>
      <c r="AM981" s="155"/>
      <c r="AN981" s="155"/>
      <c r="AO981" s="155"/>
      <c r="AP981" s="155"/>
      <c r="AQ981" s="155"/>
      <c r="AR981" s="155"/>
      <c r="AS981" s="155"/>
      <c r="AT981" s="155"/>
      <c r="AU981" s="155"/>
      <c r="AV981" s="155"/>
      <c r="AW981" s="155"/>
      <c r="AX981" s="155"/>
      <c r="AY981" s="155"/>
      <c r="AZ981" s="155"/>
      <c r="BA981" s="155"/>
      <c r="BB981" s="155"/>
      <c r="BC981" s="155"/>
      <c r="BD981" s="155"/>
      <c r="BE981" s="155"/>
      <c r="BF981" s="155"/>
      <c r="BG981" s="155"/>
      <c r="BH981" s="155"/>
      <c r="BI981" s="155"/>
      <c r="BJ981" s="155"/>
      <c r="BK981" s="155"/>
      <c r="BL981" s="155"/>
      <c r="BM981" s="155"/>
      <c r="BN981" s="155"/>
      <c r="BO981" s="155"/>
      <c r="BP981" s="155"/>
      <c r="BQ981" s="155"/>
      <c r="BR981" s="155"/>
      <c r="BS981" s="155"/>
      <c r="BT981" s="155"/>
      <c r="BU981" s="155"/>
      <c r="BV981" s="155"/>
      <c r="BW981" s="155"/>
      <c r="BX981" s="155"/>
      <c r="BY981" s="155"/>
      <c r="BZ981" s="155"/>
      <c r="CA981" s="155"/>
      <c r="CB981" s="155"/>
      <c r="CC981" s="155"/>
      <c r="CD981" s="155"/>
      <c r="CE981" s="155"/>
      <c r="CF981" s="155"/>
      <c r="CG981" s="155"/>
    </row>
    <row r="982" spans="1:85" ht="12.75" x14ac:dyDescent="0.2">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c r="AA982" s="155"/>
      <c r="AB982" s="155"/>
      <c r="AC982" s="155"/>
      <c r="AD982" s="155"/>
      <c r="AE982" s="155"/>
      <c r="AF982" s="155"/>
      <c r="AG982" s="155"/>
      <c r="AH982" s="155"/>
      <c r="AI982" s="155"/>
      <c r="AJ982" s="155"/>
      <c r="AK982" s="155"/>
      <c r="AL982" s="155"/>
      <c r="AM982" s="155"/>
      <c r="AN982" s="155"/>
      <c r="AO982" s="155"/>
      <c r="AP982" s="155"/>
      <c r="AQ982" s="155"/>
      <c r="AR982" s="155"/>
      <c r="AS982" s="155"/>
      <c r="AT982" s="155"/>
      <c r="AU982" s="155"/>
      <c r="AV982" s="155"/>
      <c r="AW982" s="155"/>
      <c r="AX982" s="155"/>
      <c r="AY982" s="155"/>
      <c r="AZ982" s="155"/>
      <c r="BA982" s="155"/>
      <c r="BB982" s="155"/>
      <c r="BC982" s="155"/>
      <c r="BD982" s="155"/>
      <c r="BE982" s="155"/>
      <c r="BF982" s="155"/>
      <c r="BG982" s="155"/>
      <c r="BH982" s="155"/>
      <c r="BI982" s="155"/>
      <c r="BJ982" s="155"/>
      <c r="BK982" s="155"/>
      <c r="BL982" s="155"/>
      <c r="BM982" s="155"/>
      <c r="BN982" s="155"/>
      <c r="BO982" s="155"/>
      <c r="BP982" s="155"/>
      <c r="BQ982" s="155"/>
      <c r="BR982" s="155"/>
      <c r="BS982" s="155"/>
      <c r="BT982" s="155"/>
      <c r="BU982" s="155"/>
      <c r="BV982" s="155"/>
      <c r="BW982" s="155"/>
      <c r="BX982" s="155"/>
      <c r="BY982" s="155"/>
      <c r="BZ982" s="155"/>
      <c r="CA982" s="155"/>
      <c r="CB982" s="155"/>
      <c r="CC982" s="155"/>
      <c r="CD982" s="155"/>
      <c r="CE982" s="155"/>
      <c r="CF982" s="155"/>
      <c r="CG982" s="155"/>
    </row>
    <row r="983" spans="1:85" ht="12.75" x14ac:dyDescent="0.2">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c r="AA983" s="155"/>
      <c r="AB983" s="155"/>
      <c r="AC983" s="155"/>
      <c r="AD983" s="155"/>
      <c r="AE983" s="155"/>
      <c r="AF983" s="155"/>
      <c r="AG983" s="155"/>
      <c r="AH983" s="155"/>
      <c r="AI983" s="155"/>
      <c r="AJ983" s="155"/>
      <c r="AK983" s="155"/>
      <c r="AL983" s="155"/>
      <c r="AM983" s="155"/>
      <c r="AN983" s="155"/>
      <c r="AO983" s="155"/>
      <c r="AP983" s="155"/>
      <c r="AQ983" s="155"/>
      <c r="AR983" s="155"/>
      <c r="AS983" s="155"/>
      <c r="AT983" s="155"/>
      <c r="AU983" s="155"/>
      <c r="AV983" s="155"/>
      <c r="AW983" s="155"/>
      <c r="AX983" s="155"/>
      <c r="AY983" s="155"/>
      <c r="AZ983" s="155"/>
      <c r="BA983" s="155"/>
      <c r="BB983" s="155"/>
      <c r="BC983" s="155"/>
      <c r="BD983" s="155"/>
      <c r="BE983" s="155"/>
      <c r="BF983" s="155"/>
      <c r="BG983" s="155"/>
      <c r="BH983" s="155"/>
      <c r="BI983" s="155"/>
      <c r="BJ983" s="155"/>
      <c r="BK983" s="155"/>
      <c r="BL983" s="155"/>
      <c r="BM983" s="155"/>
      <c r="BN983" s="155"/>
      <c r="BO983" s="155"/>
      <c r="BP983" s="155"/>
      <c r="BQ983" s="155"/>
      <c r="BR983" s="155"/>
      <c r="BS983" s="155"/>
      <c r="BT983" s="155"/>
      <c r="BU983" s="155"/>
      <c r="BV983" s="155"/>
      <c r="BW983" s="155"/>
      <c r="BX983" s="155"/>
      <c r="BY983" s="155"/>
      <c r="BZ983" s="155"/>
      <c r="CA983" s="155"/>
      <c r="CB983" s="155"/>
      <c r="CC983" s="155"/>
      <c r="CD983" s="155"/>
      <c r="CE983" s="155"/>
      <c r="CF983" s="155"/>
      <c r="CG983" s="155"/>
    </row>
    <row r="984" spans="1:85" ht="12.75" x14ac:dyDescent="0.2">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c r="AA984" s="155"/>
      <c r="AB984" s="155"/>
      <c r="AC984" s="155"/>
      <c r="AD984" s="155"/>
      <c r="AE984" s="155"/>
      <c r="AF984" s="155"/>
      <c r="AG984" s="155"/>
      <c r="AH984" s="155"/>
      <c r="AI984" s="155"/>
      <c r="AJ984" s="155"/>
      <c r="AK984" s="155"/>
      <c r="AL984" s="155"/>
      <c r="AM984" s="155"/>
      <c r="AN984" s="155"/>
      <c r="AO984" s="155"/>
      <c r="AP984" s="155"/>
      <c r="AQ984" s="155"/>
      <c r="AR984" s="155"/>
      <c r="AS984" s="155"/>
      <c r="AT984" s="155"/>
      <c r="AU984" s="155"/>
      <c r="AV984" s="155"/>
      <c r="AW984" s="155"/>
      <c r="AX984" s="155"/>
      <c r="AY984" s="155"/>
      <c r="AZ984" s="155"/>
      <c r="BA984" s="155"/>
      <c r="BB984" s="155"/>
      <c r="BC984" s="155"/>
      <c r="BD984" s="155"/>
      <c r="BE984" s="155"/>
      <c r="BF984" s="155"/>
      <c r="BG984" s="155"/>
      <c r="BH984" s="155"/>
      <c r="BI984" s="155"/>
      <c r="BJ984" s="155"/>
      <c r="BK984" s="155"/>
      <c r="BL984" s="155"/>
      <c r="BM984" s="155"/>
      <c r="BN984" s="155"/>
      <c r="BO984" s="155"/>
      <c r="BP984" s="155"/>
      <c r="BQ984" s="155"/>
      <c r="BR984" s="155"/>
      <c r="BS984" s="155"/>
      <c r="BT984" s="155"/>
      <c r="BU984" s="155"/>
      <c r="BV984" s="155"/>
      <c r="BW984" s="155"/>
      <c r="BX984" s="155"/>
      <c r="BY984" s="155"/>
      <c r="BZ984" s="155"/>
      <c r="CA984" s="155"/>
      <c r="CB984" s="155"/>
      <c r="CC984" s="155"/>
      <c r="CD984" s="155"/>
      <c r="CE984" s="155"/>
      <c r="CF984" s="155"/>
      <c r="CG984" s="155"/>
    </row>
    <row r="985" spans="1:85" ht="12.75" x14ac:dyDescent="0.2">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c r="AA985" s="155"/>
      <c r="AB985" s="155"/>
      <c r="AC985" s="155"/>
      <c r="AD985" s="155"/>
      <c r="AE985" s="155"/>
      <c r="AF985" s="155"/>
      <c r="AG985" s="155"/>
      <c r="AH985" s="155"/>
      <c r="AI985" s="155"/>
      <c r="AJ985" s="155"/>
      <c r="AK985" s="155"/>
      <c r="AL985" s="155"/>
      <c r="AM985" s="155"/>
      <c r="AN985" s="155"/>
      <c r="AO985" s="155"/>
      <c r="AP985" s="155"/>
      <c r="AQ985" s="155"/>
      <c r="AR985" s="155"/>
      <c r="AS985" s="155"/>
      <c r="AT985" s="155"/>
      <c r="AU985" s="155"/>
      <c r="AV985" s="155"/>
      <c r="AW985" s="155"/>
      <c r="AX985" s="155"/>
      <c r="AY985" s="155"/>
      <c r="AZ985" s="155"/>
      <c r="BA985" s="155"/>
      <c r="BB985" s="155"/>
      <c r="BC985" s="155"/>
      <c r="BD985" s="155"/>
      <c r="BE985" s="155"/>
      <c r="BF985" s="155"/>
      <c r="BG985" s="155"/>
      <c r="BH985" s="155"/>
      <c r="BI985" s="155"/>
      <c r="BJ985" s="155"/>
      <c r="BK985" s="155"/>
      <c r="BL985" s="155"/>
      <c r="BM985" s="155"/>
      <c r="BN985" s="155"/>
      <c r="BO985" s="155"/>
      <c r="BP985" s="155"/>
      <c r="BQ985" s="155"/>
      <c r="BR985" s="155"/>
      <c r="BS985" s="155"/>
      <c r="BT985" s="155"/>
      <c r="BU985" s="155"/>
      <c r="BV985" s="155"/>
      <c r="BW985" s="155"/>
      <c r="BX985" s="155"/>
      <c r="BY985" s="155"/>
      <c r="BZ985" s="155"/>
      <c r="CA985" s="155"/>
      <c r="CB985" s="155"/>
      <c r="CC985" s="155"/>
      <c r="CD985" s="155"/>
      <c r="CE985" s="155"/>
      <c r="CF985" s="155"/>
      <c r="CG985" s="155"/>
    </row>
    <row r="986" spans="1:85" ht="12.75" x14ac:dyDescent="0.2">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c r="AA986" s="155"/>
      <c r="AB986" s="155"/>
      <c r="AC986" s="155"/>
      <c r="AD986" s="155"/>
      <c r="AE986" s="155"/>
      <c r="AF986" s="155"/>
      <c r="AG986" s="155"/>
      <c r="AH986" s="155"/>
      <c r="AI986" s="155"/>
      <c r="AJ986" s="155"/>
      <c r="AK986" s="155"/>
      <c r="AL986" s="155"/>
      <c r="AM986" s="155"/>
      <c r="AN986" s="155"/>
      <c r="AO986" s="155"/>
      <c r="AP986" s="155"/>
      <c r="AQ986" s="155"/>
      <c r="AR986" s="155"/>
      <c r="AS986" s="155"/>
      <c r="AT986" s="155"/>
      <c r="AU986" s="155"/>
      <c r="AV986" s="155"/>
      <c r="AW986" s="155"/>
      <c r="AX986" s="155"/>
      <c r="AY986" s="155"/>
      <c r="AZ986" s="155"/>
      <c r="BA986" s="155"/>
      <c r="BB986" s="155"/>
      <c r="BC986" s="155"/>
      <c r="BD986" s="155"/>
      <c r="BE986" s="155"/>
      <c r="BF986" s="155"/>
      <c r="BG986" s="155"/>
      <c r="BH986" s="155"/>
      <c r="BI986" s="155"/>
      <c r="BJ986" s="155"/>
      <c r="BK986" s="155"/>
      <c r="BL986" s="155"/>
      <c r="BM986" s="155"/>
      <c r="BN986" s="155"/>
      <c r="BO986" s="155"/>
      <c r="BP986" s="155"/>
      <c r="BQ986" s="155"/>
      <c r="BR986" s="155"/>
      <c r="BS986" s="155"/>
      <c r="BT986" s="155"/>
      <c r="BU986" s="155"/>
      <c r="BV986" s="155"/>
      <c r="BW986" s="155"/>
      <c r="BX986" s="155"/>
      <c r="BY986" s="155"/>
      <c r="BZ986" s="155"/>
      <c r="CA986" s="155"/>
      <c r="CB986" s="155"/>
      <c r="CC986" s="155"/>
      <c r="CD986" s="155"/>
      <c r="CE986" s="155"/>
      <c r="CF986" s="155"/>
      <c r="CG986" s="155"/>
    </row>
    <row r="987" spans="1:85" ht="12.75" x14ac:dyDescent="0.2">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c r="AA987" s="155"/>
      <c r="AB987" s="155"/>
      <c r="AC987" s="155"/>
      <c r="AD987" s="155"/>
      <c r="AE987" s="155"/>
      <c r="AF987" s="155"/>
      <c r="AG987" s="155"/>
      <c r="AH987" s="155"/>
      <c r="AI987" s="155"/>
      <c r="AJ987" s="155"/>
      <c r="AK987" s="155"/>
      <c r="AL987" s="155"/>
      <c r="AM987" s="155"/>
      <c r="AN987" s="155"/>
      <c r="AO987" s="155"/>
      <c r="AP987" s="155"/>
      <c r="AQ987" s="155"/>
      <c r="AR987" s="155"/>
      <c r="AS987" s="155"/>
      <c r="AT987" s="155"/>
      <c r="AU987" s="155"/>
      <c r="AV987" s="155"/>
      <c r="AW987" s="155"/>
      <c r="AX987" s="155"/>
      <c r="AY987" s="155"/>
      <c r="AZ987" s="155"/>
      <c r="BA987" s="155"/>
      <c r="BB987" s="155"/>
      <c r="BC987" s="155"/>
      <c r="BD987" s="155"/>
      <c r="BE987" s="155"/>
      <c r="BF987" s="155"/>
      <c r="BG987" s="155"/>
      <c r="BH987" s="155"/>
      <c r="BI987" s="155"/>
      <c r="BJ987" s="155"/>
      <c r="BK987" s="155"/>
      <c r="BL987" s="155"/>
      <c r="BM987" s="155"/>
      <c r="BN987" s="155"/>
      <c r="BO987" s="155"/>
      <c r="BP987" s="155"/>
      <c r="BQ987" s="155"/>
      <c r="BR987" s="155"/>
      <c r="BS987" s="155"/>
      <c r="BT987" s="155"/>
      <c r="BU987" s="155"/>
      <c r="BV987" s="155"/>
      <c r="BW987" s="155"/>
      <c r="BX987" s="155"/>
      <c r="BY987" s="155"/>
      <c r="BZ987" s="155"/>
      <c r="CA987" s="155"/>
      <c r="CB987" s="155"/>
      <c r="CC987" s="155"/>
      <c r="CD987" s="155"/>
      <c r="CE987" s="155"/>
      <c r="CF987" s="155"/>
      <c r="CG987" s="155"/>
    </row>
    <row r="988" spans="1:85" ht="12.75" x14ac:dyDescent="0.2">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c r="AA988" s="155"/>
      <c r="AB988" s="155"/>
      <c r="AC988" s="155"/>
      <c r="AD988" s="155"/>
      <c r="AE988" s="155"/>
      <c r="AF988" s="155"/>
      <c r="AG988" s="155"/>
      <c r="AH988" s="155"/>
      <c r="AI988" s="155"/>
      <c r="AJ988" s="155"/>
      <c r="AK988" s="155"/>
      <c r="AL988" s="155"/>
      <c r="AM988" s="155"/>
      <c r="AN988" s="155"/>
      <c r="AO988" s="155"/>
      <c r="AP988" s="155"/>
      <c r="AQ988" s="155"/>
      <c r="AR988" s="155"/>
      <c r="AS988" s="155"/>
      <c r="AT988" s="155"/>
      <c r="AU988" s="155"/>
      <c r="AV988" s="155"/>
      <c r="AW988" s="155"/>
      <c r="AX988" s="155"/>
      <c r="AY988" s="155"/>
      <c r="AZ988" s="155"/>
      <c r="BA988" s="155"/>
      <c r="BB988" s="155"/>
      <c r="BC988" s="155"/>
      <c r="BD988" s="155"/>
      <c r="BE988" s="155"/>
      <c r="BF988" s="155"/>
      <c r="BG988" s="155"/>
      <c r="BH988" s="155"/>
      <c r="BI988" s="155"/>
      <c r="BJ988" s="155"/>
      <c r="BK988" s="155"/>
      <c r="BL988" s="155"/>
      <c r="BM988" s="155"/>
      <c r="BN988" s="155"/>
      <c r="BO988" s="155"/>
      <c r="BP988" s="155"/>
      <c r="BQ988" s="155"/>
      <c r="BR988" s="155"/>
      <c r="BS988" s="155"/>
      <c r="BT988" s="155"/>
      <c r="BU988" s="155"/>
      <c r="BV988" s="155"/>
      <c r="BW988" s="155"/>
      <c r="BX988" s="155"/>
      <c r="BY988" s="155"/>
      <c r="BZ988" s="155"/>
      <c r="CA988" s="155"/>
      <c r="CB988" s="155"/>
      <c r="CC988" s="155"/>
      <c r="CD988" s="155"/>
      <c r="CE988" s="155"/>
      <c r="CF988" s="155"/>
      <c r="CG988" s="155"/>
    </row>
    <row r="989" spans="1:85" ht="12.75" x14ac:dyDescent="0.2">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c r="AA989" s="155"/>
      <c r="AB989" s="155"/>
      <c r="AC989" s="155"/>
      <c r="AD989" s="155"/>
      <c r="AE989" s="155"/>
      <c r="AF989" s="155"/>
      <c r="AG989" s="155"/>
      <c r="AH989" s="155"/>
      <c r="AI989" s="155"/>
      <c r="AJ989" s="155"/>
      <c r="AK989" s="155"/>
      <c r="AL989" s="155"/>
      <c r="AM989" s="155"/>
      <c r="AN989" s="155"/>
      <c r="AO989" s="155"/>
      <c r="AP989" s="155"/>
      <c r="AQ989" s="155"/>
      <c r="AR989" s="155"/>
      <c r="AS989" s="155"/>
      <c r="AT989" s="155"/>
      <c r="AU989" s="155"/>
      <c r="AV989" s="155"/>
      <c r="AW989" s="155"/>
      <c r="AX989" s="155"/>
      <c r="AY989" s="155"/>
      <c r="AZ989" s="155"/>
      <c r="BA989" s="155"/>
      <c r="BB989" s="155"/>
      <c r="BC989" s="155"/>
      <c r="BD989" s="155"/>
      <c r="BE989" s="155"/>
      <c r="BF989" s="155"/>
      <c r="BG989" s="155"/>
      <c r="BH989" s="155"/>
      <c r="BI989" s="155"/>
      <c r="BJ989" s="155"/>
      <c r="BK989" s="155"/>
      <c r="BL989" s="155"/>
      <c r="BM989" s="155"/>
      <c r="BN989" s="155"/>
      <c r="BO989" s="155"/>
      <c r="BP989" s="155"/>
      <c r="BQ989" s="155"/>
      <c r="BR989" s="155"/>
      <c r="BS989" s="155"/>
      <c r="BT989" s="155"/>
      <c r="BU989" s="155"/>
      <c r="BV989" s="155"/>
      <c r="BW989" s="155"/>
      <c r="BX989" s="155"/>
      <c r="BY989" s="155"/>
      <c r="BZ989" s="155"/>
      <c r="CA989" s="155"/>
      <c r="CB989" s="155"/>
      <c r="CC989" s="155"/>
      <c r="CD989" s="155"/>
      <c r="CE989" s="155"/>
      <c r="CF989" s="155"/>
      <c r="CG989" s="155"/>
    </row>
    <row r="990" spans="1:85" ht="12.75" x14ac:dyDescent="0.2">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c r="AA990" s="155"/>
      <c r="AB990" s="155"/>
      <c r="AC990" s="155"/>
      <c r="AD990" s="155"/>
      <c r="AE990" s="155"/>
      <c r="AF990" s="155"/>
      <c r="AG990" s="155"/>
      <c r="AH990" s="155"/>
      <c r="AI990" s="155"/>
      <c r="AJ990" s="155"/>
      <c r="AK990" s="155"/>
      <c r="AL990" s="155"/>
      <c r="AM990" s="155"/>
      <c r="AN990" s="155"/>
      <c r="AO990" s="155"/>
      <c r="AP990" s="155"/>
      <c r="AQ990" s="155"/>
      <c r="AR990" s="155"/>
      <c r="AS990" s="155"/>
      <c r="AT990" s="155"/>
      <c r="AU990" s="155"/>
      <c r="AV990" s="155"/>
      <c r="AW990" s="155"/>
      <c r="AX990" s="155"/>
      <c r="AY990" s="155"/>
      <c r="AZ990" s="155"/>
      <c r="BA990" s="155"/>
      <c r="BB990" s="155"/>
      <c r="BC990" s="155"/>
      <c r="BD990" s="155"/>
      <c r="BE990" s="155"/>
      <c r="BF990" s="155"/>
      <c r="BG990" s="155"/>
      <c r="BH990" s="155"/>
      <c r="BI990" s="155"/>
      <c r="BJ990" s="155"/>
      <c r="BK990" s="155"/>
      <c r="BL990" s="155"/>
      <c r="BM990" s="155"/>
      <c r="BN990" s="155"/>
      <c r="BO990" s="155"/>
      <c r="BP990" s="155"/>
      <c r="BQ990" s="155"/>
      <c r="BR990" s="155"/>
      <c r="BS990" s="155"/>
      <c r="BT990" s="155"/>
      <c r="BU990" s="155"/>
      <c r="BV990" s="155"/>
      <c r="BW990" s="155"/>
      <c r="BX990" s="155"/>
      <c r="BY990" s="155"/>
      <c r="BZ990" s="155"/>
      <c r="CA990" s="155"/>
      <c r="CB990" s="155"/>
      <c r="CC990" s="155"/>
      <c r="CD990" s="155"/>
      <c r="CE990" s="155"/>
      <c r="CF990" s="155"/>
      <c r="CG990" s="155"/>
    </row>
    <row r="991" spans="1:85" ht="12.75" x14ac:dyDescent="0.2">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c r="AA991" s="155"/>
      <c r="AB991" s="155"/>
      <c r="AC991" s="155"/>
      <c r="AD991" s="155"/>
      <c r="AE991" s="155"/>
      <c r="AF991" s="155"/>
      <c r="AG991" s="155"/>
      <c r="AH991" s="155"/>
      <c r="AI991" s="155"/>
      <c r="AJ991" s="155"/>
      <c r="AK991" s="155"/>
      <c r="AL991" s="155"/>
      <c r="AM991" s="155"/>
      <c r="AN991" s="155"/>
      <c r="AO991" s="155"/>
      <c r="AP991" s="155"/>
      <c r="AQ991" s="155"/>
      <c r="AR991" s="155"/>
      <c r="AS991" s="155"/>
      <c r="AT991" s="155"/>
      <c r="AU991" s="155"/>
      <c r="AV991" s="155"/>
      <c r="AW991" s="155"/>
      <c r="AX991" s="155"/>
      <c r="AY991" s="155"/>
      <c r="AZ991" s="155"/>
      <c r="BA991" s="155"/>
      <c r="BB991" s="155"/>
      <c r="BC991" s="155"/>
      <c r="BD991" s="155"/>
      <c r="BE991" s="155"/>
      <c r="BF991" s="155"/>
      <c r="BG991" s="155"/>
      <c r="BH991" s="155"/>
      <c r="BI991" s="155"/>
      <c r="BJ991" s="155"/>
      <c r="BK991" s="155"/>
      <c r="BL991" s="155"/>
      <c r="BM991" s="155"/>
      <c r="BN991" s="155"/>
      <c r="BO991" s="155"/>
      <c r="BP991" s="155"/>
      <c r="BQ991" s="155"/>
      <c r="BR991" s="155"/>
      <c r="BS991" s="155"/>
      <c r="BT991" s="155"/>
      <c r="BU991" s="155"/>
      <c r="BV991" s="155"/>
      <c r="BW991" s="155"/>
      <c r="BX991" s="155"/>
      <c r="BY991" s="155"/>
      <c r="BZ991" s="155"/>
      <c r="CA991" s="155"/>
      <c r="CB991" s="155"/>
      <c r="CC991" s="155"/>
      <c r="CD991" s="155"/>
      <c r="CE991" s="155"/>
      <c r="CF991" s="155"/>
      <c r="CG991" s="155"/>
    </row>
    <row r="992" spans="1:85" ht="12.75" x14ac:dyDescent="0.2">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c r="AA992" s="155"/>
      <c r="AB992" s="155"/>
      <c r="AC992" s="155"/>
      <c r="AD992" s="155"/>
      <c r="AE992" s="155"/>
      <c r="AF992" s="155"/>
      <c r="AG992" s="155"/>
      <c r="AH992" s="155"/>
      <c r="AI992" s="155"/>
      <c r="AJ992" s="155"/>
      <c r="AK992" s="155"/>
      <c r="AL992" s="155"/>
      <c r="AM992" s="155"/>
      <c r="AN992" s="155"/>
      <c r="AO992" s="155"/>
      <c r="AP992" s="155"/>
      <c r="AQ992" s="155"/>
      <c r="AR992" s="155"/>
      <c r="AS992" s="155"/>
      <c r="AT992" s="155"/>
      <c r="AU992" s="155"/>
      <c r="AV992" s="155"/>
      <c r="AW992" s="155"/>
      <c r="AX992" s="155"/>
      <c r="AY992" s="155"/>
      <c r="AZ992" s="155"/>
      <c r="BA992" s="155"/>
      <c r="BB992" s="155"/>
      <c r="BC992" s="155"/>
      <c r="BD992" s="155"/>
      <c r="BE992" s="155"/>
      <c r="BF992" s="155"/>
      <c r="BG992" s="155"/>
      <c r="BH992" s="155"/>
      <c r="BI992" s="155"/>
      <c r="BJ992" s="155"/>
      <c r="BK992" s="155"/>
      <c r="BL992" s="155"/>
      <c r="BM992" s="155"/>
      <c r="BN992" s="155"/>
      <c r="BO992" s="155"/>
      <c r="BP992" s="155"/>
      <c r="BQ992" s="155"/>
      <c r="BR992" s="155"/>
      <c r="BS992" s="155"/>
      <c r="BT992" s="155"/>
      <c r="BU992" s="155"/>
      <c r="BV992" s="155"/>
      <c r="BW992" s="155"/>
      <c r="BX992" s="155"/>
      <c r="BY992" s="155"/>
      <c r="BZ992" s="155"/>
      <c r="CA992" s="155"/>
      <c r="CB992" s="155"/>
      <c r="CC992" s="155"/>
      <c r="CD992" s="155"/>
      <c r="CE992" s="155"/>
      <c r="CF992" s="155"/>
      <c r="CG992" s="155"/>
    </row>
    <row r="993" spans="1:85" ht="12.75" x14ac:dyDescent="0.2">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c r="AA993" s="155"/>
      <c r="AB993" s="155"/>
      <c r="AC993" s="155"/>
      <c r="AD993" s="155"/>
      <c r="AE993" s="155"/>
      <c r="AF993" s="155"/>
      <c r="AG993" s="155"/>
      <c r="AH993" s="155"/>
      <c r="AI993" s="155"/>
      <c r="AJ993" s="155"/>
      <c r="AK993" s="155"/>
      <c r="AL993" s="155"/>
      <c r="AM993" s="155"/>
      <c r="AN993" s="155"/>
      <c r="AO993" s="155"/>
      <c r="AP993" s="155"/>
      <c r="AQ993" s="155"/>
      <c r="AR993" s="155"/>
      <c r="AS993" s="155"/>
      <c r="AT993" s="155"/>
      <c r="AU993" s="155"/>
      <c r="AV993" s="155"/>
      <c r="AW993" s="155"/>
      <c r="AX993" s="155"/>
      <c r="AY993" s="155"/>
      <c r="AZ993" s="155"/>
      <c r="BA993" s="155"/>
      <c r="BB993" s="155"/>
      <c r="BC993" s="155"/>
      <c r="BD993" s="155"/>
      <c r="BE993" s="155"/>
      <c r="BF993" s="155"/>
      <c r="BG993" s="155"/>
      <c r="BH993" s="155"/>
      <c r="BI993" s="155"/>
      <c r="BJ993" s="155"/>
      <c r="BK993" s="155"/>
      <c r="BL993" s="155"/>
      <c r="BM993" s="155"/>
      <c r="BN993" s="155"/>
      <c r="BO993" s="155"/>
      <c r="BP993" s="155"/>
      <c r="BQ993" s="155"/>
      <c r="BR993" s="155"/>
      <c r="BS993" s="155"/>
      <c r="BT993" s="155"/>
      <c r="BU993" s="155"/>
      <c r="BV993" s="155"/>
      <c r="BW993" s="155"/>
      <c r="BX993" s="155"/>
      <c r="BY993" s="155"/>
      <c r="BZ993" s="155"/>
      <c r="CA993" s="155"/>
      <c r="CB993" s="155"/>
      <c r="CC993" s="155"/>
      <c r="CD993" s="155"/>
      <c r="CE993" s="155"/>
      <c r="CF993" s="155"/>
      <c r="CG993" s="155"/>
    </row>
    <row r="994" spans="1:85" ht="12.75" x14ac:dyDescent="0.2">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c r="AA994" s="155"/>
      <c r="AB994" s="155"/>
      <c r="AC994" s="155"/>
      <c r="AD994" s="155"/>
      <c r="AE994" s="155"/>
      <c r="AF994" s="155"/>
      <c r="AG994" s="155"/>
      <c r="AH994" s="155"/>
      <c r="AI994" s="155"/>
      <c r="AJ994" s="155"/>
      <c r="AK994" s="155"/>
      <c r="AL994" s="155"/>
      <c r="AM994" s="155"/>
      <c r="AN994" s="155"/>
      <c r="AO994" s="155"/>
      <c r="AP994" s="155"/>
      <c r="AQ994" s="155"/>
      <c r="AR994" s="155"/>
      <c r="AS994" s="155"/>
      <c r="AT994" s="155"/>
      <c r="AU994" s="155"/>
      <c r="AV994" s="155"/>
      <c r="AW994" s="155"/>
      <c r="AX994" s="155"/>
      <c r="AY994" s="155"/>
      <c r="AZ994" s="155"/>
      <c r="BA994" s="155"/>
      <c r="BB994" s="155"/>
      <c r="BC994" s="155"/>
      <c r="BD994" s="155"/>
      <c r="BE994" s="155"/>
      <c r="BF994" s="155"/>
      <c r="BG994" s="155"/>
      <c r="BH994" s="155"/>
      <c r="BI994" s="155"/>
      <c r="BJ994" s="155"/>
      <c r="BK994" s="155"/>
      <c r="BL994" s="155"/>
      <c r="BM994" s="155"/>
      <c r="BN994" s="155"/>
      <c r="BO994" s="155"/>
      <c r="BP994" s="155"/>
      <c r="BQ994" s="155"/>
      <c r="BR994" s="155"/>
      <c r="BS994" s="155"/>
      <c r="BT994" s="155"/>
      <c r="BU994" s="155"/>
      <c r="BV994" s="155"/>
      <c r="BW994" s="155"/>
      <c r="BX994" s="155"/>
      <c r="BY994" s="155"/>
      <c r="BZ994" s="155"/>
      <c r="CA994" s="155"/>
      <c r="CB994" s="155"/>
      <c r="CC994" s="155"/>
      <c r="CD994" s="155"/>
      <c r="CE994" s="155"/>
      <c r="CF994" s="155"/>
      <c r="CG994" s="155"/>
    </row>
    <row r="995" spans="1:85" ht="12.75" x14ac:dyDescent="0.2">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c r="AA995" s="155"/>
      <c r="AB995" s="155"/>
      <c r="AC995" s="155"/>
      <c r="AD995" s="155"/>
      <c r="AE995" s="155"/>
      <c r="AF995" s="155"/>
      <c r="AG995" s="155"/>
      <c r="AH995" s="155"/>
      <c r="AI995" s="155"/>
      <c r="AJ995" s="155"/>
      <c r="AK995" s="155"/>
      <c r="AL995" s="155"/>
      <c r="AM995" s="155"/>
      <c r="AN995" s="155"/>
      <c r="AO995" s="155"/>
      <c r="AP995" s="155"/>
      <c r="AQ995" s="155"/>
      <c r="AR995" s="155"/>
      <c r="AS995" s="155"/>
      <c r="AT995" s="155"/>
      <c r="AU995" s="155"/>
      <c r="AV995" s="155"/>
      <c r="AW995" s="155"/>
      <c r="AX995" s="155"/>
      <c r="AY995" s="155"/>
      <c r="AZ995" s="155"/>
      <c r="BA995" s="155"/>
      <c r="BB995" s="155"/>
      <c r="BC995" s="155"/>
      <c r="BD995" s="155"/>
      <c r="BE995" s="155"/>
      <c r="BF995" s="155"/>
      <c r="BG995" s="155"/>
      <c r="BH995" s="155"/>
      <c r="BI995" s="155"/>
      <c r="BJ995" s="155"/>
      <c r="BK995" s="155"/>
      <c r="BL995" s="155"/>
      <c r="BM995" s="155"/>
      <c r="BN995" s="155"/>
      <c r="BO995" s="155"/>
      <c r="BP995" s="155"/>
      <c r="BQ995" s="155"/>
      <c r="BR995" s="155"/>
      <c r="BS995" s="155"/>
      <c r="BT995" s="155"/>
      <c r="BU995" s="155"/>
      <c r="BV995" s="155"/>
      <c r="BW995" s="155"/>
      <c r="BX995" s="155"/>
      <c r="BY995" s="155"/>
      <c r="BZ995" s="155"/>
      <c r="CA995" s="155"/>
      <c r="CB995" s="155"/>
      <c r="CC995" s="155"/>
      <c r="CD995" s="155"/>
      <c r="CE995" s="155"/>
      <c r="CF995" s="155"/>
      <c r="CG995" s="155"/>
    </row>
    <row r="996" spans="1:85" ht="12.75" x14ac:dyDescent="0.2">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c r="AA996" s="155"/>
      <c r="AB996" s="155"/>
      <c r="AC996" s="155"/>
      <c r="AD996" s="155"/>
      <c r="AE996" s="155"/>
      <c r="AF996" s="155"/>
      <c r="AG996" s="155"/>
      <c r="AH996" s="155"/>
      <c r="AI996" s="155"/>
      <c r="AJ996" s="155"/>
      <c r="AK996" s="155"/>
      <c r="AL996" s="155"/>
      <c r="AM996" s="155"/>
      <c r="AN996" s="155"/>
      <c r="AO996" s="155"/>
      <c r="AP996" s="155"/>
      <c r="AQ996" s="155"/>
      <c r="AR996" s="155"/>
      <c r="AS996" s="155"/>
      <c r="AT996" s="155"/>
      <c r="AU996" s="155"/>
      <c r="AV996" s="155"/>
      <c r="AW996" s="155"/>
      <c r="AX996" s="155"/>
      <c r="AY996" s="155"/>
      <c r="AZ996" s="155"/>
      <c r="BA996" s="155"/>
      <c r="BB996" s="155"/>
      <c r="BC996" s="155"/>
      <c r="BD996" s="155"/>
      <c r="BE996" s="155"/>
      <c r="BF996" s="155"/>
      <c r="BG996" s="155"/>
      <c r="BH996" s="155"/>
      <c r="BI996" s="155"/>
      <c r="BJ996" s="155"/>
      <c r="BK996" s="155"/>
      <c r="BL996" s="155"/>
      <c r="BM996" s="155"/>
      <c r="BN996" s="155"/>
      <c r="BO996" s="155"/>
      <c r="BP996" s="155"/>
      <c r="BQ996" s="155"/>
      <c r="BR996" s="155"/>
      <c r="BS996" s="155"/>
      <c r="BT996" s="155"/>
      <c r="BU996" s="155"/>
      <c r="BV996" s="155"/>
      <c r="BW996" s="155"/>
      <c r="BX996" s="155"/>
      <c r="BY996" s="155"/>
      <c r="BZ996" s="155"/>
      <c r="CA996" s="155"/>
      <c r="CB996" s="155"/>
      <c r="CC996" s="155"/>
      <c r="CD996" s="155"/>
      <c r="CE996" s="155"/>
      <c r="CF996" s="155"/>
      <c r="CG996" s="155"/>
    </row>
    <row r="997" spans="1:85" ht="12.75" x14ac:dyDescent="0.2">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c r="AA997" s="155"/>
      <c r="AB997" s="155"/>
      <c r="AC997" s="155"/>
      <c r="AD997" s="155"/>
      <c r="AE997" s="155"/>
      <c r="AF997" s="155"/>
      <c r="AG997" s="155"/>
      <c r="AH997" s="155"/>
      <c r="AI997" s="155"/>
      <c r="AJ997" s="155"/>
      <c r="AK997" s="155"/>
      <c r="AL997" s="155"/>
      <c r="AM997" s="155"/>
      <c r="AN997" s="155"/>
      <c r="AO997" s="155"/>
      <c r="AP997" s="155"/>
      <c r="AQ997" s="155"/>
      <c r="AR997" s="155"/>
      <c r="AS997" s="155"/>
      <c r="AT997" s="155"/>
      <c r="AU997" s="155"/>
      <c r="AV997" s="155"/>
      <c r="AW997" s="155"/>
      <c r="AX997" s="155"/>
      <c r="AY997" s="155"/>
      <c r="AZ997" s="155"/>
      <c r="BA997" s="155"/>
      <c r="BB997" s="155"/>
      <c r="BC997" s="155"/>
      <c r="BD997" s="155"/>
      <c r="BE997" s="155"/>
      <c r="BF997" s="155"/>
      <c r="BG997" s="155"/>
      <c r="BH997" s="155"/>
      <c r="BI997" s="155"/>
      <c r="BJ997" s="155"/>
      <c r="BK997" s="155"/>
      <c r="BL997" s="155"/>
      <c r="BM997" s="155"/>
      <c r="BN997" s="155"/>
      <c r="BO997" s="155"/>
      <c r="BP997" s="155"/>
      <c r="BQ997" s="155"/>
      <c r="BR997" s="155"/>
      <c r="BS997" s="155"/>
      <c r="BT997" s="155"/>
      <c r="BU997" s="155"/>
      <c r="BV997" s="155"/>
      <c r="BW997" s="155"/>
      <c r="BX997" s="155"/>
      <c r="BY997" s="155"/>
      <c r="BZ997" s="155"/>
      <c r="CA997" s="155"/>
      <c r="CB997" s="155"/>
      <c r="CC997" s="155"/>
      <c r="CD997" s="155"/>
      <c r="CE997" s="155"/>
      <c r="CF997" s="155"/>
      <c r="CG997" s="155"/>
    </row>
    <row r="998" spans="1:85" ht="12.75" x14ac:dyDescent="0.2">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c r="AA998" s="155"/>
      <c r="AB998" s="155"/>
      <c r="AC998" s="155"/>
      <c r="AD998" s="155"/>
      <c r="AE998" s="155"/>
      <c r="AF998" s="155"/>
      <c r="AG998" s="155"/>
      <c r="AH998" s="155"/>
      <c r="AI998" s="155"/>
      <c r="AJ998" s="155"/>
      <c r="AK998" s="155"/>
      <c r="AL998" s="155"/>
      <c r="AM998" s="155"/>
      <c r="AN998" s="155"/>
      <c r="AO998" s="155"/>
      <c r="AP998" s="155"/>
      <c r="AQ998" s="155"/>
      <c r="AR998" s="155"/>
      <c r="AS998" s="155"/>
      <c r="AT998" s="155"/>
      <c r="AU998" s="155"/>
      <c r="AV998" s="155"/>
      <c r="AW998" s="155"/>
      <c r="AX998" s="155"/>
      <c r="AY998" s="155"/>
      <c r="AZ998" s="155"/>
      <c r="BA998" s="155"/>
      <c r="BB998" s="155"/>
      <c r="BC998" s="155"/>
      <c r="BD998" s="155"/>
      <c r="BE998" s="155"/>
      <c r="BF998" s="155"/>
      <c r="BG998" s="155"/>
      <c r="BH998" s="155"/>
      <c r="BI998" s="155"/>
      <c r="BJ998" s="155"/>
      <c r="BK998" s="155"/>
      <c r="BL998" s="155"/>
      <c r="BM998" s="155"/>
      <c r="BN998" s="155"/>
      <c r="BO998" s="155"/>
      <c r="BP998" s="155"/>
      <c r="BQ998" s="155"/>
      <c r="BR998" s="155"/>
      <c r="BS998" s="155"/>
      <c r="BT998" s="155"/>
      <c r="BU998" s="155"/>
      <c r="BV998" s="155"/>
      <c r="BW998" s="155"/>
      <c r="BX998" s="155"/>
      <c r="BY998" s="155"/>
      <c r="BZ998" s="155"/>
      <c r="CA998" s="155"/>
      <c r="CB998" s="155"/>
      <c r="CC998" s="155"/>
      <c r="CD998" s="155"/>
      <c r="CE998" s="155"/>
      <c r="CF998" s="155"/>
      <c r="CG998" s="155"/>
    </row>
    <row r="999" spans="1:85" ht="12.75" x14ac:dyDescent="0.2">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c r="AA999" s="155"/>
      <c r="AB999" s="155"/>
      <c r="AC999" s="155"/>
      <c r="AD999" s="155"/>
      <c r="AE999" s="155"/>
      <c r="AF999" s="155"/>
      <c r="AG999" s="155"/>
      <c r="AH999" s="155"/>
      <c r="AI999" s="155"/>
      <c r="AJ999" s="155"/>
      <c r="AK999" s="155"/>
      <c r="AL999" s="155"/>
      <c r="AM999" s="155"/>
      <c r="AN999" s="155"/>
      <c r="AO999" s="155"/>
      <c r="AP999" s="155"/>
      <c r="AQ999" s="155"/>
      <c r="AR999" s="155"/>
      <c r="AS999" s="155"/>
      <c r="AT999" s="155"/>
      <c r="AU999" s="155"/>
      <c r="AV999" s="155"/>
      <c r="AW999" s="155"/>
      <c r="AX999" s="155"/>
      <c r="AY999" s="155"/>
      <c r="AZ999" s="155"/>
      <c r="BA999" s="155"/>
      <c r="BB999" s="155"/>
      <c r="BC999" s="155"/>
      <c r="BD999" s="155"/>
      <c r="BE999" s="155"/>
      <c r="BF999" s="155"/>
      <c r="BG999" s="155"/>
      <c r="BH999" s="155"/>
      <c r="BI999" s="155"/>
      <c r="BJ999" s="155"/>
      <c r="BK999" s="155"/>
      <c r="BL999" s="155"/>
      <c r="BM999" s="155"/>
      <c r="BN999" s="155"/>
      <c r="BO999" s="155"/>
      <c r="BP999" s="155"/>
      <c r="BQ999" s="155"/>
      <c r="BR999" s="155"/>
      <c r="BS999" s="155"/>
      <c r="BT999" s="155"/>
      <c r="BU999" s="155"/>
      <c r="BV999" s="155"/>
      <c r="BW999" s="155"/>
      <c r="BX999" s="155"/>
      <c r="BY999" s="155"/>
      <c r="BZ999" s="155"/>
      <c r="CA999" s="155"/>
      <c r="CB999" s="155"/>
      <c r="CC999" s="155"/>
      <c r="CD999" s="155"/>
      <c r="CE999" s="155"/>
      <c r="CF999" s="155"/>
      <c r="CG999" s="155"/>
    </row>
    <row r="1000" spans="1:85" ht="12.75" x14ac:dyDescent="0.2">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c r="AA1000" s="155"/>
      <c r="AB1000" s="155"/>
      <c r="AC1000" s="155"/>
      <c r="AD1000" s="155"/>
      <c r="AE1000" s="155"/>
      <c r="AF1000" s="155"/>
      <c r="AG1000" s="155"/>
      <c r="AH1000" s="155"/>
      <c r="AI1000" s="155"/>
      <c r="AJ1000" s="155"/>
      <c r="AK1000" s="155"/>
      <c r="AL1000" s="155"/>
      <c r="AM1000" s="155"/>
      <c r="AN1000" s="155"/>
      <c r="AO1000" s="155"/>
      <c r="AP1000" s="155"/>
      <c r="AQ1000" s="155"/>
      <c r="AR1000" s="155"/>
      <c r="AS1000" s="155"/>
      <c r="AT1000" s="155"/>
      <c r="AU1000" s="155"/>
      <c r="AV1000" s="155"/>
      <c r="AW1000" s="155"/>
      <c r="AX1000" s="155"/>
      <c r="AY1000" s="155"/>
      <c r="AZ1000" s="155"/>
      <c r="BA1000" s="155"/>
      <c r="BB1000" s="155"/>
      <c r="BC1000" s="155"/>
      <c r="BD1000" s="155"/>
      <c r="BE1000" s="155"/>
      <c r="BF1000" s="155"/>
      <c r="BG1000" s="155"/>
      <c r="BH1000" s="155"/>
      <c r="BI1000" s="155"/>
      <c r="BJ1000" s="155"/>
      <c r="BK1000" s="155"/>
      <c r="BL1000" s="155"/>
      <c r="BM1000" s="155"/>
      <c r="BN1000" s="155"/>
      <c r="BO1000" s="155"/>
      <c r="BP1000" s="155"/>
      <c r="BQ1000" s="155"/>
      <c r="BR1000" s="155"/>
      <c r="BS1000" s="155"/>
      <c r="BT1000" s="155"/>
      <c r="BU1000" s="155"/>
      <c r="BV1000" s="155"/>
      <c r="BW1000" s="155"/>
      <c r="BX1000" s="155"/>
      <c r="BY1000" s="155"/>
      <c r="BZ1000" s="155"/>
      <c r="CA1000" s="155"/>
      <c r="CB1000" s="155"/>
      <c r="CC1000" s="155"/>
      <c r="CD1000" s="155"/>
      <c r="CE1000" s="155"/>
      <c r="CF1000" s="155"/>
      <c r="CG1000" s="155"/>
    </row>
    <row r="1001" spans="1:85" ht="12.75" x14ac:dyDescent="0.2">
      <c r="A1001" s="155"/>
      <c r="B1001" s="155"/>
      <c r="C1001" s="155"/>
      <c r="D1001" s="155"/>
      <c r="E1001" s="155"/>
      <c r="F1001" s="155"/>
      <c r="G1001" s="155"/>
      <c r="H1001" s="155"/>
      <c r="I1001" s="155"/>
      <c r="J1001" s="155"/>
      <c r="K1001" s="155"/>
      <c r="L1001" s="155"/>
      <c r="M1001" s="155"/>
      <c r="N1001" s="155"/>
      <c r="O1001" s="155"/>
      <c r="P1001" s="155"/>
      <c r="Q1001" s="155"/>
      <c r="R1001" s="155"/>
      <c r="S1001" s="155"/>
      <c r="T1001" s="155"/>
      <c r="U1001" s="155"/>
      <c r="V1001" s="155"/>
      <c r="W1001" s="155"/>
      <c r="X1001" s="155"/>
      <c r="Y1001" s="155"/>
      <c r="Z1001" s="155"/>
      <c r="AA1001" s="155"/>
      <c r="AB1001" s="155"/>
      <c r="AC1001" s="155"/>
      <c r="AD1001" s="155"/>
      <c r="AE1001" s="155"/>
      <c r="AF1001" s="155"/>
      <c r="AG1001" s="155"/>
      <c r="AH1001" s="155"/>
      <c r="AI1001" s="155"/>
      <c r="AJ1001" s="155"/>
      <c r="AK1001" s="155"/>
      <c r="AL1001" s="155"/>
      <c r="AM1001" s="155"/>
      <c r="AN1001" s="155"/>
      <c r="AO1001" s="155"/>
      <c r="AP1001" s="155"/>
      <c r="AQ1001" s="155"/>
      <c r="AR1001" s="155"/>
      <c r="AS1001" s="155"/>
      <c r="AT1001" s="155"/>
      <c r="AU1001" s="155"/>
      <c r="AV1001" s="155"/>
      <c r="AW1001" s="155"/>
      <c r="AX1001" s="155"/>
      <c r="AY1001" s="155"/>
      <c r="AZ1001" s="155"/>
      <c r="BA1001" s="155"/>
      <c r="BB1001" s="155"/>
      <c r="BC1001" s="155"/>
      <c r="BD1001" s="155"/>
      <c r="BE1001" s="155"/>
      <c r="BF1001" s="155"/>
      <c r="BG1001" s="155"/>
      <c r="BH1001" s="155"/>
      <c r="BI1001" s="155"/>
      <c r="BJ1001" s="155"/>
      <c r="BK1001" s="155"/>
      <c r="BL1001" s="155"/>
      <c r="BM1001" s="155"/>
      <c r="BN1001" s="155"/>
      <c r="BO1001" s="155"/>
      <c r="BP1001" s="155"/>
      <c r="BQ1001" s="155"/>
      <c r="BR1001" s="155"/>
      <c r="BS1001" s="155"/>
      <c r="BT1001" s="155"/>
      <c r="BU1001" s="155"/>
      <c r="BV1001" s="155"/>
      <c r="BW1001" s="155"/>
      <c r="BX1001" s="155"/>
      <c r="BY1001" s="155"/>
      <c r="BZ1001" s="155"/>
      <c r="CA1001" s="155"/>
      <c r="CB1001" s="155"/>
      <c r="CC1001" s="155"/>
      <c r="CD1001" s="155"/>
      <c r="CE1001" s="155"/>
      <c r="CF1001" s="155"/>
      <c r="CG1001" s="155"/>
    </row>
    <row r="1002" spans="1:85" ht="12.75" x14ac:dyDescent="0.2">
      <c r="A1002" s="155"/>
      <c r="B1002" s="155"/>
      <c r="C1002" s="155"/>
      <c r="D1002" s="155"/>
      <c r="E1002" s="155"/>
      <c r="F1002" s="155"/>
      <c r="G1002" s="155"/>
      <c r="H1002" s="155"/>
      <c r="I1002" s="155"/>
      <c r="J1002" s="155"/>
      <c r="K1002" s="155"/>
      <c r="L1002" s="155"/>
      <c r="M1002" s="155"/>
      <c r="N1002" s="155"/>
      <c r="O1002" s="155"/>
      <c r="P1002" s="155"/>
      <c r="Q1002" s="155"/>
      <c r="R1002" s="155"/>
      <c r="S1002" s="155"/>
      <c r="T1002" s="155"/>
      <c r="U1002" s="155"/>
      <c r="V1002" s="155"/>
      <c r="W1002" s="155"/>
      <c r="X1002" s="155"/>
      <c r="Y1002" s="155"/>
      <c r="Z1002" s="155"/>
      <c r="AA1002" s="155"/>
      <c r="AB1002" s="155"/>
      <c r="AC1002" s="155"/>
      <c r="AD1002" s="155"/>
      <c r="AE1002" s="155"/>
      <c r="AF1002" s="155"/>
      <c r="AG1002" s="155"/>
      <c r="AH1002" s="155"/>
      <c r="AI1002" s="155"/>
      <c r="AJ1002" s="155"/>
      <c r="AK1002" s="155"/>
      <c r="AL1002" s="155"/>
      <c r="AM1002" s="155"/>
      <c r="AN1002" s="155"/>
      <c r="AO1002" s="155"/>
      <c r="AP1002" s="155"/>
      <c r="AQ1002" s="155"/>
      <c r="AR1002" s="155"/>
      <c r="AS1002" s="155"/>
      <c r="AT1002" s="155"/>
      <c r="AU1002" s="155"/>
      <c r="AV1002" s="155"/>
      <c r="AW1002" s="155"/>
      <c r="AX1002" s="155"/>
      <c r="AY1002" s="155"/>
      <c r="AZ1002" s="155"/>
      <c r="BA1002" s="155"/>
      <c r="BB1002" s="155"/>
      <c r="BC1002" s="155"/>
      <c r="BD1002" s="155"/>
      <c r="BE1002" s="155"/>
      <c r="BF1002" s="155"/>
      <c r="BG1002" s="155"/>
      <c r="BH1002" s="155"/>
      <c r="BI1002" s="155"/>
      <c r="BJ1002" s="155"/>
      <c r="BK1002" s="155"/>
      <c r="BL1002" s="155"/>
      <c r="BM1002" s="155"/>
      <c r="BN1002" s="155"/>
      <c r="BO1002" s="155"/>
      <c r="BP1002" s="155"/>
      <c r="BQ1002" s="155"/>
      <c r="BR1002" s="155"/>
      <c r="BS1002" s="155"/>
      <c r="BT1002" s="155"/>
      <c r="BU1002" s="155"/>
      <c r="BV1002" s="155"/>
      <c r="BW1002" s="155"/>
      <c r="BX1002" s="155"/>
      <c r="BY1002" s="155"/>
      <c r="BZ1002" s="155"/>
      <c r="CA1002" s="155"/>
      <c r="CB1002" s="155"/>
      <c r="CC1002" s="155"/>
      <c r="CD1002" s="155"/>
      <c r="CE1002" s="155"/>
      <c r="CF1002" s="155"/>
      <c r="CG1002" s="155"/>
    </row>
    <row r="1003" spans="1:85" ht="12.75" x14ac:dyDescent="0.2">
      <c r="A1003" s="155"/>
      <c r="B1003" s="155"/>
      <c r="C1003" s="155"/>
      <c r="D1003" s="155"/>
      <c r="E1003" s="155"/>
      <c r="F1003" s="155"/>
      <c r="G1003" s="155"/>
      <c r="H1003" s="155"/>
      <c r="I1003" s="155"/>
      <c r="J1003" s="155"/>
      <c r="K1003" s="155"/>
      <c r="L1003" s="155"/>
      <c r="M1003" s="155"/>
      <c r="N1003" s="155"/>
      <c r="O1003" s="155"/>
      <c r="P1003" s="155"/>
      <c r="Q1003" s="155"/>
      <c r="R1003" s="155"/>
      <c r="S1003" s="155"/>
      <c r="T1003" s="155"/>
      <c r="U1003" s="155"/>
      <c r="V1003" s="155"/>
      <c r="W1003" s="155"/>
      <c r="X1003" s="155"/>
      <c r="Y1003" s="155"/>
      <c r="Z1003" s="155"/>
      <c r="AA1003" s="155"/>
      <c r="AB1003" s="155"/>
      <c r="AC1003" s="155"/>
      <c r="AD1003" s="155"/>
      <c r="AE1003" s="155"/>
      <c r="AF1003" s="155"/>
      <c r="AG1003" s="155"/>
      <c r="AH1003" s="155"/>
      <c r="AI1003" s="155"/>
      <c r="AJ1003" s="155"/>
      <c r="AK1003" s="155"/>
      <c r="AL1003" s="155"/>
      <c r="AM1003" s="155"/>
      <c r="AN1003" s="155"/>
      <c r="AO1003" s="155"/>
      <c r="AP1003" s="155"/>
      <c r="AQ1003" s="155"/>
      <c r="AR1003" s="155"/>
      <c r="AS1003" s="155"/>
      <c r="AT1003" s="155"/>
      <c r="AU1003" s="155"/>
      <c r="AV1003" s="155"/>
      <c r="AW1003" s="155"/>
      <c r="AX1003" s="155"/>
      <c r="AY1003" s="155"/>
      <c r="AZ1003" s="155"/>
      <c r="BA1003" s="155"/>
      <c r="BB1003" s="155"/>
      <c r="BC1003" s="155"/>
      <c r="BD1003" s="155"/>
      <c r="BE1003" s="155"/>
      <c r="BF1003" s="155"/>
      <c r="BG1003" s="155"/>
      <c r="BH1003" s="155"/>
      <c r="BI1003" s="155"/>
      <c r="BJ1003" s="155"/>
      <c r="BK1003" s="155"/>
      <c r="BL1003" s="155"/>
      <c r="BM1003" s="155"/>
      <c r="BN1003" s="155"/>
      <c r="BO1003" s="155"/>
      <c r="BP1003" s="155"/>
      <c r="BQ1003" s="155"/>
      <c r="BR1003" s="155"/>
      <c r="BS1003" s="155"/>
      <c r="BT1003" s="155"/>
      <c r="BU1003" s="155"/>
      <c r="BV1003" s="155"/>
      <c r="BW1003" s="155"/>
      <c r="BX1003" s="155"/>
      <c r="BY1003" s="155"/>
      <c r="BZ1003" s="155"/>
      <c r="CA1003" s="155"/>
      <c r="CB1003" s="155"/>
      <c r="CC1003" s="155"/>
      <c r="CD1003" s="155"/>
      <c r="CE1003" s="155"/>
      <c r="CF1003" s="155"/>
      <c r="CG1003" s="155"/>
    </row>
    <row r="1004" spans="1:85" ht="12.75" x14ac:dyDescent="0.2">
      <c r="A1004" s="155"/>
      <c r="B1004" s="155"/>
      <c r="C1004" s="155"/>
      <c r="D1004" s="155"/>
      <c r="E1004" s="155"/>
      <c r="F1004" s="155"/>
      <c r="G1004" s="155"/>
      <c r="H1004" s="155"/>
      <c r="I1004" s="155"/>
      <c r="J1004" s="155"/>
      <c r="K1004" s="155"/>
      <c r="L1004" s="155"/>
      <c r="M1004" s="155"/>
      <c r="N1004" s="155"/>
      <c r="O1004" s="155"/>
      <c r="P1004" s="155"/>
      <c r="Q1004" s="155"/>
      <c r="R1004" s="155"/>
      <c r="S1004" s="155"/>
      <c r="T1004" s="155"/>
      <c r="U1004" s="155"/>
      <c r="V1004" s="155"/>
      <c r="W1004" s="155"/>
      <c r="X1004" s="155"/>
      <c r="Y1004" s="155"/>
      <c r="Z1004" s="155"/>
      <c r="AA1004" s="155"/>
      <c r="AB1004" s="155"/>
      <c r="AC1004" s="155"/>
      <c r="AD1004" s="155"/>
      <c r="AE1004" s="155"/>
      <c r="AF1004" s="155"/>
      <c r="AG1004" s="155"/>
      <c r="AH1004" s="155"/>
      <c r="AI1004" s="155"/>
      <c r="AJ1004" s="155"/>
      <c r="AK1004" s="155"/>
      <c r="AL1004" s="155"/>
      <c r="AM1004" s="155"/>
      <c r="AN1004" s="155"/>
      <c r="AO1004" s="155"/>
      <c r="AP1004" s="155"/>
      <c r="AQ1004" s="155"/>
      <c r="AR1004" s="155"/>
      <c r="AS1004" s="155"/>
      <c r="AT1004" s="155"/>
      <c r="AU1004" s="155"/>
      <c r="AV1004" s="155"/>
      <c r="AW1004" s="155"/>
      <c r="AX1004" s="155"/>
      <c r="AY1004" s="155"/>
      <c r="AZ1004" s="155"/>
      <c r="BA1004" s="155"/>
      <c r="BB1004" s="155"/>
      <c r="BC1004" s="155"/>
      <c r="BD1004" s="155"/>
      <c r="BE1004" s="155"/>
      <c r="BF1004" s="155"/>
      <c r="BG1004" s="155"/>
      <c r="BH1004" s="155"/>
      <c r="BI1004" s="155"/>
      <c r="BJ1004" s="155"/>
      <c r="BK1004" s="155"/>
      <c r="BL1004" s="155"/>
      <c r="BM1004" s="155"/>
      <c r="BN1004" s="155"/>
      <c r="BO1004" s="155"/>
      <c r="BP1004" s="155"/>
      <c r="BQ1004" s="155"/>
      <c r="BR1004" s="155"/>
      <c r="BS1004" s="155"/>
      <c r="BT1004" s="155"/>
      <c r="BU1004" s="155"/>
      <c r="BV1004" s="155"/>
      <c r="BW1004" s="155"/>
      <c r="BX1004" s="155"/>
      <c r="BY1004" s="155"/>
      <c r="BZ1004" s="155"/>
      <c r="CA1004" s="155"/>
      <c r="CB1004" s="155"/>
      <c r="CC1004" s="155"/>
      <c r="CD1004" s="155"/>
      <c r="CE1004" s="155"/>
      <c r="CF1004" s="155"/>
      <c r="CG1004" s="155"/>
    </row>
    <row r="1005" spans="1:85" ht="12.75" x14ac:dyDescent="0.2">
      <c r="A1005" s="155"/>
      <c r="B1005" s="155"/>
      <c r="C1005" s="155"/>
      <c r="D1005" s="155"/>
      <c r="E1005" s="155"/>
      <c r="F1005" s="155"/>
      <c r="G1005" s="155"/>
      <c r="H1005" s="155"/>
      <c r="I1005" s="155"/>
      <c r="J1005" s="155"/>
      <c r="K1005" s="155"/>
      <c r="L1005" s="155"/>
      <c r="M1005" s="155"/>
      <c r="N1005" s="155"/>
      <c r="O1005" s="155"/>
      <c r="P1005" s="155"/>
      <c r="Q1005" s="155"/>
      <c r="R1005" s="155"/>
      <c r="S1005" s="155"/>
      <c r="T1005" s="155"/>
      <c r="U1005" s="155"/>
      <c r="V1005" s="155"/>
      <c r="W1005" s="155"/>
      <c r="X1005" s="155"/>
      <c r="Y1005" s="155"/>
      <c r="Z1005" s="155"/>
      <c r="AA1005" s="155"/>
      <c r="AB1005" s="155"/>
      <c r="AC1005" s="155"/>
      <c r="AD1005" s="155"/>
      <c r="AE1005" s="155"/>
      <c r="AF1005" s="155"/>
      <c r="AG1005" s="155"/>
      <c r="AH1005" s="155"/>
      <c r="AI1005" s="155"/>
      <c r="AJ1005" s="155"/>
      <c r="AK1005" s="155"/>
      <c r="AL1005" s="155"/>
      <c r="AM1005" s="155"/>
      <c r="AN1005" s="155"/>
      <c r="AO1005" s="155"/>
      <c r="AP1005" s="155"/>
      <c r="AQ1005" s="155"/>
      <c r="AR1005" s="155"/>
      <c r="AS1005" s="155"/>
      <c r="AT1005" s="155"/>
      <c r="AU1005" s="155"/>
      <c r="AV1005" s="155"/>
      <c r="AW1005" s="155"/>
      <c r="AX1005" s="155"/>
      <c r="AY1005" s="155"/>
      <c r="AZ1005" s="155"/>
      <c r="BA1005" s="155"/>
      <c r="BB1005" s="155"/>
      <c r="BC1005" s="155"/>
      <c r="BD1005" s="155"/>
      <c r="BE1005" s="155"/>
      <c r="BF1005" s="155"/>
      <c r="BG1005" s="155"/>
      <c r="BH1005" s="155"/>
      <c r="BI1005" s="155"/>
      <c r="BJ1005" s="155"/>
      <c r="BK1005" s="155"/>
      <c r="BL1005" s="155"/>
      <c r="BM1005" s="155"/>
      <c r="BN1005" s="155"/>
      <c r="BO1005" s="155"/>
      <c r="BP1005" s="155"/>
      <c r="BQ1005" s="155"/>
      <c r="BR1005" s="155"/>
      <c r="BS1005" s="155"/>
      <c r="BT1005" s="155"/>
      <c r="BU1005" s="155"/>
      <c r="BV1005" s="155"/>
      <c r="BW1005" s="155"/>
      <c r="BX1005" s="155"/>
      <c r="BY1005" s="155"/>
      <c r="BZ1005" s="155"/>
      <c r="CA1005" s="155"/>
      <c r="CB1005" s="155"/>
      <c r="CC1005" s="155"/>
      <c r="CD1005" s="155"/>
      <c r="CE1005" s="155"/>
      <c r="CF1005" s="155"/>
      <c r="CG1005" s="155"/>
    </row>
    <row r="1006" spans="1:85" ht="12.75" x14ac:dyDescent="0.2">
      <c r="A1006" s="155"/>
      <c r="B1006" s="155"/>
      <c r="C1006" s="155"/>
      <c r="D1006" s="155"/>
      <c r="E1006" s="155"/>
      <c r="F1006" s="155"/>
      <c r="G1006" s="155"/>
      <c r="H1006" s="155"/>
      <c r="I1006" s="155"/>
      <c r="J1006" s="155"/>
      <c r="K1006" s="155"/>
      <c r="L1006" s="155"/>
      <c r="M1006" s="155"/>
      <c r="N1006" s="155"/>
      <c r="O1006" s="155"/>
      <c r="P1006" s="155"/>
      <c r="Q1006" s="155"/>
      <c r="R1006" s="155"/>
      <c r="S1006" s="155"/>
      <c r="T1006" s="155"/>
      <c r="U1006" s="155"/>
      <c r="V1006" s="155"/>
      <c r="W1006" s="155"/>
      <c r="X1006" s="155"/>
      <c r="Y1006" s="155"/>
      <c r="Z1006" s="155"/>
      <c r="AA1006" s="155"/>
      <c r="AB1006" s="155"/>
      <c r="AC1006" s="155"/>
      <c r="AD1006" s="155"/>
      <c r="AE1006" s="155"/>
      <c r="AF1006" s="155"/>
      <c r="AG1006" s="155"/>
      <c r="AH1006" s="155"/>
      <c r="AI1006" s="155"/>
      <c r="AJ1006" s="155"/>
      <c r="AK1006" s="155"/>
      <c r="AL1006" s="155"/>
      <c r="AM1006" s="155"/>
      <c r="AN1006" s="155"/>
      <c r="AO1006" s="155"/>
      <c r="AP1006" s="155"/>
      <c r="AQ1006" s="155"/>
      <c r="AR1006" s="155"/>
      <c r="AS1006" s="155"/>
      <c r="AT1006" s="155"/>
      <c r="AU1006" s="155"/>
      <c r="AV1006" s="155"/>
      <c r="AW1006" s="155"/>
      <c r="AX1006" s="155"/>
      <c r="AY1006" s="155"/>
      <c r="AZ1006" s="155"/>
      <c r="BA1006" s="155"/>
      <c r="BB1006" s="155"/>
      <c r="BC1006" s="155"/>
      <c r="BD1006" s="155"/>
      <c r="BE1006" s="155"/>
      <c r="BF1006" s="155"/>
      <c r="BG1006" s="155"/>
      <c r="BH1006" s="155"/>
      <c r="BI1006" s="155"/>
      <c r="BJ1006" s="155"/>
      <c r="BK1006" s="155"/>
      <c r="BL1006" s="155"/>
      <c r="BM1006" s="155"/>
      <c r="BN1006" s="155"/>
      <c r="BO1006" s="155"/>
      <c r="BP1006" s="155"/>
      <c r="BQ1006" s="155"/>
      <c r="BR1006" s="155"/>
      <c r="BS1006" s="155"/>
      <c r="BT1006" s="155"/>
      <c r="BU1006" s="155"/>
      <c r="BV1006" s="155"/>
      <c r="BW1006" s="155"/>
      <c r="BX1006" s="155"/>
      <c r="BY1006" s="155"/>
      <c r="BZ1006" s="155"/>
      <c r="CA1006" s="155"/>
      <c r="CB1006" s="155"/>
      <c r="CC1006" s="155"/>
      <c r="CD1006" s="155"/>
      <c r="CE1006" s="155"/>
      <c r="CF1006" s="155"/>
      <c r="CG1006" s="155"/>
    </row>
    <row r="1007" spans="1:85" ht="12.75" x14ac:dyDescent="0.2">
      <c r="A1007" s="155"/>
      <c r="B1007" s="155"/>
      <c r="C1007" s="155"/>
      <c r="D1007" s="155"/>
      <c r="E1007" s="155"/>
      <c r="F1007" s="155"/>
      <c r="G1007" s="155"/>
      <c r="H1007" s="155"/>
      <c r="I1007" s="155"/>
      <c r="J1007" s="155"/>
      <c r="K1007" s="155"/>
      <c r="L1007" s="155"/>
      <c r="M1007" s="155"/>
      <c r="N1007" s="155"/>
      <c r="O1007" s="155"/>
      <c r="P1007" s="155"/>
      <c r="Q1007" s="155"/>
      <c r="R1007" s="155"/>
      <c r="S1007" s="155"/>
      <c r="T1007" s="155"/>
      <c r="U1007" s="155"/>
      <c r="V1007" s="155"/>
      <c r="W1007" s="155"/>
      <c r="X1007" s="155"/>
      <c r="Y1007" s="155"/>
      <c r="Z1007" s="155"/>
      <c r="AA1007" s="155"/>
      <c r="AB1007" s="155"/>
      <c r="AC1007" s="155"/>
      <c r="AD1007" s="155"/>
      <c r="AE1007" s="155"/>
      <c r="AF1007" s="155"/>
      <c r="AG1007" s="155"/>
      <c r="AH1007" s="155"/>
      <c r="AI1007" s="155"/>
      <c r="AJ1007" s="155"/>
      <c r="AK1007" s="155"/>
      <c r="AL1007" s="155"/>
      <c r="AM1007" s="155"/>
      <c r="AN1007" s="155"/>
      <c r="AO1007" s="155"/>
      <c r="AP1007" s="155"/>
      <c r="AQ1007" s="155"/>
      <c r="AR1007" s="155"/>
      <c r="AS1007" s="155"/>
      <c r="AT1007" s="155"/>
      <c r="AU1007" s="155"/>
      <c r="AV1007" s="155"/>
      <c r="AW1007" s="155"/>
      <c r="AX1007" s="155"/>
      <c r="AY1007" s="155"/>
      <c r="AZ1007" s="155"/>
      <c r="BA1007" s="155"/>
      <c r="BB1007" s="155"/>
      <c r="BC1007" s="155"/>
      <c r="BD1007" s="155"/>
      <c r="BE1007" s="155"/>
      <c r="BF1007" s="155"/>
      <c r="BG1007" s="155"/>
      <c r="BH1007" s="155"/>
      <c r="BI1007" s="155"/>
      <c r="BJ1007" s="155"/>
      <c r="BK1007" s="155"/>
      <c r="BL1007" s="155"/>
      <c r="BM1007" s="155"/>
      <c r="BN1007" s="155"/>
      <c r="BO1007" s="155"/>
      <c r="BP1007" s="155"/>
      <c r="BQ1007" s="155"/>
      <c r="BR1007" s="155"/>
      <c r="BS1007" s="155"/>
      <c r="BT1007" s="155"/>
      <c r="BU1007" s="155"/>
      <c r="BV1007" s="155"/>
      <c r="BW1007" s="155"/>
      <c r="BX1007" s="155"/>
      <c r="BY1007" s="155"/>
      <c r="BZ1007" s="155"/>
      <c r="CA1007" s="155"/>
      <c r="CB1007" s="155"/>
      <c r="CC1007" s="155"/>
      <c r="CD1007" s="155"/>
      <c r="CE1007" s="155"/>
      <c r="CF1007" s="155"/>
      <c r="CG1007" s="155"/>
    </row>
    <row r="1008" spans="1:85" ht="12.75" x14ac:dyDescent="0.2">
      <c r="A1008" s="155"/>
      <c r="B1008" s="155"/>
      <c r="C1008" s="155"/>
      <c r="D1008" s="155"/>
      <c r="E1008" s="155"/>
      <c r="F1008" s="155"/>
      <c r="G1008" s="155"/>
      <c r="H1008" s="155"/>
      <c r="I1008" s="155"/>
      <c r="J1008" s="155"/>
      <c r="K1008" s="155"/>
      <c r="L1008" s="155"/>
      <c r="M1008" s="155"/>
      <c r="N1008" s="155"/>
      <c r="O1008" s="155"/>
      <c r="P1008" s="155"/>
      <c r="Q1008" s="155"/>
      <c r="R1008" s="155"/>
      <c r="S1008" s="155"/>
      <c r="T1008" s="155"/>
      <c r="U1008" s="155"/>
      <c r="V1008" s="155"/>
      <c r="W1008" s="155"/>
      <c r="X1008" s="155"/>
      <c r="Y1008" s="155"/>
      <c r="Z1008" s="155"/>
      <c r="AA1008" s="155"/>
      <c r="AB1008" s="155"/>
      <c r="AC1008" s="155"/>
      <c r="AD1008" s="155"/>
      <c r="AE1008" s="155"/>
      <c r="AF1008" s="155"/>
      <c r="AG1008" s="155"/>
      <c r="AH1008" s="155"/>
      <c r="AI1008" s="155"/>
      <c r="AJ1008" s="155"/>
      <c r="AK1008" s="155"/>
      <c r="AL1008" s="155"/>
      <c r="AM1008" s="155"/>
      <c r="AN1008" s="155"/>
      <c r="AO1008" s="155"/>
      <c r="AP1008" s="155"/>
      <c r="AQ1008" s="155"/>
      <c r="AR1008" s="155"/>
      <c r="AS1008" s="155"/>
      <c r="AT1008" s="155"/>
      <c r="AU1008" s="155"/>
      <c r="AV1008" s="155"/>
      <c r="AW1008" s="155"/>
      <c r="AX1008" s="155"/>
      <c r="AY1008" s="155"/>
      <c r="AZ1008" s="155"/>
      <c r="BA1008" s="155"/>
      <c r="BB1008" s="155"/>
      <c r="BC1008" s="155"/>
      <c r="BD1008" s="155"/>
      <c r="BE1008" s="155"/>
      <c r="BF1008" s="155"/>
      <c r="BG1008" s="155"/>
      <c r="BH1008" s="155"/>
      <c r="BI1008" s="155"/>
      <c r="BJ1008" s="155"/>
      <c r="BK1008" s="155"/>
      <c r="BL1008" s="155"/>
      <c r="BM1008" s="155"/>
      <c r="BN1008" s="155"/>
      <c r="BO1008" s="155"/>
      <c r="BP1008" s="155"/>
      <c r="BQ1008" s="155"/>
      <c r="BR1008" s="155"/>
      <c r="BS1008" s="155"/>
      <c r="BT1008" s="155"/>
      <c r="BU1008" s="155"/>
      <c r="BV1008" s="155"/>
      <c r="BW1008" s="155"/>
      <c r="BX1008" s="155"/>
      <c r="BY1008" s="155"/>
      <c r="BZ1008" s="155"/>
      <c r="CA1008" s="155"/>
      <c r="CB1008" s="155"/>
      <c r="CC1008" s="155"/>
      <c r="CD1008" s="155"/>
      <c r="CE1008" s="155"/>
      <c r="CF1008" s="155"/>
      <c r="CG1008" s="155"/>
    </row>
    <row r="1009" spans="1:85" ht="12.75" x14ac:dyDescent="0.2">
      <c r="A1009" s="155"/>
      <c r="B1009" s="155"/>
      <c r="C1009" s="155"/>
      <c r="D1009" s="155"/>
      <c r="E1009" s="155"/>
      <c r="F1009" s="155"/>
      <c r="G1009" s="155"/>
      <c r="H1009" s="155"/>
      <c r="I1009" s="155"/>
      <c r="J1009" s="155"/>
      <c r="K1009" s="155"/>
      <c r="L1009" s="155"/>
      <c r="M1009" s="155"/>
      <c r="N1009" s="155"/>
      <c r="O1009" s="155"/>
      <c r="P1009" s="155"/>
      <c r="Q1009" s="155"/>
      <c r="R1009" s="155"/>
      <c r="S1009" s="155"/>
      <c r="T1009" s="155"/>
      <c r="U1009" s="155"/>
      <c r="V1009" s="155"/>
      <c r="W1009" s="155"/>
      <c r="X1009" s="155"/>
      <c r="Y1009" s="155"/>
      <c r="Z1009" s="155"/>
      <c r="AA1009" s="155"/>
      <c r="AB1009" s="155"/>
      <c r="AC1009" s="155"/>
      <c r="AD1009" s="155"/>
      <c r="AE1009" s="155"/>
      <c r="AF1009" s="155"/>
      <c r="AG1009" s="155"/>
      <c r="AH1009" s="155"/>
      <c r="AI1009" s="155"/>
      <c r="AJ1009" s="155"/>
      <c r="AK1009" s="155"/>
      <c r="AL1009" s="155"/>
      <c r="AM1009" s="155"/>
      <c r="AN1009" s="155"/>
      <c r="AO1009" s="155"/>
      <c r="AP1009" s="155"/>
      <c r="AQ1009" s="155"/>
      <c r="AR1009" s="155"/>
      <c r="AS1009" s="155"/>
      <c r="AT1009" s="155"/>
      <c r="AU1009" s="155"/>
      <c r="AV1009" s="155"/>
      <c r="AW1009" s="155"/>
      <c r="AX1009" s="155"/>
      <c r="AY1009" s="155"/>
      <c r="AZ1009" s="155"/>
      <c r="BA1009" s="155"/>
      <c r="BB1009" s="155"/>
      <c r="BC1009" s="155"/>
      <c r="BD1009" s="155"/>
      <c r="BE1009" s="155"/>
      <c r="BF1009" s="155"/>
      <c r="BG1009" s="155"/>
      <c r="BH1009" s="155"/>
      <c r="BI1009" s="155"/>
      <c r="BJ1009" s="155"/>
      <c r="BK1009" s="155"/>
      <c r="BL1009" s="155"/>
      <c r="BM1009" s="155"/>
      <c r="BN1009" s="155"/>
      <c r="BO1009" s="155"/>
      <c r="BP1009" s="155"/>
      <c r="BQ1009" s="155"/>
      <c r="BR1009" s="155"/>
      <c r="BS1009" s="155"/>
      <c r="BT1009" s="155"/>
      <c r="BU1009" s="155"/>
      <c r="BV1009" s="155"/>
      <c r="BW1009" s="155"/>
      <c r="BX1009" s="155"/>
      <c r="BY1009" s="155"/>
      <c r="BZ1009" s="155"/>
      <c r="CA1009" s="155"/>
      <c r="CB1009" s="155"/>
      <c r="CC1009" s="155"/>
      <c r="CD1009" s="155"/>
      <c r="CE1009" s="155"/>
      <c r="CF1009" s="155"/>
      <c r="CG1009" s="155"/>
    </row>
    <row r="1010" spans="1:85" ht="12.75" x14ac:dyDescent="0.2">
      <c r="A1010" s="155"/>
      <c r="B1010" s="155"/>
      <c r="C1010" s="155"/>
      <c r="D1010" s="155"/>
      <c r="E1010" s="155"/>
      <c r="F1010" s="155"/>
      <c r="G1010" s="155"/>
      <c r="H1010" s="155"/>
      <c r="I1010" s="155"/>
      <c r="J1010" s="155"/>
      <c r="K1010" s="155"/>
      <c r="L1010" s="155"/>
      <c r="M1010" s="155"/>
      <c r="N1010" s="155"/>
      <c r="O1010" s="155"/>
      <c r="P1010" s="155"/>
      <c r="Q1010" s="155"/>
      <c r="R1010" s="155"/>
      <c r="S1010" s="155"/>
      <c r="T1010" s="155"/>
      <c r="U1010" s="155"/>
      <c r="V1010" s="155"/>
      <c r="W1010" s="155"/>
      <c r="X1010" s="155"/>
      <c r="Y1010" s="155"/>
      <c r="Z1010" s="155"/>
      <c r="AA1010" s="155"/>
      <c r="AB1010" s="155"/>
      <c r="AC1010" s="155"/>
      <c r="AD1010" s="155"/>
      <c r="AE1010" s="155"/>
      <c r="AF1010" s="155"/>
      <c r="AG1010" s="155"/>
      <c r="AH1010" s="155"/>
      <c r="AI1010" s="155"/>
      <c r="AJ1010" s="155"/>
      <c r="AK1010" s="155"/>
      <c r="AL1010" s="155"/>
      <c r="AM1010" s="155"/>
      <c r="AN1010" s="155"/>
      <c r="AO1010" s="155"/>
      <c r="AP1010" s="155"/>
      <c r="AQ1010" s="155"/>
      <c r="AR1010" s="155"/>
      <c r="AS1010" s="155"/>
      <c r="AT1010" s="155"/>
      <c r="AU1010" s="155"/>
      <c r="AV1010" s="155"/>
      <c r="AW1010" s="155"/>
      <c r="AX1010" s="155"/>
      <c r="AY1010" s="155"/>
      <c r="AZ1010" s="155"/>
      <c r="BA1010" s="155"/>
      <c r="BB1010" s="155"/>
      <c r="BC1010" s="155"/>
      <c r="BD1010" s="155"/>
      <c r="BE1010" s="155"/>
      <c r="BF1010" s="155"/>
      <c r="BG1010" s="155"/>
      <c r="BH1010" s="155"/>
      <c r="BI1010" s="155"/>
      <c r="BJ1010" s="155"/>
      <c r="BK1010" s="155"/>
      <c r="BL1010" s="155"/>
      <c r="BM1010" s="155"/>
      <c r="BN1010" s="155"/>
      <c r="BO1010" s="155"/>
      <c r="BP1010" s="155"/>
      <c r="BQ1010" s="155"/>
      <c r="BR1010" s="155"/>
      <c r="BS1010" s="155"/>
      <c r="BT1010" s="155"/>
      <c r="BU1010" s="155"/>
      <c r="BV1010" s="155"/>
      <c r="BW1010" s="155"/>
      <c r="BX1010" s="155"/>
      <c r="BY1010" s="155"/>
      <c r="BZ1010" s="155"/>
      <c r="CA1010" s="155"/>
      <c r="CB1010" s="155"/>
      <c r="CC1010" s="155"/>
      <c r="CD1010" s="155"/>
      <c r="CE1010" s="155"/>
      <c r="CF1010" s="155"/>
      <c r="CG1010" s="155"/>
    </row>
    <row r="1011" spans="1:85" ht="12.75" x14ac:dyDescent="0.2">
      <c r="A1011" s="155"/>
      <c r="B1011" s="155"/>
      <c r="C1011" s="155"/>
      <c r="D1011" s="155"/>
      <c r="E1011" s="155"/>
      <c r="F1011" s="155"/>
      <c r="G1011" s="155"/>
      <c r="H1011" s="155"/>
      <c r="I1011" s="155"/>
      <c r="J1011" s="155"/>
      <c r="K1011" s="155"/>
      <c r="L1011" s="155"/>
      <c r="M1011" s="155"/>
      <c r="N1011" s="155"/>
      <c r="O1011" s="155"/>
      <c r="P1011" s="155"/>
      <c r="Q1011" s="155"/>
      <c r="R1011" s="155"/>
      <c r="S1011" s="155"/>
      <c r="T1011" s="155"/>
      <c r="U1011" s="155"/>
      <c r="V1011" s="155"/>
      <c r="W1011" s="155"/>
      <c r="X1011" s="155"/>
      <c r="Y1011" s="155"/>
      <c r="Z1011" s="155"/>
      <c r="AA1011" s="155"/>
      <c r="AB1011" s="155"/>
      <c r="AC1011" s="155"/>
      <c r="AD1011" s="155"/>
      <c r="AE1011" s="155"/>
      <c r="AF1011" s="155"/>
      <c r="AG1011" s="155"/>
      <c r="AH1011" s="155"/>
      <c r="AI1011" s="155"/>
      <c r="AJ1011" s="155"/>
      <c r="AK1011" s="155"/>
      <c r="AL1011" s="155"/>
      <c r="AM1011" s="155"/>
      <c r="AN1011" s="155"/>
      <c r="AO1011" s="155"/>
      <c r="AP1011" s="155"/>
      <c r="AQ1011" s="155"/>
      <c r="AR1011" s="155"/>
      <c r="AS1011" s="155"/>
      <c r="AT1011" s="155"/>
      <c r="AU1011" s="155"/>
      <c r="AV1011" s="155"/>
      <c r="AW1011" s="155"/>
      <c r="AX1011" s="155"/>
      <c r="AY1011" s="155"/>
      <c r="AZ1011" s="155"/>
      <c r="BA1011" s="155"/>
      <c r="BB1011" s="155"/>
      <c r="BC1011" s="155"/>
      <c r="BD1011" s="155"/>
      <c r="BE1011" s="155"/>
      <c r="BF1011" s="155"/>
      <c r="BG1011" s="155"/>
      <c r="BH1011" s="155"/>
      <c r="BI1011" s="155"/>
      <c r="BJ1011" s="155"/>
      <c r="BK1011" s="155"/>
      <c r="BL1011" s="155"/>
      <c r="BM1011" s="155"/>
      <c r="BN1011" s="155"/>
      <c r="BO1011" s="155"/>
      <c r="BP1011" s="155"/>
      <c r="BQ1011" s="155"/>
      <c r="BR1011" s="155"/>
      <c r="BS1011" s="155"/>
      <c r="BT1011" s="155"/>
      <c r="BU1011" s="155"/>
      <c r="BV1011" s="155"/>
      <c r="BW1011" s="155"/>
      <c r="BX1011" s="155"/>
      <c r="BY1011" s="155"/>
      <c r="BZ1011" s="155"/>
      <c r="CA1011" s="155"/>
      <c r="CB1011" s="155"/>
      <c r="CC1011" s="155"/>
      <c r="CD1011" s="155"/>
      <c r="CE1011" s="155"/>
      <c r="CF1011" s="155"/>
      <c r="CG1011" s="155"/>
    </row>
    <row r="1012" spans="1:85" ht="12.75" x14ac:dyDescent="0.2">
      <c r="A1012" s="155"/>
      <c r="B1012" s="155"/>
      <c r="C1012" s="155"/>
      <c r="D1012" s="155"/>
      <c r="E1012" s="155"/>
      <c r="F1012" s="155"/>
      <c r="G1012" s="155"/>
      <c r="H1012" s="155"/>
      <c r="I1012" s="155"/>
      <c r="J1012" s="155"/>
      <c r="K1012" s="155"/>
      <c r="L1012" s="155"/>
      <c r="M1012" s="155"/>
      <c r="N1012" s="155"/>
      <c r="O1012" s="155"/>
      <c r="P1012" s="155"/>
      <c r="Q1012" s="155"/>
      <c r="R1012" s="155"/>
      <c r="S1012" s="155"/>
      <c r="T1012" s="155"/>
      <c r="U1012" s="155"/>
      <c r="V1012" s="155"/>
      <c r="W1012" s="155"/>
      <c r="X1012" s="155"/>
      <c r="Y1012" s="155"/>
      <c r="Z1012" s="155"/>
      <c r="AA1012" s="155"/>
      <c r="AB1012" s="155"/>
      <c r="AC1012" s="155"/>
      <c r="AD1012" s="155"/>
      <c r="AE1012" s="155"/>
      <c r="AF1012" s="155"/>
      <c r="AG1012" s="155"/>
      <c r="AH1012" s="155"/>
      <c r="AI1012" s="155"/>
      <c r="AJ1012" s="155"/>
      <c r="AK1012" s="155"/>
      <c r="AL1012" s="155"/>
      <c r="AM1012" s="155"/>
      <c r="AN1012" s="155"/>
      <c r="AO1012" s="155"/>
      <c r="AP1012" s="155"/>
      <c r="AQ1012" s="155"/>
      <c r="AR1012" s="155"/>
      <c r="AS1012" s="155"/>
      <c r="AT1012" s="155"/>
      <c r="AU1012" s="155"/>
      <c r="AV1012" s="155"/>
      <c r="AW1012" s="155"/>
      <c r="AX1012" s="155"/>
      <c r="AY1012" s="155"/>
      <c r="AZ1012" s="155"/>
      <c r="BA1012" s="155"/>
      <c r="BB1012" s="155"/>
      <c r="BC1012" s="155"/>
      <c r="BD1012" s="155"/>
      <c r="BE1012" s="155"/>
      <c r="BF1012" s="155"/>
      <c r="BG1012" s="155"/>
      <c r="BH1012" s="155"/>
      <c r="BI1012" s="155"/>
      <c r="BJ1012" s="155"/>
      <c r="BK1012" s="155"/>
      <c r="BL1012" s="155"/>
      <c r="BM1012" s="155"/>
      <c r="BN1012" s="155"/>
      <c r="BO1012" s="155"/>
      <c r="BP1012" s="155"/>
      <c r="BQ1012" s="155"/>
      <c r="BR1012" s="155"/>
      <c r="BS1012" s="155"/>
      <c r="BT1012" s="155"/>
      <c r="BU1012" s="155"/>
      <c r="BV1012" s="155"/>
      <c r="BW1012" s="155"/>
      <c r="BX1012" s="155"/>
      <c r="BY1012" s="155"/>
      <c r="BZ1012" s="155"/>
      <c r="CA1012" s="155"/>
      <c r="CB1012" s="155"/>
      <c r="CC1012" s="155"/>
      <c r="CD1012" s="155"/>
      <c r="CE1012" s="155"/>
      <c r="CF1012" s="155"/>
      <c r="CG1012" s="155"/>
    </row>
    <row r="1013" spans="1:85" ht="12.75" x14ac:dyDescent="0.2">
      <c r="A1013" s="155"/>
      <c r="B1013" s="155"/>
      <c r="C1013" s="155"/>
      <c r="D1013" s="155"/>
      <c r="E1013" s="155"/>
      <c r="F1013" s="155"/>
      <c r="G1013" s="155"/>
      <c r="H1013" s="155"/>
      <c r="I1013" s="155"/>
      <c r="J1013" s="155"/>
      <c r="K1013" s="155"/>
      <c r="L1013" s="155"/>
      <c r="M1013" s="155"/>
      <c r="N1013" s="155"/>
      <c r="O1013" s="155"/>
      <c r="P1013" s="155"/>
      <c r="Q1013" s="155"/>
      <c r="R1013" s="155"/>
      <c r="S1013" s="155"/>
      <c r="T1013" s="155"/>
      <c r="U1013" s="155"/>
      <c r="V1013" s="155"/>
      <c r="W1013" s="155"/>
      <c r="X1013" s="155"/>
      <c r="Y1013" s="155"/>
      <c r="Z1013" s="155"/>
      <c r="AA1013" s="155"/>
      <c r="AB1013" s="155"/>
      <c r="AC1013" s="155"/>
      <c r="AD1013" s="155"/>
      <c r="AE1013" s="155"/>
      <c r="AF1013" s="155"/>
      <c r="AG1013" s="155"/>
      <c r="AH1013" s="155"/>
      <c r="AI1013" s="155"/>
      <c r="AJ1013" s="155"/>
      <c r="AK1013" s="155"/>
      <c r="AL1013" s="155"/>
      <c r="AM1013" s="155"/>
      <c r="AN1013" s="155"/>
      <c r="AO1013" s="155"/>
      <c r="AP1013" s="155"/>
      <c r="AQ1013" s="155"/>
      <c r="AR1013" s="155"/>
      <c r="AS1013" s="155"/>
      <c r="AT1013" s="155"/>
      <c r="AU1013" s="155"/>
      <c r="AV1013" s="155"/>
      <c r="AW1013" s="155"/>
      <c r="AX1013" s="155"/>
      <c r="AY1013" s="155"/>
      <c r="AZ1013" s="155"/>
      <c r="BA1013" s="155"/>
      <c r="BB1013" s="155"/>
      <c r="BC1013" s="155"/>
      <c r="BD1013" s="155"/>
      <c r="BE1013" s="155"/>
      <c r="BF1013" s="155"/>
      <c r="BG1013" s="155"/>
      <c r="BH1013" s="155"/>
      <c r="BI1013" s="155"/>
      <c r="BJ1013" s="155"/>
      <c r="BK1013" s="155"/>
      <c r="BL1013" s="155"/>
      <c r="BM1013" s="155"/>
      <c r="BN1013" s="155"/>
      <c r="BO1013" s="155"/>
      <c r="BP1013" s="155"/>
      <c r="BQ1013" s="155"/>
      <c r="BR1013" s="155"/>
      <c r="BS1013" s="155"/>
      <c r="BT1013" s="155"/>
      <c r="BU1013" s="155"/>
      <c r="BV1013" s="155"/>
      <c r="BW1013" s="155"/>
      <c r="BX1013" s="155"/>
      <c r="BY1013" s="155"/>
      <c r="BZ1013" s="155"/>
      <c r="CA1013" s="155"/>
      <c r="CB1013" s="155"/>
      <c r="CC1013" s="155"/>
      <c r="CD1013" s="155"/>
      <c r="CE1013" s="155"/>
      <c r="CF1013" s="155"/>
      <c r="CG1013" s="155"/>
    </row>
    <row r="1014" spans="1:85" ht="12.75" x14ac:dyDescent="0.2">
      <c r="A1014" s="155"/>
      <c r="B1014" s="155"/>
      <c r="C1014" s="155"/>
      <c r="D1014" s="155"/>
      <c r="E1014" s="155"/>
      <c r="F1014" s="155"/>
      <c r="G1014" s="155"/>
      <c r="H1014" s="155"/>
      <c r="I1014" s="155"/>
      <c r="J1014" s="155"/>
      <c r="K1014" s="155"/>
      <c r="L1014" s="155"/>
      <c r="M1014" s="155"/>
      <c r="N1014" s="155"/>
      <c r="O1014" s="155"/>
      <c r="P1014" s="155"/>
      <c r="Q1014" s="155"/>
      <c r="R1014" s="155"/>
      <c r="S1014" s="155"/>
      <c r="T1014" s="155"/>
      <c r="U1014" s="155"/>
      <c r="V1014" s="155"/>
      <c r="W1014" s="155"/>
      <c r="X1014" s="155"/>
      <c r="Y1014" s="155"/>
      <c r="Z1014" s="155"/>
      <c r="AA1014" s="155"/>
      <c r="AB1014" s="155"/>
      <c r="AC1014" s="155"/>
      <c r="AD1014" s="155"/>
      <c r="AE1014" s="155"/>
      <c r="AF1014" s="155"/>
      <c r="AG1014" s="155"/>
      <c r="AH1014" s="155"/>
      <c r="AI1014" s="155"/>
      <c r="AJ1014" s="155"/>
      <c r="AK1014" s="155"/>
      <c r="AL1014" s="155"/>
      <c r="AM1014" s="155"/>
      <c r="AN1014" s="155"/>
      <c r="AO1014" s="155"/>
      <c r="AP1014" s="155"/>
      <c r="AQ1014" s="155"/>
      <c r="AR1014" s="155"/>
      <c r="AS1014" s="155"/>
      <c r="AT1014" s="155"/>
      <c r="AU1014" s="155"/>
      <c r="AV1014" s="155"/>
      <c r="AW1014" s="155"/>
      <c r="AX1014" s="155"/>
      <c r="AY1014" s="155"/>
      <c r="AZ1014" s="155"/>
      <c r="BA1014" s="155"/>
      <c r="BB1014" s="155"/>
      <c r="BC1014" s="155"/>
      <c r="BD1014" s="155"/>
      <c r="BE1014" s="155"/>
      <c r="BF1014" s="155"/>
      <c r="BG1014" s="155"/>
      <c r="BH1014" s="155"/>
      <c r="BI1014" s="155"/>
      <c r="BJ1014" s="155"/>
      <c r="BK1014" s="155"/>
      <c r="BL1014" s="155"/>
      <c r="BM1014" s="155"/>
      <c r="BN1014" s="155"/>
      <c r="BO1014" s="155"/>
      <c r="BP1014" s="155"/>
      <c r="BQ1014" s="155"/>
      <c r="BR1014" s="155"/>
      <c r="BS1014" s="155"/>
      <c r="BT1014" s="155"/>
      <c r="BU1014" s="155"/>
      <c r="BV1014" s="155"/>
      <c r="BW1014" s="155"/>
      <c r="BX1014" s="155"/>
      <c r="BY1014" s="155"/>
      <c r="BZ1014" s="155"/>
      <c r="CA1014" s="155"/>
      <c r="CB1014" s="155"/>
      <c r="CC1014" s="155"/>
      <c r="CD1014" s="155"/>
      <c r="CE1014" s="155"/>
      <c r="CF1014" s="155"/>
      <c r="CG1014" s="155"/>
    </row>
    <row r="1015" spans="1:85" ht="12.75" x14ac:dyDescent="0.2">
      <c r="A1015" s="155"/>
      <c r="B1015" s="155"/>
      <c r="C1015" s="155"/>
      <c r="D1015" s="155"/>
      <c r="E1015" s="155"/>
      <c r="F1015" s="155"/>
      <c r="G1015" s="155"/>
      <c r="H1015" s="155"/>
      <c r="I1015" s="155"/>
      <c r="J1015" s="155"/>
      <c r="K1015" s="155"/>
      <c r="L1015" s="155"/>
      <c r="M1015" s="155"/>
      <c r="N1015" s="155"/>
      <c r="O1015" s="155"/>
      <c r="P1015" s="155"/>
      <c r="Q1015" s="155"/>
      <c r="R1015" s="155"/>
      <c r="S1015" s="155"/>
      <c r="T1015" s="155"/>
      <c r="U1015" s="155"/>
      <c r="V1015" s="155"/>
      <c r="W1015" s="155"/>
      <c r="X1015" s="155"/>
      <c r="Y1015" s="155"/>
      <c r="Z1015" s="155"/>
      <c r="AA1015" s="155"/>
      <c r="AB1015" s="155"/>
      <c r="AC1015" s="155"/>
      <c r="AD1015" s="155"/>
      <c r="AE1015" s="155"/>
      <c r="AF1015" s="155"/>
      <c r="AG1015" s="155"/>
      <c r="AH1015" s="155"/>
      <c r="AI1015" s="155"/>
      <c r="AJ1015" s="155"/>
      <c r="AK1015" s="155"/>
      <c r="AL1015" s="155"/>
      <c r="AM1015" s="155"/>
      <c r="AN1015" s="155"/>
      <c r="AO1015" s="155"/>
      <c r="AP1015" s="155"/>
      <c r="AQ1015" s="155"/>
      <c r="AR1015" s="155"/>
      <c r="AS1015" s="155"/>
      <c r="AT1015" s="155"/>
      <c r="AU1015" s="155"/>
      <c r="AV1015" s="155"/>
      <c r="AW1015" s="155"/>
      <c r="AX1015" s="155"/>
      <c r="AY1015" s="155"/>
      <c r="AZ1015" s="155"/>
      <c r="BA1015" s="155"/>
      <c r="BB1015" s="155"/>
      <c r="BC1015" s="155"/>
      <c r="BD1015" s="155"/>
      <c r="BE1015" s="155"/>
      <c r="BF1015" s="155"/>
      <c r="BG1015" s="155"/>
      <c r="BH1015" s="155"/>
      <c r="BI1015" s="155"/>
      <c r="BJ1015" s="155"/>
      <c r="BK1015" s="155"/>
      <c r="BL1015" s="155"/>
      <c r="BM1015" s="155"/>
      <c r="BN1015" s="155"/>
      <c r="BO1015" s="155"/>
      <c r="BP1015" s="155"/>
      <c r="BQ1015" s="155"/>
      <c r="BR1015" s="155"/>
      <c r="BS1015" s="155"/>
      <c r="BT1015" s="155"/>
      <c r="BU1015" s="155"/>
      <c r="BV1015" s="155"/>
      <c r="BW1015" s="155"/>
      <c r="BX1015" s="155"/>
      <c r="BY1015" s="155"/>
      <c r="BZ1015" s="155"/>
      <c r="CA1015" s="155"/>
      <c r="CB1015" s="155"/>
      <c r="CC1015" s="155"/>
      <c r="CD1015" s="155"/>
      <c r="CE1015" s="155"/>
      <c r="CF1015" s="155"/>
      <c r="CG1015" s="155"/>
    </row>
    <row r="1016" spans="1:85" ht="12.75" x14ac:dyDescent="0.2">
      <c r="A1016" s="155"/>
      <c r="B1016" s="155"/>
      <c r="C1016" s="155"/>
      <c r="D1016" s="155"/>
      <c r="E1016" s="155"/>
      <c r="F1016" s="155"/>
      <c r="G1016" s="155"/>
      <c r="H1016" s="155"/>
      <c r="I1016" s="155"/>
      <c r="J1016" s="155"/>
      <c r="K1016" s="155"/>
      <c r="L1016" s="155"/>
      <c r="M1016" s="155"/>
      <c r="N1016" s="155"/>
      <c r="O1016" s="155"/>
      <c r="P1016" s="155"/>
      <c r="Q1016" s="155"/>
      <c r="R1016" s="155"/>
      <c r="S1016" s="155"/>
      <c r="T1016" s="155"/>
      <c r="U1016" s="155"/>
      <c r="V1016" s="155"/>
      <c r="W1016" s="155"/>
      <c r="X1016" s="155"/>
      <c r="Y1016" s="155"/>
      <c r="Z1016" s="155"/>
      <c r="AA1016" s="155"/>
      <c r="AB1016" s="155"/>
      <c r="AC1016" s="155"/>
      <c r="AD1016" s="155"/>
      <c r="AE1016" s="155"/>
      <c r="AF1016" s="155"/>
      <c r="AG1016" s="155"/>
      <c r="AH1016" s="155"/>
      <c r="AI1016" s="155"/>
      <c r="AJ1016" s="155"/>
      <c r="AK1016" s="155"/>
      <c r="AL1016" s="155"/>
      <c r="AM1016" s="155"/>
      <c r="AN1016" s="155"/>
      <c r="AO1016" s="155"/>
      <c r="AP1016" s="155"/>
      <c r="AQ1016" s="155"/>
      <c r="AR1016" s="155"/>
      <c r="AS1016" s="155"/>
      <c r="AT1016" s="155"/>
      <c r="AU1016" s="155"/>
      <c r="AV1016" s="155"/>
      <c r="AW1016" s="155"/>
      <c r="AX1016" s="155"/>
      <c r="AY1016" s="155"/>
      <c r="AZ1016" s="155"/>
      <c r="BA1016" s="155"/>
      <c r="BB1016" s="155"/>
      <c r="BC1016" s="155"/>
      <c r="BD1016" s="155"/>
      <c r="BE1016" s="155"/>
      <c r="BF1016" s="155"/>
      <c r="BG1016" s="155"/>
      <c r="BH1016" s="155"/>
      <c r="BI1016" s="155"/>
      <c r="BJ1016" s="155"/>
      <c r="BK1016" s="155"/>
      <c r="BL1016" s="155"/>
      <c r="BM1016" s="155"/>
      <c r="BN1016" s="155"/>
      <c r="BO1016" s="155"/>
      <c r="BP1016" s="155"/>
      <c r="BQ1016" s="155"/>
      <c r="BR1016" s="155"/>
      <c r="BS1016" s="155"/>
      <c r="BT1016" s="155"/>
      <c r="BU1016" s="155"/>
      <c r="BV1016" s="155"/>
      <c r="BW1016" s="155"/>
      <c r="BX1016" s="155"/>
      <c r="BY1016" s="155"/>
      <c r="BZ1016" s="155"/>
      <c r="CA1016" s="155"/>
      <c r="CB1016" s="155"/>
      <c r="CC1016" s="155"/>
      <c r="CD1016" s="155"/>
      <c r="CE1016" s="155"/>
      <c r="CF1016" s="155"/>
      <c r="CG1016" s="155"/>
    </row>
    <row r="1017" spans="1:85" ht="12.75" x14ac:dyDescent="0.2">
      <c r="A1017" s="155"/>
      <c r="B1017" s="155"/>
      <c r="C1017" s="155"/>
      <c r="D1017" s="155"/>
      <c r="E1017" s="155"/>
      <c r="F1017" s="155"/>
      <c r="G1017" s="155"/>
      <c r="H1017" s="155"/>
      <c r="I1017" s="155"/>
      <c r="J1017" s="155"/>
      <c r="K1017" s="155"/>
      <c r="L1017" s="155"/>
      <c r="M1017" s="155"/>
      <c r="N1017" s="155"/>
      <c r="O1017" s="155"/>
      <c r="P1017" s="155"/>
      <c r="Q1017" s="155"/>
      <c r="R1017" s="155"/>
      <c r="S1017" s="155"/>
      <c r="T1017" s="155"/>
      <c r="U1017" s="155"/>
      <c r="V1017" s="155"/>
      <c r="W1017" s="155"/>
      <c r="X1017" s="155"/>
      <c r="Y1017" s="155"/>
      <c r="Z1017" s="155"/>
      <c r="AA1017" s="155"/>
      <c r="AB1017" s="155"/>
      <c r="AC1017" s="155"/>
      <c r="AD1017" s="155"/>
      <c r="AE1017" s="155"/>
      <c r="AF1017" s="155"/>
      <c r="AG1017" s="155"/>
      <c r="AH1017" s="155"/>
      <c r="AI1017" s="155"/>
      <c r="AJ1017" s="155"/>
      <c r="AK1017" s="155"/>
      <c r="AL1017" s="155"/>
      <c r="AM1017" s="155"/>
      <c r="AN1017" s="155"/>
      <c r="AO1017" s="155"/>
      <c r="AP1017" s="155"/>
      <c r="AQ1017" s="155"/>
      <c r="AR1017" s="155"/>
      <c r="AS1017" s="155"/>
      <c r="AT1017" s="155"/>
      <c r="AU1017" s="155"/>
      <c r="AV1017" s="155"/>
      <c r="AW1017" s="155"/>
      <c r="AX1017" s="155"/>
      <c r="AY1017" s="155"/>
      <c r="AZ1017" s="155"/>
      <c r="BA1017" s="155"/>
      <c r="BB1017" s="155"/>
      <c r="BC1017" s="155"/>
      <c r="BD1017" s="155"/>
      <c r="BE1017" s="155"/>
      <c r="BF1017" s="155"/>
      <c r="BG1017" s="155"/>
      <c r="BH1017" s="155"/>
      <c r="BI1017" s="155"/>
      <c r="BJ1017" s="155"/>
      <c r="BK1017" s="155"/>
      <c r="BL1017" s="155"/>
      <c r="BM1017" s="155"/>
      <c r="BN1017" s="155"/>
      <c r="BO1017" s="155"/>
      <c r="BP1017" s="155"/>
      <c r="BQ1017" s="155"/>
      <c r="BR1017" s="155"/>
      <c r="BS1017" s="155"/>
      <c r="BT1017" s="155"/>
      <c r="BU1017" s="155"/>
      <c r="BV1017" s="155"/>
      <c r="BW1017" s="155"/>
      <c r="BX1017" s="155"/>
      <c r="BY1017" s="155"/>
      <c r="BZ1017" s="155"/>
      <c r="CA1017" s="155"/>
      <c r="CB1017" s="155"/>
      <c r="CC1017" s="155"/>
      <c r="CD1017" s="155"/>
      <c r="CE1017" s="155"/>
      <c r="CF1017" s="155"/>
      <c r="CG1017" s="155"/>
    </row>
    <row r="1018" spans="1:85" ht="12.75" x14ac:dyDescent="0.2">
      <c r="A1018" s="155"/>
      <c r="B1018" s="155"/>
      <c r="C1018" s="155"/>
      <c r="D1018" s="155"/>
      <c r="E1018" s="155"/>
      <c r="F1018" s="155"/>
      <c r="G1018" s="155"/>
      <c r="H1018" s="155"/>
      <c r="I1018" s="155"/>
      <c r="J1018" s="155"/>
      <c r="K1018" s="155"/>
      <c r="L1018" s="155"/>
      <c r="M1018" s="155"/>
      <c r="N1018" s="155"/>
      <c r="O1018" s="155"/>
      <c r="P1018" s="155"/>
      <c r="Q1018" s="155"/>
      <c r="R1018" s="155"/>
      <c r="S1018" s="155"/>
      <c r="T1018" s="155"/>
      <c r="U1018" s="155"/>
      <c r="V1018" s="155"/>
      <c r="W1018" s="155"/>
      <c r="X1018" s="155"/>
      <c r="Y1018" s="155"/>
      <c r="Z1018" s="155"/>
      <c r="AA1018" s="155"/>
      <c r="AB1018" s="155"/>
      <c r="AC1018" s="155"/>
      <c r="AD1018" s="155"/>
      <c r="AE1018" s="155"/>
      <c r="AF1018" s="155"/>
      <c r="AG1018" s="155"/>
      <c r="AH1018" s="155"/>
      <c r="AI1018" s="155"/>
      <c r="AJ1018" s="155"/>
      <c r="AK1018" s="155"/>
      <c r="AL1018" s="155"/>
      <c r="AM1018" s="155"/>
      <c r="AN1018" s="155"/>
      <c r="AO1018" s="155"/>
      <c r="AP1018" s="155"/>
      <c r="AQ1018" s="155"/>
      <c r="AR1018" s="155"/>
      <c r="AS1018" s="155"/>
      <c r="AT1018" s="155"/>
      <c r="AU1018" s="155"/>
      <c r="AV1018" s="155"/>
      <c r="AW1018" s="155"/>
      <c r="AX1018" s="155"/>
      <c r="AY1018" s="155"/>
      <c r="AZ1018" s="155"/>
      <c r="BA1018" s="155"/>
      <c r="BB1018" s="155"/>
      <c r="BC1018" s="155"/>
      <c r="BD1018" s="155"/>
      <c r="BE1018" s="155"/>
      <c r="BF1018" s="155"/>
      <c r="BG1018" s="155"/>
      <c r="BH1018" s="155"/>
      <c r="BI1018" s="155"/>
      <c r="BJ1018" s="155"/>
      <c r="BK1018" s="155"/>
      <c r="BL1018" s="155"/>
      <c r="BM1018" s="155"/>
      <c r="BN1018" s="155"/>
      <c r="BO1018" s="155"/>
      <c r="BP1018" s="155"/>
      <c r="BQ1018" s="155"/>
      <c r="BR1018" s="155"/>
      <c r="BS1018" s="155"/>
      <c r="BT1018" s="155"/>
      <c r="BU1018" s="155"/>
      <c r="BV1018" s="155"/>
      <c r="BW1018" s="155"/>
      <c r="BX1018" s="155"/>
      <c r="BY1018" s="155"/>
      <c r="BZ1018" s="155"/>
      <c r="CA1018" s="155"/>
      <c r="CB1018" s="155"/>
      <c r="CC1018" s="155"/>
      <c r="CD1018" s="155"/>
      <c r="CE1018" s="155"/>
      <c r="CF1018" s="155"/>
      <c r="CG1018" s="155"/>
    </row>
    <row r="1019" spans="1:85" ht="12.75" x14ac:dyDescent="0.2">
      <c r="A1019" s="155"/>
      <c r="B1019" s="155"/>
      <c r="C1019" s="155"/>
      <c r="D1019" s="155"/>
      <c r="E1019" s="155"/>
      <c r="F1019" s="155"/>
      <c r="G1019" s="155"/>
      <c r="H1019" s="155"/>
      <c r="I1019" s="155"/>
      <c r="J1019" s="155"/>
      <c r="K1019" s="155"/>
      <c r="L1019" s="155"/>
      <c r="M1019" s="155"/>
      <c r="N1019" s="155"/>
      <c r="O1019" s="155"/>
      <c r="P1019" s="155"/>
      <c r="Q1019" s="155"/>
      <c r="R1019" s="155"/>
      <c r="S1019" s="155"/>
      <c r="T1019" s="155"/>
      <c r="U1019" s="155"/>
      <c r="V1019" s="155"/>
      <c r="W1019" s="155"/>
      <c r="X1019" s="155"/>
      <c r="Y1019" s="155"/>
      <c r="Z1019" s="155"/>
      <c r="AA1019" s="155"/>
      <c r="AB1019" s="155"/>
      <c r="AC1019" s="155"/>
      <c r="AD1019" s="155"/>
      <c r="AE1019" s="155"/>
      <c r="AF1019" s="155"/>
      <c r="AG1019" s="155"/>
      <c r="AH1019" s="155"/>
      <c r="AI1019" s="155"/>
      <c r="AJ1019" s="155"/>
      <c r="AK1019" s="155"/>
      <c r="AL1019" s="155"/>
      <c r="AM1019" s="155"/>
      <c r="AN1019" s="155"/>
      <c r="AO1019" s="155"/>
      <c r="AP1019" s="155"/>
      <c r="AQ1019" s="155"/>
      <c r="AR1019" s="155"/>
      <c r="AS1019" s="155"/>
      <c r="AT1019" s="155"/>
      <c r="AU1019" s="155"/>
      <c r="AV1019" s="155"/>
      <c r="AW1019" s="155"/>
      <c r="AX1019" s="155"/>
      <c r="AY1019" s="155"/>
      <c r="AZ1019" s="155"/>
      <c r="BA1019" s="155"/>
      <c r="BB1019" s="155"/>
      <c r="BC1019" s="155"/>
      <c r="BD1019" s="155"/>
      <c r="BE1019" s="155"/>
      <c r="BF1019" s="155"/>
      <c r="BG1019" s="155"/>
      <c r="BH1019" s="155"/>
      <c r="BI1019" s="155"/>
      <c r="BJ1019" s="155"/>
      <c r="BK1019" s="155"/>
      <c r="BL1019" s="155"/>
      <c r="BM1019" s="155"/>
      <c r="BN1019" s="155"/>
      <c r="BO1019" s="155"/>
      <c r="BP1019" s="155"/>
      <c r="BQ1019" s="155"/>
      <c r="BR1019" s="155"/>
      <c r="BS1019" s="155"/>
      <c r="BT1019" s="155"/>
      <c r="BU1019" s="155"/>
      <c r="BV1019" s="155"/>
      <c r="BW1019" s="155"/>
      <c r="BX1019" s="155"/>
      <c r="BY1019" s="155"/>
      <c r="BZ1019" s="155"/>
      <c r="CA1019" s="155"/>
      <c r="CB1019" s="155"/>
      <c r="CC1019" s="155"/>
      <c r="CD1019" s="155"/>
      <c r="CE1019" s="155"/>
      <c r="CF1019" s="155"/>
      <c r="CG1019" s="155"/>
    </row>
    <row r="1020" spans="1:85" ht="12.75" x14ac:dyDescent="0.2">
      <c r="A1020" s="155"/>
      <c r="B1020" s="155"/>
      <c r="C1020" s="155"/>
      <c r="D1020" s="155"/>
      <c r="E1020" s="155"/>
      <c r="F1020" s="155"/>
      <c r="G1020" s="155"/>
      <c r="H1020" s="155"/>
      <c r="I1020" s="155"/>
      <c r="J1020" s="155"/>
      <c r="K1020" s="155"/>
      <c r="L1020" s="155"/>
      <c r="M1020" s="155"/>
      <c r="N1020" s="155"/>
      <c r="O1020" s="155"/>
      <c r="P1020" s="155"/>
      <c r="Q1020" s="155"/>
      <c r="R1020" s="155"/>
      <c r="S1020" s="155"/>
      <c r="T1020" s="155"/>
      <c r="U1020" s="155"/>
      <c r="V1020" s="155"/>
      <c r="W1020" s="155"/>
      <c r="X1020" s="155"/>
      <c r="Y1020" s="155"/>
      <c r="Z1020" s="155"/>
      <c r="AA1020" s="155"/>
      <c r="AB1020" s="155"/>
      <c r="AC1020" s="155"/>
      <c r="AD1020" s="155"/>
      <c r="AE1020" s="155"/>
      <c r="AF1020" s="155"/>
      <c r="AG1020" s="155"/>
      <c r="AH1020" s="155"/>
      <c r="AI1020" s="155"/>
      <c r="AJ1020" s="155"/>
      <c r="AK1020" s="155"/>
      <c r="AL1020" s="155"/>
      <c r="AM1020" s="155"/>
      <c r="AN1020" s="155"/>
      <c r="AO1020" s="155"/>
      <c r="AP1020" s="155"/>
      <c r="AQ1020" s="155"/>
      <c r="AR1020" s="155"/>
      <c r="AS1020" s="155"/>
      <c r="AT1020" s="155"/>
      <c r="AU1020" s="155"/>
      <c r="AV1020" s="155"/>
      <c r="AW1020" s="155"/>
      <c r="AX1020" s="155"/>
      <c r="AY1020" s="155"/>
      <c r="AZ1020" s="155"/>
      <c r="BA1020" s="155"/>
      <c r="BB1020" s="155"/>
      <c r="BC1020" s="155"/>
      <c r="BD1020" s="155"/>
      <c r="BE1020" s="155"/>
      <c r="BF1020" s="155"/>
      <c r="BG1020" s="155"/>
      <c r="BH1020" s="155"/>
      <c r="BI1020" s="155"/>
      <c r="BJ1020" s="155"/>
      <c r="BK1020" s="155"/>
      <c r="BL1020" s="155"/>
      <c r="BM1020" s="155"/>
      <c r="BN1020" s="155"/>
      <c r="BO1020" s="155"/>
      <c r="BP1020" s="155"/>
      <c r="BQ1020" s="155"/>
      <c r="BR1020" s="155"/>
      <c r="BS1020" s="155"/>
      <c r="BT1020" s="155"/>
      <c r="BU1020" s="155"/>
      <c r="BV1020" s="155"/>
      <c r="BW1020" s="155"/>
      <c r="BX1020" s="155"/>
      <c r="BY1020" s="155"/>
      <c r="BZ1020" s="155"/>
      <c r="CA1020" s="155"/>
      <c r="CB1020" s="155"/>
      <c r="CC1020" s="155"/>
      <c r="CD1020" s="155"/>
      <c r="CE1020" s="155"/>
      <c r="CF1020" s="155"/>
      <c r="CG1020" s="155"/>
    </row>
  </sheetData>
  <hyperlinks>
    <hyperlink ref="A42" r:id="rId1" location="gid=160522951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8B888"/>
    <outlinePr summaryBelow="0" summaryRight="0"/>
  </sheetPr>
  <dimension ref="A1:BI1054"/>
  <sheetViews>
    <sheetView showGridLines="0" workbookViewId="0">
      <pane ySplit="1" topLeftCell="A38" activePane="bottomLeft" state="frozen"/>
      <selection activeCell="I34" sqref="I34"/>
      <selection pane="bottomLeft" activeCell="I34" sqref="I34"/>
    </sheetView>
  </sheetViews>
  <sheetFormatPr defaultColWidth="14.42578125" defaultRowHeight="15.75" customHeight="1" x14ac:dyDescent="0.2"/>
  <cols>
    <col min="1" max="1" width="1.42578125" customWidth="1"/>
    <col min="2" max="2" width="30.5703125" customWidth="1"/>
    <col min="3" max="4" width="19" customWidth="1"/>
    <col min="5" max="6" width="12.7109375" customWidth="1"/>
    <col min="7" max="7" width="17.140625" customWidth="1"/>
    <col min="12" max="13" width="2.85546875" customWidth="1"/>
  </cols>
  <sheetData>
    <row r="1" spans="1:61" ht="22.5" customHeight="1" x14ac:dyDescent="0.2">
      <c r="A1" s="5" t="s">
        <v>130</v>
      </c>
      <c r="B1" s="184"/>
      <c r="C1" s="184" t="s">
        <v>131</v>
      </c>
      <c r="D1" s="185" t="s">
        <v>132</v>
      </c>
      <c r="E1" s="186" t="s">
        <v>133</v>
      </c>
      <c r="F1" s="186" t="s">
        <v>134</v>
      </c>
      <c r="G1" s="186" t="s">
        <v>135</v>
      </c>
      <c r="H1" s="186" t="s">
        <v>136</v>
      </c>
      <c r="I1" s="186" t="s">
        <v>137</v>
      </c>
      <c r="J1" s="186" t="s">
        <v>138</v>
      </c>
      <c r="K1" s="186" t="s">
        <v>139</v>
      </c>
      <c r="L1" s="184"/>
      <c r="M1" s="184"/>
      <c r="N1" s="20">
        <v>43952</v>
      </c>
      <c r="O1" s="20">
        <f t="shared" ref="O1:BI1" si="0">EDATE(N1,1)</f>
        <v>43983</v>
      </c>
      <c r="P1" s="20">
        <f t="shared" si="0"/>
        <v>44013</v>
      </c>
      <c r="Q1" s="20">
        <f t="shared" si="0"/>
        <v>44044</v>
      </c>
      <c r="R1" s="20">
        <f t="shared" si="0"/>
        <v>44075</v>
      </c>
      <c r="S1" s="20">
        <f t="shared" si="0"/>
        <v>44105</v>
      </c>
      <c r="T1" s="20">
        <f t="shared" si="0"/>
        <v>44136</v>
      </c>
      <c r="U1" s="20">
        <f t="shared" si="0"/>
        <v>44166</v>
      </c>
      <c r="V1" s="20">
        <f t="shared" si="0"/>
        <v>44197</v>
      </c>
      <c r="W1" s="20">
        <f t="shared" si="0"/>
        <v>44228</v>
      </c>
      <c r="X1" s="20">
        <f t="shared" si="0"/>
        <v>44256</v>
      </c>
      <c r="Y1" s="20">
        <f t="shared" si="0"/>
        <v>44287</v>
      </c>
      <c r="Z1" s="20">
        <f t="shared" si="0"/>
        <v>44317</v>
      </c>
      <c r="AA1" s="20">
        <f t="shared" si="0"/>
        <v>44348</v>
      </c>
      <c r="AB1" s="20">
        <f t="shared" si="0"/>
        <v>44378</v>
      </c>
      <c r="AC1" s="20">
        <f t="shared" si="0"/>
        <v>44409</v>
      </c>
      <c r="AD1" s="20">
        <f t="shared" si="0"/>
        <v>44440</v>
      </c>
      <c r="AE1" s="20">
        <f t="shared" si="0"/>
        <v>44470</v>
      </c>
      <c r="AF1" s="20">
        <f t="shared" si="0"/>
        <v>44501</v>
      </c>
      <c r="AG1" s="20">
        <f t="shared" si="0"/>
        <v>44531</v>
      </c>
      <c r="AH1" s="20">
        <f t="shared" si="0"/>
        <v>44562</v>
      </c>
      <c r="AI1" s="20">
        <f t="shared" si="0"/>
        <v>44593</v>
      </c>
      <c r="AJ1" s="20">
        <f t="shared" si="0"/>
        <v>44621</v>
      </c>
      <c r="AK1" s="20">
        <f t="shared" si="0"/>
        <v>44652</v>
      </c>
      <c r="AL1" s="20">
        <f t="shared" si="0"/>
        <v>44682</v>
      </c>
      <c r="AM1" s="20">
        <f t="shared" si="0"/>
        <v>44713</v>
      </c>
      <c r="AN1" s="20">
        <f t="shared" si="0"/>
        <v>44743</v>
      </c>
      <c r="AO1" s="20">
        <f t="shared" si="0"/>
        <v>44774</v>
      </c>
      <c r="AP1" s="20">
        <f t="shared" si="0"/>
        <v>44805</v>
      </c>
      <c r="AQ1" s="20">
        <f t="shared" si="0"/>
        <v>44835</v>
      </c>
      <c r="AR1" s="20">
        <f t="shared" si="0"/>
        <v>44866</v>
      </c>
      <c r="AS1" s="20">
        <f t="shared" si="0"/>
        <v>44896</v>
      </c>
      <c r="AT1" s="20">
        <f t="shared" si="0"/>
        <v>44927</v>
      </c>
      <c r="AU1" s="20">
        <f t="shared" si="0"/>
        <v>44958</v>
      </c>
      <c r="AV1" s="20">
        <f t="shared" si="0"/>
        <v>44986</v>
      </c>
      <c r="AW1" s="20">
        <f t="shared" si="0"/>
        <v>45017</v>
      </c>
      <c r="AX1" s="20">
        <f t="shared" si="0"/>
        <v>45047</v>
      </c>
      <c r="AY1" s="20">
        <f t="shared" si="0"/>
        <v>45078</v>
      </c>
      <c r="AZ1" s="20">
        <f t="shared" si="0"/>
        <v>45108</v>
      </c>
      <c r="BA1" s="20">
        <f t="shared" si="0"/>
        <v>45139</v>
      </c>
      <c r="BB1" s="20">
        <f t="shared" si="0"/>
        <v>45170</v>
      </c>
      <c r="BC1" s="20">
        <f t="shared" si="0"/>
        <v>45200</v>
      </c>
      <c r="BD1" s="20">
        <f t="shared" si="0"/>
        <v>45231</v>
      </c>
      <c r="BE1" s="20">
        <f t="shared" si="0"/>
        <v>45261</v>
      </c>
      <c r="BF1" s="20">
        <f t="shared" si="0"/>
        <v>45292</v>
      </c>
      <c r="BG1" s="20">
        <f t="shared" si="0"/>
        <v>45323</v>
      </c>
      <c r="BH1" s="20">
        <f t="shared" si="0"/>
        <v>45352</v>
      </c>
      <c r="BI1" s="20">
        <f t="shared" si="0"/>
        <v>45383</v>
      </c>
    </row>
    <row r="2" spans="1:61" ht="12.75" x14ac:dyDescent="0.2">
      <c r="A2" s="187" t="s">
        <v>140</v>
      </c>
      <c r="B2" s="6"/>
      <c r="C2" s="6"/>
      <c r="D2" s="6"/>
      <c r="E2" s="6"/>
      <c r="F2" s="6"/>
      <c r="G2" s="6"/>
      <c r="H2" s="6"/>
      <c r="I2" s="6"/>
      <c r="J2" s="6"/>
      <c r="K2" s="188"/>
    </row>
    <row r="3" spans="1:61" ht="12.75" x14ac:dyDescent="0.2">
      <c r="A3" s="189"/>
      <c r="B3" s="189" t="s">
        <v>72</v>
      </c>
      <c r="C3" s="6"/>
      <c r="D3" s="6"/>
      <c r="E3" s="6"/>
      <c r="F3" s="6"/>
      <c r="G3" s="6"/>
      <c r="H3" s="6"/>
      <c r="I3" s="6"/>
      <c r="J3" s="6"/>
      <c r="K3" s="188"/>
    </row>
    <row r="4" spans="1:61" ht="12.75" x14ac:dyDescent="0.2">
      <c r="A4" s="6"/>
      <c r="B4" s="15" t="s">
        <v>141</v>
      </c>
      <c r="C4" s="15" t="s">
        <v>142</v>
      </c>
      <c r="D4" s="15" t="str">
        <f t="shared" ref="D4:D5" si="1">$B$3</f>
        <v>General &amp; Admin</v>
      </c>
      <c r="E4" s="190">
        <v>120000</v>
      </c>
      <c r="F4" s="191">
        <v>43466</v>
      </c>
      <c r="G4" s="191"/>
      <c r="H4" s="192">
        <v>0.09</v>
      </c>
      <c r="I4" s="193">
        <f t="shared" ref="I4:I5" si="2">0.04*E4/12</f>
        <v>400</v>
      </c>
      <c r="J4" s="193">
        <v>500</v>
      </c>
      <c r="K4" s="188">
        <f t="shared" ref="K4:K54" si="3">SUM(I4:J4)</f>
        <v>900</v>
      </c>
      <c r="N4" s="188">
        <f t="shared" ref="N4:BI4" si="4">IF($F4=0,0, IF(AND(N$1&gt;=$G4,$G4&lt;&gt;0),0,IF(N$1&gt;=$F4,$E4/12,0)))</f>
        <v>10000</v>
      </c>
      <c r="O4" s="188">
        <f t="shared" si="4"/>
        <v>10000</v>
      </c>
      <c r="P4" s="188">
        <f t="shared" si="4"/>
        <v>10000</v>
      </c>
      <c r="Q4" s="188">
        <f t="shared" si="4"/>
        <v>10000</v>
      </c>
      <c r="R4" s="188">
        <f t="shared" si="4"/>
        <v>10000</v>
      </c>
      <c r="S4" s="188">
        <f t="shared" si="4"/>
        <v>10000</v>
      </c>
      <c r="T4" s="188">
        <f t="shared" si="4"/>
        <v>10000</v>
      </c>
      <c r="U4" s="188">
        <f t="shared" si="4"/>
        <v>10000</v>
      </c>
      <c r="V4" s="188">
        <f t="shared" si="4"/>
        <v>10000</v>
      </c>
      <c r="W4" s="188">
        <f t="shared" si="4"/>
        <v>10000</v>
      </c>
      <c r="X4" s="188">
        <f t="shared" si="4"/>
        <v>10000</v>
      </c>
      <c r="Y4" s="188">
        <f t="shared" si="4"/>
        <v>10000</v>
      </c>
      <c r="Z4" s="188">
        <f t="shared" si="4"/>
        <v>10000</v>
      </c>
      <c r="AA4" s="188">
        <f t="shared" si="4"/>
        <v>10000</v>
      </c>
      <c r="AB4" s="188">
        <f t="shared" si="4"/>
        <v>10000</v>
      </c>
      <c r="AC4" s="188">
        <f t="shared" si="4"/>
        <v>10000</v>
      </c>
      <c r="AD4" s="188">
        <f t="shared" si="4"/>
        <v>10000</v>
      </c>
      <c r="AE4" s="188">
        <f t="shared" si="4"/>
        <v>10000</v>
      </c>
      <c r="AF4" s="188">
        <f t="shared" si="4"/>
        <v>10000</v>
      </c>
      <c r="AG4" s="188">
        <f t="shared" si="4"/>
        <v>10000</v>
      </c>
      <c r="AH4" s="188">
        <f t="shared" si="4"/>
        <v>10000</v>
      </c>
      <c r="AI4" s="188">
        <f t="shared" si="4"/>
        <v>10000</v>
      </c>
      <c r="AJ4" s="188">
        <f t="shared" si="4"/>
        <v>10000</v>
      </c>
      <c r="AK4" s="188">
        <f t="shared" si="4"/>
        <v>10000</v>
      </c>
      <c r="AL4" s="188">
        <f t="shared" si="4"/>
        <v>10000</v>
      </c>
      <c r="AM4" s="188">
        <f t="shared" si="4"/>
        <v>10000</v>
      </c>
      <c r="AN4" s="188">
        <f t="shared" si="4"/>
        <v>10000</v>
      </c>
      <c r="AO4" s="188">
        <f t="shared" si="4"/>
        <v>10000</v>
      </c>
      <c r="AP4" s="188">
        <f t="shared" si="4"/>
        <v>10000</v>
      </c>
      <c r="AQ4" s="188">
        <f t="shared" si="4"/>
        <v>10000</v>
      </c>
      <c r="AR4" s="188">
        <f t="shared" si="4"/>
        <v>10000</v>
      </c>
      <c r="AS4" s="188">
        <f t="shared" si="4"/>
        <v>10000</v>
      </c>
      <c r="AT4" s="188">
        <f t="shared" si="4"/>
        <v>10000</v>
      </c>
      <c r="AU4" s="188">
        <f t="shared" si="4"/>
        <v>10000</v>
      </c>
      <c r="AV4" s="188">
        <f t="shared" si="4"/>
        <v>10000</v>
      </c>
      <c r="AW4" s="188">
        <f t="shared" si="4"/>
        <v>10000</v>
      </c>
      <c r="AX4" s="188">
        <f t="shared" si="4"/>
        <v>10000</v>
      </c>
      <c r="AY4" s="188">
        <f t="shared" si="4"/>
        <v>10000</v>
      </c>
      <c r="AZ4" s="188">
        <f t="shared" si="4"/>
        <v>10000</v>
      </c>
      <c r="BA4" s="188">
        <f t="shared" si="4"/>
        <v>10000</v>
      </c>
      <c r="BB4" s="188">
        <f t="shared" si="4"/>
        <v>10000</v>
      </c>
      <c r="BC4" s="188">
        <f t="shared" si="4"/>
        <v>10000</v>
      </c>
      <c r="BD4" s="188">
        <f t="shared" si="4"/>
        <v>10000</v>
      </c>
      <c r="BE4" s="188">
        <f t="shared" si="4"/>
        <v>10000</v>
      </c>
      <c r="BF4" s="188">
        <f t="shared" si="4"/>
        <v>10000</v>
      </c>
      <c r="BG4" s="188">
        <f t="shared" si="4"/>
        <v>10000</v>
      </c>
      <c r="BH4" s="188">
        <f t="shared" si="4"/>
        <v>10000</v>
      </c>
      <c r="BI4" s="188">
        <f t="shared" si="4"/>
        <v>10000</v>
      </c>
    </row>
    <row r="5" spans="1:61" ht="12.75" x14ac:dyDescent="0.2">
      <c r="A5" s="6"/>
      <c r="B5" s="15" t="s">
        <v>143</v>
      </c>
      <c r="C5" s="15" t="s">
        <v>144</v>
      </c>
      <c r="D5" s="15" t="str">
        <f t="shared" si="1"/>
        <v>General &amp; Admin</v>
      </c>
      <c r="E5" s="190">
        <v>150000</v>
      </c>
      <c r="F5" s="191">
        <v>43466</v>
      </c>
      <c r="G5" s="191"/>
      <c r="H5" s="192">
        <v>0.09</v>
      </c>
      <c r="I5" s="193">
        <f t="shared" si="2"/>
        <v>500</v>
      </c>
      <c r="J5" s="193">
        <v>500</v>
      </c>
      <c r="K5" s="188">
        <f t="shared" si="3"/>
        <v>1000</v>
      </c>
      <c r="N5" s="188">
        <f t="shared" ref="N5:BI5" si="5">IF($F5=0,0, IF(AND(N$1&gt;=$G5,$G5&lt;&gt;0),0,IF(N$1&gt;=$F5,$E5/12,0)))</f>
        <v>12500</v>
      </c>
      <c r="O5" s="188">
        <f t="shared" si="5"/>
        <v>12500</v>
      </c>
      <c r="P5" s="188">
        <f t="shared" si="5"/>
        <v>12500</v>
      </c>
      <c r="Q5" s="188">
        <f t="shared" si="5"/>
        <v>12500</v>
      </c>
      <c r="R5" s="188">
        <f t="shared" si="5"/>
        <v>12500</v>
      </c>
      <c r="S5" s="188">
        <f t="shared" si="5"/>
        <v>12500</v>
      </c>
      <c r="T5" s="188">
        <f t="shared" si="5"/>
        <v>12500</v>
      </c>
      <c r="U5" s="188">
        <f t="shared" si="5"/>
        <v>12500</v>
      </c>
      <c r="V5" s="188">
        <f t="shared" si="5"/>
        <v>12500</v>
      </c>
      <c r="W5" s="188">
        <f t="shared" si="5"/>
        <v>12500</v>
      </c>
      <c r="X5" s="188">
        <f t="shared" si="5"/>
        <v>12500</v>
      </c>
      <c r="Y5" s="188">
        <f t="shared" si="5"/>
        <v>12500</v>
      </c>
      <c r="Z5" s="188">
        <f t="shared" si="5"/>
        <v>12500</v>
      </c>
      <c r="AA5" s="188">
        <f t="shared" si="5"/>
        <v>12500</v>
      </c>
      <c r="AB5" s="188">
        <f t="shared" si="5"/>
        <v>12500</v>
      </c>
      <c r="AC5" s="188">
        <f t="shared" si="5"/>
        <v>12500</v>
      </c>
      <c r="AD5" s="188">
        <f t="shared" si="5"/>
        <v>12500</v>
      </c>
      <c r="AE5" s="188">
        <f t="shared" si="5"/>
        <v>12500</v>
      </c>
      <c r="AF5" s="188">
        <f t="shared" si="5"/>
        <v>12500</v>
      </c>
      <c r="AG5" s="188">
        <f t="shared" si="5"/>
        <v>12500</v>
      </c>
      <c r="AH5" s="188">
        <f t="shared" si="5"/>
        <v>12500</v>
      </c>
      <c r="AI5" s="188">
        <f t="shared" si="5"/>
        <v>12500</v>
      </c>
      <c r="AJ5" s="188">
        <f t="shared" si="5"/>
        <v>12500</v>
      </c>
      <c r="AK5" s="188">
        <f t="shared" si="5"/>
        <v>12500</v>
      </c>
      <c r="AL5" s="188">
        <f t="shared" si="5"/>
        <v>12500</v>
      </c>
      <c r="AM5" s="188">
        <f t="shared" si="5"/>
        <v>12500</v>
      </c>
      <c r="AN5" s="188">
        <f t="shared" si="5"/>
        <v>12500</v>
      </c>
      <c r="AO5" s="188">
        <f t="shared" si="5"/>
        <v>12500</v>
      </c>
      <c r="AP5" s="188">
        <f t="shared" si="5"/>
        <v>12500</v>
      </c>
      <c r="AQ5" s="188">
        <f t="shared" si="5"/>
        <v>12500</v>
      </c>
      <c r="AR5" s="188">
        <f t="shared" si="5"/>
        <v>12500</v>
      </c>
      <c r="AS5" s="188">
        <f t="shared" si="5"/>
        <v>12500</v>
      </c>
      <c r="AT5" s="188">
        <f t="shared" si="5"/>
        <v>12500</v>
      </c>
      <c r="AU5" s="188">
        <f t="shared" si="5"/>
        <v>12500</v>
      </c>
      <c r="AV5" s="188">
        <f t="shared" si="5"/>
        <v>12500</v>
      </c>
      <c r="AW5" s="188">
        <f t="shared" si="5"/>
        <v>12500</v>
      </c>
      <c r="AX5" s="188">
        <f t="shared" si="5"/>
        <v>12500</v>
      </c>
      <c r="AY5" s="188">
        <f t="shared" si="5"/>
        <v>12500</v>
      </c>
      <c r="AZ5" s="188">
        <f t="shared" si="5"/>
        <v>12500</v>
      </c>
      <c r="BA5" s="188">
        <f t="shared" si="5"/>
        <v>12500</v>
      </c>
      <c r="BB5" s="188">
        <f t="shared" si="5"/>
        <v>12500</v>
      </c>
      <c r="BC5" s="188">
        <f t="shared" si="5"/>
        <v>12500</v>
      </c>
      <c r="BD5" s="188">
        <f t="shared" si="5"/>
        <v>12500</v>
      </c>
      <c r="BE5" s="188">
        <f t="shared" si="5"/>
        <v>12500</v>
      </c>
      <c r="BF5" s="188">
        <f t="shared" si="5"/>
        <v>12500</v>
      </c>
      <c r="BG5" s="188">
        <f t="shared" si="5"/>
        <v>12500</v>
      </c>
      <c r="BH5" s="188">
        <f t="shared" si="5"/>
        <v>12500</v>
      </c>
      <c r="BI5" s="188">
        <f t="shared" si="5"/>
        <v>12500</v>
      </c>
    </row>
    <row r="6" spans="1:61" ht="12.75" x14ac:dyDescent="0.2">
      <c r="A6" s="189"/>
      <c r="B6" s="189" t="s">
        <v>76</v>
      </c>
      <c r="C6" s="6"/>
      <c r="D6" s="6"/>
      <c r="E6" s="6"/>
      <c r="F6" s="194"/>
      <c r="G6" s="194"/>
      <c r="H6" s="6"/>
      <c r="I6" s="6"/>
      <c r="J6" s="6"/>
      <c r="K6" s="188">
        <f t="shared" si="3"/>
        <v>0</v>
      </c>
      <c r="N6" s="188">
        <f t="shared" ref="N6:BI6" si="6">IF($F6=0,0, IF(AND(N$1&gt;=$G6,$G6&lt;&gt;0),0,IF(N$1&gt;=$F6,$E6/12,0)))</f>
        <v>0</v>
      </c>
      <c r="O6" s="188">
        <f t="shared" si="6"/>
        <v>0</v>
      </c>
      <c r="P6" s="188">
        <f t="shared" si="6"/>
        <v>0</v>
      </c>
      <c r="Q6" s="188">
        <f t="shared" si="6"/>
        <v>0</v>
      </c>
      <c r="R6" s="188">
        <f t="shared" si="6"/>
        <v>0</v>
      </c>
      <c r="S6" s="188">
        <f t="shared" si="6"/>
        <v>0</v>
      </c>
      <c r="T6" s="188">
        <f t="shared" si="6"/>
        <v>0</v>
      </c>
      <c r="U6" s="188">
        <f t="shared" si="6"/>
        <v>0</v>
      </c>
      <c r="V6" s="188">
        <f t="shared" si="6"/>
        <v>0</v>
      </c>
      <c r="W6" s="188">
        <f t="shared" si="6"/>
        <v>0</v>
      </c>
      <c r="X6" s="188">
        <f t="shared" si="6"/>
        <v>0</v>
      </c>
      <c r="Y6" s="188">
        <f t="shared" si="6"/>
        <v>0</v>
      </c>
      <c r="Z6" s="188">
        <f t="shared" si="6"/>
        <v>0</v>
      </c>
      <c r="AA6" s="188">
        <f t="shared" si="6"/>
        <v>0</v>
      </c>
      <c r="AB6" s="188">
        <f t="shared" si="6"/>
        <v>0</v>
      </c>
      <c r="AC6" s="188">
        <f t="shared" si="6"/>
        <v>0</v>
      </c>
      <c r="AD6" s="188">
        <f t="shared" si="6"/>
        <v>0</v>
      </c>
      <c r="AE6" s="188">
        <f t="shared" si="6"/>
        <v>0</v>
      </c>
      <c r="AF6" s="188">
        <f t="shared" si="6"/>
        <v>0</v>
      </c>
      <c r="AG6" s="188">
        <f t="shared" si="6"/>
        <v>0</v>
      </c>
      <c r="AH6" s="188">
        <f t="shared" si="6"/>
        <v>0</v>
      </c>
      <c r="AI6" s="188">
        <f t="shared" si="6"/>
        <v>0</v>
      </c>
      <c r="AJ6" s="188">
        <f t="shared" si="6"/>
        <v>0</v>
      </c>
      <c r="AK6" s="188">
        <f t="shared" si="6"/>
        <v>0</v>
      </c>
      <c r="AL6" s="188">
        <f t="shared" si="6"/>
        <v>0</v>
      </c>
      <c r="AM6" s="188">
        <f t="shared" si="6"/>
        <v>0</v>
      </c>
      <c r="AN6" s="188">
        <f t="shared" si="6"/>
        <v>0</v>
      </c>
      <c r="AO6" s="188">
        <f t="shared" si="6"/>
        <v>0</v>
      </c>
      <c r="AP6" s="188">
        <f t="shared" si="6"/>
        <v>0</v>
      </c>
      <c r="AQ6" s="188">
        <f t="shared" si="6"/>
        <v>0</v>
      </c>
      <c r="AR6" s="188">
        <f t="shared" si="6"/>
        <v>0</v>
      </c>
      <c r="AS6" s="188">
        <f t="shared" si="6"/>
        <v>0</v>
      </c>
      <c r="AT6" s="188">
        <f t="shared" si="6"/>
        <v>0</v>
      </c>
      <c r="AU6" s="188">
        <f t="shared" si="6"/>
        <v>0</v>
      </c>
      <c r="AV6" s="188">
        <f t="shared" si="6"/>
        <v>0</v>
      </c>
      <c r="AW6" s="188">
        <f t="shared" si="6"/>
        <v>0</v>
      </c>
      <c r="AX6" s="188">
        <f t="shared" si="6"/>
        <v>0</v>
      </c>
      <c r="AY6" s="188">
        <f t="shared" si="6"/>
        <v>0</v>
      </c>
      <c r="AZ6" s="188">
        <f t="shared" si="6"/>
        <v>0</v>
      </c>
      <c r="BA6" s="188">
        <f t="shared" si="6"/>
        <v>0</v>
      </c>
      <c r="BB6" s="188">
        <f t="shared" si="6"/>
        <v>0</v>
      </c>
      <c r="BC6" s="188">
        <f t="shared" si="6"/>
        <v>0</v>
      </c>
      <c r="BD6" s="188">
        <f t="shared" si="6"/>
        <v>0</v>
      </c>
      <c r="BE6" s="188">
        <f t="shared" si="6"/>
        <v>0</v>
      </c>
      <c r="BF6" s="188">
        <f t="shared" si="6"/>
        <v>0</v>
      </c>
      <c r="BG6" s="188">
        <f t="shared" si="6"/>
        <v>0</v>
      </c>
      <c r="BH6" s="188">
        <f t="shared" si="6"/>
        <v>0</v>
      </c>
      <c r="BI6" s="188">
        <f t="shared" si="6"/>
        <v>0</v>
      </c>
    </row>
    <row r="7" spans="1:61" ht="12.75" x14ac:dyDescent="0.2">
      <c r="A7" s="6"/>
      <c r="B7" s="15" t="s">
        <v>145</v>
      </c>
      <c r="C7" s="15" t="s">
        <v>146</v>
      </c>
      <c r="D7" s="15" t="str">
        <f t="shared" ref="D7:D31" si="7">$B$6</f>
        <v>Engineering</v>
      </c>
      <c r="E7" s="195">
        <v>220000</v>
      </c>
      <c r="F7" s="191">
        <v>43586</v>
      </c>
      <c r="G7" s="191"/>
      <c r="H7" s="192">
        <v>0.09</v>
      </c>
      <c r="I7" s="193">
        <f t="shared" ref="I7:I31" si="8">0.04*E7/12</f>
        <v>733.33333333333337</v>
      </c>
      <c r="J7" s="193">
        <v>500</v>
      </c>
      <c r="K7" s="188">
        <f t="shared" si="3"/>
        <v>1233.3333333333335</v>
      </c>
      <c r="N7" s="188">
        <f t="shared" ref="N7:BI7" si="9">IF($F7=0,0, IF(AND(N$1&gt;=$G7,$G7&lt;&gt;0),0,IF(N$1&gt;=$F7,$E7/12,0)))</f>
        <v>18333.333333333332</v>
      </c>
      <c r="O7" s="188">
        <f t="shared" si="9"/>
        <v>18333.333333333332</v>
      </c>
      <c r="P7" s="188">
        <f t="shared" si="9"/>
        <v>18333.333333333332</v>
      </c>
      <c r="Q7" s="188">
        <f t="shared" si="9"/>
        <v>18333.333333333332</v>
      </c>
      <c r="R7" s="188">
        <f t="shared" si="9"/>
        <v>18333.333333333332</v>
      </c>
      <c r="S7" s="188">
        <f t="shared" si="9"/>
        <v>18333.333333333332</v>
      </c>
      <c r="T7" s="188">
        <f t="shared" si="9"/>
        <v>18333.333333333332</v>
      </c>
      <c r="U7" s="188">
        <f t="shared" si="9"/>
        <v>18333.333333333332</v>
      </c>
      <c r="V7" s="188">
        <f t="shared" si="9"/>
        <v>18333.333333333332</v>
      </c>
      <c r="W7" s="188">
        <f t="shared" si="9"/>
        <v>18333.333333333332</v>
      </c>
      <c r="X7" s="188">
        <f t="shared" si="9"/>
        <v>18333.333333333332</v>
      </c>
      <c r="Y7" s="188">
        <f t="shared" si="9"/>
        <v>18333.333333333332</v>
      </c>
      <c r="Z7" s="188">
        <f t="shared" si="9"/>
        <v>18333.333333333332</v>
      </c>
      <c r="AA7" s="188">
        <f t="shared" si="9"/>
        <v>18333.333333333332</v>
      </c>
      <c r="AB7" s="188">
        <f t="shared" si="9"/>
        <v>18333.333333333332</v>
      </c>
      <c r="AC7" s="188">
        <f t="shared" si="9"/>
        <v>18333.333333333332</v>
      </c>
      <c r="AD7" s="188">
        <f t="shared" si="9"/>
        <v>18333.333333333332</v>
      </c>
      <c r="AE7" s="188">
        <f t="shared" si="9"/>
        <v>18333.333333333332</v>
      </c>
      <c r="AF7" s="188">
        <f t="shared" si="9"/>
        <v>18333.333333333332</v>
      </c>
      <c r="AG7" s="188">
        <f t="shared" si="9"/>
        <v>18333.333333333332</v>
      </c>
      <c r="AH7" s="188">
        <f t="shared" si="9"/>
        <v>18333.333333333332</v>
      </c>
      <c r="AI7" s="188">
        <f t="shared" si="9"/>
        <v>18333.333333333332</v>
      </c>
      <c r="AJ7" s="188">
        <f t="shared" si="9"/>
        <v>18333.333333333332</v>
      </c>
      <c r="AK7" s="188">
        <f t="shared" si="9"/>
        <v>18333.333333333332</v>
      </c>
      <c r="AL7" s="188">
        <f t="shared" si="9"/>
        <v>18333.333333333332</v>
      </c>
      <c r="AM7" s="188">
        <f t="shared" si="9"/>
        <v>18333.333333333332</v>
      </c>
      <c r="AN7" s="188">
        <f t="shared" si="9"/>
        <v>18333.333333333332</v>
      </c>
      <c r="AO7" s="188">
        <f t="shared" si="9"/>
        <v>18333.333333333332</v>
      </c>
      <c r="AP7" s="188">
        <f t="shared" si="9"/>
        <v>18333.333333333332</v>
      </c>
      <c r="AQ7" s="188">
        <f t="shared" si="9"/>
        <v>18333.333333333332</v>
      </c>
      <c r="AR7" s="188">
        <f t="shared" si="9"/>
        <v>18333.333333333332</v>
      </c>
      <c r="AS7" s="188">
        <f t="shared" si="9"/>
        <v>18333.333333333332</v>
      </c>
      <c r="AT7" s="188">
        <f t="shared" si="9"/>
        <v>18333.333333333332</v>
      </c>
      <c r="AU7" s="188">
        <f t="shared" si="9"/>
        <v>18333.333333333332</v>
      </c>
      <c r="AV7" s="188">
        <f t="shared" si="9"/>
        <v>18333.333333333332</v>
      </c>
      <c r="AW7" s="188">
        <f t="shared" si="9"/>
        <v>18333.333333333332</v>
      </c>
      <c r="AX7" s="188">
        <f t="shared" si="9"/>
        <v>18333.333333333332</v>
      </c>
      <c r="AY7" s="188">
        <f t="shared" si="9"/>
        <v>18333.333333333332</v>
      </c>
      <c r="AZ7" s="188">
        <f t="shared" si="9"/>
        <v>18333.333333333332</v>
      </c>
      <c r="BA7" s="188">
        <f t="shared" si="9"/>
        <v>18333.333333333332</v>
      </c>
      <c r="BB7" s="188">
        <f t="shared" si="9"/>
        <v>18333.333333333332</v>
      </c>
      <c r="BC7" s="188">
        <f t="shared" si="9"/>
        <v>18333.333333333332</v>
      </c>
      <c r="BD7" s="188">
        <f t="shared" si="9"/>
        <v>18333.333333333332</v>
      </c>
      <c r="BE7" s="188">
        <f t="shared" si="9"/>
        <v>18333.333333333332</v>
      </c>
      <c r="BF7" s="188">
        <f t="shared" si="9"/>
        <v>18333.333333333332</v>
      </c>
      <c r="BG7" s="188">
        <f t="shared" si="9"/>
        <v>18333.333333333332</v>
      </c>
      <c r="BH7" s="188">
        <f t="shared" si="9"/>
        <v>18333.333333333332</v>
      </c>
      <c r="BI7" s="188">
        <f t="shared" si="9"/>
        <v>18333.333333333332</v>
      </c>
    </row>
    <row r="8" spans="1:61" ht="12.75" x14ac:dyDescent="0.2">
      <c r="A8" s="189"/>
      <c r="B8" s="15" t="s">
        <v>147</v>
      </c>
      <c r="C8" s="15" t="s">
        <v>148</v>
      </c>
      <c r="D8" s="15" t="str">
        <f t="shared" si="7"/>
        <v>Engineering</v>
      </c>
      <c r="E8" s="195">
        <v>190000</v>
      </c>
      <c r="F8" s="191">
        <v>43556</v>
      </c>
      <c r="G8" s="191"/>
      <c r="H8" s="192">
        <v>0.09</v>
      </c>
      <c r="I8" s="193">
        <f t="shared" si="8"/>
        <v>633.33333333333337</v>
      </c>
      <c r="J8" s="193">
        <v>500</v>
      </c>
      <c r="K8" s="188">
        <f t="shared" si="3"/>
        <v>1133.3333333333335</v>
      </c>
      <c r="N8" s="188">
        <f t="shared" ref="N8:BI8" si="10">IF($F8=0,0, IF(AND(N$1&gt;=$G8,$G8&lt;&gt;0),0,IF(N$1&gt;=$F8,$E8/12,0)))</f>
        <v>15833.333333333334</v>
      </c>
      <c r="O8" s="188">
        <f t="shared" si="10"/>
        <v>15833.333333333334</v>
      </c>
      <c r="P8" s="188">
        <f t="shared" si="10"/>
        <v>15833.333333333334</v>
      </c>
      <c r="Q8" s="188">
        <f t="shared" si="10"/>
        <v>15833.333333333334</v>
      </c>
      <c r="R8" s="188">
        <f t="shared" si="10"/>
        <v>15833.333333333334</v>
      </c>
      <c r="S8" s="188">
        <f t="shared" si="10"/>
        <v>15833.333333333334</v>
      </c>
      <c r="T8" s="188">
        <f t="shared" si="10"/>
        <v>15833.333333333334</v>
      </c>
      <c r="U8" s="188">
        <f t="shared" si="10"/>
        <v>15833.333333333334</v>
      </c>
      <c r="V8" s="188">
        <f t="shared" si="10"/>
        <v>15833.333333333334</v>
      </c>
      <c r="W8" s="188">
        <f t="shared" si="10"/>
        <v>15833.333333333334</v>
      </c>
      <c r="X8" s="188">
        <f t="shared" si="10"/>
        <v>15833.333333333334</v>
      </c>
      <c r="Y8" s="188">
        <f t="shared" si="10"/>
        <v>15833.333333333334</v>
      </c>
      <c r="Z8" s="188">
        <f t="shared" si="10"/>
        <v>15833.333333333334</v>
      </c>
      <c r="AA8" s="188">
        <f t="shared" si="10"/>
        <v>15833.333333333334</v>
      </c>
      <c r="AB8" s="188">
        <f t="shared" si="10"/>
        <v>15833.333333333334</v>
      </c>
      <c r="AC8" s="188">
        <f t="shared" si="10"/>
        <v>15833.333333333334</v>
      </c>
      <c r="AD8" s="188">
        <f t="shared" si="10"/>
        <v>15833.333333333334</v>
      </c>
      <c r="AE8" s="188">
        <f t="shared" si="10"/>
        <v>15833.333333333334</v>
      </c>
      <c r="AF8" s="188">
        <f t="shared" si="10"/>
        <v>15833.333333333334</v>
      </c>
      <c r="AG8" s="188">
        <f t="shared" si="10"/>
        <v>15833.333333333334</v>
      </c>
      <c r="AH8" s="188">
        <f t="shared" si="10"/>
        <v>15833.333333333334</v>
      </c>
      <c r="AI8" s="188">
        <f t="shared" si="10"/>
        <v>15833.333333333334</v>
      </c>
      <c r="AJ8" s="188">
        <f t="shared" si="10"/>
        <v>15833.333333333334</v>
      </c>
      <c r="AK8" s="188">
        <f t="shared" si="10"/>
        <v>15833.333333333334</v>
      </c>
      <c r="AL8" s="188">
        <f t="shared" si="10"/>
        <v>15833.333333333334</v>
      </c>
      <c r="AM8" s="188">
        <f t="shared" si="10"/>
        <v>15833.333333333334</v>
      </c>
      <c r="AN8" s="188">
        <f t="shared" si="10"/>
        <v>15833.333333333334</v>
      </c>
      <c r="AO8" s="188">
        <f t="shared" si="10"/>
        <v>15833.333333333334</v>
      </c>
      <c r="AP8" s="188">
        <f t="shared" si="10"/>
        <v>15833.333333333334</v>
      </c>
      <c r="AQ8" s="188">
        <f t="shared" si="10"/>
        <v>15833.333333333334</v>
      </c>
      <c r="AR8" s="188">
        <f t="shared" si="10"/>
        <v>15833.333333333334</v>
      </c>
      <c r="AS8" s="188">
        <f t="shared" si="10"/>
        <v>15833.333333333334</v>
      </c>
      <c r="AT8" s="188">
        <f t="shared" si="10"/>
        <v>15833.333333333334</v>
      </c>
      <c r="AU8" s="188">
        <f t="shared" si="10"/>
        <v>15833.333333333334</v>
      </c>
      <c r="AV8" s="188">
        <f t="shared" si="10"/>
        <v>15833.333333333334</v>
      </c>
      <c r="AW8" s="188">
        <f t="shared" si="10"/>
        <v>15833.333333333334</v>
      </c>
      <c r="AX8" s="188">
        <f t="shared" si="10"/>
        <v>15833.333333333334</v>
      </c>
      <c r="AY8" s="188">
        <f t="shared" si="10"/>
        <v>15833.333333333334</v>
      </c>
      <c r="AZ8" s="188">
        <f t="shared" si="10"/>
        <v>15833.333333333334</v>
      </c>
      <c r="BA8" s="188">
        <f t="shared" si="10"/>
        <v>15833.333333333334</v>
      </c>
      <c r="BB8" s="188">
        <f t="shared" si="10"/>
        <v>15833.333333333334</v>
      </c>
      <c r="BC8" s="188">
        <f t="shared" si="10"/>
        <v>15833.333333333334</v>
      </c>
      <c r="BD8" s="188">
        <f t="shared" si="10"/>
        <v>15833.333333333334</v>
      </c>
      <c r="BE8" s="188">
        <f t="shared" si="10"/>
        <v>15833.333333333334</v>
      </c>
      <c r="BF8" s="188">
        <f t="shared" si="10"/>
        <v>15833.333333333334</v>
      </c>
      <c r="BG8" s="188">
        <f t="shared" si="10"/>
        <v>15833.333333333334</v>
      </c>
      <c r="BH8" s="188">
        <f t="shared" si="10"/>
        <v>15833.333333333334</v>
      </c>
      <c r="BI8" s="188">
        <f t="shared" si="10"/>
        <v>15833.333333333334</v>
      </c>
    </row>
    <row r="9" spans="1:61" ht="12.75" x14ac:dyDescent="0.2">
      <c r="A9" s="6"/>
      <c r="B9" s="15" t="s">
        <v>149</v>
      </c>
      <c r="C9" s="15" t="s">
        <v>150</v>
      </c>
      <c r="D9" s="15" t="str">
        <f t="shared" si="7"/>
        <v>Engineering</v>
      </c>
      <c r="E9" s="193">
        <v>175000</v>
      </c>
      <c r="F9" s="191">
        <v>43221</v>
      </c>
      <c r="G9" s="191"/>
      <c r="H9" s="192">
        <v>0.09</v>
      </c>
      <c r="I9" s="193">
        <f t="shared" si="8"/>
        <v>583.33333333333337</v>
      </c>
      <c r="J9" s="193">
        <v>500</v>
      </c>
      <c r="K9" s="188">
        <f t="shared" si="3"/>
        <v>1083.3333333333335</v>
      </c>
      <c r="N9" s="188">
        <f t="shared" ref="N9:BI9" si="11">IF($F9=0,0, IF(AND(N$1&gt;=$G9,$G9&lt;&gt;0),0,IF(N$1&gt;=$F9,$E9/12,0)))</f>
        <v>14583.333333333334</v>
      </c>
      <c r="O9" s="188">
        <f t="shared" si="11"/>
        <v>14583.333333333334</v>
      </c>
      <c r="P9" s="188">
        <f t="shared" si="11"/>
        <v>14583.333333333334</v>
      </c>
      <c r="Q9" s="188">
        <f t="shared" si="11"/>
        <v>14583.333333333334</v>
      </c>
      <c r="R9" s="188">
        <f t="shared" si="11"/>
        <v>14583.333333333334</v>
      </c>
      <c r="S9" s="188">
        <f t="shared" si="11"/>
        <v>14583.333333333334</v>
      </c>
      <c r="T9" s="188">
        <f t="shared" si="11"/>
        <v>14583.333333333334</v>
      </c>
      <c r="U9" s="188">
        <f t="shared" si="11"/>
        <v>14583.333333333334</v>
      </c>
      <c r="V9" s="188">
        <f t="shared" si="11"/>
        <v>14583.333333333334</v>
      </c>
      <c r="W9" s="188">
        <f t="shared" si="11"/>
        <v>14583.333333333334</v>
      </c>
      <c r="X9" s="188">
        <f t="shared" si="11"/>
        <v>14583.333333333334</v>
      </c>
      <c r="Y9" s="188">
        <f t="shared" si="11"/>
        <v>14583.333333333334</v>
      </c>
      <c r="Z9" s="188">
        <f t="shared" si="11"/>
        <v>14583.333333333334</v>
      </c>
      <c r="AA9" s="188">
        <f t="shared" si="11"/>
        <v>14583.333333333334</v>
      </c>
      <c r="AB9" s="188">
        <f t="shared" si="11"/>
        <v>14583.333333333334</v>
      </c>
      <c r="AC9" s="188">
        <f t="shared" si="11"/>
        <v>14583.333333333334</v>
      </c>
      <c r="AD9" s="188">
        <f t="shared" si="11"/>
        <v>14583.333333333334</v>
      </c>
      <c r="AE9" s="188">
        <f t="shared" si="11"/>
        <v>14583.333333333334</v>
      </c>
      <c r="AF9" s="188">
        <f t="shared" si="11"/>
        <v>14583.333333333334</v>
      </c>
      <c r="AG9" s="188">
        <f t="shared" si="11"/>
        <v>14583.333333333334</v>
      </c>
      <c r="AH9" s="188">
        <f t="shared" si="11"/>
        <v>14583.333333333334</v>
      </c>
      <c r="AI9" s="188">
        <f t="shared" si="11"/>
        <v>14583.333333333334</v>
      </c>
      <c r="AJ9" s="188">
        <f t="shared" si="11"/>
        <v>14583.333333333334</v>
      </c>
      <c r="AK9" s="188">
        <f t="shared" si="11"/>
        <v>14583.333333333334</v>
      </c>
      <c r="AL9" s="188">
        <f t="shared" si="11"/>
        <v>14583.333333333334</v>
      </c>
      <c r="AM9" s="188">
        <f t="shared" si="11"/>
        <v>14583.333333333334</v>
      </c>
      <c r="AN9" s="188">
        <f t="shared" si="11"/>
        <v>14583.333333333334</v>
      </c>
      <c r="AO9" s="188">
        <f t="shared" si="11"/>
        <v>14583.333333333334</v>
      </c>
      <c r="AP9" s="188">
        <f t="shared" si="11"/>
        <v>14583.333333333334</v>
      </c>
      <c r="AQ9" s="188">
        <f t="shared" si="11"/>
        <v>14583.333333333334</v>
      </c>
      <c r="AR9" s="188">
        <f t="shared" si="11"/>
        <v>14583.333333333334</v>
      </c>
      <c r="AS9" s="188">
        <f t="shared" si="11"/>
        <v>14583.333333333334</v>
      </c>
      <c r="AT9" s="188">
        <f t="shared" si="11"/>
        <v>14583.333333333334</v>
      </c>
      <c r="AU9" s="188">
        <f t="shared" si="11"/>
        <v>14583.333333333334</v>
      </c>
      <c r="AV9" s="188">
        <f t="shared" si="11"/>
        <v>14583.333333333334</v>
      </c>
      <c r="AW9" s="188">
        <f t="shared" si="11"/>
        <v>14583.333333333334</v>
      </c>
      <c r="AX9" s="188">
        <f t="shared" si="11"/>
        <v>14583.333333333334</v>
      </c>
      <c r="AY9" s="188">
        <f t="shared" si="11"/>
        <v>14583.333333333334</v>
      </c>
      <c r="AZ9" s="188">
        <f t="shared" si="11"/>
        <v>14583.333333333334</v>
      </c>
      <c r="BA9" s="188">
        <f t="shared" si="11"/>
        <v>14583.333333333334</v>
      </c>
      <c r="BB9" s="188">
        <f t="shared" si="11"/>
        <v>14583.333333333334</v>
      </c>
      <c r="BC9" s="188">
        <f t="shared" si="11"/>
        <v>14583.333333333334</v>
      </c>
      <c r="BD9" s="188">
        <f t="shared" si="11"/>
        <v>14583.333333333334</v>
      </c>
      <c r="BE9" s="188">
        <f t="shared" si="11"/>
        <v>14583.333333333334</v>
      </c>
      <c r="BF9" s="188">
        <f t="shared" si="11"/>
        <v>14583.333333333334</v>
      </c>
      <c r="BG9" s="188">
        <f t="shared" si="11"/>
        <v>14583.333333333334</v>
      </c>
      <c r="BH9" s="188">
        <f t="shared" si="11"/>
        <v>14583.333333333334</v>
      </c>
      <c r="BI9" s="188">
        <f t="shared" si="11"/>
        <v>14583.333333333334</v>
      </c>
    </row>
    <row r="10" spans="1:61" ht="12.75" x14ac:dyDescent="0.2">
      <c r="A10" s="189"/>
      <c r="B10" s="15" t="s">
        <v>151</v>
      </c>
      <c r="C10" s="6" t="s">
        <v>152</v>
      </c>
      <c r="D10" s="15" t="str">
        <f t="shared" si="7"/>
        <v>Engineering</v>
      </c>
      <c r="E10" s="193">
        <v>175000</v>
      </c>
      <c r="F10" s="191">
        <v>42798</v>
      </c>
      <c r="G10" s="191"/>
      <c r="H10" s="192">
        <v>0.09</v>
      </c>
      <c r="I10" s="193">
        <f t="shared" si="8"/>
        <v>583.33333333333337</v>
      </c>
      <c r="J10" s="193">
        <v>500</v>
      </c>
      <c r="K10" s="188">
        <f t="shared" si="3"/>
        <v>1083.3333333333335</v>
      </c>
      <c r="N10" s="188">
        <f t="shared" ref="N10:BI10" si="12">IF($F10=0,0, IF(AND(N$1&gt;=$G10,$G10&lt;&gt;0),0,IF(N$1&gt;=$F10,$E10/12,0)))</f>
        <v>14583.333333333334</v>
      </c>
      <c r="O10" s="188">
        <f t="shared" si="12"/>
        <v>14583.333333333334</v>
      </c>
      <c r="P10" s="188">
        <f t="shared" si="12"/>
        <v>14583.333333333334</v>
      </c>
      <c r="Q10" s="188">
        <f t="shared" si="12"/>
        <v>14583.333333333334</v>
      </c>
      <c r="R10" s="188">
        <f t="shared" si="12"/>
        <v>14583.333333333334</v>
      </c>
      <c r="S10" s="188">
        <f t="shared" si="12"/>
        <v>14583.333333333334</v>
      </c>
      <c r="T10" s="188">
        <f t="shared" si="12"/>
        <v>14583.333333333334</v>
      </c>
      <c r="U10" s="188">
        <f t="shared" si="12"/>
        <v>14583.333333333334</v>
      </c>
      <c r="V10" s="188">
        <f t="shared" si="12"/>
        <v>14583.333333333334</v>
      </c>
      <c r="W10" s="188">
        <f t="shared" si="12"/>
        <v>14583.333333333334</v>
      </c>
      <c r="X10" s="188">
        <f t="shared" si="12"/>
        <v>14583.333333333334</v>
      </c>
      <c r="Y10" s="188">
        <f t="shared" si="12"/>
        <v>14583.333333333334</v>
      </c>
      <c r="Z10" s="188">
        <f t="shared" si="12"/>
        <v>14583.333333333334</v>
      </c>
      <c r="AA10" s="188">
        <f t="shared" si="12"/>
        <v>14583.333333333334</v>
      </c>
      <c r="AB10" s="188">
        <f t="shared" si="12"/>
        <v>14583.333333333334</v>
      </c>
      <c r="AC10" s="188">
        <f t="shared" si="12"/>
        <v>14583.333333333334</v>
      </c>
      <c r="AD10" s="188">
        <f t="shared" si="12"/>
        <v>14583.333333333334</v>
      </c>
      <c r="AE10" s="188">
        <f t="shared" si="12"/>
        <v>14583.333333333334</v>
      </c>
      <c r="AF10" s="188">
        <f t="shared" si="12"/>
        <v>14583.333333333334</v>
      </c>
      <c r="AG10" s="188">
        <f t="shared" si="12"/>
        <v>14583.333333333334</v>
      </c>
      <c r="AH10" s="188">
        <f t="shared" si="12"/>
        <v>14583.333333333334</v>
      </c>
      <c r="AI10" s="188">
        <f t="shared" si="12"/>
        <v>14583.333333333334</v>
      </c>
      <c r="AJ10" s="188">
        <f t="shared" si="12"/>
        <v>14583.333333333334</v>
      </c>
      <c r="AK10" s="188">
        <f t="shared" si="12"/>
        <v>14583.333333333334</v>
      </c>
      <c r="AL10" s="188">
        <f t="shared" si="12"/>
        <v>14583.333333333334</v>
      </c>
      <c r="AM10" s="188">
        <f t="shared" si="12"/>
        <v>14583.333333333334</v>
      </c>
      <c r="AN10" s="188">
        <f t="shared" si="12"/>
        <v>14583.333333333334</v>
      </c>
      <c r="AO10" s="188">
        <f t="shared" si="12"/>
        <v>14583.333333333334</v>
      </c>
      <c r="AP10" s="188">
        <f t="shared" si="12"/>
        <v>14583.333333333334</v>
      </c>
      <c r="AQ10" s="188">
        <f t="shared" si="12"/>
        <v>14583.333333333334</v>
      </c>
      <c r="AR10" s="188">
        <f t="shared" si="12"/>
        <v>14583.333333333334</v>
      </c>
      <c r="AS10" s="188">
        <f t="shared" si="12"/>
        <v>14583.333333333334</v>
      </c>
      <c r="AT10" s="188">
        <f t="shared" si="12"/>
        <v>14583.333333333334</v>
      </c>
      <c r="AU10" s="188">
        <f t="shared" si="12"/>
        <v>14583.333333333334</v>
      </c>
      <c r="AV10" s="188">
        <f t="shared" si="12"/>
        <v>14583.333333333334</v>
      </c>
      <c r="AW10" s="188">
        <f t="shared" si="12"/>
        <v>14583.333333333334</v>
      </c>
      <c r="AX10" s="188">
        <f t="shared" si="12"/>
        <v>14583.333333333334</v>
      </c>
      <c r="AY10" s="188">
        <f t="shared" si="12"/>
        <v>14583.333333333334</v>
      </c>
      <c r="AZ10" s="188">
        <f t="shared" si="12"/>
        <v>14583.333333333334</v>
      </c>
      <c r="BA10" s="188">
        <f t="shared" si="12"/>
        <v>14583.333333333334</v>
      </c>
      <c r="BB10" s="188">
        <f t="shared" si="12"/>
        <v>14583.333333333334</v>
      </c>
      <c r="BC10" s="188">
        <f t="shared" si="12"/>
        <v>14583.333333333334</v>
      </c>
      <c r="BD10" s="188">
        <f t="shared" si="12"/>
        <v>14583.333333333334</v>
      </c>
      <c r="BE10" s="188">
        <f t="shared" si="12"/>
        <v>14583.333333333334</v>
      </c>
      <c r="BF10" s="188">
        <f t="shared" si="12"/>
        <v>14583.333333333334</v>
      </c>
      <c r="BG10" s="188">
        <f t="shared" si="12"/>
        <v>14583.333333333334</v>
      </c>
      <c r="BH10" s="188">
        <f t="shared" si="12"/>
        <v>14583.333333333334</v>
      </c>
      <c r="BI10" s="188">
        <f t="shared" si="12"/>
        <v>14583.333333333334</v>
      </c>
    </row>
    <row r="11" spans="1:61" ht="12.75" x14ac:dyDescent="0.2">
      <c r="A11" s="189"/>
      <c r="B11" s="15" t="s">
        <v>153</v>
      </c>
      <c r="C11" s="6" t="s">
        <v>154</v>
      </c>
      <c r="D11" s="15" t="str">
        <f t="shared" si="7"/>
        <v>Engineering</v>
      </c>
      <c r="E11" s="193">
        <v>175000</v>
      </c>
      <c r="F11" s="191">
        <v>43101</v>
      </c>
      <c r="G11" s="191"/>
      <c r="H11" s="192">
        <v>0.09</v>
      </c>
      <c r="I11" s="193">
        <f t="shared" si="8"/>
        <v>583.33333333333337</v>
      </c>
      <c r="J11" s="193">
        <v>500</v>
      </c>
      <c r="K11" s="188">
        <f t="shared" si="3"/>
        <v>1083.3333333333335</v>
      </c>
      <c r="N11" s="188">
        <f t="shared" ref="N11:BI11" si="13">IF($F11=0,0, IF(AND(N$1&gt;=$G11,$G11&lt;&gt;0),0,IF(N$1&gt;=$F11,$E11/12,0)))</f>
        <v>14583.333333333334</v>
      </c>
      <c r="O11" s="188">
        <f t="shared" si="13"/>
        <v>14583.333333333334</v>
      </c>
      <c r="P11" s="188">
        <f t="shared" si="13"/>
        <v>14583.333333333334</v>
      </c>
      <c r="Q11" s="188">
        <f t="shared" si="13"/>
        <v>14583.333333333334</v>
      </c>
      <c r="R11" s="188">
        <f t="shared" si="13"/>
        <v>14583.333333333334</v>
      </c>
      <c r="S11" s="188">
        <f t="shared" si="13"/>
        <v>14583.333333333334</v>
      </c>
      <c r="T11" s="188">
        <f t="shared" si="13"/>
        <v>14583.333333333334</v>
      </c>
      <c r="U11" s="188">
        <f t="shared" si="13"/>
        <v>14583.333333333334</v>
      </c>
      <c r="V11" s="188">
        <f t="shared" si="13"/>
        <v>14583.333333333334</v>
      </c>
      <c r="W11" s="188">
        <f t="shared" si="13"/>
        <v>14583.333333333334</v>
      </c>
      <c r="X11" s="188">
        <f t="shared" si="13"/>
        <v>14583.333333333334</v>
      </c>
      <c r="Y11" s="188">
        <f t="shared" si="13"/>
        <v>14583.333333333334</v>
      </c>
      <c r="Z11" s="188">
        <f t="shared" si="13"/>
        <v>14583.333333333334</v>
      </c>
      <c r="AA11" s="188">
        <f t="shared" si="13"/>
        <v>14583.333333333334</v>
      </c>
      <c r="AB11" s="188">
        <f t="shared" si="13"/>
        <v>14583.333333333334</v>
      </c>
      <c r="AC11" s="188">
        <f t="shared" si="13"/>
        <v>14583.333333333334</v>
      </c>
      <c r="AD11" s="188">
        <f t="shared" si="13"/>
        <v>14583.333333333334</v>
      </c>
      <c r="AE11" s="188">
        <f t="shared" si="13"/>
        <v>14583.333333333334</v>
      </c>
      <c r="AF11" s="188">
        <f t="shared" si="13"/>
        <v>14583.333333333334</v>
      </c>
      <c r="AG11" s="188">
        <f t="shared" si="13"/>
        <v>14583.333333333334</v>
      </c>
      <c r="AH11" s="188">
        <f t="shared" si="13"/>
        <v>14583.333333333334</v>
      </c>
      <c r="AI11" s="188">
        <f t="shared" si="13"/>
        <v>14583.333333333334</v>
      </c>
      <c r="AJ11" s="188">
        <f t="shared" si="13"/>
        <v>14583.333333333334</v>
      </c>
      <c r="AK11" s="188">
        <f t="shared" si="13"/>
        <v>14583.333333333334</v>
      </c>
      <c r="AL11" s="188">
        <f t="shared" si="13"/>
        <v>14583.333333333334</v>
      </c>
      <c r="AM11" s="188">
        <f t="shared" si="13"/>
        <v>14583.333333333334</v>
      </c>
      <c r="AN11" s="188">
        <f t="shared" si="13"/>
        <v>14583.333333333334</v>
      </c>
      <c r="AO11" s="188">
        <f t="shared" si="13"/>
        <v>14583.333333333334</v>
      </c>
      <c r="AP11" s="188">
        <f t="shared" si="13"/>
        <v>14583.333333333334</v>
      </c>
      <c r="AQ11" s="188">
        <f t="shared" si="13"/>
        <v>14583.333333333334</v>
      </c>
      <c r="AR11" s="188">
        <f t="shared" si="13"/>
        <v>14583.333333333334</v>
      </c>
      <c r="AS11" s="188">
        <f t="shared" si="13"/>
        <v>14583.333333333334</v>
      </c>
      <c r="AT11" s="188">
        <f t="shared" si="13"/>
        <v>14583.333333333334</v>
      </c>
      <c r="AU11" s="188">
        <f t="shared" si="13"/>
        <v>14583.333333333334</v>
      </c>
      <c r="AV11" s="188">
        <f t="shared" si="13"/>
        <v>14583.333333333334</v>
      </c>
      <c r="AW11" s="188">
        <f t="shared" si="13"/>
        <v>14583.333333333334</v>
      </c>
      <c r="AX11" s="188">
        <f t="shared" si="13"/>
        <v>14583.333333333334</v>
      </c>
      <c r="AY11" s="188">
        <f t="shared" si="13"/>
        <v>14583.333333333334</v>
      </c>
      <c r="AZ11" s="188">
        <f t="shared" si="13"/>
        <v>14583.333333333334</v>
      </c>
      <c r="BA11" s="188">
        <f t="shared" si="13"/>
        <v>14583.333333333334</v>
      </c>
      <c r="BB11" s="188">
        <f t="shared" si="13"/>
        <v>14583.333333333334</v>
      </c>
      <c r="BC11" s="188">
        <f t="shared" si="13"/>
        <v>14583.333333333334</v>
      </c>
      <c r="BD11" s="188">
        <f t="shared" si="13"/>
        <v>14583.333333333334</v>
      </c>
      <c r="BE11" s="188">
        <f t="shared" si="13"/>
        <v>14583.333333333334</v>
      </c>
      <c r="BF11" s="188">
        <f t="shared" si="13"/>
        <v>14583.333333333334</v>
      </c>
      <c r="BG11" s="188">
        <f t="shared" si="13"/>
        <v>14583.333333333334</v>
      </c>
      <c r="BH11" s="188">
        <f t="shared" si="13"/>
        <v>14583.333333333334</v>
      </c>
      <c r="BI11" s="188">
        <f t="shared" si="13"/>
        <v>14583.333333333334</v>
      </c>
    </row>
    <row r="12" spans="1:61" ht="12.75" x14ac:dyDescent="0.2">
      <c r="A12" s="189"/>
      <c r="B12" s="15" t="s">
        <v>155</v>
      </c>
      <c r="C12" s="15" t="s">
        <v>156</v>
      </c>
      <c r="D12" s="15" t="str">
        <f t="shared" si="7"/>
        <v>Engineering</v>
      </c>
      <c r="E12" s="193">
        <v>210000</v>
      </c>
      <c r="F12" s="191">
        <v>43497</v>
      </c>
      <c r="G12" s="191"/>
      <c r="H12" s="192">
        <v>0.09</v>
      </c>
      <c r="I12" s="193">
        <f t="shared" si="8"/>
        <v>700</v>
      </c>
      <c r="J12" s="193">
        <v>500</v>
      </c>
      <c r="K12" s="188">
        <f t="shared" si="3"/>
        <v>1200</v>
      </c>
      <c r="N12" s="188">
        <f t="shared" ref="N12:BI12" si="14">IF($F12=0,0, IF(AND(N$1&gt;=$G12,$G12&lt;&gt;0),0,IF(N$1&gt;=$F12,$E12/12,0)))</f>
        <v>17500</v>
      </c>
      <c r="O12" s="188">
        <f t="shared" si="14"/>
        <v>17500</v>
      </c>
      <c r="P12" s="188">
        <f t="shared" si="14"/>
        <v>17500</v>
      </c>
      <c r="Q12" s="188">
        <f t="shared" si="14"/>
        <v>17500</v>
      </c>
      <c r="R12" s="188">
        <f t="shared" si="14"/>
        <v>17500</v>
      </c>
      <c r="S12" s="188">
        <f t="shared" si="14"/>
        <v>17500</v>
      </c>
      <c r="T12" s="188">
        <f t="shared" si="14"/>
        <v>17500</v>
      </c>
      <c r="U12" s="188">
        <f t="shared" si="14"/>
        <v>17500</v>
      </c>
      <c r="V12" s="188">
        <f t="shared" si="14"/>
        <v>17500</v>
      </c>
      <c r="W12" s="188">
        <f t="shared" si="14"/>
        <v>17500</v>
      </c>
      <c r="X12" s="188">
        <f t="shared" si="14"/>
        <v>17500</v>
      </c>
      <c r="Y12" s="188">
        <f t="shared" si="14"/>
        <v>17500</v>
      </c>
      <c r="Z12" s="188">
        <f t="shared" si="14"/>
        <v>17500</v>
      </c>
      <c r="AA12" s="188">
        <f t="shared" si="14"/>
        <v>17500</v>
      </c>
      <c r="AB12" s="188">
        <f t="shared" si="14"/>
        <v>17500</v>
      </c>
      <c r="AC12" s="188">
        <f t="shared" si="14"/>
        <v>17500</v>
      </c>
      <c r="AD12" s="188">
        <f t="shared" si="14"/>
        <v>17500</v>
      </c>
      <c r="AE12" s="188">
        <f t="shared" si="14"/>
        <v>17500</v>
      </c>
      <c r="AF12" s="188">
        <f t="shared" si="14"/>
        <v>17500</v>
      </c>
      <c r="AG12" s="188">
        <f t="shared" si="14"/>
        <v>17500</v>
      </c>
      <c r="AH12" s="188">
        <f t="shared" si="14"/>
        <v>17500</v>
      </c>
      <c r="AI12" s="188">
        <f t="shared" si="14"/>
        <v>17500</v>
      </c>
      <c r="AJ12" s="188">
        <f t="shared" si="14"/>
        <v>17500</v>
      </c>
      <c r="AK12" s="188">
        <f t="shared" si="14"/>
        <v>17500</v>
      </c>
      <c r="AL12" s="188">
        <f t="shared" si="14"/>
        <v>17500</v>
      </c>
      <c r="AM12" s="188">
        <f t="shared" si="14"/>
        <v>17500</v>
      </c>
      <c r="AN12" s="188">
        <f t="shared" si="14"/>
        <v>17500</v>
      </c>
      <c r="AO12" s="188">
        <f t="shared" si="14"/>
        <v>17500</v>
      </c>
      <c r="AP12" s="188">
        <f t="shared" si="14"/>
        <v>17500</v>
      </c>
      <c r="AQ12" s="188">
        <f t="shared" si="14"/>
        <v>17500</v>
      </c>
      <c r="AR12" s="188">
        <f t="shared" si="14"/>
        <v>17500</v>
      </c>
      <c r="AS12" s="188">
        <f t="shared" si="14"/>
        <v>17500</v>
      </c>
      <c r="AT12" s="188">
        <f t="shared" si="14"/>
        <v>17500</v>
      </c>
      <c r="AU12" s="188">
        <f t="shared" si="14"/>
        <v>17500</v>
      </c>
      <c r="AV12" s="188">
        <f t="shared" si="14"/>
        <v>17500</v>
      </c>
      <c r="AW12" s="188">
        <f t="shared" si="14"/>
        <v>17500</v>
      </c>
      <c r="AX12" s="188">
        <f t="shared" si="14"/>
        <v>17500</v>
      </c>
      <c r="AY12" s="188">
        <f t="shared" si="14"/>
        <v>17500</v>
      </c>
      <c r="AZ12" s="188">
        <f t="shared" si="14"/>
        <v>17500</v>
      </c>
      <c r="BA12" s="188">
        <f t="shared" si="14"/>
        <v>17500</v>
      </c>
      <c r="BB12" s="188">
        <f t="shared" si="14"/>
        <v>17500</v>
      </c>
      <c r="BC12" s="188">
        <f t="shared" si="14"/>
        <v>17500</v>
      </c>
      <c r="BD12" s="188">
        <f t="shared" si="14"/>
        <v>17500</v>
      </c>
      <c r="BE12" s="188">
        <f t="shared" si="14"/>
        <v>17500</v>
      </c>
      <c r="BF12" s="188">
        <f t="shared" si="14"/>
        <v>17500</v>
      </c>
      <c r="BG12" s="188">
        <f t="shared" si="14"/>
        <v>17500</v>
      </c>
      <c r="BH12" s="188">
        <f t="shared" si="14"/>
        <v>17500</v>
      </c>
      <c r="BI12" s="188">
        <f t="shared" si="14"/>
        <v>17500</v>
      </c>
    </row>
    <row r="13" spans="1:61" ht="12.75" x14ac:dyDescent="0.2">
      <c r="A13" s="189"/>
      <c r="B13" s="15" t="s">
        <v>157</v>
      </c>
      <c r="C13" s="6" t="s">
        <v>158</v>
      </c>
      <c r="D13" s="15" t="str">
        <f t="shared" si="7"/>
        <v>Engineering</v>
      </c>
      <c r="E13" s="193">
        <v>185000</v>
      </c>
      <c r="F13" s="191">
        <v>43678</v>
      </c>
      <c r="G13" s="191"/>
      <c r="H13" s="192">
        <v>0.09</v>
      </c>
      <c r="I13" s="193">
        <f t="shared" si="8"/>
        <v>616.66666666666663</v>
      </c>
      <c r="J13" s="193">
        <v>500</v>
      </c>
      <c r="K13" s="188">
        <f t="shared" si="3"/>
        <v>1116.6666666666665</v>
      </c>
      <c r="N13" s="188">
        <f t="shared" ref="N13:BI13" si="15">IF($F13=0,0, IF(AND(N$1&gt;=$G13,$G13&lt;&gt;0),0,IF(N$1&gt;=$F13,$E13/12,0)))</f>
        <v>15416.666666666666</v>
      </c>
      <c r="O13" s="188">
        <f t="shared" si="15"/>
        <v>15416.666666666666</v>
      </c>
      <c r="P13" s="188">
        <f t="shared" si="15"/>
        <v>15416.666666666666</v>
      </c>
      <c r="Q13" s="188">
        <f t="shared" si="15"/>
        <v>15416.666666666666</v>
      </c>
      <c r="R13" s="188">
        <f t="shared" si="15"/>
        <v>15416.666666666666</v>
      </c>
      <c r="S13" s="188">
        <f t="shared" si="15"/>
        <v>15416.666666666666</v>
      </c>
      <c r="T13" s="188">
        <f t="shared" si="15"/>
        <v>15416.666666666666</v>
      </c>
      <c r="U13" s="188">
        <f t="shared" si="15"/>
        <v>15416.666666666666</v>
      </c>
      <c r="V13" s="188">
        <f t="shared" si="15"/>
        <v>15416.666666666666</v>
      </c>
      <c r="W13" s="188">
        <f t="shared" si="15"/>
        <v>15416.666666666666</v>
      </c>
      <c r="X13" s="188">
        <f t="shared" si="15"/>
        <v>15416.666666666666</v>
      </c>
      <c r="Y13" s="188">
        <f t="shared" si="15"/>
        <v>15416.666666666666</v>
      </c>
      <c r="Z13" s="188">
        <f t="shared" si="15"/>
        <v>15416.666666666666</v>
      </c>
      <c r="AA13" s="188">
        <f t="shared" si="15"/>
        <v>15416.666666666666</v>
      </c>
      <c r="AB13" s="188">
        <f t="shared" si="15"/>
        <v>15416.666666666666</v>
      </c>
      <c r="AC13" s="188">
        <f t="shared" si="15"/>
        <v>15416.666666666666</v>
      </c>
      <c r="AD13" s="188">
        <f t="shared" si="15"/>
        <v>15416.666666666666</v>
      </c>
      <c r="AE13" s="188">
        <f t="shared" si="15"/>
        <v>15416.666666666666</v>
      </c>
      <c r="AF13" s="188">
        <f t="shared" si="15"/>
        <v>15416.666666666666</v>
      </c>
      <c r="AG13" s="188">
        <f t="shared" si="15"/>
        <v>15416.666666666666</v>
      </c>
      <c r="AH13" s="188">
        <f t="shared" si="15"/>
        <v>15416.666666666666</v>
      </c>
      <c r="AI13" s="188">
        <f t="shared" si="15"/>
        <v>15416.666666666666</v>
      </c>
      <c r="AJ13" s="188">
        <f t="shared" si="15"/>
        <v>15416.666666666666</v>
      </c>
      <c r="AK13" s="188">
        <f t="shared" si="15"/>
        <v>15416.666666666666</v>
      </c>
      <c r="AL13" s="188">
        <f t="shared" si="15"/>
        <v>15416.666666666666</v>
      </c>
      <c r="AM13" s="188">
        <f t="shared" si="15"/>
        <v>15416.666666666666</v>
      </c>
      <c r="AN13" s="188">
        <f t="shared" si="15"/>
        <v>15416.666666666666</v>
      </c>
      <c r="AO13" s="188">
        <f t="shared" si="15"/>
        <v>15416.666666666666</v>
      </c>
      <c r="AP13" s="188">
        <f t="shared" si="15"/>
        <v>15416.666666666666</v>
      </c>
      <c r="AQ13" s="188">
        <f t="shared" si="15"/>
        <v>15416.666666666666</v>
      </c>
      <c r="AR13" s="188">
        <f t="shared" si="15"/>
        <v>15416.666666666666</v>
      </c>
      <c r="AS13" s="188">
        <f t="shared" si="15"/>
        <v>15416.666666666666</v>
      </c>
      <c r="AT13" s="188">
        <f t="shared" si="15"/>
        <v>15416.666666666666</v>
      </c>
      <c r="AU13" s="188">
        <f t="shared" si="15"/>
        <v>15416.666666666666</v>
      </c>
      <c r="AV13" s="188">
        <f t="shared" si="15"/>
        <v>15416.666666666666</v>
      </c>
      <c r="AW13" s="188">
        <f t="shared" si="15"/>
        <v>15416.666666666666</v>
      </c>
      <c r="AX13" s="188">
        <f t="shared" si="15"/>
        <v>15416.666666666666</v>
      </c>
      <c r="AY13" s="188">
        <f t="shared" si="15"/>
        <v>15416.666666666666</v>
      </c>
      <c r="AZ13" s="188">
        <f t="shared" si="15"/>
        <v>15416.666666666666</v>
      </c>
      <c r="BA13" s="188">
        <f t="shared" si="15"/>
        <v>15416.666666666666</v>
      </c>
      <c r="BB13" s="188">
        <f t="shared" si="15"/>
        <v>15416.666666666666</v>
      </c>
      <c r="BC13" s="188">
        <f t="shared" si="15"/>
        <v>15416.666666666666</v>
      </c>
      <c r="BD13" s="188">
        <f t="shared" si="15"/>
        <v>15416.666666666666</v>
      </c>
      <c r="BE13" s="188">
        <f t="shared" si="15"/>
        <v>15416.666666666666</v>
      </c>
      <c r="BF13" s="188">
        <f t="shared" si="15"/>
        <v>15416.666666666666</v>
      </c>
      <c r="BG13" s="188">
        <f t="shared" si="15"/>
        <v>15416.666666666666</v>
      </c>
      <c r="BH13" s="188">
        <f t="shared" si="15"/>
        <v>15416.666666666666</v>
      </c>
      <c r="BI13" s="188">
        <f t="shared" si="15"/>
        <v>15416.666666666666</v>
      </c>
    </row>
    <row r="14" spans="1:61" ht="12.75" x14ac:dyDescent="0.2">
      <c r="A14" s="189"/>
      <c r="B14" s="15" t="s">
        <v>159</v>
      </c>
      <c r="C14" s="6" t="s">
        <v>152</v>
      </c>
      <c r="D14" s="15" t="str">
        <f t="shared" si="7"/>
        <v>Engineering</v>
      </c>
      <c r="E14" s="193">
        <v>160000</v>
      </c>
      <c r="F14" s="191">
        <v>43770</v>
      </c>
      <c r="G14" s="191"/>
      <c r="H14" s="192">
        <v>0.09</v>
      </c>
      <c r="I14" s="193">
        <f t="shared" si="8"/>
        <v>533.33333333333337</v>
      </c>
      <c r="J14" s="193">
        <v>500</v>
      </c>
      <c r="K14" s="188">
        <f t="shared" si="3"/>
        <v>1033.3333333333335</v>
      </c>
      <c r="N14" s="188">
        <f t="shared" ref="N14:BI14" si="16">IF($F14=0,0, IF(AND(N$1&gt;=$G14,$G14&lt;&gt;0),0,IF(N$1&gt;=$F14,$E14/12,0)))</f>
        <v>13333.333333333334</v>
      </c>
      <c r="O14" s="188">
        <f t="shared" si="16"/>
        <v>13333.333333333334</v>
      </c>
      <c r="P14" s="188">
        <f t="shared" si="16"/>
        <v>13333.333333333334</v>
      </c>
      <c r="Q14" s="188">
        <f t="shared" si="16"/>
        <v>13333.333333333334</v>
      </c>
      <c r="R14" s="188">
        <f t="shared" si="16"/>
        <v>13333.333333333334</v>
      </c>
      <c r="S14" s="188">
        <f t="shared" si="16"/>
        <v>13333.333333333334</v>
      </c>
      <c r="T14" s="188">
        <f t="shared" si="16"/>
        <v>13333.333333333334</v>
      </c>
      <c r="U14" s="188">
        <f t="shared" si="16"/>
        <v>13333.333333333334</v>
      </c>
      <c r="V14" s="188">
        <f t="shared" si="16"/>
        <v>13333.333333333334</v>
      </c>
      <c r="W14" s="188">
        <f t="shared" si="16"/>
        <v>13333.333333333334</v>
      </c>
      <c r="X14" s="188">
        <f t="shared" si="16"/>
        <v>13333.333333333334</v>
      </c>
      <c r="Y14" s="188">
        <f t="shared" si="16"/>
        <v>13333.333333333334</v>
      </c>
      <c r="Z14" s="188">
        <f t="shared" si="16"/>
        <v>13333.333333333334</v>
      </c>
      <c r="AA14" s="188">
        <f t="shared" si="16"/>
        <v>13333.333333333334</v>
      </c>
      <c r="AB14" s="188">
        <f t="shared" si="16"/>
        <v>13333.333333333334</v>
      </c>
      <c r="AC14" s="188">
        <f t="shared" si="16"/>
        <v>13333.333333333334</v>
      </c>
      <c r="AD14" s="188">
        <f t="shared" si="16"/>
        <v>13333.333333333334</v>
      </c>
      <c r="AE14" s="188">
        <f t="shared" si="16"/>
        <v>13333.333333333334</v>
      </c>
      <c r="AF14" s="188">
        <f t="shared" si="16"/>
        <v>13333.333333333334</v>
      </c>
      <c r="AG14" s="188">
        <f t="shared" si="16"/>
        <v>13333.333333333334</v>
      </c>
      <c r="AH14" s="188">
        <f t="shared" si="16"/>
        <v>13333.333333333334</v>
      </c>
      <c r="AI14" s="188">
        <f t="shared" si="16"/>
        <v>13333.333333333334</v>
      </c>
      <c r="AJ14" s="188">
        <f t="shared" si="16"/>
        <v>13333.333333333334</v>
      </c>
      <c r="AK14" s="188">
        <f t="shared" si="16"/>
        <v>13333.333333333334</v>
      </c>
      <c r="AL14" s="188">
        <f t="shared" si="16"/>
        <v>13333.333333333334</v>
      </c>
      <c r="AM14" s="188">
        <f t="shared" si="16"/>
        <v>13333.333333333334</v>
      </c>
      <c r="AN14" s="188">
        <f t="shared" si="16"/>
        <v>13333.333333333334</v>
      </c>
      <c r="AO14" s="188">
        <f t="shared" si="16"/>
        <v>13333.333333333334</v>
      </c>
      <c r="AP14" s="188">
        <f t="shared" si="16"/>
        <v>13333.333333333334</v>
      </c>
      <c r="AQ14" s="188">
        <f t="shared" si="16"/>
        <v>13333.333333333334</v>
      </c>
      <c r="AR14" s="188">
        <f t="shared" si="16"/>
        <v>13333.333333333334</v>
      </c>
      <c r="AS14" s="188">
        <f t="shared" si="16"/>
        <v>13333.333333333334</v>
      </c>
      <c r="AT14" s="188">
        <f t="shared" si="16"/>
        <v>13333.333333333334</v>
      </c>
      <c r="AU14" s="188">
        <f t="shared" si="16"/>
        <v>13333.333333333334</v>
      </c>
      <c r="AV14" s="188">
        <f t="shared" si="16"/>
        <v>13333.333333333334</v>
      </c>
      <c r="AW14" s="188">
        <f t="shared" si="16"/>
        <v>13333.333333333334</v>
      </c>
      <c r="AX14" s="188">
        <f t="shared" si="16"/>
        <v>13333.333333333334</v>
      </c>
      <c r="AY14" s="188">
        <f t="shared" si="16"/>
        <v>13333.333333333334</v>
      </c>
      <c r="AZ14" s="188">
        <f t="shared" si="16"/>
        <v>13333.333333333334</v>
      </c>
      <c r="BA14" s="188">
        <f t="shared" si="16"/>
        <v>13333.333333333334</v>
      </c>
      <c r="BB14" s="188">
        <f t="shared" si="16"/>
        <v>13333.333333333334</v>
      </c>
      <c r="BC14" s="188">
        <f t="shared" si="16"/>
        <v>13333.333333333334</v>
      </c>
      <c r="BD14" s="188">
        <f t="shared" si="16"/>
        <v>13333.333333333334</v>
      </c>
      <c r="BE14" s="188">
        <f t="shared" si="16"/>
        <v>13333.333333333334</v>
      </c>
      <c r="BF14" s="188">
        <f t="shared" si="16"/>
        <v>13333.333333333334</v>
      </c>
      <c r="BG14" s="188">
        <f t="shared" si="16"/>
        <v>13333.333333333334</v>
      </c>
      <c r="BH14" s="188">
        <f t="shared" si="16"/>
        <v>13333.333333333334</v>
      </c>
      <c r="BI14" s="188">
        <f t="shared" si="16"/>
        <v>13333.333333333334</v>
      </c>
    </row>
    <row r="15" spans="1:61" ht="12.75" x14ac:dyDescent="0.2">
      <c r="A15" s="189"/>
      <c r="B15" s="15" t="s">
        <v>160</v>
      </c>
      <c r="C15" s="6" t="s">
        <v>161</v>
      </c>
      <c r="D15" s="15" t="str">
        <f t="shared" si="7"/>
        <v>Engineering</v>
      </c>
      <c r="E15" s="193">
        <v>185000</v>
      </c>
      <c r="F15" s="191">
        <v>43647</v>
      </c>
      <c r="G15" s="191"/>
      <c r="H15" s="192">
        <v>0.09</v>
      </c>
      <c r="I15" s="193">
        <f t="shared" si="8"/>
        <v>616.66666666666663</v>
      </c>
      <c r="J15" s="193">
        <v>500</v>
      </c>
      <c r="K15" s="188">
        <f t="shared" si="3"/>
        <v>1116.6666666666665</v>
      </c>
      <c r="N15" s="188">
        <f t="shared" ref="N15:BI15" si="17">IF($F15=0,0, IF(AND(N$1&gt;=$G15,$G15&lt;&gt;0),0,IF(N$1&gt;=$F15,$E15/12,0)))</f>
        <v>15416.666666666666</v>
      </c>
      <c r="O15" s="188">
        <f t="shared" si="17"/>
        <v>15416.666666666666</v>
      </c>
      <c r="P15" s="188">
        <f t="shared" si="17"/>
        <v>15416.666666666666</v>
      </c>
      <c r="Q15" s="188">
        <f t="shared" si="17"/>
        <v>15416.666666666666</v>
      </c>
      <c r="R15" s="188">
        <f t="shared" si="17"/>
        <v>15416.666666666666</v>
      </c>
      <c r="S15" s="188">
        <f t="shared" si="17"/>
        <v>15416.666666666666</v>
      </c>
      <c r="T15" s="188">
        <f t="shared" si="17"/>
        <v>15416.666666666666</v>
      </c>
      <c r="U15" s="188">
        <f t="shared" si="17"/>
        <v>15416.666666666666</v>
      </c>
      <c r="V15" s="188">
        <f t="shared" si="17"/>
        <v>15416.666666666666</v>
      </c>
      <c r="W15" s="188">
        <f t="shared" si="17"/>
        <v>15416.666666666666</v>
      </c>
      <c r="X15" s="188">
        <f t="shared" si="17"/>
        <v>15416.666666666666</v>
      </c>
      <c r="Y15" s="188">
        <f t="shared" si="17"/>
        <v>15416.666666666666</v>
      </c>
      <c r="Z15" s="188">
        <f t="shared" si="17"/>
        <v>15416.666666666666</v>
      </c>
      <c r="AA15" s="188">
        <f t="shared" si="17"/>
        <v>15416.666666666666</v>
      </c>
      <c r="AB15" s="188">
        <f t="shared" si="17"/>
        <v>15416.666666666666</v>
      </c>
      <c r="AC15" s="188">
        <f t="shared" si="17"/>
        <v>15416.666666666666</v>
      </c>
      <c r="AD15" s="188">
        <f t="shared" si="17"/>
        <v>15416.666666666666</v>
      </c>
      <c r="AE15" s="188">
        <f t="shared" si="17"/>
        <v>15416.666666666666</v>
      </c>
      <c r="AF15" s="188">
        <f t="shared" si="17"/>
        <v>15416.666666666666</v>
      </c>
      <c r="AG15" s="188">
        <f t="shared" si="17"/>
        <v>15416.666666666666</v>
      </c>
      <c r="AH15" s="188">
        <f t="shared" si="17"/>
        <v>15416.666666666666</v>
      </c>
      <c r="AI15" s="188">
        <f t="shared" si="17"/>
        <v>15416.666666666666</v>
      </c>
      <c r="AJ15" s="188">
        <f t="shared" si="17"/>
        <v>15416.666666666666</v>
      </c>
      <c r="AK15" s="188">
        <f t="shared" si="17"/>
        <v>15416.666666666666</v>
      </c>
      <c r="AL15" s="188">
        <f t="shared" si="17"/>
        <v>15416.666666666666</v>
      </c>
      <c r="AM15" s="188">
        <f t="shared" si="17"/>
        <v>15416.666666666666</v>
      </c>
      <c r="AN15" s="188">
        <f t="shared" si="17"/>
        <v>15416.666666666666</v>
      </c>
      <c r="AO15" s="188">
        <f t="shared" si="17"/>
        <v>15416.666666666666</v>
      </c>
      <c r="AP15" s="188">
        <f t="shared" si="17"/>
        <v>15416.666666666666</v>
      </c>
      <c r="AQ15" s="188">
        <f t="shared" si="17"/>
        <v>15416.666666666666</v>
      </c>
      <c r="AR15" s="188">
        <f t="shared" si="17"/>
        <v>15416.666666666666</v>
      </c>
      <c r="AS15" s="188">
        <f t="shared" si="17"/>
        <v>15416.666666666666</v>
      </c>
      <c r="AT15" s="188">
        <f t="shared" si="17"/>
        <v>15416.666666666666</v>
      </c>
      <c r="AU15" s="188">
        <f t="shared" si="17"/>
        <v>15416.666666666666</v>
      </c>
      <c r="AV15" s="188">
        <f t="shared" si="17"/>
        <v>15416.666666666666</v>
      </c>
      <c r="AW15" s="188">
        <f t="shared" si="17"/>
        <v>15416.666666666666</v>
      </c>
      <c r="AX15" s="188">
        <f t="shared" si="17"/>
        <v>15416.666666666666</v>
      </c>
      <c r="AY15" s="188">
        <f t="shared" si="17"/>
        <v>15416.666666666666</v>
      </c>
      <c r="AZ15" s="188">
        <f t="shared" si="17"/>
        <v>15416.666666666666</v>
      </c>
      <c r="BA15" s="188">
        <f t="shared" si="17"/>
        <v>15416.666666666666</v>
      </c>
      <c r="BB15" s="188">
        <f t="shared" si="17"/>
        <v>15416.666666666666</v>
      </c>
      <c r="BC15" s="188">
        <f t="shared" si="17"/>
        <v>15416.666666666666</v>
      </c>
      <c r="BD15" s="188">
        <f t="shared" si="17"/>
        <v>15416.666666666666</v>
      </c>
      <c r="BE15" s="188">
        <f t="shared" si="17"/>
        <v>15416.666666666666</v>
      </c>
      <c r="BF15" s="188">
        <f t="shared" si="17"/>
        <v>15416.666666666666</v>
      </c>
      <c r="BG15" s="188">
        <f t="shared" si="17"/>
        <v>15416.666666666666</v>
      </c>
      <c r="BH15" s="188">
        <f t="shared" si="17"/>
        <v>15416.666666666666</v>
      </c>
      <c r="BI15" s="188">
        <f t="shared" si="17"/>
        <v>15416.666666666666</v>
      </c>
    </row>
    <row r="16" spans="1:61" ht="12.75" x14ac:dyDescent="0.2">
      <c r="A16" s="189"/>
      <c r="B16" s="15" t="s">
        <v>162</v>
      </c>
      <c r="C16" s="6" t="s">
        <v>163</v>
      </c>
      <c r="D16" s="15" t="str">
        <f t="shared" si="7"/>
        <v>Engineering</v>
      </c>
      <c r="E16" s="193">
        <v>175000</v>
      </c>
      <c r="F16" s="191">
        <v>43009</v>
      </c>
      <c r="G16" s="191"/>
      <c r="H16" s="192">
        <v>0.09</v>
      </c>
      <c r="I16" s="193">
        <f t="shared" si="8"/>
        <v>583.33333333333337</v>
      </c>
      <c r="J16" s="193">
        <v>500</v>
      </c>
      <c r="K16" s="188">
        <f t="shared" si="3"/>
        <v>1083.3333333333335</v>
      </c>
      <c r="N16" s="188">
        <f t="shared" ref="N16:BI16" si="18">IF($F16=0,0, IF(AND(N$1&gt;=$G16,$G16&lt;&gt;0),0,IF(N$1&gt;=$F16,$E16/12,0)))</f>
        <v>14583.333333333334</v>
      </c>
      <c r="O16" s="188">
        <f t="shared" si="18"/>
        <v>14583.333333333334</v>
      </c>
      <c r="P16" s="188">
        <f t="shared" si="18"/>
        <v>14583.333333333334</v>
      </c>
      <c r="Q16" s="188">
        <f t="shared" si="18"/>
        <v>14583.333333333334</v>
      </c>
      <c r="R16" s="188">
        <f t="shared" si="18"/>
        <v>14583.333333333334</v>
      </c>
      <c r="S16" s="188">
        <f t="shared" si="18"/>
        <v>14583.333333333334</v>
      </c>
      <c r="T16" s="188">
        <f t="shared" si="18"/>
        <v>14583.333333333334</v>
      </c>
      <c r="U16" s="188">
        <f t="shared" si="18"/>
        <v>14583.333333333334</v>
      </c>
      <c r="V16" s="188">
        <f t="shared" si="18"/>
        <v>14583.333333333334</v>
      </c>
      <c r="W16" s="188">
        <f t="shared" si="18"/>
        <v>14583.333333333334</v>
      </c>
      <c r="X16" s="188">
        <f t="shared" si="18"/>
        <v>14583.333333333334</v>
      </c>
      <c r="Y16" s="188">
        <f t="shared" si="18"/>
        <v>14583.333333333334</v>
      </c>
      <c r="Z16" s="188">
        <f t="shared" si="18"/>
        <v>14583.333333333334</v>
      </c>
      <c r="AA16" s="188">
        <f t="shared" si="18"/>
        <v>14583.333333333334</v>
      </c>
      <c r="AB16" s="188">
        <f t="shared" si="18"/>
        <v>14583.333333333334</v>
      </c>
      <c r="AC16" s="188">
        <f t="shared" si="18"/>
        <v>14583.333333333334</v>
      </c>
      <c r="AD16" s="188">
        <f t="shared" si="18"/>
        <v>14583.333333333334</v>
      </c>
      <c r="AE16" s="188">
        <f t="shared" si="18"/>
        <v>14583.333333333334</v>
      </c>
      <c r="AF16" s="188">
        <f t="shared" si="18"/>
        <v>14583.333333333334</v>
      </c>
      <c r="AG16" s="188">
        <f t="shared" si="18"/>
        <v>14583.333333333334</v>
      </c>
      <c r="AH16" s="188">
        <f t="shared" si="18"/>
        <v>14583.333333333334</v>
      </c>
      <c r="AI16" s="188">
        <f t="shared" si="18"/>
        <v>14583.333333333334</v>
      </c>
      <c r="AJ16" s="188">
        <f t="shared" si="18"/>
        <v>14583.333333333334</v>
      </c>
      <c r="AK16" s="188">
        <f t="shared" si="18"/>
        <v>14583.333333333334</v>
      </c>
      <c r="AL16" s="188">
        <f t="shared" si="18"/>
        <v>14583.333333333334</v>
      </c>
      <c r="AM16" s="188">
        <f t="shared" si="18"/>
        <v>14583.333333333334</v>
      </c>
      <c r="AN16" s="188">
        <f t="shared" si="18"/>
        <v>14583.333333333334</v>
      </c>
      <c r="AO16" s="188">
        <f t="shared" si="18"/>
        <v>14583.333333333334</v>
      </c>
      <c r="AP16" s="188">
        <f t="shared" si="18"/>
        <v>14583.333333333334</v>
      </c>
      <c r="AQ16" s="188">
        <f t="shared" si="18"/>
        <v>14583.333333333334</v>
      </c>
      <c r="AR16" s="188">
        <f t="shared" si="18"/>
        <v>14583.333333333334</v>
      </c>
      <c r="AS16" s="188">
        <f t="shared" si="18"/>
        <v>14583.333333333334</v>
      </c>
      <c r="AT16" s="188">
        <f t="shared" si="18"/>
        <v>14583.333333333334</v>
      </c>
      <c r="AU16" s="188">
        <f t="shared" si="18"/>
        <v>14583.333333333334</v>
      </c>
      <c r="AV16" s="188">
        <f t="shared" si="18"/>
        <v>14583.333333333334</v>
      </c>
      <c r="AW16" s="188">
        <f t="shared" si="18"/>
        <v>14583.333333333334</v>
      </c>
      <c r="AX16" s="188">
        <f t="shared" si="18"/>
        <v>14583.333333333334</v>
      </c>
      <c r="AY16" s="188">
        <f t="shared" si="18"/>
        <v>14583.333333333334</v>
      </c>
      <c r="AZ16" s="188">
        <f t="shared" si="18"/>
        <v>14583.333333333334</v>
      </c>
      <c r="BA16" s="188">
        <f t="shared" si="18"/>
        <v>14583.333333333334</v>
      </c>
      <c r="BB16" s="188">
        <f t="shared" si="18"/>
        <v>14583.333333333334</v>
      </c>
      <c r="BC16" s="188">
        <f t="shared" si="18"/>
        <v>14583.333333333334</v>
      </c>
      <c r="BD16" s="188">
        <f t="shared" si="18"/>
        <v>14583.333333333334</v>
      </c>
      <c r="BE16" s="188">
        <f t="shared" si="18"/>
        <v>14583.333333333334</v>
      </c>
      <c r="BF16" s="188">
        <f t="shared" si="18"/>
        <v>14583.333333333334</v>
      </c>
      <c r="BG16" s="188">
        <f t="shared" si="18"/>
        <v>14583.333333333334</v>
      </c>
      <c r="BH16" s="188">
        <f t="shared" si="18"/>
        <v>14583.333333333334</v>
      </c>
      <c r="BI16" s="188">
        <f t="shared" si="18"/>
        <v>14583.333333333334</v>
      </c>
    </row>
    <row r="17" spans="1:61" ht="12.75" x14ac:dyDescent="0.2">
      <c r="A17" s="189"/>
      <c r="B17" s="15" t="s">
        <v>164</v>
      </c>
      <c r="C17" s="6" t="s">
        <v>163</v>
      </c>
      <c r="D17" s="15" t="str">
        <f t="shared" si="7"/>
        <v>Engineering</v>
      </c>
      <c r="E17" s="193">
        <v>175000</v>
      </c>
      <c r="F17" s="191">
        <v>43160</v>
      </c>
      <c r="G17" s="191"/>
      <c r="H17" s="192">
        <v>0.09</v>
      </c>
      <c r="I17" s="193">
        <f t="shared" si="8"/>
        <v>583.33333333333337</v>
      </c>
      <c r="J17" s="193">
        <v>500</v>
      </c>
      <c r="K17" s="188">
        <f t="shared" si="3"/>
        <v>1083.3333333333335</v>
      </c>
      <c r="N17" s="188">
        <f t="shared" ref="N17:BI17" si="19">IF($F17=0,0, IF(AND(N$1&gt;=$G17,$G17&lt;&gt;0),0,IF(N$1&gt;=$F17,$E17/12,0)))</f>
        <v>14583.333333333334</v>
      </c>
      <c r="O17" s="188">
        <f t="shared" si="19"/>
        <v>14583.333333333334</v>
      </c>
      <c r="P17" s="188">
        <f t="shared" si="19"/>
        <v>14583.333333333334</v>
      </c>
      <c r="Q17" s="188">
        <f t="shared" si="19"/>
        <v>14583.333333333334</v>
      </c>
      <c r="R17" s="188">
        <f t="shared" si="19"/>
        <v>14583.333333333334</v>
      </c>
      <c r="S17" s="188">
        <f t="shared" si="19"/>
        <v>14583.333333333334</v>
      </c>
      <c r="T17" s="188">
        <f t="shared" si="19"/>
        <v>14583.333333333334</v>
      </c>
      <c r="U17" s="188">
        <f t="shared" si="19"/>
        <v>14583.333333333334</v>
      </c>
      <c r="V17" s="188">
        <f t="shared" si="19"/>
        <v>14583.333333333334</v>
      </c>
      <c r="W17" s="188">
        <f t="shared" si="19"/>
        <v>14583.333333333334</v>
      </c>
      <c r="X17" s="188">
        <f t="shared" si="19"/>
        <v>14583.333333333334</v>
      </c>
      <c r="Y17" s="188">
        <f t="shared" si="19"/>
        <v>14583.333333333334</v>
      </c>
      <c r="Z17" s="188">
        <f t="shared" si="19"/>
        <v>14583.333333333334</v>
      </c>
      <c r="AA17" s="188">
        <f t="shared" si="19"/>
        <v>14583.333333333334</v>
      </c>
      <c r="AB17" s="188">
        <f t="shared" si="19"/>
        <v>14583.333333333334</v>
      </c>
      <c r="AC17" s="188">
        <f t="shared" si="19"/>
        <v>14583.333333333334</v>
      </c>
      <c r="AD17" s="188">
        <f t="shared" si="19"/>
        <v>14583.333333333334</v>
      </c>
      <c r="AE17" s="188">
        <f t="shared" si="19"/>
        <v>14583.333333333334</v>
      </c>
      <c r="AF17" s="188">
        <f t="shared" si="19"/>
        <v>14583.333333333334</v>
      </c>
      <c r="AG17" s="188">
        <f t="shared" si="19"/>
        <v>14583.333333333334</v>
      </c>
      <c r="AH17" s="188">
        <f t="shared" si="19"/>
        <v>14583.333333333334</v>
      </c>
      <c r="AI17" s="188">
        <f t="shared" si="19"/>
        <v>14583.333333333334</v>
      </c>
      <c r="AJ17" s="188">
        <f t="shared" si="19"/>
        <v>14583.333333333334</v>
      </c>
      <c r="AK17" s="188">
        <f t="shared" si="19"/>
        <v>14583.333333333334</v>
      </c>
      <c r="AL17" s="188">
        <f t="shared" si="19"/>
        <v>14583.333333333334</v>
      </c>
      <c r="AM17" s="188">
        <f t="shared" si="19"/>
        <v>14583.333333333334</v>
      </c>
      <c r="AN17" s="188">
        <f t="shared" si="19"/>
        <v>14583.333333333334</v>
      </c>
      <c r="AO17" s="188">
        <f t="shared" si="19"/>
        <v>14583.333333333334</v>
      </c>
      <c r="AP17" s="188">
        <f t="shared" si="19"/>
        <v>14583.333333333334</v>
      </c>
      <c r="AQ17" s="188">
        <f t="shared" si="19"/>
        <v>14583.333333333334</v>
      </c>
      <c r="AR17" s="188">
        <f t="shared" si="19"/>
        <v>14583.333333333334</v>
      </c>
      <c r="AS17" s="188">
        <f t="shared" si="19"/>
        <v>14583.333333333334</v>
      </c>
      <c r="AT17" s="188">
        <f t="shared" si="19"/>
        <v>14583.333333333334</v>
      </c>
      <c r="AU17" s="188">
        <f t="shared" si="19"/>
        <v>14583.333333333334</v>
      </c>
      <c r="AV17" s="188">
        <f t="shared" si="19"/>
        <v>14583.333333333334</v>
      </c>
      <c r="AW17" s="188">
        <f t="shared" si="19"/>
        <v>14583.333333333334</v>
      </c>
      <c r="AX17" s="188">
        <f t="shared" si="19"/>
        <v>14583.333333333334</v>
      </c>
      <c r="AY17" s="188">
        <f t="shared" si="19"/>
        <v>14583.333333333334</v>
      </c>
      <c r="AZ17" s="188">
        <f t="shared" si="19"/>
        <v>14583.333333333334</v>
      </c>
      <c r="BA17" s="188">
        <f t="shared" si="19"/>
        <v>14583.333333333334</v>
      </c>
      <c r="BB17" s="188">
        <f t="shared" si="19"/>
        <v>14583.333333333334</v>
      </c>
      <c r="BC17" s="188">
        <f t="shared" si="19"/>
        <v>14583.333333333334</v>
      </c>
      <c r="BD17" s="188">
        <f t="shared" si="19"/>
        <v>14583.333333333334</v>
      </c>
      <c r="BE17" s="188">
        <f t="shared" si="19"/>
        <v>14583.333333333334</v>
      </c>
      <c r="BF17" s="188">
        <f t="shared" si="19"/>
        <v>14583.333333333334</v>
      </c>
      <c r="BG17" s="188">
        <f t="shared" si="19"/>
        <v>14583.333333333334</v>
      </c>
      <c r="BH17" s="188">
        <f t="shared" si="19"/>
        <v>14583.333333333334</v>
      </c>
      <c r="BI17" s="188">
        <f t="shared" si="19"/>
        <v>14583.333333333334</v>
      </c>
    </row>
    <row r="18" spans="1:61" ht="12.75" x14ac:dyDescent="0.2">
      <c r="A18" s="189"/>
      <c r="B18" s="15" t="s">
        <v>165</v>
      </c>
      <c r="C18" s="6" t="s">
        <v>166</v>
      </c>
      <c r="D18" s="15" t="str">
        <f t="shared" si="7"/>
        <v>Engineering</v>
      </c>
      <c r="E18" s="193">
        <v>182000</v>
      </c>
      <c r="F18" s="191">
        <v>43101</v>
      </c>
      <c r="G18" s="191"/>
      <c r="H18" s="192">
        <v>0.09</v>
      </c>
      <c r="I18" s="193">
        <f t="shared" si="8"/>
        <v>606.66666666666663</v>
      </c>
      <c r="J18" s="193">
        <v>500</v>
      </c>
      <c r="K18" s="188">
        <f t="shared" si="3"/>
        <v>1106.6666666666665</v>
      </c>
      <c r="N18" s="188">
        <f t="shared" ref="N18:BI18" si="20">IF($F18=0,0, IF(AND(N$1&gt;=$G18,$G18&lt;&gt;0),0,IF(N$1&gt;=$F18,$E18/12,0)))</f>
        <v>15166.666666666666</v>
      </c>
      <c r="O18" s="188">
        <f t="shared" si="20"/>
        <v>15166.666666666666</v>
      </c>
      <c r="P18" s="188">
        <f t="shared" si="20"/>
        <v>15166.666666666666</v>
      </c>
      <c r="Q18" s="188">
        <f t="shared" si="20"/>
        <v>15166.666666666666</v>
      </c>
      <c r="R18" s="188">
        <f t="shared" si="20"/>
        <v>15166.666666666666</v>
      </c>
      <c r="S18" s="188">
        <f t="shared" si="20"/>
        <v>15166.666666666666</v>
      </c>
      <c r="T18" s="188">
        <f t="shared" si="20"/>
        <v>15166.666666666666</v>
      </c>
      <c r="U18" s="188">
        <f t="shared" si="20"/>
        <v>15166.666666666666</v>
      </c>
      <c r="V18" s="188">
        <f t="shared" si="20"/>
        <v>15166.666666666666</v>
      </c>
      <c r="W18" s="188">
        <f t="shared" si="20"/>
        <v>15166.666666666666</v>
      </c>
      <c r="X18" s="188">
        <f t="shared" si="20"/>
        <v>15166.666666666666</v>
      </c>
      <c r="Y18" s="188">
        <f t="shared" si="20"/>
        <v>15166.666666666666</v>
      </c>
      <c r="Z18" s="188">
        <f t="shared" si="20"/>
        <v>15166.666666666666</v>
      </c>
      <c r="AA18" s="188">
        <f t="shared" si="20"/>
        <v>15166.666666666666</v>
      </c>
      <c r="AB18" s="188">
        <f t="shared" si="20"/>
        <v>15166.666666666666</v>
      </c>
      <c r="AC18" s="188">
        <f t="shared" si="20"/>
        <v>15166.666666666666</v>
      </c>
      <c r="AD18" s="188">
        <f t="shared" si="20"/>
        <v>15166.666666666666</v>
      </c>
      <c r="AE18" s="188">
        <f t="shared" si="20"/>
        <v>15166.666666666666</v>
      </c>
      <c r="AF18" s="188">
        <f t="shared" si="20"/>
        <v>15166.666666666666</v>
      </c>
      <c r="AG18" s="188">
        <f t="shared" si="20"/>
        <v>15166.666666666666</v>
      </c>
      <c r="AH18" s="188">
        <f t="shared" si="20"/>
        <v>15166.666666666666</v>
      </c>
      <c r="AI18" s="188">
        <f t="shared" si="20"/>
        <v>15166.666666666666</v>
      </c>
      <c r="AJ18" s="188">
        <f t="shared" si="20"/>
        <v>15166.666666666666</v>
      </c>
      <c r="AK18" s="188">
        <f t="shared" si="20"/>
        <v>15166.666666666666</v>
      </c>
      <c r="AL18" s="188">
        <f t="shared" si="20"/>
        <v>15166.666666666666</v>
      </c>
      <c r="AM18" s="188">
        <f t="shared" si="20"/>
        <v>15166.666666666666</v>
      </c>
      <c r="AN18" s="188">
        <f t="shared" si="20"/>
        <v>15166.666666666666</v>
      </c>
      <c r="AO18" s="188">
        <f t="shared" si="20"/>
        <v>15166.666666666666</v>
      </c>
      <c r="AP18" s="188">
        <f t="shared" si="20"/>
        <v>15166.666666666666</v>
      </c>
      <c r="AQ18" s="188">
        <f t="shared" si="20"/>
        <v>15166.666666666666</v>
      </c>
      <c r="AR18" s="188">
        <f t="shared" si="20"/>
        <v>15166.666666666666</v>
      </c>
      <c r="AS18" s="188">
        <f t="shared" si="20"/>
        <v>15166.666666666666</v>
      </c>
      <c r="AT18" s="188">
        <f t="shared" si="20"/>
        <v>15166.666666666666</v>
      </c>
      <c r="AU18" s="188">
        <f t="shared" si="20"/>
        <v>15166.666666666666</v>
      </c>
      <c r="AV18" s="188">
        <f t="shared" si="20"/>
        <v>15166.666666666666</v>
      </c>
      <c r="AW18" s="188">
        <f t="shared" si="20"/>
        <v>15166.666666666666</v>
      </c>
      <c r="AX18" s="188">
        <f t="shared" si="20"/>
        <v>15166.666666666666</v>
      </c>
      <c r="AY18" s="188">
        <f t="shared" si="20"/>
        <v>15166.666666666666</v>
      </c>
      <c r="AZ18" s="188">
        <f t="shared" si="20"/>
        <v>15166.666666666666</v>
      </c>
      <c r="BA18" s="188">
        <f t="shared" si="20"/>
        <v>15166.666666666666</v>
      </c>
      <c r="BB18" s="188">
        <f t="shared" si="20"/>
        <v>15166.666666666666</v>
      </c>
      <c r="BC18" s="188">
        <f t="shared" si="20"/>
        <v>15166.666666666666</v>
      </c>
      <c r="BD18" s="188">
        <f t="shared" si="20"/>
        <v>15166.666666666666</v>
      </c>
      <c r="BE18" s="188">
        <f t="shared" si="20"/>
        <v>15166.666666666666</v>
      </c>
      <c r="BF18" s="188">
        <f t="shared" si="20"/>
        <v>15166.666666666666</v>
      </c>
      <c r="BG18" s="188">
        <f t="shared" si="20"/>
        <v>15166.666666666666</v>
      </c>
      <c r="BH18" s="188">
        <f t="shared" si="20"/>
        <v>15166.666666666666</v>
      </c>
      <c r="BI18" s="188">
        <f t="shared" si="20"/>
        <v>15166.666666666666</v>
      </c>
    </row>
    <row r="19" spans="1:61" ht="12.75" x14ac:dyDescent="0.2">
      <c r="A19" s="189"/>
      <c r="B19" s="15" t="s">
        <v>167</v>
      </c>
      <c r="C19" s="6" t="s">
        <v>166</v>
      </c>
      <c r="D19" s="15" t="str">
        <f t="shared" si="7"/>
        <v>Engineering</v>
      </c>
      <c r="E19" s="193">
        <v>160000</v>
      </c>
      <c r="F19" s="191">
        <v>43770</v>
      </c>
      <c r="G19" s="191"/>
      <c r="H19" s="192">
        <v>0.09</v>
      </c>
      <c r="I19" s="193">
        <f t="shared" si="8"/>
        <v>533.33333333333337</v>
      </c>
      <c r="J19" s="193">
        <v>500</v>
      </c>
      <c r="K19" s="188">
        <f t="shared" si="3"/>
        <v>1033.3333333333335</v>
      </c>
      <c r="N19" s="188">
        <f t="shared" ref="N19:BI19" si="21">IF($F19=0,0, IF(AND(N$1&gt;=$G19,$G19&lt;&gt;0),0,IF(N$1&gt;=$F19,$E19/12,0)))</f>
        <v>13333.333333333334</v>
      </c>
      <c r="O19" s="188">
        <f t="shared" si="21"/>
        <v>13333.333333333334</v>
      </c>
      <c r="P19" s="188">
        <f t="shared" si="21"/>
        <v>13333.333333333334</v>
      </c>
      <c r="Q19" s="188">
        <f t="shared" si="21"/>
        <v>13333.333333333334</v>
      </c>
      <c r="R19" s="188">
        <f t="shared" si="21"/>
        <v>13333.333333333334</v>
      </c>
      <c r="S19" s="188">
        <f t="shared" si="21"/>
        <v>13333.333333333334</v>
      </c>
      <c r="T19" s="188">
        <f t="shared" si="21"/>
        <v>13333.333333333334</v>
      </c>
      <c r="U19" s="188">
        <f t="shared" si="21"/>
        <v>13333.333333333334</v>
      </c>
      <c r="V19" s="188">
        <f t="shared" si="21"/>
        <v>13333.333333333334</v>
      </c>
      <c r="W19" s="188">
        <f t="shared" si="21"/>
        <v>13333.333333333334</v>
      </c>
      <c r="X19" s="188">
        <f t="shared" si="21"/>
        <v>13333.333333333334</v>
      </c>
      <c r="Y19" s="188">
        <f t="shared" si="21"/>
        <v>13333.333333333334</v>
      </c>
      <c r="Z19" s="188">
        <f t="shared" si="21"/>
        <v>13333.333333333334</v>
      </c>
      <c r="AA19" s="188">
        <f t="shared" si="21"/>
        <v>13333.333333333334</v>
      </c>
      <c r="AB19" s="188">
        <f t="shared" si="21"/>
        <v>13333.333333333334</v>
      </c>
      <c r="AC19" s="188">
        <f t="shared" si="21"/>
        <v>13333.333333333334</v>
      </c>
      <c r="AD19" s="188">
        <f t="shared" si="21"/>
        <v>13333.333333333334</v>
      </c>
      <c r="AE19" s="188">
        <f t="shared" si="21"/>
        <v>13333.333333333334</v>
      </c>
      <c r="AF19" s="188">
        <f t="shared" si="21"/>
        <v>13333.333333333334</v>
      </c>
      <c r="AG19" s="188">
        <f t="shared" si="21"/>
        <v>13333.333333333334</v>
      </c>
      <c r="AH19" s="188">
        <f t="shared" si="21"/>
        <v>13333.333333333334</v>
      </c>
      <c r="AI19" s="188">
        <f t="shared" si="21"/>
        <v>13333.333333333334</v>
      </c>
      <c r="AJ19" s="188">
        <f t="shared" si="21"/>
        <v>13333.333333333334</v>
      </c>
      <c r="AK19" s="188">
        <f t="shared" si="21"/>
        <v>13333.333333333334</v>
      </c>
      <c r="AL19" s="188">
        <f t="shared" si="21"/>
        <v>13333.333333333334</v>
      </c>
      <c r="AM19" s="188">
        <f t="shared" si="21"/>
        <v>13333.333333333334</v>
      </c>
      <c r="AN19" s="188">
        <f t="shared" si="21"/>
        <v>13333.333333333334</v>
      </c>
      <c r="AO19" s="188">
        <f t="shared" si="21"/>
        <v>13333.333333333334</v>
      </c>
      <c r="AP19" s="188">
        <f t="shared" si="21"/>
        <v>13333.333333333334</v>
      </c>
      <c r="AQ19" s="188">
        <f t="shared" si="21"/>
        <v>13333.333333333334</v>
      </c>
      <c r="AR19" s="188">
        <f t="shared" si="21"/>
        <v>13333.333333333334</v>
      </c>
      <c r="AS19" s="188">
        <f t="shared" si="21"/>
        <v>13333.333333333334</v>
      </c>
      <c r="AT19" s="188">
        <f t="shared" si="21"/>
        <v>13333.333333333334</v>
      </c>
      <c r="AU19" s="188">
        <f t="shared" si="21"/>
        <v>13333.333333333334</v>
      </c>
      <c r="AV19" s="188">
        <f t="shared" si="21"/>
        <v>13333.333333333334</v>
      </c>
      <c r="AW19" s="188">
        <f t="shared" si="21"/>
        <v>13333.333333333334</v>
      </c>
      <c r="AX19" s="188">
        <f t="shared" si="21"/>
        <v>13333.333333333334</v>
      </c>
      <c r="AY19" s="188">
        <f t="shared" si="21"/>
        <v>13333.333333333334</v>
      </c>
      <c r="AZ19" s="188">
        <f t="shared" si="21"/>
        <v>13333.333333333334</v>
      </c>
      <c r="BA19" s="188">
        <f t="shared" si="21"/>
        <v>13333.333333333334</v>
      </c>
      <c r="BB19" s="188">
        <f t="shared" si="21"/>
        <v>13333.333333333334</v>
      </c>
      <c r="BC19" s="188">
        <f t="shared" si="21"/>
        <v>13333.333333333334</v>
      </c>
      <c r="BD19" s="188">
        <f t="shared" si="21"/>
        <v>13333.333333333334</v>
      </c>
      <c r="BE19" s="188">
        <f t="shared" si="21"/>
        <v>13333.333333333334</v>
      </c>
      <c r="BF19" s="188">
        <f t="shared" si="21"/>
        <v>13333.333333333334</v>
      </c>
      <c r="BG19" s="188">
        <f t="shared" si="21"/>
        <v>13333.333333333334</v>
      </c>
      <c r="BH19" s="188">
        <f t="shared" si="21"/>
        <v>13333.333333333334</v>
      </c>
      <c r="BI19" s="188">
        <f t="shared" si="21"/>
        <v>13333.333333333334</v>
      </c>
    </row>
    <row r="20" spans="1:61" ht="12.75" x14ac:dyDescent="0.2">
      <c r="A20" s="189"/>
      <c r="B20" s="15" t="s">
        <v>168</v>
      </c>
      <c r="C20" s="6" t="s">
        <v>166</v>
      </c>
      <c r="D20" s="15" t="str">
        <f t="shared" si="7"/>
        <v>Engineering</v>
      </c>
      <c r="E20" s="193">
        <v>185000</v>
      </c>
      <c r="F20" s="199">
        <v>44105</v>
      </c>
      <c r="G20" s="191"/>
      <c r="H20" s="192">
        <v>0.09</v>
      </c>
      <c r="I20" s="193">
        <f t="shared" si="8"/>
        <v>616.66666666666663</v>
      </c>
      <c r="J20" s="193">
        <v>500</v>
      </c>
      <c r="K20" s="188">
        <f t="shared" si="3"/>
        <v>1116.6666666666665</v>
      </c>
      <c r="N20" s="188">
        <f t="shared" ref="N20:BI20" si="22">IF($F20=0,0, IF(AND(N$1&gt;=$G20,$G20&lt;&gt;0),0,IF(N$1&gt;=$F20,$E20/12,0)))</f>
        <v>0</v>
      </c>
      <c r="O20" s="188">
        <f t="shared" si="22"/>
        <v>0</v>
      </c>
      <c r="P20" s="188">
        <f t="shared" si="22"/>
        <v>0</v>
      </c>
      <c r="Q20" s="188">
        <f t="shared" si="22"/>
        <v>0</v>
      </c>
      <c r="R20" s="188">
        <f t="shared" si="22"/>
        <v>0</v>
      </c>
      <c r="S20" s="188">
        <f t="shared" si="22"/>
        <v>15416.666666666666</v>
      </c>
      <c r="T20" s="188">
        <f t="shared" si="22"/>
        <v>15416.666666666666</v>
      </c>
      <c r="U20" s="188">
        <f t="shared" si="22"/>
        <v>15416.666666666666</v>
      </c>
      <c r="V20" s="188">
        <f t="shared" si="22"/>
        <v>15416.666666666666</v>
      </c>
      <c r="W20" s="188">
        <f t="shared" si="22"/>
        <v>15416.666666666666</v>
      </c>
      <c r="X20" s="188">
        <f t="shared" si="22"/>
        <v>15416.666666666666</v>
      </c>
      <c r="Y20" s="188">
        <f t="shared" si="22"/>
        <v>15416.666666666666</v>
      </c>
      <c r="Z20" s="188">
        <f t="shared" si="22"/>
        <v>15416.666666666666</v>
      </c>
      <c r="AA20" s="188">
        <f t="shared" si="22"/>
        <v>15416.666666666666</v>
      </c>
      <c r="AB20" s="188">
        <f t="shared" si="22"/>
        <v>15416.666666666666</v>
      </c>
      <c r="AC20" s="188">
        <f t="shared" si="22"/>
        <v>15416.666666666666</v>
      </c>
      <c r="AD20" s="188">
        <f t="shared" si="22"/>
        <v>15416.666666666666</v>
      </c>
      <c r="AE20" s="188">
        <f t="shared" si="22"/>
        <v>15416.666666666666</v>
      </c>
      <c r="AF20" s="188">
        <f t="shared" si="22"/>
        <v>15416.666666666666</v>
      </c>
      <c r="AG20" s="188">
        <f t="shared" si="22"/>
        <v>15416.666666666666</v>
      </c>
      <c r="AH20" s="188">
        <f t="shared" si="22"/>
        <v>15416.666666666666</v>
      </c>
      <c r="AI20" s="188">
        <f t="shared" si="22"/>
        <v>15416.666666666666</v>
      </c>
      <c r="AJ20" s="188">
        <f t="shared" si="22"/>
        <v>15416.666666666666</v>
      </c>
      <c r="AK20" s="188">
        <f t="shared" si="22"/>
        <v>15416.666666666666</v>
      </c>
      <c r="AL20" s="188">
        <f t="shared" si="22"/>
        <v>15416.666666666666</v>
      </c>
      <c r="AM20" s="188">
        <f t="shared" si="22"/>
        <v>15416.666666666666</v>
      </c>
      <c r="AN20" s="188">
        <f t="shared" si="22"/>
        <v>15416.666666666666</v>
      </c>
      <c r="AO20" s="188">
        <f t="shared" si="22"/>
        <v>15416.666666666666</v>
      </c>
      <c r="AP20" s="188">
        <f t="shared" si="22"/>
        <v>15416.666666666666</v>
      </c>
      <c r="AQ20" s="188">
        <f t="shared" si="22"/>
        <v>15416.666666666666</v>
      </c>
      <c r="AR20" s="188">
        <f t="shared" si="22"/>
        <v>15416.666666666666</v>
      </c>
      <c r="AS20" s="188">
        <f t="shared" si="22"/>
        <v>15416.666666666666</v>
      </c>
      <c r="AT20" s="188">
        <f t="shared" si="22"/>
        <v>15416.666666666666</v>
      </c>
      <c r="AU20" s="188">
        <f t="shared" si="22"/>
        <v>15416.666666666666</v>
      </c>
      <c r="AV20" s="188">
        <f t="shared" si="22"/>
        <v>15416.666666666666</v>
      </c>
      <c r="AW20" s="188">
        <f t="shared" si="22"/>
        <v>15416.666666666666</v>
      </c>
      <c r="AX20" s="188">
        <f t="shared" si="22"/>
        <v>15416.666666666666</v>
      </c>
      <c r="AY20" s="188">
        <f t="shared" si="22"/>
        <v>15416.666666666666</v>
      </c>
      <c r="AZ20" s="188">
        <f t="shared" si="22"/>
        <v>15416.666666666666</v>
      </c>
      <c r="BA20" s="188">
        <f t="shared" si="22"/>
        <v>15416.666666666666</v>
      </c>
      <c r="BB20" s="188">
        <f t="shared" si="22"/>
        <v>15416.666666666666</v>
      </c>
      <c r="BC20" s="188">
        <f t="shared" si="22"/>
        <v>15416.666666666666</v>
      </c>
      <c r="BD20" s="188">
        <f t="shared" si="22"/>
        <v>15416.666666666666</v>
      </c>
      <c r="BE20" s="188">
        <f t="shared" si="22"/>
        <v>15416.666666666666</v>
      </c>
      <c r="BF20" s="188">
        <f t="shared" si="22"/>
        <v>15416.666666666666</v>
      </c>
      <c r="BG20" s="188">
        <f t="shared" si="22"/>
        <v>15416.666666666666</v>
      </c>
      <c r="BH20" s="188">
        <f t="shared" si="22"/>
        <v>15416.666666666666</v>
      </c>
      <c r="BI20" s="188">
        <f t="shared" si="22"/>
        <v>15416.666666666666</v>
      </c>
    </row>
    <row r="21" spans="1:61" ht="12.75" x14ac:dyDescent="0.2">
      <c r="A21" s="189"/>
      <c r="B21" s="15" t="s">
        <v>170</v>
      </c>
      <c r="C21" s="6" t="s">
        <v>166</v>
      </c>
      <c r="D21" s="15" t="str">
        <f t="shared" si="7"/>
        <v>Engineering</v>
      </c>
      <c r="E21" s="193">
        <v>175000</v>
      </c>
      <c r="F21" s="202">
        <f t="shared" ref="F21:F31" si="23">EDATE(F20,3)</f>
        <v>44197</v>
      </c>
      <c r="G21" s="191"/>
      <c r="H21" s="192">
        <v>0.09</v>
      </c>
      <c r="I21" s="193">
        <f t="shared" si="8"/>
        <v>583.33333333333337</v>
      </c>
      <c r="J21" s="193">
        <v>500</v>
      </c>
      <c r="K21" s="188">
        <f t="shared" si="3"/>
        <v>1083.3333333333335</v>
      </c>
      <c r="N21" s="188">
        <f t="shared" ref="N21:BI21" si="24">IF($F21=0,0, IF(AND(N$1&gt;=$G21,$G21&lt;&gt;0),0,IF(N$1&gt;=$F21,$E21/12,0)))</f>
        <v>0</v>
      </c>
      <c r="O21" s="188">
        <f t="shared" si="24"/>
        <v>0</v>
      </c>
      <c r="P21" s="188">
        <f t="shared" si="24"/>
        <v>0</v>
      </c>
      <c r="Q21" s="188">
        <f t="shared" si="24"/>
        <v>0</v>
      </c>
      <c r="R21" s="188">
        <f t="shared" si="24"/>
        <v>0</v>
      </c>
      <c r="S21" s="188">
        <f t="shared" si="24"/>
        <v>0</v>
      </c>
      <c r="T21" s="188">
        <f t="shared" si="24"/>
        <v>0</v>
      </c>
      <c r="U21" s="188">
        <f t="shared" si="24"/>
        <v>0</v>
      </c>
      <c r="V21" s="188">
        <f t="shared" si="24"/>
        <v>14583.333333333334</v>
      </c>
      <c r="W21" s="188">
        <f t="shared" si="24"/>
        <v>14583.333333333334</v>
      </c>
      <c r="X21" s="188">
        <f t="shared" si="24"/>
        <v>14583.333333333334</v>
      </c>
      <c r="Y21" s="188">
        <f t="shared" si="24"/>
        <v>14583.333333333334</v>
      </c>
      <c r="Z21" s="188">
        <f t="shared" si="24"/>
        <v>14583.333333333334</v>
      </c>
      <c r="AA21" s="188">
        <f t="shared" si="24"/>
        <v>14583.333333333334</v>
      </c>
      <c r="AB21" s="188">
        <f t="shared" si="24"/>
        <v>14583.333333333334</v>
      </c>
      <c r="AC21" s="188">
        <f t="shared" si="24"/>
        <v>14583.333333333334</v>
      </c>
      <c r="AD21" s="188">
        <f t="shared" si="24"/>
        <v>14583.333333333334</v>
      </c>
      <c r="AE21" s="188">
        <f t="shared" si="24"/>
        <v>14583.333333333334</v>
      </c>
      <c r="AF21" s="188">
        <f t="shared" si="24"/>
        <v>14583.333333333334</v>
      </c>
      <c r="AG21" s="188">
        <f t="shared" si="24"/>
        <v>14583.333333333334</v>
      </c>
      <c r="AH21" s="188">
        <f t="shared" si="24"/>
        <v>14583.333333333334</v>
      </c>
      <c r="AI21" s="188">
        <f t="shared" si="24"/>
        <v>14583.333333333334</v>
      </c>
      <c r="AJ21" s="188">
        <f t="shared" si="24"/>
        <v>14583.333333333334</v>
      </c>
      <c r="AK21" s="188">
        <f t="shared" si="24"/>
        <v>14583.333333333334</v>
      </c>
      <c r="AL21" s="188">
        <f t="shared" si="24"/>
        <v>14583.333333333334</v>
      </c>
      <c r="AM21" s="188">
        <f t="shared" si="24"/>
        <v>14583.333333333334</v>
      </c>
      <c r="AN21" s="188">
        <f t="shared" si="24"/>
        <v>14583.333333333334</v>
      </c>
      <c r="AO21" s="188">
        <f t="shared" si="24"/>
        <v>14583.333333333334</v>
      </c>
      <c r="AP21" s="188">
        <f t="shared" si="24"/>
        <v>14583.333333333334</v>
      </c>
      <c r="AQ21" s="188">
        <f t="shared" si="24"/>
        <v>14583.333333333334</v>
      </c>
      <c r="AR21" s="188">
        <f t="shared" si="24"/>
        <v>14583.333333333334</v>
      </c>
      <c r="AS21" s="188">
        <f t="shared" si="24"/>
        <v>14583.333333333334</v>
      </c>
      <c r="AT21" s="188">
        <f t="shared" si="24"/>
        <v>14583.333333333334</v>
      </c>
      <c r="AU21" s="188">
        <f t="shared" si="24"/>
        <v>14583.333333333334</v>
      </c>
      <c r="AV21" s="188">
        <f t="shared" si="24"/>
        <v>14583.333333333334</v>
      </c>
      <c r="AW21" s="188">
        <f t="shared" si="24"/>
        <v>14583.333333333334</v>
      </c>
      <c r="AX21" s="188">
        <f t="shared" si="24"/>
        <v>14583.333333333334</v>
      </c>
      <c r="AY21" s="188">
        <f t="shared" si="24"/>
        <v>14583.333333333334</v>
      </c>
      <c r="AZ21" s="188">
        <f t="shared" si="24"/>
        <v>14583.333333333334</v>
      </c>
      <c r="BA21" s="188">
        <f t="shared" si="24"/>
        <v>14583.333333333334</v>
      </c>
      <c r="BB21" s="188">
        <f t="shared" si="24"/>
        <v>14583.333333333334</v>
      </c>
      <c r="BC21" s="188">
        <f t="shared" si="24"/>
        <v>14583.333333333334</v>
      </c>
      <c r="BD21" s="188">
        <f t="shared" si="24"/>
        <v>14583.333333333334</v>
      </c>
      <c r="BE21" s="188">
        <f t="shared" si="24"/>
        <v>14583.333333333334</v>
      </c>
      <c r="BF21" s="188">
        <f t="shared" si="24"/>
        <v>14583.333333333334</v>
      </c>
      <c r="BG21" s="188">
        <f t="shared" si="24"/>
        <v>14583.333333333334</v>
      </c>
      <c r="BH21" s="188">
        <f t="shared" si="24"/>
        <v>14583.333333333334</v>
      </c>
      <c r="BI21" s="188">
        <f t="shared" si="24"/>
        <v>14583.333333333334</v>
      </c>
    </row>
    <row r="22" spans="1:61" ht="12.75" x14ac:dyDescent="0.2">
      <c r="A22" s="189"/>
      <c r="B22" s="15" t="s">
        <v>174</v>
      </c>
      <c r="C22" s="6" t="s">
        <v>166</v>
      </c>
      <c r="D22" s="15" t="str">
        <f t="shared" si="7"/>
        <v>Engineering</v>
      </c>
      <c r="E22" s="193">
        <v>175000</v>
      </c>
      <c r="F22" s="202">
        <f t="shared" si="23"/>
        <v>44287</v>
      </c>
      <c r="G22" s="191"/>
      <c r="H22" s="192">
        <v>0.09</v>
      </c>
      <c r="I22" s="193">
        <f t="shared" si="8"/>
        <v>583.33333333333337</v>
      </c>
      <c r="J22" s="193">
        <v>500</v>
      </c>
      <c r="K22" s="188">
        <f t="shared" si="3"/>
        <v>1083.3333333333335</v>
      </c>
      <c r="N22" s="188">
        <f t="shared" ref="N22:BI22" si="25">IF($F22=0,0, IF(AND(N$1&gt;=$G22,$G22&lt;&gt;0),0,IF(N$1&gt;=$F22,$E22/12,0)))</f>
        <v>0</v>
      </c>
      <c r="O22" s="188">
        <f t="shared" si="25"/>
        <v>0</v>
      </c>
      <c r="P22" s="188">
        <f t="shared" si="25"/>
        <v>0</v>
      </c>
      <c r="Q22" s="188">
        <f t="shared" si="25"/>
        <v>0</v>
      </c>
      <c r="R22" s="188">
        <f t="shared" si="25"/>
        <v>0</v>
      </c>
      <c r="S22" s="188">
        <f t="shared" si="25"/>
        <v>0</v>
      </c>
      <c r="T22" s="188">
        <f t="shared" si="25"/>
        <v>0</v>
      </c>
      <c r="U22" s="188">
        <f t="shared" si="25"/>
        <v>0</v>
      </c>
      <c r="V22" s="188">
        <f t="shared" si="25"/>
        <v>0</v>
      </c>
      <c r="W22" s="188">
        <f t="shared" si="25"/>
        <v>0</v>
      </c>
      <c r="X22" s="188">
        <f t="shared" si="25"/>
        <v>0</v>
      </c>
      <c r="Y22" s="188">
        <f t="shared" si="25"/>
        <v>14583.333333333334</v>
      </c>
      <c r="Z22" s="188">
        <f t="shared" si="25"/>
        <v>14583.333333333334</v>
      </c>
      <c r="AA22" s="188">
        <f t="shared" si="25"/>
        <v>14583.333333333334</v>
      </c>
      <c r="AB22" s="188">
        <f t="shared" si="25"/>
        <v>14583.333333333334</v>
      </c>
      <c r="AC22" s="188">
        <f t="shared" si="25"/>
        <v>14583.333333333334</v>
      </c>
      <c r="AD22" s="188">
        <f t="shared" si="25"/>
        <v>14583.333333333334</v>
      </c>
      <c r="AE22" s="188">
        <f t="shared" si="25"/>
        <v>14583.333333333334</v>
      </c>
      <c r="AF22" s="188">
        <f t="shared" si="25"/>
        <v>14583.333333333334</v>
      </c>
      <c r="AG22" s="188">
        <f t="shared" si="25"/>
        <v>14583.333333333334</v>
      </c>
      <c r="AH22" s="188">
        <f t="shared" si="25"/>
        <v>14583.333333333334</v>
      </c>
      <c r="AI22" s="188">
        <f t="shared" si="25"/>
        <v>14583.333333333334</v>
      </c>
      <c r="AJ22" s="188">
        <f t="shared" si="25"/>
        <v>14583.333333333334</v>
      </c>
      <c r="AK22" s="188">
        <f t="shared" si="25"/>
        <v>14583.333333333334</v>
      </c>
      <c r="AL22" s="188">
        <f t="shared" si="25"/>
        <v>14583.333333333334</v>
      </c>
      <c r="AM22" s="188">
        <f t="shared" si="25"/>
        <v>14583.333333333334</v>
      </c>
      <c r="AN22" s="188">
        <f t="shared" si="25"/>
        <v>14583.333333333334</v>
      </c>
      <c r="AO22" s="188">
        <f t="shared" si="25"/>
        <v>14583.333333333334</v>
      </c>
      <c r="AP22" s="188">
        <f t="shared" si="25"/>
        <v>14583.333333333334</v>
      </c>
      <c r="AQ22" s="188">
        <f t="shared" si="25"/>
        <v>14583.333333333334</v>
      </c>
      <c r="AR22" s="188">
        <f t="shared" si="25"/>
        <v>14583.333333333334</v>
      </c>
      <c r="AS22" s="188">
        <f t="shared" si="25"/>
        <v>14583.333333333334</v>
      </c>
      <c r="AT22" s="188">
        <f t="shared" si="25"/>
        <v>14583.333333333334</v>
      </c>
      <c r="AU22" s="188">
        <f t="shared" si="25"/>
        <v>14583.333333333334</v>
      </c>
      <c r="AV22" s="188">
        <f t="shared" si="25"/>
        <v>14583.333333333334</v>
      </c>
      <c r="AW22" s="188">
        <f t="shared" si="25"/>
        <v>14583.333333333334</v>
      </c>
      <c r="AX22" s="188">
        <f t="shared" si="25"/>
        <v>14583.333333333334</v>
      </c>
      <c r="AY22" s="188">
        <f t="shared" si="25"/>
        <v>14583.333333333334</v>
      </c>
      <c r="AZ22" s="188">
        <f t="shared" si="25"/>
        <v>14583.333333333334</v>
      </c>
      <c r="BA22" s="188">
        <f t="shared" si="25"/>
        <v>14583.333333333334</v>
      </c>
      <c r="BB22" s="188">
        <f t="shared" si="25"/>
        <v>14583.333333333334</v>
      </c>
      <c r="BC22" s="188">
        <f t="shared" si="25"/>
        <v>14583.333333333334</v>
      </c>
      <c r="BD22" s="188">
        <f t="shared" si="25"/>
        <v>14583.333333333334</v>
      </c>
      <c r="BE22" s="188">
        <f t="shared" si="25"/>
        <v>14583.333333333334</v>
      </c>
      <c r="BF22" s="188">
        <f t="shared" si="25"/>
        <v>14583.333333333334</v>
      </c>
      <c r="BG22" s="188">
        <f t="shared" si="25"/>
        <v>14583.333333333334</v>
      </c>
      <c r="BH22" s="188">
        <f t="shared" si="25"/>
        <v>14583.333333333334</v>
      </c>
      <c r="BI22" s="188">
        <f t="shared" si="25"/>
        <v>14583.333333333334</v>
      </c>
    </row>
    <row r="23" spans="1:61" ht="12.75" x14ac:dyDescent="0.2">
      <c r="A23" s="189"/>
      <c r="B23" s="15" t="s">
        <v>175</v>
      </c>
      <c r="C23" s="6" t="s">
        <v>166</v>
      </c>
      <c r="D23" s="15" t="str">
        <f t="shared" si="7"/>
        <v>Engineering</v>
      </c>
      <c r="E23" s="193">
        <v>182000</v>
      </c>
      <c r="F23" s="202">
        <f t="shared" si="23"/>
        <v>44378</v>
      </c>
      <c r="G23" s="191"/>
      <c r="H23" s="192">
        <v>0.09</v>
      </c>
      <c r="I23" s="193">
        <f t="shared" si="8"/>
        <v>606.66666666666663</v>
      </c>
      <c r="J23" s="193">
        <v>500</v>
      </c>
      <c r="K23" s="188">
        <f t="shared" si="3"/>
        <v>1106.6666666666665</v>
      </c>
      <c r="N23" s="188">
        <f t="shared" ref="N23:BI23" si="26">IF($F23=0,0, IF(AND(N$1&gt;=$G23,$G23&lt;&gt;0),0,IF(N$1&gt;=$F23,$E23/12,0)))</f>
        <v>0</v>
      </c>
      <c r="O23" s="188">
        <f t="shared" si="26"/>
        <v>0</v>
      </c>
      <c r="P23" s="188">
        <f t="shared" si="26"/>
        <v>0</v>
      </c>
      <c r="Q23" s="188">
        <f t="shared" si="26"/>
        <v>0</v>
      </c>
      <c r="R23" s="188">
        <f t="shared" si="26"/>
        <v>0</v>
      </c>
      <c r="S23" s="188">
        <f t="shared" si="26"/>
        <v>0</v>
      </c>
      <c r="T23" s="188">
        <f t="shared" si="26"/>
        <v>0</v>
      </c>
      <c r="U23" s="188">
        <f t="shared" si="26"/>
        <v>0</v>
      </c>
      <c r="V23" s="188">
        <f t="shared" si="26"/>
        <v>0</v>
      </c>
      <c r="W23" s="188">
        <f t="shared" si="26"/>
        <v>0</v>
      </c>
      <c r="X23" s="188">
        <f t="shared" si="26"/>
        <v>0</v>
      </c>
      <c r="Y23" s="188">
        <f t="shared" si="26"/>
        <v>0</v>
      </c>
      <c r="Z23" s="188">
        <f t="shared" si="26"/>
        <v>0</v>
      </c>
      <c r="AA23" s="188">
        <f t="shared" si="26"/>
        <v>0</v>
      </c>
      <c r="AB23" s="188">
        <f t="shared" si="26"/>
        <v>15166.666666666666</v>
      </c>
      <c r="AC23" s="188">
        <f t="shared" si="26"/>
        <v>15166.666666666666</v>
      </c>
      <c r="AD23" s="188">
        <f t="shared" si="26"/>
        <v>15166.666666666666</v>
      </c>
      <c r="AE23" s="188">
        <f t="shared" si="26"/>
        <v>15166.666666666666</v>
      </c>
      <c r="AF23" s="188">
        <f t="shared" si="26"/>
        <v>15166.666666666666</v>
      </c>
      <c r="AG23" s="188">
        <f t="shared" si="26"/>
        <v>15166.666666666666</v>
      </c>
      <c r="AH23" s="188">
        <f t="shared" si="26"/>
        <v>15166.666666666666</v>
      </c>
      <c r="AI23" s="188">
        <f t="shared" si="26"/>
        <v>15166.666666666666</v>
      </c>
      <c r="AJ23" s="188">
        <f t="shared" si="26"/>
        <v>15166.666666666666</v>
      </c>
      <c r="AK23" s="188">
        <f t="shared" si="26"/>
        <v>15166.666666666666</v>
      </c>
      <c r="AL23" s="188">
        <f t="shared" si="26"/>
        <v>15166.666666666666</v>
      </c>
      <c r="AM23" s="188">
        <f t="shared" si="26"/>
        <v>15166.666666666666</v>
      </c>
      <c r="AN23" s="188">
        <f t="shared" si="26"/>
        <v>15166.666666666666</v>
      </c>
      <c r="AO23" s="188">
        <f t="shared" si="26"/>
        <v>15166.666666666666</v>
      </c>
      <c r="AP23" s="188">
        <f t="shared" si="26"/>
        <v>15166.666666666666</v>
      </c>
      <c r="AQ23" s="188">
        <f t="shared" si="26"/>
        <v>15166.666666666666</v>
      </c>
      <c r="AR23" s="188">
        <f t="shared" si="26"/>
        <v>15166.666666666666</v>
      </c>
      <c r="AS23" s="188">
        <f t="shared" si="26"/>
        <v>15166.666666666666</v>
      </c>
      <c r="AT23" s="188">
        <f t="shared" si="26"/>
        <v>15166.666666666666</v>
      </c>
      <c r="AU23" s="188">
        <f t="shared" si="26"/>
        <v>15166.666666666666</v>
      </c>
      <c r="AV23" s="188">
        <f t="shared" si="26"/>
        <v>15166.666666666666</v>
      </c>
      <c r="AW23" s="188">
        <f t="shared" si="26"/>
        <v>15166.666666666666</v>
      </c>
      <c r="AX23" s="188">
        <f t="shared" si="26"/>
        <v>15166.666666666666</v>
      </c>
      <c r="AY23" s="188">
        <f t="shared" si="26"/>
        <v>15166.666666666666</v>
      </c>
      <c r="AZ23" s="188">
        <f t="shared" si="26"/>
        <v>15166.666666666666</v>
      </c>
      <c r="BA23" s="188">
        <f t="shared" si="26"/>
        <v>15166.666666666666</v>
      </c>
      <c r="BB23" s="188">
        <f t="shared" si="26"/>
        <v>15166.666666666666</v>
      </c>
      <c r="BC23" s="188">
        <f t="shared" si="26"/>
        <v>15166.666666666666</v>
      </c>
      <c r="BD23" s="188">
        <f t="shared" si="26"/>
        <v>15166.666666666666</v>
      </c>
      <c r="BE23" s="188">
        <f t="shared" si="26"/>
        <v>15166.666666666666</v>
      </c>
      <c r="BF23" s="188">
        <f t="shared" si="26"/>
        <v>15166.666666666666</v>
      </c>
      <c r="BG23" s="188">
        <f t="shared" si="26"/>
        <v>15166.666666666666</v>
      </c>
      <c r="BH23" s="188">
        <f t="shared" si="26"/>
        <v>15166.666666666666</v>
      </c>
      <c r="BI23" s="188">
        <f t="shared" si="26"/>
        <v>15166.666666666666</v>
      </c>
    </row>
    <row r="24" spans="1:61" ht="12.75" x14ac:dyDescent="0.2">
      <c r="A24" s="189"/>
      <c r="B24" s="15" t="s">
        <v>176</v>
      </c>
      <c r="C24" s="6" t="s">
        <v>166</v>
      </c>
      <c r="D24" s="15" t="str">
        <f t="shared" si="7"/>
        <v>Engineering</v>
      </c>
      <c r="E24" s="193">
        <v>165000</v>
      </c>
      <c r="F24" s="202">
        <f t="shared" si="23"/>
        <v>44470</v>
      </c>
      <c r="G24" s="191"/>
      <c r="H24" s="192">
        <v>0.09</v>
      </c>
      <c r="I24" s="193">
        <f t="shared" si="8"/>
        <v>550</v>
      </c>
      <c r="J24" s="193">
        <v>500</v>
      </c>
      <c r="K24" s="188">
        <f t="shared" si="3"/>
        <v>1050</v>
      </c>
      <c r="N24" s="188">
        <f t="shared" ref="N24:BI24" si="27">IF($F24=0,0, IF(AND(N$1&gt;=$G24,$G24&lt;&gt;0),0,IF(N$1&gt;=$F24,$E24/12,0)))</f>
        <v>0</v>
      </c>
      <c r="O24" s="188">
        <f t="shared" si="27"/>
        <v>0</v>
      </c>
      <c r="P24" s="188">
        <f t="shared" si="27"/>
        <v>0</v>
      </c>
      <c r="Q24" s="188">
        <f t="shared" si="27"/>
        <v>0</v>
      </c>
      <c r="R24" s="188">
        <f t="shared" si="27"/>
        <v>0</v>
      </c>
      <c r="S24" s="188">
        <f t="shared" si="27"/>
        <v>0</v>
      </c>
      <c r="T24" s="188">
        <f t="shared" si="27"/>
        <v>0</v>
      </c>
      <c r="U24" s="188">
        <f t="shared" si="27"/>
        <v>0</v>
      </c>
      <c r="V24" s="188">
        <f t="shared" si="27"/>
        <v>0</v>
      </c>
      <c r="W24" s="188">
        <f t="shared" si="27"/>
        <v>0</v>
      </c>
      <c r="X24" s="188">
        <f t="shared" si="27"/>
        <v>0</v>
      </c>
      <c r="Y24" s="188">
        <f t="shared" si="27"/>
        <v>0</v>
      </c>
      <c r="Z24" s="188">
        <f t="shared" si="27"/>
        <v>0</v>
      </c>
      <c r="AA24" s="188">
        <f t="shared" si="27"/>
        <v>0</v>
      </c>
      <c r="AB24" s="188">
        <f t="shared" si="27"/>
        <v>0</v>
      </c>
      <c r="AC24" s="188">
        <f t="shared" si="27"/>
        <v>0</v>
      </c>
      <c r="AD24" s="188">
        <f t="shared" si="27"/>
        <v>0</v>
      </c>
      <c r="AE24" s="188">
        <f t="shared" si="27"/>
        <v>13750</v>
      </c>
      <c r="AF24" s="188">
        <f t="shared" si="27"/>
        <v>13750</v>
      </c>
      <c r="AG24" s="188">
        <f t="shared" si="27"/>
        <v>13750</v>
      </c>
      <c r="AH24" s="188">
        <f t="shared" si="27"/>
        <v>13750</v>
      </c>
      <c r="AI24" s="188">
        <f t="shared" si="27"/>
        <v>13750</v>
      </c>
      <c r="AJ24" s="188">
        <f t="shared" si="27"/>
        <v>13750</v>
      </c>
      <c r="AK24" s="188">
        <f t="shared" si="27"/>
        <v>13750</v>
      </c>
      <c r="AL24" s="188">
        <f t="shared" si="27"/>
        <v>13750</v>
      </c>
      <c r="AM24" s="188">
        <f t="shared" si="27"/>
        <v>13750</v>
      </c>
      <c r="AN24" s="188">
        <f t="shared" si="27"/>
        <v>13750</v>
      </c>
      <c r="AO24" s="188">
        <f t="shared" si="27"/>
        <v>13750</v>
      </c>
      <c r="AP24" s="188">
        <f t="shared" si="27"/>
        <v>13750</v>
      </c>
      <c r="AQ24" s="188">
        <f t="shared" si="27"/>
        <v>13750</v>
      </c>
      <c r="AR24" s="188">
        <f t="shared" si="27"/>
        <v>13750</v>
      </c>
      <c r="AS24" s="188">
        <f t="shared" si="27"/>
        <v>13750</v>
      </c>
      <c r="AT24" s="188">
        <f t="shared" si="27"/>
        <v>13750</v>
      </c>
      <c r="AU24" s="188">
        <f t="shared" si="27"/>
        <v>13750</v>
      </c>
      <c r="AV24" s="188">
        <f t="shared" si="27"/>
        <v>13750</v>
      </c>
      <c r="AW24" s="188">
        <f t="shared" si="27"/>
        <v>13750</v>
      </c>
      <c r="AX24" s="188">
        <f t="shared" si="27"/>
        <v>13750</v>
      </c>
      <c r="AY24" s="188">
        <f t="shared" si="27"/>
        <v>13750</v>
      </c>
      <c r="AZ24" s="188">
        <f t="shared" si="27"/>
        <v>13750</v>
      </c>
      <c r="BA24" s="188">
        <f t="shared" si="27"/>
        <v>13750</v>
      </c>
      <c r="BB24" s="188">
        <f t="shared" si="27"/>
        <v>13750</v>
      </c>
      <c r="BC24" s="188">
        <f t="shared" si="27"/>
        <v>13750</v>
      </c>
      <c r="BD24" s="188">
        <f t="shared" si="27"/>
        <v>13750</v>
      </c>
      <c r="BE24" s="188">
        <f t="shared" si="27"/>
        <v>13750</v>
      </c>
      <c r="BF24" s="188">
        <f t="shared" si="27"/>
        <v>13750</v>
      </c>
      <c r="BG24" s="188">
        <f t="shared" si="27"/>
        <v>13750</v>
      </c>
      <c r="BH24" s="188">
        <f t="shared" si="27"/>
        <v>13750</v>
      </c>
      <c r="BI24" s="188">
        <f t="shared" si="27"/>
        <v>13750</v>
      </c>
    </row>
    <row r="25" spans="1:61" ht="12.75" x14ac:dyDescent="0.2">
      <c r="A25" s="189"/>
      <c r="B25" s="15" t="s">
        <v>177</v>
      </c>
      <c r="C25" s="6" t="s">
        <v>152</v>
      </c>
      <c r="D25" s="15" t="str">
        <f t="shared" si="7"/>
        <v>Engineering</v>
      </c>
      <c r="E25" s="193">
        <v>165000</v>
      </c>
      <c r="F25" s="202">
        <f t="shared" si="23"/>
        <v>44562</v>
      </c>
      <c r="G25" s="191"/>
      <c r="H25" s="192">
        <v>0.09</v>
      </c>
      <c r="I25" s="193">
        <f t="shared" si="8"/>
        <v>550</v>
      </c>
      <c r="J25" s="193">
        <v>500</v>
      </c>
      <c r="K25" s="188">
        <f t="shared" si="3"/>
        <v>1050</v>
      </c>
      <c r="N25" s="188">
        <f t="shared" ref="N25:BI25" si="28">IF($F25=0,0, IF(AND(N$1&gt;=$G25,$G25&lt;&gt;0),0,IF(N$1&gt;=$F25,$E25/12,0)))</f>
        <v>0</v>
      </c>
      <c r="O25" s="188">
        <f t="shared" si="28"/>
        <v>0</v>
      </c>
      <c r="P25" s="188">
        <f t="shared" si="28"/>
        <v>0</v>
      </c>
      <c r="Q25" s="188">
        <f t="shared" si="28"/>
        <v>0</v>
      </c>
      <c r="R25" s="188">
        <f t="shared" si="28"/>
        <v>0</v>
      </c>
      <c r="S25" s="188">
        <f t="shared" si="28"/>
        <v>0</v>
      </c>
      <c r="T25" s="188">
        <f t="shared" si="28"/>
        <v>0</v>
      </c>
      <c r="U25" s="188">
        <f t="shared" si="28"/>
        <v>0</v>
      </c>
      <c r="V25" s="188">
        <f t="shared" si="28"/>
        <v>0</v>
      </c>
      <c r="W25" s="188">
        <f t="shared" si="28"/>
        <v>0</v>
      </c>
      <c r="X25" s="188">
        <f t="shared" si="28"/>
        <v>0</v>
      </c>
      <c r="Y25" s="188">
        <f t="shared" si="28"/>
        <v>0</v>
      </c>
      <c r="Z25" s="188">
        <f t="shared" si="28"/>
        <v>0</v>
      </c>
      <c r="AA25" s="188">
        <f t="shared" si="28"/>
        <v>0</v>
      </c>
      <c r="AB25" s="188">
        <f t="shared" si="28"/>
        <v>0</v>
      </c>
      <c r="AC25" s="188">
        <f t="shared" si="28"/>
        <v>0</v>
      </c>
      <c r="AD25" s="188">
        <f t="shared" si="28"/>
        <v>0</v>
      </c>
      <c r="AE25" s="188">
        <f t="shared" si="28"/>
        <v>0</v>
      </c>
      <c r="AF25" s="188">
        <f t="shared" si="28"/>
        <v>0</v>
      </c>
      <c r="AG25" s="188">
        <f t="shared" si="28"/>
        <v>0</v>
      </c>
      <c r="AH25" s="188">
        <f t="shared" si="28"/>
        <v>13750</v>
      </c>
      <c r="AI25" s="188">
        <f t="shared" si="28"/>
        <v>13750</v>
      </c>
      <c r="AJ25" s="188">
        <f t="shared" si="28"/>
        <v>13750</v>
      </c>
      <c r="AK25" s="188">
        <f t="shared" si="28"/>
        <v>13750</v>
      </c>
      <c r="AL25" s="188">
        <f t="shared" si="28"/>
        <v>13750</v>
      </c>
      <c r="AM25" s="188">
        <f t="shared" si="28"/>
        <v>13750</v>
      </c>
      <c r="AN25" s="188">
        <f t="shared" si="28"/>
        <v>13750</v>
      </c>
      <c r="AO25" s="188">
        <f t="shared" si="28"/>
        <v>13750</v>
      </c>
      <c r="AP25" s="188">
        <f t="shared" si="28"/>
        <v>13750</v>
      </c>
      <c r="AQ25" s="188">
        <f t="shared" si="28"/>
        <v>13750</v>
      </c>
      <c r="AR25" s="188">
        <f t="shared" si="28"/>
        <v>13750</v>
      </c>
      <c r="AS25" s="188">
        <f t="shared" si="28"/>
        <v>13750</v>
      </c>
      <c r="AT25" s="188">
        <f t="shared" si="28"/>
        <v>13750</v>
      </c>
      <c r="AU25" s="188">
        <f t="shared" si="28"/>
        <v>13750</v>
      </c>
      <c r="AV25" s="188">
        <f t="shared" si="28"/>
        <v>13750</v>
      </c>
      <c r="AW25" s="188">
        <f t="shared" si="28"/>
        <v>13750</v>
      </c>
      <c r="AX25" s="188">
        <f t="shared" si="28"/>
        <v>13750</v>
      </c>
      <c r="AY25" s="188">
        <f t="shared" si="28"/>
        <v>13750</v>
      </c>
      <c r="AZ25" s="188">
        <f t="shared" si="28"/>
        <v>13750</v>
      </c>
      <c r="BA25" s="188">
        <f t="shared" si="28"/>
        <v>13750</v>
      </c>
      <c r="BB25" s="188">
        <f t="shared" si="28"/>
        <v>13750</v>
      </c>
      <c r="BC25" s="188">
        <f t="shared" si="28"/>
        <v>13750</v>
      </c>
      <c r="BD25" s="188">
        <f t="shared" si="28"/>
        <v>13750</v>
      </c>
      <c r="BE25" s="188">
        <f t="shared" si="28"/>
        <v>13750</v>
      </c>
      <c r="BF25" s="188">
        <f t="shared" si="28"/>
        <v>13750</v>
      </c>
      <c r="BG25" s="188">
        <f t="shared" si="28"/>
        <v>13750</v>
      </c>
      <c r="BH25" s="188">
        <f t="shared" si="28"/>
        <v>13750</v>
      </c>
      <c r="BI25" s="188">
        <f t="shared" si="28"/>
        <v>13750</v>
      </c>
    </row>
    <row r="26" spans="1:61" ht="12.75" x14ac:dyDescent="0.2">
      <c r="A26" s="189"/>
      <c r="B26" s="15" t="s">
        <v>178</v>
      </c>
      <c r="C26" s="6" t="s">
        <v>166</v>
      </c>
      <c r="D26" s="15" t="str">
        <f t="shared" si="7"/>
        <v>Engineering</v>
      </c>
      <c r="E26" s="193">
        <v>165000</v>
      </c>
      <c r="F26" s="202">
        <f t="shared" si="23"/>
        <v>44652</v>
      </c>
      <c r="G26" s="191"/>
      <c r="H26" s="192">
        <v>0.09</v>
      </c>
      <c r="I26" s="193">
        <f t="shared" si="8"/>
        <v>550</v>
      </c>
      <c r="J26" s="193">
        <v>500</v>
      </c>
      <c r="K26" s="188">
        <f t="shared" si="3"/>
        <v>1050</v>
      </c>
      <c r="N26" s="188">
        <f t="shared" ref="N26:BI26" si="29">IF($F26=0,0, IF(AND(N$1&gt;=$G26,$G26&lt;&gt;0),0,IF(N$1&gt;=$F26,$E26/12,0)))</f>
        <v>0</v>
      </c>
      <c r="O26" s="188">
        <f t="shared" si="29"/>
        <v>0</v>
      </c>
      <c r="P26" s="188">
        <f t="shared" si="29"/>
        <v>0</v>
      </c>
      <c r="Q26" s="188">
        <f t="shared" si="29"/>
        <v>0</v>
      </c>
      <c r="R26" s="188">
        <f t="shared" si="29"/>
        <v>0</v>
      </c>
      <c r="S26" s="188">
        <f t="shared" si="29"/>
        <v>0</v>
      </c>
      <c r="T26" s="188">
        <f t="shared" si="29"/>
        <v>0</v>
      </c>
      <c r="U26" s="188">
        <f t="shared" si="29"/>
        <v>0</v>
      </c>
      <c r="V26" s="188">
        <f t="shared" si="29"/>
        <v>0</v>
      </c>
      <c r="W26" s="188">
        <f t="shared" si="29"/>
        <v>0</v>
      </c>
      <c r="X26" s="188">
        <f t="shared" si="29"/>
        <v>0</v>
      </c>
      <c r="Y26" s="188">
        <f t="shared" si="29"/>
        <v>0</v>
      </c>
      <c r="Z26" s="188">
        <f t="shared" si="29"/>
        <v>0</v>
      </c>
      <c r="AA26" s="188">
        <f t="shared" si="29"/>
        <v>0</v>
      </c>
      <c r="AB26" s="188">
        <f t="shared" si="29"/>
        <v>0</v>
      </c>
      <c r="AC26" s="188">
        <f t="shared" si="29"/>
        <v>0</v>
      </c>
      <c r="AD26" s="188">
        <f t="shared" si="29"/>
        <v>0</v>
      </c>
      <c r="AE26" s="188">
        <f t="shared" si="29"/>
        <v>0</v>
      </c>
      <c r="AF26" s="188">
        <f t="shared" si="29"/>
        <v>0</v>
      </c>
      <c r="AG26" s="188">
        <f t="shared" si="29"/>
        <v>0</v>
      </c>
      <c r="AH26" s="188">
        <f t="shared" si="29"/>
        <v>0</v>
      </c>
      <c r="AI26" s="188">
        <f t="shared" si="29"/>
        <v>0</v>
      </c>
      <c r="AJ26" s="188">
        <f t="shared" si="29"/>
        <v>0</v>
      </c>
      <c r="AK26" s="188">
        <f t="shared" si="29"/>
        <v>13750</v>
      </c>
      <c r="AL26" s="188">
        <f t="shared" si="29"/>
        <v>13750</v>
      </c>
      <c r="AM26" s="188">
        <f t="shared" si="29"/>
        <v>13750</v>
      </c>
      <c r="AN26" s="188">
        <f t="shared" si="29"/>
        <v>13750</v>
      </c>
      <c r="AO26" s="188">
        <f t="shared" si="29"/>
        <v>13750</v>
      </c>
      <c r="AP26" s="188">
        <f t="shared" si="29"/>
        <v>13750</v>
      </c>
      <c r="AQ26" s="188">
        <f t="shared" si="29"/>
        <v>13750</v>
      </c>
      <c r="AR26" s="188">
        <f t="shared" si="29"/>
        <v>13750</v>
      </c>
      <c r="AS26" s="188">
        <f t="shared" si="29"/>
        <v>13750</v>
      </c>
      <c r="AT26" s="188">
        <f t="shared" si="29"/>
        <v>13750</v>
      </c>
      <c r="AU26" s="188">
        <f t="shared" si="29"/>
        <v>13750</v>
      </c>
      <c r="AV26" s="188">
        <f t="shared" si="29"/>
        <v>13750</v>
      </c>
      <c r="AW26" s="188">
        <f t="shared" si="29"/>
        <v>13750</v>
      </c>
      <c r="AX26" s="188">
        <f t="shared" si="29"/>
        <v>13750</v>
      </c>
      <c r="AY26" s="188">
        <f t="shared" si="29"/>
        <v>13750</v>
      </c>
      <c r="AZ26" s="188">
        <f t="shared" si="29"/>
        <v>13750</v>
      </c>
      <c r="BA26" s="188">
        <f t="shared" si="29"/>
        <v>13750</v>
      </c>
      <c r="BB26" s="188">
        <f t="shared" si="29"/>
        <v>13750</v>
      </c>
      <c r="BC26" s="188">
        <f t="shared" si="29"/>
        <v>13750</v>
      </c>
      <c r="BD26" s="188">
        <f t="shared" si="29"/>
        <v>13750</v>
      </c>
      <c r="BE26" s="188">
        <f t="shared" si="29"/>
        <v>13750</v>
      </c>
      <c r="BF26" s="188">
        <f t="shared" si="29"/>
        <v>13750</v>
      </c>
      <c r="BG26" s="188">
        <f t="shared" si="29"/>
        <v>13750</v>
      </c>
      <c r="BH26" s="188">
        <f t="shared" si="29"/>
        <v>13750</v>
      </c>
      <c r="BI26" s="188">
        <f t="shared" si="29"/>
        <v>13750</v>
      </c>
    </row>
    <row r="27" spans="1:61" ht="12.75" x14ac:dyDescent="0.2">
      <c r="A27" s="189"/>
      <c r="B27" s="15" t="s">
        <v>179</v>
      </c>
      <c r="C27" s="6" t="s">
        <v>180</v>
      </c>
      <c r="D27" s="6" t="str">
        <f t="shared" si="7"/>
        <v>Engineering</v>
      </c>
      <c r="E27" s="205">
        <v>165000</v>
      </c>
      <c r="F27" s="202">
        <f t="shared" si="23"/>
        <v>44743</v>
      </c>
      <c r="G27" s="191"/>
      <c r="H27" s="192">
        <v>0.09</v>
      </c>
      <c r="I27" s="193">
        <f t="shared" si="8"/>
        <v>550</v>
      </c>
      <c r="J27" s="205">
        <v>500</v>
      </c>
      <c r="K27" s="188">
        <f t="shared" si="3"/>
        <v>1050</v>
      </c>
      <c r="N27" s="188">
        <f t="shared" ref="N27:BI27" si="30">IF($F27=0,0, IF(AND(N$1&gt;=$G27,$G27&lt;&gt;0),0,IF(N$1&gt;=$F27,$E27/12,0)))</f>
        <v>0</v>
      </c>
      <c r="O27" s="188">
        <f t="shared" si="30"/>
        <v>0</v>
      </c>
      <c r="P27" s="188">
        <f t="shared" si="30"/>
        <v>0</v>
      </c>
      <c r="Q27" s="188">
        <f t="shared" si="30"/>
        <v>0</v>
      </c>
      <c r="R27" s="188">
        <f t="shared" si="30"/>
        <v>0</v>
      </c>
      <c r="S27" s="188">
        <f t="shared" si="30"/>
        <v>0</v>
      </c>
      <c r="T27" s="188">
        <f t="shared" si="30"/>
        <v>0</v>
      </c>
      <c r="U27" s="188">
        <f t="shared" si="30"/>
        <v>0</v>
      </c>
      <c r="V27" s="188">
        <f t="shared" si="30"/>
        <v>0</v>
      </c>
      <c r="W27" s="188">
        <f t="shared" si="30"/>
        <v>0</v>
      </c>
      <c r="X27" s="188">
        <f t="shared" si="30"/>
        <v>0</v>
      </c>
      <c r="Y27" s="188">
        <f t="shared" si="30"/>
        <v>0</v>
      </c>
      <c r="Z27" s="188">
        <f t="shared" si="30"/>
        <v>0</v>
      </c>
      <c r="AA27" s="188">
        <f t="shared" si="30"/>
        <v>0</v>
      </c>
      <c r="AB27" s="188">
        <f t="shared" si="30"/>
        <v>0</v>
      </c>
      <c r="AC27" s="188">
        <f t="shared" si="30"/>
        <v>0</v>
      </c>
      <c r="AD27" s="188">
        <f t="shared" si="30"/>
        <v>0</v>
      </c>
      <c r="AE27" s="188">
        <f t="shared" si="30"/>
        <v>0</v>
      </c>
      <c r="AF27" s="188">
        <f t="shared" si="30"/>
        <v>0</v>
      </c>
      <c r="AG27" s="188">
        <f t="shared" si="30"/>
        <v>0</v>
      </c>
      <c r="AH27" s="188">
        <f t="shared" si="30"/>
        <v>0</v>
      </c>
      <c r="AI27" s="188">
        <f t="shared" si="30"/>
        <v>0</v>
      </c>
      <c r="AJ27" s="188">
        <f t="shared" si="30"/>
        <v>0</v>
      </c>
      <c r="AK27" s="188">
        <f t="shared" si="30"/>
        <v>0</v>
      </c>
      <c r="AL27" s="188">
        <f t="shared" si="30"/>
        <v>0</v>
      </c>
      <c r="AM27" s="188">
        <f t="shared" si="30"/>
        <v>0</v>
      </c>
      <c r="AN27" s="188">
        <f t="shared" si="30"/>
        <v>13750</v>
      </c>
      <c r="AO27" s="188">
        <f t="shared" si="30"/>
        <v>13750</v>
      </c>
      <c r="AP27" s="188">
        <f t="shared" si="30"/>
        <v>13750</v>
      </c>
      <c r="AQ27" s="188">
        <f t="shared" si="30"/>
        <v>13750</v>
      </c>
      <c r="AR27" s="188">
        <f t="shared" si="30"/>
        <v>13750</v>
      </c>
      <c r="AS27" s="188">
        <f t="shared" si="30"/>
        <v>13750</v>
      </c>
      <c r="AT27" s="188">
        <f t="shared" si="30"/>
        <v>13750</v>
      </c>
      <c r="AU27" s="188">
        <f t="shared" si="30"/>
        <v>13750</v>
      </c>
      <c r="AV27" s="188">
        <f t="shared" si="30"/>
        <v>13750</v>
      </c>
      <c r="AW27" s="188">
        <f t="shared" si="30"/>
        <v>13750</v>
      </c>
      <c r="AX27" s="188">
        <f t="shared" si="30"/>
        <v>13750</v>
      </c>
      <c r="AY27" s="188">
        <f t="shared" si="30"/>
        <v>13750</v>
      </c>
      <c r="AZ27" s="188">
        <f t="shared" si="30"/>
        <v>13750</v>
      </c>
      <c r="BA27" s="188">
        <f t="shared" si="30"/>
        <v>13750</v>
      </c>
      <c r="BB27" s="188">
        <f t="shared" si="30"/>
        <v>13750</v>
      </c>
      <c r="BC27" s="188">
        <f t="shared" si="30"/>
        <v>13750</v>
      </c>
      <c r="BD27" s="188">
        <f t="shared" si="30"/>
        <v>13750</v>
      </c>
      <c r="BE27" s="188">
        <f t="shared" si="30"/>
        <v>13750</v>
      </c>
      <c r="BF27" s="188">
        <f t="shared" si="30"/>
        <v>13750</v>
      </c>
      <c r="BG27" s="188">
        <f t="shared" si="30"/>
        <v>13750</v>
      </c>
      <c r="BH27" s="188">
        <f t="shared" si="30"/>
        <v>13750</v>
      </c>
      <c r="BI27" s="188">
        <f t="shared" si="30"/>
        <v>13750</v>
      </c>
    </row>
    <row r="28" spans="1:61" ht="12.75" x14ac:dyDescent="0.2">
      <c r="A28" s="207"/>
      <c r="B28" s="15" t="s">
        <v>182</v>
      </c>
      <c r="C28" s="15" t="s">
        <v>166</v>
      </c>
      <c r="D28" s="15" t="str">
        <f t="shared" si="7"/>
        <v>Engineering</v>
      </c>
      <c r="E28" s="193">
        <v>165000</v>
      </c>
      <c r="F28" s="202">
        <f t="shared" si="23"/>
        <v>44835</v>
      </c>
      <c r="G28" s="191"/>
      <c r="H28" s="192">
        <v>0.09</v>
      </c>
      <c r="I28" s="193">
        <f t="shared" si="8"/>
        <v>550</v>
      </c>
      <c r="J28" s="193">
        <v>500</v>
      </c>
      <c r="K28" s="188">
        <f t="shared" si="3"/>
        <v>1050</v>
      </c>
      <c r="N28" s="188">
        <f t="shared" ref="N28:BI28" si="31">IF($F28=0,0, IF(AND(N$1&gt;=$G28,$G28&lt;&gt;0),0,IF(N$1&gt;=$F28,$E28/12,0)))</f>
        <v>0</v>
      </c>
      <c r="O28" s="188">
        <f t="shared" si="31"/>
        <v>0</v>
      </c>
      <c r="P28" s="188">
        <f t="shared" si="31"/>
        <v>0</v>
      </c>
      <c r="Q28" s="188">
        <f t="shared" si="31"/>
        <v>0</v>
      </c>
      <c r="R28" s="188">
        <f t="shared" si="31"/>
        <v>0</v>
      </c>
      <c r="S28" s="188">
        <f t="shared" si="31"/>
        <v>0</v>
      </c>
      <c r="T28" s="188">
        <f t="shared" si="31"/>
        <v>0</v>
      </c>
      <c r="U28" s="188">
        <f t="shared" si="31"/>
        <v>0</v>
      </c>
      <c r="V28" s="188">
        <f t="shared" si="31"/>
        <v>0</v>
      </c>
      <c r="W28" s="188">
        <f t="shared" si="31"/>
        <v>0</v>
      </c>
      <c r="X28" s="188">
        <f t="shared" si="31"/>
        <v>0</v>
      </c>
      <c r="Y28" s="188">
        <f t="shared" si="31"/>
        <v>0</v>
      </c>
      <c r="Z28" s="188">
        <f t="shared" si="31"/>
        <v>0</v>
      </c>
      <c r="AA28" s="188">
        <f t="shared" si="31"/>
        <v>0</v>
      </c>
      <c r="AB28" s="188">
        <f t="shared" si="31"/>
        <v>0</v>
      </c>
      <c r="AC28" s="188">
        <f t="shared" si="31"/>
        <v>0</v>
      </c>
      <c r="AD28" s="188">
        <f t="shared" si="31"/>
        <v>0</v>
      </c>
      <c r="AE28" s="188">
        <f t="shared" si="31"/>
        <v>0</v>
      </c>
      <c r="AF28" s="188">
        <f t="shared" si="31"/>
        <v>0</v>
      </c>
      <c r="AG28" s="188">
        <f t="shared" si="31"/>
        <v>0</v>
      </c>
      <c r="AH28" s="188">
        <f t="shared" si="31"/>
        <v>0</v>
      </c>
      <c r="AI28" s="188">
        <f t="shared" si="31"/>
        <v>0</v>
      </c>
      <c r="AJ28" s="188">
        <f t="shared" si="31"/>
        <v>0</v>
      </c>
      <c r="AK28" s="188">
        <f t="shared" si="31"/>
        <v>0</v>
      </c>
      <c r="AL28" s="188">
        <f t="shared" si="31"/>
        <v>0</v>
      </c>
      <c r="AM28" s="188">
        <f t="shared" si="31"/>
        <v>0</v>
      </c>
      <c r="AN28" s="188">
        <f t="shared" si="31"/>
        <v>0</v>
      </c>
      <c r="AO28" s="188">
        <f t="shared" si="31"/>
        <v>0</v>
      </c>
      <c r="AP28" s="188">
        <f t="shared" si="31"/>
        <v>0</v>
      </c>
      <c r="AQ28" s="188">
        <f t="shared" si="31"/>
        <v>13750</v>
      </c>
      <c r="AR28" s="188">
        <f t="shared" si="31"/>
        <v>13750</v>
      </c>
      <c r="AS28" s="188">
        <f t="shared" si="31"/>
        <v>13750</v>
      </c>
      <c r="AT28" s="188">
        <f t="shared" si="31"/>
        <v>13750</v>
      </c>
      <c r="AU28" s="188">
        <f t="shared" si="31"/>
        <v>13750</v>
      </c>
      <c r="AV28" s="188">
        <f t="shared" si="31"/>
        <v>13750</v>
      </c>
      <c r="AW28" s="188">
        <f t="shared" si="31"/>
        <v>13750</v>
      </c>
      <c r="AX28" s="188">
        <f t="shared" si="31"/>
        <v>13750</v>
      </c>
      <c r="AY28" s="188">
        <f t="shared" si="31"/>
        <v>13750</v>
      </c>
      <c r="AZ28" s="188">
        <f t="shared" si="31"/>
        <v>13750</v>
      </c>
      <c r="BA28" s="188">
        <f t="shared" si="31"/>
        <v>13750</v>
      </c>
      <c r="BB28" s="188">
        <f t="shared" si="31"/>
        <v>13750</v>
      </c>
      <c r="BC28" s="188">
        <f t="shared" si="31"/>
        <v>13750</v>
      </c>
      <c r="BD28" s="188">
        <f t="shared" si="31"/>
        <v>13750</v>
      </c>
      <c r="BE28" s="188">
        <f t="shared" si="31"/>
        <v>13750</v>
      </c>
      <c r="BF28" s="188">
        <f t="shared" si="31"/>
        <v>13750</v>
      </c>
      <c r="BG28" s="188">
        <f t="shared" si="31"/>
        <v>13750</v>
      </c>
      <c r="BH28" s="188">
        <f t="shared" si="31"/>
        <v>13750</v>
      </c>
      <c r="BI28" s="188">
        <f t="shared" si="31"/>
        <v>13750</v>
      </c>
    </row>
    <row r="29" spans="1:61" ht="12.75" x14ac:dyDescent="0.2">
      <c r="A29" s="207"/>
      <c r="B29" s="15" t="s">
        <v>183</v>
      </c>
      <c r="C29" s="15" t="s">
        <v>166</v>
      </c>
      <c r="D29" s="15" t="str">
        <f t="shared" si="7"/>
        <v>Engineering</v>
      </c>
      <c r="E29" s="193">
        <v>165000</v>
      </c>
      <c r="F29" s="202">
        <f t="shared" si="23"/>
        <v>44927</v>
      </c>
      <c r="G29" s="191"/>
      <c r="H29" s="192">
        <v>0.09</v>
      </c>
      <c r="I29" s="193">
        <f t="shared" si="8"/>
        <v>550</v>
      </c>
      <c r="J29" s="193">
        <v>500</v>
      </c>
      <c r="K29" s="188">
        <f t="shared" si="3"/>
        <v>1050</v>
      </c>
      <c r="N29" s="188">
        <f t="shared" ref="N29:BI29" si="32">IF($F29=0,0, IF(AND(N$1&gt;=$G29,$G29&lt;&gt;0),0,IF(N$1&gt;=$F29,$E29/12,0)))</f>
        <v>0</v>
      </c>
      <c r="O29" s="188">
        <f t="shared" si="32"/>
        <v>0</v>
      </c>
      <c r="P29" s="188">
        <f t="shared" si="32"/>
        <v>0</v>
      </c>
      <c r="Q29" s="188">
        <f t="shared" si="32"/>
        <v>0</v>
      </c>
      <c r="R29" s="188">
        <f t="shared" si="32"/>
        <v>0</v>
      </c>
      <c r="S29" s="188">
        <f t="shared" si="32"/>
        <v>0</v>
      </c>
      <c r="T29" s="188">
        <f t="shared" si="32"/>
        <v>0</v>
      </c>
      <c r="U29" s="188">
        <f t="shared" si="32"/>
        <v>0</v>
      </c>
      <c r="V29" s="188">
        <f t="shared" si="32"/>
        <v>0</v>
      </c>
      <c r="W29" s="188">
        <f t="shared" si="32"/>
        <v>0</v>
      </c>
      <c r="X29" s="188">
        <f t="shared" si="32"/>
        <v>0</v>
      </c>
      <c r="Y29" s="188">
        <f t="shared" si="32"/>
        <v>0</v>
      </c>
      <c r="Z29" s="188">
        <f t="shared" si="32"/>
        <v>0</v>
      </c>
      <c r="AA29" s="188">
        <f t="shared" si="32"/>
        <v>0</v>
      </c>
      <c r="AB29" s="188">
        <f t="shared" si="32"/>
        <v>0</v>
      </c>
      <c r="AC29" s="188">
        <f t="shared" si="32"/>
        <v>0</v>
      </c>
      <c r="AD29" s="188">
        <f t="shared" si="32"/>
        <v>0</v>
      </c>
      <c r="AE29" s="188">
        <f t="shared" si="32"/>
        <v>0</v>
      </c>
      <c r="AF29" s="188">
        <f t="shared" si="32"/>
        <v>0</v>
      </c>
      <c r="AG29" s="188">
        <f t="shared" si="32"/>
        <v>0</v>
      </c>
      <c r="AH29" s="188">
        <f t="shared" si="32"/>
        <v>0</v>
      </c>
      <c r="AI29" s="188">
        <f t="shared" si="32"/>
        <v>0</v>
      </c>
      <c r="AJ29" s="188">
        <f t="shared" si="32"/>
        <v>0</v>
      </c>
      <c r="AK29" s="188">
        <f t="shared" si="32"/>
        <v>0</v>
      </c>
      <c r="AL29" s="188">
        <f t="shared" si="32"/>
        <v>0</v>
      </c>
      <c r="AM29" s="188">
        <f t="shared" si="32"/>
        <v>0</v>
      </c>
      <c r="AN29" s="188">
        <f t="shared" si="32"/>
        <v>0</v>
      </c>
      <c r="AO29" s="188">
        <f t="shared" si="32"/>
        <v>0</v>
      </c>
      <c r="AP29" s="188">
        <f t="shared" si="32"/>
        <v>0</v>
      </c>
      <c r="AQ29" s="188">
        <f t="shared" si="32"/>
        <v>0</v>
      </c>
      <c r="AR29" s="188">
        <f t="shared" si="32"/>
        <v>0</v>
      </c>
      <c r="AS29" s="188">
        <f t="shared" si="32"/>
        <v>0</v>
      </c>
      <c r="AT29" s="188">
        <f t="shared" si="32"/>
        <v>13750</v>
      </c>
      <c r="AU29" s="188">
        <f t="shared" si="32"/>
        <v>13750</v>
      </c>
      <c r="AV29" s="188">
        <f t="shared" si="32"/>
        <v>13750</v>
      </c>
      <c r="AW29" s="188">
        <f t="shared" si="32"/>
        <v>13750</v>
      </c>
      <c r="AX29" s="188">
        <f t="shared" si="32"/>
        <v>13750</v>
      </c>
      <c r="AY29" s="188">
        <f t="shared" si="32"/>
        <v>13750</v>
      </c>
      <c r="AZ29" s="188">
        <f t="shared" si="32"/>
        <v>13750</v>
      </c>
      <c r="BA29" s="188">
        <f t="shared" si="32"/>
        <v>13750</v>
      </c>
      <c r="BB29" s="188">
        <f t="shared" si="32"/>
        <v>13750</v>
      </c>
      <c r="BC29" s="188">
        <f t="shared" si="32"/>
        <v>13750</v>
      </c>
      <c r="BD29" s="188">
        <f t="shared" si="32"/>
        <v>13750</v>
      </c>
      <c r="BE29" s="188">
        <f t="shared" si="32"/>
        <v>13750</v>
      </c>
      <c r="BF29" s="188">
        <f t="shared" si="32"/>
        <v>13750</v>
      </c>
      <c r="BG29" s="188">
        <f t="shared" si="32"/>
        <v>13750</v>
      </c>
      <c r="BH29" s="188">
        <f t="shared" si="32"/>
        <v>13750</v>
      </c>
      <c r="BI29" s="188">
        <f t="shared" si="32"/>
        <v>13750</v>
      </c>
    </row>
    <row r="30" spans="1:61" ht="12.75" x14ac:dyDescent="0.2">
      <c r="A30" s="189"/>
      <c r="B30" s="15" t="s">
        <v>184</v>
      </c>
      <c r="C30" s="15" t="s">
        <v>166</v>
      </c>
      <c r="D30" s="15" t="str">
        <f t="shared" si="7"/>
        <v>Engineering</v>
      </c>
      <c r="E30" s="193">
        <v>165000</v>
      </c>
      <c r="F30" s="202">
        <f t="shared" si="23"/>
        <v>45017</v>
      </c>
      <c r="G30" s="191"/>
      <c r="H30" s="192">
        <v>0.09</v>
      </c>
      <c r="I30" s="193">
        <f t="shared" si="8"/>
        <v>550</v>
      </c>
      <c r="J30" s="193">
        <v>500</v>
      </c>
      <c r="K30" s="188">
        <f t="shared" si="3"/>
        <v>1050</v>
      </c>
      <c r="N30" s="188">
        <f t="shared" ref="N30:BI30" si="33">IF($F30=0,0, IF(AND(N$1&gt;=$G30,$G30&lt;&gt;0),0,IF(N$1&gt;=$F30,$E30/12,0)))</f>
        <v>0</v>
      </c>
      <c r="O30" s="188">
        <f t="shared" si="33"/>
        <v>0</v>
      </c>
      <c r="P30" s="188">
        <f t="shared" si="33"/>
        <v>0</v>
      </c>
      <c r="Q30" s="188">
        <f t="shared" si="33"/>
        <v>0</v>
      </c>
      <c r="R30" s="188">
        <f t="shared" si="33"/>
        <v>0</v>
      </c>
      <c r="S30" s="188">
        <f t="shared" si="33"/>
        <v>0</v>
      </c>
      <c r="T30" s="188">
        <f t="shared" si="33"/>
        <v>0</v>
      </c>
      <c r="U30" s="188">
        <f t="shared" si="33"/>
        <v>0</v>
      </c>
      <c r="V30" s="188">
        <f t="shared" si="33"/>
        <v>0</v>
      </c>
      <c r="W30" s="188">
        <f t="shared" si="33"/>
        <v>0</v>
      </c>
      <c r="X30" s="188">
        <f t="shared" si="33"/>
        <v>0</v>
      </c>
      <c r="Y30" s="188">
        <f t="shared" si="33"/>
        <v>0</v>
      </c>
      <c r="Z30" s="188">
        <f t="shared" si="33"/>
        <v>0</v>
      </c>
      <c r="AA30" s="188">
        <f t="shared" si="33"/>
        <v>0</v>
      </c>
      <c r="AB30" s="188">
        <f t="shared" si="33"/>
        <v>0</v>
      </c>
      <c r="AC30" s="188">
        <f t="shared" si="33"/>
        <v>0</v>
      </c>
      <c r="AD30" s="188">
        <f t="shared" si="33"/>
        <v>0</v>
      </c>
      <c r="AE30" s="188">
        <f t="shared" si="33"/>
        <v>0</v>
      </c>
      <c r="AF30" s="188">
        <f t="shared" si="33"/>
        <v>0</v>
      </c>
      <c r="AG30" s="188">
        <f t="shared" si="33"/>
        <v>0</v>
      </c>
      <c r="AH30" s="188">
        <f t="shared" si="33"/>
        <v>0</v>
      </c>
      <c r="AI30" s="188">
        <f t="shared" si="33"/>
        <v>0</v>
      </c>
      <c r="AJ30" s="188">
        <f t="shared" si="33"/>
        <v>0</v>
      </c>
      <c r="AK30" s="188">
        <f t="shared" si="33"/>
        <v>0</v>
      </c>
      <c r="AL30" s="188">
        <f t="shared" si="33"/>
        <v>0</v>
      </c>
      <c r="AM30" s="188">
        <f t="shared" si="33"/>
        <v>0</v>
      </c>
      <c r="AN30" s="188">
        <f t="shared" si="33"/>
        <v>0</v>
      </c>
      <c r="AO30" s="188">
        <f t="shared" si="33"/>
        <v>0</v>
      </c>
      <c r="AP30" s="188">
        <f t="shared" si="33"/>
        <v>0</v>
      </c>
      <c r="AQ30" s="188">
        <f t="shared" si="33"/>
        <v>0</v>
      </c>
      <c r="AR30" s="188">
        <f t="shared" si="33"/>
        <v>0</v>
      </c>
      <c r="AS30" s="188">
        <f t="shared" si="33"/>
        <v>0</v>
      </c>
      <c r="AT30" s="188">
        <f t="shared" si="33"/>
        <v>0</v>
      </c>
      <c r="AU30" s="188">
        <f t="shared" si="33"/>
        <v>0</v>
      </c>
      <c r="AV30" s="188">
        <f t="shared" si="33"/>
        <v>0</v>
      </c>
      <c r="AW30" s="188">
        <f t="shared" si="33"/>
        <v>13750</v>
      </c>
      <c r="AX30" s="188">
        <f t="shared" si="33"/>
        <v>13750</v>
      </c>
      <c r="AY30" s="188">
        <f t="shared" si="33"/>
        <v>13750</v>
      </c>
      <c r="AZ30" s="188">
        <f t="shared" si="33"/>
        <v>13750</v>
      </c>
      <c r="BA30" s="188">
        <f t="shared" si="33"/>
        <v>13750</v>
      </c>
      <c r="BB30" s="188">
        <f t="shared" si="33"/>
        <v>13750</v>
      </c>
      <c r="BC30" s="188">
        <f t="shared" si="33"/>
        <v>13750</v>
      </c>
      <c r="BD30" s="188">
        <f t="shared" si="33"/>
        <v>13750</v>
      </c>
      <c r="BE30" s="188">
        <f t="shared" si="33"/>
        <v>13750</v>
      </c>
      <c r="BF30" s="188">
        <f t="shared" si="33"/>
        <v>13750</v>
      </c>
      <c r="BG30" s="188">
        <f t="shared" si="33"/>
        <v>13750</v>
      </c>
      <c r="BH30" s="188">
        <f t="shared" si="33"/>
        <v>13750</v>
      </c>
      <c r="BI30" s="188">
        <f t="shared" si="33"/>
        <v>13750</v>
      </c>
    </row>
    <row r="31" spans="1:61" ht="12.75" x14ac:dyDescent="0.2">
      <c r="A31" s="189"/>
      <c r="B31" s="15" t="s">
        <v>185</v>
      </c>
      <c r="C31" s="15" t="s">
        <v>163</v>
      </c>
      <c r="D31" s="15" t="str">
        <f t="shared" si="7"/>
        <v>Engineering</v>
      </c>
      <c r="E31" s="193">
        <v>165000</v>
      </c>
      <c r="F31" s="202">
        <f t="shared" si="23"/>
        <v>45108</v>
      </c>
      <c r="G31" s="191"/>
      <c r="H31" s="192">
        <v>0.09</v>
      </c>
      <c r="I31" s="193">
        <f t="shared" si="8"/>
        <v>550</v>
      </c>
      <c r="J31" s="193">
        <v>500</v>
      </c>
      <c r="K31" s="188">
        <f t="shared" si="3"/>
        <v>1050</v>
      </c>
      <c r="N31" s="188">
        <f t="shared" ref="N31:BI31" si="34">IF($F31=0,0, IF(AND(N$1&gt;=$G31,$G31&lt;&gt;0),0,IF(N$1&gt;=$F31,$E31/12,0)))</f>
        <v>0</v>
      </c>
      <c r="O31" s="188">
        <f t="shared" si="34"/>
        <v>0</v>
      </c>
      <c r="P31" s="188">
        <f t="shared" si="34"/>
        <v>0</v>
      </c>
      <c r="Q31" s="188">
        <f t="shared" si="34"/>
        <v>0</v>
      </c>
      <c r="R31" s="188">
        <f t="shared" si="34"/>
        <v>0</v>
      </c>
      <c r="S31" s="188">
        <f t="shared" si="34"/>
        <v>0</v>
      </c>
      <c r="T31" s="188">
        <f t="shared" si="34"/>
        <v>0</v>
      </c>
      <c r="U31" s="188">
        <f t="shared" si="34"/>
        <v>0</v>
      </c>
      <c r="V31" s="188">
        <f t="shared" si="34"/>
        <v>0</v>
      </c>
      <c r="W31" s="188">
        <f t="shared" si="34"/>
        <v>0</v>
      </c>
      <c r="X31" s="188">
        <f t="shared" si="34"/>
        <v>0</v>
      </c>
      <c r="Y31" s="188">
        <f t="shared" si="34"/>
        <v>0</v>
      </c>
      <c r="Z31" s="188">
        <f t="shared" si="34"/>
        <v>0</v>
      </c>
      <c r="AA31" s="188">
        <f t="shared" si="34"/>
        <v>0</v>
      </c>
      <c r="AB31" s="188">
        <f t="shared" si="34"/>
        <v>0</v>
      </c>
      <c r="AC31" s="188">
        <f t="shared" si="34"/>
        <v>0</v>
      </c>
      <c r="AD31" s="188">
        <f t="shared" si="34"/>
        <v>0</v>
      </c>
      <c r="AE31" s="188">
        <f t="shared" si="34"/>
        <v>0</v>
      </c>
      <c r="AF31" s="188">
        <f t="shared" si="34"/>
        <v>0</v>
      </c>
      <c r="AG31" s="188">
        <f t="shared" si="34"/>
        <v>0</v>
      </c>
      <c r="AH31" s="188">
        <f t="shared" si="34"/>
        <v>0</v>
      </c>
      <c r="AI31" s="188">
        <f t="shared" si="34"/>
        <v>0</v>
      </c>
      <c r="AJ31" s="188">
        <f t="shared" si="34"/>
        <v>0</v>
      </c>
      <c r="AK31" s="188">
        <f t="shared" si="34"/>
        <v>0</v>
      </c>
      <c r="AL31" s="188">
        <f t="shared" si="34"/>
        <v>0</v>
      </c>
      <c r="AM31" s="188">
        <f t="shared" si="34"/>
        <v>0</v>
      </c>
      <c r="AN31" s="188">
        <f t="shared" si="34"/>
        <v>0</v>
      </c>
      <c r="AO31" s="188">
        <f t="shared" si="34"/>
        <v>0</v>
      </c>
      <c r="AP31" s="188">
        <f t="shared" si="34"/>
        <v>0</v>
      </c>
      <c r="AQ31" s="188">
        <f t="shared" si="34"/>
        <v>0</v>
      </c>
      <c r="AR31" s="188">
        <f t="shared" si="34"/>
        <v>0</v>
      </c>
      <c r="AS31" s="188">
        <f t="shared" si="34"/>
        <v>0</v>
      </c>
      <c r="AT31" s="188">
        <f t="shared" si="34"/>
        <v>0</v>
      </c>
      <c r="AU31" s="188">
        <f t="shared" si="34"/>
        <v>0</v>
      </c>
      <c r="AV31" s="188">
        <f t="shared" si="34"/>
        <v>0</v>
      </c>
      <c r="AW31" s="188">
        <f t="shared" si="34"/>
        <v>0</v>
      </c>
      <c r="AX31" s="188">
        <f t="shared" si="34"/>
        <v>0</v>
      </c>
      <c r="AY31" s="188">
        <f t="shared" si="34"/>
        <v>0</v>
      </c>
      <c r="AZ31" s="188">
        <f t="shared" si="34"/>
        <v>13750</v>
      </c>
      <c r="BA31" s="188">
        <f t="shared" si="34"/>
        <v>13750</v>
      </c>
      <c r="BB31" s="188">
        <f t="shared" si="34"/>
        <v>13750</v>
      </c>
      <c r="BC31" s="188">
        <f t="shared" si="34"/>
        <v>13750</v>
      </c>
      <c r="BD31" s="188">
        <f t="shared" si="34"/>
        <v>13750</v>
      </c>
      <c r="BE31" s="188">
        <f t="shared" si="34"/>
        <v>13750</v>
      </c>
      <c r="BF31" s="188">
        <f t="shared" si="34"/>
        <v>13750</v>
      </c>
      <c r="BG31" s="188">
        <f t="shared" si="34"/>
        <v>13750</v>
      </c>
      <c r="BH31" s="188">
        <f t="shared" si="34"/>
        <v>13750</v>
      </c>
      <c r="BI31" s="188">
        <f t="shared" si="34"/>
        <v>13750</v>
      </c>
    </row>
    <row r="32" spans="1:61" ht="12.75" x14ac:dyDescent="0.2">
      <c r="A32" s="189"/>
      <c r="B32" s="189" t="s">
        <v>186</v>
      </c>
      <c r="C32" s="15"/>
      <c r="D32" s="15"/>
      <c r="E32" s="206"/>
      <c r="F32" s="194"/>
      <c r="G32" s="194"/>
      <c r="H32" s="208"/>
      <c r="I32" s="206"/>
      <c r="J32" s="206"/>
      <c r="K32" s="188">
        <f t="shared" si="3"/>
        <v>0</v>
      </c>
      <c r="N32" s="188">
        <f t="shared" ref="N32:BI32" si="35">IF($F32=0,0, IF(AND(N$1&gt;=$G32,$G32&lt;&gt;0),0,IF(N$1&gt;=$F32,$E32/12,0)))</f>
        <v>0</v>
      </c>
      <c r="O32" s="188">
        <f t="shared" si="35"/>
        <v>0</v>
      </c>
      <c r="P32" s="188">
        <f t="shared" si="35"/>
        <v>0</v>
      </c>
      <c r="Q32" s="188">
        <f t="shared" si="35"/>
        <v>0</v>
      </c>
      <c r="R32" s="188">
        <f t="shared" si="35"/>
        <v>0</v>
      </c>
      <c r="S32" s="188">
        <f t="shared" si="35"/>
        <v>0</v>
      </c>
      <c r="T32" s="188">
        <f t="shared" si="35"/>
        <v>0</v>
      </c>
      <c r="U32" s="188">
        <f t="shared" si="35"/>
        <v>0</v>
      </c>
      <c r="V32" s="188">
        <f t="shared" si="35"/>
        <v>0</v>
      </c>
      <c r="W32" s="188">
        <f t="shared" si="35"/>
        <v>0</v>
      </c>
      <c r="X32" s="188">
        <f t="shared" si="35"/>
        <v>0</v>
      </c>
      <c r="Y32" s="188">
        <f t="shared" si="35"/>
        <v>0</v>
      </c>
      <c r="Z32" s="188">
        <f t="shared" si="35"/>
        <v>0</v>
      </c>
      <c r="AA32" s="188">
        <f t="shared" si="35"/>
        <v>0</v>
      </c>
      <c r="AB32" s="188">
        <f t="shared" si="35"/>
        <v>0</v>
      </c>
      <c r="AC32" s="188">
        <f t="shared" si="35"/>
        <v>0</v>
      </c>
      <c r="AD32" s="188">
        <f t="shared" si="35"/>
        <v>0</v>
      </c>
      <c r="AE32" s="188">
        <f t="shared" si="35"/>
        <v>0</v>
      </c>
      <c r="AF32" s="188">
        <f t="shared" si="35"/>
        <v>0</v>
      </c>
      <c r="AG32" s="188">
        <f t="shared" si="35"/>
        <v>0</v>
      </c>
      <c r="AH32" s="188">
        <f t="shared" si="35"/>
        <v>0</v>
      </c>
      <c r="AI32" s="188">
        <f t="shared" si="35"/>
        <v>0</v>
      </c>
      <c r="AJ32" s="188">
        <f t="shared" si="35"/>
        <v>0</v>
      </c>
      <c r="AK32" s="188">
        <f t="shared" si="35"/>
        <v>0</v>
      </c>
      <c r="AL32" s="188">
        <f t="shared" si="35"/>
        <v>0</v>
      </c>
      <c r="AM32" s="188">
        <f t="shared" si="35"/>
        <v>0</v>
      </c>
      <c r="AN32" s="188">
        <f t="shared" si="35"/>
        <v>0</v>
      </c>
      <c r="AO32" s="188">
        <f t="shared" si="35"/>
        <v>0</v>
      </c>
      <c r="AP32" s="188">
        <f t="shared" si="35"/>
        <v>0</v>
      </c>
      <c r="AQ32" s="188">
        <f t="shared" si="35"/>
        <v>0</v>
      </c>
      <c r="AR32" s="188">
        <f t="shared" si="35"/>
        <v>0</v>
      </c>
      <c r="AS32" s="188">
        <f t="shared" si="35"/>
        <v>0</v>
      </c>
      <c r="AT32" s="188">
        <f t="shared" si="35"/>
        <v>0</v>
      </c>
      <c r="AU32" s="188">
        <f t="shared" si="35"/>
        <v>0</v>
      </c>
      <c r="AV32" s="188">
        <f t="shared" si="35"/>
        <v>0</v>
      </c>
      <c r="AW32" s="188">
        <f t="shared" si="35"/>
        <v>0</v>
      </c>
      <c r="AX32" s="188">
        <f t="shared" si="35"/>
        <v>0</v>
      </c>
      <c r="AY32" s="188">
        <f t="shared" si="35"/>
        <v>0</v>
      </c>
      <c r="AZ32" s="188">
        <f t="shared" si="35"/>
        <v>0</v>
      </c>
      <c r="BA32" s="188">
        <f t="shared" si="35"/>
        <v>0</v>
      </c>
      <c r="BB32" s="188">
        <f t="shared" si="35"/>
        <v>0</v>
      </c>
      <c r="BC32" s="188">
        <f t="shared" si="35"/>
        <v>0</v>
      </c>
      <c r="BD32" s="188">
        <f t="shared" si="35"/>
        <v>0</v>
      </c>
      <c r="BE32" s="188">
        <f t="shared" si="35"/>
        <v>0</v>
      </c>
      <c r="BF32" s="188">
        <f t="shared" si="35"/>
        <v>0</v>
      </c>
      <c r="BG32" s="188">
        <f t="shared" si="35"/>
        <v>0</v>
      </c>
      <c r="BH32" s="188">
        <f t="shared" si="35"/>
        <v>0</v>
      </c>
      <c r="BI32" s="188">
        <f t="shared" si="35"/>
        <v>0</v>
      </c>
    </row>
    <row r="33" spans="1:61" ht="12.75" x14ac:dyDescent="0.2">
      <c r="A33" s="15"/>
      <c r="B33" s="15" t="s">
        <v>188</v>
      </c>
      <c r="C33" s="15" t="s">
        <v>189</v>
      </c>
      <c r="D33" s="15" t="str">
        <f t="shared" ref="D33:D38" si="36">$B$32</f>
        <v>Marketing</v>
      </c>
      <c r="E33" s="193">
        <v>210000</v>
      </c>
      <c r="F33" s="191">
        <v>43678</v>
      </c>
      <c r="G33" s="191"/>
      <c r="H33" s="192">
        <v>0.09</v>
      </c>
      <c r="I33" s="193">
        <f t="shared" ref="I33:I38" si="37">0.04*E33/12</f>
        <v>700</v>
      </c>
      <c r="J33" s="193">
        <v>500</v>
      </c>
      <c r="K33" s="188">
        <f t="shared" si="3"/>
        <v>1200</v>
      </c>
      <c r="N33" s="188">
        <f t="shared" ref="N33:BI33" si="38">IF($F33=0,0, IF(AND(N$1&gt;=$G33,$G33&lt;&gt;0),0,IF(N$1&gt;=$F33,$E33/12,0)))</f>
        <v>17500</v>
      </c>
      <c r="O33" s="188">
        <f t="shared" si="38"/>
        <v>17500</v>
      </c>
      <c r="P33" s="188">
        <f t="shared" si="38"/>
        <v>17500</v>
      </c>
      <c r="Q33" s="188">
        <f t="shared" si="38"/>
        <v>17500</v>
      </c>
      <c r="R33" s="188">
        <f t="shared" si="38"/>
        <v>17500</v>
      </c>
      <c r="S33" s="188">
        <f t="shared" si="38"/>
        <v>17500</v>
      </c>
      <c r="T33" s="188">
        <f t="shared" si="38"/>
        <v>17500</v>
      </c>
      <c r="U33" s="188">
        <f t="shared" si="38"/>
        <v>17500</v>
      </c>
      <c r="V33" s="188">
        <f t="shared" si="38"/>
        <v>17500</v>
      </c>
      <c r="W33" s="188">
        <f t="shared" si="38"/>
        <v>17500</v>
      </c>
      <c r="X33" s="188">
        <f t="shared" si="38"/>
        <v>17500</v>
      </c>
      <c r="Y33" s="188">
        <f t="shared" si="38"/>
        <v>17500</v>
      </c>
      <c r="Z33" s="188">
        <f t="shared" si="38"/>
        <v>17500</v>
      </c>
      <c r="AA33" s="188">
        <f t="shared" si="38"/>
        <v>17500</v>
      </c>
      <c r="AB33" s="188">
        <f t="shared" si="38"/>
        <v>17500</v>
      </c>
      <c r="AC33" s="188">
        <f t="shared" si="38"/>
        <v>17500</v>
      </c>
      <c r="AD33" s="188">
        <f t="shared" si="38"/>
        <v>17500</v>
      </c>
      <c r="AE33" s="188">
        <f t="shared" si="38"/>
        <v>17500</v>
      </c>
      <c r="AF33" s="188">
        <f t="shared" si="38"/>
        <v>17500</v>
      </c>
      <c r="AG33" s="188">
        <f t="shared" si="38"/>
        <v>17500</v>
      </c>
      <c r="AH33" s="188">
        <f t="shared" si="38"/>
        <v>17500</v>
      </c>
      <c r="AI33" s="188">
        <f t="shared" si="38"/>
        <v>17500</v>
      </c>
      <c r="AJ33" s="188">
        <f t="shared" si="38"/>
        <v>17500</v>
      </c>
      <c r="AK33" s="188">
        <f t="shared" si="38"/>
        <v>17500</v>
      </c>
      <c r="AL33" s="188">
        <f t="shared" si="38"/>
        <v>17500</v>
      </c>
      <c r="AM33" s="188">
        <f t="shared" si="38"/>
        <v>17500</v>
      </c>
      <c r="AN33" s="188">
        <f t="shared" si="38"/>
        <v>17500</v>
      </c>
      <c r="AO33" s="188">
        <f t="shared" si="38"/>
        <v>17500</v>
      </c>
      <c r="AP33" s="188">
        <f t="shared" si="38"/>
        <v>17500</v>
      </c>
      <c r="AQ33" s="188">
        <f t="shared" si="38"/>
        <v>17500</v>
      </c>
      <c r="AR33" s="188">
        <f t="shared" si="38"/>
        <v>17500</v>
      </c>
      <c r="AS33" s="188">
        <f t="shared" si="38"/>
        <v>17500</v>
      </c>
      <c r="AT33" s="188">
        <f t="shared" si="38"/>
        <v>17500</v>
      </c>
      <c r="AU33" s="188">
        <f t="shared" si="38"/>
        <v>17500</v>
      </c>
      <c r="AV33" s="188">
        <f t="shared" si="38"/>
        <v>17500</v>
      </c>
      <c r="AW33" s="188">
        <f t="shared" si="38"/>
        <v>17500</v>
      </c>
      <c r="AX33" s="188">
        <f t="shared" si="38"/>
        <v>17500</v>
      </c>
      <c r="AY33" s="188">
        <f t="shared" si="38"/>
        <v>17500</v>
      </c>
      <c r="AZ33" s="188">
        <f t="shared" si="38"/>
        <v>17500</v>
      </c>
      <c r="BA33" s="188">
        <f t="shared" si="38"/>
        <v>17500</v>
      </c>
      <c r="BB33" s="188">
        <f t="shared" si="38"/>
        <v>17500</v>
      </c>
      <c r="BC33" s="188">
        <f t="shared" si="38"/>
        <v>17500</v>
      </c>
      <c r="BD33" s="188">
        <f t="shared" si="38"/>
        <v>17500</v>
      </c>
      <c r="BE33" s="188">
        <f t="shared" si="38"/>
        <v>17500</v>
      </c>
      <c r="BF33" s="188">
        <f t="shared" si="38"/>
        <v>17500</v>
      </c>
      <c r="BG33" s="188">
        <f t="shared" si="38"/>
        <v>17500</v>
      </c>
      <c r="BH33" s="188">
        <f t="shared" si="38"/>
        <v>17500</v>
      </c>
      <c r="BI33" s="188">
        <f t="shared" si="38"/>
        <v>17500</v>
      </c>
    </row>
    <row r="34" spans="1:61" ht="12.75" x14ac:dyDescent="0.2">
      <c r="A34" s="15"/>
      <c r="B34" s="15" t="s">
        <v>190</v>
      </c>
      <c r="C34" s="6" t="s">
        <v>191</v>
      </c>
      <c r="D34" s="6" t="str">
        <f t="shared" si="36"/>
        <v>Marketing</v>
      </c>
      <c r="E34" s="205">
        <v>100000</v>
      </c>
      <c r="F34" s="191">
        <v>43466</v>
      </c>
      <c r="G34" s="191"/>
      <c r="H34" s="192">
        <v>0.09</v>
      </c>
      <c r="I34" s="193">
        <f t="shared" si="37"/>
        <v>333.33333333333331</v>
      </c>
      <c r="J34" s="205">
        <v>500</v>
      </c>
      <c r="K34" s="188">
        <f t="shared" si="3"/>
        <v>833.33333333333326</v>
      </c>
      <c r="N34" s="188">
        <f t="shared" ref="N34:BI34" si="39">IF($F34=0,0, IF(AND(N$1&gt;=$G34,$G34&lt;&gt;0),0,IF(N$1&gt;=$F34,$E34/12,0)))</f>
        <v>8333.3333333333339</v>
      </c>
      <c r="O34" s="188">
        <f t="shared" si="39"/>
        <v>8333.3333333333339</v>
      </c>
      <c r="P34" s="188">
        <f t="shared" si="39"/>
        <v>8333.3333333333339</v>
      </c>
      <c r="Q34" s="188">
        <f t="shared" si="39"/>
        <v>8333.3333333333339</v>
      </c>
      <c r="R34" s="188">
        <f t="shared" si="39"/>
        <v>8333.3333333333339</v>
      </c>
      <c r="S34" s="188">
        <f t="shared" si="39"/>
        <v>8333.3333333333339</v>
      </c>
      <c r="T34" s="188">
        <f t="shared" si="39"/>
        <v>8333.3333333333339</v>
      </c>
      <c r="U34" s="188">
        <f t="shared" si="39"/>
        <v>8333.3333333333339</v>
      </c>
      <c r="V34" s="188">
        <f t="shared" si="39"/>
        <v>8333.3333333333339</v>
      </c>
      <c r="W34" s="188">
        <f t="shared" si="39"/>
        <v>8333.3333333333339</v>
      </c>
      <c r="X34" s="188">
        <f t="shared" si="39"/>
        <v>8333.3333333333339</v>
      </c>
      <c r="Y34" s="188">
        <f t="shared" si="39"/>
        <v>8333.3333333333339</v>
      </c>
      <c r="Z34" s="188">
        <f t="shared" si="39"/>
        <v>8333.3333333333339</v>
      </c>
      <c r="AA34" s="188">
        <f t="shared" si="39"/>
        <v>8333.3333333333339</v>
      </c>
      <c r="AB34" s="188">
        <f t="shared" si="39"/>
        <v>8333.3333333333339</v>
      </c>
      <c r="AC34" s="188">
        <f t="shared" si="39"/>
        <v>8333.3333333333339</v>
      </c>
      <c r="AD34" s="188">
        <f t="shared" si="39"/>
        <v>8333.3333333333339</v>
      </c>
      <c r="AE34" s="188">
        <f t="shared" si="39"/>
        <v>8333.3333333333339</v>
      </c>
      <c r="AF34" s="188">
        <f t="shared" si="39"/>
        <v>8333.3333333333339</v>
      </c>
      <c r="AG34" s="188">
        <f t="shared" si="39"/>
        <v>8333.3333333333339</v>
      </c>
      <c r="AH34" s="188">
        <f t="shared" si="39"/>
        <v>8333.3333333333339</v>
      </c>
      <c r="AI34" s="188">
        <f t="shared" si="39"/>
        <v>8333.3333333333339</v>
      </c>
      <c r="AJ34" s="188">
        <f t="shared" si="39"/>
        <v>8333.3333333333339</v>
      </c>
      <c r="AK34" s="188">
        <f t="shared" si="39"/>
        <v>8333.3333333333339</v>
      </c>
      <c r="AL34" s="188">
        <f t="shared" si="39"/>
        <v>8333.3333333333339</v>
      </c>
      <c r="AM34" s="188">
        <f t="shared" si="39"/>
        <v>8333.3333333333339</v>
      </c>
      <c r="AN34" s="188">
        <f t="shared" si="39"/>
        <v>8333.3333333333339</v>
      </c>
      <c r="AO34" s="188">
        <f t="shared" si="39"/>
        <v>8333.3333333333339</v>
      </c>
      <c r="AP34" s="188">
        <f t="shared" si="39"/>
        <v>8333.3333333333339</v>
      </c>
      <c r="AQ34" s="188">
        <f t="shared" si="39"/>
        <v>8333.3333333333339</v>
      </c>
      <c r="AR34" s="188">
        <f t="shared" si="39"/>
        <v>8333.3333333333339</v>
      </c>
      <c r="AS34" s="188">
        <f t="shared" si="39"/>
        <v>8333.3333333333339</v>
      </c>
      <c r="AT34" s="188">
        <f t="shared" si="39"/>
        <v>8333.3333333333339</v>
      </c>
      <c r="AU34" s="188">
        <f t="shared" si="39"/>
        <v>8333.3333333333339</v>
      </c>
      <c r="AV34" s="188">
        <f t="shared" si="39"/>
        <v>8333.3333333333339</v>
      </c>
      <c r="AW34" s="188">
        <f t="shared" si="39"/>
        <v>8333.3333333333339</v>
      </c>
      <c r="AX34" s="188">
        <f t="shared" si="39"/>
        <v>8333.3333333333339</v>
      </c>
      <c r="AY34" s="188">
        <f t="shared" si="39"/>
        <v>8333.3333333333339</v>
      </c>
      <c r="AZ34" s="188">
        <f t="shared" si="39"/>
        <v>8333.3333333333339</v>
      </c>
      <c r="BA34" s="188">
        <f t="shared" si="39"/>
        <v>8333.3333333333339</v>
      </c>
      <c r="BB34" s="188">
        <f t="shared" si="39"/>
        <v>8333.3333333333339</v>
      </c>
      <c r="BC34" s="188">
        <f t="shared" si="39"/>
        <v>8333.3333333333339</v>
      </c>
      <c r="BD34" s="188">
        <f t="shared" si="39"/>
        <v>8333.3333333333339</v>
      </c>
      <c r="BE34" s="188">
        <f t="shared" si="39"/>
        <v>8333.3333333333339</v>
      </c>
      <c r="BF34" s="188">
        <f t="shared" si="39"/>
        <v>8333.3333333333339</v>
      </c>
      <c r="BG34" s="188">
        <f t="shared" si="39"/>
        <v>8333.3333333333339</v>
      </c>
      <c r="BH34" s="188">
        <f t="shared" si="39"/>
        <v>8333.3333333333339</v>
      </c>
      <c r="BI34" s="188">
        <f t="shared" si="39"/>
        <v>8333.3333333333339</v>
      </c>
    </row>
    <row r="35" spans="1:61" ht="12.75" x14ac:dyDescent="0.2">
      <c r="A35" s="207"/>
      <c r="B35" s="189"/>
      <c r="C35" s="15" t="s">
        <v>192</v>
      </c>
      <c r="D35" s="15" t="str">
        <f t="shared" si="36"/>
        <v>Marketing</v>
      </c>
      <c r="E35" s="193">
        <v>100000</v>
      </c>
      <c r="F35" s="199">
        <v>44105</v>
      </c>
      <c r="G35" s="191"/>
      <c r="H35" s="192">
        <v>0.09</v>
      </c>
      <c r="I35" s="193">
        <f t="shared" si="37"/>
        <v>333.33333333333331</v>
      </c>
      <c r="J35" s="193">
        <v>500</v>
      </c>
      <c r="K35" s="188">
        <f t="shared" si="3"/>
        <v>833.33333333333326</v>
      </c>
      <c r="N35" s="188">
        <f t="shared" ref="N35:BI35" si="40">IF($F35=0,0, IF(AND(N$1&gt;=$G35,$G35&lt;&gt;0),0,IF(N$1&gt;=$F35,$E35/12,0)))</f>
        <v>0</v>
      </c>
      <c r="O35" s="188">
        <f t="shared" si="40"/>
        <v>0</v>
      </c>
      <c r="P35" s="188">
        <f t="shared" si="40"/>
        <v>0</v>
      </c>
      <c r="Q35" s="188">
        <f t="shared" si="40"/>
        <v>0</v>
      </c>
      <c r="R35" s="188">
        <f t="shared" si="40"/>
        <v>0</v>
      </c>
      <c r="S35" s="188">
        <f t="shared" si="40"/>
        <v>8333.3333333333339</v>
      </c>
      <c r="T35" s="188">
        <f t="shared" si="40"/>
        <v>8333.3333333333339</v>
      </c>
      <c r="U35" s="188">
        <f t="shared" si="40"/>
        <v>8333.3333333333339</v>
      </c>
      <c r="V35" s="188">
        <f t="shared" si="40"/>
        <v>8333.3333333333339</v>
      </c>
      <c r="W35" s="188">
        <f t="shared" si="40"/>
        <v>8333.3333333333339</v>
      </c>
      <c r="X35" s="188">
        <f t="shared" si="40"/>
        <v>8333.3333333333339</v>
      </c>
      <c r="Y35" s="188">
        <f t="shared" si="40"/>
        <v>8333.3333333333339</v>
      </c>
      <c r="Z35" s="188">
        <f t="shared" si="40"/>
        <v>8333.3333333333339</v>
      </c>
      <c r="AA35" s="188">
        <f t="shared" si="40"/>
        <v>8333.3333333333339</v>
      </c>
      <c r="AB35" s="188">
        <f t="shared" si="40"/>
        <v>8333.3333333333339</v>
      </c>
      <c r="AC35" s="188">
        <f t="shared" si="40"/>
        <v>8333.3333333333339</v>
      </c>
      <c r="AD35" s="188">
        <f t="shared" si="40"/>
        <v>8333.3333333333339</v>
      </c>
      <c r="AE35" s="188">
        <f t="shared" si="40"/>
        <v>8333.3333333333339</v>
      </c>
      <c r="AF35" s="188">
        <f t="shared" si="40"/>
        <v>8333.3333333333339</v>
      </c>
      <c r="AG35" s="188">
        <f t="shared" si="40"/>
        <v>8333.3333333333339</v>
      </c>
      <c r="AH35" s="188">
        <f t="shared" si="40"/>
        <v>8333.3333333333339</v>
      </c>
      <c r="AI35" s="188">
        <f t="shared" si="40"/>
        <v>8333.3333333333339</v>
      </c>
      <c r="AJ35" s="188">
        <f t="shared" si="40"/>
        <v>8333.3333333333339</v>
      </c>
      <c r="AK35" s="188">
        <f t="shared" si="40"/>
        <v>8333.3333333333339</v>
      </c>
      <c r="AL35" s="188">
        <f t="shared" si="40"/>
        <v>8333.3333333333339</v>
      </c>
      <c r="AM35" s="188">
        <f t="shared" si="40"/>
        <v>8333.3333333333339</v>
      </c>
      <c r="AN35" s="188">
        <f t="shared" si="40"/>
        <v>8333.3333333333339</v>
      </c>
      <c r="AO35" s="188">
        <f t="shared" si="40"/>
        <v>8333.3333333333339</v>
      </c>
      <c r="AP35" s="188">
        <f t="shared" si="40"/>
        <v>8333.3333333333339</v>
      </c>
      <c r="AQ35" s="188">
        <f t="shared" si="40"/>
        <v>8333.3333333333339</v>
      </c>
      <c r="AR35" s="188">
        <f t="shared" si="40"/>
        <v>8333.3333333333339</v>
      </c>
      <c r="AS35" s="188">
        <f t="shared" si="40"/>
        <v>8333.3333333333339</v>
      </c>
      <c r="AT35" s="188">
        <f t="shared" si="40"/>
        <v>8333.3333333333339</v>
      </c>
      <c r="AU35" s="188">
        <f t="shared" si="40"/>
        <v>8333.3333333333339</v>
      </c>
      <c r="AV35" s="188">
        <f t="shared" si="40"/>
        <v>8333.3333333333339</v>
      </c>
      <c r="AW35" s="188">
        <f t="shared" si="40"/>
        <v>8333.3333333333339</v>
      </c>
      <c r="AX35" s="188">
        <f t="shared" si="40"/>
        <v>8333.3333333333339</v>
      </c>
      <c r="AY35" s="188">
        <f t="shared" si="40"/>
        <v>8333.3333333333339</v>
      </c>
      <c r="AZ35" s="188">
        <f t="shared" si="40"/>
        <v>8333.3333333333339</v>
      </c>
      <c r="BA35" s="188">
        <f t="shared" si="40"/>
        <v>8333.3333333333339</v>
      </c>
      <c r="BB35" s="188">
        <f t="shared" si="40"/>
        <v>8333.3333333333339</v>
      </c>
      <c r="BC35" s="188">
        <f t="shared" si="40"/>
        <v>8333.3333333333339</v>
      </c>
      <c r="BD35" s="188">
        <f t="shared" si="40"/>
        <v>8333.3333333333339</v>
      </c>
      <c r="BE35" s="188">
        <f t="shared" si="40"/>
        <v>8333.3333333333339</v>
      </c>
      <c r="BF35" s="188">
        <f t="shared" si="40"/>
        <v>8333.3333333333339</v>
      </c>
      <c r="BG35" s="188">
        <f t="shared" si="40"/>
        <v>8333.3333333333339</v>
      </c>
      <c r="BH35" s="188">
        <f t="shared" si="40"/>
        <v>8333.3333333333339</v>
      </c>
      <c r="BI35" s="188">
        <f t="shared" si="40"/>
        <v>8333.3333333333339</v>
      </c>
    </row>
    <row r="36" spans="1:61" ht="12.75" x14ac:dyDescent="0.2">
      <c r="A36" s="207"/>
      <c r="B36" s="189"/>
      <c r="C36" s="15" t="s">
        <v>193</v>
      </c>
      <c r="D36" s="15" t="str">
        <f t="shared" si="36"/>
        <v>Marketing</v>
      </c>
      <c r="E36" s="193">
        <v>100000</v>
      </c>
      <c r="F36" s="202">
        <f t="shared" ref="F36:F38" si="41">EDATE(F35,2)</f>
        <v>44166</v>
      </c>
      <c r="G36" s="191"/>
      <c r="H36" s="192">
        <v>0.09</v>
      </c>
      <c r="I36" s="193">
        <f t="shared" si="37"/>
        <v>333.33333333333331</v>
      </c>
      <c r="J36" s="193">
        <v>500</v>
      </c>
      <c r="K36" s="188">
        <f t="shared" si="3"/>
        <v>833.33333333333326</v>
      </c>
      <c r="N36" s="188">
        <f t="shared" ref="N36:BI36" si="42">IF($F36=0,0, IF(AND(N$1&gt;=$G36,$G36&lt;&gt;0),0,IF(N$1&gt;=$F36,$E36/12,0)))</f>
        <v>0</v>
      </c>
      <c r="O36" s="188">
        <f t="shared" si="42"/>
        <v>0</v>
      </c>
      <c r="P36" s="188">
        <f t="shared" si="42"/>
        <v>0</v>
      </c>
      <c r="Q36" s="188">
        <f t="shared" si="42"/>
        <v>0</v>
      </c>
      <c r="R36" s="188">
        <f t="shared" si="42"/>
        <v>0</v>
      </c>
      <c r="S36" s="188">
        <f t="shared" si="42"/>
        <v>0</v>
      </c>
      <c r="T36" s="188">
        <f t="shared" si="42"/>
        <v>0</v>
      </c>
      <c r="U36" s="188">
        <f t="shared" si="42"/>
        <v>8333.3333333333339</v>
      </c>
      <c r="V36" s="188">
        <f t="shared" si="42"/>
        <v>8333.3333333333339</v>
      </c>
      <c r="W36" s="188">
        <f t="shared" si="42"/>
        <v>8333.3333333333339</v>
      </c>
      <c r="X36" s="188">
        <f t="shared" si="42"/>
        <v>8333.3333333333339</v>
      </c>
      <c r="Y36" s="188">
        <f t="shared" si="42"/>
        <v>8333.3333333333339</v>
      </c>
      <c r="Z36" s="188">
        <f t="shared" si="42"/>
        <v>8333.3333333333339</v>
      </c>
      <c r="AA36" s="188">
        <f t="shared" si="42"/>
        <v>8333.3333333333339</v>
      </c>
      <c r="AB36" s="188">
        <f t="shared" si="42"/>
        <v>8333.3333333333339</v>
      </c>
      <c r="AC36" s="188">
        <f t="shared" si="42"/>
        <v>8333.3333333333339</v>
      </c>
      <c r="AD36" s="188">
        <f t="shared" si="42"/>
        <v>8333.3333333333339</v>
      </c>
      <c r="AE36" s="188">
        <f t="shared" si="42"/>
        <v>8333.3333333333339</v>
      </c>
      <c r="AF36" s="188">
        <f t="shared" si="42"/>
        <v>8333.3333333333339</v>
      </c>
      <c r="AG36" s="188">
        <f t="shared" si="42"/>
        <v>8333.3333333333339</v>
      </c>
      <c r="AH36" s="188">
        <f t="shared" si="42"/>
        <v>8333.3333333333339</v>
      </c>
      <c r="AI36" s="188">
        <f t="shared" si="42"/>
        <v>8333.3333333333339</v>
      </c>
      <c r="AJ36" s="188">
        <f t="shared" si="42"/>
        <v>8333.3333333333339</v>
      </c>
      <c r="AK36" s="188">
        <f t="shared" si="42"/>
        <v>8333.3333333333339</v>
      </c>
      <c r="AL36" s="188">
        <f t="shared" si="42"/>
        <v>8333.3333333333339</v>
      </c>
      <c r="AM36" s="188">
        <f t="shared" si="42"/>
        <v>8333.3333333333339</v>
      </c>
      <c r="AN36" s="188">
        <f t="shared" si="42"/>
        <v>8333.3333333333339</v>
      </c>
      <c r="AO36" s="188">
        <f t="shared" si="42"/>
        <v>8333.3333333333339</v>
      </c>
      <c r="AP36" s="188">
        <f t="shared" si="42"/>
        <v>8333.3333333333339</v>
      </c>
      <c r="AQ36" s="188">
        <f t="shared" si="42"/>
        <v>8333.3333333333339</v>
      </c>
      <c r="AR36" s="188">
        <f t="shared" si="42"/>
        <v>8333.3333333333339</v>
      </c>
      <c r="AS36" s="188">
        <f t="shared" si="42"/>
        <v>8333.3333333333339</v>
      </c>
      <c r="AT36" s="188">
        <f t="shared" si="42"/>
        <v>8333.3333333333339</v>
      </c>
      <c r="AU36" s="188">
        <f t="shared" si="42"/>
        <v>8333.3333333333339</v>
      </c>
      <c r="AV36" s="188">
        <f t="shared" si="42"/>
        <v>8333.3333333333339</v>
      </c>
      <c r="AW36" s="188">
        <f t="shared" si="42"/>
        <v>8333.3333333333339</v>
      </c>
      <c r="AX36" s="188">
        <f t="shared" si="42"/>
        <v>8333.3333333333339</v>
      </c>
      <c r="AY36" s="188">
        <f t="shared" si="42"/>
        <v>8333.3333333333339</v>
      </c>
      <c r="AZ36" s="188">
        <f t="shared" si="42"/>
        <v>8333.3333333333339</v>
      </c>
      <c r="BA36" s="188">
        <f t="shared" si="42"/>
        <v>8333.3333333333339</v>
      </c>
      <c r="BB36" s="188">
        <f t="shared" si="42"/>
        <v>8333.3333333333339</v>
      </c>
      <c r="BC36" s="188">
        <f t="shared" si="42"/>
        <v>8333.3333333333339</v>
      </c>
      <c r="BD36" s="188">
        <f t="shared" si="42"/>
        <v>8333.3333333333339</v>
      </c>
      <c r="BE36" s="188">
        <f t="shared" si="42"/>
        <v>8333.3333333333339</v>
      </c>
      <c r="BF36" s="188">
        <f t="shared" si="42"/>
        <v>8333.3333333333339</v>
      </c>
      <c r="BG36" s="188">
        <f t="shared" si="42"/>
        <v>8333.3333333333339</v>
      </c>
      <c r="BH36" s="188">
        <f t="shared" si="42"/>
        <v>8333.3333333333339</v>
      </c>
      <c r="BI36" s="188">
        <f t="shared" si="42"/>
        <v>8333.3333333333339</v>
      </c>
    </row>
    <row r="37" spans="1:61" ht="12.75" x14ac:dyDescent="0.2">
      <c r="A37" s="189"/>
      <c r="B37" s="189"/>
      <c r="C37" s="15" t="s">
        <v>194</v>
      </c>
      <c r="D37" s="15" t="str">
        <f t="shared" si="36"/>
        <v>Marketing</v>
      </c>
      <c r="E37" s="193">
        <v>100000</v>
      </c>
      <c r="F37" s="202">
        <f t="shared" si="41"/>
        <v>44228</v>
      </c>
      <c r="G37" s="191"/>
      <c r="H37" s="192">
        <v>0.09</v>
      </c>
      <c r="I37" s="193">
        <f t="shared" si="37"/>
        <v>333.33333333333331</v>
      </c>
      <c r="J37" s="193">
        <v>500</v>
      </c>
      <c r="K37" s="188">
        <f t="shared" si="3"/>
        <v>833.33333333333326</v>
      </c>
      <c r="N37" s="188">
        <f t="shared" ref="N37:BI37" si="43">IF($F37=0,0, IF(AND(N$1&gt;=$G37,$G37&lt;&gt;0),0,IF(N$1&gt;=$F37,$E37/12,0)))</f>
        <v>0</v>
      </c>
      <c r="O37" s="188">
        <f t="shared" si="43"/>
        <v>0</v>
      </c>
      <c r="P37" s="188">
        <f t="shared" si="43"/>
        <v>0</v>
      </c>
      <c r="Q37" s="188">
        <f t="shared" si="43"/>
        <v>0</v>
      </c>
      <c r="R37" s="188">
        <f t="shared" si="43"/>
        <v>0</v>
      </c>
      <c r="S37" s="188">
        <f t="shared" si="43"/>
        <v>0</v>
      </c>
      <c r="T37" s="188">
        <f t="shared" si="43"/>
        <v>0</v>
      </c>
      <c r="U37" s="188">
        <f t="shared" si="43"/>
        <v>0</v>
      </c>
      <c r="V37" s="188">
        <f t="shared" si="43"/>
        <v>0</v>
      </c>
      <c r="W37" s="188">
        <f t="shared" si="43"/>
        <v>8333.3333333333339</v>
      </c>
      <c r="X37" s="188">
        <f t="shared" si="43"/>
        <v>8333.3333333333339</v>
      </c>
      <c r="Y37" s="188">
        <f t="shared" si="43"/>
        <v>8333.3333333333339</v>
      </c>
      <c r="Z37" s="188">
        <f t="shared" si="43"/>
        <v>8333.3333333333339</v>
      </c>
      <c r="AA37" s="188">
        <f t="shared" si="43"/>
        <v>8333.3333333333339</v>
      </c>
      <c r="AB37" s="188">
        <f t="shared" si="43"/>
        <v>8333.3333333333339</v>
      </c>
      <c r="AC37" s="188">
        <f t="shared" si="43"/>
        <v>8333.3333333333339</v>
      </c>
      <c r="AD37" s="188">
        <f t="shared" si="43"/>
        <v>8333.3333333333339</v>
      </c>
      <c r="AE37" s="188">
        <f t="shared" si="43"/>
        <v>8333.3333333333339</v>
      </c>
      <c r="AF37" s="188">
        <f t="shared" si="43"/>
        <v>8333.3333333333339</v>
      </c>
      <c r="AG37" s="188">
        <f t="shared" si="43"/>
        <v>8333.3333333333339</v>
      </c>
      <c r="AH37" s="188">
        <f t="shared" si="43"/>
        <v>8333.3333333333339</v>
      </c>
      <c r="AI37" s="188">
        <f t="shared" si="43"/>
        <v>8333.3333333333339</v>
      </c>
      <c r="AJ37" s="188">
        <f t="shared" si="43"/>
        <v>8333.3333333333339</v>
      </c>
      <c r="AK37" s="188">
        <f t="shared" si="43"/>
        <v>8333.3333333333339</v>
      </c>
      <c r="AL37" s="188">
        <f t="shared" si="43"/>
        <v>8333.3333333333339</v>
      </c>
      <c r="AM37" s="188">
        <f t="shared" si="43"/>
        <v>8333.3333333333339</v>
      </c>
      <c r="AN37" s="188">
        <f t="shared" si="43"/>
        <v>8333.3333333333339</v>
      </c>
      <c r="AO37" s="188">
        <f t="shared" si="43"/>
        <v>8333.3333333333339</v>
      </c>
      <c r="AP37" s="188">
        <f t="shared" si="43"/>
        <v>8333.3333333333339</v>
      </c>
      <c r="AQ37" s="188">
        <f t="shared" si="43"/>
        <v>8333.3333333333339</v>
      </c>
      <c r="AR37" s="188">
        <f t="shared" si="43"/>
        <v>8333.3333333333339</v>
      </c>
      <c r="AS37" s="188">
        <f t="shared" si="43"/>
        <v>8333.3333333333339</v>
      </c>
      <c r="AT37" s="188">
        <f t="shared" si="43"/>
        <v>8333.3333333333339</v>
      </c>
      <c r="AU37" s="188">
        <f t="shared" si="43"/>
        <v>8333.3333333333339</v>
      </c>
      <c r="AV37" s="188">
        <f t="shared" si="43"/>
        <v>8333.3333333333339</v>
      </c>
      <c r="AW37" s="188">
        <f t="shared" si="43"/>
        <v>8333.3333333333339</v>
      </c>
      <c r="AX37" s="188">
        <f t="shared" si="43"/>
        <v>8333.3333333333339</v>
      </c>
      <c r="AY37" s="188">
        <f t="shared" si="43"/>
        <v>8333.3333333333339</v>
      </c>
      <c r="AZ37" s="188">
        <f t="shared" si="43"/>
        <v>8333.3333333333339</v>
      </c>
      <c r="BA37" s="188">
        <f t="shared" si="43"/>
        <v>8333.3333333333339</v>
      </c>
      <c r="BB37" s="188">
        <f t="shared" si="43"/>
        <v>8333.3333333333339</v>
      </c>
      <c r="BC37" s="188">
        <f t="shared" si="43"/>
        <v>8333.3333333333339</v>
      </c>
      <c r="BD37" s="188">
        <f t="shared" si="43"/>
        <v>8333.3333333333339</v>
      </c>
      <c r="BE37" s="188">
        <f t="shared" si="43"/>
        <v>8333.3333333333339</v>
      </c>
      <c r="BF37" s="188">
        <f t="shared" si="43"/>
        <v>8333.3333333333339</v>
      </c>
      <c r="BG37" s="188">
        <f t="shared" si="43"/>
        <v>8333.3333333333339</v>
      </c>
      <c r="BH37" s="188">
        <f t="shared" si="43"/>
        <v>8333.3333333333339</v>
      </c>
      <c r="BI37" s="188">
        <f t="shared" si="43"/>
        <v>8333.3333333333339</v>
      </c>
    </row>
    <row r="38" spans="1:61" ht="12.75" x14ac:dyDescent="0.2">
      <c r="A38" s="189"/>
      <c r="B38" s="189"/>
      <c r="C38" s="15" t="s">
        <v>195</v>
      </c>
      <c r="D38" s="15" t="str">
        <f t="shared" si="36"/>
        <v>Marketing</v>
      </c>
      <c r="E38" s="193">
        <v>100000</v>
      </c>
      <c r="F38" s="202">
        <f t="shared" si="41"/>
        <v>44287</v>
      </c>
      <c r="G38" s="191"/>
      <c r="H38" s="192">
        <v>0.09</v>
      </c>
      <c r="I38" s="193">
        <f t="shared" si="37"/>
        <v>333.33333333333331</v>
      </c>
      <c r="J38" s="193">
        <v>500</v>
      </c>
      <c r="K38" s="188">
        <f t="shared" si="3"/>
        <v>833.33333333333326</v>
      </c>
      <c r="N38" s="188">
        <f t="shared" ref="N38:BI38" si="44">IF($F38=0,0, IF(AND(N$1&gt;=$G38,$G38&lt;&gt;0),0,IF(N$1&gt;=$F38,$E38/12,0)))</f>
        <v>0</v>
      </c>
      <c r="O38" s="188">
        <f t="shared" si="44"/>
        <v>0</v>
      </c>
      <c r="P38" s="188">
        <f t="shared" si="44"/>
        <v>0</v>
      </c>
      <c r="Q38" s="188">
        <f t="shared" si="44"/>
        <v>0</v>
      </c>
      <c r="R38" s="188">
        <f t="shared" si="44"/>
        <v>0</v>
      </c>
      <c r="S38" s="188">
        <f t="shared" si="44"/>
        <v>0</v>
      </c>
      <c r="T38" s="188">
        <f t="shared" si="44"/>
        <v>0</v>
      </c>
      <c r="U38" s="188">
        <f t="shared" si="44"/>
        <v>0</v>
      </c>
      <c r="V38" s="188">
        <f t="shared" si="44"/>
        <v>0</v>
      </c>
      <c r="W38" s="188">
        <f t="shared" si="44"/>
        <v>0</v>
      </c>
      <c r="X38" s="188">
        <f t="shared" si="44"/>
        <v>0</v>
      </c>
      <c r="Y38" s="188">
        <f t="shared" si="44"/>
        <v>8333.3333333333339</v>
      </c>
      <c r="Z38" s="188">
        <f t="shared" si="44"/>
        <v>8333.3333333333339</v>
      </c>
      <c r="AA38" s="188">
        <f t="shared" si="44"/>
        <v>8333.3333333333339</v>
      </c>
      <c r="AB38" s="188">
        <f t="shared" si="44"/>
        <v>8333.3333333333339</v>
      </c>
      <c r="AC38" s="188">
        <f t="shared" si="44"/>
        <v>8333.3333333333339</v>
      </c>
      <c r="AD38" s="188">
        <f t="shared" si="44"/>
        <v>8333.3333333333339</v>
      </c>
      <c r="AE38" s="188">
        <f t="shared" si="44"/>
        <v>8333.3333333333339</v>
      </c>
      <c r="AF38" s="188">
        <f t="shared" si="44"/>
        <v>8333.3333333333339</v>
      </c>
      <c r="AG38" s="188">
        <f t="shared" si="44"/>
        <v>8333.3333333333339</v>
      </c>
      <c r="AH38" s="188">
        <f t="shared" si="44"/>
        <v>8333.3333333333339</v>
      </c>
      <c r="AI38" s="188">
        <f t="shared" si="44"/>
        <v>8333.3333333333339</v>
      </c>
      <c r="AJ38" s="188">
        <f t="shared" si="44"/>
        <v>8333.3333333333339</v>
      </c>
      <c r="AK38" s="188">
        <f t="shared" si="44"/>
        <v>8333.3333333333339</v>
      </c>
      <c r="AL38" s="188">
        <f t="shared" si="44"/>
        <v>8333.3333333333339</v>
      </c>
      <c r="AM38" s="188">
        <f t="shared" si="44"/>
        <v>8333.3333333333339</v>
      </c>
      <c r="AN38" s="188">
        <f t="shared" si="44"/>
        <v>8333.3333333333339</v>
      </c>
      <c r="AO38" s="188">
        <f t="shared" si="44"/>
        <v>8333.3333333333339</v>
      </c>
      <c r="AP38" s="188">
        <f t="shared" si="44"/>
        <v>8333.3333333333339</v>
      </c>
      <c r="AQ38" s="188">
        <f t="shared" si="44"/>
        <v>8333.3333333333339</v>
      </c>
      <c r="AR38" s="188">
        <f t="shared" si="44"/>
        <v>8333.3333333333339</v>
      </c>
      <c r="AS38" s="188">
        <f t="shared" si="44"/>
        <v>8333.3333333333339</v>
      </c>
      <c r="AT38" s="188">
        <f t="shared" si="44"/>
        <v>8333.3333333333339</v>
      </c>
      <c r="AU38" s="188">
        <f t="shared" si="44"/>
        <v>8333.3333333333339</v>
      </c>
      <c r="AV38" s="188">
        <f t="shared" si="44"/>
        <v>8333.3333333333339</v>
      </c>
      <c r="AW38" s="188">
        <f t="shared" si="44"/>
        <v>8333.3333333333339</v>
      </c>
      <c r="AX38" s="188">
        <f t="shared" si="44"/>
        <v>8333.3333333333339</v>
      </c>
      <c r="AY38" s="188">
        <f t="shared" si="44"/>
        <v>8333.3333333333339</v>
      </c>
      <c r="AZ38" s="188">
        <f t="shared" si="44"/>
        <v>8333.3333333333339</v>
      </c>
      <c r="BA38" s="188">
        <f t="shared" si="44"/>
        <v>8333.3333333333339</v>
      </c>
      <c r="BB38" s="188">
        <f t="shared" si="44"/>
        <v>8333.3333333333339</v>
      </c>
      <c r="BC38" s="188">
        <f t="shared" si="44"/>
        <v>8333.3333333333339</v>
      </c>
      <c r="BD38" s="188">
        <f t="shared" si="44"/>
        <v>8333.3333333333339</v>
      </c>
      <c r="BE38" s="188">
        <f t="shared" si="44"/>
        <v>8333.3333333333339</v>
      </c>
      <c r="BF38" s="188">
        <f t="shared" si="44"/>
        <v>8333.3333333333339</v>
      </c>
      <c r="BG38" s="188">
        <f t="shared" si="44"/>
        <v>8333.3333333333339</v>
      </c>
      <c r="BH38" s="188">
        <f t="shared" si="44"/>
        <v>8333.3333333333339</v>
      </c>
      <c r="BI38" s="188">
        <f t="shared" si="44"/>
        <v>8333.3333333333339</v>
      </c>
    </row>
    <row r="39" spans="1:61" ht="12.75" x14ac:dyDescent="0.2">
      <c r="A39" s="189"/>
      <c r="B39" s="189" t="s">
        <v>196</v>
      </c>
      <c r="C39" s="15"/>
      <c r="D39" s="15"/>
      <c r="E39" s="206"/>
      <c r="F39" s="194"/>
      <c r="G39" s="194"/>
      <c r="H39" s="208"/>
      <c r="I39" s="206"/>
      <c r="J39" s="206"/>
      <c r="K39" s="188">
        <f t="shared" si="3"/>
        <v>0</v>
      </c>
      <c r="N39" s="188">
        <f t="shared" ref="N39:BI39" si="45">IF($F39=0,0, IF(AND(N$1&gt;=$G39,$G39&lt;&gt;0),0,IF(N$1&gt;=$F39,$E39/12,0)))</f>
        <v>0</v>
      </c>
      <c r="O39" s="188">
        <f t="shared" si="45"/>
        <v>0</v>
      </c>
      <c r="P39" s="188">
        <f t="shared" si="45"/>
        <v>0</v>
      </c>
      <c r="Q39" s="188">
        <f t="shared" si="45"/>
        <v>0</v>
      </c>
      <c r="R39" s="188">
        <f t="shared" si="45"/>
        <v>0</v>
      </c>
      <c r="S39" s="188">
        <f t="shared" si="45"/>
        <v>0</v>
      </c>
      <c r="T39" s="188">
        <f t="shared" si="45"/>
        <v>0</v>
      </c>
      <c r="U39" s="188">
        <f t="shared" si="45"/>
        <v>0</v>
      </c>
      <c r="V39" s="188">
        <f t="shared" si="45"/>
        <v>0</v>
      </c>
      <c r="W39" s="188">
        <f t="shared" si="45"/>
        <v>0</v>
      </c>
      <c r="X39" s="188">
        <f t="shared" si="45"/>
        <v>0</v>
      </c>
      <c r="Y39" s="188">
        <f t="shared" si="45"/>
        <v>0</v>
      </c>
      <c r="Z39" s="188">
        <f t="shared" si="45"/>
        <v>0</v>
      </c>
      <c r="AA39" s="188">
        <f t="shared" si="45"/>
        <v>0</v>
      </c>
      <c r="AB39" s="188">
        <f t="shared" si="45"/>
        <v>0</v>
      </c>
      <c r="AC39" s="188">
        <f t="shared" si="45"/>
        <v>0</v>
      </c>
      <c r="AD39" s="188">
        <f t="shared" si="45"/>
        <v>0</v>
      </c>
      <c r="AE39" s="188">
        <f t="shared" si="45"/>
        <v>0</v>
      </c>
      <c r="AF39" s="188">
        <f t="shared" si="45"/>
        <v>0</v>
      </c>
      <c r="AG39" s="188">
        <f t="shared" si="45"/>
        <v>0</v>
      </c>
      <c r="AH39" s="188">
        <f t="shared" si="45"/>
        <v>0</v>
      </c>
      <c r="AI39" s="188">
        <f t="shared" si="45"/>
        <v>0</v>
      </c>
      <c r="AJ39" s="188">
        <f t="shared" si="45"/>
        <v>0</v>
      </c>
      <c r="AK39" s="188">
        <f t="shared" si="45"/>
        <v>0</v>
      </c>
      <c r="AL39" s="188">
        <f t="shared" si="45"/>
        <v>0</v>
      </c>
      <c r="AM39" s="188">
        <f t="shared" si="45"/>
        <v>0</v>
      </c>
      <c r="AN39" s="188">
        <f t="shared" si="45"/>
        <v>0</v>
      </c>
      <c r="AO39" s="188">
        <f t="shared" si="45"/>
        <v>0</v>
      </c>
      <c r="AP39" s="188">
        <f t="shared" si="45"/>
        <v>0</v>
      </c>
      <c r="AQ39" s="188">
        <f t="shared" si="45"/>
        <v>0</v>
      </c>
      <c r="AR39" s="188">
        <f t="shared" si="45"/>
        <v>0</v>
      </c>
      <c r="AS39" s="188">
        <f t="shared" si="45"/>
        <v>0</v>
      </c>
      <c r="AT39" s="188">
        <f t="shared" si="45"/>
        <v>0</v>
      </c>
      <c r="AU39" s="188">
        <f t="shared" si="45"/>
        <v>0</v>
      </c>
      <c r="AV39" s="188">
        <f t="shared" si="45"/>
        <v>0</v>
      </c>
      <c r="AW39" s="188">
        <f t="shared" si="45"/>
        <v>0</v>
      </c>
      <c r="AX39" s="188">
        <f t="shared" si="45"/>
        <v>0</v>
      </c>
      <c r="AY39" s="188">
        <f t="shared" si="45"/>
        <v>0</v>
      </c>
      <c r="AZ39" s="188">
        <f t="shared" si="45"/>
        <v>0</v>
      </c>
      <c r="BA39" s="188">
        <f t="shared" si="45"/>
        <v>0</v>
      </c>
      <c r="BB39" s="188">
        <f t="shared" si="45"/>
        <v>0</v>
      </c>
      <c r="BC39" s="188">
        <f t="shared" si="45"/>
        <v>0</v>
      </c>
      <c r="BD39" s="188">
        <f t="shared" si="45"/>
        <v>0</v>
      </c>
      <c r="BE39" s="188">
        <f t="shared" si="45"/>
        <v>0</v>
      </c>
      <c r="BF39" s="188">
        <f t="shared" si="45"/>
        <v>0</v>
      </c>
      <c r="BG39" s="188">
        <f t="shared" si="45"/>
        <v>0</v>
      </c>
      <c r="BH39" s="188">
        <f t="shared" si="45"/>
        <v>0</v>
      </c>
      <c r="BI39" s="188">
        <f t="shared" si="45"/>
        <v>0</v>
      </c>
    </row>
    <row r="40" spans="1:61" ht="12.75" x14ac:dyDescent="0.2">
      <c r="A40" s="15"/>
      <c r="B40" s="15" t="s">
        <v>197</v>
      </c>
      <c r="C40" s="15" t="s">
        <v>198</v>
      </c>
      <c r="D40" s="15" t="str">
        <f t="shared" ref="D40:D51" si="46">$B$39</f>
        <v>Sales</v>
      </c>
      <c r="E40" s="193">
        <v>250000</v>
      </c>
      <c r="F40" s="191">
        <v>43466</v>
      </c>
      <c r="G40" s="191"/>
      <c r="H40" s="192">
        <v>0.09</v>
      </c>
      <c r="I40" s="193">
        <f t="shared" ref="I40:I51" si="47">0.04*E40/12</f>
        <v>833.33333333333337</v>
      </c>
      <c r="J40" s="193">
        <v>500</v>
      </c>
      <c r="K40" s="188">
        <f t="shared" si="3"/>
        <v>1333.3333333333335</v>
      </c>
      <c r="N40" s="188">
        <f t="shared" ref="N40:BI40" si="48">IF($F40=0,0, IF(AND(N$1&gt;=$G40,$G40&lt;&gt;0),0,IF(N$1&gt;=$F40,$E40/12,0)))</f>
        <v>20833.333333333332</v>
      </c>
      <c r="O40" s="188">
        <f t="shared" si="48"/>
        <v>20833.333333333332</v>
      </c>
      <c r="P40" s="188">
        <f t="shared" si="48"/>
        <v>20833.333333333332</v>
      </c>
      <c r="Q40" s="188">
        <f t="shared" si="48"/>
        <v>20833.333333333332</v>
      </c>
      <c r="R40" s="188">
        <f t="shared" si="48"/>
        <v>20833.333333333332</v>
      </c>
      <c r="S40" s="188">
        <f t="shared" si="48"/>
        <v>20833.333333333332</v>
      </c>
      <c r="T40" s="188">
        <f t="shared" si="48"/>
        <v>20833.333333333332</v>
      </c>
      <c r="U40" s="188">
        <f t="shared" si="48"/>
        <v>20833.333333333332</v>
      </c>
      <c r="V40" s="188">
        <f t="shared" si="48"/>
        <v>20833.333333333332</v>
      </c>
      <c r="W40" s="188">
        <f t="shared" si="48"/>
        <v>20833.333333333332</v>
      </c>
      <c r="X40" s="188">
        <f t="shared" si="48"/>
        <v>20833.333333333332</v>
      </c>
      <c r="Y40" s="188">
        <f t="shared" si="48"/>
        <v>20833.333333333332</v>
      </c>
      <c r="Z40" s="188">
        <f t="shared" si="48"/>
        <v>20833.333333333332</v>
      </c>
      <c r="AA40" s="188">
        <f t="shared" si="48"/>
        <v>20833.333333333332</v>
      </c>
      <c r="AB40" s="188">
        <f t="shared" si="48"/>
        <v>20833.333333333332</v>
      </c>
      <c r="AC40" s="188">
        <f t="shared" si="48"/>
        <v>20833.333333333332</v>
      </c>
      <c r="AD40" s="188">
        <f t="shared" si="48"/>
        <v>20833.333333333332</v>
      </c>
      <c r="AE40" s="188">
        <f t="shared" si="48"/>
        <v>20833.333333333332</v>
      </c>
      <c r="AF40" s="188">
        <f t="shared" si="48"/>
        <v>20833.333333333332</v>
      </c>
      <c r="AG40" s="188">
        <f t="shared" si="48"/>
        <v>20833.333333333332</v>
      </c>
      <c r="AH40" s="188">
        <f t="shared" si="48"/>
        <v>20833.333333333332</v>
      </c>
      <c r="AI40" s="188">
        <f t="shared" si="48"/>
        <v>20833.333333333332</v>
      </c>
      <c r="AJ40" s="188">
        <f t="shared" si="48"/>
        <v>20833.333333333332</v>
      </c>
      <c r="AK40" s="188">
        <f t="shared" si="48"/>
        <v>20833.333333333332</v>
      </c>
      <c r="AL40" s="188">
        <f t="shared" si="48"/>
        <v>20833.333333333332</v>
      </c>
      <c r="AM40" s="188">
        <f t="shared" si="48"/>
        <v>20833.333333333332</v>
      </c>
      <c r="AN40" s="188">
        <f t="shared" si="48"/>
        <v>20833.333333333332</v>
      </c>
      <c r="AO40" s="188">
        <f t="shared" si="48"/>
        <v>20833.333333333332</v>
      </c>
      <c r="AP40" s="188">
        <f t="shared" si="48"/>
        <v>20833.333333333332</v>
      </c>
      <c r="AQ40" s="188">
        <f t="shared" si="48"/>
        <v>20833.333333333332</v>
      </c>
      <c r="AR40" s="188">
        <f t="shared" si="48"/>
        <v>20833.333333333332</v>
      </c>
      <c r="AS40" s="188">
        <f t="shared" si="48"/>
        <v>20833.333333333332</v>
      </c>
      <c r="AT40" s="188">
        <f t="shared" si="48"/>
        <v>20833.333333333332</v>
      </c>
      <c r="AU40" s="188">
        <f t="shared" si="48"/>
        <v>20833.333333333332</v>
      </c>
      <c r="AV40" s="188">
        <f t="shared" si="48"/>
        <v>20833.333333333332</v>
      </c>
      <c r="AW40" s="188">
        <f t="shared" si="48"/>
        <v>20833.333333333332</v>
      </c>
      <c r="AX40" s="188">
        <f t="shared" si="48"/>
        <v>20833.333333333332</v>
      </c>
      <c r="AY40" s="188">
        <f t="shared" si="48"/>
        <v>20833.333333333332</v>
      </c>
      <c r="AZ40" s="188">
        <f t="shared" si="48"/>
        <v>20833.333333333332</v>
      </c>
      <c r="BA40" s="188">
        <f t="shared" si="48"/>
        <v>20833.333333333332</v>
      </c>
      <c r="BB40" s="188">
        <f t="shared" si="48"/>
        <v>20833.333333333332</v>
      </c>
      <c r="BC40" s="188">
        <f t="shared" si="48"/>
        <v>20833.333333333332</v>
      </c>
      <c r="BD40" s="188">
        <f t="shared" si="48"/>
        <v>20833.333333333332</v>
      </c>
      <c r="BE40" s="188">
        <f t="shared" si="48"/>
        <v>20833.333333333332</v>
      </c>
      <c r="BF40" s="188">
        <f t="shared" si="48"/>
        <v>20833.333333333332</v>
      </c>
      <c r="BG40" s="188">
        <f t="shared" si="48"/>
        <v>20833.333333333332</v>
      </c>
      <c r="BH40" s="188">
        <f t="shared" si="48"/>
        <v>20833.333333333332</v>
      </c>
      <c r="BI40" s="188">
        <f t="shared" si="48"/>
        <v>20833.333333333332</v>
      </c>
    </row>
    <row r="41" spans="1:61" ht="12.75" x14ac:dyDescent="0.2">
      <c r="A41" s="15"/>
      <c r="B41" s="15" t="s">
        <v>168</v>
      </c>
      <c r="C41" s="15" t="s">
        <v>199</v>
      </c>
      <c r="D41" s="15" t="str">
        <f t="shared" si="46"/>
        <v>Sales</v>
      </c>
      <c r="E41" s="193">
        <v>80000</v>
      </c>
      <c r="F41" s="191">
        <v>43466</v>
      </c>
      <c r="G41" s="191"/>
      <c r="H41" s="192">
        <v>0.09</v>
      </c>
      <c r="I41" s="193">
        <f t="shared" si="47"/>
        <v>266.66666666666669</v>
      </c>
      <c r="J41" s="193">
        <v>500</v>
      </c>
      <c r="K41" s="188">
        <f t="shared" si="3"/>
        <v>766.66666666666674</v>
      </c>
      <c r="N41" s="188">
        <f t="shared" ref="N41:BI41" si="49">IF($F41=0,0, IF(AND(N$1&gt;=$G41,$G41&lt;&gt;0),0,IF(N$1&gt;=$F41,$E41/12,0)))</f>
        <v>6666.666666666667</v>
      </c>
      <c r="O41" s="188">
        <f t="shared" si="49"/>
        <v>6666.666666666667</v>
      </c>
      <c r="P41" s="188">
        <f t="shared" si="49"/>
        <v>6666.666666666667</v>
      </c>
      <c r="Q41" s="188">
        <f t="shared" si="49"/>
        <v>6666.666666666667</v>
      </c>
      <c r="R41" s="188">
        <f t="shared" si="49"/>
        <v>6666.666666666667</v>
      </c>
      <c r="S41" s="188">
        <f t="shared" si="49"/>
        <v>6666.666666666667</v>
      </c>
      <c r="T41" s="188">
        <f t="shared" si="49"/>
        <v>6666.666666666667</v>
      </c>
      <c r="U41" s="188">
        <f t="shared" si="49"/>
        <v>6666.666666666667</v>
      </c>
      <c r="V41" s="188">
        <f t="shared" si="49"/>
        <v>6666.666666666667</v>
      </c>
      <c r="W41" s="188">
        <f t="shared" si="49"/>
        <v>6666.666666666667</v>
      </c>
      <c r="X41" s="188">
        <f t="shared" si="49"/>
        <v>6666.666666666667</v>
      </c>
      <c r="Y41" s="188">
        <f t="shared" si="49"/>
        <v>6666.666666666667</v>
      </c>
      <c r="Z41" s="188">
        <f t="shared" si="49"/>
        <v>6666.666666666667</v>
      </c>
      <c r="AA41" s="188">
        <f t="shared" si="49"/>
        <v>6666.666666666667</v>
      </c>
      <c r="AB41" s="188">
        <f t="shared" si="49"/>
        <v>6666.666666666667</v>
      </c>
      <c r="AC41" s="188">
        <f t="shared" si="49"/>
        <v>6666.666666666667</v>
      </c>
      <c r="AD41" s="188">
        <f t="shared" si="49"/>
        <v>6666.666666666667</v>
      </c>
      <c r="AE41" s="188">
        <f t="shared" si="49"/>
        <v>6666.666666666667</v>
      </c>
      <c r="AF41" s="188">
        <f t="shared" si="49"/>
        <v>6666.666666666667</v>
      </c>
      <c r="AG41" s="188">
        <f t="shared" si="49"/>
        <v>6666.666666666667</v>
      </c>
      <c r="AH41" s="188">
        <f t="shared" si="49"/>
        <v>6666.666666666667</v>
      </c>
      <c r="AI41" s="188">
        <f t="shared" si="49"/>
        <v>6666.666666666667</v>
      </c>
      <c r="AJ41" s="188">
        <f t="shared" si="49"/>
        <v>6666.666666666667</v>
      </c>
      <c r="AK41" s="188">
        <f t="shared" si="49"/>
        <v>6666.666666666667</v>
      </c>
      <c r="AL41" s="188">
        <f t="shared" si="49"/>
        <v>6666.666666666667</v>
      </c>
      <c r="AM41" s="188">
        <f t="shared" si="49"/>
        <v>6666.666666666667</v>
      </c>
      <c r="AN41" s="188">
        <f t="shared" si="49"/>
        <v>6666.666666666667</v>
      </c>
      <c r="AO41" s="188">
        <f t="shared" si="49"/>
        <v>6666.666666666667</v>
      </c>
      <c r="AP41" s="188">
        <f t="shared" si="49"/>
        <v>6666.666666666667</v>
      </c>
      <c r="AQ41" s="188">
        <f t="shared" si="49"/>
        <v>6666.666666666667</v>
      </c>
      <c r="AR41" s="188">
        <f t="shared" si="49"/>
        <v>6666.666666666667</v>
      </c>
      <c r="AS41" s="188">
        <f t="shared" si="49"/>
        <v>6666.666666666667</v>
      </c>
      <c r="AT41" s="188">
        <f t="shared" si="49"/>
        <v>6666.666666666667</v>
      </c>
      <c r="AU41" s="188">
        <f t="shared" si="49"/>
        <v>6666.666666666667</v>
      </c>
      <c r="AV41" s="188">
        <f t="shared" si="49"/>
        <v>6666.666666666667</v>
      </c>
      <c r="AW41" s="188">
        <f t="shared" si="49"/>
        <v>6666.666666666667</v>
      </c>
      <c r="AX41" s="188">
        <f t="shared" si="49"/>
        <v>6666.666666666667</v>
      </c>
      <c r="AY41" s="188">
        <f t="shared" si="49"/>
        <v>6666.666666666667</v>
      </c>
      <c r="AZ41" s="188">
        <f t="shared" si="49"/>
        <v>6666.666666666667</v>
      </c>
      <c r="BA41" s="188">
        <f t="shared" si="49"/>
        <v>6666.666666666667</v>
      </c>
      <c r="BB41" s="188">
        <f t="shared" si="49"/>
        <v>6666.666666666667</v>
      </c>
      <c r="BC41" s="188">
        <f t="shared" si="49"/>
        <v>6666.666666666667</v>
      </c>
      <c r="BD41" s="188">
        <f t="shared" si="49"/>
        <v>6666.666666666667</v>
      </c>
      <c r="BE41" s="188">
        <f t="shared" si="49"/>
        <v>6666.666666666667</v>
      </c>
      <c r="BF41" s="188">
        <f t="shared" si="49"/>
        <v>6666.666666666667</v>
      </c>
      <c r="BG41" s="188">
        <f t="shared" si="49"/>
        <v>6666.666666666667</v>
      </c>
      <c r="BH41" s="188">
        <f t="shared" si="49"/>
        <v>6666.666666666667</v>
      </c>
      <c r="BI41" s="188">
        <f t="shared" si="49"/>
        <v>6666.666666666667</v>
      </c>
    </row>
    <row r="42" spans="1:61" ht="12.75" x14ac:dyDescent="0.2">
      <c r="A42" s="189"/>
      <c r="B42" s="15" t="s">
        <v>200</v>
      </c>
      <c r="C42" s="15" t="s">
        <v>201</v>
      </c>
      <c r="D42" s="15" t="str">
        <f t="shared" si="46"/>
        <v>Sales</v>
      </c>
      <c r="E42" s="193">
        <v>60000</v>
      </c>
      <c r="F42" s="191">
        <v>43466</v>
      </c>
      <c r="G42" s="191"/>
      <c r="H42" s="192">
        <v>0.09</v>
      </c>
      <c r="I42" s="193">
        <f t="shared" si="47"/>
        <v>200</v>
      </c>
      <c r="J42" s="193">
        <v>500</v>
      </c>
      <c r="K42" s="188">
        <f t="shared" si="3"/>
        <v>700</v>
      </c>
      <c r="N42" s="188">
        <f t="shared" ref="N42:BI42" si="50">IF($F42=0,0, IF(AND(N$1&gt;=$G42,$G42&lt;&gt;0),0,IF(N$1&gt;=$F42,$E42/12,0)))</f>
        <v>5000</v>
      </c>
      <c r="O42" s="188">
        <f t="shared" si="50"/>
        <v>5000</v>
      </c>
      <c r="P42" s="188">
        <f t="shared" si="50"/>
        <v>5000</v>
      </c>
      <c r="Q42" s="188">
        <f t="shared" si="50"/>
        <v>5000</v>
      </c>
      <c r="R42" s="188">
        <f t="shared" si="50"/>
        <v>5000</v>
      </c>
      <c r="S42" s="188">
        <f t="shared" si="50"/>
        <v>5000</v>
      </c>
      <c r="T42" s="188">
        <f t="shared" si="50"/>
        <v>5000</v>
      </c>
      <c r="U42" s="188">
        <f t="shared" si="50"/>
        <v>5000</v>
      </c>
      <c r="V42" s="188">
        <f t="shared" si="50"/>
        <v>5000</v>
      </c>
      <c r="W42" s="188">
        <f t="shared" si="50"/>
        <v>5000</v>
      </c>
      <c r="X42" s="188">
        <f t="shared" si="50"/>
        <v>5000</v>
      </c>
      <c r="Y42" s="188">
        <f t="shared" si="50"/>
        <v>5000</v>
      </c>
      <c r="Z42" s="188">
        <f t="shared" si="50"/>
        <v>5000</v>
      </c>
      <c r="AA42" s="188">
        <f t="shared" si="50"/>
        <v>5000</v>
      </c>
      <c r="AB42" s="188">
        <f t="shared" si="50"/>
        <v>5000</v>
      </c>
      <c r="AC42" s="188">
        <f t="shared" si="50"/>
        <v>5000</v>
      </c>
      <c r="AD42" s="188">
        <f t="shared" si="50"/>
        <v>5000</v>
      </c>
      <c r="AE42" s="188">
        <f t="shared" si="50"/>
        <v>5000</v>
      </c>
      <c r="AF42" s="188">
        <f t="shared" si="50"/>
        <v>5000</v>
      </c>
      <c r="AG42" s="188">
        <f t="shared" si="50"/>
        <v>5000</v>
      </c>
      <c r="AH42" s="188">
        <f t="shared" si="50"/>
        <v>5000</v>
      </c>
      <c r="AI42" s="188">
        <f t="shared" si="50"/>
        <v>5000</v>
      </c>
      <c r="AJ42" s="188">
        <f t="shared" si="50"/>
        <v>5000</v>
      </c>
      <c r="AK42" s="188">
        <f t="shared" si="50"/>
        <v>5000</v>
      </c>
      <c r="AL42" s="188">
        <f t="shared" si="50"/>
        <v>5000</v>
      </c>
      <c r="AM42" s="188">
        <f t="shared" si="50"/>
        <v>5000</v>
      </c>
      <c r="AN42" s="188">
        <f t="shared" si="50"/>
        <v>5000</v>
      </c>
      <c r="AO42" s="188">
        <f t="shared" si="50"/>
        <v>5000</v>
      </c>
      <c r="AP42" s="188">
        <f t="shared" si="50"/>
        <v>5000</v>
      </c>
      <c r="AQ42" s="188">
        <f t="shared" si="50"/>
        <v>5000</v>
      </c>
      <c r="AR42" s="188">
        <f t="shared" si="50"/>
        <v>5000</v>
      </c>
      <c r="AS42" s="188">
        <f t="shared" si="50"/>
        <v>5000</v>
      </c>
      <c r="AT42" s="188">
        <f t="shared" si="50"/>
        <v>5000</v>
      </c>
      <c r="AU42" s="188">
        <f t="shared" si="50"/>
        <v>5000</v>
      </c>
      <c r="AV42" s="188">
        <f t="shared" si="50"/>
        <v>5000</v>
      </c>
      <c r="AW42" s="188">
        <f t="shared" si="50"/>
        <v>5000</v>
      </c>
      <c r="AX42" s="188">
        <f t="shared" si="50"/>
        <v>5000</v>
      </c>
      <c r="AY42" s="188">
        <f t="shared" si="50"/>
        <v>5000</v>
      </c>
      <c r="AZ42" s="188">
        <f t="shared" si="50"/>
        <v>5000</v>
      </c>
      <c r="BA42" s="188">
        <f t="shared" si="50"/>
        <v>5000</v>
      </c>
      <c r="BB42" s="188">
        <f t="shared" si="50"/>
        <v>5000</v>
      </c>
      <c r="BC42" s="188">
        <f t="shared" si="50"/>
        <v>5000</v>
      </c>
      <c r="BD42" s="188">
        <f t="shared" si="50"/>
        <v>5000</v>
      </c>
      <c r="BE42" s="188">
        <f t="shared" si="50"/>
        <v>5000</v>
      </c>
      <c r="BF42" s="188">
        <f t="shared" si="50"/>
        <v>5000</v>
      </c>
      <c r="BG42" s="188">
        <f t="shared" si="50"/>
        <v>5000</v>
      </c>
      <c r="BH42" s="188">
        <f t="shared" si="50"/>
        <v>5000</v>
      </c>
      <c r="BI42" s="188">
        <f t="shared" si="50"/>
        <v>5000</v>
      </c>
    </row>
    <row r="43" spans="1:61" ht="12.75" x14ac:dyDescent="0.2">
      <c r="A43" s="189"/>
      <c r="B43" s="15" t="s">
        <v>202</v>
      </c>
      <c r="C43" s="15" t="s">
        <v>201</v>
      </c>
      <c r="D43" s="15" t="str">
        <f t="shared" si="46"/>
        <v>Sales</v>
      </c>
      <c r="E43" s="193">
        <v>60000</v>
      </c>
      <c r="F43" s="191">
        <v>43466</v>
      </c>
      <c r="G43" s="191"/>
      <c r="H43" s="192">
        <v>0.09</v>
      </c>
      <c r="I43" s="193">
        <f t="shared" si="47"/>
        <v>200</v>
      </c>
      <c r="J43" s="193">
        <v>500</v>
      </c>
      <c r="K43" s="188">
        <f t="shared" si="3"/>
        <v>700</v>
      </c>
      <c r="N43" s="188">
        <f t="shared" ref="N43:BI43" si="51">IF($F43=0,0, IF(AND(N$1&gt;=$G43,$G43&lt;&gt;0),0,IF(N$1&gt;=$F43,$E43/12,0)))</f>
        <v>5000</v>
      </c>
      <c r="O43" s="188">
        <f t="shared" si="51"/>
        <v>5000</v>
      </c>
      <c r="P43" s="188">
        <f t="shared" si="51"/>
        <v>5000</v>
      </c>
      <c r="Q43" s="188">
        <f t="shared" si="51"/>
        <v>5000</v>
      </c>
      <c r="R43" s="188">
        <f t="shared" si="51"/>
        <v>5000</v>
      </c>
      <c r="S43" s="188">
        <f t="shared" si="51"/>
        <v>5000</v>
      </c>
      <c r="T43" s="188">
        <f t="shared" si="51"/>
        <v>5000</v>
      </c>
      <c r="U43" s="188">
        <f t="shared" si="51"/>
        <v>5000</v>
      </c>
      <c r="V43" s="188">
        <f t="shared" si="51"/>
        <v>5000</v>
      </c>
      <c r="W43" s="188">
        <f t="shared" si="51"/>
        <v>5000</v>
      </c>
      <c r="X43" s="188">
        <f t="shared" si="51"/>
        <v>5000</v>
      </c>
      <c r="Y43" s="188">
        <f t="shared" si="51"/>
        <v>5000</v>
      </c>
      <c r="Z43" s="188">
        <f t="shared" si="51"/>
        <v>5000</v>
      </c>
      <c r="AA43" s="188">
        <f t="shared" si="51"/>
        <v>5000</v>
      </c>
      <c r="AB43" s="188">
        <f t="shared" si="51"/>
        <v>5000</v>
      </c>
      <c r="AC43" s="188">
        <f t="shared" si="51"/>
        <v>5000</v>
      </c>
      <c r="AD43" s="188">
        <f t="shared" si="51"/>
        <v>5000</v>
      </c>
      <c r="AE43" s="188">
        <f t="shared" si="51"/>
        <v>5000</v>
      </c>
      <c r="AF43" s="188">
        <f t="shared" si="51"/>
        <v>5000</v>
      </c>
      <c r="AG43" s="188">
        <f t="shared" si="51"/>
        <v>5000</v>
      </c>
      <c r="AH43" s="188">
        <f t="shared" si="51"/>
        <v>5000</v>
      </c>
      <c r="AI43" s="188">
        <f t="shared" si="51"/>
        <v>5000</v>
      </c>
      <c r="AJ43" s="188">
        <f t="shared" si="51"/>
        <v>5000</v>
      </c>
      <c r="AK43" s="188">
        <f t="shared" si="51"/>
        <v>5000</v>
      </c>
      <c r="AL43" s="188">
        <f t="shared" si="51"/>
        <v>5000</v>
      </c>
      <c r="AM43" s="188">
        <f t="shared" si="51"/>
        <v>5000</v>
      </c>
      <c r="AN43" s="188">
        <f t="shared" si="51"/>
        <v>5000</v>
      </c>
      <c r="AO43" s="188">
        <f t="shared" si="51"/>
        <v>5000</v>
      </c>
      <c r="AP43" s="188">
        <f t="shared" si="51"/>
        <v>5000</v>
      </c>
      <c r="AQ43" s="188">
        <f t="shared" si="51"/>
        <v>5000</v>
      </c>
      <c r="AR43" s="188">
        <f t="shared" si="51"/>
        <v>5000</v>
      </c>
      <c r="AS43" s="188">
        <f t="shared" si="51"/>
        <v>5000</v>
      </c>
      <c r="AT43" s="188">
        <f t="shared" si="51"/>
        <v>5000</v>
      </c>
      <c r="AU43" s="188">
        <f t="shared" si="51"/>
        <v>5000</v>
      </c>
      <c r="AV43" s="188">
        <f t="shared" si="51"/>
        <v>5000</v>
      </c>
      <c r="AW43" s="188">
        <f t="shared" si="51"/>
        <v>5000</v>
      </c>
      <c r="AX43" s="188">
        <f t="shared" si="51"/>
        <v>5000</v>
      </c>
      <c r="AY43" s="188">
        <f t="shared" si="51"/>
        <v>5000</v>
      </c>
      <c r="AZ43" s="188">
        <f t="shared" si="51"/>
        <v>5000</v>
      </c>
      <c r="BA43" s="188">
        <f t="shared" si="51"/>
        <v>5000</v>
      </c>
      <c r="BB43" s="188">
        <f t="shared" si="51"/>
        <v>5000</v>
      </c>
      <c r="BC43" s="188">
        <f t="shared" si="51"/>
        <v>5000</v>
      </c>
      <c r="BD43" s="188">
        <f t="shared" si="51"/>
        <v>5000</v>
      </c>
      <c r="BE43" s="188">
        <f t="shared" si="51"/>
        <v>5000</v>
      </c>
      <c r="BF43" s="188">
        <f t="shared" si="51"/>
        <v>5000</v>
      </c>
      <c r="BG43" s="188">
        <f t="shared" si="51"/>
        <v>5000</v>
      </c>
      <c r="BH43" s="188">
        <f t="shared" si="51"/>
        <v>5000</v>
      </c>
      <c r="BI43" s="188">
        <f t="shared" si="51"/>
        <v>5000</v>
      </c>
    </row>
    <row r="44" spans="1:61" ht="12.75" x14ac:dyDescent="0.2">
      <c r="A44" s="189"/>
      <c r="B44" s="189"/>
      <c r="C44" s="15" t="s">
        <v>203</v>
      </c>
      <c r="D44" s="15" t="str">
        <f t="shared" si="46"/>
        <v>Sales</v>
      </c>
      <c r="E44" s="193">
        <v>60000</v>
      </c>
      <c r="F44" s="199">
        <v>44105</v>
      </c>
      <c r="G44" s="191"/>
      <c r="H44" s="192">
        <v>0.09</v>
      </c>
      <c r="I44" s="193">
        <f t="shared" si="47"/>
        <v>200</v>
      </c>
      <c r="J44" s="193">
        <v>500</v>
      </c>
      <c r="K44" s="188">
        <f t="shared" si="3"/>
        <v>700</v>
      </c>
      <c r="N44" s="188">
        <f t="shared" ref="N44:BI44" si="52">IF($F44=0,0, IF(AND(N$1&gt;=$G44,$G44&lt;&gt;0),0,IF(N$1&gt;=$F44,$E44/12,0)))</f>
        <v>0</v>
      </c>
      <c r="O44" s="188">
        <f t="shared" si="52"/>
        <v>0</v>
      </c>
      <c r="P44" s="188">
        <f t="shared" si="52"/>
        <v>0</v>
      </c>
      <c r="Q44" s="188">
        <f t="shared" si="52"/>
        <v>0</v>
      </c>
      <c r="R44" s="188">
        <f t="shared" si="52"/>
        <v>0</v>
      </c>
      <c r="S44" s="188">
        <f t="shared" si="52"/>
        <v>5000</v>
      </c>
      <c r="T44" s="188">
        <f t="shared" si="52"/>
        <v>5000</v>
      </c>
      <c r="U44" s="188">
        <f t="shared" si="52"/>
        <v>5000</v>
      </c>
      <c r="V44" s="188">
        <f t="shared" si="52"/>
        <v>5000</v>
      </c>
      <c r="W44" s="188">
        <f t="shared" si="52"/>
        <v>5000</v>
      </c>
      <c r="X44" s="188">
        <f t="shared" si="52"/>
        <v>5000</v>
      </c>
      <c r="Y44" s="188">
        <f t="shared" si="52"/>
        <v>5000</v>
      </c>
      <c r="Z44" s="188">
        <f t="shared" si="52"/>
        <v>5000</v>
      </c>
      <c r="AA44" s="188">
        <f t="shared" si="52"/>
        <v>5000</v>
      </c>
      <c r="AB44" s="188">
        <f t="shared" si="52"/>
        <v>5000</v>
      </c>
      <c r="AC44" s="188">
        <f t="shared" si="52"/>
        <v>5000</v>
      </c>
      <c r="AD44" s="188">
        <f t="shared" si="52"/>
        <v>5000</v>
      </c>
      <c r="AE44" s="188">
        <f t="shared" si="52"/>
        <v>5000</v>
      </c>
      <c r="AF44" s="188">
        <f t="shared" si="52"/>
        <v>5000</v>
      </c>
      <c r="AG44" s="188">
        <f t="shared" si="52"/>
        <v>5000</v>
      </c>
      <c r="AH44" s="188">
        <f t="shared" si="52"/>
        <v>5000</v>
      </c>
      <c r="AI44" s="188">
        <f t="shared" si="52"/>
        <v>5000</v>
      </c>
      <c r="AJ44" s="188">
        <f t="shared" si="52"/>
        <v>5000</v>
      </c>
      <c r="AK44" s="188">
        <f t="shared" si="52"/>
        <v>5000</v>
      </c>
      <c r="AL44" s="188">
        <f t="shared" si="52"/>
        <v>5000</v>
      </c>
      <c r="AM44" s="188">
        <f t="shared" si="52"/>
        <v>5000</v>
      </c>
      <c r="AN44" s="188">
        <f t="shared" si="52"/>
        <v>5000</v>
      </c>
      <c r="AO44" s="188">
        <f t="shared" si="52"/>
        <v>5000</v>
      </c>
      <c r="AP44" s="188">
        <f t="shared" si="52"/>
        <v>5000</v>
      </c>
      <c r="AQ44" s="188">
        <f t="shared" si="52"/>
        <v>5000</v>
      </c>
      <c r="AR44" s="188">
        <f t="shared" si="52"/>
        <v>5000</v>
      </c>
      <c r="AS44" s="188">
        <f t="shared" si="52"/>
        <v>5000</v>
      </c>
      <c r="AT44" s="188">
        <f t="shared" si="52"/>
        <v>5000</v>
      </c>
      <c r="AU44" s="188">
        <f t="shared" si="52"/>
        <v>5000</v>
      </c>
      <c r="AV44" s="188">
        <f t="shared" si="52"/>
        <v>5000</v>
      </c>
      <c r="AW44" s="188">
        <f t="shared" si="52"/>
        <v>5000</v>
      </c>
      <c r="AX44" s="188">
        <f t="shared" si="52"/>
        <v>5000</v>
      </c>
      <c r="AY44" s="188">
        <f t="shared" si="52"/>
        <v>5000</v>
      </c>
      <c r="AZ44" s="188">
        <f t="shared" si="52"/>
        <v>5000</v>
      </c>
      <c r="BA44" s="188">
        <f t="shared" si="52"/>
        <v>5000</v>
      </c>
      <c r="BB44" s="188">
        <f t="shared" si="52"/>
        <v>5000</v>
      </c>
      <c r="BC44" s="188">
        <f t="shared" si="52"/>
        <v>5000</v>
      </c>
      <c r="BD44" s="188">
        <f t="shared" si="52"/>
        <v>5000</v>
      </c>
      <c r="BE44" s="188">
        <f t="shared" si="52"/>
        <v>5000</v>
      </c>
      <c r="BF44" s="188">
        <f t="shared" si="52"/>
        <v>5000</v>
      </c>
      <c r="BG44" s="188">
        <f t="shared" si="52"/>
        <v>5000</v>
      </c>
      <c r="BH44" s="188">
        <f t="shared" si="52"/>
        <v>5000</v>
      </c>
      <c r="BI44" s="188">
        <f t="shared" si="52"/>
        <v>5000</v>
      </c>
    </row>
    <row r="45" spans="1:61" ht="12.75" x14ac:dyDescent="0.2">
      <c r="A45" s="189"/>
      <c r="B45" s="189"/>
      <c r="C45" s="15" t="s">
        <v>204</v>
      </c>
      <c r="D45" s="15" t="str">
        <f t="shared" si="46"/>
        <v>Sales</v>
      </c>
      <c r="E45" s="193">
        <v>60000</v>
      </c>
      <c r="F45" s="202">
        <f t="shared" ref="F45:F47" si="53">EDATE(F44,2)</f>
        <v>44166</v>
      </c>
      <c r="G45" s="191"/>
      <c r="H45" s="192">
        <v>0.09</v>
      </c>
      <c r="I45" s="193">
        <f t="shared" si="47"/>
        <v>200</v>
      </c>
      <c r="J45" s="193">
        <v>500</v>
      </c>
      <c r="K45" s="188">
        <f t="shared" si="3"/>
        <v>700</v>
      </c>
      <c r="N45" s="188">
        <f t="shared" ref="N45:BI45" si="54">IF($F45=0,0, IF(AND(N$1&gt;=$G45,$G45&lt;&gt;0),0,IF(N$1&gt;=$F45,$E45/12,0)))</f>
        <v>0</v>
      </c>
      <c r="O45" s="188">
        <f t="shared" si="54"/>
        <v>0</v>
      </c>
      <c r="P45" s="188">
        <f t="shared" si="54"/>
        <v>0</v>
      </c>
      <c r="Q45" s="188">
        <f t="shared" si="54"/>
        <v>0</v>
      </c>
      <c r="R45" s="188">
        <f t="shared" si="54"/>
        <v>0</v>
      </c>
      <c r="S45" s="188">
        <f t="shared" si="54"/>
        <v>0</v>
      </c>
      <c r="T45" s="188">
        <f t="shared" si="54"/>
        <v>0</v>
      </c>
      <c r="U45" s="188">
        <f t="shared" si="54"/>
        <v>5000</v>
      </c>
      <c r="V45" s="188">
        <f t="shared" si="54"/>
        <v>5000</v>
      </c>
      <c r="W45" s="188">
        <f t="shared" si="54"/>
        <v>5000</v>
      </c>
      <c r="X45" s="188">
        <f t="shared" si="54"/>
        <v>5000</v>
      </c>
      <c r="Y45" s="188">
        <f t="shared" si="54"/>
        <v>5000</v>
      </c>
      <c r="Z45" s="188">
        <f t="shared" si="54"/>
        <v>5000</v>
      </c>
      <c r="AA45" s="188">
        <f t="shared" si="54"/>
        <v>5000</v>
      </c>
      <c r="AB45" s="188">
        <f t="shared" si="54"/>
        <v>5000</v>
      </c>
      <c r="AC45" s="188">
        <f t="shared" si="54"/>
        <v>5000</v>
      </c>
      <c r="AD45" s="188">
        <f t="shared" si="54"/>
        <v>5000</v>
      </c>
      <c r="AE45" s="188">
        <f t="shared" si="54"/>
        <v>5000</v>
      </c>
      <c r="AF45" s="188">
        <f t="shared" si="54"/>
        <v>5000</v>
      </c>
      <c r="AG45" s="188">
        <f t="shared" si="54"/>
        <v>5000</v>
      </c>
      <c r="AH45" s="188">
        <f t="shared" si="54"/>
        <v>5000</v>
      </c>
      <c r="AI45" s="188">
        <f t="shared" si="54"/>
        <v>5000</v>
      </c>
      <c r="AJ45" s="188">
        <f t="shared" si="54"/>
        <v>5000</v>
      </c>
      <c r="AK45" s="188">
        <f t="shared" si="54"/>
        <v>5000</v>
      </c>
      <c r="AL45" s="188">
        <f t="shared" si="54"/>
        <v>5000</v>
      </c>
      <c r="AM45" s="188">
        <f t="shared" si="54"/>
        <v>5000</v>
      </c>
      <c r="AN45" s="188">
        <f t="shared" si="54"/>
        <v>5000</v>
      </c>
      <c r="AO45" s="188">
        <f t="shared" si="54"/>
        <v>5000</v>
      </c>
      <c r="AP45" s="188">
        <f t="shared" si="54"/>
        <v>5000</v>
      </c>
      <c r="AQ45" s="188">
        <f t="shared" si="54"/>
        <v>5000</v>
      </c>
      <c r="AR45" s="188">
        <f t="shared" si="54"/>
        <v>5000</v>
      </c>
      <c r="AS45" s="188">
        <f t="shared" si="54"/>
        <v>5000</v>
      </c>
      <c r="AT45" s="188">
        <f t="shared" si="54"/>
        <v>5000</v>
      </c>
      <c r="AU45" s="188">
        <f t="shared" si="54"/>
        <v>5000</v>
      </c>
      <c r="AV45" s="188">
        <f t="shared" si="54"/>
        <v>5000</v>
      </c>
      <c r="AW45" s="188">
        <f t="shared" si="54"/>
        <v>5000</v>
      </c>
      <c r="AX45" s="188">
        <f t="shared" si="54"/>
        <v>5000</v>
      </c>
      <c r="AY45" s="188">
        <f t="shared" si="54"/>
        <v>5000</v>
      </c>
      <c r="AZ45" s="188">
        <f t="shared" si="54"/>
        <v>5000</v>
      </c>
      <c r="BA45" s="188">
        <f t="shared" si="54"/>
        <v>5000</v>
      </c>
      <c r="BB45" s="188">
        <f t="shared" si="54"/>
        <v>5000</v>
      </c>
      <c r="BC45" s="188">
        <f t="shared" si="54"/>
        <v>5000</v>
      </c>
      <c r="BD45" s="188">
        <f t="shared" si="54"/>
        <v>5000</v>
      </c>
      <c r="BE45" s="188">
        <f t="shared" si="54"/>
        <v>5000</v>
      </c>
      <c r="BF45" s="188">
        <f t="shared" si="54"/>
        <v>5000</v>
      </c>
      <c r="BG45" s="188">
        <f t="shared" si="54"/>
        <v>5000</v>
      </c>
      <c r="BH45" s="188">
        <f t="shared" si="54"/>
        <v>5000</v>
      </c>
      <c r="BI45" s="188">
        <f t="shared" si="54"/>
        <v>5000</v>
      </c>
    </row>
    <row r="46" spans="1:61" ht="12.75" x14ac:dyDescent="0.2">
      <c r="A46" s="189"/>
      <c r="B46" s="189"/>
      <c r="C46" s="15" t="s">
        <v>205</v>
      </c>
      <c r="D46" s="15" t="str">
        <f t="shared" si="46"/>
        <v>Sales</v>
      </c>
      <c r="E46" s="193">
        <v>60000</v>
      </c>
      <c r="F46" s="202">
        <f t="shared" si="53"/>
        <v>44228</v>
      </c>
      <c r="G46" s="191"/>
      <c r="H46" s="192">
        <v>0.09</v>
      </c>
      <c r="I46" s="193">
        <f t="shared" si="47"/>
        <v>200</v>
      </c>
      <c r="J46" s="193">
        <v>500</v>
      </c>
      <c r="K46" s="188">
        <f t="shared" si="3"/>
        <v>700</v>
      </c>
      <c r="N46" s="188">
        <f t="shared" ref="N46:BI46" si="55">IF($F46=0,0, IF(AND(N$1&gt;=$G46,$G46&lt;&gt;0),0,IF(N$1&gt;=$F46,$E46/12,0)))</f>
        <v>0</v>
      </c>
      <c r="O46" s="188">
        <f t="shared" si="55"/>
        <v>0</v>
      </c>
      <c r="P46" s="188">
        <f t="shared" si="55"/>
        <v>0</v>
      </c>
      <c r="Q46" s="188">
        <f t="shared" si="55"/>
        <v>0</v>
      </c>
      <c r="R46" s="188">
        <f t="shared" si="55"/>
        <v>0</v>
      </c>
      <c r="S46" s="188">
        <f t="shared" si="55"/>
        <v>0</v>
      </c>
      <c r="T46" s="188">
        <f t="shared" si="55"/>
        <v>0</v>
      </c>
      <c r="U46" s="188">
        <f t="shared" si="55"/>
        <v>0</v>
      </c>
      <c r="V46" s="188">
        <f t="shared" si="55"/>
        <v>0</v>
      </c>
      <c r="W46" s="188">
        <f t="shared" si="55"/>
        <v>5000</v>
      </c>
      <c r="X46" s="188">
        <f t="shared" si="55"/>
        <v>5000</v>
      </c>
      <c r="Y46" s="188">
        <f t="shared" si="55"/>
        <v>5000</v>
      </c>
      <c r="Z46" s="188">
        <f t="shared" si="55"/>
        <v>5000</v>
      </c>
      <c r="AA46" s="188">
        <f t="shared" si="55"/>
        <v>5000</v>
      </c>
      <c r="AB46" s="188">
        <f t="shared" si="55"/>
        <v>5000</v>
      </c>
      <c r="AC46" s="188">
        <f t="shared" si="55"/>
        <v>5000</v>
      </c>
      <c r="AD46" s="188">
        <f t="shared" si="55"/>
        <v>5000</v>
      </c>
      <c r="AE46" s="188">
        <f t="shared" si="55"/>
        <v>5000</v>
      </c>
      <c r="AF46" s="188">
        <f t="shared" si="55"/>
        <v>5000</v>
      </c>
      <c r="AG46" s="188">
        <f t="shared" si="55"/>
        <v>5000</v>
      </c>
      <c r="AH46" s="188">
        <f t="shared" si="55"/>
        <v>5000</v>
      </c>
      <c r="AI46" s="188">
        <f t="shared" si="55"/>
        <v>5000</v>
      </c>
      <c r="AJ46" s="188">
        <f t="shared" si="55"/>
        <v>5000</v>
      </c>
      <c r="AK46" s="188">
        <f t="shared" si="55"/>
        <v>5000</v>
      </c>
      <c r="AL46" s="188">
        <f t="shared" si="55"/>
        <v>5000</v>
      </c>
      <c r="AM46" s="188">
        <f t="shared" si="55"/>
        <v>5000</v>
      </c>
      <c r="AN46" s="188">
        <f t="shared" si="55"/>
        <v>5000</v>
      </c>
      <c r="AO46" s="188">
        <f t="shared" si="55"/>
        <v>5000</v>
      </c>
      <c r="AP46" s="188">
        <f t="shared" si="55"/>
        <v>5000</v>
      </c>
      <c r="AQ46" s="188">
        <f t="shared" si="55"/>
        <v>5000</v>
      </c>
      <c r="AR46" s="188">
        <f t="shared" si="55"/>
        <v>5000</v>
      </c>
      <c r="AS46" s="188">
        <f t="shared" si="55"/>
        <v>5000</v>
      </c>
      <c r="AT46" s="188">
        <f t="shared" si="55"/>
        <v>5000</v>
      </c>
      <c r="AU46" s="188">
        <f t="shared" si="55"/>
        <v>5000</v>
      </c>
      <c r="AV46" s="188">
        <f t="shared" si="55"/>
        <v>5000</v>
      </c>
      <c r="AW46" s="188">
        <f t="shared" si="55"/>
        <v>5000</v>
      </c>
      <c r="AX46" s="188">
        <f t="shared" si="55"/>
        <v>5000</v>
      </c>
      <c r="AY46" s="188">
        <f t="shared" si="55"/>
        <v>5000</v>
      </c>
      <c r="AZ46" s="188">
        <f t="shared" si="55"/>
        <v>5000</v>
      </c>
      <c r="BA46" s="188">
        <f t="shared" si="55"/>
        <v>5000</v>
      </c>
      <c r="BB46" s="188">
        <f t="shared" si="55"/>
        <v>5000</v>
      </c>
      <c r="BC46" s="188">
        <f t="shared" si="55"/>
        <v>5000</v>
      </c>
      <c r="BD46" s="188">
        <f t="shared" si="55"/>
        <v>5000</v>
      </c>
      <c r="BE46" s="188">
        <f t="shared" si="55"/>
        <v>5000</v>
      </c>
      <c r="BF46" s="188">
        <f t="shared" si="55"/>
        <v>5000</v>
      </c>
      <c r="BG46" s="188">
        <f t="shared" si="55"/>
        <v>5000</v>
      </c>
      <c r="BH46" s="188">
        <f t="shared" si="55"/>
        <v>5000</v>
      </c>
      <c r="BI46" s="188">
        <f t="shared" si="55"/>
        <v>5000</v>
      </c>
    </row>
    <row r="47" spans="1:61" ht="12.75" x14ac:dyDescent="0.2">
      <c r="A47" s="189"/>
      <c r="B47" s="189"/>
      <c r="C47" s="6" t="s">
        <v>206</v>
      </c>
      <c r="D47" s="6" t="str">
        <f t="shared" si="46"/>
        <v>Sales</v>
      </c>
      <c r="E47" s="205">
        <v>60000</v>
      </c>
      <c r="F47" s="202">
        <f t="shared" si="53"/>
        <v>44287</v>
      </c>
      <c r="G47" s="191"/>
      <c r="H47" s="192">
        <v>0.09</v>
      </c>
      <c r="I47" s="193">
        <f t="shared" ref="I47" si="56">0.04*E47/12</f>
        <v>200</v>
      </c>
      <c r="J47" s="205">
        <v>500</v>
      </c>
      <c r="K47" s="188">
        <f t="shared" si="3"/>
        <v>700</v>
      </c>
      <c r="N47" s="188">
        <f t="shared" ref="N47:BI47" si="57">IF($F47=0,0, IF(AND(N$1&gt;=$G47,$G47&lt;&gt;0),0,IF(N$1&gt;=$F47,$E47/12,0)))</f>
        <v>0</v>
      </c>
      <c r="O47" s="188">
        <f t="shared" si="57"/>
        <v>0</v>
      </c>
      <c r="P47" s="188">
        <f t="shared" si="57"/>
        <v>0</v>
      </c>
      <c r="Q47" s="188">
        <f t="shared" si="57"/>
        <v>0</v>
      </c>
      <c r="R47" s="188">
        <f t="shared" si="57"/>
        <v>0</v>
      </c>
      <c r="S47" s="188">
        <f t="shared" si="57"/>
        <v>0</v>
      </c>
      <c r="T47" s="188">
        <f t="shared" si="57"/>
        <v>0</v>
      </c>
      <c r="U47" s="188">
        <f t="shared" si="57"/>
        <v>0</v>
      </c>
      <c r="V47" s="188">
        <f t="shared" si="57"/>
        <v>0</v>
      </c>
      <c r="W47" s="188">
        <f t="shared" si="57"/>
        <v>0</v>
      </c>
      <c r="X47" s="188">
        <f t="shared" si="57"/>
        <v>0</v>
      </c>
      <c r="Y47" s="188">
        <f t="shared" si="57"/>
        <v>5000</v>
      </c>
      <c r="Z47" s="188">
        <f t="shared" si="57"/>
        <v>5000</v>
      </c>
      <c r="AA47" s="188">
        <f t="shared" si="57"/>
        <v>5000</v>
      </c>
      <c r="AB47" s="188">
        <f t="shared" si="57"/>
        <v>5000</v>
      </c>
      <c r="AC47" s="188">
        <f t="shared" si="57"/>
        <v>5000</v>
      </c>
      <c r="AD47" s="188">
        <f t="shared" si="57"/>
        <v>5000</v>
      </c>
      <c r="AE47" s="188">
        <f t="shared" si="57"/>
        <v>5000</v>
      </c>
      <c r="AF47" s="188">
        <f t="shared" si="57"/>
        <v>5000</v>
      </c>
      <c r="AG47" s="188">
        <f t="shared" si="57"/>
        <v>5000</v>
      </c>
      <c r="AH47" s="188">
        <f t="shared" si="57"/>
        <v>5000</v>
      </c>
      <c r="AI47" s="188">
        <f t="shared" si="57"/>
        <v>5000</v>
      </c>
      <c r="AJ47" s="188">
        <f t="shared" si="57"/>
        <v>5000</v>
      </c>
      <c r="AK47" s="188">
        <f t="shared" si="57"/>
        <v>5000</v>
      </c>
      <c r="AL47" s="188">
        <f t="shared" si="57"/>
        <v>5000</v>
      </c>
      <c r="AM47" s="188">
        <f t="shared" si="57"/>
        <v>5000</v>
      </c>
      <c r="AN47" s="188">
        <f t="shared" si="57"/>
        <v>5000</v>
      </c>
      <c r="AO47" s="188">
        <f t="shared" si="57"/>
        <v>5000</v>
      </c>
      <c r="AP47" s="188">
        <f t="shared" si="57"/>
        <v>5000</v>
      </c>
      <c r="AQ47" s="188">
        <f t="shared" si="57"/>
        <v>5000</v>
      </c>
      <c r="AR47" s="188">
        <f t="shared" si="57"/>
        <v>5000</v>
      </c>
      <c r="AS47" s="188">
        <f t="shared" si="57"/>
        <v>5000</v>
      </c>
      <c r="AT47" s="188">
        <f t="shared" si="57"/>
        <v>5000</v>
      </c>
      <c r="AU47" s="188">
        <f t="shared" si="57"/>
        <v>5000</v>
      </c>
      <c r="AV47" s="188">
        <f t="shared" si="57"/>
        <v>5000</v>
      </c>
      <c r="AW47" s="188">
        <f t="shared" si="57"/>
        <v>5000</v>
      </c>
      <c r="AX47" s="188">
        <f t="shared" si="57"/>
        <v>5000</v>
      </c>
      <c r="AY47" s="188">
        <f t="shared" si="57"/>
        <v>5000</v>
      </c>
      <c r="AZ47" s="188">
        <f t="shared" si="57"/>
        <v>5000</v>
      </c>
      <c r="BA47" s="188">
        <f t="shared" si="57"/>
        <v>5000</v>
      </c>
      <c r="BB47" s="188">
        <f t="shared" si="57"/>
        <v>5000</v>
      </c>
      <c r="BC47" s="188">
        <f t="shared" si="57"/>
        <v>5000</v>
      </c>
      <c r="BD47" s="188">
        <f t="shared" si="57"/>
        <v>5000</v>
      </c>
      <c r="BE47" s="188">
        <f t="shared" si="57"/>
        <v>5000</v>
      </c>
      <c r="BF47" s="188">
        <f t="shared" si="57"/>
        <v>5000</v>
      </c>
      <c r="BG47" s="188">
        <f t="shared" si="57"/>
        <v>5000</v>
      </c>
      <c r="BH47" s="188">
        <f t="shared" si="57"/>
        <v>5000</v>
      </c>
      <c r="BI47" s="188">
        <f t="shared" si="57"/>
        <v>5000</v>
      </c>
    </row>
    <row r="48" spans="1:61" ht="12.75" x14ac:dyDescent="0.2">
      <c r="A48" s="207"/>
      <c r="B48" s="189"/>
      <c r="C48" s="15" t="s">
        <v>207</v>
      </c>
      <c r="D48" s="15" t="str">
        <f t="shared" si="46"/>
        <v>Sales</v>
      </c>
      <c r="E48" s="193">
        <v>160000</v>
      </c>
      <c r="F48" s="199">
        <v>44105</v>
      </c>
      <c r="G48" s="191"/>
      <c r="H48" s="192">
        <v>0.09</v>
      </c>
      <c r="I48" s="193">
        <f t="shared" si="47"/>
        <v>533.33333333333337</v>
      </c>
      <c r="J48" s="193">
        <v>500</v>
      </c>
      <c r="K48" s="188">
        <f t="shared" si="3"/>
        <v>1033.3333333333335</v>
      </c>
      <c r="N48" s="188">
        <f t="shared" ref="N48:BI48" si="58">IF($F48=0,0, IF(AND(N$1&gt;=$G48,$G48&lt;&gt;0),0,IF(N$1&gt;=$F48,$E48/12,0)))</f>
        <v>0</v>
      </c>
      <c r="O48" s="188">
        <f t="shared" si="58"/>
        <v>0</v>
      </c>
      <c r="P48" s="188">
        <f t="shared" si="58"/>
        <v>0</v>
      </c>
      <c r="Q48" s="188">
        <f t="shared" si="58"/>
        <v>0</v>
      </c>
      <c r="R48" s="188">
        <f t="shared" si="58"/>
        <v>0</v>
      </c>
      <c r="S48" s="188">
        <f t="shared" si="58"/>
        <v>13333.333333333334</v>
      </c>
      <c r="T48" s="188">
        <f t="shared" si="58"/>
        <v>13333.333333333334</v>
      </c>
      <c r="U48" s="188">
        <f t="shared" si="58"/>
        <v>13333.333333333334</v>
      </c>
      <c r="V48" s="188">
        <f t="shared" si="58"/>
        <v>13333.333333333334</v>
      </c>
      <c r="W48" s="188">
        <f t="shared" si="58"/>
        <v>13333.333333333334</v>
      </c>
      <c r="X48" s="188">
        <f t="shared" si="58"/>
        <v>13333.333333333334</v>
      </c>
      <c r="Y48" s="188">
        <f t="shared" si="58"/>
        <v>13333.333333333334</v>
      </c>
      <c r="Z48" s="188">
        <f t="shared" si="58"/>
        <v>13333.333333333334</v>
      </c>
      <c r="AA48" s="188">
        <f t="shared" si="58"/>
        <v>13333.333333333334</v>
      </c>
      <c r="AB48" s="188">
        <f t="shared" si="58"/>
        <v>13333.333333333334</v>
      </c>
      <c r="AC48" s="188">
        <f t="shared" si="58"/>
        <v>13333.333333333334</v>
      </c>
      <c r="AD48" s="188">
        <f t="shared" si="58"/>
        <v>13333.333333333334</v>
      </c>
      <c r="AE48" s="188">
        <f t="shared" si="58"/>
        <v>13333.333333333334</v>
      </c>
      <c r="AF48" s="188">
        <f t="shared" si="58"/>
        <v>13333.333333333334</v>
      </c>
      <c r="AG48" s="188">
        <f t="shared" si="58"/>
        <v>13333.333333333334</v>
      </c>
      <c r="AH48" s="188">
        <f t="shared" si="58"/>
        <v>13333.333333333334</v>
      </c>
      <c r="AI48" s="188">
        <f t="shared" si="58"/>
        <v>13333.333333333334</v>
      </c>
      <c r="AJ48" s="188">
        <f t="shared" si="58"/>
        <v>13333.333333333334</v>
      </c>
      <c r="AK48" s="188">
        <f t="shared" si="58"/>
        <v>13333.333333333334</v>
      </c>
      <c r="AL48" s="188">
        <f t="shared" si="58"/>
        <v>13333.333333333334</v>
      </c>
      <c r="AM48" s="188">
        <f t="shared" si="58"/>
        <v>13333.333333333334</v>
      </c>
      <c r="AN48" s="188">
        <f t="shared" si="58"/>
        <v>13333.333333333334</v>
      </c>
      <c r="AO48" s="188">
        <f t="shared" si="58"/>
        <v>13333.333333333334</v>
      </c>
      <c r="AP48" s="188">
        <f t="shared" si="58"/>
        <v>13333.333333333334</v>
      </c>
      <c r="AQ48" s="188">
        <f t="shared" si="58"/>
        <v>13333.333333333334</v>
      </c>
      <c r="AR48" s="188">
        <f t="shared" si="58"/>
        <v>13333.333333333334</v>
      </c>
      <c r="AS48" s="188">
        <f t="shared" si="58"/>
        <v>13333.333333333334</v>
      </c>
      <c r="AT48" s="188">
        <f t="shared" si="58"/>
        <v>13333.333333333334</v>
      </c>
      <c r="AU48" s="188">
        <f t="shared" si="58"/>
        <v>13333.333333333334</v>
      </c>
      <c r="AV48" s="188">
        <f t="shared" si="58"/>
        <v>13333.333333333334</v>
      </c>
      <c r="AW48" s="188">
        <f t="shared" si="58"/>
        <v>13333.333333333334</v>
      </c>
      <c r="AX48" s="188">
        <f t="shared" si="58"/>
        <v>13333.333333333334</v>
      </c>
      <c r="AY48" s="188">
        <f t="shared" si="58"/>
        <v>13333.333333333334</v>
      </c>
      <c r="AZ48" s="188">
        <f t="shared" si="58"/>
        <v>13333.333333333334</v>
      </c>
      <c r="BA48" s="188">
        <f t="shared" si="58"/>
        <v>13333.333333333334</v>
      </c>
      <c r="BB48" s="188">
        <f t="shared" si="58"/>
        <v>13333.333333333334</v>
      </c>
      <c r="BC48" s="188">
        <f t="shared" si="58"/>
        <v>13333.333333333334</v>
      </c>
      <c r="BD48" s="188">
        <f t="shared" si="58"/>
        <v>13333.333333333334</v>
      </c>
      <c r="BE48" s="188">
        <f t="shared" si="58"/>
        <v>13333.333333333334</v>
      </c>
      <c r="BF48" s="188">
        <f t="shared" si="58"/>
        <v>13333.333333333334</v>
      </c>
      <c r="BG48" s="188">
        <f t="shared" si="58"/>
        <v>13333.333333333334</v>
      </c>
      <c r="BH48" s="188">
        <f t="shared" si="58"/>
        <v>13333.333333333334</v>
      </c>
      <c r="BI48" s="188">
        <f t="shared" si="58"/>
        <v>13333.333333333334</v>
      </c>
    </row>
    <row r="49" spans="1:61" ht="12.75" x14ac:dyDescent="0.2">
      <c r="A49" s="207"/>
      <c r="B49" s="189"/>
      <c r="C49" s="15" t="s">
        <v>208</v>
      </c>
      <c r="D49" s="15" t="str">
        <f t="shared" si="46"/>
        <v>Sales</v>
      </c>
      <c r="E49" s="193">
        <v>160000</v>
      </c>
      <c r="F49" s="202">
        <f t="shared" ref="F49:F51" si="59">EDATE(F48,2)</f>
        <v>44166</v>
      </c>
      <c r="G49" s="191"/>
      <c r="H49" s="192">
        <v>0.09</v>
      </c>
      <c r="I49" s="193">
        <f t="shared" si="47"/>
        <v>533.33333333333337</v>
      </c>
      <c r="J49" s="193">
        <v>500</v>
      </c>
      <c r="K49" s="188">
        <f t="shared" si="3"/>
        <v>1033.3333333333335</v>
      </c>
      <c r="N49" s="188">
        <f t="shared" ref="N49:BI49" si="60">IF($F49=0,0, IF(AND(N$1&gt;=$G49,$G49&lt;&gt;0),0,IF(N$1&gt;=$F49,$E49/12,0)))</f>
        <v>0</v>
      </c>
      <c r="O49" s="188">
        <f t="shared" si="60"/>
        <v>0</v>
      </c>
      <c r="P49" s="188">
        <f t="shared" si="60"/>
        <v>0</v>
      </c>
      <c r="Q49" s="188">
        <f t="shared" si="60"/>
        <v>0</v>
      </c>
      <c r="R49" s="188">
        <f t="shared" si="60"/>
        <v>0</v>
      </c>
      <c r="S49" s="188">
        <f t="shared" si="60"/>
        <v>0</v>
      </c>
      <c r="T49" s="188">
        <f t="shared" si="60"/>
        <v>0</v>
      </c>
      <c r="U49" s="188">
        <f t="shared" si="60"/>
        <v>13333.333333333334</v>
      </c>
      <c r="V49" s="188">
        <f t="shared" si="60"/>
        <v>13333.333333333334</v>
      </c>
      <c r="W49" s="188">
        <f t="shared" si="60"/>
        <v>13333.333333333334</v>
      </c>
      <c r="X49" s="188">
        <f t="shared" si="60"/>
        <v>13333.333333333334</v>
      </c>
      <c r="Y49" s="188">
        <f t="shared" si="60"/>
        <v>13333.333333333334</v>
      </c>
      <c r="Z49" s="188">
        <f t="shared" si="60"/>
        <v>13333.333333333334</v>
      </c>
      <c r="AA49" s="188">
        <f t="shared" si="60"/>
        <v>13333.333333333334</v>
      </c>
      <c r="AB49" s="188">
        <f t="shared" si="60"/>
        <v>13333.333333333334</v>
      </c>
      <c r="AC49" s="188">
        <f t="shared" si="60"/>
        <v>13333.333333333334</v>
      </c>
      <c r="AD49" s="188">
        <f t="shared" si="60"/>
        <v>13333.333333333334</v>
      </c>
      <c r="AE49" s="188">
        <f t="shared" si="60"/>
        <v>13333.333333333334</v>
      </c>
      <c r="AF49" s="188">
        <f t="shared" si="60"/>
        <v>13333.333333333334</v>
      </c>
      <c r="AG49" s="188">
        <f t="shared" si="60"/>
        <v>13333.333333333334</v>
      </c>
      <c r="AH49" s="188">
        <f t="shared" si="60"/>
        <v>13333.333333333334</v>
      </c>
      <c r="AI49" s="188">
        <f t="shared" si="60"/>
        <v>13333.333333333334</v>
      </c>
      <c r="AJ49" s="188">
        <f t="shared" si="60"/>
        <v>13333.333333333334</v>
      </c>
      <c r="AK49" s="188">
        <f t="shared" si="60"/>
        <v>13333.333333333334</v>
      </c>
      <c r="AL49" s="188">
        <f t="shared" si="60"/>
        <v>13333.333333333334</v>
      </c>
      <c r="AM49" s="188">
        <f t="shared" si="60"/>
        <v>13333.333333333334</v>
      </c>
      <c r="AN49" s="188">
        <f t="shared" si="60"/>
        <v>13333.333333333334</v>
      </c>
      <c r="AO49" s="188">
        <f t="shared" si="60"/>
        <v>13333.333333333334</v>
      </c>
      <c r="AP49" s="188">
        <f t="shared" si="60"/>
        <v>13333.333333333334</v>
      </c>
      <c r="AQ49" s="188">
        <f t="shared" si="60"/>
        <v>13333.333333333334</v>
      </c>
      <c r="AR49" s="188">
        <f t="shared" si="60"/>
        <v>13333.333333333334</v>
      </c>
      <c r="AS49" s="188">
        <f t="shared" si="60"/>
        <v>13333.333333333334</v>
      </c>
      <c r="AT49" s="188">
        <f t="shared" si="60"/>
        <v>13333.333333333334</v>
      </c>
      <c r="AU49" s="188">
        <f t="shared" si="60"/>
        <v>13333.333333333334</v>
      </c>
      <c r="AV49" s="188">
        <f t="shared" si="60"/>
        <v>13333.333333333334</v>
      </c>
      <c r="AW49" s="188">
        <f t="shared" si="60"/>
        <v>13333.333333333334</v>
      </c>
      <c r="AX49" s="188">
        <f t="shared" si="60"/>
        <v>13333.333333333334</v>
      </c>
      <c r="AY49" s="188">
        <f t="shared" si="60"/>
        <v>13333.333333333334</v>
      </c>
      <c r="AZ49" s="188">
        <f t="shared" si="60"/>
        <v>13333.333333333334</v>
      </c>
      <c r="BA49" s="188">
        <f t="shared" si="60"/>
        <v>13333.333333333334</v>
      </c>
      <c r="BB49" s="188">
        <f t="shared" si="60"/>
        <v>13333.333333333334</v>
      </c>
      <c r="BC49" s="188">
        <f t="shared" si="60"/>
        <v>13333.333333333334</v>
      </c>
      <c r="BD49" s="188">
        <f t="shared" si="60"/>
        <v>13333.333333333334</v>
      </c>
      <c r="BE49" s="188">
        <f t="shared" si="60"/>
        <v>13333.333333333334</v>
      </c>
      <c r="BF49" s="188">
        <f t="shared" si="60"/>
        <v>13333.333333333334</v>
      </c>
      <c r="BG49" s="188">
        <f t="shared" si="60"/>
        <v>13333.333333333334</v>
      </c>
      <c r="BH49" s="188">
        <f t="shared" si="60"/>
        <v>13333.333333333334</v>
      </c>
      <c r="BI49" s="188">
        <f t="shared" si="60"/>
        <v>13333.333333333334</v>
      </c>
    </row>
    <row r="50" spans="1:61" ht="12.75" x14ac:dyDescent="0.2">
      <c r="A50" s="207"/>
      <c r="B50" s="189"/>
      <c r="C50" s="15" t="s">
        <v>209</v>
      </c>
      <c r="D50" s="15" t="str">
        <f t="shared" si="46"/>
        <v>Sales</v>
      </c>
      <c r="E50" s="193">
        <v>160000</v>
      </c>
      <c r="F50" s="202">
        <f t="shared" si="59"/>
        <v>44228</v>
      </c>
      <c r="G50" s="191"/>
      <c r="H50" s="192">
        <v>0.09</v>
      </c>
      <c r="I50" s="193">
        <f t="shared" si="47"/>
        <v>533.33333333333337</v>
      </c>
      <c r="J50" s="193">
        <v>500</v>
      </c>
      <c r="K50" s="188">
        <f t="shared" si="3"/>
        <v>1033.3333333333335</v>
      </c>
      <c r="N50" s="188">
        <f t="shared" ref="N50:BI50" si="61">IF($F50=0,0, IF(AND(N$1&gt;=$G50,$G50&lt;&gt;0),0,IF(N$1&gt;=$F50,$E50/12,0)))</f>
        <v>0</v>
      </c>
      <c r="O50" s="188">
        <f t="shared" si="61"/>
        <v>0</v>
      </c>
      <c r="P50" s="188">
        <f t="shared" si="61"/>
        <v>0</v>
      </c>
      <c r="Q50" s="188">
        <f t="shared" si="61"/>
        <v>0</v>
      </c>
      <c r="R50" s="188">
        <f t="shared" si="61"/>
        <v>0</v>
      </c>
      <c r="S50" s="188">
        <f t="shared" si="61"/>
        <v>0</v>
      </c>
      <c r="T50" s="188">
        <f t="shared" si="61"/>
        <v>0</v>
      </c>
      <c r="U50" s="188">
        <f t="shared" si="61"/>
        <v>0</v>
      </c>
      <c r="V50" s="188">
        <f t="shared" si="61"/>
        <v>0</v>
      </c>
      <c r="W50" s="188">
        <f t="shared" si="61"/>
        <v>13333.333333333334</v>
      </c>
      <c r="X50" s="188">
        <f t="shared" si="61"/>
        <v>13333.333333333334</v>
      </c>
      <c r="Y50" s="188">
        <f t="shared" si="61"/>
        <v>13333.333333333334</v>
      </c>
      <c r="Z50" s="188">
        <f t="shared" si="61"/>
        <v>13333.333333333334</v>
      </c>
      <c r="AA50" s="188">
        <f t="shared" si="61"/>
        <v>13333.333333333334</v>
      </c>
      <c r="AB50" s="188">
        <f t="shared" si="61"/>
        <v>13333.333333333334</v>
      </c>
      <c r="AC50" s="188">
        <f t="shared" si="61"/>
        <v>13333.333333333334</v>
      </c>
      <c r="AD50" s="188">
        <f t="shared" si="61"/>
        <v>13333.333333333334</v>
      </c>
      <c r="AE50" s="188">
        <f t="shared" si="61"/>
        <v>13333.333333333334</v>
      </c>
      <c r="AF50" s="188">
        <f t="shared" si="61"/>
        <v>13333.333333333334</v>
      </c>
      <c r="AG50" s="188">
        <f t="shared" si="61"/>
        <v>13333.333333333334</v>
      </c>
      <c r="AH50" s="188">
        <f t="shared" si="61"/>
        <v>13333.333333333334</v>
      </c>
      <c r="AI50" s="188">
        <f t="shared" si="61"/>
        <v>13333.333333333334</v>
      </c>
      <c r="AJ50" s="188">
        <f t="shared" si="61"/>
        <v>13333.333333333334</v>
      </c>
      <c r="AK50" s="188">
        <f t="shared" si="61"/>
        <v>13333.333333333334</v>
      </c>
      <c r="AL50" s="188">
        <f t="shared" si="61"/>
        <v>13333.333333333334</v>
      </c>
      <c r="AM50" s="188">
        <f t="shared" si="61"/>
        <v>13333.333333333334</v>
      </c>
      <c r="AN50" s="188">
        <f t="shared" si="61"/>
        <v>13333.333333333334</v>
      </c>
      <c r="AO50" s="188">
        <f t="shared" si="61"/>
        <v>13333.333333333334</v>
      </c>
      <c r="AP50" s="188">
        <f t="shared" si="61"/>
        <v>13333.333333333334</v>
      </c>
      <c r="AQ50" s="188">
        <f t="shared" si="61"/>
        <v>13333.333333333334</v>
      </c>
      <c r="AR50" s="188">
        <f t="shared" si="61"/>
        <v>13333.333333333334</v>
      </c>
      <c r="AS50" s="188">
        <f t="shared" si="61"/>
        <v>13333.333333333334</v>
      </c>
      <c r="AT50" s="188">
        <f t="shared" si="61"/>
        <v>13333.333333333334</v>
      </c>
      <c r="AU50" s="188">
        <f t="shared" si="61"/>
        <v>13333.333333333334</v>
      </c>
      <c r="AV50" s="188">
        <f t="shared" si="61"/>
        <v>13333.333333333334</v>
      </c>
      <c r="AW50" s="188">
        <f t="shared" si="61"/>
        <v>13333.333333333334</v>
      </c>
      <c r="AX50" s="188">
        <f t="shared" si="61"/>
        <v>13333.333333333334</v>
      </c>
      <c r="AY50" s="188">
        <f t="shared" si="61"/>
        <v>13333.333333333334</v>
      </c>
      <c r="AZ50" s="188">
        <f t="shared" si="61"/>
        <v>13333.333333333334</v>
      </c>
      <c r="BA50" s="188">
        <f t="shared" si="61"/>
        <v>13333.333333333334</v>
      </c>
      <c r="BB50" s="188">
        <f t="shared" si="61"/>
        <v>13333.333333333334</v>
      </c>
      <c r="BC50" s="188">
        <f t="shared" si="61"/>
        <v>13333.333333333334</v>
      </c>
      <c r="BD50" s="188">
        <f t="shared" si="61"/>
        <v>13333.333333333334</v>
      </c>
      <c r="BE50" s="188">
        <f t="shared" si="61"/>
        <v>13333.333333333334</v>
      </c>
      <c r="BF50" s="188">
        <f t="shared" si="61"/>
        <v>13333.333333333334</v>
      </c>
      <c r="BG50" s="188">
        <f t="shared" si="61"/>
        <v>13333.333333333334</v>
      </c>
      <c r="BH50" s="188">
        <f t="shared" si="61"/>
        <v>13333.333333333334</v>
      </c>
      <c r="BI50" s="188">
        <f t="shared" si="61"/>
        <v>13333.333333333334</v>
      </c>
    </row>
    <row r="51" spans="1:61" ht="12.75" x14ac:dyDescent="0.2">
      <c r="A51" s="207"/>
      <c r="B51" s="189"/>
      <c r="C51" s="15" t="s">
        <v>210</v>
      </c>
      <c r="D51" s="15" t="str">
        <f t="shared" si="46"/>
        <v>Sales</v>
      </c>
      <c r="E51" s="193">
        <v>160000</v>
      </c>
      <c r="F51" s="202">
        <f t="shared" si="59"/>
        <v>44287</v>
      </c>
      <c r="G51" s="191"/>
      <c r="H51" s="192">
        <v>0.09</v>
      </c>
      <c r="I51" s="193">
        <f t="shared" si="47"/>
        <v>533.33333333333337</v>
      </c>
      <c r="J51" s="193">
        <v>500</v>
      </c>
      <c r="K51" s="188">
        <f t="shared" si="3"/>
        <v>1033.3333333333335</v>
      </c>
      <c r="N51" s="188">
        <f t="shared" ref="N51:BI51" si="62">IF($F51=0,0, IF(AND(N$1&gt;=$G51,$G51&lt;&gt;0),0,IF(N$1&gt;=$F51,$E51/12,0)))</f>
        <v>0</v>
      </c>
      <c r="O51" s="188">
        <f t="shared" si="62"/>
        <v>0</v>
      </c>
      <c r="P51" s="188">
        <f t="shared" si="62"/>
        <v>0</v>
      </c>
      <c r="Q51" s="188">
        <f t="shared" si="62"/>
        <v>0</v>
      </c>
      <c r="R51" s="188">
        <f t="shared" si="62"/>
        <v>0</v>
      </c>
      <c r="S51" s="188">
        <f t="shared" si="62"/>
        <v>0</v>
      </c>
      <c r="T51" s="188">
        <f t="shared" si="62"/>
        <v>0</v>
      </c>
      <c r="U51" s="188">
        <f t="shared" si="62"/>
        <v>0</v>
      </c>
      <c r="V51" s="188">
        <f t="shared" si="62"/>
        <v>0</v>
      </c>
      <c r="W51" s="188">
        <f t="shared" si="62"/>
        <v>0</v>
      </c>
      <c r="X51" s="188">
        <f t="shared" si="62"/>
        <v>0</v>
      </c>
      <c r="Y51" s="188">
        <f t="shared" si="62"/>
        <v>13333.333333333334</v>
      </c>
      <c r="Z51" s="188">
        <f t="shared" si="62"/>
        <v>13333.333333333334</v>
      </c>
      <c r="AA51" s="188">
        <f t="shared" si="62"/>
        <v>13333.333333333334</v>
      </c>
      <c r="AB51" s="188">
        <f t="shared" si="62"/>
        <v>13333.333333333334</v>
      </c>
      <c r="AC51" s="188">
        <f t="shared" si="62"/>
        <v>13333.333333333334</v>
      </c>
      <c r="AD51" s="188">
        <f t="shared" si="62"/>
        <v>13333.333333333334</v>
      </c>
      <c r="AE51" s="188">
        <f t="shared" si="62"/>
        <v>13333.333333333334</v>
      </c>
      <c r="AF51" s="188">
        <f t="shared" si="62"/>
        <v>13333.333333333334</v>
      </c>
      <c r="AG51" s="188">
        <f t="shared" si="62"/>
        <v>13333.333333333334</v>
      </c>
      <c r="AH51" s="188">
        <f t="shared" si="62"/>
        <v>13333.333333333334</v>
      </c>
      <c r="AI51" s="188">
        <f t="shared" si="62"/>
        <v>13333.333333333334</v>
      </c>
      <c r="AJ51" s="188">
        <f t="shared" si="62"/>
        <v>13333.333333333334</v>
      </c>
      <c r="AK51" s="188">
        <f t="shared" si="62"/>
        <v>13333.333333333334</v>
      </c>
      <c r="AL51" s="188">
        <f t="shared" si="62"/>
        <v>13333.333333333334</v>
      </c>
      <c r="AM51" s="188">
        <f t="shared" si="62"/>
        <v>13333.333333333334</v>
      </c>
      <c r="AN51" s="188">
        <f t="shared" si="62"/>
        <v>13333.333333333334</v>
      </c>
      <c r="AO51" s="188">
        <f t="shared" si="62"/>
        <v>13333.333333333334</v>
      </c>
      <c r="AP51" s="188">
        <f t="shared" si="62"/>
        <v>13333.333333333334</v>
      </c>
      <c r="AQ51" s="188">
        <f t="shared" si="62"/>
        <v>13333.333333333334</v>
      </c>
      <c r="AR51" s="188">
        <f t="shared" si="62"/>
        <v>13333.333333333334</v>
      </c>
      <c r="AS51" s="188">
        <f t="shared" si="62"/>
        <v>13333.333333333334</v>
      </c>
      <c r="AT51" s="188">
        <f t="shared" si="62"/>
        <v>13333.333333333334</v>
      </c>
      <c r="AU51" s="188">
        <f t="shared" si="62"/>
        <v>13333.333333333334</v>
      </c>
      <c r="AV51" s="188">
        <f t="shared" si="62"/>
        <v>13333.333333333334</v>
      </c>
      <c r="AW51" s="188">
        <f t="shared" si="62"/>
        <v>13333.333333333334</v>
      </c>
      <c r="AX51" s="188">
        <f t="shared" si="62"/>
        <v>13333.333333333334</v>
      </c>
      <c r="AY51" s="188">
        <f t="shared" si="62"/>
        <v>13333.333333333334</v>
      </c>
      <c r="AZ51" s="188">
        <f t="shared" si="62"/>
        <v>13333.333333333334</v>
      </c>
      <c r="BA51" s="188">
        <f t="shared" si="62"/>
        <v>13333.333333333334</v>
      </c>
      <c r="BB51" s="188">
        <f t="shared" si="62"/>
        <v>13333.333333333334</v>
      </c>
      <c r="BC51" s="188">
        <f t="shared" si="62"/>
        <v>13333.333333333334</v>
      </c>
      <c r="BD51" s="188">
        <f t="shared" si="62"/>
        <v>13333.333333333334</v>
      </c>
      <c r="BE51" s="188">
        <f t="shared" si="62"/>
        <v>13333.333333333334</v>
      </c>
      <c r="BF51" s="188">
        <f t="shared" si="62"/>
        <v>13333.333333333334</v>
      </c>
      <c r="BG51" s="188">
        <f t="shared" si="62"/>
        <v>13333.333333333334</v>
      </c>
      <c r="BH51" s="188">
        <f t="shared" si="62"/>
        <v>13333.333333333334</v>
      </c>
      <c r="BI51" s="188">
        <f t="shared" si="62"/>
        <v>13333.333333333334</v>
      </c>
    </row>
    <row r="52" spans="1:61" ht="12.75" x14ac:dyDescent="0.2">
      <c r="A52" s="207"/>
      <c r="B52" s="189" t="s">
        <v>211</v>
      </c>
      <c r="C52" s="15"/>
      <c r="D52" s="15"/>
      <c r="E52" s="206"/>
      <c r="F52" s="194"/>
      <c r="G52" s="194"/>
      <c r="H52" s="208"/>
      <c r="I52" s="206"/>
      <c r="J52" s="206"/>
      <c r="K52" s="188">
        <f t="shared" si="3"/>
        <v>0</v>
      </c>
      <c r="N52" s="188">
        <f t="shared" ref="N52:BI52" si="63">IF($F52=0,0, IF(AND(N$1&gt;=$G52,$G52&lt;&gt;0),0,IF(N$1&gt;=$F52,$E52/12,0)))</f>
        <v>0</v>
      </c>
      <c r="O52" s="188">
        <f t="shared" si="63"/>
        <v>0</v>
      </c>
      <c r="P52" s="188">
        <f t="shared" si="63"/>
        <v>0</v>
      </c>
      <c r="Q52" s="188">
        <f t="shared" si="63"/>
        <v>0</v>
      </c>
      <c r="R52" s="188">
        <f t="shared" si="63"/>
        <v>0</v>
      </c>
      <c r="S52" s="188">
        <f t="shared" si="63"/>
        <v>0</v>
      </c>
      <c r="T52" s="188">
        <f t="shared" si="63"/>
        <v>0</v>
      </c>
      <c r="U52" s="188">
        <f t="shared" si="63"/>
        <v>0</v>
      </c>
      <c r="V52" s="188">
        <f t="shared" si="63"/>
        <v>0</v>
      </c>
      <c r="W52" s="188">
        <f t="shared" si="63"/>
        <v>0</v>
      </c>
      <c r="X52" s="188">
        <f t="shared" si="63"/>
        <v>0</v>
      </c>
      <c r="Y52" s="188">
        <f t="shared" si="63"/>
        <v>0</v>
      </c>
      <c r="Z52" s="188">
        <f t="shared" si="63"/>
        <v>0</v>
      </c>
      <c r="AA52" s="188">
        <f t="shared" si="63"/>
        <v>0</v>
      </c>
      <c r="AB52" s="188">
        <f t="shared" si="63"/>
        <v>0</v>
      </c>
      <c r="AC52" s="188">
        <f t="shared" si="63"/>
        <v>0</v>
      </c>
      <c r="AD52" s="188">
        <f t="shared" si="63"/>
        <v>0</v>
      </c>
      <c r="AE52" s="188">
        <f t="shared" si="63"/>
        <v>0</v>
      </c>
      <c r="AF52" s="188">
        <f t="shared" si="63"/>
        <v>0</v>
      </c>
      <c r="AG52" s="188">
        <f t="shared" si="63"/>
        <v>0</v>
      </c>
      <c r="AH52" s="188">
        <f t="shared" si="63"/>
        <v>0</v>
      </c>
      <c r="AI52" s="188">
        <f t="shared" si="63"/>
        <v>0</v>
      </c>
      <c r="AJ52" s="188">
        <f t="shared" si="63"/>
        <v>0</v>
      </c>
      <c r="AK52" s="188">
        <f t="shared" si="63"/>
        <v>0</v>
      </c>
      <c r="AL52" s="188">
        <f t="shared" si="63"/>
        <v>0</v>
      </c>
      <c r="AM52" s="188">
        <f t="shared" si="63"/>
        <v>0</v>
      </c>
      <c r="AN52" s="188">
        <f t="shared" si="63"/>
        <v>0</v>
      </c>
      <c r="AO52" s="188">
        <f t="shared" si="63"/>
        <v>0</v>
      </c>
      <c r="AP52" s="188">
        <f t="shared" si="63"/>
        <v>0</v>
      </c>
      <c r="AQ52" s="188">
        <f t="shared" si="63"/>
        <v>0</v>
      </c>
      <c r="AR52" s="188">
        <f t="shared" si="63"/>
        <v>0</v>
      </c>
      <c r="AS52" s="188">
        <f t="shared" si="63"/>
        <v>0</v>
      </c>
      <c r="AT52" s="188">
        <f t="shared" si="63"/>
        <v>0</v>
      </c>
      <c r="AU52" s="188">
        <f t="shared" si="63"/>
        <v>0</v>
      </c>
      <c r="AV52" s="188">
        <f t="shared" si="63"/>
        <v>0</v>
      </c>
      <c r="AW52" s="188">
        <f t="shared" si="63"/>
        <v>0</v>
      </c>
      <c r="AX52" s="188">
        <f t="shared" si="63"/>
        <v>0</v>
      </c>
      <c r="AY52" s="188">
        <f t="shared" si="63"/>
        <v>0</v>
      </c>
      <c r="AZ52" s="188">
        <f t="shared" si="63"/>
        <v>0</v>
      </c>
      <c r="BA52" s="188">
        <f t="shared" si="63"/>
        <v>0</v>
      </c>
      <c r="BB52" s="188">
        <f t="shared" si="63"/>
        <v>0</v>
      </c>
      <c r="BC52" s="188">
        <f t="shared" si="63"/>
        <v>0</v>
      </c>
      <c r="BD52" s="188">
        <f t="shared" si="63"/>
        <v>0</v>
      </c>
      <c r="BE52" s="188">
        <f t="shared" si="63"/>
        <v>0</v>
      </c>
      <c r="BF52" s="188">
        <f t="shared" si="63"/>
        <v>0</v>
      </c>
      <c r="BG52" s="188">
        <f t="shared" si="63"/>
        <v>0</v>
      </c>
      <c r="BH52" s="188">
        <f t="shared" si="63"/>
        <v>0</v>
      </c>
      <c r="BI52" s="188">
        <f t="shared" si="63"/>
        <v>0</v>
      </c>
    </row>
    <row r="53" spans="1:61" ht="12.75" x14ac:dyDescent="0.2">
      <c r="A53" s="6"/>
      <c r="B53" s="15" t="s">
        <v>212</v>
      </c>
      <c r="C53" s="15" t="s">
        <v>213</v>
      </c>
      <c r="D53" s="15" t="str">
        <f t="shared" ref="D53:D64" si="64">$B$52</f>
        <v>Support</v>
      </c>
      <c r="E53" s="193">
        <v>150000</v>
      </c>
      <c r="F53" s="191">
        <v>43497</v>
      </c>
      <c r="G53" s="191"/>
      <c r="H53" s="192">
        <v>0.09</v>
      </c>
      <c r="I53" s="193">
        <f t="shared" ref="I53:I64" si="65">0.04*E53/12</f>
        <v>500</v>
      </c>
      <c r="J53" s="193">
        <v>500</v>
      </c>
      <c r="K53" s="188">
        <f t="shared" si="3"/>
        <v>1000</v>
      </c>
      <c r="N53" s="188">
        <f t="shared" ref="N53:BI53" si="66">IF($F53=0,0, IF(AND(N$1&gt;=$G53,$G53&lt;&gt;0),0,IF(N$1&gt;=$F53,$E53/12,0)))</f>
        <v>12500</v>
      </c>
      <c r="O53" s="188">
        <f t="shared" si="66"/>
        <v>12500</v>
      </c>
      <c r="P53" s="188">
        <f t="shared" si="66"/>
        <v>12500</v>
      </c>
      <c r="Q53" s="188">
        <f t="shared" si="66"/>
        <v>12500</v>
      </c>
      <c r="R53" s="188">
        <f t="shared" si="66"/>
        <v>12500</v>
      </c>
      <c r="S53" s="188">
        <f t="shared" si="66"/>
        <v>12500</v>
      </c>
      <c r="T53" s="188">
        <f t="shared" si="66"/>
        <v>12500</v>
      </c>
      <c r="U53" s="188">
        <f t="shared" si="66"/>
        <v>12500</v>
      </c>
      <c r="V53" s="188">
        <f t="shared" si="66"/>
        <v>12500</v>
      </c>
      <c r="W53" s="188">
        <f t="shared" si="66"/>
        <v>12500</v>
      </c>
      <c r="X53" s="188">
        <f t="shared" si="66"/>
        <v>12500</v>
      </c>
      <c r="Y53" s="188">
        <f t="shared" si="66"/>
        <v>12500</v>
      </c>
      <c r="Z53" s="188">
        <f t="shared" si="66"/>
        <v>12500</v>
      </c>
      <c r="AA53" s="188">
        <f t="shared" si="66"/>
        <v>12500</v>
      </c>
      <c r="AB53" s="188">
        <f t="shared" si="66"/>
        <v>12500</v>
      </c>
      <c r="AC53" s="188">
        <f t="shared" si="66"/>
        <v>12500</v>
      </c>
      <c r="AD53" s="188">
        <f t="shared" si="66"/>
        <v>12500</v>
      </c>
      <c r="AE53" s="188">
        <f t="shared" si="66"/>
        <v>12500</v>
      </c>
      <c r="AF53" s="188">
        <f t="shared" si="66"/>
        <v>12500</v>
      </c>
      <c r="AG53" s="188">
        <f t="shared" si="66"/>
        <v>12500</v>
      </c>
      <c r="AH53" s="188">
        <f t="shared" si="66"/>
        <v>12500</v>
      </c>
      <c r="AI53" s="188">
        <f t="shared" si="66"/>
        <v>12500</v>
      </c>
      <c r="AJ53" s="188">
        <f t="shared" si="66"/>
        <v>12500</v>
      </c>
      <c r="AK53" s="188">
        <f t="shared" si="66"/>
        <v>12500</v>
      </c>
      <c r="AL53" s="188">
        <f t="shared" si="66"/>
        <v>12500</v>
      </c>
      <c r="AM53" s="188">
        <f t="shared" si="66"/>
        <v>12500</v>
      </c>
      <c r="AN53" s="188">
        <f t="shared" si="66"/>
        <v>12500</v>
      </c>
      <c r="AO53" s="188">
        <f t="shared" si="66"/>
        <v>12500</v>
      </c>
      <c r="AP53" s="188">
        <f t="shared" si="66"/>
        <v>12500</v>
      </c>
      <c r="AQ53" s="188">
        <f t="shared" si="66"/>
        <v>12500</v>
      </c>
      <c r="AR53" s="188">
        <f t="shared" si="66"/>
        <v>12500</v>
      </c>
      <c r="AS53" s="188">
        <f t="shared" si="66"/>
        <v>12500</v>
      </c>
      <c r="AT53" s="188">
        <f t="shared" si="66"/>
        <v>12500</v>
      </c>
      <c r="AU53" s="188">
        <f t="shared" si="66"/>
        <v>12500</v>
      </c>
      <c r="AV53" s="188">
        <f t="shared" si="66"/>
        <v>12500</v>
      </c>
      <c r="AW53" s="188">
        <f t="shared" si="66"/>
        <v>12500</v>
      </c>
      <c r="AX53" s="188">
        <f t="shared" si="66"/>
        <v>12500</v>
      </c>
      <c r="AY53" s="188">
        <f t="shared" si="66"/>
        <v>12500</v>
      </c>
      <c r="AZ53" s="188">
        <f t="shared" si="66"/>
        <v>12500</v>
      </c>
      <c r="BA53" s="188">
        <f t="shared" si="66"/>
        <v>12500</v>
      </c>
      <c r="BB53" s="188">
        <f t="shared" si="66"/>
        <v>12500</v>
      </c>
      <c r="BC53" s="188">
        <f t="shared" si="66"/>
        <v>12500</v>
      </c>
      <c r="BD53" s="188">
        <f t="shared" si="66"/>
        <v>12500</v>
      </c>
      <c r="BE53" s="188">
        <f t="shared" si="66"/>
        <v>12500</v>
      </c>
      <c r="BF53" s="188">
        <f t="shared" si="66"/>
        <v>12500</v>
      </c>
      <c r="BG53" s="188">
        <f t="shared" si="66"/>
        <v>12500</v>
      </c>
      <c r="BH53" s="188">
        <f t="shared" si="66"/>
        <v>12500</v>
      </c>
      <c r="BI53" s="188">
        <f t="shared" si="66"/>
        <v>12500</v>
      </c>
    </row>
    <row r="54" spans="1:61" ht="12.75" x14ac:dyDescent="0.2">
      <c r="A54" s="6"/>
      <c r="B54" s="15" t="s">
        <v>214</v>
      </c>
      <c r="C54" s="15" t="s">
        <v>215</v>
      </c>
      <c r="D54" s="15" t="str">
        <f t="shared" si="64"/>
        <v>Support</v>
      </c>
      <c r="E54" s="193">
        <v>62400</v>
      </c>
      <c r="F54" s="191">
        <v>43101</v>
      </c>
      <c r="G54" s="191"/>
      <c r="H54" s="192">
        <v>0.09</v>
      </c>
      <c r="I54" s="193">
        <f t="shared" si="65"/>
        <v>208</v>
      </c>
      <c r="J54" s="193">
        <v>500</v>
      </c>
      <c r="K54" s="188">
        <f t="shared" si="3"/>
        <v>708</v>
      </c>
      <c r="N54" s="188">
        <f t="shared" ref="N54:BI54" si="67">IF($F54=0,0, IF(AND(N$1&gt;=$G54,$G54&lt;&gt;0),0,IF(N$1&gt;=$F54,$E54/12,0)))</f>
        <v>5200</v>
      </c>
      <c r="O54" s="188">
        <f t="shared" si="67"/>
        <v>5200</v>
      </c>
      <c r="P54" s="188">
        <f t="shared" si="67"/>
        <v>5200</v>
      </c>
      <c r="Q54" s="188">
        <f t="shared" si="67"/>
        <v>5200</v>
      </c>
      <c r="R54" s="188">
        <f t="shared" si="67"/>
        <v>5200</v>
      </c>
      <c r="S54" s="188">
        <f t="shared" si="67"/>
        <v>5200</v>
      </c>
      <c r="T54" s="188">
        <f t="shared" si="67"/>
        <v>5200</v>
      </c>
      <c r="U54" s="188">
        <f t="shared" si="67"/>
        <v>5200</v>
      </c>
      <c r="V54" s="188">
        <f t="shared" si="67"/>
        <v>5200</v>
      </c>
      <c r="W54" s="188">
        <f t="shared" si="67"/>
        <v>5200</v>
      </c>
      <c r="X54" s="188">
        <f t="shared" si="67"/>
        <v>5200</v>
      </c>
      <c r="Y54" s="188">
        <f t="shared" si="67"/>
        <v>5200</v>
      </c>
      <c r="Z54" s="188">
        <f t="shared" si="67"/>
        <v>5200</v>
      </c>
      <c r="AA54" s="188">
        <f t="shared" si="67"/>
        <v>5200</v>
      </c>
      <c r="AB54" s="188">
        <f t="shared" si="67"/>
        <v>5200</v>
      </c>
      <c r="AC54" s="188">
        <f t="shared" si="67"/>
        <v>5200</v>
      </c>
      <c r="AD54" s="188">
        <f t="shared" si="67"/>
        <v>5200</v>
      </c>
      <c r="AE54" s="188">
        <f t="shared" si="67"/>
        <v>5200</v>
      </c>
      <c r="AF54" s="188">
        <f t="shared" si="67"/>
        <v>5200</v>
      </c>
      <c r="AG54" s="188">
        <f t="shared" si="67"/>
        <v>5200</v>
      </c>
      <c r="AH54" s="188">
        <f t="shared" si="67"/>
        <v>5200</v>
      </c>
      <c r="AI54" s="188">
        <f t="shared" si="67"/>
        <v>5200</v>
      </c>
      <c r="AJ54" s="188">
        <f t="shared" si="67"/>
        <v>5200</v>
      </c>
      <c r="AK54" s="188">
        <f t="shared" si="67"/>
        <v>5200</v>
      </c>
      <c r="AL54" s="188">
        <f t="shared" si="67"/>
        <v>5200</v>
      </c>
      <c r="AM54" s="188">
        <f t="shared" si="67"/>
        <v>5200</v>
      </c>
      <c r="AN54" s="188">
        <f t="shared" si="67"/>
        <v>5200</v>
      </c>
      <c r="AO54" s="188">
        <f t="shared" si="67"/>
        <v>5200</v>
      </c>
      <c r="AP54" s="188">
        <f t="shared" si="67"/>
        <v>5200</v>
      </c>
      <c r="AQ54" s="188">
        <f t="shared" si="67"/>
        <v>5200</v>
      </c>
      <c r="AR54" s="188">
        <f t="shared" si="67"/>
        <v>5200</v>
      </c>
      <c r="AS54" s="188">
        <f t="shared" si="67"/>
        <v>5200</v>
      </c>
      <c r="AT54" s="188">
        <f t="shared" si="67"/>
        <v>5200</v>
      </c>
      <c r="AU54" s="188">
        <f t="shared" si="67"/>
        <v>5200</v>
      </c>
      <c r="AV54" s="188">
        <f t="shared" si="67"/>
        <v>5200</v>
      </c>
      <c r="AW54" s="188">
        <f t="shared" si="67"/>
        <v>5200</v>
      </c>
      <c r="AX54" s="188">
        <f t="shared" si="67"/>
        <v>5200</v>
      </c>
      <c r="AY54" s="188">
        <f t="shared" si="67"/>
        <v>5200</v>
      </c>
      <c r="AZ54" s="188">
        <f t="shared" si="67"/>
        <v>5200</v>
      </c>
      <c r="BA54" s="188">
        <f t="shared" si="67"/>
        <v>5200</v>
      </c>
      <c r="BB54" s="188">
        <f t="shared" si="67"/>
        <v>5200</v>
      </c>
      <c r="BC54" s="188">
        <f t="shared" si="67"/>
        <v>5200</v>
      </c>
      <c r="BD54" s="188">
        <f t="shared" si="67"/>
        <v>5200</v>
      </c>
      <c r="BE54" s="188">
        <f t="shared" si="67"/>
        <v>5200</v>
      </c>
      <c r="BF54" s="188">
        <f t="shared" si="67"/>
        <v>5200</v>
      </c>
      <c r="BG54" s="188">
        <f t="shared" si="67"/>
        <v>5200</v>
      </c>
      <c r="BH54" s="188">
        <f t="shared" si="67"/>
        <v>5200</v>
      </c>
      <c r="BI54" s="188">
        <f t="shared" si="67"/>
        <v>5200</v>
      </c>
    </row>
    <row r="55" spans="1:61" ht="12.75" x14ac:dyDescent="0.2">
      <c r="A55" s="6"/>
      <c r="B55" s="15" t="s">
        <v>216</v>
      </c>
      <c r="C55" s="15" t="s">
        <v>215</v>
      </c>
      <c r="D55" s="15" t="str">
        <f t="shared" si="64"/>
        <v>Support</v>
      </c>
      <c r="E55" s="193">
        <v>62400</v>
      </c>
      <c r="F55" s="191">
        <v>43101</v>
      </c>
      <c r="G55" s="191"/>
      <c r="H55" s="192">
        <v>0.09</v>
      </c>
      <c r="I55" s="193">
        <f t="shared" si="65"/>
        <v>208</v>
      </c>
      <c r="J55" s="193">
        <v>500</v>
      </c>
      <c r="K55" s="188"/>
      <c r="N55" s="188">
        <f t="shared" ref="N55:BI55" si="68">IF($F55=0,0, IF(AND(N$1&gt;=$G55,$G55&lt;&gt;0),0,IF(N$1&gt;=$F55,$E55/12,0)))</f>
        <v>5200</v>
      </c>
      <c r="O55" s="188">
        <f t="shared" si="68"/>
        <v>5200</v>
      </c>
      <c r="P55" s="188">
        <f t="shared" si="68"/>
        <v>5200</v>
      </c>
      <c r="Q55" s="188">
        <f t="shared" si="68"/>
        <v>5200</v>
      </c>
      <c r="R55" s="188">
        <f t="shared" si="68"/>
        <v>5200</v>
      </c>
      <c r="S55" s="188">
        <f t="shared" si="68"/>
        <v>5200</v>
      </c>
      <c r="T55" s="188">
        <f t="shared" si="68"/>
        <v>5200</v>
      </c>
      <c r="U55" s="188">
        <f t="shared" si="68"/>
        <v>5200</v>
      </c>
      <c r="V55" s="188">
        <f t="shared" si="68"/>
        <v>5200</v>
      </c>
      <c r="W55" s="188">
        <f t="shared" si="68"/>
        <v>5200</v>
      </c>
      <c r="X55" s="188">
        <f t="shared" si="68"/>
        <v>5200</v>
      </c>
      <c r="Y55" s="188">
        <f t="shared" si="68"/>
        <v>5200</v>
      </c>
      <c r="Z55" s="188">
        <f t="shared" si="68"/>
        <v>5200</v>
      </c>
      <c r="AA55" s="188">
        <f t="shared" si="68"/>
        <v>5200</v>
      </c>
      <c r="AB55" s="188">
        <f t="shared" si="68"/>
        <v>5200</v>
      </c>
      <c r="AC55" s="188">
        <f t="shared" si="68"/>
        <v>5200</v>
      </c>
      <c r="AD55" s="188">
        <f t="shared" si="68"/>
        <v>5200</v>
      </c>
      <c r="AE55" s="188">
        <f t="shared" si="68"/>
        <v>5200</v>
      </c>
      <c r="AF55" s="188">
        <f t="shared" si="68"/>
        <v>5200</v>
      </c>
      <c r="AG55" s="188">
        <f t="shared" si="68"/>
        <v>5200</v>
      </c>
      <c r="AH55" s="188">
        <f t="shared" si="68"/>
        <v>5200</v>
      </c>
      <c r="AI55" s="188">
        <f t="shared" si="68"/>
        <v>5200</v>
      </c>
      <c r="AJ55" s="188">
        <f t="shared" si="68"/>
        <v>5200</v>
      </c>
      <c r="AK55" s="188">
        <f t="shared" si="68"/>
        <v>5200</v>
      </c>
      <c r="AL55" s="188">
        <f t="shared" si="68"/>
        <v>5200</v>
      </c>
      <c r="AM55" s="188">
        <f t="shared" si="68"/>
        <v>5200</v>
      </c>
      <c r="AN55" s="188">
        <f t="shared" si="68"/>
        <v>5200</v>
      </c>
      <c r="AO55" s="188">
        <f t="shared" si="68"/>
        <v>5200</v>
      </c>
      <c r="AP55" s="188">
        <f t="shared" si="68"/>
        <v>5200</v>
      </c>
      <c r="AQ55" s="188">
        <f t="shared" si="68"/>
        <v>5200</v>
      </c>
      <c r="AR55" s="188">
        <f t="shared" si="68"/>
        <v>5200</v>
      </c>
      <c r="AS55" s="188">
        <f t="shared" si="68"/>
        <v>5200</v>
      </c>
      <c r="AT55" s="188">
        <f t="shared" si="68"/>
        <v>5200</v>
      </c>
      <c r="AU55" s="188">
        <f t="shared" si="68"/>
        <v>5200</v>
      </c>
      <c r="AV55" s="188">
        <f t="shared" si="68"/>
        <v>5200</v>
      </c>
      <c r="AW55" s="188">
        <f t="shared" si="68"/>
        <v>5200</v>
      </c>
      <c r="AX55" s="188">
        <f t="shared" si="68"/>
        <v>5200</v>
      </c>
      <c r="AY55" s="188">
        <f t="shared" si="68"/>
        <v>5200</v>
      </c>
      <c r="AZ55" s="188">
        <f t="shared" si="68"/>
        <v>5200</v>
      </c>
      <c r="BA55" s="188">
        <f t="shared" si="68"/>
        <v>5200</v>
      </c>
      <c r="BB55" s="188">
        <f t="shared" si="68"/>
        <v>5200</v>
      </c>
      <c r="BC55" s="188">
        <f t="shared" si="68"/>
        <v>5200</v>
      </c>
      <c r="BD55" s="188">
        <f t="shared" si="68"/>
        <v>5200</v>
      </c>
      <c r="BE55" s="188">
        <f t="shared" si="68"/>
        <v>5200</v>
      </c>
      <c r="BF55" s="188">
        <f t="shared" si="68"/>
        <v>5200</v>
      </c>
      <c r="BG55" s="188">
        <f t="shared" si="68"/>
        <v>5200</v>
      </c>
      <c r="BH55" s="188">
        <f t="shared" si="68"/>
        <v>5200</v>
      </c>
      <c r="BI55" s="188">
        <f t="shared" si="68"/>
        <v>5200</v>
      </c>
    </row>
    <row r="56" spans="1:61" ht="12.75" x14ac:dyDescent="0.2">
      <c r="A56" s="6"/>
      <c r="B56" s="15" t="s">
        <v>217</v>
      </c>
      <c r="C56" s="15" t="s">
        <v>215</v>
      </c>
      <c r="D56" s="15" t="str">
        <f t="shared" si="64"/>
        <v>Support</v>
      </c>
      <c r="E56" s="193">
        <v>62400</v>
      </c>
      <c r="F56" s="191">
        <v>43101</v>
      </c>
      <c r="G56" s="191"/>
      <c r="H56" s="192">
        <v>0.09</v>
      </c>
      <c r="I56" s="193">
        <f t="shared" si="65"/>
        <v>208</v>
      </c>
      <c r="J56" s="193">
        <v>500</v>
      </c>
      <c r="K56" s="188"/>
      <c r="N56" s="188">
        <f t="shared" ref="N56:BI56" si="69">IF($F56=0,0, IF(AND(N$1&gt;=$G56,$G56&lt;&gt;0),0,IF(N$1&gt;=$F56,$E56/12,0)))</f>
        <v>5200</v>
      </c>
      <c r="O56" s="188">
        <f t="shared" si="69"/>
        <v>5200</v>
      </c>
      <c r="P56" s="188">
        <f t="shared" si="69"/>
        <v>5200</v>
      </c>
      <c r="Q56" s="188">
        <f t="shared" si="69"/>
        <v>5200</v>
      </c>
      <c r="R56" s="188">
        <f t="shared" si="69"/>
        <v>5200</v>
      </c>
      <c r="S56" s="188">
        <f t="shared" si="69"/>
        <v>5200</v>
      </c>
      <c r="T56" s="188">
        <f t="shared" si="69"/>
        <v>5200</v>
      </c>
      <c r="U56" s="188">
        <f t="shared" si="69"/>
        <v>5200</v>
      </c>
      <c r="V56" s="188">
        <f t="shared" si="69"/>
        <v>5200</v>
      </c>
      <c r="W56" s="188">
        <f t="shared" si="69"/>
        <v>5200</v>
      </c>
      <c r="X56" s="188">
        <f t="shared" si="69"/>
        <v>5200</v>
      </c>
      <c r="Y56" s="188">
        <f t="shared" si="69"/>
        <v>5200</v>
      </c>
      <c r="Z56" s="188">
        <f t="shared" si="69"/>
        <v>5200</v>
      </c>
      <c r="AA56" s="188">
        <f t="shared" si="69"/>
        <v>5200</v>
      </c>
      <c r="AB56" s="188">
        <f t="shared" si="69"/>
        <v>5200</v>
      </c>
      <c r="AC56" s="188">
        <f t="shared" si="69"/>
        <v>5200</v>
      </c>
      <c r="AD56" s="188">
        <f t="shared" si="69"/>
        <v>5200</v>
      </c>
      <c r="AE56" s="188">
        <f t="shared" si="69"/>
        <v>5200</v>
      </c>
      <c r="AF56" s="188">
        <f t="shared" si="69"/>
        <v>5200</v>
      </c>
      <c r="AG56" s="188">
        <f t="shared" si="69"/>
        <v>5200</v>
      </c>
      <c r="AH56" s="188">
        <f t="shared" si="69"/>
        <v>5200</v>
      </c>
      <c r="AI56" s="188">
        <f t="shared" si="69"/>
        <v>5200</v>
      </c>
      <c r="AJ56" s="188">
        <f t="shared" si="69"/>
        <v>5200</v>
      </c>
      <c r="AK56" s="188">
        <f t="shared" si="69"/>
        <v>5200</v>
      </c>
      <c r="AL56" s="188">
        <f t="shared" si="69"/>
        <v>5200</v>
      </c>
      <c r="AM56" s="188">
        <f t="shared" si="69"/>
        <v>5200</v>
      </c>
      <c r="AN56" s="188">
        <f t="shared" si="69"/>
        <v>5200</v>
      </c>
      <c r="AO56" s="188">
        <f t="shared" si="69"/>
        <v>5200</v>
      </c>
      <c r="AP56" s="188">
        <f t="shared" si="69"/>
        <v>5200</v>
      </c>
      <c r="AQ56" s="188">
        <f t="shared" si="69"/>
        <v>5200</v>
      </c>
      <c r="AR56" s="188">
        <f t="shared" si="69"/>
        <v>5200</v>
      </c>
      <c r="AS56" s="188">
        <f t="shared" si="69"/>
        <v>5200</v>
      </c>
      <c r="AT56" s="188">
        <f t="shared" si="69"/>
        <v>5200</v>
      </c>
      <c r="AU56" s="188">
        <f t="shared" si="69"/>
        <v>5200</v>
      </c>
      <c r="AV56" s="188">
        <f t="shared" si="69"/>
        <v>5200</v>
      </c>
      <c r="AW56" s="188">
        <f t="shared" si="69"/>
        <v>5200</v>
      </c>
      <c r="AX56" s="188">
        <f t="shared" si="69"/>
        <v>5200</v>
      </c>
      <c r="AY56" s="188">
        <f t="shared" si="69"/>
        <v>5200</v>
      </c>
      <c r="AZ56" s="188">
        <f t="shared" si="69"/>
        <v>5200</v>
      </c>
      <c r="BA56" s="188">
        <f t="shared" si="69"/>
        <v>5200</v>
      </c>
      <c r="BB56" s="188">
        <f t="shared" si="69"/>
        <v>5200</v>
      </c>
      <c r="BC56" s="188">
        <f t="shared" si="69"/>
        <v>5200</v>
      </c>
      <c r="BD56" s="188">
        <f t="shared" si="69"/>
        <v>5200</v>
      </c>
      <c r="BE56" s="188">
        <f t="shared" si="69"/>
        <v>5200</v>
      </c>
      <c r="BF56" s="188">
        <f t="shared" si="69"/>
        <v>5200</v>
      </c>
      <c r="BG56" s="188">
        <f t="shared" si="69"/>
        <v>5200</v>
      </c>
      <c r="BH56" s="188">
        <f t="shared" si="69"/>
        <v>5200</v>
      </c>
      <c r="BI56" s="188">
        <f t="shared" si="69"/>
        <v>5200</v>
      </c>
    </row>
    <row r="57" spans="1:61" ht="12.75" x14ac:dyDescent="0.2">
      <c r="A57" s="6"/>
      <c r="B57" s="15" t="s">
        <v>218</v>
      </c>
      <c r="C57" s="15" t="s">
        <v>215</v>
      </c>
      <c r="D57" s="15" t="str">
        <f t="shared" si="64"/>
        <v>Support</v>
      </c>
      <c r="E57" s="193">
        <v>62400</v>
      </c>
      <c r="F57" s="191">
        <v>43070</v>
      </c>
      <c r="G57" s="191"/>
      <c r="H57" s="192">
        <v>0.09</v>
      </c>
      <c r="I57" s="193">
        <f t="shared" si="65"/>
        <v>208</v>
      </c>
      <c r="J57" s="193">
        <v>500</v>
      </c>
      <c r="K57" s="188"/>
      <c r="N57" s="188">
        <f t="shared" ref="N57:BI57" si="70">IF($F57=0,0, IF(AND(N$1&gt;=$G57,$G57&lt;&gt;0),0,IF(N$1&gt;=$F57,$E57/12,0)))</f>
        <v>5200</v>
      </c>
      <c r="O57" s="188">
        <f t="shared" si="70"/>
        <v>5200</v>
      </c>
      <c r="P57" s="188">
        <f t="shared" si="70"/>
        <v>5200</v>
      </c>
      <c r="Q57" s="188">
        <f t="shared" si="70"/>
        <v>5200</v>
      </c>
      <c r="R57" s="188">
        <f t="shared" si="70"/>
        <v>5200</v>
      </c>
      <c r="S57" s="188">
        <f t="shared" si="70"/>
        <v>5200</v>
      </c>
      <c r="T57" s="188">
        <f t="shared" si="70"/>
        <v>5200</v>
      </c>
      <c r="U57" s="188">
        <f t="shared" si="70"/>
        <v>5200</v>
      </c>
      <c r="V57" s="188">
        <f t="shared" si="70"/>
        <v>5200</v>
      </c>
      <c r="W57" s="188">
        <f t="shared" si="70"/>
        <v>5200</v>
      </c>
      <c r="X57" s="188">
        <f t="shared" si="70"/>
        <v>5200</v>
      </c>
      <c r="Y57" s="188">
        <f t="shared" si="70"/>
        <v>5200</v>
      </c>
      <c r="Z57" s="188">
        <f t="shared" si="70"/>
        <v>5200</v>
      </c>
      <c r="AA57" s="188">
        <f t="shared" si="70"/>
        <v>5200</v>
      </c>
      <c r="AB57" s="188">
        <f t="shared" si="70"/>
        <v>5200</v>
      </c>
      <c r="AC57" s="188">
        <f t="shared" si="70"/>
        <v>5200</v>
      </c>
      <c r="AD57" s="188">
        <f t="shared" si="70"/>
        <v>5200</v>
      </c>
      <c r="AE57" s="188">
        <f t="shared" si="70"/>
        <v>5200</v>
      </c>
      <c r="AF57" s="188">
        <f t="shared" si="70"/>
        <v>5200</v>
      </c>
      <c r="AG57" s="188">
        <f t="shared" si="70"/>
        <v>5200</v>
      </c>
      <c r="AH57" s="188">
        <f t="shared" si="70"/>
        <v>5200</v>
      </c>
      <c r="AI57" s="188">
        <f t="shared" si="70"/>
        <v>5200</v>
      </c>
      <c r="AJ57" s="188">
        <f t="shared" si="70"/>
        <v>5200</v>
      </c>
      <c r="AK57" s="188">
        <f t="shared" si="70"/>
        <v>5200</v>
      </c>
      <c r="AL57" s="188">
        <f t="shared" si="70"/>
        <v>5200</v>
      </c>
      <c r="AM57" s="188">
        <f t="shared" si="70"/>
        <v>5200</v>
      </c>
      <c r="AN57" s="188">
        <f t="shared" si="70"/>
        <v>5200</v>
      </c>
      <c r="AO57" s="188">
        <f t="shared" si="70"/>
        <v>5200</v>
      </c>
      <c r="AP57" s="188">
        <f t="shared" si="70"/>
        <v>5200</v>
      </c>
      <c r="AQ57" s="188">
        <f t="shared" si="70"/>
        <v>5200</v>
      </c>
      <c r="AR57" s="188">
        <f t="shared" si="70"/>
        <v>5200</v>
      </c>
      <c r="AS57" s="188">
        <f t="shared" si="70"/>
        <v>5200</v>
      </c>
      <c r="AT57" s="188">
        <f t="shared" si="70"/>
        <v>5200</v>
      </c>
      <c r="AU57" s="188">
        <f t="shared" si="70"/>
        <v>5200</v>
      </c>
      <c r="AV57" s="188">
        <f t="shared" si="70"/>
        <v>5200</v>
      </c>
      <c r="AW57" s="188">
        <f t="shared" si="70"/>
        <v>5200</v>
      </c>
      <c r="AX57" s="188">
        <f t="shared" si="70"/>
        <v>5200</v>
      </c>
      <c r="AY57" s="188">
        <f t="shared" si="70"/>
        <v>5200</v>
      </c>
      <c r="AZ57" s="188">
        <f t="shared" si="70"/>
        <v>5200</v>
      </c>
      <c r="BA57" s="188">
        <f t="shared" si="70"/>
        <v>5200</v>
      </c>
      <c r="BB57" s="188">
        <f t="shared" si="70"/>
        <v>5200</v>
      </c>
      <c r="BC57" s="188">
        <f t="shared" si="70"/>
        <v>5200</v>
      </c>
      <c r="BD57" s="188">
        <f t="shared" si="70"/>
        <v>5200</v>
      </c>
      <c r="BE57" s="188">
        <f t="shared" si="70"/>
        <v>5200</v>
      </c>
      <c r="BF57" s="188">
        <f t="shared" si="70"/>
        <v>5200</v>
      </c>
      <c r="BG57" s="188">
        <f t="shared" si="70"/>
        <v>5200</v>
      </c>
      <c r="BH57" s="188">
        <f t="shared" si="70"/>
        <v>5200</v>
      </c>
      <c r="BI57" s="188">
        <f t="shared" si="70"/>
        <v>5200</v>
      </c>
    </row>
    <row r="58" spans="1:61" ht="12.75" x14ac:dyDescent="0.2">
      <c r="A58" s="6"/>
      <c r="B58" s="15" t="s">
        <v>219</v>
      </c>
      <c r="C58" s="15" t="s">
        <v>215</v>
      </c>
      <c r="D58" s="15" t="str">
        <f t="shared" si="64"/>
        <v>Support</v>
      </c>
      <c r="E58" s="193">
        <v>62400</v>
      </c>
      <c r="F58" s="191">
        <v>43174</v>
      </c>
      <c r="G58" s="191"/>
      <c r="H58" s="192">
        <v>0.09</v>
      </c>
      <c r="I58" s="193">
        <f t="shared" si="65"/>
        <v>208</v>
      </c>
      <c r="J58" s="193">
        <v>500</v>
      </c>
      <c r="K58" s="188"/>
      <c r="N58" s="188">
        <f t="shared" ref="N58:BI58" si="71">IF($F58=0,0, IF(AND(N$1&gt;=$G58,$G58&lt;&gt;0),0,IF(N$1&gt;=$F58,$E58/12,0)))</f>
        <v>5200</v>
      </c>
      <c r="O58" s="188">
        <f t="shared" si="71"/>
        <v>5200</v>
      </c>
      <c r="P58" s="188">
        <f t="shared" si="71"/>
        <v>5200</v>
      </c>
      <c r="Q58" s="188">
        <f t="shared" si="71"/>
        <v>5200</v>
      </c>
      <c r="R58" s="188">
        <f t="shared" si="71"/>
        <v>5200</v>
      </c>
      <c r="S58" s="188">
        <f t="shared" si="71"/>
        <v>5200</v>
      </c>
      <c r="T58" s="188">
        <f t="shared" si="71"/>
        <v>5200</v>
      </c>
      <c r="U58" s="188">
        <f t="shared" si="71"/>
        <v>5200</v>
      </c>
      <c r="V58" s="188">
        <f t="shared" si="71"/>
        <v>5200</v>
      </c>
      <c r="W58" s="188">
        <f t="shared" si="71"/>
        <v>5200</v>
      </c>
      <c r="X58" s="188">
        <f t="shared" si="71"/>
        <v>5200</v>
      </c>
      <c r="Y58" s="188">
        <f t="shared" si="71"/>
        <v>5200</v>
      </c>
      <c r="Z58" s="188">
        <f t="shared" si="71"/>
        <v>5200</v>
      </c>
      <c r="AA58" s="188">
        <f t="shared" si="71"/>
        <v>5200</v>
      </c>
      <c r="AB58" s="188">
        <f t="shared" si="71"/>
        <v>5200</v>
      </c>
      <c r="AC58" s="188">
        <f t="shared" si="71"/>
        <v>5200</v>
      </c>
      <c r="AD58" s="188">
        <f t="shared" si="71"/>
        <v>5200</v>
      </c>
      <c r="AE58" s="188">
        <f t="shared" si="71"/>
        <v>5200</v>
      </c>
      <c r="AF58" s="188">
        <f t="shared" si="71"/>
        <v>5200</v>
      </c>
      <c r="AG58" s="188">
        <f t="shared" si="71"/>
        <v>5200</v>
      </c>
      <c r="AH58" s="188">
        <f t="shared" si="71"/>
        <v>5200</v>
      </c>
      <c r="AI58" s="188">
        <f t="shared" si="71"/>
        <v>5200</v>
      </c>
      <c r="AJ58" s="188">
        <f t="shared" si="71"/>
        <v>5200</v>
      </c>
      <c r="AK58" s="188">
        <f t="shared" si="71"/>
        <v>5200</v>
      </c>
      <c r="AL58" s="188">
        <f t="shared" si="71"/>
        <v>5200</v>
      </c>
      <c r="AM58" s="188">
        <f t="shared" si="71"/>
        <v>5200</v>
      </c>
      <c r="AN58" s="188">
        <f t="shared" si="71"/>
        <v>5200</v>
      </c>
      <c r="AO58" s="188">
        <f t="shared" si="71"/>
        <v>5200</v>
      </c>
      <c r="AP58" s="188">
        <f t="shared" si="71"/>
        <v>5200</v>
      </c>
      <c r="AQ58" s="188">
        <f t="shared" si="71"/>
        <v>5200</v>
      </c>
      <c r="AR58" s="188">
        <f t="shared" si="71"/>
        <v>5200</v>
      </c>
      <c r="AS58" s="188">
        <f t="shared" si="71"/>
        <v>5200</v>
      </c>
      <c r="AT58" s="188">
        <f t="shared" si="71"/>
        <v>5200</v>
      </c>
      <c r="AU58" s="188">
        <f t="shared" si="71"/>
        <v>5200</v>
      </c>
      <c r="AV58" s="188">
        <f t="shared" si="71"/>
        <v>5200</v>
      </c>
      <c r="AW58" s="188">
        <f t="shared" si="71"/>
        <v>5200</v>
      </c>
      <c r="AX58" s="188">
        <f t="shared" si="71"/>
        <v>5200</v>
      </c>
      <c r="AY58" s="188">
        <f t="shared" si="71"/>
        <v>5200</v>
      </c>
      <c r="AZ58" s="188">
        <f t="shared" si="71"/>
        <v>5200</v>
      </c>
      <c r="BA58" s="188">
        <f t="shared" si="71"/>
        <v>5200</v>
      </c>
      <c r="BB58" s="188">
        <f t="shared" si="71"/>
        <v>5200</v>
      </c>
      <c r="BC58" s="188">
        <f t="shared" si="71"/>
        <v>5200</v>
      </c>
      <c r="BD58" s="188">
        <f t="shared" si="71"/>
        <v>5200</v>
      </c>
      <c r="BE58" s="188">
        <f t="shared" si="71"/>
        <v>5200</v>
      </c>
      <c r="BF58" s="188">
        <f t="shared" si="71"/>
        <v>5200</v>
      </c>
      <c r="BG58" s="188">
        <f t="shared" si="71"/>
        <v>5200</v>
      </c>
      <c r="BH58" s="188">
        <f t="shared" si="71"/>
        <v>5200</v>
      </c>
      <c r="BI58" s="188">
        <f t="shared" si="71"/>
        <v>5200</v>
      </c>
    </row>
    <row r="59" spans="1:61" ht="12.75" x14ac:dyDescent="0.2">
      <c r="A59" s="6"/>
      <c r="B59" s="15" t="s">
        <v>220</v>
      </c>
      <c r="C59" s="15" t="s">
        <v>215</v>
      </c>
      <c r="D59" s="15" t="str">
        <f t="shared" si="64"/>
        <v>Support</v>
      </c>
      <c r="E59" s="193">
        <v>120000</v>
      </c>
      <c r="F59" s="191">
        <v>43678</v>
      </c>
      <c r="G59" s="191"/>
      <c r="H59" s="192">
        <v>0.09</v>
      </c>
      <c r="I59" s="193">
        <f t="shared" si="65"/>
        <v>400</v>
      </c>
      <c r="J59" s="193">
        <v>500</v>
      </c>
      <c r="K59" s="188"/>
      <c r="N59" s="188">
        <f t="shared" ref="N59:BI59" si="72">IF($F59=0,0, IF(AND(N$1&gt;=$G59,$G59&lt;&gt;0),0,IF(N$1&gt;=$F59,$E59/12,0)))</f>
        <v>10000</v>
      </c>
      <c r="O59" s="188">
        <f t="shared" si="72"/>
        <v>10000</v>
      </c>
      <c r="P59" s="188">
        <f t="shared" si="72"/>
        <v>10000</v>
      </c>
      <c r="Q59" s="188">
        <f t="shared" si="72"/>
        <v>10000</v>
      </c>
      <c r="R59" s="188">
        <f t="shared" si="72"/>
        <v>10000</v>
      </c>
      <c r="S59" s="188">
        <f t="shared" si="72"/>
        <v>10000</v>
      </c>
      <c r="T59" s="188">
        <f t="shared" si="72"/>
        <v>10000</v>
      </c>
      <c r="U59" s="188">
        <f t="shared" si="72"/>
        <v>10000</v>
      </c>
      <c r="V59" s="188">
        <f t="shared" si="72"/>
        <v>10000</v>
      </c>
      <c r="W59" s="188">
        <f t="shared" si="72"/>
        <v>10000</v>
      </c>
      <c r="X59" s="188">
        <f t="shared" si="72"/>
        <v>10000</v>
      </c>
      <c r="Y59" s="188">
        <f t="shared" si="72"/>
        <v>10000</v>
      </c>
      <c r="Z59" s="188">
        <f t="shared" si="72"/>
        <v>10000</v>
      </c>
      <c r="AA59" s="188">
        <f t="shared" si="72"/>
        <v>10000</v>
      </c>
      <c r="AB59" s="188">
        <f t="shared" si="72"/>
        <v>10000</v>
      </c>
      <c r="AC59" s="188">
        <f t="shared" si="72"/>
        <v>10000</v>
      </c>
      <c r="AD59" s="188">
        <f t="shared" si="72"/>
        <v>10000</v>
      </c>
      <c r="AE59" s="188">
        <f t="shared" si="72"/>
        <v>10000</v>
      </c>
      <c r="AF59" s="188">
        <f t="shared" si="72"/>
        <v>10000</v>
      </c>
      <c r="AG59" s="188">
        <f t="shared" si="72"/>
        <v>10000</v>
      </c>
      <c r="AH59" s="188">
        <f t="shared" si="72"/>
        <v>10000</v>
      </c>
      <c r="AI59" s="188">
        <f t="shared" si="72"/>
        <v>10000</v>
      </c>
      <c r="AJ59" s="188">
        <f t="shared" si="72"/>
        <v>10000</v>
      </c>
      <c r="AK59" s="188">
        <f t="shared" si="72"/>
        <v>10000</v>
      </c>
      <c r="AL59" s="188">
        <f t="shared" si="72"/>
        <v>10000</v>
      </c>
      <c r="AM59" s="188">
        <f t="shared" si="72"/>
        <v>10000</v>
      </c>
      <c r="AN59" s="188">
        <f t="shared" si="72"/>
        <v>10000</v>
      </c>
      <c r="AO59" s="188">
        <f t="shared" si="72"/>
        <v>10000</v>
      </c>
      <c r="AP59" s="188">
        <f t="shared" si="72"/>
        <v>10000</v>
      </c>
      <c r="AQ59" s="188">
        <f t="shared" si="72"/>
        <v>10000</v>
      </c>
      <c r="AR59" s="188">
        <f t="shared" si="72"/>
        <v>10000</v>
      </c>
      <c r="AS59" s="188">
        <f t="shared" si="72"/>
        <v>10000</v>
      </c>
      <c r="AT59" s="188">
        <f t="shared" si="72"/>
        <v>10000</v>
      </c>
      <c r="AU59" s="188">
        <f t="shared" si="72"/>
        <v>10000</v>
      </c>
      <c r="AV59" s="188">
        <f t="shared" si="72"/>
        <v>10000</v>
      </c>
      <c r="AW59" s="188">
        <f t="shared" si="72"/>
        <v>10000</v>
      </c>
      <c r="AX59" s="188">
        <f t="shared" si="72"/>
        <v>10000</v>
      </c>
      <c r="AY59" s="188">
        <f t="shared" si="72"/>
        <v>10000</v>
      </c>
      <c r="AZ59" s="188">
        <f t="shared" si="72"/>
        <v>10000</v>
      </c>
      <c r="BA59" s="188">
        <f t="shared" si="72"/>
        <v>10000</v>
      </c>
      <c r="BB59" s="188">
        <f t="shared" si="72"/>
        <v>10000</v>
      </c>
      <c r="BC59" s="188">
        <f t="shared" si="72"/>
        <v>10000</v>
      </c>
      <c r="BD59" s="188">
        <f t="shared" si="72"/>
        <v>10000</v>
      </c>
      <c r="BE59" s="188">
        <f t="shared" si="72"/>
        <v>10000</v>
      </c>
      <c r="BF59" s="188">
        <f t="shared" si="72"/>
        <v>10000</v>
      </c>
      <c r="BG59" s="188">
        <f t="shared" si="72"/>
        <v>10000</v>
      </c>
      <c r="BH59" s="188">
        <f t="shared" si="72"/>
        <v>10000</v>
      </c>
      <c r="BI59" s="188">
        <f t="shared" si="72"/>
        <v>10000</v>
      </c>
    </row>
    <row r="60" spans="1:61" ht="12.75" x14ac:dyDescent="0.2">
      <c r="A60" s="6"/>
      <c r="B60" s="15" t="s">
        <v>221</v>
      </c>
      <c r="C60" s="15" t="s">
        <v>215</v>
      </c>
      <c r="D60" s="15" t="str">
        <f t="shared" si="64"/>
        <v>Support</v>
      </c>
      <c r="E60" s="193">
        <v>62400</v>
      </c>
      <c r="F60" s="191">
        <v>42887</v>
      </c>
      <c r="G60" s="191"/>
      <c r="H60" s="192">
        <v>0.09</v>
      </c>
      <c r="I60" s="193">
        <f t="shared" si="65"/>
        <v>208</v>
      </c>
      <c r="J60" s="193">
        <v>500</v>
      </c>
      <c r="K60" s="188">
        <f t="shared" ref="K60:K64" si="73">SUM(I60:J60)</f>
        <v>708</v>
      </c>
      <c r="N60" s="188">
        <f t="shared" ref="N60:BI60" si="74">IF($F60=0,0, IF(AND(N$1&gt;=$G60,$G60&lt;&gt;0),0,IF(N$1&gt;=$F60,$E60/12,0)))</f>
        <v>5200</v>
      </c>
      <c r="O60" s="188">
        <f t="shared" si="74"/>
        <v>5200</v>
      </c>
      <c r="P60" s="188">
        <f t="shared" si="74"/>
        <v>5200</v>
      </c>
      <c r="Q60" s="188">
        <f t="shared" si="74"/>
        <v>5200</v>
      </c>
      <c r="R60" s="188">
        <f t="shared" si="74"/>
        <v>5200</v>
      </c>
      <c r="S60" s="188">
        <f t="shared" si="74"/>
        <v>5200</v>
      </c>
      <c r="T60" s="188">
        <f t="shared" si="74"/>
        <v>5200</v>
      </c>
      <c r="U60" s="188">
        <f t="shared" si="74"/>
        <v>5200</v>
      </c>
      <c r="V60" s="188">
        <f t="shared" si="74"/>
        <v>5200</v>
      </c>
      <c r="W60" s="188">
        <f t="shared" si="74"/>
        <v>5200</v>
      </c>
      <c r="X60" s="188">
        <f t="shared" si="74"/>
        <v>5200</v>
      </c>
      <c r="Y60" s="188">
        <f t="shared" si="74"/>
        <v>5200</v>
      </c>
      <c r="Z60" s="188">
        <f t="shared" si="74"/>
        <v>5200</v>
      </c>
      <c r="AA60" s="188">
        <f t="shared" si="74"/>
        <v>5200</v>
      </c>
      <c r="AB60" s="188">
        <f t="shared" si="74"/>
        <v>5200</v>
      </c>
      <c r="AC60" s="188">
        <f t="shared" si="74"/>
        <v>5200</v>
      </c>
      <c r="AD60" s="188">
        <f t="shared" si="74"/>
        <v>5200</v>
      </c>
      <c r="AE60" s="188">
        <f t="shared" si="74"/>
        <v>5200</v>
      </c>
      <c r="AF60" s="188">
        <f t="shared" si="74"/>
        <v>5200</v>
      </c>
      <c r="AG60" s="188">
        <f t="shared" si="74"/>
        <v>5200</v>
      </c>
      <c r="AH60" s="188">
        <f t="shared" si="74"/>
        <v>5200</v>
      </c>
      <c r="AI60" s="188">
        <f t="shared" si="74"/>
        <v>5200</v>
      </c>
      <c r="AJ60" s="188">
        <f t="shared" si="74"/>
        <v>5200</v>
      </c>
      <c r="AK60" s="188">
        <f t="shared" si="74"/>
        <v>5200</v>
      </c>
      <c r="AL60" s="188">
        <f t="shared" si="74"/>
        <v>5200</v>
      </c>
      <c r="AM60" s="188">
        <f t="shared" si="74"/>
        <v>5200</v>
      </c>
      <c r="AN60" s="188">
        <f t="shared" si="74"/>
        <v>5200</v>
      </c>
      <c r="AO60" s="188">
        <f t="shared" si="74"/>
        <v>5200</v>
      </c>
      <c r="AP60" s="188">
        <f t="shared" si="74"/>
        <v>5200</v>
      </c>
      <c r="AQ60" s="188">
        <f t="shared" si="74"/>
        <v>5200</v>
      </c>
      <c r="AR60" s="188">
        <f t="shared" si="74"/>
        <v>5200</v>
      </c>
      <c r="AS60" s="188">
        <f t="shared" si="74"/>
        <v>5200</v>
      </c>
      <c r="AT60" s="188">
        <f t="shared" si="74"/>
        <v>5200</v>
      </c>
      <c r="AU60" s="188">
        <f t="shared" si="74"/>
        <v>5200</v>
      </c>
      <c r="AV60" s="188">
        <f t="shared" si="74"/>
        <v>5200</v>
      </c>
      <c r="AW60" s="188">
        <f t="shared" si="74"/>
        <v>5200</v>
      </c>
      <c r="AX60" s="188">
        <f t="shared" si="74"/>
        <v>5200</v>
      </c>
      <c r="AY60" s="188">
        <f t="shared" si="74"/>
        <v>5200</v>
      </c>
      <c r="AZ60" s="188">
        <f t="shared" si="74"/>
        <v>5200</v>
      </c>
      <c r="BA60" s="188">
        <f t="shared" si="74"/>
        <v>5200</v>
      </c>
      <c r="BB60" s="188">
        <f t="shared" si="74"/>
        <v>5200</v>
      </c>
      <c r="BC60" s="188">
        <f t="shared" si="74"/>
        <v>5200</v>
      </c>
      <c r="BD60" s="188">
        <f t="shared" si="74"/>
        <v>5200</v>
      </c>
      <c r="BE60" s="188">
        <f t="shared" si="74"/>
        <v>5200</v>
      </c>
      <c r="BF60" s="188">
        <f t="shared" si="74"/>
        <v>5200</v>
      </c>
      <c r="BG60" s="188">
        <f t="shared" si="74"/>
        <v>5200</v>
      </c>
      <c r="BH60" s="188">
        <f t="shared" si="74"/>
        <v>5200</v>
      </c>
      <c r="BI60" s="188">
        <f t="shared" si="74"/>
        <v>5200</v>
      </c>
    </row>
    <row r="61" spans="1:61" ht="12.75" x14ac:dyDescent="0.2">
      <c r="A61" s="6"/>
      <c r="B61" s="15" t="s">
        <v>222</v>
      </c>
      <c r="C61" s="15" t="s">
        <v>215</v>
      </c>
      <c r="D61" s="15" t="str">
        <f t="shared" si="64"/>
        <v>Support</v>
      </c>
      <c r="E61" s="193">
        <v>80000</v>
      </c>
      <c r="F61" s="191">
        <v>43800</v>
      </c>
      <c r="G61" s="191"/>
      <c r="H61" s="192">
        <v>0.09</v>
      </c>
      <c r="I61" s="193">
        <f t="shared" si="65"/>
        <v>266.66666666666669</v>
      </c>
      <c r="J61" s="193">
        <v>500</v>
      </c>
      <c r="K61" s="188">
        <f t="shared" si="73"/>
        <v>766.66666666666674</v>
      </c>
      <c r="N61" s="188">
        <f t="shared" ref="N61:BI61" si="75">IF($F61=0,0, IF(AND(N$1&gt;=$G61,$G61&lt;&gt;0),0,IF(N$1&gt;=$F61,$E61/12,0)))</f>
        <v>6666.666666666667</v>
      </c>
      <c r="O61" s="188">
        <f t="shared" si="75"/>
        <v>6666.666666666667</v>
      </c>
      <c r="P61" s="188">
        <f t="shared" si="75"/>
        <v>6666.666666666667</v>
      </c>
      <c r="Q61" s="188">
        <f t="shared" si="75"/>
        <v>6666.666666666667</v>
      </c>
      <c r="R61" s="188">
        <f t="shared" si="75"/>
        <v>6666.666666666667</v>
      </c>
      <c r="S61" s="188">
        <f t="shared" si="75"/>
        <v>6666.666666666667</v>
      </c>
      <c r="T61" s="188">
        <f t="shared" si="75"/>
        <v>6666.666666666667</v>
      </c>
      <c r="U61" s="188">
        <f t="shared" si="75"/>
        <v>6666.666666666667</v>
      </c>
      <c r="V61" s="188">
        <f t="shared" si="75"/>
        <v>6666.666666666667</v>
      </c>
      <c r="W61" s="188">
        <f t="shared" si="75"/>
        <v>6666.666666666667</v>
      </c>
      <c r="X61" s="188">
        <f t="shared" si="75"/>
        <v>6666.666666666667</v>
      </c>
      <c r="Y61" s="188">
        <f t="shared" si="75"/>
        <v>6666.666666666667</v>
      </c>
      <c r="Z61" s="188">
        <f t="shared" si="75"/>
        <v>6666.666666666667</v>
      </c>
      <c r="AA61" s="188">
        <f t="shared" si="75"/>
        <v>6666.666666666667</v>
      </c>
      <c r="AB61" s="188">
        <f t="shared" si="75"/>
        <v>6666.666666666667</v>
      </c>
      <c r="AC61" s="188">
        <f t="shared" si="75"/>
        <v>6666.666666666667</v>
      </c>
      <c r="AD61" s="188">
        <f t="shared" si="75"/>
        <v>6666.666666666667</v>
      </c>
      <c r="AE61" s="188">
        <f t="shared" si="75"/>
        <v>6666.666666666667</v>
      </c>
      <c r="AF61" s="188">
        <f t="shared" si="75"/>
        <v>6666.666666666667</v>
      </c>
      <c r="AG61" s="188">
        <f t="shared" si="75"/>
        <v>6666.666666666667</v>
      </c>
      <c r="AH61" s="188">
        <f t="shared" si="75"/>
        <v>6666.666666666667</v>
      </c>
      <c r="AI61" s="188">
        <f t="shared" si="75"/>
        <v>6666.666666666667</v>
      </c>
      <c r="AJ61" s="188">
        <f t="shared" si="75"/>
        <v>6666.666666666667</v>
      </c>
      <c r="AK61" s="188">
        <f t="shared" si="75"/>
        <v>6666.666666666667</v>
      </c>
      <c r="AL61" s="188">
        <f t="shared" si="75"/>
        <v>6666.666666666667</v>
      </c>
      <c r="AM61" s="188">
        <f t="shared" si="75"/>
        <v>6666.666666666667</v>
      </c>
      <c r="AN61" s="188">
        <f t="shared" si="75"/>
        <v>6666.666666666667</v>
      </c>
      <c r="AO61" s="188">
        <f t="shared" si="75"/>
        <v>6666.666666666667</v>
      </c>
      <c r="AP61" s="188">
        <f t="shared" si="75"/>
        <v>6666.666666666667</v>
      </c>
      <c r="AQ61" s="188">
        <f t="shared" si="75"/>
        <v>6666.666666666667</v>
      </c>
      <c r="AR61" s="188">
        <f t="shared" si="75"/>
        <v>6666.666666666667</v>
      </c>
      <c r="AS61" s="188">
        <f t="shared" si="75"/>
        <v>6666.666666666667</v>
      </c>
      <c r="AT61" s="188">
        <f t="shared" si="75"/>
        <v>6666.666666666667</v>
      </c>
      <c r="AU61" s="188">
        <f t="shared" si="75"/>
        <v>6666.666666666667</v>
      </c>
      <c r="AV61" s="188">
        <f t="shared" si="75"/>
        <v>6666.666666666667</v>
      </c>
      <c r="AW61" s="188">
        <f t="shared" si="75"/>
        <v>6666.666666666667</v>
      </c>
      <c r="AX61" s="188">
        <f t="shared" si="75"/>
        <v>6666.666666666667</v>
      </c>
      <c r="AY61" s="188">
        <f t="shared" si="75"/>
        <v>6666.666666666667</v>
      </c>
      <c r="AZ61" s="188">
        <f t="shared" si="75"/>
        <v>6666.666666666667</v>
      </c>
      <c r="BA61" s="188">
        <f t="shared" si="75"/>
        <v>6666.666666666667</v>
      </c>
      <c r="BB61" s="188">
        <f t="shared" si="75"/>
        <v>6666.666666666667</v>
      </c>
      <c r="BC61" s="188">
        <f t="shared" si="75"/>
        <v>6666.666666666667</v>
      </c>
      <c r="BD61" s="188">
        <f t="shared" si="75"/>
        <v>6666.666666666667</v>
      </c>
      <c r="BE61" s="188">
        <f t="shared" si="75"/>
        <v>6666.666666666667</v>
      </c>
      <c r="BF61" s="188">
        <f t="shared" si="75"/>
        <v>6666.666666666667</v>
      </c>
      <c r="BG61" s="188">
        <f t="shared" si="75"/>
        <v>6666.666666666667</v>
      </c>
      <c r="BH61" s="188">
        <f t="shared" si="75"/>
        <v>6666.666666666667</v>
      </c>
      <c r="BI61" s="188">
        <f t="shared" si="75"/>
        <v>6666.666666666667</v>
      </c>
    </row>
    <row r="62" spans="1:61" ht="12.75" x14ac:dyDescent="0.2">
      <c r="A62" s="6"/>
      <c r="B62" s="15" t="s">
        <v>223</v>
      </c>
      <c r="C62" s="15" t="s">
        <v>215</v>
      </c>
      <c r="D62" s="15" t="str">
        <f t="shared" si="64"/>
        <v>Support</v>
      </c>
      <c r="E62" s="193">
        <v>80000</v>
      </c>
      <c r="F62" s="199">
        <v>44105</v>
      </c>
      <c r="G62" s="191"/>
      <c r="H62" s="192">
        <v>0.09</v>
      </c>
      <c r="I62" s="193">
        <f t="shared" si="65"/>
        <v>266.66666666666669</v>
      </c>
      <c r="J62" s="193">
        <v>500</v>
      </c>
      <c r="K62" s="188">
        <f t="shared" si="73"/>
        <v>766.66666666666674</v>
      </c>
      <c r="N62" s="188">
        <f t="shared" ref="N62:BI62" si="76">IF($F62=0,0, IF(AND(N$1&gt;=$G62,$G62&lt;&gt;0),0,IF(N$1&gt;=$F62,$E62/12,0)))</f>
        <v>0</v>
      </c>
      <c r="O62" s="188">
        <f t="shared" si="76"/>
        <v>0</v>
      </c>
      <c r="P62" s="188">
        <f t="shared" si="76"/>
        <v>0</v>
      </c>
      <c r="Q62" s="188">
        <f t="shared" si="76"/>
        <v>0</v>
      </c>
      <c r="R62" s="188">
        <f t="shared" si="76"/>
        <v>0</v>
      </c>
      <c r="S62" s="188">
        <f t="shared" si="76"/>
        <v>6666.666666666667</v>
      </c>
      <c r="T62" s="188">
        <f t="shared" si="76"/>
        <v>6666.666666666667</v>
      </c>
      <c r="U62" s="188">
        <f t="shared" si="76"/>
        <v>6666.666666666667</v>
      </c>
      <c r="V62" s="188">
        <f t="shared" si="76"/>
        <v>6666.666666666667</v>
      </c>
      <c r="W62" s="188">
        <f t="shared" si="76"/>
        <v>6666.666666666667</v>
      </c>
      <c r="X62" s="188">
        <f t="shared" si="76"/>
        <v>6666.666666666667</v>
      </c>
      <c r="Y62" s="188">
        <f t="shared" si="76"/>
        <v>6666.666666666667</v>
      </c>
      <c r="Z62" s="188">
        <f t="shared" si="76"/>
        <v>6666.666666666667</v>
      </c>
      <c r="AA62" s="188">
        <f t="shared" si="76"/>
        <v>6666.666666666667</v>
      </c>
      <c r="AB62" s="188">
        <f t="shared" si="76"/>
        <v>6666.666666666667</v>
      </c>
      <c r="AC62" s="188">
        <f t="shared" si="76"/>
        <v>6666.666666666667</v>
      </c>
      <c r="AD62" s="188">
        <f t="shared" si="76"/>
        <v>6666.666666666667</v>
      </c>
      <c r="AE62" s="188">
        <f t="shared" si="76"/>
        <v>6666.666666666667</v>
      </c>
      <c r="AF62" s="188">
        <f t="shared" si="76"/>
        <v>6666.666666666667</v>
      </c>
      <c r="AG62" s="188">
        <f t="shared" si="76"/>
        <v>6666.666666666667</v>
      </c>
      <c r="AH62" s="188">
        <f t="shared" si="76"/>
        <v>6666.666666666667</v>
      </c>
      <c r="AI62" s="188">
        <f t="shared" si="76"/>
        <v>6666.666666666667</v>
      </c>
      <c r="AJ62" s="188">
        <f t="shared" si="76"/>
        <v>6666.666666666667</v>
      </c>
      <c r="AK62" s="188">
        <f t="shared" si="76"/>
        <v>6666.666666666667</v>
      </c>
      <c r="AL62" s="188">
        <f t="shared" si="76"/>
        <v>6666.666666666667</v>
      </c>
      <c r="AM62" s="188">
        <f t="shared" si="76"/>
        <v>6666.666666666667</v>
      </c>
      <c r="AN62" s="188">
        <f t="shared" si="76"/>
        <v>6666.666666666667</v>
      </c>
      <c r="AO62" s="188">
        <f t="shared" si="76"/>
        <v>6666.666666666667</v>
      </c>
      <c r="AP62" s="188">
        <f t="shared" si="76"/>
        <v>6666.666666666667</v>
      </c>
      <c r="AQ62" s="188">
        <f t="shared" si="76"/>
        <v>6666.666666666667</v>
      </c>
      <c r="AR62" s="188">
        <f t="shared" si="76"/>
        <v>6666.666666666667</v>
      </c>
      <c r="AS62" s="188">
        <f t="shared" si="76"/>
        <v>6666.666666666667</v>
      </c>
      <c r="AT62" s="188">
        <f t="shared" si="76"/>
        <v>6666.666666666667</v>
      </c>
      <c r="AU62" s="188">
        <f t="shared" si="76"/>
        <v>6666.666666666667</v>
      </c>
      <c r="AV62" s="188">
        <f t="shared" si="76"/>
        <v>6666.666666666667</v>
      </c>
      <c r="AW62" s="188">
        <f t="shared" si="76"/>
        <v>6666.666666666667</v>
      </c>
      <c r="AX62" s="188">
        <f t="shared" si="76"/>
        <v>6666.666666666667</v>
      </c>
      <c r="AY62" s="188">
        <f t="shared" si="76"/>
        <v>6666.666666666667</v>
      </c>
      <c r="AZ62" s="188">
        <f t="shared" si="76"/>
        <v>6666.666666666667</v>
      </c>
      <c r="BA62" s="188">
        <f t="shared" si="76"/>
        <v>6666.666666666667</v>
      </c>
      <c r="BB62" s="188">
        <f t="shared" si="76"/>
        <v>6666.666666666667</v>
      </c>
      <c r="BC62" s="188">
        <f t="shared" si="76"/>
        <v>6666.666666666667</v>
      </c>
      <c r="BD62" s="188">
        <f t="shared" si="76"/>
        <v>6666.666666666667</v>
      </c>
      <c r="BE62" s="188">
        <f t="shared" si="76"/>
        <v>6666.666666666667</v>
      </c>
      <c r="BF62" s="188">
        <f t="shared" si="76"/>
        <v>6666.666666666667</v>
      </c>
      <c r="BG62" s="188">
        <f t="shared" si="76"/>
        <v>6666.666666666667</v>
      </c>
      <c r="BH62" s="188">
        <f t="shared" si="76"/>
        <v>6666.666666666667</v>
      </c>
      <c r="BI62" s="188">
        <f t="shared" si="76"/>
        <v>6666.666666666667</v>
      </c>
    </row>
    <row r="63" spans="1:61" ht="12.75" x14ac:dyDescent="0.2">
      <c r="A63" s="6"/>
      <c r="B63" s="15" t="s">
        <v>224</v>
      </c>
      <c r="C63" s="15" t="s">
        <v>215</v>
      </c>
      <c r="D63" s="15" t="str">
        <f t="shared" si="64"/>
        <v>Support</v>
      </c>
      <c r="E63" s="193">
        <v>85000</v>
      </c>
      <c r="F63" s="202">
        <f t="shared" ref="F63:F64" si="77">EDATE(F62,2)</f>
        <v>44166</v>
      </c>
      <c r="G63" s="191"/>
      <c r="H63" s="192">
        <v>0.09</v>
      </c>
      <c r="I63" s="193">
        <f t="shared" si="65"/>
        <v>283.33333333333331</v>
      </c>
      <c r="J63" s="193">
        <v>500</v>
      </c>
      <c r="K63" s="188">
        <f t="shared" si="73"/>
        <v>783.33333333333326</v>
      </c>
      <c r="N63" s="188">
        <f t="shared" ref="N63:BI63" si="78">IF($F63=0,0, IF(AND(N$1&gt;=$G63,$G63&lt;&gt;0),0,IF(N$1&gt;=$F63,$E63/12,0)))</f>
        <v>0</v>
      </c>
      <c r="O63" s="188">
        <f t="shared" si="78"/>
        <v>0</v>
      </c>
      <c r="P63" s="188">
        <f t="shared" si="78"/>
        <v>0</v>
      </c>
      <c r="Q63" s="188">
        <f t="shared" si="78"/>
        <v>0</v>
      </c>
      <c r="R63" s="188">
        <f t="shared" si="78"/>
        <v>0</v>
      </c>
      <c r="S63" s="188">
        <f t="shared" si="78"/>
        <v>0</v>
      </c>
      <c r="T63" s="188">
        <f t="shared" si="78"/>
        <v>0</v>
      </c>
      <c r="U63" s="188">
        <f t="shared" si="78"/>
        <v>7083.333333333333</v>
      </c>
      <c r="V63" s="188">
        <f t="shared" si="78"/>
        <v>7083.333333333333</v>
      </c>
      <c r="W63" s="188">
        <f t="shared" si="78"/>
        <v>7083.333333333333</v>
      </c>
      <c r="X63" s="188">
        <f t="shared" si="78"/>
        <v>7083.333333333333</v>
      </c>
      <c r="Y63" s="188">
        <f t="shared" si="78"/>
        <v>7083.333333333333</v>
      </c>
      <c r="Z63" s="188">
        <f t="shared" si="78"/>
        <v>7083.333333333333</v>
      </c>
      <c r="AA63" s="188">
        <f t="shared" si="78"/>
        <v>7083.333333333333</v>
      </c>
      <c r="AB63" s="188">
        <f t="shared" si="78"/>
        <v>7083.333333333333</v>
      </c>
      <c r="AC63" s="188">
        <f t="shared" si="78"/>
        <v>7083.333333333333</v>
      </c>
      <c r="AD63" s="188">
        <f t="shared" si="78"/>
        <v>7083.333333333333</v>
      </c>
      <c r="AE63" s="188">
        <f t="shared" si="78"/>
        <v>7083.333333333333</v>
      </c>
      <c r="AF63" s="188">
        <f t="shared" si="78"/>
        <v>7083.333333333333</v>
      </c>
      <c r="AG63" s="188">
        <f t="shared" si="78"/>
        <v>7083.333333333333</v>
      </c>
      <c r="AH63" s="188">
        <f t="shared" si="78"/>
        <v>7083.333333333333</v>
      </c>
      <c r="AI63" s="188">
        <f t="shared" si="78"/>
        <v>7083.333333333333</v>
      </c>
      <c r="AJ63" s="188">
        <f t="shared" si="78"/>
        <v>7083.333333333333</v>
      </c>
      <c r="AK63" s="188">
        <f t="shared" si="78"/>
        <v>7083.333333333333</v>
      </c>
      <c r="AL63" s="188">
        <f t="shared" si="78"/>
        <v>7083.333333333333</v>
      </c>
      <c r="AM63" s="188">
        <f t="shared" si="78"/>
        <v>7083.333333333333</v>
      </c>
      <c r="AN63" s="188">
        <f t="shared" si="78"/>
        <v>7083.333333333333</v>
      </c>
      <c r="AO63" s="188">
        <f t="shared" si="78"/>
        <v>7083.333333333333</v>
      </c>
      <c r="AP63" s="188">
        <f t="shared" si="78"/>
        <v>7083.333333333333</v>
      </c>
      <c r="AQ63" s="188">
        <f t="shared" si="78"/>
        <v>7083.333333333333</v>
      </c>
      <c r="AR63" s="188">
        <f t="shared" si="78"/>
        <v>7083.333333333333</v>
      </c>
      <c r="AS63" s="188">
        <f t="shared" si="78"/>
        <v>7083.333333333333</v>
      </c>
      <c r="AT63" s="188">
        <f t="shared" si="78"/>
        <v>7083.333333333333</v>
      </c>
      <c r="AU63" s="188">
        <f t="shared" si="78"/>
        <v>7083.333333333333</v>
      </c>
      <c r="AV63" s="188">
        <f t="shared" si="78"/>
        <v>7083.333333333333</v>
      </c>
      <c r="AW63" s="188">
        <f t="shared" si="78"/>
        <v>7083.333333333333</v>
      </c>
      <c r="AX63" s="188">
        <f t="shared" si="78"/>
        <v>7083.333333333333</v>
      </c>
      <c r="AY63" s="188">
        <f t="shared" si="78"/>
        <v>7083.333333333333</v>
      </c>
      <c r="AZ63" s="188">
        <f t="shared" si="78"/>
        <v>7083.333333333333</v>
      </c>
      <c r="BA63" s="188">
        <f t="shared" si="78"/>
        <v>7083.333333333333</v>
      </c>
      <c r="BB63" s="188">
        <f t="shared" si="78"/>
        <v>7083.333333333333</v>
      </c>
      <c r="BC63" s="188">
        <f t="shared" si="78"/>
        <v>7083.333333333333</v>
      </c>
      <c r="BD63" s="188">
        <f t="shared" si="78"/>
        <v>7083.333333333333</v>
      </c>
      <c r="BE63" s="188">
        <f t="shared" si="78"/>
        <v>7083.333333333333</v>
      </c>
      <c r="BF63" s="188">
        <f t="shared" si="78"/>
        <v>7083.333333333333</v>
      </c>
      <c r="BG63" s="188">
        <f t="shared" si="78"/>
        <v>7083.333333333333</v>
      </c>
      <c r="BH63" s="188">
        <f t="shared" si="78"/>
        <v>7083.333333333333</v>
      </c>
      <c r="BI63" s="188">
        <f t="shared" si="78"/>
        <v>7083.333333333333</v>
      </c>
    </row>
    <row r="64" spans="1:61" ht="12.75" x14ac:dyDescent="0.2">
      <c r="A64" s="6"/>
      <c r="B64" s="15" t="s">
        <v>225</v>
      </c>
      <c r="C64" s="15" t="s">
        <v>215</v>
      </c>
      <c r="D64" s="15" t="str">
        <f t="shared" si="64"/>
        <v>Support</v>
      </c>
      <c r="E64" s="193">
        <v>80000</v>
      </c>
      <c r="F64" s="202">
        <f t="shared" si="77"/>
        <v>44228</v>
      </c>
      <c r="G64" s="191"/>
      <c r="H64" s="192">
        <v>0.09</v>
      </c>
      <c r="I64" s="193">
        <f t="shared" si="65"/>
        <v>266.66666666666669</v>
      </c>
      <c r="J64" s="193">
        <v>500</v>
      </c>
      <c r="K64" s="188">
        <f t="shared" si="73"/>
        <v>766.66666666666674</v>
      </c>
      <c r="N64" s="188">
        <f t="shared" ref="N64:BI64" si="79">IF($F64=0,0, IF(AND(N$1&gt;=$G64,$G64&lt;&gt;0),0,IF(N$1&gt;=$F64,$E64/12,0)))</f>
        <v>0</v>
      </c>
      <c r="O64" s="188">
        <f t="shared" si="79"/>
        <v>0</v>
      </c>
      <c r="P64" s="188">
        <f t="shared" si="79"/>
        <v>0</v>
      </c>
      <c r="Q64" s="188">
        <f t="shared" si="79"/>
        <v>0</v>
      </c>
      <c r="R64" s="188">
        <f t="shared" si="79"/>
        <v>0</v>
      </c>
      <c r="S64" s="188">
        <f t="shared" si="79"/>
        <v>0</v>
      </c>
      <c r="T64" s="188">
        <f t="shared" si="79"/>
        <v>0</v>
      </c>
      <c r="U64" s="188">
        <f t="shared" si="79"/>
        <v>0</v>
      </c>
      <c r="V64" s="188">
        <f t="shared" si="79"/>
        <v>0</v>
      </c>
      <c r="W64" s="188">
        <f t="shared" si="79"/>
        <v>6666.666666666667</v>
      </c>
      <c r="X64" s="188">
        <f t="shared" si="79"/>
        <v>6666.666666666667</v>
      </c>
      <c r="Y64" s="188">
        <f t="shared" si="79"/>
        <v>6666.666666666667</v>
      </c>
      <c r="Z64" s="188">
        <f t="shared" si="79"/>
        <v>6666.666666666667</v>
      </c>
      <c r="AA64" s="188">
        <f t="shared" si="79"/>
        <v>6666.666666666667</v>
      </c>
      <c r="AB64" s="188">
        <f t="shared" si="79"/>
        <v>6666.666666666667</v>
      </c>
      <c r="AC64" s="188">
        <f t="shared" si="79"/>
        <v>6666.666666666667</v>
      </c>
      <c r="AD64" s="188">
        <f t="shared" si="79"/>
        <v>6666.666666666667</v>
      </c>
      <c r="AE64" s="188">
        <f t="shared" si="79"/>
        <v>6666.666666666667</v>
      </c>
      <c r="AF64" s="188">
        <f t="shared" si="79"/>
        <v>6666.666666666667</v>
      </c>
      <c r="AG64" s="188">
        <f t="shared" si="79"/>
        <v>6666.666666666667</v>
      </c>
      <c r="AH64" s="188">
        <f t="shared" si="79"/>
        <v>6666.666666666667</v>
      </c>
      <c r="AI64" s="188">
        <f t="shared" si="79"/>
        <v>6666.666666666667</v>
      </c>
      <c r="AJ64" s="188">
        <f t="shared" si="79"/>
        <v>6666.666666666667</v>
      </c>
      <c r="AK64" s="188">
        <f t="shared" si="79"/>
        <v>6666.666666666667</v>
      </c>
      <c r="AL64" s="188">
        <f t="shared" si="79"/>
        <v>6666.666666666667</v>
      </c>
      <c r="AM64" s="188">
        <f t="shared" si="79"/>
        <v>6666.666666666667</v>
      </c>
      <c r="AN64" s="188">
        <f t="shared" si="79"/>
        <v>6666.666666666667</v>
      </c>
      <c r="AO64" s="188">
        <f t="shared" si="79"/>
        <v>6666.666666666667</v>
      </c>
      <c r="AP64" s="188">
        <f t="shared" si="79"/>
        <v>6666.666666666667</v>
      </c>
      <c r="AQ64" s="188">
        <f t="shared" si="79"/>
        <v>6666.666666666667</v>
      </c>
      <c r="AR64" s="188">
        <f t="shared" si="79"/>
        <v>6666.666666666667</v>
      </c>
      <c r="AS64" s="188">
        <f t="shared" si="79"/>
        <v>6666.666666666667</v>
      </c>
      <c r="AT64" s="188">
        <f t="shared" si="79"/>
        <v>6666.666666666667</v>
      </c>
      <c r="AU64" s="188">
        <f t="shared" si="79"/>
        <v>6666.666666666667</v>
      </c>
      <c r="AV64" s="188">
        <f t="shared" si="79"/>
        <v>6666.666666666667</v>
      </c>
      <c r="AW64" s="188">
        <f t="shared" si="79"/>
        <v>6666.666666666667</v>
      </c>
      <c r="AX64" s="188">
        <f t="shared" si="79"/>
        <v>6666.666666666667</v>
      </c>
      <c r="AY64" s="188">
        <f t="shared" si="79"/>
        <v>6666.666666666667</v>
      </c>
      <c r="AZ64" s="188">
        <f t="shared" si="79"/>
        <v>6666.666666666667</v>
      </c>
      <c r="BA64" s="188">
        <f t="shared" si="79"/>
        <v>6666.666666666667</v>
      </c>
      <c r="BB64" s="188">
        <f t="shared" si="79"/>
        <v>6666.666666666667</v>
      </c>
      <c r="BC64" s="188">
        <f t="shared" si="79"/>
        <v>6666.666666666667</v>
      </c>
      <c r="BD64" s="188">
        <f t="shared" si="79"/>
        <v>6666.666666666667</v>
      </c>
      <c r="BE64" s="188">
        <f t="shared" si="79"/>
        <v>6666.666666666667</v>
      </c>
      <c r="BF64" s="188">
        <f t="shared" si="79"/>
        <v>6666.666666666667</v>
      </c>
      <c r="BG64" s="188">
        <f t="shared" si="79"/>
        <v>6666.666666666667</v>
      </c>
      <c r="BH64" s="188">
        <f t="shared" si="79"/>
        <v>6666.666666666667</v>
      </c>
      <c r="BI64" s="188">
        <f t="shared" si="79"/>
        <v>6666.666666666667</v>
      </c>
    </row>
    <row r="65" spans="1:61" ht="12.75" x14ac:dyDescent="0.2">
      <c r="A65" s="209" t="s">
        <v>226</v>
      </c>
      <c r="B65" s="210"/>
      <c r="C65" s="210"/>
      <c r="D65" s="210"/>
      <c r="E65" s="210"/>
      <c r="F65" s="210"/>
      <c r="G65" s="210"/>
      <c r="H65" s="210"/>
      <c r="I65" s="210"/>
      <c r="J65" s="210"/>
      <c r="K65" s="211"/>
      <c r="L65" s="212"/>
      <c r="M65" s="212"/>
      <c r="N65" s="213">
        <f t="shared" ref="N65:BI65" si="80">SUM(N4:N64)</f>
        <v>343450.00000000006</v>
      </c>
      <c r="O65" s="213">
        <f t="shared" si="80"/>
        <v>343450.00000000006</v>
      </c>
      <c r="P65" s="213">
        <f t="shared" si="80"/>
        <v>343450.00000000006</v>
      </c>
      <c r="Q65" s="213">
        <f t="shared" si="80"/>
        <v>343450.00000000006</v>
      </c>
      <c r="R65" s="213">
        <f t="shared" si="80"/>
        <v>343450.00000000006</v>
      </c>
      <c r="S65" s="213">
        <f t="shared" si="80"/>
        <v>392200</v>
      </c>
      <c r="T65" s="213">
        <f t="shared" si="80"/>
        <v>392200</v>
      </c>
      <c r="U65" s="213">
        <f t="shared" si="80"/>
        <v>425949.99999999994</v>
      </c>
      <c r="V65" s="213">
        <f t="shared" si="80"/>
        <v>440533.33333333326</v>
      </c>
      <c r="W65" s="213">
        <f t="shared" si="80"/>
        <v>473866.66666666657</v>
      </c>
      <c r="X65" s="213">
        <f t="shared" si="80"/>
        <v>473866.66666666657</v>
      </c>
      <c r="Y65" s="213">
        <f t="shared" si="80"/>
        <v>515116.66666666651</v>
      </c>
      <c r="Z65" s="213">
        <f t="shared" si="80"/>
        <v>515116.66666666651</v>
      </c>
      <c r="AA65" s="213">
        <f t="shared" si="80"/>
        <v>515116.66666666651</v>
      </c>
      <c r="AB65" s="213">
        <f t="shared" si="80"/>
        <v>530283.33333333314</v>
      </c>
      <c r="AC65" s="213">
        <f t="shared" si="80"/>
        <v>530283.33333333314</v>
      </c>
      <c r="AD65" s="213">
        <f t="shared" si="80"/>
        <v>530283.33333333314</v>
      </c>
      <c r="AE65" s="213">
        <f t="shared" si="80"/>
        <v>544033.33333333314</v>
      </c>
      <c r="AF65" s="213">
        <f t="shared" si="80"/>
        <v>544033.33333333314</v>
      </c>
      <c r="AG65" s="213">
        <f t="shared" si="80"/>
        <v>544033.33333333314</v>
      </c>
      <c r="AH65" s="213">
        <f t="shared" si="80"/>
        <v>557783.33333333302</v>
      </c>
      <c r="AI65" s="213">
        <f t="shared" si="80"/>
        <v>557783.33333333302</v>
      </c>
      <c r="AJ65" s="213">
        <f t="shared" si="80"/>
        <v>557783.33333333302</v>
      </c>
      <c r="AK65" s="213">
        <f t="shared" si="80"/>
        <v>571533.33333333302</v>
      </c>
      <c r="AL65" s="213">
        <f t="shared" si="80"/>
        <v>571533.33333333302</v>
      </c>
      <c r="AM65" s="213">
        <f t="shared" si="80"/>
        <v>571533.33333333302</v>
      </c>
      <c r="AN65" s="213">
        <f t="shared" si="80"/>
        <v>585283.33333333302</v>
      </c>
      <c r="AO65" s="213">
        <f t="shared" si="80"/>
        <v>585283.33333333302</v>
      </c>
      <c r="AP65" s="213">
        <f t="shared" si="80"/>
        <v>585283.33333333302</v>
      </c>
      <c r="AQ65" s="213">
        <f t="shared" si="80"/>
        <v>599033.33333333302</v>
      </c>
      <c r="AR65" s="213">
        <f t="shared" si="80"/>
        <v>599033.33333333302</v>
      </c>
      <c r="AS65" s="213">
        <f t="shared" si="80"/>
        <v>599033.33333333302</v>
      </c>
      <c r="AT65" s="213">
        <f t="shared" si="80"/>
        <v>612783.33333333314</v>
      </c>
      <c r="AU65" s="213">
        <f t="shared" si="80"/>
        <v>612783.33333333314</v>
      </c>
      <c r="AV65" s="213">
        <f t="shared" si="80"/>
        <v>612783.33333333314</v>
      </c>
      <c r="AW65" s="213">
        <f t="shared" si="80"/>
        <v>626533.33333333314</v>
      </c>
      <c r="AX65" s="213">
        <f t="shared" si="80"/>
        <v>626533.33333333314</v>
      </c>
      <c r="AY65" s="213">
        <f t="shared" si="80"/>
        <v>626533.33333333314</v>
      </c>
      <c r="AZ65" s="213">
        <f t="shared" si="80"/>
        <v>640283.33333333326</v>
      </c>
      <c r="BA65" s="213">
        <f t="shared" si="80"/>
        <v>640283.33333333326</v>
      </c>
      <c r="BB65" s="213">
        <f t="shared" si="80"/>
        <v>640283.33333333326</v>
      </c>
      <c r="BC65" s="213">
        <f t="shared" si="80"/>
        <v>640283.33333333326</v>
      </c>
      <c r="BD65" s="213">
        <f t="shared" si="80"/>
        <v>640283.33333333326</v>
      </c>
      <c r="BE65" s="213">
        <f t="shared" si="80"/>
        <v>640283.33333333326</v>
      </c>
      <c r="BF65" s="213">
        <f t="shared" si="80"/>
        <v>640283.33333333326</v>
      </c>
      <c r="BG65" s="213">
        <f t="shared" si="80"/>
        <v>640283.33333333326</v>
      </c>
      <c r="BH65" s="213">
        <f t="shared" si="80"/>
        <v>640283.33333333326</v>
      </c>
      <c r="BI65" s="213">
        <f t="shared" si="80"/>
        <v>640283.33333333326</v>
      </c>
    </row>
    <row r="66" spans="1:61" ht="12.75" x14ac:dyDescent="0.2">
      <c r="D66" s="214"/>
      <c r="E66" s="214"/>
      <c r="F66" s="214"/>
      <c r="G66" s="214"/>
      <c r="H66" s="214"/>
      <c r="I66" s="214"/>
      <c r="J66" s="214"/>
      <c r="K66" s="214"/>
    </row>
    <row r="67" spans="1:61" ht="12.75" x14ac:dyDescent="0.2">
      <c r="A67" s="21" t="s">
        <v>227</v>
      </c>
      <c r="D67" s="214"/>
      <c r="E67" s="214"/>
      <c r="F67" s="214"/>
      <c r="G67" s="214"/>
      <c r="H67" s="214"/>
      <c r="I67" s="214"/>
      <c r="J67" s="214"/>
      <c r="K67" s="214"/>
    </row>
    <row r="68" spans="1:61" ht="12.75" x14ac:dyDescent="0.2">
      <c r="B68" s="215" t="s">
        <v>72</v>
      </c>
      <c r="D68" s="214"/>
      <c r="E68" s="214"/>
      <c r="F68" s="214"/>
      <c r="G68" s="214"/>
      <c r="H68" s="214"/>
      <c r="I68" s="214"/>
      <c r="J68" s="214"/>
      <c r="K68" s="214"/>
      <c r="N68" s="188">
        <f t="shared" ref="N68:BI68" si="81">SUMIFS(N$4:N$64,$D$4:$D$64,$B68,$H$4:$H$64,"&gt;"&amp;0)</f>
        <v>22500</v>
      </c>
      <c r="O68" s="188">
        <f t="shared" si="81"/>
        <v>22500</v>
      </c>
      <c r="P68" s="188">
        <f t="shared" si="81"/>
        <v>22500</v>
      </c>
      <c r="Q68" s="188">
        <f t="shared" si="81"/>
        <v>22500</v>
      </c>
      <c r="R68" s="188">
        <f t="shared" si="81"/>
        <v>22500</v>
      </c>
      <c r="S68" s="188">
        <f t="shared" si="81"/>
        <v>22500</v>
      </c>
      <c r="T68" s="188">
        <f t="shared" si="81"/>
        <v>22500</v>
      </c>
      <c r="U68" s="188">
        <f t="shared" si="81"/>
        <v>22500</v>
      </c>
      <c r="V68" s="188">
        <f t="shared" si="81"/>
        <v>22500</v>
      </c>
      <c r="W68" s="188">
        <f t="shared" si="81"/>
        <v>22500</v>
      </c>
      <c r="X68" s="188">
        <f t="shared" si="81"/>
        <v>22500</v>
      </c>
      <c r="Y68" s="188">
        <f t="shared" si="81"/>
        <v>22500</v>
      </c>
      <c r="Z68" s="188">
        <f t="shared" si="81"/>
        <v>22500</v>
      </c>
      <c r="AA68" s="188">
        <f t="shared" si="81"/>
        <v>22500</v>
      </c>
      <c r="AB68" s="188">
        <f t="shared" si="81"/>
        <v>22500</v>
      </c>
      <c r="AC68" s="188">
        <f t="shared" si="81"/>
        <v>22500</v>
      </c>
      <c r="AD68" s="188">
        <f t="shared" si="81"/>
        <v>22500</v>
      </c>
      <c r="AE68" s="188">
        <f t="shared" si="81"/>
        <v>22500</v>
      </c>
      <c r="AF68" s="188">
        <f t="shared" si="81"/>
        <v>22500</v>
      </c>
      <c r="AG68" s="188">
        <f t="shared" si="81"/>
        <v>22500</v>
      </c>
      <c r="AH68" s="188">
        <f t="shared" si="81"/>
        <v>22500</v>
      </c>
      <c r="AI68" s="188">
        <f t="shared" si="81"/>
        <v>22500</v>
      </c>
      <c r="AJ68" s="188">
        <f t="shared" si="81"/>
        <v>22500</v>
      </c>
      <c r="AK68" s="188">
        <f t="shared" si="81"/>
        <v>22500</v>
      </c>
      <c r="AL68" s="188">
        <f t="shared" si="81"/>
        <v>22500</v>
      </c>
      <c r="AM68" s="188">
        <f t="shared" si="81"/>
        <v>22500</v>
      </c>
      <c r="AN68" s="188">
        <f t="shared" si="81"/>
        <v>22500</v>
      </c>
      <c r="AO68" s="188">
        <f t="shared" si="81"/>
        <v>22500</v>
      </c>
      <c r="AP68" s="188">
        <f t="shared" si="81"/>
        <v>22500</v>
      </c>
      <c r="AQ68" s="188">
        <f t="shared" si="81"/>
        <v>22500</v>
      </c>
      <c r="AR68" s="188">
        <f t="shared" si="81"/>
        <v>22500</v>
      </c>
      <c r="AS68" s="188">
        <f t="shared" si="81"/>
        <v>22500</v>
      </c>
      <c r="AT68" s="188">
        <f t="shared" si="81"/>
        <v>22500</v>
      </c>
      <c r="AU68" s="188">
        <f t="shared" si="81"/>
        <v>22500</v>
      </c>
      <c r="AV68" s="188">
        <f t="shared" si="81"/>
        <v>22500</v>
      </c>
      <c r="AW68" s="188">
        <f t="shared" si="81"/>
        <v>22500</v>
      </c>
      <c r="AX68" s="188">
        <f t="shared" si="81"/>
        <v>22500</v>
      </c>
      <c r="AY68" s="188">
        <f t="shared" si="81"/>
        <v>22500</v>
      </c>
      <c r="AZ68" s="188">
        <f t="shared" si="81"/>
        <v>22500</v>
      </c>
      <c r="BA68" s="188">
        <f t="shared" si="81"/>
        <v>22500</v>
      </c>
      <c r="BB68" s="188">
        <f t="shared" si="81"/>
        <v>22500</v>
      </c>
      <c r="BC68" s="188">
        <f t="shared" si="81"/>
        <v>22500</v>
      </c>
      <c r="BD68" s="188">
        <f t="shared" si="81"/>
        <v>22500</v>
      </c>
      <c r="BE68" s="188">
        <f t="shared" si="81"/>
        <v>22500</v>
      </c>
      <c r="BF68" s="188">
        <f t="shared" si="81"/>
        <v>22500</v>
      </c>
      <c r="BG68" s="188">
        <f t="shared" si="81"/>
        <v>22500</v>
      </c>
      <c r="BH68" s="188">
        <f t="shared" si="81"/>
        <v>22500</v>
      </c>
      <c r="BI68" s="188">
        <f t="shared" si="81"/>
        <v>22500</v>
      </c>
    </row>
    <row r="69" spans="1:61" ht="12.75" x14ac:dyDescent="0.2">
      <c r="B69" t="s">
        <v>76</v>
      </c>
      <c r="D69" s="214"/>
      <c r="E69" s="214"/>
      <c r="F69" s="214"/>
      <c r="G69" s="214"/>
      <c r="H69" s="214"/>
      <c r="I69" s="214"/>
      <c r="J69" s="214"/>
      <c r="K69" s="214"/>
      <c r="N69" s="188">
        <f t="shared" ref="N69:BI69" si="82">SUMIFS(N$4:N$64,$D$4:$D$64,$B69,$H$4:$H$64,"&gt;"&amp;0)</f>
        <v>197250.00000000003</v>
      </c>
      <c r="O69" s="188">
        <f t="shared" si="82"/>
        <v>197250.00000000003</v>
      </c>
      <c r="P69" s="188">
        <f t="shared" si="82"/>
        <v>197250.00000000003</v>
      </c>
      <c r="Q69" s="188">
        <f t="shared" si="82"/>
        <v>197250.00000000003</v>
      </c>
      <c r="R69" s="188">
        <f t="shared" si="82"/>
        <v>197250.00000000003</v>
      </c>
      <c r="S69" s="188">
        <f t="shared" si="82"/>
        <v>212666.66666666669</v>
      </c>
      <c r="T69" s="188">
        <f t="shared" si="82"/>
        <v>212666.66666666669</v>
      </c>
      <c r="U69" s="188">
        <f t="shared" si="82"/>
        <v>212666.66666666669</v>
      </c>
      <c r="V69" s="188">
        <f t="shared" si="82"/>
        <v>227250.00000000003</v>
      </c>
      <c r="W69" s="188">
        <f t="shared" si="82"/>
        <v>227250.00000000003</v>
      </c>
      <c r="X69" s="188">
        <f t="shared" si="82"/>
        <v>227250.00000000003</v>
      </c>
      <c r="Y69" s="188">
        <f t="shared" si="82"/>
        <v>241833.33333333337</v>
      </c>
      <c r="Z69" s="188">
        <f t="shared" si="82"/>
        <v>241833.33333333337</v>
      </c>
      <c r="AA69" s="188">
        <f t="shared" si="82"/>
        <v>241833.33333333337</v>
      </c>
      <c r="AB69" s="188">
        <f t="shared" si="82"/>
        <v>257000.00000000003</v>
      </c>
      <c r="AC69" s="188">
        <f t="shared" si="82"/>
        <v>257000.00000000003</v>
      </c>
      <c r="AD69" s="188">
        <f t="shared" si="82"/>
        <v>257000.00000000003</v>
      </c>
      <c r="AE69" s="188">
        <f t="shared" si="82"/>
        <v>270750</v>
      </c>
      <c r="AF69" s="188">
        <f t="shared" si="82"/>
        <v>270750</v>
      </c>
      <c r="AG69" s="188">
        <f t="shared" si="82"/>
        <v>270750</v>
      </c>
      <c r="AH69" s="188">
        <f t="shared" si="82"/>
        <v>284500</v>
      </c>
      <c r="AI69" s="188">
        <f t="shared" si="82"/>
        <v>284500</v>
      </c>
      <c r="AJ69" s="188">
        <f t="shared" si="82"/>
        <v>284500</v>
      </c>
      <c r="AK69" s="188">
        <f t="shared" si="82"/>
        <v>298250</v>
      </c>
      <c r="AL69" s="188">
        <f t="shared" si="82"/>
        <v>298250</v>
      </c>
      <c r="AM69" s="188">
        <f t="shared" si="82"/>
        <v>298250</v>
      </c>
      <c r="AN69" s="188">
        <f t="shared" si="82"/>
        <v>312000</v>
      </c>
      <c r="AO69" s="188">
        <f t="shared" si="82"/>
        <v>312000</v>
      </c>
      <c r="AP69" s="188">
        <f t="shared" si="82"/>
        <v>312000</v>
      </c>
      <c r="AQ69" s="188">
        <f t="shared" si="82"/>
        <v>325750</v>
      </c>
      <c r="AR69" s="188">
        <f t="shared" si="82"/>
        <v>325750</v>
      </c>
      <c r="AS69" s="188">
        <f t="shared" si="82"/>
        <v>325750</v>
      </c>
      <c r="AT69" s="188">
        <f t="shared" si="82"/>
        <v>339500</v>
      </c>
      <c r="AU69" s="188">
        <f t="shared" si="82"/>
        <v>339500</v>
      </c>
      <c r="AV69" s="188">
        <f t="shared" si="82"/>
        <v>339500</v>
      </c>
      <c r="AW69" s="188">
        <f t="shared" si="82"/>
        <v>353250</v>
      </c>
      <c r="AX69" s="188">
        <f t="shared" si="82"/>
        <v>353250</v>
      </c>
      <c r="AY69" s="188">
        <f t="shared" si="82"/>
        <v>353250</v>
      </c>
      <c r="AZ69" s="188">
        <f t="shared" si="82"/>
        <v>367000</v>
      </c>
      <c r="BA69" s="188">
        <f t="shared" si="82"/>
        <v>367000</v>
      </c>
      <c r="BB69" s="188">
        <f t="shared" si="82"/>
        <v>367000</v>
      </c>
      <c r="BC69" s="188">
        <f t="shared" si="82"/>
        <v>367000</v>
      </c>
      <c r="BD69" s="188">
        <f t="shared" si="82"/>
        <v>367000</v>
      </c>
      <c r="BE69" s="188">
        <f t="shared" si="82"/>
        <v>367000</v>
      </c>
      <c r="BF69" s="188">
        <f t="shared" si="82"/>
        <v>367000</v>
      </c>
      <c r="BG69" s="188">
        <f t="shared" si="82"/>
        <v>367000</v>
      </c>
      <c r="BH69" s="188">
        <f t="shared" si="82"/>
        <v>367000</v>
      </c>
      <c r="BI69" s="188">
        <f t="shared" si="82"/>
        <v>367000</v>
      </c>
    </row>
    <row r="70" spans="1:61" ht="12.75" x14ac:dyDescent="0.2">
      <c r="B70" t="s">
        <v>186</v>
      </c>
      <c r="D70" s="214"/>
      <c r="E70" s="214"/>
      <c r="F70" s="214"/>
      <c r="G70" s="214"/>
      <c r="H70" s="214"/>
      <c r="I70" s="214"/>
      <c r="J70" s="214"/>
      <c r="K70" s="214"/>
      <c r="N70" s="188">
        <f t="shared" ref="N70:BI70" si="83">SUMIFS(N$4:N$64,$D$4:$D$64,$B70,$H$4:$H$64,"&gt;"&amp;0)</f>
        <v>25833.333333333336</v>
      </c>
      <c r="O70" s="188">
        <f t="shared" si="83"/>
        <v>25833.333333333336</v>
      </c>
      <c r="P70" s="188">
        <f t="shared" si="83"/>
        <v>25833.333333333336</v>
      </c>
      <c r="Q70" s="188">
        <f t="shared" si="83"/>
        <v>25833.333333333336</v>
      </c>
      <c r="R70" s="188">
        <f t="shared" si="83"/>
        <v>25833.333333333336</v>
      </c>
      <c r="S70" s="188">
        <f t="shared" si="83"/>
        <v>34166.666666666672</v>
      </c>
      <c r="T70" s="188">
        <f t="shared" si="83"/>
        <v>34166.666666666672</v>
      </c>
      <c r="U70" s="188">
        <f t="shared" si="83"/>
        <v>42500.000000000007</v>
      </c>
      <c r="V70" s="188">
        <f t="shared" si="83"/>
        <v>42500.000000000007</v>
      </c>
      <c r="W70" s="188">
        <f t="shared" si="83"/>
        <v>50833.333333333343</v>
      </c>
      <c r="X70" s="188">
        <f t="shared" si="83"/>
        <v>50833.333333333343</v>
      </c>
      <c r="Y70" s="188">
        <f t="shared" si="83"/>
        <v>59166.666666666679</v>
      </c>
      <c r="Z70" s="188">
        <f t="shared" si="83"/>
        <v>59166.666666666679</v>
      </c>
      <c r="AA70" s="188">
        <f t="shared" si="83"/>
        <v>59166.666666666679</v>
      </c>
      <c r="AB70" s="188">
        <f t="shared" si="83"/>
        <v>59166.666666666679</v>
      </c>
      <c r="AC70" s="188">
        <f t="shared" si="83"/>
        <v>59166.666666666679</v>
      </c>
      <c r="AD70" s="188">
        <f t="shared" si="83"/>
        <v>59166.666666666679</v>
      </c>
      <c r="AE70" s="188">
        <f t="shared" si="83"/>
        <v>59166.666666666679</v>
      </c>
      <c r="AF70" s="188">
        <f t="shared" si="83"/>
        <v>59166.666666666679</v>
      </c>
      <c r="AG70" s="188">
        <f t="shared" si="83"/>
        <v>59166.666666666679</v>
      </c>
      <c r="AH70" s="188">
        <f t="shared" si="83"/>
        <v>59166.666666666679</v>
      </c>
      <c r="AI70" s="188">
        <f t="shared" si="83"/>
        <v>59166.666666666679</v>
      </c>
      <c r="AJ70" s="188">
        <f t="shared" si="83"/>
        <v>59166.666666666679</v>
      </c>
      <c r="AK70" s="188">
        <f t="shared" si="83"/>
        <v>59166.666666666679</v>
      </c>
      <c r="AL70" s="188">
        <f t="shared" si="83"/>
        <v>59166.666666666679</v>
      </c>
      <c r="AM70" s="188">
        <f t="shared" si="83"/>
        <v>59166.666666666679</v>
      </c>
      <c r="AN70" s="188">
        <f t="shared" si="83"/>
        <v>59166.666666666679</v>
      </c>
      <c r="AO70" s="188">
        <f t="shared" si="83"/>
        <v>59166.666666666679</v>
      </c>
      <c r="AP70" s="188">
        <f t="shared" si="83"/>
        <v>59166.666666666679</v>
      </c>
      <c r="AQ70" s="188">
        <f t="shared" si="83"/>
        <v>59166.666666666679</v>
      </c>
      <c r="AR70" s="188">
        <f t="shared" si="83"/>
        <v>59166.666666666679</v>
      </c>
      <c r="AS70" s="188">
        <f t="shared" si="83"/>
        <v>59166.666666666679</v>
      </c>
      <c r="AT70" s="188">
        <f t="shared" si="83"/>
        <v>59166.666666666679</v>
      </c>
      <c r="AU70" s="188">
        <f t="shared" si="83"/>
        <v>59166.666666666679</v>
      </c>
      <c r="AV70" s="188">
        <f t="shared" si="83"/>
        <v>59166.666666666679</v>
      </c>
      <c r="AW70" s="188">
        <f t="shared" si="83"/>
        <v>59166.666666666679</v>
      </c>
      <c r="AX70" s="188">
        <f t="shared" si="83"/>
        <v>59166.666666666679</v>
      </c>
      <c r="AY70" s="188">
        <f t="shared" si="83"/>
        <v>59166.666666666679</v>
      </c>
      <c r="AZ70" s="188">
        <f t="shared" si="83"/>
        <v>59166.666666666679</v>
      </c>
      <c r="BA70" s="188">
        <f t="shared" si="83"/>
        <v>59166.666666666679</v>
      </c>
      <c r="BB70" s="188">
        <f t="shared" si="83"/>
        <v>59166.666666666679</v>
      </c>
      <c r="BC70" s="188">
        <f t="shared" si="83"/>
        <v>59166.666666666679</v>
      </c>
      <c r="BD70" s="188">
        <f t="shared" si="83"/>
        <v>59166.666666666679</v>
      </c>
      <c r="BE70" s="188">
        <f t="shared" si="83"/>
        <v>59166.666666666679</v>
      </c>
      <c r="BF70" s="188">
        <f t="shared" si="83"/>
        <v>59166.666666666679</v>
      </c>
      <c r="BG70" s="188">
        <f t="shared" si="83"/>
        <v>59166.666666666679</v>
      </c>
      <c r="BH70" s="188">
        <f t="shared" si="83"/>
        <v>59166.666666666679</v>
      </c>
      <c r="BI70" s="188">
        <f t="shared" si="83"/>
        <v>59166.666666666679</v>
      </c>
    </row>
    <row r="71" spans="1:61" ht="12.75" x14ac:dyDescent="0.2">
      <c r="B71" t="s">
        <v>196</v>
      </c>
      <c r="D71" s="214"/>
      <c r="E71" s="214"/>
      <c r="F71" s="214"/>
      <c r="G71" s="214"/>
      <c r="H71" s="214"/>
      <c r="I71" s="214"/>
      <c r="J71" s="214"/>
      <c r="K71" s="214"/>
      <c r="N71" s="188">
        <f t="shared" ref="N71:BI71" si="84">SUMIFS(N$4:N$64,$D$4:$D$64,$B71,$H$4:$H$64,"&gt;"&amp;0)</f>
        <v>37500</v>
      </c>
      <c r="O71" s="188">
        <f t="shared" si="84"/>
        <v>37500</v>
      </c>
      <c r="P71" s="188">
        <f t="shared" si="84"/>
        <v>37500</v>
      </c>
      <c r="Q71" s="188">
        <f t="shared" si="84"/>
        <v>37500</v>
      </c>
      <c r="R71" s="188">
        <f t="shared" si="84"/>
        <v>37500</v>
      </c>
      <c r="S71" s="188">
        <f t="shared" si="84"/>
        <v>55833.333333333336</v>
      </c>
      <c r="T71" s="188">
        <f t="shared" si="84"/>
        <v>55833.333333333336</v>
      </c>
      <c r="U71" s="188">
        <f t="shared" si="84"/>
        <v>74166.666666666672</v>
      </c>
      <c r="V71" s="188">
        <f t="shared" si="84"/>
        <v>74166.666666666672</v>
      </c>
      <c r="W71" s="188">
        <f t="shared" si="84"/>
        <v>92499.999999999985</v>
      </c>
      <c r="X71" s="188">
        <f t="shared" si="84"/>
        <v>92499.999999999985</v>
      </c>
      <c r="Y71" s="188">
        <f t="shared" si="84"/>
        <v>110833.33333333331</v>
      </c>
      <c r="Z71" s="188">
        <f t="shared" si="84"/>
        <v>110833.33333333331</v>
      </c>
      <c r="AA71" s="188">
        <f t="shared" si="84"/>
        <v>110833.33333333331</v>
      </c>
      <c r="AB71" s="188">
        <f t="shared" si="84"/>
        <v>110833.33333333331</v>
      </c>
      <c r="AC71" s="188">
        <f t="shared" si="84"/>
        <v>110833.33333333331</v>
      </c>
      <c r="AD71" s="188">
        <f t="shared" si="84"/>
        <v>110833.33333333331</v>
      </c>
      <c r="AE71" s="188">
        <f t="shared" si="84"/>
        <v>110833.33333333331</v>
      </c>
      <c r="AF71" s="188">
        <f t="shared" si="84"/>
        <v>110833.33333333331</v>
      </c>
      <c r="AG71" s="188">
        <f t="shared" si="84"/>
        <v>110833.33333333331</v>
      </c>
      <c r="AH71" s="188">
        <f t="shared" si="84"/>
        <v>110833.33333333331</v>
      </c>
      <c r="AI71" s="188">
        <f t="shared" si="84"/>
        <v>110833.33333333331</v>
      </c>
      <c r="AJ71" s="188">
        <f t="shared" si="84"/>
        <v>110833.33333333331</v>
      </c>
      <c r="AK71" s="188">
        <f t="shared" si="84"/>
        <v>110833.33333333331</v>
      </c>
      <c r="AL71" s="188">
        <f t="shared" si="84"/>
        <v>110833.33333333331</v>
      </c>
      <c r="AM71" s="188">
        <f t="shared" si="84"/>
        <v>110833.33333333331</v>
      </c>
      <c r="AN71" s="188">
        <f t="shared" si="84"/>
        <v>110833.33333333331</v>
      </c>
      <c r="AO71" s="188">
        <f t="shared" si="84"/>
        <v>110833.33333333331</v>
      </c>
      <c r="AP71" s="188">
        <f t="shared" si="84"/>
        <v>110833.33333333331</v>
      </c>
      <c r="AQ71" s="188">
        <f t="shared" si="84"/>
        <v>110833.33333333331</v>
      </c>
      <c r="AR71" s="188">
        <f t="shared" si="84"/>
        <v>110833.33333333331</v>
      </c>
      <c r="AS71" s="188">
        <f t="shared" si="84"/>
        <v>110833.33333333331</v>
      </c>
      <c r="AT71" s="188">
        <f t="shared" si="84"/>
        <v>110833.33333333331</v>
      </c>
      <c r="AU71" s="188">
        <f t="shared" si="84"/>
        <v>110833.33333333331</v>
      </c>
      <c r="AV71" s="188">
        <f t="shared" si="84"/>
        <v>110833.33333333331</v>
      </c>
      <c r="AW71" s="188">
        <f t="shared" si="84"/>
        <v>110833.33333333331</v>
      </c>
      <c r="AX71" s="188">
        <f t="shared" si="84"/>
        <v>110833.33333333331</v>
      </c>
      <c r="AY71" s="188">
        <f t="shared" si="84"/>
        <v>110833.33333333331</v>
      </c>
      <c r="AZ71" s="188">
        <f t="shared" si="84"/>
        <v>110833.33333333331</v>
      </c>
      <c r="BA71" s="188">
        <f t="shared" si="84"/>
        <v>110833.33333333331</v>
      </c>
      <c r="BB71" s="188">
        <f t="shared" si="84"/>
        <v>110833.33333333331</v>
      </c>
      <c r="BC71" s="188">
        <f t="shared" si="84"/>
        <v>110833.33333333331</v>
      </c>
      <c r="BD71" s="188">
        <f t="shared" si="84"/>
        <v>110833.33333333331</v>
      </c>
      <c r="BE71" s="188">
        <f t="shared" si="84"/>
        <v>110833.33333333331</v>
      </c>
      <c r="BF71" s="188">
        <f t="shared" si="84"/>
        <v>110833.33333333331</v>
      </c>
      <c r="BG71" s="188">
        <f t="shared" si="84"/>
        <v>110833.33333333331</v>
      </c>
      <c r="BH71" s="188">
        <f t="shared" si="84"/>
        <v>110833.33333333331</v>
      </c>
      <c r="BI71" s="188">
        <f t="shared" si="84"/>
        <v>110833.33333333331</v>
      </c>
    </row>
    <row r="72" spans="1:61" ht="12.75" x14ac:dyDescent="0.2">
      <c r="B72" t="s">
        <v>211</v>
      </c>
      <c r="D72" s="214"/>
      <c r="E72" s="214"/>
      <c r="F72" s="214"/>
      <c r="G72" s="214"/>
      <c r="H72" s="214"/>
      <c r="I72" s="214"/>
      <c r="J72" s="214"/>
      <c r="K72" s="214"/>
      <c r="N72" s="188">
        <f t="shared" ref="N72:BI72" si="85">SUMIFS(N$4:N$64,$D$4:$D$64,$B72,$H$4:$H$64,"&gt;"&amp;0)</f>
        <v>60366.666666666664</v>
      </c>
      <c r="O72" s="188">
        <f t="shared" si="85"/>
        <v>60366.666666666664</v>
      </c>
      <c r="P72" s="188">
        <f t="shared" si="85"/>
        <v>60366.666666666664</v>
      </c>
      <c r="Q72" s="188">
        <f t="shared" si="85"/>
        <v>60366.666666666664</v>
      </c>
      <c r="R72" s="188">
        <f t="shared" si="85"/>
        <v>60366.666666666664</v>
      </c>
      <c r="S72" s="188">
        <f t="shared" si="85"/>
        <v>67033.333333333328</v>
      </c>
      <c r="T72" s="188">
        <f t="shared" si="85"/>
        <v>67033.333333333328</v>
      </c>
      <c r="U72" s="188">
        <f t="shared" si="85"/>
        <v>74116.666666666657</v>
      </c>
      <c r="V72" s="188">
        <f t="shared" si="85"/>
        <v>74116.666666666657</v>
      </c>
      <c r="W72" s="188">
        <f t="shared" si="85"/>
        <v>80783.333333333328</v>
      </c>
      <c r="X72" s="188">
        <f t="shared" si="85"/>
        <v>80783.333333333328</v>
      </c>
      <c r="Y72" s="188">
        <f t="shared" si="85"/>
        <v>80783.333333333328</v>
      </c>
      <c r="Z72" s="188">
        <f t="shared" si="85"/>
        <v>80783.333333333328</v>
      </c>
      <c r="AA72" s="188">
        <f t="shared" si="85"/>
        <v>80783.333333333328</v>
      </c>
      <c r="AB72" s="188">
        <f t="shared" si="85"/>
        <v>80783.333333333328</v>
      </c>
      <c r="AC72" s="188">
        <f t="shared" si="85"/>
        <v>80783.333333333328</v>
      </c>
      <c r="AD72" s="188">
        <f t="shared" si="85"/>
        <v>80783.333333333328</v>
      </c>
      <c r="AE72" s="188">
        <f t="shared" si="85"/>
        <v>80783.333333333328</v>
      </c>
      <c r="AF72" s="188">
        <f t="shared" si="85"/>
        <v>80783.333333333328</v>
      </c>
      <c r="AG72" s="188">
        <f t="shared" si="85"/>
        <v>80783.333333333328</v>
      </c>
      <c r="AH72" s="188">
        <f t="shared" si="85"/>
        <v>80783.333333333328</v>
      </c>
      <c r="AI72" s="188">
        <f t="shared" si="85"/>
        <v>80783.333333333328</v>
      </c>
      <c r="AJ72" s="188">
        <f t="shared" si="85"/>
        <v>80783.333333333328</v>
      </c>
      <c r="AK72" s="188">
        <f t="shared" si="85"/>
        <v>80783.333333333328</v>
      </c>
      <c r="AL72" s="188">
        <f t="shared" si="85"/>
        <v>80783.333333333328</v>
      </c>
      <c r="AM72" s="188">
        <f t="shared" si="85"/>
        <v>80783.333333333328</v>
      </c>
      <c r="AN72" s="188">
        <f t="shared" si="85"/>
        <v>80783.333333333328</v>
      </c>
      <c r="AO72" s="188">
        <f t="shared" si="85"/>
        <v>80783.333333333328</v>
      </c>
      <c r="AP72" s="188">
        <f t="shared" si="85"/>
        <v>80783.333333333328</v>
      </c>
      <c r="AQ72" s="188">
        <f t="shared" si="85"/>
        <v>80783.333333333328</v>
      </c>
      <c r="AR72" s="188">
        <f t="shared" si="85"/>
        <v>80783.333333333328</v>
      </c>
      <c r="AS72" s="188">
        <f t="shared" si="85"/>
        <v>80783.333333333328</v>
      </c>
      <c r="AT72" s="188">
        <f t="shared" si="85"/>
        <v>80783.333333333328</v>
      </c>
      <c r="AU72" s="188">
        <f t="shared" si="85"/>
        <v>80783.333333333328</v>
      </c>
      <c r="AV72" s="188">
        <f t="shared" si="85"/>
        <v>80783.333333333328</v>
      </c>
      <c r="AW72" s="188">
        <f t="shared" si="85"/>
        <v>80783.333333333328</v>
      </c>
      <c r="AX72" s="188">
        <f t="shared" si="85"/>
        <v>80783.333333333328</v>
      </c>
      <c r="AY72" s="188">
        <f t="shared" si="85"/>
        <v>80783.333333333328</v>
      </c>
      <c r="AZ72" s="188">
        <f t="shared" si="85"/>
        <v>80783.333333333328</v>
      </c>
      <c r="BA72" s="188">
        <f t="shared" si="85"/>
        <v>80783.333333333328</v>
      </c>
      <c r="BB72" s="188">
        <f t="shared" si="85"/>
        <v>80783.333333333328</v>
      </c>
      <c r="BC72" s="188">
        <f t="shared" si="85"/>
        <v>80783.333333333328</v>
      </c>
      <c r="BD72" s="188">
        <f t="shared" si="85"/>
        <v>80783.333333333328</v>
      </c>
      <c r="BE72" s="188">
        <f t="shared" si="85"/>
        <v>80783.333333333328</v>
      </c>
      <c r="BF72" s="188">
        <f t="shared" si="85"/>
        <v>80783.333333333328</v>
      </c>
      <c r="BG72" s="188">
        <f t="shared" si="85"/>
        <v>80783.333333333328</v>
      </c>
      <c r="BH72" s="188">
        <f t="shared" si="85"/>
        <v>80783.333333333328</v>
      </c>
      <c r="BI72" s="188">
        <f t="shared" si="85"/>
        <v>80783.333333333328</v>
      </c>
    </row>
    <row r="73" spans="1:61" ht="12.75" x14ac:dyDescent="0.2">
      <c r="A73" s="60" t="s">
        <v>228</v>
      </c>
      <c r="B73" s="51"/>
      <c r="C73" s="51"/>
      <c r="D73" s="216"/>
      <c r="E73" s="216"/>
      <c r="F73" s="216"/>
      <c r="G73" s="216"/>
      <c r="H73" s="216"/>
      <c r="I73" s="216"/>
      <c r="J73" s="216"/>
      <c r="K73" s="216"/>
      <c r="L73" s="51"/>
      <c r="M73" s="51"/>
      <c r="N73" s="213">
        <f t="shared" ref="N73:BI73" si="86">SUM(N68:N72)</f>
        <v>343450.00000000006</v>
      </c>
      <c r="O73" s="213">
        <f t="shared" si="86"/>
        <v>343450.00000000006</v>
      </c>
      <c r="P73" s="213">
        <f t="shared" si="86"/>
        <v>343450.00000000006</v>
      </c>
      <c r="Q73" s="213">
        <f t="shared" si="86"/>
        <v>343450.00000000006</v>
      </c>
      <c r="R73" s="213">
        <f t="shared" si="86"/>
        <v>343450.00000000006</v>
      </c>
      <c r="S73" s="213">
        <f t="shared" si="86"/>
        <v>392200</v>
      </c>
      <c r="T73" s="213">
        <f t="shared" si="86"/>
        <v>392200</v>
      </c>
      <c r="U73" s="213">
        <f t="shared" si="86"/>
        <v>425950</v>
      </c>
      <c r="V73" s="213">
        <f t="shared" si="86"/>
        <v>440533.33333333337</v>
      </c>
      <c r="W73" s="213">
        <f t="shared" si="86"/>
        <v>473866.66666666669</v>
      </c>
      <c r="X73" s="213">
        <f t="shared" si="86"/>
        <v>473866.66666666669</v>
      </c>
      <c r="Y73" s="213">
        <f t="shared" si="86"/>
        <v>515116.66666666669</v>
      </c>
      <c r="Z73" s="213">
        <f t="shared" si="86"/>
        <v>515116.66666666669</v>
      </c>
      <c r="AA73" s="213">
        <f t="shared" si="86"/>
        <v>515116.66666666669</v>
      </c>
      <c r="AB73" s="213">
        <f t="shared" si="86"/>
        <v>530283.33333333337</v>
      </c>
      <c r="AC73" s="213">
        <f t="shared" si="86"/>
        <v>530283.33333333337</v>
      </c>
      <c r="AD73" s="213">
        <f t="shared" si="86"/>
        <v>530283.33333333337</v>
      </c>
      <c r="AE73" s="213">
        <f t="shared" si="86"/>
        <v>544033.33333333337</v>
      </c>
      <c r="AF73" s="213">
        <f t="shared" si="86"/>
        <v>544033.33333333337</v>
      </c>
      <c r="AG73" s="213">
        <f t="shared" si="86"/>
        <v>544033.33333333337</v>
      </c>
      <c r="AH73" s="213">
        <f t="shared" si="86"/>
        <v>557783.33333333337</v>
      </c>
      <c r="AI73" s="213">
        <f t="shared" si="86"/>
        <v>557783.33333333337</v>
      </c>
      <c r="AJ73" s="213">
        <f t="shared" si="86"/>
        <v>557783.33333333337</v>
      </c>
      <c r="AK73" s="213">
        <f t="shared" si="86"/>
        <v>571533.33333333337</v>
      </c>
      <c r="AL73" s="213">
        <f t="shared" si="86"/>
        <v>571533.33333333337</v>
      </c>
      <c r="AM73" s="213">
        <f t="shared" si="86"/>
        <v>571533.33333333337</v>
      </c>
      <c r="AN73" s="213">
        <f t="shared" si="86"/>
        <v>585283.33333333337</v>
      </c>
      <c r="AO73" s="213">
        <f t="shared" si="86"/>
        <v>585283.33333333337</v>
      </c>
      <c r="AP73" s="213">
        <f t="shared" si="86"/>
        <v>585283.33333333337</v>
      </c>
      <c r="AQ73" s="213">
        <f t="shared" si="86"/>
        <v>599033.33333333337</v>
      </c>
      <c r="AR73" s="213">
        <f t="shared" si="86"/>
        <v>599033.33333333337</v>
      </c>
      <c r="AS73" s="213">
        <f t="shared" si="86"/>
        <v>599033.33333333337</v>
      </c>
      <c r="AT73" s="213">
        <f t="shared" si="86"/>
        <v>612783.33333333337</v>
      </c>
      <c r="AU73" s="213">
        <f t="shared" si="86"/>
        <v>612783.33333333337</v>
      </c>
      <c r="AV73" s="213">
        <f t="shared" si="86"/>
        <v>612783.33333333337</v>
      </c>
      <c r="AW73" s="213">
        <f t="shared" si="86"/>
        <v>626533.33333333337</v>
      </c>
      <c r="AX73" s="213">
        <f t="shared" si="86"/>
        <v>626533.33333333337</v>
      </c>
      <c r="AY73" s="213">
        <f t="shared" si="86"/>
        <v>626533.33333333337</v>
      </c>
      <c r="AZ73" s="213">
        <f t="shared" si="86"/>
        <v>640283.33333333337</v>
      </c>
      <c r="BA73" s="213">
        <f t="shared" si="86"/>
        <v>640283.33333333337</v>
      </c>
      <c r="BB73" s="213">
        <f t="shared" si="86"/>
        <v>640283.33333333337</v>
      </c>
      <c r="BC73" s="213">
        <f t="shared" si="86"/>
        <v>640283.33333333337</v>
      </c>
      <c r="BD73" s="213">
        <f t="shared" si="86"/>
        <v>640283.33333333337</v>
      </c>
      <c r="BE73" s="213">
        <f t="shared" si="86"/>
        <v>640283.33333333337</v>
      </c>
      <c r="BF73" s="213">
        <f t="shared" si="86"/>
        <v>640283.33333333337</v>
      </c>
      <c r="BG73" s="213">
        <f t="shared" si="86"/>
        <v>640283.33333333337</v>
      </c>
      <c r="BH73" s="213">
        <f t="shared" si="86"/>
        <v>640283.33333333337</v>
      </c>
      <c r="BI73" s="213">
        <f t="shared" si="86"/>
        <v>640283.33333333337</v>
      </c>
    </row>
    <row r="74" spans="1:61" ht="12.75" x14ac:dyDescent="0.2">
      <c r="A74" s="69" t="s">
        <v>229</v>
      </c>
      <c r="B74" s="217"/>
      <c r="C74" s="217"/>
      <c r="D74" s="218"/>
      <c r="E74" s="218"/>
      <c r="F74" s="218"/>
      <c r="G74" s="218"/>
      <c r="H74" s="218"/>
      <c r="I74" s="218"/>
      <c r="J74" s="218"/>
      <c r="K74" s="218"/>
      <c r="L74" s="217"/>
      <c r="M74" s="217"/>
      <c r="N74" s="219">
        <f t="shared" ref="N74:BI74" si="87">ROUND(N73-N65+N97,2)</f>
        <v>0</v>
      </c>
      <c r="O74" s="219">
        <f t="shared" si="87"/>
        <v>0</v>
      </c>
      <c r="P74" s="219">
        <f t="shared" si="87"/>
        <v>0</v>
      </c>
      <c r="Q74" s="219">
        <f t="shared" si="87"/>
        <v>0</v>
      </c>
      <c r="R74" s="219">
        <f t="shared" si="87"/>
        <v>0</v>
      </c>
      <c r="S74" s="219">
        <f t="shared" si="87"/>
        <v>0</v>
      </c>
      <c r="T74" s="219">
        <f t="shared" si="87"/>
        <v>0</v>
      </c>
      <c r="U74" s="219">
        <f t="shared" si="87"/>
        <v>0</v>
      </c>
      <c r="V74" s="219">
        <f t="shared" si="87"/>
        <v>0</v>
      </c>
      <c r="W74" s="219">
        <f t="shared" si="87"/>
        <v>0</v>
      </c>
      <c r="X74" s="219">
        <f t="shared" si="87"/>
        <v>0</v>
      </c>
      <c r="Y74" s="219">
        <f t="shared" si="87"/>
        <v>0</v>
      </c>
      <c r="Z74" s="219">
        <f t="shared" si="87"/>
        <v>0</v>
      </c>
      <c r="AA74" s="219">
        <f t="shared" si="87"/>
        <v>0</v>
      </c>
      <c r="AB74" s="219">
        <f t="shared" si="87"/>
        <v>0</v>
      </c>
      <c r="AC74" s="219">
        <f t="shared" si="87"/>
        <v>0</v>
      </c>
      <c r="AD74" s="219">
        <f t="shared" si="87"/>
        <v>0</v>
      </c>
      <c r="AE74" s="219">
        <f t="shared" si="87"/>
        <v>0</v>
      </c>
      <c r="AF74" s="219">
        <f t="shared" si="87"/>
        <v>0</v>
      </c>
      <c r="AG74" s="219">
        <f t="shared" si="87"/>
        <v>0</v>
      </c>
      <c r="AH74" s="219">
        <f t="shared" si="87"/>
        <v>0</v>
      </c>
      <c r="AI74" s="219">
        <f t="shared" si="87"/>
        <v>0</v>
      </c>
      <c r="AJ74" s="219">
        <f t="shared" si="87"/>
        <v>0</v>
      </c>
      <c r="AK74" s="219">
        <f t="shared" si="87"/>
        <v>0</v>
      </c>
      <c r="AL74" s="219">
        <f t="shared" si="87"/>
        <v>0</v>
      </c>
      <c r="AM74" s="219">
        <f t="shared" si="87"/>
        <v>0</v>
      </c>
      <c r="AN74" s="219">
        <f t="shared" si="87"/>
        <v>0</v>
      </c>
      <c r="AO74" s="219">
        <f t="shared" si="87"/>
        <v>0</v>
      </c>
      <c r="AP74" s="219">
        <f t="shared" si="87"/>
        <v>0</v>
      </c>
      <c r="AQ74" s="219">
        <f t="shared" si="87"/>
        <v>0</v>
      </c>
      <c r="AR74" s="219">
        <f t="shared" si="87"/>
        <v>0</v>
      </c>
      <c r="AS74" s="219">
        <f t="shared" si="87"/>
        <v>0</v>
      </c>
      <c r="AT74" s="219">
        <f t="shared" si="87"/>
        <v>0</v>
      </c>
      <c r="AU74" s="219">
        <f t="shared" si="87"/>
        <v>0</v>
      </c>
      <c r="AV74" s="219">
        <f t="shared" si="87"/>
        <v>0</v>
      </c>
      <c r="AW74" s="219">
        <f t="shared" si="87"/>
        <v>0</v>
      </c>
      <c r="AX74" s="219">
        <f t="shared" si="87"/>
        <v>0</v>
      </c>
      <c r="AY74" s="219">
        <f t="shared" si="87"/>
        <v>0</v>
      </c>
      <c r="AZ74" s="219">
        <f t="shared" si="87"/>
        <v>0</v>
      </c>
      <c r="BA74" s="219">
        <f t="shared" si="87"/>
        <v>0</v>
      </c>
      <c r="BB74" s="219">
        <f t="shared" si="87"/>
        <v>0</v>
      </c>
      <c r="BC74" s="219">
        <f t="shared" si="87"/>
        <v>0</v>
      </c>
      <c r="BD74" s="219">
        <f t="shared" si="87"/>
        <v>0</v>
      </c>
      <c r="BE74" s="219">
        <f t="shared" si="87"/>
        <v>0</v>
      </c>
      <c r="BF74" s="219">
        <f t="shared" si="87"/>
        <v>0</v>
      </c>
      <c r="BG74" s="219">
        <f t="shared" si="87"/>
        <v>0</v>
      </c>
      <c r="BH74" s="219">
        <f t="shared" si="87"/>
        <v>0</v>
      </c>
      <c r="BI74" s="219">
        <f t="shared" si="87"/>
        <v>0</v>
      </c>
    </row>
    <row r="75" spans="1:61" ht="12.75" x14ac:dyDescent="0.2">
      <c r="A75" s="21" t="s">
        <v>230</v>
      </c>
      <c r="D75" s="214"/>
      <c r="E75" s="214"/>
      <c r="F75" s="214"/>
      <c r="G75" s="214"/>
      <c r="H75" s="214"/>
      <c r="I75" s="214"/>
      <c r="J75" s="214"/>
      <c r="K75" s="214"/>
    </row>
    <row r="76" spans="1:61" ht="12.75" x14ac:dyDescent="0.2">
      <c r="B76" s="215" t="str">
        <f t="shared" ref="B76:B80" si="88">B68</f>
        <v>General &amp; Admin</v>
      </c>
      <c r="D76" s="214"/>
      <c r="E76" s="214"/>
      <c r="F76" s="214"/>
      <c r="G76" s="214"/>
      <c r="H76" s="214"/>
      <c r="I76" s="214"/>
      <c r="J76" s="214"/>
      <c r="K76" s="214"/>
      <c r="N76" s="188" cm="1">
        <f t="array" ref="N76">SUMPRODUCT((N$4:N$64*($D$4:$D$64=$B76)),$H$4:$H$64)</f>
        <v>2025</v>
      </c>
      <c r="O76" s="188" cm="1">
        <f t="array" ref="O76">SUMPRODUCT((O$4:O$64*($D$4:$D$64=$B76)),$H$4:$H$64)</f>
        <v>2025</v>
      </c>
      <c r="P76" s="188" cm="1">
        <f t="array" ref="P76">SUMPRODUCT((P$4:P$64*($D$4:$D$64=$B76)),$H$4:$H$64)</f>
        <v>2025</v>
      </c>
      <c r="Q76" s="188" cm="1">
        <f t="array" ref="Q76">SUMPRODUCT((Q$4:Q$64*($D$4:$D$64=$B76)),$H$4:$H$64)</f>
        <v>2025</v>
      </c>
      <c r="R76" s="188" cm="1">
        <f t="array" ref="R76">SUMPRODUCT((R$4:R$64*($D$4:$D$64=$B76)),$H$4:$H$64)</f>
        <v>2025</v>
      </c>
      <c r="S76" s="188" cm="1">
        <f t="array" ref="S76">SUMPRODUCT((S$4:S$64*($D$4:$D$64=$B76)),$H$4:$H$64)</f>
        <v>2025</v>
      </c>
      <c r="T76" s="188" cm="1">
        <f t="array" ref="T76">SUMPRODUCT((T$4:T$64*($D$4:$D$64=$B76)),$H$4:$H$64)</f>
        <v>2025</v>
      </c>
      <c r="U76" s="188" cm="1">
        <f t="array" ref="U76">SUMPRODUCT((U$4:U$64*($D$4:$D$64=$B76)),$H$4:$H$64)</f>
        <v>2025</v>
      </c>
      <c r="V76" s="188" cm="1">
        <f t="array" ref="V76">SUMPRODUCT((V$4:V$64*($D$4:$D$64=$B76)),$H$4:$H$64)</f>
        <v>2025</v>
      </c>
      <c r="W76" s="188" cm="1">
        <f t="array" ref="W76">SUMPRODUCT((W$4:W$64*($D$4:$D$64=$B76)),$H$4:$H$64)</f>
        <v>2025</v>
      </c>
      <c r="X76" s="188" cm="1">
        <f t="array" ref="X76">SUMPRODUCT((X$4:X$64*($D$4:$D$64=$B76)),$H$4:$H$64)</f>
        <v>2025</v>
      </c>
      <c r="Y76" s="188" cm="1">
        <f t="array" ref="Y76">SUMPRODUCT((Y$4:Y$64*($D$4:$D$64=$B76)),$H$4:$H$64)</f>
        <v>2025</v>
      </c>
      <c r="Z76" s="188" cm="1">
        <f t="array" ref="Z76">SUMPRODUCT((Z$4:Z$64*($D$4:$D$64=$B76)),$H$4:$H$64)</f>
        <v>2025</v>
      </c>
      <c r="AA76" s="188" cm="1">
        <f t="array" ref="AA76">SUMPRODUCT((AA$4:AA$64*($D$4:$D$64=$B76)),$H$4:$H$64)</f>
        <v>2025</v>
      </c>
      <c r="AB76" s="188" cm="1">
        <f t="array" ref="AB76">SUMPRODUCT((AB$4:AB$64*($D$4:$D$64=$B76)),$H$4:$H$64)</f>
        <v>2025</v>
      </c>
      <c r="AC76" s="188" cm="1">
        <f t="array" ref="AC76">SUMPRODUCT((AC$4:AC$64*($D$4:$D$64=$B76)),$H$4:$H$64)</f>
        <v>2025</v>
      </c>
      <c r="AD76" s="188" cm="1">
        <f t="array" ref="AD76">SUMPRODUCT((AD$4:AD$64*($D$4:$D$64=$B76)),$H$4:$H$64)</f>
        <v>2025</v>
      </c>
      <c r="AE76" s="188" cm="1">
        <f t="array" ref="AE76">SUMPRODUCT((AE$4:AE$64*($D$4:$D$64=$B76)),$H$4:$H$64)</f>
        <v>2025</v>
      </c>
      <c r="AF76" s="188" cm="1">
        <f t="array" ref="AF76">SUMPRODUCT((AF$4:AF$64*($D$4:$D$64=$B76)),$H$4:$H$64)</f>
        <v>2025</v>
      </c>
      <c r="AG76" s="188" cm="1">
        <f t="array" ref="AG76">SUMPRODUCT((AG$4:AG$64*($D$4:$D$64=$B76)),$H$4:$H$64)</f>
        <v>2025</v>
      </c>
      <c r="AH76" s="188" cm="1">
        <f t="array" ref="AH76">SUMPRODUCT((AH$4:AH$64*($D$4:$D$64=$B76)),$H$4:$H$64)</f>
        <v>2025</v>
      </c>
      <c r="AI76" s="188" cm="1">
        <f t="array" ref="AI76">SUMPRODUCT((AI$4:AI$64*($D$4:$D$64=$B76)),$H$4:$H$64)</f>
        <v>2025</v>
      </c>
      <c r="AJ76" s="188" cm="1">
        <f t="array" ref="AJ76">SUMPRODUCT((AJ$4:AJ$64*($D$4:$D$64=$B76)),$H$4:$H$64)</f>
        <v>2025</v>
      </c>
      <c r="AK76" s="188" cm="1">
        <f t="array" ref="AK76">SUMPRODUCT((AK$4:AK$64*($D$4:$D$64=$B76)),$H$4:$H$64)</f>
        <v>2025</v>
      </c>
      <c r="AL76" s="188" cm="1">
        <f t="array" ref="AL76">SUMPRODUCT((AL$4:AL$64*($D$4:$D$64=$B76)),$H$4:$H$64)</f>
        <v>2025</v>
      </c>
      <c r="AM76" s="188" cm="1">
        <f t="array" ref="AM76">SUMPRODUCT((AM$4:AM$64*($D$4:$D$64=$B76)),$H$4:$H$64)</f>
        <v>2025</v>
      </c>
      <c r="AN76" s="188" cm="1">
        <f t="array" ref="AN76">SUMPRODUCT((AN$4:AN$64*($D$4:$D$64=$B76)),$H$4:$H$64)</f>
        <v>2025</v>
      </c>
      <c r="AO76" s="188" cm="1">
        <f t="array" ref="AO76">SUMPRODUCT((AO$4:AO$64*($D$4:$D$64=$B76)),$H$4:$H$64)</f>
        <v>2025</v>
      </c>
      <c r="AP76" s="188" cm="1">
        <f t="array" ref="AP76">SUMPRODUCT((AP$4:AP$64*($D$4:$D$64=$B76)),$H$4:$H$64)</f>
        <v>2025</v>
      </c>
      <c r="AQ76" s="188" cm="1">
        <f t="array" ref="AQ76">SUMPRODUCT((AQ$4:AQ$64*($D$4:$D$64=$B76)),$H$4:$H$64)</f>
        <v>2025</v>
      </c>
      <c r="AR76" s="188" cm="1">
        <f t="array" ref="AR76">SUMPRODUCT((AR$4:AR$64*($D$4:$D$64=$B76)),$H$4:$H$64)</f>
        <v>2025</v>
      </c>
      <c r="AS76" s="188" cm="1">
        <f t="array" ref="AS76">SUMPRODUCT((AS$4:AS$64*($D$4:$D$64=$B76)),$H$4:$H$64)</f>
        <v>2025</v>
      </c>
      <c r="AT76" s="188" cm="1">
        <f t="array" ref="AT76">SUMPRODUCT((AT$4:AT$64*($D$4:$D$64=$B76)),$H$4:$H$64)</f>
        <v>2025</v>
      </c>
      <c r="AU76" s="188" cm="1">
        <f t="array" ref="AU76">SUMPRODUCT((AU$4:AU$64*($D$4:$D$64=$B76)),$H$4:$H$64)</f>
        <v>2025</v>
      </c>
      <c r="AV76" s="188" cm="1">
        <f t="array" ref="AV76">SUMPRODUCT((AV$4:AV$64*($D$4:$D$64=$B76)),$H$4:$H$64)</f>
        <v>2025</v>
      </c>
      <c r="AW76" s="188" cm="1">
        <f t="array" ref="AW76">SUMPRODUCT((AW$4:AW$64*($D$4:$D$64=$B76)),$H$4:$H$64)</f>
        <v>2025</v>
      </c>
      <c r="AX76" s="188" cm="1">
        <f t="array" ref="AX76">SUMPRODUCT((AX$4:AX$64*($D$4:$D$64=$B76)),$H$4:$H$64)</f>
        <v>2025</v>
      </c>
      <c r="AY76" s="188" cm="1">
        <f t="array" ref="AY76">SUMPRODUCT((AY$4:AY$64*($D$4:$D$64=$B76)),$H$4:$H$64)</f>
        <v>2025</v>
      </c>
      <c r="AZ76" s="188" cm="1">
        <f t="array" ref="AZ76">SUMPRODUCT((AZ$4:AZ$64*($D$4:$D$64=$B76)),$H$4:$H$64)</f>
        <v>2025</v>
      </c>
      <c r="BA76" s="188" cm="1">
        <f t="array" ref="BA76">SUMPRODUCT((BA$4:BA$64*($D$4:$D$64=$B76)),$H$4:$H$64)</f>
        <v>2025</v>
      </c>
      <c r="BB76" s="188" cm="1">
        <f t="array" ref="BB76">SUMPRODUCT((BB$4:BB$64*($D$4:$D$64=$B76)),$H$4:$H$64)</f>
        <v>2025</v>
      </c>
      <c r="BC76" s="188" cm="1">
        <f t="array" ref="BC76">SUMPRODUCT((BC$4:BC$64*($D$4:$D$64=$B76)),$H$4:$H$64)</f>
        <v>2025</v>
      </c>
      <c r="BD76" s="188" cm="1">
        <f t="array" ref="BD76">SUMPRODUCT((BD$4:BD$64*($D$4:$D$64=$B76)),$H$4:$H$64)</f>
        <v>2025</v>
      </c>
      <c r="BE76" s="188" cm="1">
        <f t="array" ref="BE76">SUMPRODUCT((BE$4:BE$64*($D$4:$D$64=$B76)),$H$4:$H$64)</f>
        <v>2025</v>
      </c>
      <c r="BF76" s="188" cm="1">
        <f t="array" ref="BF76">SUMPRODUCT((BF$4:BF$64*($D$4:$D$64=$B76)),$H$4:$H$64)</f>
        <v>2025</v>
      </c>
      <c r="BG76" s="188" cm="1">
        <f t="array" ref="BG76">SUMPRODUCT((BG$4:BG$64*($D$4:$D$64=$B76)),$H$4:$H$64)</f>
        <v>2025</v>
      </c>
      <c r="BH76" s="188" cm="1">
        <f t="array" ref="BH76">SUMPRODUCT((BH$4:BH$64*($D$4:$D$64=$B76)),$H$4:$H$64)</f>
        <v>2025</v>
      </c>
      <c r="BI76" s="188" cm="1">
        <f t="array" ref="BI76">SUMPRODUCT((BI$4:BI$64*($D$4:$D$64=$B76)),$H$4:$H$64)</f>
        <v>2025</v>
      </c>
    </row>
    <row r="77" spans="1:61" ht="12.75" x14ac:dyDescent="0.2">
      <c r="B77" s="215" t="str">
        <f t="shared" si="88"/>
        <v>Engineering</v>
      </c>
      <c r="D77" s="214"/>
      <c r="E77" s="214"/>
      <c r="F77" s="214"/>
      <c r="G77" s="214"/>
      <c r="H77" s="214"/>
      <c r="I77" s="214"/>
      <c r="J77" s="214"/>
      <c r="K77" s="214"/>
      <c r="N77" s="188" cm="1">
        <f t="array" ref="N77">SUMPRODUCT((N$4:N$64*($D$4:$D$64=$B77)),$H$4:$H$64)</f>
        <v>17752.5</v>
      </c>
      <c r="O77" s="188" cm="1">
        <f t="array" ref="O77">SUMPRODUCT((O$4:O$64*($D$4:$D$64=$B77)),$H$4:$H$64)</f>
        <v>17752.5</v>
      </c>
      <c r="P77" s="188" cm="1">
        <f t="array" ref="P77">SUMPRODUCT((P$4:P$64*($D$4:$D$64=$B77)),$H$4:$H$64)</f>
        <v>17752.5</v>
      </c>
      <c r="Q77" s="188" cm="1">
        <f t="array" ref="Q77">SUMPRODUCT((Q$4:Q$64*($D$4:$D$64=$B77)),$H$4:$H$64)</f>
        <v>17752.5</v>
      </c>
      <c r="R77" s="188" cm="1">
        <f t="array" ref="R77">SUMPRODUCT((R$4:R$64*($D$4:$D$64=$B77)),$H$4:$H$64)</f>
        <v>17752.5</v>
      </c>
      <c r="S77" s="188" cm="1">
        <f t="array" ref="S77">SUMPRODUCT((S$4:S$64*($D$4:$D$64=$B77)),$H$4:$H$64)</f>
        <v>19140</v>
      </c>
      <c r="T77" s="188" cm="1">
        <f t="array" ref="T77">SUMPRODUCT((T$4:T$64*($D$4:$D$64=$B77)),$H$4:$H$64)</f>
        <v>19140</v>
      </c>
      <c r="U77" s="188" cm="1">
        <f t="array" ref="U77">SUMPRODUCT((U$4:U$64*($D$4:$D$64=$B77)),$H$4:$H$64)</f>
        <v>19140</v>
      </c>
      <c r="V77" s="188" cm="1">
        <f t="array" ref="V77">SUMPRODUCT((V$4:V$64*($D$4:$D$64=$B77)),$H$4:$H$64)</f>
        <v>20452.5</v>
      </c>
      <c r="W77" s="188" cm="1">
        <f t="array" ref="W77">SUMPRODUCT((W$4:W$64*($D$4:$D$64=$B77)),$H$4:$H$64)</f>
        <v>20452.5</v>
      </c>
      <c r="X77" s="188" cm="1">
        <f t="array" ref="X77">SUMPRODUCT((X$4:X$64*($D$4:$D$64=$B77)),$H$4:$H$64)</f>
        <v>20452.5</v>
      </c>
      <c r="Y77" s="188" cm="1">
        <f t="array" ref="Y77">SUMPRODUCT((Y$4:Y$64*($D$4:$D$64=$B77)),$H$4:$H$64)</f>
        <v>21765</v>
      </c>
      <c r="Z77" s="188" cm="1">
        <f t="array" ref="Z77">SUMPRODUCT((Z$4:Z$64*($D$4:$D$64=$B77)),$H$4:$H$64)</f>
        <v>21765</v>
      </c>
      <c r="AA77" s="188" cm="1">
        <f t="array" ref="AA77">SUMPRODUCT((AA$4:AA$64*($D$4:$D$64=$B77)),$H$4:$H$64)</f>
        <v>21765</v>
      </c>
      <c r="AB77" s="188" cm="1">
        <f t="array" ref="AB77">SUMPRODUCT((AB$4:AB$64*($D$4:$D$64=$B77)),$H$4:$H$64)</f>
        <v>23130</v>
      </c>
      <c r="AC77" s="188" cm="1">
        <f t="array" ref="AC77">SUMPRODUCT((AC$4:AC$64*($D$4:$D$64=$B77)),$H$4:$H$64)</f>
        <v>23130</v>
      </c>
      <c r="AD77" s="188" cm="1">
        <f t="array" ref="AD77">SUMPRODUCT((AD$4:AD$64*($D$4:$D$64=$B77)),$H$4:$H$64)</f>
        <v>23130</v>
      </c>
      <c r="AE77" s="188" cm="1">
        <f t="array" ref="AE77">SUMPRODUCT((AE$4:AE$64*($D$4:$D$64=$B77)),$H$4:$H$64)</f>
        <v>24367.5</v>
      </c>
      <c r="AF77" s="188" cm="1">
        <f t="array" ref="AF77">SUMPRODUCT((AF$4:AF$64*($D$4:$D$64=$B77)),$H$4:$H$64)</f>
        <v>24367.5</v>
      </c>
      <c r="AG77" s="188" cm="1">
        <f t="array" ref="AG77">SUMPRODUCT((AG$4:AG$64*($D$4:$D$64=$B77)),$H$4:$H$64)</f>
        <v>24367.5</v>
      </c>
      <c r="AH77" s="188" cm="1">
        <f t="array" ref="AH77">SUMPRODUCT((AH$4:AH$64*($D$4:$D$64=$B77)),$H$4:$H$64)</f>
        <v>25605</v>
      </c>
      <c r="AI77" s="188" cm="1">
        <f t="array" ref="AI77">SUMPRODUCT((AI$4:AI$64*($D$4:$D$64=$B77)),$H$4:$H$64)</f>
        <v>25605</v>
      </c>
      <c r="AJ77" s="188" cm="1">
        <f t="array" ref="AJ77">SUMPRODUCT((AJ$4:AJ$64*($D$4:$D$64=$B77)),$H$4:$H$64)</f>
        <v>25605</v>
      </c>
      <c r="AK77" s="188" cm="1">
        <f t="array" ref="AK77">SUMPRODUCT((AK$4:AK$64*($D$4:$D$64=$B77)),$H$4:$H$64)</f>
        <v>26842.5</v>
      </c>
      <c r="AL77" s="188" cm="1">
        <f t="array" ref="AL77">SUMPRODUCT((AL$4:AL$64*($D$4:$D$64=$B77)),$H$4:$H$64)</f>
        <v>26842.5</v>
      </c>
      <c r="AM77" s="188" cm="1">
        <f t="array" ref="AM77">SUMPRODUCT((AM$4:AM$64*($D$4:$D$64=$B77)),$H$4:$H$64)</f>
        <v>26842.5</v>
      </c>
      <c r="AN77" s="188" cm="1">
        <f t="array" ref="AN77">SUMPRODUCT((AN$4:AN$64*($D$4:$D$64=$B77)),$H$4:$H$64)</f>
        <v>28080</v>
      </c>
      <c r="AO77" s="188" cm="1">
        <f t="array" ref="AO77">SUMPRODUCT((AO$4:AO$64*($D$4:$D$64=$B77)),$H$4:$H$64)</f>
        <v>28080</v>
      </c>
      <c r="AP77" s="188" cm="1">
        <f t="array" ref="AP77">SUMPRODUCT((AP$4:AP$64*($D$4:$D$64=$B77)),$H$4:$H$64)</f>
        <v>28080</v>
      </c>
      <c r="AQ77" s="188" cm="1">
        <f t="array" ref="AQ77">SUMPRODUCT((AQ$4:AQ$64*($D$4:$D$64=$B77)),$H$4:$H$64)</f>
        <v>29317.5</v>
      </c>
      <c r="AR77" s="188" cm="1">
        <f t="array" ref="AR77">SUMPRODUCT((AR$4:AR$64*($D$4:$D$64=$B77)),$H$4:$H$64)</f>
        <v>29317.5</v>
      </c>
      <c r="AS77" s="188" cm="1">
        <f t="array" ref="AS77">SUMPRODUCT((AS$4:AS$64*($D$4:$D$64=$B77)),$H$4:$H$64)</f>
        <v>29317.5</v>
      </c>
      <c r="AT77" s="188" cm="1">
        <f t="array" ref="AT77">SUMPRODUCT((AT$4:AT$64*($D$4:$D$64=$B77)),$H$4:$H$64)</f>
        <v>30555</v>
      </c>
      <c r="AU77" s="188" cm="1">
        <f t="array" ref="AU77">SUMPRODUCT((AU$4:AU$64*($D$4:$D$64=$B77)),$H$4:$H$64)</f>
        <v>30555</v>
      </c>
      <c r="AV77" s="188" cm="1">
        <f t="array" ref="AV77">SUMPRODUCT((AV$4:AV$64*($D$4:$D$64=$B77)),$H$4:$H$64)</f>
        <v>30555</v>
      </c>
      <c r="AW77" s="188" cm="1">
        <f t="array" ref="AW77">SUMPRODUCT((AW$4:AW$64*($D$4:$D$64=$B77)),$H$4:$H$64)</f>
        <v>31792.5</v>
      </c>
      <c r="AX77" s="188" cm="1">
        <f t="array" ref="AX77">SUMPRODUCT((AX$4:AX$64*($D$4:$D$64=$B77)),$H$4:$H$64)</f>
        <v>31792.5</v>
      </c>
      <c r="AY77" s="188" cm="1">
        <f t="array" ref="AY77">SUMPRODUCT((AY$4:AY$64*($D$4:$D$64=$B77)),$H$4:$H$64)</f>
        <v>31792.5</v>
      </c>
      <c r="AZ77" s="188" cm="1">
        <f t="array" ref="AZ77">SUMPRODUCT((AZ$4:AZ$64*($D$4:$D$64=$B77)),$H$4:$H$64)</f>
        <v>33030</v>
      </c>
      <c r="BA77" s="188" cm="1">
        <f t="array" ref="BA77">SUMPRODUCT((BA$4:BA$64*($D$4:$D$64=$B77)),$H$4:$H$64)</f>
        <v>33030</v>
      </c>
      <c r="BB77" s="188" cm="1">
        <f t="array" ref="BB77">SUMPRODUCT((BB$4:BB$64*($D$4:$D$64=$B77)),$H$4:$H$64)</f>
        <v>33030</v>
      </c>
      <c r="BC77" s="188" cm="1">
        <f t="array" ref="BC77">SUMPRODUCT((BC$4:BC$64*($D$4:$D$64=$B77)),$H$4:$H$64)</f>
        <v>33030</v>
      </c>
      <c r="BD77" s="188" cm="1">
        <f t="array" ref="BD77">SUMPRODUCT((BD$4:BD$64*($D$4:$D$64=$B77)),$H$4:$H$64)</f>
        <v>33030</v>
      </c>
      <c r="BE77" s="188" cm="1">
        <f t="array" ref="BE77">SUMPRODUCT((BE$4:BE$64*($D$4:$D$64=$B77)),$H$4:$H$64)</f>
        <v>33030</v>
      </c>
      <c r="BF77" s="188" cm="1">
        <f t="array" ref="BF77">SUMPRODUCT((BF$4:BF$64*($D$4:$D$64=$B77)),$H$4:$H$64)</f>
        <v>33030</v>
      </c>
      <c r="BG77" s="188" cm="1">
        <f t="array" ref="BG77">SUMPRODUCT((BG$4:BG$64*($D$4:$D$64=$B77)),$H$4:$H$64)</f>
        <v>33030</v>
      </c>
      <c r="BH77" s="188" cm="1">
        <f t="array" ref="BH77">SUMPRODUCT((BH$4:BH$64*($D$4:$D$64=$B77)),$H$4:$H$64)</f>
        <v>33030</v>
      </c>
      <c r="BI77" s="188" cm="1">
        <f t="array" ref="BI77">SUMPRODUCT((BI$4:BI$64*($D$4:$D$64=$B77)),$H$4:$H$64)</f>
        <v>33030</v>
      </c>
    </row>
    <row r="78" spans="1:61" ht="12.75" x14ac:dyDescent="0.2">
      <c r="B78" s="215" t="str">
        <f t="shared" si="88"/>
        <v>Marketing</v>
      </c>
      <c r="D78" s="214"/>
      <c r="E78" s="214"/>
      <c r="F78" s="214"/>
      <c r="G78" s="214"/>
      <c r="H78" s="214"/>
      <c r="I78" s="214"/>
      <c r="J78" s="214"/>
      <c r="K78" s="214"/>
      <c r="N78" s="188" cm="1">
        <f t="array" ref="N78">SUMPRODUCT((N$4:N$64*($D$4:$D$64=$B78)),$H$4:$H$64)</f>
        <v>2325</v>
      </c>
      <c r="O78" s="188" cm="1">
        <f t="array" ref="O78">SUMPRODUCT((O$4:O$64*($D$4:$D$64=$B78)),$H$4:$H$64)</f>
        <v>2325</v>
      </c>
      <c r="P78" s="188" cm="1">
        <f t="array" ref="P78">SUMPRODUCT((P$4:P$64*($D$4:$D$64=$B78)),$H$4:$H$64)</f>
        <v>2325</v>
      </c>
      <c r="Q78" s="188" cm="1">
        <f t="array" ref="Q78">SUMPRODUCT((Q$4:Q$64*($D$4:$D$64=$B78)),$H$4:$H$64)</f>
        <v>2325</v>
      </c>
      <c r="R78" s="188" cm="1">
        <f t="array" ref="R78">SUMPRODUCT((R$4:R$64*($D$4:$D$64=$B78)),$H$4:$H$64)</f>
        <v>2325</v>
      </c>
      <c r="S78" s="188" cm="1">
        <f t="array" ref="S78">SUMPRODUCT((S$4:S$64*($D$4:$D$64=$B78)),$H$4:$H$64)</f>
        <v>3075</v>
      </c>
      <c r="T78" s="188" cm="1">
        <f t="array" ref="T78">SUMPRODUCT((T$4:T$64*($D$4:$D$64=$B78)),$H$4:$H$64)</f>
        <v>3075</v>
      </c>
      <c r="U78" s="188" cm="1">
        <f t="array" ref="U78">SUMPRODUCT((U$4:U$64*($D$4:$D$64=$B78)),$H$4:$H$64)</f>
        <v>3825</v>
      </c>
      <c r="V78" s="188" cm="1">
        <f t="array" ref="V78">SUMPRODUCT((V$4:V$64*($D$4:$D$64=$B78)),$H$4:$H$64)</f>
        <v>3825</v>
      </c>
      <c r="W78" s="188" cm="1">
        <f t="array" ref="W78">SUMPRODUCT((W$4:W$64*($D$4:$D$64=$B78)),$H$4:$H$64)</f>
        <v>4575</v>
      </c>
      <c r="X78" s="188" cm="1">
        <f t="array" ref="X78">SUMPRODUCT((X$4:X$64*($D$4:$D$64=$B78)),$H$4:$H$64)</f>
        <v>4575</v>
      </c>
      <c r="Y78" s="188" cm="1">
        <f t="array" ref="Y78">SUMPRODUCT((Y$4:Y$64*($D$4:$D$64=$B78)),$H$4:$H$64)</f>
        <v>5325</v>
      </c>
      <c r="Z78" s="188" cm="1">
        <f t="array" ref="Z78">SUMPRODUCT((Z$4:Z$64*($D$4:$D$64=$B78)),$H$4:$H$64)</f>
        <v>5325</v>
      </c>
      <c r="AA78" s="188" cm="1">
        <f t="array" ref="AA78">SUMPRODUCT((AA$4:AA$64*($D$4:$D$64=$B78)),$H$4:$H$64)</f>
        <v>5325</v>
      </c>
      <c r="AB78" s="188" cm="1">
        <f t="array" ref="AB78">SUMPRODUCT((AB$4:AB$64*($D$4:$D$64=$B78)),$H$4:$H$64)</f>
        <v>5325</v>
      </c>
      <c r="AC78" s="188" cm="1">
        <f t="array" ref="AC78">SUMPRODUCT((AC$4:AC$64*($D$4:$D$64=$B78)),$H$4:$H$64)</f>
        <v>5325</v>
      </c>
      <c r="AD78" s="188" cm="1">
        <f t="array" ref="AD78">SUMPRODUCT((AD$4:AD$64*($D$4:$D$64=$B78)),$H$4:$H$64)</f>
        <v>5325</v>
      </c>
      <c r="AE78" s="188" cm="1">
        <f t="array" ref="AE78">SUMPRODUCT((AE$4:AE$64*($D$4:$D$64=$B78)),$H$4:$H$64)</f>
        <v>5325</v>
      </c>
      <c r="AF78" s="188" cm="1">
        <f t="array" ref="AF78">SUMPRODUCT((AF$4:AF$64*($D$4:$D$64=$B78)),$H$4:$H$64)</f>
        <v>5325</v>
      </c>
      <c r="AG78" s="188" cm="1">
        <f t="array" ref="AG78">SUMPRODUCT((AG$4:AG$64*($D$4:$D$64=$B78)),$H$4:$H$64)</f>
        <v>5325</v>
      </c>
      <c r="AH78" s="188" cm="1">
        <f t="array" ref="AH78">SUMPRODUCT((AH$4:AH$64*($D$4:$D$64=$B78)),$H$4:$H$64)</f>
        <v>5325</v>
      </c>
      <c r="AI78" s="188" cm="1">
        <f t="array" ref="AI78">SUMPRODUCT((AI$4:AI$64*($D$4:$D$64=$B78)),$H$4:$H$64)</f>
        <v>5325</v>
      </c>
      <c r="AJ78" s="188" cm="1">
        <f t="array" ref="AJ78">SUMPRODUCT((AJ$4:AJ$64*($D$4:$D$64=$B78)),$H$4:$H$64)</f>
        <v>5325</v>
      </c>
      <c r="AK78" s="188" cm="1">
        <f t="array" ref="AK78">SUMPRODUCT((AK$4:AK$64*($D$4:$D$64=$B78)),$H$4:$H$64)</f>
        <v>5325</v>
      </c>
      <c r="AL78" s="188" cm="1">
        <f t="array" ref="AL78">SUMPRODUCT((AL$4:AL$64*($D$4:$D$64=$B78)),$H$4:$H$64)</f>
        <v>5325</v>
      </c>
      <c r="AM78" s="188" cm="1">
        <f t="array" ref="AM78">SUMPRODUCT((AM$4:AM$64*($D$4:$D$64=$B78)),$H$4:$H$64)</f>
        <v>5325</v>
      </c>
      <c r="AN78" s="188" cm="1">
        <f t="array" ref="AN78">SUMPRODUCT((AN$4:AN$64*($D$4:$D$64=$B78)),$H$4:$H$64)</f>
        <v>5325</v>
      </c>
      <c r="AO78" s="188" cm="1">
        <f t="array" ref="AO78">SUMPRODUCT((AO$4:AO$64*($D$4:$D$64=$B78)),$H$4:$H$64)</f>
        <v>5325</v>
      </c>
      <c r="AP78" s="188" cm="1">
        <f t="array" ref="AP78">SUMPRODUCT((AP$4:AP$64*($D$4:$D$64=$B78)),$H$4:$H$64)</f>
        <v>5325</v>
      </c>
      <c r="AQ78" s="188" cm="1">
        <f t="array" ref="AQ78">SUMPRODUCT((AQ$4:AQ$64*($D$4:$D$64=$B78)),$H$4:$H$64)</f>
        <v>5325</v>
      </c>
      <c r="AR78" s="188" cm="1">
        <f t="array" ref="AR78">SUMPRODUCT((AR$4:AR$64*($D$4:$D$64=$B78)),$H$4:$H$64)</f>
        <v>5325</v>
      </c>
      <c r="AS78" s="188" cm="1">
        <f t="array" ref="AS78">SUMPRODUCT((AS$4:AS$64*($D$4:$D$64=$B78)),$H$4:$H$64)</f>
        <v>5325</v>
      </c>
      <c r="AT78" s="188" cm="1">
        <f t="array" ref="AT78">SUMPRODUCT((AT$4:AT$64*($D$4:$D$64=$B78)),$H$4:$H$64)</f>
        <v>5325</v>
      </c>
      <c r="AU78" s="188" cm="1">
        <f t="array" ref="AU78">SUMPRODUCT((AU$4:AU$64*($D$4:$D$64=$B78)),$H$4:$H$64)</f>
        <v>5325</v>
      </c>
      <c r="AV78" s="188" cm="1">
        <f t="array" ref="AV78">SUMPRODUCT((AV$4:AV$64*($D$4:$D$64=$B78)),$H$4:$H$64)</f>
        <v>5325</v>
      </c>
      <c r="AW78" s="188" cm="1">
        <f t="array" ref="AW78">SUMPRODUCT((AW$4:AW$64*($D$4:$D$64=$B78)),$H$4:$H$64)</f>
        <v>5325</v>
      </c>
      <c r="AX78" s="188" cm="1">
        <f t="array" ref="AX78">SUMPRODUCT((AX$4:AX$64*($D$4:$D$64=$B78)),$H$4:$H$64)</f>
        <v>5325</v>
      </c>
      <c r="AY78" s="188" cm="1">
        <f t="array" ref="AY78">SUMPRODUCT((AY$4:AY$64*($D$4:$D$64=$B78)),$H$4:$H$64)</f>
        <v>5325</v>
      </c>
      <c r="AZ78" s="188" cm="1">
        <f t="array" ref="AZ78">SUMPRODUCT((AZ$4:AZ$64*($D$4:$D$64=$B78)),$H$4:$H$64)</f>
        <v>5325</v>
      </c>
      <c r="BA78" s="188" cm="1">
        <f t="array" ref="BA78">SUMPRODUCT((BA$4:BA$64*($D$4:$D$64=$B78)),$H$4:$H$64)</f>
        <v>5325</v>
      </c>
      <c r="BB78" s="188" cm="1">
        <f t="array" ref="BB78">SUMPRODUCT((BB$4:BB$64*($D$4:$D$64=$B78)),$H$4:$H$64)</f>
        <v>5325</v>
      </c>
      <c r="BC78" s="188" cm="1">
        <f t="array" ref="BC78">SUMPRODUCT((BC$4:BC$64*($D$4:$D$64=$B78)),$H$4:$H$64)</f>
        <v>5325</v>
      </c>
      <c r="BD78" s="188" cm="1">
        <f t="array" ref="BD78">SUMPRODUCT((BD$4:BD$64*($D$4:$D$64=$B78)),$H$4:$H$64)</f>
        <v>5325</v>
      </c>
      <c r="BE78" s="188" cm="1">
        <f t="array" ref="BE78">SUMPRODUCT((BE$4:BE$64*($D$4:$D$64=$B78)),$H$4:$H$64)</f>
        <v>5325</v>
      </c>
      <c r="BF78" s="188" cm="1">
        <f t="array" ref="BF78">SUMPRODUCT((BF$4:BF$64*($D$4:$D$64=$B78)),$H$4:$H$64)</f>
        <v>5325</v>
      </c>
      <c r="BG78" s="188" cm="1">
        <f t="array" ref="BG78">SUMPRODUCT((BG$4:BG$64*($D$4:$D$64=$B78)),$H$4:$H$64)</f>
        <v>5325</v>
      </c>
      <c r="BH78" s="188" cm="1">
        <f t="array" ref="BH78">SUMPRODUCT((BH$4:BH$64*($D$4:$D$64=$B78)),$H$4:$H$64)</f>
        <v>5325</v>
      </c>
      <c r="BI78" s="188" cm="1">
        <f t="array" ref="BI78">SUMPRODUCT((BI$4:BI$64*($D$4:$D$64=$B78)),$H$4:$H$64)</f>
        <v>5325</v>
      </c>
    </row>
    <row r="79" spans="1:61" ht="12.75" x14ac:dyDescent="0.2">
      <c r="B79" s="215" t="str">
        <f t="shared" si="88"/>
        <v>Sales</v>
      </c>
      <c r="D79" s="214"/>
      <c r="E79" s="214"/>
      <c r="F79" s="214"/>
      <c r="G79" s="214"/>
      <c r="H79" s="214"/>
      <c r="I79" s="214"/>
      <c r="J79" s="214"/>
      <c r="K79" s="214"/>
      <c r="N79" s="188" cm="1">
        <f t="array" ref="N79">SUMPRODUCT((N$4:N$64*($D$4:$D$64=$B79)),$H$4:$H$64)</f>
        <v>3375</v>
      </c>
      <c r="O79" s="188" cm="1">
        <f t="array" ref="O79">SUMPRODUCT((O$4:O$64*($D$4:$D$64=$B79)),$H$4:$H$64)</f>
        <v>3375</v>
      </c>
      <c r="P79" s="188" cm="1">
        <f t="array" ref="P79">SUMPRODUCT((P$4:P$64*($D$4:$D$64=$B79)),$H$4:$H$64)</f>
        <v>3375</v>
      </c>
      <c r="Q79" s="188" cm="1">
        <f t="array" ref="Q79">SUMPRODUCT((Q$4:Q$64*($D$4:$D$64=$B79)),$H$4:$H$64)</f>
        <v>3375</v>
      </c>
      <c r="R79" s="188" cm="1">
        <f t="array" ref="R79">SUMPRODUCT((R$4:R$64*($D$4:$D$64=$B79)),$H$4:$H$64)</f>
        <v>3375</v>
      </c>
      <c r="S79" s="188" cm="1">
        <f t="array" ref="S79">SUMPRODUCT((S$4:S$64*($D$4:$D$64=$B79)),$H$4:$H$64)</f>
        <v>5025</v>
      </c>
      <c r="T79" s="188" cm="1">
        <f t="array" ref="T79">SUMPRODUCT((T$4:T$64*($D$4:$D$64=$B79)),$H$4:$H$64)</f>
        <v>5025</v>
      </c>
      <c r="U79" s="188" cm="1">
        <f t="array" ref="U79">SUMPRODUCT((U$4:U$64*($D$4:$D$64=$B79)),$H$4:$H$64)</f>
        <v>6675</v>
      </c>
      <c r="V79" s="188" cm="1">
        <f t="array" ref="V79">SUMPRODUCT((V$4:V$64*($D$4:$D$64=$B79)),$H$4:$H$64)</f>
        <v>6675</v>
      </c>
      <c r="W79" s="188" cm="1">
        <f t="array" ref="W79">SUMPRODUCT((W$4:W$64*($D$4:$D$64=$B79)),$H$4:$H$64)</f>
        <v>8325</v>
      </c>
      <c r="X79" s="188" cm="1">
        <f t="array" ref="X79">SUMPRODUCT((X$4:X$64*($D$4:$D$64=$B79)),$H$4:$H$64)</f>
        <v>8325</v>
      </c>
      <c r="Y79" s="188" cm="1">
        <f t="array" ref="Y79">SUMPRODUCT((Y$4:Y$64*($D$4:$D$64=$B79)),$H$4:$H$64)</f>
        <v>9975</v>
      </c>
      <c r="Z79" s="188" cm="1">
        <f t="array" ref="Z79">SUMPRODUCT((Z$4:Z$64*($D$4:$D$64=$B79)),$H$4:$H$64)</f>
        <v>9975</v>
      </c>
      <c r="AA79" s="188" cm="1">
        <f t="array" ref="AA79">SUMPRODUCT((AA$4:AA$64*($D$4:$D$64=$B79)),$H$4:$H$64)</f>
        <v>9975</v>
      </c>
      <c r="AB79" s="188" cm="1">
        <f t="array" ref="AB79">SUMPRODUCT((AB$4:AB$64*($D$4:$D$64=$B79)),$H$4:$H$64)</f>
        <v>9975</v>
      </c>
      <c r="AC79" s="188" cm="1">
        <f t="array" ref="AC79">SUMPRODUCT((AC$4:AC$64*($D$4:$D$64=$B79)),$H$4:$H$64)</f>
        <v>9975</v>
      </c>
      <c r="AD79" s="188" cm="1">
        <f t="array" ref="AD79">SUMPRODUCT((AD$4:AD$64*($D$4:$D$64=$B79)),$H$4:$H$64)</f>
        <v>9975</v>
      </c>
      <c r="AE79" s="188" cm="1">
        <f t="array" ref="AE79">SUMPRODUCT((AE$4:AE$64*($D$4:$D$64=$B79)),$H$4:$H$64)</f>
        <v>9975</v>
      </c>
      <c r="AF79" s="188" cm="1">
        <f t="array" ref="AF79">SUMPRODUCT((AF$4:AF$64*($D$4:$D$64=$B79)),$H$4:$H$64)</f>
        <v>9975</v>
      </c>
      <c r="AG79" s="188" cm="1">
        <f t="array" ref="AG79">SUMPRODUCT((AG$4:AG$64*($D$4:$D$64=$B79)),$H$4:$H$64)</f>
        <v>9975</v>
      </c>
      <c r="AH79" s="188" cm="1">
        <f t="array" ref="AH79">SUMPRODUCT((AH$4:AH$64*($D$4:$D$64=$B79)),$H$4:$H$64)</f>
        <v>9975</v>
      </c>
      <c r="AI79" s="188" cm="1">
        <f t="array" ref="AI79">SUMPRODUCT((AI$4:AI$64*($D$4:$D$64=$B79)),$H$4:$H$64)</f>
        <v>9975</v>
      </c>
      <c r="AJ79" s="188" cm="1">
        <f t="array" ref="AJ79">SUMPRODUCT((AJ$4:AJ$64*($D$4:$D$64=$B79)),$H$4:$H$64)</f>
        <v>9975</v>
      </c>
      <c r="AK79" s="188" cm="1">
        <f t="array" ref="AK79">SUMPRODUCT((AK$4:AK$64*($D$4:$D$64=$B79)),$H$4:$H$64)</f>
        <v>9975</v>
      </c>
      <c r="AL79" s="188" cm="1">
        <f t="array" ref="AL79">SUMPRODUCT((AL$4:AL$64*($D$4:$D$64=$B79)),$H$4:$H$64)</f>
        <v>9975</v>
      </c>
      <c r="AM79" s="188" cm="1">
        <f t="array" ref="AM79">SUMPRODUCT((AM$4:AM$64*($D$4:$D$64=$B79)),$H$4:$H$64)</f>
        <v>9975</v>
      </c>
      <c r="AN79" s="188" cm="1">
        <f t="array" ref="AN79">SUMPRODUCT((AN$4:AN$64*($D$4:$D$64=$B79)),$H$4:$H$64)</f>
        <v>9975</v>
      </c>
      <c r="AO79" s="188" cm="1">
        <f t="array" ref="AO79">SUMPRODUCT((AO$4:AO$64*($D$4:$D$64=$B79)),$H$4:$H$64)</f>
        <v>9975</v>
      </c>
      <c r="AP79" s="188" cm="1">
        <f t="array" ref="AP79">SUMPRODUCT((AP$4:AP$64*($D$4:$D$64=$B79)),$H$4:$H$64)</f>
        <v>9975</v>
      </c>
      <c r="AQ79" s="188" cm="1">
        <f t="array" ref="AQ79">SUMPRODUCT((AQ$4:AQ$64*($D$4:$D$64=$B79)),$H$4:$H$64)</f>
        <v>9975</v>
      </c>
      <c r="AR79" s="188" cm="1">
        <f t="array" ref="AR79">SUMPRODUCT((AR$4:AR$64*($D$4:$D$64=$B79)),$H$4:$H$64)</f>
        <v>9975</v>
      </c>
      <c r="AS79" s="188" cm="1">
        <f t="array" ref="AS79">SUMPRODUCT((AS$4:AS$64*($D$4:$D$64=$B79)),$H$4:$H$64)</f>
        <v>9975</v>
      </c>
      <c r="AT79" s="188" cm="1">
        <f t="array" ref="AT79">SUMPRODUCT((AT$4:AT$64*($D$4:$D$64=$B79)),$H$4:$H$64)</f>
        <v>9975</v>
      </c>
      <c r="AU79" s="188" cm="1">
        <f t="array" ref="AU79">SUMPRODUCT((AU$4:AU$64*($D$4:$D$64=$B79)),$H$4:$H$64)</f>
        <v>9975</v>
      </c>
      <c r="AV79" s="188" cm="1">
        <f t="array" ref="AV79">SUMPRODUCT((AV$4:AV$64*($D$4:$D$64=$B79)),$H$4:$H$64)</f>
        <v>9975</v>
      </c>
      <c r="AW79" s="188" cm="1">
        <f t="array" ref="AW79">SUMPRODUCT((AW$4:AW$64*($D$4:$D$64=$B79)),$H$4:$H$64)</f>
        <v>9975</v>
      </c>
      <c r="AX79" s="188" cm="1">
        <f t="array" ref="AX79">SUMPRODUCT((AX$4:AX$64*($D$4:$D$64=$B79)),$H$4:$H$64)</f>
        <v>9975</v>
      </c>
      <c r="AY79" s="188" cm="1">
        <f t="array" ref="AY79">SUMPRODUCT((AY$4:AY$64*($D$4:$D$64=$B79)),$H$4:$H$64)</f>
        <v>9975</v>
      </c>
      <c r="AZ79" s="188" cm="1">
        <f t="array" ref="AZ79">SUMPRODUCT((AZ$4:AZ$64*($D$4:$D$64=$B79)),$H$4:$H$64)</f>
        <v>9975</v>
      </c>
      <c r="BA79" s="188" cm="1">
        <f t="array" ref="BA79">SUMPRODUCT((BA$4:BA$64*($D$4:$D$64=$B79)),$H$4:$H$64)</f>
        <v>9975</v>
      </c>
      <c r="BB79" s="188" cm="1">
        <f t="array" ref="BB79">SUMPRODUCT((BB$4:BB$64*($D$4:$D$64=$B79)),$H$4:$H$64)</f>
        <v>9975</v>
      </c>
      <c r="BC79" s="188" cm="1">
        <f t="array" ref="BC79">SUMPRODUCT((BC$4:BC$64*($D$4:$D$64=$B79)),$H$4:$H$64)</f>
        <v>9975</v>
      </c>
      <c r="BD79" s="188" cm="1">
        <f t="array" ref="BD79">SUMPRODUCT((BD$4:BD$64*($D$4:$D$64=$B79)),$H$4:$H$64)</f>
        <v>9975</v>
      </c>
      <c r="BE79" s="188" cm="1">
        <f t="array" ref="BE79">SUMPRODUCT((BE$4:BE$64*($D$4:$D$64=$B79)),$H$4:$H$64)</f>
        <v>9975</v>
      </c>
      <c r="BF79" s="188" cm="1">
        <f t="array" ref="BF79">SUMPRODUCT((BF$4:BF$64*($D$4:$D$64=$B79)),$H$4:$H$64)</f>
        <v>9975</v>
      </c>
      <c r="BG79" s="188" cm="1">
        <f t="array" ref="BG79">SUMPRODUCT((BG$4:BG$64*($D$4:$D$64=$B79)),$H$4:$H$64)</f>
        <v>9975</v>
      </c>
      <c r="BH79" s="188" cm="1">
        <f t="array" ref="BH79">SUMPRODUCT((BH$4:BH$64*($D$4:$D$64=$B79)),$H$4:$H$64)</f>
        <v>9975</v>
      </c>
      <c r="BI79" s="188" cm="1">
        <f t="array" ref="BI79">SUMPRODUCT((BI$4:BI$64*($D$4:$D$64=$B79)),$H$4:$H$64)</f>
        <v>9975</v>
      </c>
    </row>
    <row r="80" spans="1:61" ht="12.75" x14ac:dyDescent="0.2">
      <c r="B80" s="215" t="str">
        <f t="shared" si="88"/>
        <v>Support</v>
      </c>
      <c r="D80" s="214"/>
      <c r="E80" s="214"/>
      <c r="F80" s="214"/>
      <c r="G80" s="214"/>
      <c r="H80" s="214"/>
      <c r="I80" s="214"/>
      <c r="J80" s="214"/>
      <c r="K80" s="214"/>
      <c r="N80" s="188" cm="1">
        <f t="array" ref="N80">SUMPRODUCT((N$4:N$64*($D$4:$D$64=$B80)),$H$4:$H$64)</f>
        <v>5433</v>
      </c>
      <c r="O80" s="188" cm="1">
        <f t="array" ref="O80">SUMPRODUCT((O$4:O$64*($D$4:$D$64=$B80)),$H$4:$H$64)</f>
        <v>5433</v>
      </c>
      <c r="P80" s="188" cm="1">
        <f t="array" ref="P80">SUMPRODUCT((P$4:P$64*($D$4:$D$64=$B80)),$H$4:$H$64)</f>
        <v>5433</v>
      </c>
      <c r="Q80" s="188" cm="1">
        <f t="array" ref="Q80">SUMPRODUCT((Q$4:Q$64*($D$4:$D$64=$B80)),$H$4:$H$64)</f>
        <v>5433</v>
      </c>
      <c r="R80" s="188" cm="1">
        <f t="array" ref="R80">SUMPRODUCT((R$4:R$64*($D$4:$D$64=$B80)),$H$4:$H$64)</f>
        <v>5433</v>
      </c>
      <c r="S80" s="188" cm="1">
        <f t="array" ref="S80">SUMPRODUCT((S$4:S$64*($D$4:$D$64=$B80)),$H$4:$H$64)</f>
        <v>6033</v>
      </c>
      <c r="T80" s="188" cm="1">
        <f t="array" ref="T80">SUMPRODUCT((T$4:T$64*($D$4:$D$64=$B80)),$H$4:$H$64)</f>
        <v>6033</v>
      </c>
      <c r="U80" s="188" cm="1">
        <f t="array" ref="U80">SUMPRODUCT((U$4:U$64*($D$4:$D$64=$B80)),$H$4:$H$64)</f>
        <v>6670.5</v>
      </c>
      <c r="V80" s="188" cm="1">
        <f t="array" ref="V80">SUMPRODUCT((V$4:V$64*($D$4:$D$64=$B80)),$H$4:$H$64)</f>
        <v>6670.5</v>
      </c>
      <c r="W80" s="188" cm="1">
        <f t="array" ref="W80">SUMPRODUCT((W$4:W$64*($D$4:$D$64=$B80)),$H$4:$H$64)</f>
        <v>7270.5</v>
      </c>
      <c r="X80" s="188" cm="1">
        <f t="array" ref="X80">SUMPRODUCT((X$4:X$64*($D$4:$D$64=$B80)),$H$4:$H$64)</f>
        <v>7270.5</v>
      </c>
      <c r="Y80" s="188" cm="1">
        <f t="array" ref="Y80">SUMPRODUCT((Y$4:Y$64*($D$4:$D$64=$B80)),$H$4:$H$64)</f>
        <v>7270.5</v>
      </c>
      <c r="Z80" s="188" cm="1">
        <f t="array" ref="Z80">SUMPRODUCT((Z$4:Z$64*($D$4:$D$64=$B80)),$H$4:$H$64)</f>
        <v>7270.5</v>
      </c>
      <c r="AA80" s="188" cm="1">
        <f t="array" ref="AA80">SUMPRODUCT((AA$4:AA$64*($D$4:$D$64=$B80)),$H$4:$H$64)</f>
        <v>7270.5</v>
      </c>
      <c r="AB80" s="188" cm="1">
        <f t="array" ref="AB80">SUMPRODUCT((AB$4:AB$64*($D$4:$D$64=$B80)),$H$4:$H$64)</f>
        <v>7270.5</v>
      </c>
      <c r="AC80" s="188" cm="1">
        <f t="array" ref="AC80">SUMPRODUCT((AC$4:AC$64*($D$4:$D$64=$B80)),$H$4:$H$64)</f>
        <v>7270.5</v>
      </c>
      <c r="AD80" s="188" cm="1">
        <f t="array" ref="AD80">SUMPRODUCT((AD$4:AD$64*($D$4:$D$64=$B80)),$H$4:$H$64)</f>
        <v>7270.5</v>
      </c>
      <c r="AE80" s="188" cm="1">
        <f t="array" ref="AE80">SUMPRODUCT((AE$4:AE$64*($D$4:$D$64=$B80)),$H$4:$H$64)</f>
        <v>7270.5</v>
      </c>
      <c r="AF80" s="188" cm="1">
        <f t="array" ref="AF80">SUMPRODUCT((AF$4:AF$64*($D$4:$D$64=$B80)),$H$4:$H$64)</f>
        <v>7270.5</v>
      </c>
      <c r="AG80" s="188" cm="1">
        <f t="array" ref="AG80">SUMPRODUCT((AG$4:AG$64*($D$4:$D$64=$B80)),$H$4:$H$64)</f>
        <v>7270.5</v>
      </c>
      <c r="AH80" s="188" cm="1">
        <f t="array" ref="AH80">SUMPRODUCT((AH$4:AH$64*($D$4:$D$64=$B80)),$H$4:$H$64)</f>
        <v>7270.5</v>
      </c>
      <c r="AI80" s="188" cm="1">
        <f t="array" ref="AI80">SUMPRODUCT((AI$4:AI$64*($D$4:$D$64=$B80)),$H$4:$H$64)</f>
        <v>7270.5</v>
      </c>
      <c r="AJ80" s="188" cm="1">
        <f t="array" ref="AJ80">SUMPRODUCT((AJ$4:AJ$64*($D$4:$D$64=$B80)),$H$4:$H$64)</f>
        <v>7270.5</v>
      </c>
      <c r="AK80" s="188" cm="1">
        <f t="array" ref="AK80">SUMPRODUCT((AK$4:AK$64*($D$4:$D$64=$B80)),$H$4:$H$64)</f>
        <v>7270.5</v>
      </c>
      <c r="AL80" s="188" cm="1">
        <f t="array" ref="AL80">SUMPRODUCT((AL$4:AL$64*($D$4:$D$64=$B80)),$H$4:$H$64)</f>
        <v>7270.5</v>
      </c>
      <c r="AM80" s="188" cm="1">
        <f t="array" ref="AM80">SUMPRODUCT((AM$4:AM$64*($D$4:$D$64=$B80)),$H$4:$H$64)</f>
        <v>7270.5</v>
      </c>
      <c r="AN80" s="188" cm="1">
        <f t="array" ref="AN80">SUMPRODUCT((AN$4:AN$64*($D$4:$D$64=$B80)),$H$4:$H$64)</f>
        <v>7270.5</v>
      </c>
      <c r="AO80" s="188" cm="1">
        <f t="array" ref="AO80">SUMPRODUCT((AO$4:AO$64*($D$4:$D$64=$B80)),$H$4:$H$64)</f>
        <v>7270.5</v>
      </c>
      <c r="AP80" s="188" cm="1">
        <f t="array" ref="AP80">SUMPRODUCT((AP$4:AP$64*($D$4:$D$64=$B80)),$H$4:$H$64)</f>
        <v>7270.5</v>
      </c>
      <c r="AQ80" s="188" cm="1">
        <f t="array" ref="AQ80">SUMPRODUCT((AQ$4:AQ$64*($D$4:$D$64=$B80)),$H$4:$H$64)</f>
        <v>7270.5</v>
      </c>
      <c r="AR80" s="188" cm="1">
        <f t="array" ref="AR80">SUMPRODUCT((AR$4:AR$64*($D$4:$D$64=$B80)),$H$4:$H$64)</f>
        <v>7270.5</v>
      </c>
      <c r="AS80" s="188" cm="1">
        <f t="array" ref="AS80">SUMPRODUCT((AS$4:AS$64*($D$4:$D$64=$B80)),$H$4:$H$64)</f>
        <v>7270.5</v>
      </c>
      <c r="AT80" s="188" cm="1">
        <f t="array" ref="AT80">SUMPRODUCT((AT$4:AT$64*($D$4:$D$64=$B80)),$H$4:$H$64)</f>
        <v>7270.5</v>
      </c>
      <c r="AU80" s="188" cm="1">
        <f t="array" ref="AU80">SUMPRODUCT((AU$4:AU$64*($D$4:$D$64=$B80)),$H$4:$H$64)</f>
        <v>7270.5</v>
      </c>
      <c r="AV80" s="188" cm="1">
        <f t="array" ref="AV80">SUMPRODUCT((AV$4:AV$64*($D$4:$D$64=$B80)),$H$4:$H$64)</f>
        <v>7270.5</v>
      </c>
      <c r="AW80" s="188" cm="1">
        <f t="array" ref="AW80">SUMPRODUCT((AW$4:AW$64*($D$4:$D$64=$B80)),$H$4:$H$64)</f>
        <v>7270.5</v>
      </c>
      <c r="AX80" s="188" cm="1">
        <f t="array" ref="AX80">SUMPRODUCT((AX$4:AX$64*($D$4:$D$64=$B80)),$H$4:$H$64)</f>
        <v>7270.5</v>
      </c>
      <c r="AY80" s="188" cm="1">
        <f t="array" ref="AY80">SUMPRODUCT((AY$4:AY$64*($D$4:$D$64=$B80)),$H$4:$H$64)</f>
        <v>7270.5</v>
      </c>
      <c r="AZ80" s="188" cm="1">
        <f t="array" ref="AZ80">SUMPRODUCT((AZ$4:AZ$64*($D$4:$D$64=$B80)),$H$4:$H$64)</f>
        <v>7270.5</v>
      </c>
      <c r="BA80" s="188" cm="1">
        <f t="array" ref="BA80">SUMPRODUCT((BA$4:BA$64*($D$4:$D$64=$B80)),$H$4:$H$64)</f>
        <v>7270.5</v>
      </c>
      <c r="BB80" s="188" cm="1">
        <f t="array" ref="BB80">SUMPRODUCT((BB$4:BB$64*($D$4:$D$64=$B80)),$H$4:$H$64)</f>
        <v>7270.5</v>
      </c>
      <c r="BC80" s="188" cm="1">
        <f t="array" ref="BC80">SUMPRODUCT((BC$4:BC$64*($D$4:$D$64=$B80)),$H$4:$H$64)</f>
        <v>7270.5</v>
      </c>
      <c r="BD80" s="188" cm="1">
        <f t="array" ref="BD80">SUMPRODUCT((BD$4:BD$64*($D$4:$D$64=$B80)),$H$4:$H$64)</f>
        <v>7270.5</v>
      </c>
      <c r="BE80" s="188" cm="1">
        <f t="array" ref="BE80">SUMPRODUCT((BE$4:BE$64*($D$4:$D$64=$B80)),$H$4:$H$64)</f>
        <v>7270.5</v>
      </c>
      <c r="BF80" s="188" cm="1">
        <f t="array" ref="BF80">SUMPRODUCT((BF$4:BF$64*($D$4:$D$64=$B80)),$H$4:$H$64)</f>
        <v>7270.5</v>
      </c>
      <c r="BG80" s="188" cm="1">
        <f t="array" ref="BG80">SUMPRODUCT((BG$4:BG$64*($D$4:$D$64=$B80)),$H$4:$H$64)</f>
        <v>7270.5</v>
      </c>
      <c r="BH80" s="188" cm="1">
        <f t="array" ref="BH80">SUMPRODUCT((BH$4:BH$64*($D$4:$D$64=$B80)),$H$4:$H$64)</f>
        <v>7270.5</v>
      </c>
      <c r="BI80" s="188" cm="1">
        <f t="array" ref="BI80">SUMPRODUCT((BI$4:BI$64*($D$4:$D$64=$B80)),$H$4:$H$64)</f>
        <v>7270.5</v>
      </c>
    </row>
    <row r="81" spans="1:61" ht="12.75" x14ac:dyDescent="0.2">
      <c r="A81" s="21" t="s">
        <v>231</v>
      </c>
      <c r="B81" s="51"/>
      <c r="C81" s="51"/>
      <c r="D81" s="216"/>
      <c r="E81" s="216"/>
      <c r="F81" s="216"/>
      <c r="G81" s="216"/>
      <c r="H81" s="216"/>
      <c r="I81" s="216"/>
      <c r="J81" s="216"/>
      <c r="K81" s="216"/>
      <c r="L81" s="51"/>
      <c r="M81" s="51"/>
      <c r="N81" s="213">
        <f t="shared" ref="N81:BI81" si="89">SUM(N76:N80)</f>
        <v>30910.5</v>
      </c>
      <c r="O81" s="213">
        <f t="shared" si="89"/>
        <v>30910.5</v>
      </c>
      <c r="P81" s="213">
        <f t="shared" si="89"/>
        <v>30910.5</v>
      </c>
      <c r="Q81" s="213">
        <f t="shared" si="89"/>
        <v>30910.5</v>
      </c>
      <c r="R81" s="213">
        <f t="shared" si="89"/>
        <v>30910.5</v>
      </c>
      <c r="S81" s="213">
        <f t="shared" si="89"/>
        <v>35298</v>
      </c>
      <c r="T81" s="213">
        <f t="shared" si="89"/>
        <v>35298</v>
      </c>
      <c r="U81" s="213">
        <f t="shared" si="89"/>
        <v>38335.5</v>
      </c>
      <c r="V81" s="213">
        <f t="shared" si="89"/>
        <v>39648</v>
      </c>
      <c r="W81" s="213">
        <f t="shared" si="89"/>
        <v>42648</v>
      </c>
      <c r="X81" s="213">
        <f t="shared" si="89"/>
        <v>42648</v>
      </c>
      <c r="Y81" s="213">
        <f t="shared" si="89"/>
        <v>46360.5</v>
      </c>
      <c r="Z81" s="213">
        <f t="shared" si="89"/>
        <v>46360.5</v>
      </c>
      <c r="AA81" s="213">
        <f t="shared" si="89"/>
        <v>46360.5</v>
      </c>
      <c r="AB81" s="213">
        <f t="shared" si="89"/>
        <v>47725.5</v>
      </c>
      <c r="AC81" s="213">
        <f t="shared" si="89"/>
        <v>47725.5</v>
      </c>
      <c r="AD81" s="213">
        <f t="shared" si="89"/>
        <v>47725.5</v>
      </c>
      <c r="AE81" s="213">
        <f t="shared" si="89"/>
        <v>48963</v>
      </c>
      <c r="AF81" s="213">
        <f t="shared" si="89"/>
        <v>48963</v>
      </c>
      <c r="AG81" s="213">
        <f t="shared" si="89"/>
        <v>48963</v>
      </c>
      <c r="AH81" s="213">
        <f t="shared" si="89"/>
        <v>50200.5</v>
      </c>
      <c r="AI81" s="213">
        <f t="shared" si="89"/>
        <v>50200.5</v>
      </c>
      <c r="AJ81" s="213">
        <f t="shared" si="89"/>
        <v>50200.5</v>
      </c>
      <c r="AK81" s="213">
        <f t="shared" si="89"/>
        <v>51438</v>
      </c>
      <c r="AL81" s="213">
        <f t="shared" si="89"/>
        <v>51438</v>
      </c>
      <c r="AM81" s="213">
        <f t="shared" si="89"/>
        <v>51438</v>
      </c>
      <c r="AN81" s="213">
        <f t="shared" si="89"/>
        <v>52675.5</v>
      </c>
      <c r="AO81" s="213">
        <f t="shared" si="89"/>
        <v>52675.5</v>
      </c>
      <c r="AP81" s="213">
        <f t="shared" si="89"/>
        <v>52675.5</v>
      </c>
      <c r="AQ81" s="213">
        <f t="shared" si="89"/>
        <v>53913</v>
      </c>
      <c r="AR81" s="213">
        <f t="shared" si="89"/>
        <v>53913</v>
      </c>
      <c r="AS81" s="213">
        <f t="shared" si="89"/>
        <v>53913</v>
      </c>
      <c r="AT81" s="213">
        <f t="shared" si="89"/>
        <v>55150.5</v>
      </c>
      <c r="AU81" s="213">
        <f t="shared" si="89"/>
        <v>55150.5</v>
      </c>
      <c r="AV81" s="213">
        <f t="shared" si="89"/>
        <v>55150.5</v>
      </c>
      <c r="AW81" s="213">
        <f t="shared" si="89"/>
        <v>56388</v>
      </c>
      <c r="AX81" s="213">
        <f t="shared" si="89"/>
        <v>56388</v>
      </c>
      <c r="AY81" s="213">
        <f t="shared" si="89"/>
        <v>56388</v>
      </c>
      <c r="AZ81" s="213">
        <f t="shared" si="89"/>
        <v>57625.5</v>
      </c>
      <c r="BA81" s="213">
        <f t="shared" si="89"/>
        <v>57625.5</v>
      </c>
      <c r="BB81" s="213">
        <f t="shared" si="89"/>
        <v>57625.5</v>
      </c>
      <c r="BC81" s="213">
        <f t="shared" si="89"/>
        <v>57625.5</v>
      </c>
      <c r="BD81" s="213">
        <f t="shared" si="89"/>
        <v>57625.5</v>
      </c>
      <c r="BE81" s="213">
        <f t="shared" si="89"/>
        <v>57625.5</v>
      </c>
      <c r="BF81" s="213">
        <f t="shared" si="89"/>
        <v>57625.5</v>
      </c>
      <c r="BG81" s="213">
        <f t="shared" si="89"/>
        <v>57625.5</v>
      </c>
      <c r="BH81" s="213">
        <f t="shared" si="89"/>
        <v>57625.5</v>
      </c>
      <c r="BI81" s="213">
        <f t="shared" si="89"/>
        <v>57625.5</v>
      </c>
    </row>
    <row r="82" spans="1:61" ht="12.75" x14ac:dyDescent="0.2">
      <c r="A82" s="69" t="s">
        <v>229</v>
      </c>
      <c r="B82" s="217"/>
      <c r="C82" s="217"/>
      <c r="D82" s="218"/>
      <c r="E82" s="218"/>
      <c r="F82" s="218"/>
      <c r="G82" s="218"/>
      <c r="H82" s="218"/>
      <c r="I82" s="218"/>
      <c r="J82" s="218"/>
      <c r="K82" s="218"/>
      <c r="L82" s="217"/>
      <c r="M82" s="217"/>
      <c r="N82" s="219">
        <f>SUMPRODUCT(N$4:N$64,$H$4:$H$64)-N81</f>
        <v>0</v>
      </c>
      <c r="O82" s="219">
        <f t="shared" ref="O82:BI82" si="90">SUMPRODUCT(O$4:O$64,$H$4:$H$64)-O81</f>
        <v>0</v>
      </c>
      <c r="P82" s="219">
        <f t="shared" si="90"/>
        <v>0</v>
      </c>
      <c r="Q82" s="219">
        <f t="shared" si="90"/>
        <v>0</v>
      </c>
      <c r="R82" s="219">
        <f t="shared" si="90"/>
        <v>0</v>
      </c>
      <c r="S82" s="219">
        <f t="shared" si="90"/>
        <v>0</v>
      </c>
      <c r="T82" s="219">
        <f t="shared" si="90"/>
        <v>0</v>
      </c>
      <c r="U82" s="219">
        <f t="shared" si="90"/>
        <v>0</v>
      </c>
      <c r="V82" s="219">
        <f t="shared" si="90"/>
        <v>0</v>
      </c>
      <c r="W82" s="219">
        <f t="shared" si="90"/>
        <v>0</v>
      </c>
      <c r="X82" s="219">
        <f t="shared" si="90"/>
        <v>0</v>
      </c>
      <c r="Y82" s="219">
        <f t="shared" si="90"/>
        <v>0</v>
      </c>
      <c r="Z82" s="219">
        <f t="shared" si="90"/>
        <v>0</v>
      </c>
      <c r="AA82" s="219">
        <f t="shared" si="90"/>
        <v>0</v>
      </c>
      <c r="AB82" s="219">
        <f t="shared" si="90"/>
        <v>0</v>
      </c>
      <c r="AC82" s="219">
        <f t="shared" si="90"/>
        <v>0</v>
      </c>
      <c r="AD82" s="219">
        <f t="shared" si="90"/>
        <v>0</v>
      </c>
      <c r="AE82" s="219">
        <f t="shared" si="90"/>
        <v>0</v>
      </c>
      <c r="AF82" s="219">
        <f t="shared" si="90"/>
        <v>0</v>
      </c>
      <c r="AG82" s="219">
        <f t="shared" si="90"/>
        <v>0</v>
      </c>
      <c r="AH82" s="219">
        <f t="shared" si="90"/>
        <v>0</v>
      </c>
      <c r="AI82" s="219">
        <f t="shared" si="90"/>
        <v>0</v>
      </c>
      <c r="AJ82" s="219">
        <f t="shared" si="90"/>
        <v>0</v>
      </c>
      <c r="AK82" s="219">
        <f t="shared" si="90"/>
        <v>0</v>
      </c>
      <c r="AL82" s="219">
        <f t="shared" si="90"/>
        <v>0</v>
      </c>
      <c r="AM82" s="219">
        <f t="shared" si="90"/>
        <v>0</v>
      </c>
      <c r="AN82" s="219">
        <f t="shared" si="90"/>
        <v>0</v>
      </c>
      <c r="AO82" s="219">
        <f t="shared" si="90"/>
        <v>0</v>
      </c>
      <c r="AP82" s="219">
        <f t="shared" si="90"/>
        <v>0</v>
      </c>
      <c r="AQ82" s="219">
        <f t="shared" si="90"/>
        <v>0</v>
      </c>
      <c r="AR82" s="219">
        <f t="shared" si="90"/>
        <v>0</v>
      </c>
      <c r="AS82" s="219">
        <f t="shared" si="90"/>
        <v>0</v>
      </c>
      <c r="AT82" s="219">
        <f t="shared" si="90"/>
        <v>0</v>
      </c>
      <c r="AU82" s="219">
        <f t="shared" si="90"/>
        <v>0</v>
      </c>
      <c r="AV82" s="219">
        <f t="shared" si="90"/>
        <v>0</v>
      </c>
      <c r="AW82" s="219">
        <f t="shared" si="90"/>
        <v>0</v>
      </c>
      <c r="AX82" s="219">
        <f t="shared" si="90"/>
        <v>0</v>
      </c>
      <c r="AY82" s="219">
        <f t="shared" si="90"/>
        <v>0</v>
      </c>
      <c r="AZ82" s="219">
        <f t="shared" si="90"/>
        <v>0</v>
      </c>
      <c r="BA82" s="219">
        <f t="shared" si="90"/>
        <v>0</v>
      </c>
      <c r="BB82" s="219">
        <f t="shared" si="90"/>
        <v>0</v>
      </c>
      <c r="BC82" s="219">
        <f t="shared" si="90"/>
        <v>0</v>
      </c>
      <c r="BD82" s="219">
        <f t="shared" si="90"/>
        <v>0</v>
      </c>
      <c r="BE82" s="219">
        <f t="shared" si="90"/>
        <v>0</v>
      </c>
      <c r="BF82" s="219">
        <f t="shared" si="90"/>
        <v>0</v>
      </c>
      <c r="BG82" s="219">
        <f t="shared" si="90"/>
        <v>0</v>
      </c>
      <c r="BH82" s="219">
        <f t="shared" si="90"/>
        <v>0</v>
      </c>
      <c r="BI82" s="219">
        <f t="shared" si="90"/>
        <v>0</v>
      </c>
    </row>
    <row r="83" spans="1:61" ht="12.75" x14ac:dyDescent="0.2">
      <c r="A83" s="21" t="s">
        <v>232</v>
      </c>
      <c r="D83" s="214"/>
      <c r="E83" s="214"/>
      <c r="F83" s="214"/>
      <c r="G83" s="214"/>
      <c r="H83" s="214"/>
      <c r="I83" s="214"/>
      <c r="J83" s="214"/>
      <c r="K83" s="214"/>
    </row>
    <row r="84" spans="1:61" ht="12.75" x14ac:dyDescent="0.2">
      <c r="B84" s="215" t="str">
        <f t="shared" ref="B84:B88" si="91">B76</f>
        <v>General &amp; Admin</v>
      </c>
      <c r="D84" s="214"/>
      <c r="E84" s="214"/>
      <c r="F84" s="214"/>
      <c r="G84" s="214"/>
      <c r="H84" s="214"/>
      <c r="I84" s="214"/>
      <c r="J84" s="214"/>
      <c r="K84" s="214"/>
      <c r="N84" s="188">
        <f t="shared" ref="N84:BI84" si="92">SUMIFS($K$4:$K$64,N$4:N$64,"&gt;"&amp;0,$D$4:$D$64,$B84)</f>
        <v>1900</v>
      </c>
      <c r="O84" s="188">
        <f t="shared" si="92"/>
        <v>1900</v>
      </c>
      <c r="P84" s="188">
        <f t="shared" si="92"/>
        <v>1900</v>
      </c>
      <c r="Q84" s="188">
        <f t="shared" si="92"/>
        <v>1900</v>
      </c>
      <c r="R84" s="188">
        <f t="shared" si="92"/>
        <v>1900</v>
      </c>
      <c r="S84" s="188">
        <f t="shared" si="92"/>
        <v>1900</v>
      </c>
      <c r="T84" s="188">
        <f t="shared" si="92"/>
        <v>1900</v>
      </c>
      <c r="U84" s="188">
        <f t="shared" si="92"/>
        <v>1900</v>
      </c>
      <c r="V84" s="188">
        <f t="shared" si="92"/>
        <v>1900</v>
      </c>
      <c r="W84" s="188">
        <f t="shared" si="92"/>
        <v>1900</v>
      </c>
      <c r="X84" s="188">
        <f t="shared" si="92"/>
        <v>1900</v>
      </c>
      <c r="Y84" s="188">
        <f t="shared" si="92"/>
        <v>1900</v>
      </c>
      <c r="Z84" s="188">
        <f t="shared" si="92"/>
        <v>1900</v>
      </c>
      <c r="AA84" s="188">
        <f t="shared" si="92"/>
        <v>1900</v>
      </c>
      <c r="AB84" s="188">
        <f t="shared" si="92"/>
        <v>1900</v>
      </c>
      <c r="AC84" s="188">
        <f t="shared" si="92"/>
        <v>1900</v>
      </c>
      <c r="AD84" s="188">
        <f t="shared" si="92"/>
        <v>1900</v>
      </c>
      <c r="AE84" s="188">
        <f t="shared" si="92"/>
        <v>1900</v>
      </c>
      <c r="AF84" s="188">
        <f t="shared" si="92"/>
        <v>1900</v>
      </c>
      <c r="AG84" s="188">
        <f t="shared" si="92"/>
        <v>1900</v>
      </c>
      <c r="AH84" s="188">
        <f t="shared" si="92"/>
        <v>1900</v>
      </c>
      <c r="AI84" s="188">
        <f t="shared" si="92"/>
        <v>1900</v>
      </c>
      <c r="AJ84" s="188">
        <f t="shared" si="92"/>
        <v>1900</v>
      </c>
      <c r="AK84" s="188">
        <f t="shared" si="92"/>
        <v>1900</v>
      </c>
      <c r="AL84" s="188">
        <f t="shared" si="92"/>
        <v>1900</v>
      </c>
      <c r="AM84" s="188">
        <f t="shared" si="92"/>
        <v>1900</v>
      </c>
      <c r="AN84" s="188">
        <f t="shared" si="92"/>
        <v>1900</v>
      </c>
      <c r="AO84" s="188">
        <f t="shared" si="92"/>
        <v>1900</v>
      </c>
      <c r="AP84" s="188">
        <f t="shared" si="92"/>
        <v>1900</v>
      </c>
      <c r="AQ84" s="188">
        <f t="shared" si="92"/>
        <v>1900</v>
      </c>
      <c r="AR84" s="188">
        <f t="shared" si="92"/>
        <v>1900</v>
      </c>
      <c r="AS84" s="188">
        <f t="shared" si="92"/>
        <v>1900</v>
      </c>
      <c r="AT84" s="188">
        <f t="shared" si="92"/>
        <v>1900</v>
      </c>
      <c r="AU84" s="188">
        <f t="shared" si="92"/>
        <v>1900</v>
      </c>
      <c r="AV84" s="188">
        <f t="shared" si="92"/>
        <v>1900</v>
      </c>
      <c r="AW84" s="188">
        <f t="shared" si="92"/>
        <v>1900</v>
      </c>
      <c r="AX84" s="188">
        <f t="shared" si="92"/>
        <v>1900</v>
      </c>
      <c r="AY84" s="188">
        <f t="shared" si="92"/>
        <v>1900</v>
      </c>
      <c r="AZ84" s="188">
        <f t="shared" si="92"/>
        <v>1900</v>
      </c>
      <c r="BA84" s="188">
        <f t="shared" si="92"/>
        <v>1900</v>
      </c>
      <c r="BB84" s="188">
        <f t="shared" si="92"/>
        <v>1900</v>
      </c>
      <c r="BC84" s="188">
        <f t="shared" si="92"/>
        <v>1900</v>
      </c>
      <c r="BD84" s="188">
        <f t="shared" si="92"/>
        <v>1900</v>
      </c>
      <c r="BE84" s="188">
        <f t="shared" si="92"/>
        <v>1900</v>
      </c>
      <c r="BF84" s="188">
        <f t="shared" si="92"/>
        <v>1900</v>
      </c>
      <c r="BG84" s="188">
        <f t="shared" si="92"/>
        <v>1900</v>
      </c>
      <c r="BH84" s="188">
        <f t="shared" si="92"/>
        <v>1900</v>
      </c>
      <c r="BI84" s="188">
        <f t="shared" si="92"/>
        <v>1900</v>
      </c>
    </row>
    <row r="85" spans="1:61" ht="12.75" x14ac:dyDescent="0.2">
      <c r="B85" s="215" t="str">
        <f t="shared" si="91"/>
        <v>Engineering</v>
      </c>
      <c r="D85" s="214"/>
      <c r="E85" s="214"/>
      <c r="F85" s="214"/>
      <c r="G85" s="214"/>
      <c r="H85" s="214"/>
      <c r="I85" s="214"/>
      <c r="J85" s="214"/>
      <c r="K85" s="214"/>
      <c r="N85" s="188">
        <f t="shared" ref="N85:BI85" si="93">SUMIFS($K$4:$K$64,N$4:N$64,"&gt;"&amp;0,$D$4:$D$64,$B85)</f>
        <v>14390.000000000002</v>
      </c>
      <c r="O85" s="188">
        <f t="shared" si="93"/>
        <v>14390.000000000002</v>
      </c>
      <c r="P85" s="188">
        <f t="shared" si="93"/>
        <v>14390.000000000002</v>
      </c>
      <c r="Q85" s="188">
        <f t="shared" si="93"/>
        <v>14390.000000000002</v>
      </c>
      <c r="R85" s="188">
        <f t="shared" si="93"/>
        <v>14390.000000000002</v>
      </c>
      <c r="S85" s="188">
        <f t="shared" si="93"/>
        <v>15506.666666666668</v>
      </c>
      <c r="T85" s="188">
        <f t="shared" si="93"/>
        <v>15506.666666666668</v>
      </c>
      <c r="U85" s="188">
        <f t="shared" si="93"/>
        <v>15506.666666666668</v>
      </c>
      <c r="V85" s="188">
        <f t="shared" si="93"/>
        <v>16590</v>
      </c>
      <c r="W85" s="188">
        <f t="shared" si="93"/>
        <v>16590</v>
      </c>
      <c r="X85" s="188">
        <f t="shared" si="93"/>
        <v>16590</v>
      </c>
      <c r="Y85" s="188">
        <f t="shared" si="93"/>
        <v>17673.333333333332</v>
      </c>
      <c r="Z85" s="188">
        <f t="shared" si="93"/>
        <v>17673.333333333332</v>
      </c>
      <c r="AA85" s="188">
        <f t="shared" si="93"/>
        <v>17673.333333333332</v>
      </c>
      <c r="AB85" s="188">
        <f t="shared" si="93"/>
        <v>18780</v>
      </c>
      <c r="AC85" s="188">
        <f t="shared" si="93"/>
        <v>18780</v>
      </c>
      <c r="AD85" s="188">
        <f t="shared" si="93"/>
        <v>18780</v>
      </c>
      <c r="AE85" s="188">
        <f t="shared" si="93"/>
        <v>19830</v>
      </c>
      <c r="AF85" s="188">
        <f t="shared" si="93"/>
        <v>19830</v>
      </c>
      <c r="AG85" s="188">
        <f t="shared" si="93"/>
        <v>19830</v>
      </c>
      <c r="AH85" s="188">
        <f t="shared" si="93"/>
        <v>20880</v>
      </c>
      <c r="AI85" s="188">
        <f t="shared" si="93"/>
        <v>20880</v>
      </c>
      <c r="AJ85" s="188">
        <f t="shared" si="93"/>
        <v>20880</v>
      </c>
      <c r="AK85" s="188">
        <f t="shared" si="93"/>
        <v>21930</v>
      </c>
      <c r="AL85" s="188">
        <f t="shared" si="93"/>
        <v>21930</v>
      </c>
      <c r="AM85" s="188">
        <f t="shared" si="93"/>
        <v>21930</v>
      </c>
      <c r="AN85" s="188">
        <f t="shared" si="93"/>
        <v>22980</v>
      </c>
      <c r="AO85" s="188">
        <f t="shared" si="93"/>
        <v>22980</v>
      </c>
      <c r="AP85" s="188">
        <f t="shared" si="93"/>
        <v>22980</v>
      </c>
      <c r="AQ85" s="188">
        <f t="shared" si="93"/>
        <v>24030</v>
      </c>
      <c r="AR85" s="188">
        <f t="shared" si="93"/>
        <v>24030</v>
      </c>
      <c r="AS85" s="188">
        <f t="shared" si="93"/>
        <v>24030</v>
      </c>
      <c r="AT85" s="188">
        <f t="shared" si="93"/>
        <v>25080</v>
      </c>
      <c r="AU85" s="188">
        <f t="shared" si="93"/>
        <v>25080</v>
      </c>
      <c r="AV85" s="188">
        <f t="shared" si="93"/>
        <v>25080</v>
      </c>
      <c r="AW85" s="188">
        <f t="shared" si="93"/>
        <v>26130</v>
      </c>
      <c r="AX85" s="188">
        <f t="shared" si="93"/>
        <v>26130</v>
      </c>
      <c r="AY85" s="188">
        <f t="shared" si="93"/>
        <v>26130</v>
      </c>
      <c r="AZ85" s="188">
        <f t="shared" si="93"/>
        <v>27180</v>
      </c>
      <c r="BA85" s="188">
        <f t="shared" si="93"/>
        <v>27180</v>
      </c>
      <c r="BB85" s="188">
        <f t="shared" si="93"/>
        <v>27180</v>
      </c>
      <c r="BC85" s="188">
        <f t="shared" si="93"/>
        <v>27180</v>
      </c>
      <c r="BD85" s="188">
        <f t="shared" si="93"/>
        <v>27180</v>
      </c>
      <c r="BE85" s="188">
        <f t="shared" si="93"/>
        <v>27180</v>
      </c>
      <c r="BF85" s="188">
        <f t="shared" si="93"/>
        <v>27180</v>
      </c>
      <c r="BG85" s="188">
        <f t="shared" si="93"/>
        <v>27180</v>
      </c>
      <c r="BH85" s="188">
        <f t="shared" si="93"/>
        <v>27180</v>
      </c>
      <c r="BI85" s="188">
        <f t="shared" si="93"/>
        <v>27180</v>
      </c>
    </row>
    <row r="86" spans="1:61" ht="12.75" x14ac:dyDescent="0.2">
      <c r="B86" s="215" t="str">
        <f t="shared" si="91"/>
        <v>Marketing</v>
      </c>
      <c r="D86" s="214"/>
      <c r="E86" s="214"/>
      <c r="F86" s="214"/>
      <c r="G86" s="214"/>
      <c r="H86" s="214"/>
      <c r="I86" s="214"/>
      <c r="J86" s="214"/>
      <c r="K86" s="214"/>
      <c r="N86" s="188">
        <f t="shared" ref="N86:BI86" si="94">SUMIFS($K$4:$K$64,N$4:N$64,"&gt;"&amp;0,$D$4:$D$64,$B86)</f>
        <v>2033.3333333333333</v>
      </c>
      <c r="O86" s="188">
        <f t="shared" si="94"/>
        <v>2033.3333333333333</v>
      </c>
      <c r="P86" s="188">
        <f t="shared" si="94"/>
        <v>2033.3333333333333</v>
      </c>
      <c r="Q86" s="188">
        <f t="shared" si="94"/>
        <v>2033.3333333333333</v>
      </c>
      <c r="R86" s="188">
        <f t="shared" si="94"/>
        <v>2033.3333333333333</v>
      </c>
      <c r="S86" s="188">
        <f t="shared" si="94"/>
        <v>2866.6666666666665</v>
      </c>
      <c r="T86" s="188">
        <f t="shared" si="94"/>
        <v>2866.6666666666665</v>
      </c>
      <c r="U86" s="188">
        <f t="shared" si="94"/>
        <v>3700</v>
      </c>
      <c r="V86" s="188">
        <f t="shared" si="94"/>
        <v>3700</v>
      </c>
      <c r="W86" s="188">
        <f t="shared" si="94"/>
        <v>4533.333333333333</v>
      </c>
      <c r="X86" s="188">
        <f t="shared" si="94"/>
        <v>4533.333333333333</v>
      </c>
      <c r="Y86" s="188">
        <f t="shared" si="94"/>
        <v>5366.6666666666661</v>
      </c>
      <c r="Z86" s="188">
        <f t="shared" si="94"/>
        <v>5366.6666666666661</v>
      </c>
      <c r="AA86" s="188">
        <f t="shared" si="94"/>
        <v>5366.6666666666661</v>
      </c>
      <c r="AB86" s="188">
        <f t="shared" si="94"/>
        <v>5366.6666666666661</v>
      </c>
      <c r="AC86" s="188">
        <f t="shared" si="94"/>
        <v>5366.6666666666661</v>
      </c>
      <c r="AD86" s="188">
        <f t="shared" si="94"/>
        <v>5366.6666666666661</v>
      </c>
      <c r="AE86" s="188">
        <f t="shared" si="94"/>
        <v>5366.6666666666661</v>
      </c>
      <c r="AF86" s="188">
        <f t="shared" si="94"/>
        <v>5366.6666666666661</v>
      </c>
      <c r="AG86" s="188">
        <f t="shared" si="94"/>
        <v>5366.6666666666661</v>
      </c>
      <c r="AH86" s="188">
        <f t="shared" si="94"/>
        <v>5366.6666666666661</v>
      </c>
      <c r="AI86" s="188">
        <f t="shared" si="94"/>
        <v>5366.6666666666661</v>
      </c>
      <c r="AJ86" s="188">
        <f t="shared" si="94"/>
        <v>5366.6666666666661</v>
      </c>
      <c r="AK86" s="188">
        <f t="shared" si="94"/>
        <v>5366.6666666666661</v>
      </c>
      <c r="AL86" s="188">
        <f t="shared" si="94"/>
        <v>5366.6666666666661</v>
      </c>
      <c r="AM86" s="188">
        <f t="shared" si="94"/>
        <v>5366.6666666666661</v>
      </c>
      <c r="AN86" s="188">
        <f t="shared" si="94"/>
        <v>5366.6666666666661</v>
      </c>
      <c r="AO86" s="188">
        <f t="shared" si="94"/>
        <v>5366.6666666666661</v>
      </c>
      <c r="AP86" s="188">
        <f t="shared" si="94"/>
        <v>5366.6666666666661</v>
      </c>
      <c r="AQ86" s="188">
        <f t="shared" si="94"/>
        <v>5366.6666666666661</v>
      </c>
      <c r="AR86" s="188">
        <f t="shared" si="94"/>
        <v>5366.6666666666661</v>
      </c>
      <c r="AS86" s="188">
        <f t="shared" si="94"/>
        <v>5366.6666666666661</v>
      </c>
      <c r="AT86" s="188">
        <f t="shared" si="94"/>
        <v>5366.6666666666661</v>
      </c>
      <c r="AU86" s="188">
        <f t="shared" si="94"/>
        <v>5366.6666666666661</v>
      </c>
      <c r="AV86" s="188">
        <f t="shared" si="94"/>
        <v>5366.6666666666661</v>
      </c>
      <c r="AW86" s="188">
        <f t="shared" si="94"/>
        <v>5366.6666666666661</v>
      </c>
      <c r="AX86" s="188">
        <f t="shared" si="94"/>
        <v>5366.6666666666661</v>
      </c>
      <c r="AY86" s="188">
        <f t="shared" si="94"/>
        <v>5366.6666666666661</v>
      </c>
      <c r="AZ86" s="188">
        <f t="shared" si="94"/>
        <v>5366.6666666666661</v>
      </c>
      <c r="BA86" s="188">
        <f t="shared" si="94"/>
        <v>5366.6666666666661</v>
      </c>
      <c r="BB86" s="188">
        <f t="shared" si="94"/>
        <v>5366.6666666666661</v>
      </c>
      <c r="BC86" s="188">
        <f t="shared" si="94"/>
        <v>5366.6666666666661</v>
      </c>
      <c r="BD86" s="188">
        <f t="shared" si="94"/>
        <v>5366.6666666666661</v>
      </c>
      <c r="BE86" s="188">
        <f t="shared" si="94"/>
        <v>5366.6666666666661</v>
      </c>
      <c r="BF86" s="188">
        <f t="shared" si="94"/>
        <v>5366.6666666666661</v>
      </c>
      <c r="BG86" s="188">
        <f t="shared" si="94"/>
        <v>5366.6666666666661</v>
      </c>
      <c r="BH86" s="188">
        <f t="shared" si="94"/>
        <v>5366.6666666666661</v>
      </c>
      <c r="BI86" s="188">
        <f t="shared" si="94"/>
        <v>5366.6666666666661</v>
      </c>
    </row>
    <row r="87" spans="1:61" ht="12.75" x14ac:dyDescent="0.2">
      <c r="B87" s="215" t="str">
        <f t="shared" si="91"/>
        <v>Sales</v>
      </c>
      <c r="D87" s="214"/>
      <c r="E87" s="214"/>
      <c r="F87" s="214"/>
      <c r="G87" s="214"/>
      <c r="H87" s="214"/>
      <c r="I87" s="214"/>
      <c r="J87" s="214"/>
      <c r="K87" s="214"/>
      <c r="N87" s="188">
        <f t="shared" ref="N87:BI87" si="95">SUMIFS($K$4:$K$64,N$4:N$64,"&gt;"&amp;0,$D$4:$D$64,$B87)</f>
        <v>3500</v>
      </c>
      <c r="O87" s="188">
        <f t="shared" si="95"/>
        <v>3500</v>
      </c>
      <c r="P87" s="188">
        <f t="shared" si="95"/>
        <v>3500</v>
      </c>
      <c r="Q87" s="188">
        <f t="shared" si="95"/>
        <v>3500</v>
      </c>
      <c r="R87" s="188">
        <f t="shared" si="95"/>
        <v>3500</v>
      </c>
      <c r="S87" s="188">
        <f t="shared" si="95"/>
        <v>5233.3333333333339</v>
      </c>
      <c r="T87" s="188">
        <f t="shared" si="95"/>
        <v>5233.3333333333339</v>
      </c>
      <c r="U87" s="188">
        <f t="shared" si="95"/>
        <v>6966.6666666666679</v>
      </c>
      <c r="V87" s="188">
        <f t="shared" si="95"/>
        <v>6966.6666666666679</v>
      </c>
      <c r="W87" s="188">
        <f t="shared" si="95"/>
        <v>8700.0000000000018</v>
      </c>
      <c r="X87" s="188">
        <f t="shared" si="95"/>
        <v>8700.0000000000018</v>
      </c>
      <c r="Y87" s="188">
        <f t="shared" si="95"/>
        <v>10433.333333333336</v>
      </c>
      <c r="Z87" s="188">
        <f t="shared" si="95"/>
        <v>10433.333333333336</v>
      </c>
      <c r="AA87" s="188">
        <f t="shared" si="95"/>
        <v>10433.333333333336</v>
      </c>
      <c r="AB87" s="188">
        <f t="shared" si="95"/>
        <v>10433.333333333336</v>
      </c>
      <c r="AC87" s="188">
        <f t="shared" si="95"/>
        <v>10433.333333333336</v>
      </c>
      <c r="AD87" s="188">
        <f t="shared" si="95"/>
        <v>10433.333333333336</v>
      </c>
      <c r="AE87" s="188">
        <f t="shared" si="95"/>
        <v>10433.333333333336</v>
      </c>
      <c r="AF87" s="188">
        <f t="shared" si="95"/>
        <v>10433.333333333336</v>
      </c>
      <c r="AG87" s="188">
        <f t="shared" si="95"/>
        <v>10433.333333333336</v>
      </c>
      <c r="AH87" s="188">
        <f t="shared" si="95"/>
        <v>10433.333333333336</v>
      </c>
      <c r="AI87" s="188">
        <f t="shared" si="95"/>
        <v>10433.333333333336</v>
      </c>
      <c r="AJ87" s="188">
        <f t="shared" si="95"/>
        <v>10433.333333333336</v>
      </c>
      <c r="AK87" s="188">
        <f t="shared" si="95"/>
        <v>10433.333333333336</v>
      </c>
      <c r="AL87" s="188">
        <f t="shared" si="95"/>
        <v>10433.333333333336</v>
      </c>
      <c r="AM87" s="188">
        <f t="shared" si="95"/>
        <v>10433.333333333336</v>
      </c>
      <c r="AN87" s="188">
        <f t="shared" si="95"/>
        <v>10433.333333333336</v>
      </c>
      <c r="AO87" s="188">
        <f t="shared" si="95"/>
        <v>10433.333333333336</v>
      </c>
      <c r="AP87" s="188">
        <f t="shared" si="95"/>
        <v>10433.333333333336</v>
      </c>
      <c r="AQ87" s="188">
        <f t="shared" si="95"/>
        <v>10433.333333333336</v>
      </c>
      <c r="AR87" s="188">
        <f t="shared" si="95"/>
        <v>10433.333333333336</v>
      </c>
      <c r="AS87" s="188">
        <f t="shared" si="95"/>
        <v>10433.333333333336</v>
      </c>
      <c r="AT87" s="188">
        <f t="shared" si="95"/>
        <v>10433.333333333336</v>
      </c>
      <c r="AU87" s="188">
        <f t="shared" si="95"/>
        <v>10433.333333333336</v>
      </c>
      <c r="AV87" s="188">
        <f t="shared" si="95"/>
        <v>10433.333333333336</v>
      </c>
      <c r="AW87" s="188">
        <f t="shared" si="95"/>
        <v>10433.333333333336</v>
      </c>
      <c r="AX87" s="188">
        <f t="shared" si="95"/>
        <v>10433.333333333336</v>
      </c>
      <c r="AY87" s="188">
        <f t="shared" si="95"/>
        <v>10433.333333333336</v>
      </c>
      <c r="AZ87" s="188">
        <f t="shared" si="95"/>
        <v>10433.333333333336</v>
      </c>
      <c r="BA87" s="188">
        <f t="shared" si="95"/>
        <v>10433.333333333336</v>
      </c>
      <c r="BB87" s="188">
        <f t="shared" si="95"/>
        <v>10433.333333333336</v>
      </c>
      <c r="BC87" s="188">
        <f t="shared" si="95"/>
        <v>10433.333333333336</v>
      </c>
      <c r="BD87" s="188">
        <f t="shared" si="95"/>
        <v>10433.333333333336</v>
      </c>
      <c r="BE87" s="188">
        <f t="shared" si="95"/>
        <v>10433.333333333336</v>
      </c>
      <c r="BF87" s="188">
        <f t="shared" si="95"/>
        <v>10433.333333333336</v>
      </c>
      <c r="BG87" s="188">
        <f t="shared" si="95"/>
        <v>10433.333333333336</v>
      </c>
      <c r="BH87" s="188">
        <f t="shared" si="95"/>
        <v>10433.333333333336</v>
      </c>
      <c r="BI87" s="188">
        <f t="shared" si="95"/>
        <v>10433.333333333336</v>
      </c>
    </row>
    <row r="88" spans="1:61" ht="12.75" x14ac:dyDescent="0.2">
      <c r="B88" s="215" t="str">
        <f t="shared" si="91"/>
        <v>Support</v>
      </c>
      <c r="D88" s="214"/>
      <c r="E88" s="214"/>
      <c r="F88" s="214"/>
      <c r="G88" s="214"/>
      <c r="H88" s="214"/>
      <c r="I88" s="214"/>
      <c r="J88" s="214"/>
      <c r="K88" s="214"/>
      <c r="N88" s="188">
        <f t="shared" ref="N88:BI88" si="96">SUMIFS($K$4:$K$64,N$4:N$64,"&gt;"&amp;0,$D$4:$D$64,$B88)</f>
        <v>3182.666666666667</v>
      </c>
      <c r="O88" s="188">
        <f t="shared" si="96"/>
        <v>3182.666666666667</v>
      </c>
      <c r="P88" s="188">
        <f t="shared" si="96"/>
        <v>3182.666666666667</v>
      </c>
      <c r="Q88" s="188">
        <f t="shared" si="96"/>
        <v>3182.666666666667</v>
      </c>
      <c r="R88" s="188">
        <f t="shared" si="96"/>
        <v>3182.666666666667</v>
      </c>
      <c r="S88" s="188">
        <f t="shared" si="96"/>
        <v>3949.3333333333339</v>
      </c>
      <c r="T88" s="188">
        <f t="shared" si="96"/>
        <v>3949.3333333333339</v>
      </c>
      <c r="U88" s="188">
        <f t="shared" si="96"/>
        <v>4732.666666666667</v>
      </c>
      <c r="V88" s="188">
        <f t="shared" si="96"/>
        <v>4732.666666666667</v>
      </c>
      <c r="W88" s="188">
        <f t="shared" si="96"/>
        <v>5499.3333333333339</v>
      </c>
      <c r="X88" s="188">
        <f t="shared" si="96"/>
        <v>5499.3333333333339</v>
      </c>
      <c r="Y88" s="188">
        <f t="shared" si="96"/>
        <v>5499.3333333333339</v>
      </c>
      <c r="Z88" s="188">
        <f t="shared" si="96"/>
        <v>5499.3333333333339</v>
      </c>
      <c r="AA88" s="188">
        <f t="shared" si="96"/>
        <v>5499.3333333333339</v>
      </c>
      <c r="AB88" s="188">
        <f t="shared" si="96"/>
        <v>5499.3333333333339</v>
      </c>
      <c r="AC88" s="188">
        <f t="shared" si="96"/>
        <v>5499.3333333333339</v>
      </c>
      <c r="AD88" s="188">
        <f t="shared" si="96"/>
        <v>5499.3333333333339</v>
      </c>
      <c r="AE88" s="188">
        <f t="shared" si="96"/>
        <v>5499.3333333333339</v>
      </c>
      <c r="AF88" s="188">
        <f t="shared" si="96"/>
        <v>5499.3333333333339</v>
      </c>
      <c r="AG88" s="188">
        <f t="shared" si="96"/>
        <v>5499.3333333333339</v>
      </c>
      <c r="AH88" s="188">
        <f t="shared" si="96"/>
        <v>5499.3333333333339</v>
      </c>
      <c r="AI88" s="188">
        <f t="shared" si="96"/>
        <v>5499.3333333333339</v>
      </c>
      <c r="AJ88" s="188">
        <f t="shared" si="96"/>
        <v>5499.3333333333339</v>
      </c>
      <c r="AK88" s="188">
        <f t="shared" si="96"/>
        <v>5499.3333333333339</v>
      </c>
      <c r="AL88" s="188">
        <f t="shared" si="96"/>
        <v>5499.3333333333339</v>
      </c>
      <c r="AM88" s="188">
        <f t="shared" si="96"/>
        <v>5499.3333333333339</v>
      </c>
      <c r="AN88" s="188">
        <f t="shared" si="96"/>
        <v>5499.3333333333339</v>
      </c>
      <c r="AO88" s="188">
        <f t="shared" si="96"/>
        <v>5499.3333333333339</v>
      </c>
      <c r="AP88" s="188">
        <f t="shared" si="96"/>
        <v>5499.3333333333339</v>
      </c>
      <c r="AQ88" s="188">
        <f t="shared" si="96"/>
        <v>5499.3333333333339</v>
      </c>
      <c r="AR88" s="188">
        <f t="shared" si="96"/>
        <v>5499.3333333333339</v>
      </c>
      <c r="AS88" s="188">
        <f t="shared" si="96"/>
        <v>5499.3333333333339</v>
      </c>
      <c r="AT88" s="188">
        <f t="shared" si="96"/>
        <v>5499.3333333333339</v>
      </c>
      <c r="AU88" s="188">
        <f t="shared" si="96"/>
        <v>5499.3333333333339</v>
      </c>
      <c r="AV88" s="188">
        <f t="shared" si="96"/>
        <v>5499.3333333333339</v>
      </c>
      <c r="AW88" s="188">
        <f t="shared" si="96"/>
        <v>5499.3333333333339</v>
      </c>
      <c r="AX88" s="188">
        <f t="shared" si="96"/>
        <v>5499.3333333333339</v>
      </c>
      <c r="AY88" s="188">
        <f t="shared" si="96"/>
        <v>5499.3333333333339</v>
      </c>
      <c r="AZ88" s="188">
        <f t="shared" si="96"/>
        <v>5499.3333333333339</v>
      </c>
      <c r="BA88" s="188">
        <f t="shared" si="96"/>
        <v>5499.3333333333339</v>
      </c>
      <c r="BB88" s="188">
        <f t="shared" si="96"/>
        <v>5499.3333333333339</v>
      </c>
      <c r="BC88" s="188">
        <f t="shared" si="96"/>
        <v>5499.3333333333339</v>
      </c>
      <c r="BD88" s="188">
        <f t="shared" si="96"/>
        <v>5499.3333333333339</v>
      </c>
      <c r="BE88" s="188">
        <f t="shared" si="96"/>
        <v>5499.3333333333339</v>
      </c>
      <c r="BF88" s="188">
        <f t="shared" si="96"/>
        <v>5499.3333333333339</v>
      </c>
      <c r="BG88" s="188">
        <f t="shared" si="96"/>
        <v>5499.3333333333339</v>
      </c>
      <c r="BH88" s="188">
        <f t="shared" si="96"/>
        <v>5499.3333333333339</v>
      </c>
      <c r="BI88" s="188">
        <f t="shared" si="96"/>
        <v>5499.3333333333339</v>
      </c>
    </row>
    <row r="89" spans="1:61" ht="12.75" x14ac:dyDescent="0.2">
      <c r="A89" s="21" t="s">
        <v>139</v>
      </c>
      <c r="B89" s="51"/>
      <c r="C89" s="51"/>
      <c r="D89" s="216"/>
      <c r="E89" s="216"/>
      <c r="F89" s="216"/>
      <c r="G89" s="216"/>
      <c r="H89" s="216"/>
      <c r="I89" s="216"/>
      <c r="J89" s="216"/>
      <c r="K89" s="216"/>
      <c r="L89" s="51"/>
      <c r="M89" s="51"/>
      <c r="N89" s="213">
        <f t="shared" ref="N89:BI89" si="97">SUM(N84:N88)</f>
        <v>25006.000000000004</v>
      </c>
      <c r="O89" s="213">
        <f t="shared" si="97"/>
        <v>25006.000000000004</v>
      </c>
      <c r="P89" s="213">
        <f t="shared" si="97"/>
        <v>25006.000000000004</v>
      </c>
      <c r="Q89" s="213">
        <f t="shared" si="97"/>
        <v>25006.000000000004</v>
      </c>
      <c r="R89" s="213">
        <f t="shared" si="97"/>
        <v>25006.000000000004</v>
      </c>
      <c r="S89" s="213">
        <f t="shared" si="97"/>
        <v>29456.000000000007</v>
      </c>
      <c r="T89" s="213">
        <f t="shared" si="97"/>
        <v>29456.000000000007</v>
      </c>
      <c r="U89" s="213">
        <f t="shared" si="97"/>
        <v>32806</v>
      </c>
      <c r="V89" s="213">
        <f t="shared" si="97"/>
        <v>33889.333333333336</v>
      </c>
      <c r="W89" s="213">
        <f t="shared" si="97"/>
        <v>37222.666666666672</v>
      </c>
      <c r="X89" s="213">
        <f t="shared" si="97"/>
        <v>37222.666666666672</v>
      </c>
      <c r="Y89" s="213">
        <f t="shared" si="97"/>
        <v>40872.666666666672</v>
      </c>
      <c r="Z89" s="213">
        <f t="shared" si="97"/>
        <v>40872.666666666672</v>
      </c>
      <c r="AA89" s="213">
        <f t="shared" si="97"/>
        <v>40872.666666666672</v>
      </c>
      <c r="AB89" s="213">
        <f t="shared" si="97"/>
        <v>41979.333333333336</v>
      </c>
      <c r="AC89" s="213">
        <f t="shared" si="97"/>
        <v>41979.333333333336</v>
      </c>
      <c r="AD89" s="213">
        <f t="shared" si="97"/>
        <v>41979.333333333336</v>
      </c>
      <c r="AE89" s="213">
        <f t="shared" si="97"/>
        <v>43029.333333333336</v>
      </c>
      <c r="AF89" s="213">
        <f t="shared" si="97"/>
        <v>43029.333333333336</v>
      </c>
      <c r="AG89" s="213">
        <f t="shared" si="97"/>
        <v>43029.333333333336</v>
      </c>
      <c r="AH89" s="213">
        <f t="shared" si="97"/>
        <v>44079.333333333336</v>
      </c>
      <c r="AI89" s="213">
        <f t="shared" si="97"/>
        <v>44079.333333333336</v>
      </c>
      <c r="AJ89" s="213">
        <f t="shared" si="97"/>
        <v>44079.333333333336</v>
      </c>
      <c r="AK89" s="213">
        <f t="shared" si="97"/>
        <v>45129.333333333336</v>
      </c>
      <c r="AL89" s="213">
        <f t="shared" si="97"/>
        <v>45129.333333333336</v>
      </c>
      <c r="AM89" s="213">
        <f t="shared" si="97"/>
        <v>45129.333333333336</v>
      </c>
      <c r="AN89" s="213">
        <f t="shared" si="97"/>
        <v>46179.333333333336</v>
      </c>
      <c r="AO89" s="213">
        <f t="shared" si="97"/>
        <v>46179.333333333336</v>
      </c>
      <c r="AP89" s="213">
        <f t="shared" si="97"/>
        <v>46179.333333333336</v>
      </c>
      <c r="AQ89" s="213">
        <f t="shared" si="97"/>
        <v>47229.333333333336</v>
      </c>
      <c r="AR89" s="213">
        <f t="shared" si="97"/>
        <v>47229.333333333336</v>
      </c>
      <c r="AS89" s="213">
        <f t="shared" si="97"/>
        <v>47229.333333333336</v>
      </c>
      <c r="AT89" s="213">
        <f t="shared" si="97"/>
        <v>48279.333333333336</v>
      </c>
      <c r="AU89" s="213">
        <f t="shared" si="97"/>
        <v>48279.333333333336</v>
      </c>
      <c r="AV89" s="213">
        <f t="shared" si="97"/>
        <v>48279.333333333336</v>
      </c>
      <c r="AW89" s="213">
        <f t="shared" si="97"/>
        <v>49329.333333333336</v>
      </c>
      <c r="AX89" s="213">
        <f t="shared" si="97"/>
        <v>49329.333333333336</v>
      </c>
      <c r="AY89" s="213">
        <f t="shared" si="97"/>
        <v>49329.333333333336</v>
      </c>
      <c r="AZ89" s="213">
        <f t="shared" si="97"/>
        <v>50379.333333333336</v>
      </c>
      <c r="BA89" s="213">
        <f t="shared" si="97"/>
        <v>50379.333333333336</v>
      </c>
      <c r="BB89" s="213">
        <f t="shared" si="97"/>
        <v>50379.333333333336</v>
      </c>
      <c r="BC89" s="213">
        <f t="shared" si="97"/>
        <v>50379.333333333336</v>
      </c>
      <c r="BD89" s="213">
        <f t="shared" si="97"/>
        <v>50379.333333333336</v>
      </c>
      <c r="BE89" s="213">
        <f t="shared" si="97"/>
        <v>50379.333333333336</v>
      </c>
      <c r="BF89" s="213">
        <f t="shared" si="97"/>
        <v>50379.333333333336</v>
      </c>
      <c r="BG89" s="213">
        <f t="shared" si="97"/>
        <v>50379.333333333336</v>
      </c>
      <c r="BH89" s="213">
        <f t="shared" si="97"/>
        <v>50379.333333333336</v>
      </c>
      <c r="BI89" s="213">
        <f t="shared" si="97"/>
        <v>50379.333333333336</v>
      </c>
    </row>
    <row r="90" spans="1:61" ht="12.75" x14ac:dyDescent="0.2">
      <c r="A90" s="69" t="s">
        <v>229</v>
      </c>
      <c r="B90" s="217"/>
      <c r="C90" s="217"/>
      <c r="D90" s="218"/>
      <c r="E90" s="218"/>
      <c r="F90" s="218"/>
      <c r="G90" s="218"/>
      <c r="H90" s="218"/>
      <c r="I90" s="218"/>
      <c r="J90" s="218"/>
      <c r="K90" s="218"/>
      <c r="L90" s="217"/>
      <c r="M90" s="217"/>
      <c r="N90" s="219">
        <f t="shared" ref="N90:BI90" si="98">ROUND(SUMIFS($K$4:$K$64,N$4:N$64,"&gt;"&amp;0)-N89,2)</f>
        <v>0</v>
      </c>
      <c r="O90" s="219">
        <f t="shared" si="98"/>
        <v>0</v>
      </c>
      <c r="P90" s="219">
        <f t="shared" si="98"/>
        <v>0</v>
      </c>
      <c r="Q90" s="219">
        <f t="shared" si="98"/>
        <v>0</v>
      </c>
      <c r="R90" s="219">
        <f t="shared" si="98"/>
        <v>0</v>
      </c>
      <c r="S90" s="219">
        <f t="shared" si="98"/>
        <v>0</v>
      </c>
      <c r="T90" s="219">
        <f t="shared" si="98"/>
        <v>0</v>
      </c>
      <c r="U90" s="219">
        <f t="shared" si="98"/>
        <v>0</v>
      </c>
      <c r="V90" s="219">
        <f t="shared" si="98"/>
        <v>0</v>
      </c>
      <c r="W90" s="219">
        <f t="shared" si="98"/>
        <v>0</v>
      </c>
      <c r="X90" s="219">
        <f t="shared" si="98"/>
        <v>0</v>
      </c>
      <c r="Y90" s="219">
        <f t="shared" si="98"/>
        <v>0</v>
      </c>
      <c r="Z90" s="219">
        <f t="shared" si="98"/>
        <v>0</v>
      </c>
      <c r="AA90" s="219">
        <f t="shared" si="98"/>
        <v>0</v>
      </c>
      <c r="AB90" s="219">
        <f t="shared" si="98"/>
        <v>0</v>
      </c>
      <c r="AC90" s="219">
        <f t="shared" si="98"/>
        <v>0</v>
      </c>
      <c r="AD90" s="219">
        <f t="shared" si="98"/>
        <v>0</v>
      </c>
      <c r="AE90" s="219">
        <f t="shared" si="98"/>
        <v>0</v>
      </c>
      <c r="AF90" s="219">
        <f t="shared" si="98"/>
        <v>0</v>
      </c>
      <c r="AG90" s="219">
        <f t="shared" si="98"/>
        <v>0</v>
      </c>
      <c r="AH90" s="219">
        <f t="shared" si="98"/>
        <v>0</v>
      </c>
      <c r="AI90" s="219">
        <f t="shared" si="98"/>
        <v>0</v>
      </c>
      <c r="AJ90" s="219">
        <f t="shared" si="98"/>
        <v>0</v>
      </c>
      <c r="AK90" s="219">
        <f t="shared" si="98"/>
        <v>0</v>
      </c>
      <c r="AL90" s="219">
        <f t="shared" si="98"/>
        <v>0</v>
      </c>
      <c r="AM90" s="219">
        <f t="shared" si="98"/>
        <v>0</v>
      </c>
      <c r="AN90" s="219">
        <f t="shared" si="98"/>
        <v>0</v>
      </c>
      <c r="AO90" s="219">
        <f t="shared" si="98"/>
        <v>0</v>
      </c>
      <c r="AP90" s="219">
        <f t="shared" si="98"/>
        <v>0</v>
      </c>
      <c r="AQ90" s="219">
        <f t="shared" si="98"/>
        <v>0</v>
      </c>
      <c r="AR90" s="219">
        <f t="shared" si="98"/>
        <v>0</v>
      </c>
      <c r="AS90" s="219">
        <f t="shared" si="98"/>
        <v>0</v>
      </c>
      <c r="AT90" s="219">
        <f t="shared" si="98"/>
        <v>0</v>
      </c>
      <c r="AU90" s="219">
        <f t="shared" si="98"/>
        <v>0</v>
      </c>
      <c r="AV90" s="219">
        <f t="shared" si="98"/>
        <v>0</v>
      </c>
      <c r="AW90" s="219">
        <f t="shared" si="98"/>
        <v>0</v>
      </c>
      <c r="AX90" s="219">
        <f t="shared" si="98"/>
        <v>0</v>
      </c>
      <c r="AY90" s="219">
        <f t="shared" si="98"/>
        <v>0</v>
      </c>
      <c r="AZ90" s="219">
        <f t="shared" si="98"/>
        <v>0</v>
      </c>
      <c r="BA90" s="219">
        <f t="shared" si="98"/>
        <v>0</v>
      </c>
      <c r="BB90" s="219">
        <f t="shared" si="98"/>
        <v>0</v>
      </c>
      <c r="BC90" s="219">
        <f t="shared" si="98"/>
        <v>0</v>
      </c>
      <c r="BD90" s="219">
        <f t="shared" si="98"/>
        <v>0</v>
      </c>
      <c r="BE90" s="219">
        <f t="shared" si="98"/>
        <v>0</v>
      </c>
      <c r="BF90" s="219">
        <f t="shared" si="98"/>
        <v>0</v>
      </c>
      <c r="BG90" s="219">
        <f t="shared" si="98"/>
        <v>0</v>
      </c>
      <c r="BH90" s="219">
        <f t="shared" si="98"/>
        <v>0</v>
      </c>
      <c r="BI90" s="219">
        <f t="shared" si="98"/>
        <v>0</v>
      </c>
    </row>
    <row r="91" spans="1:61" ht="12.75" x14ac:dyDescent="0.2">
      <c r="A91" s="21" t="s">
        <v>233</v>
      </c>
      <c r="D91" s="214"/>
      <c r="E91" s="214"/>
      <c r="F91" s="214"/>
      <c r="G91" s="214"/>
      <c r="H91" s="214"/>
      <c r="I91" s="214"/>
      <c r="J91" s="214"/>
      <c r="K91" s="214"/>
    </row>
    <row r="92" spans="1:61" ht="12.75" x14ac:dyDescent="0.2">
      <c r="B92" s="215" t="str">
        <f t="shared" ref="B92:B96" si="99">B76</f>
        <v>General &amp; Admin</v>
      </c>
      <c r="D92" s="214"/>
      <c r="E92" s="214"/>
      <c r="F92" s="214"/>
      <c r="G92" s="214"/>
      <c r="H92" s="214"/>
      <c r="I92" s="214"/>
      <c r="J92" s="214"/>
      <c r="K92" s="214"/>
      <c r="N92" s="188">
        <f t="shared" ref="N92:BI92" si="100">SUMIFS(N$4:N$64,$D$4:$D$64,$B92,$H$4:$H$64,"")</f>
        <v>0</v>
      </c>
      <c r="O92" s="188">
        <f t="shared" si="100"/>
        <v>0</v>
      </c>
      <c r="P92" s="188">
        <f t="shared" si="100"/>
        <v>0</v>
      </c>
      <c r="Q92" s="188">
        <f t="shared" si="100"/>
        <v>0</v>
      </c>
      <c r="R92" s="188">
        <f t="shared" si="100"/>
        <v>0</v>
      </c>
      <c r="S92" s="188">
        <f t="shared" si="100"/>
        <v>0</v>
      </c>
      <c r="T92" s="188">
        <f t="shared" si="100"/>
        <v>0</v>
      </c>
      <c r="U92" s="188">
        <f t="shared" si="100"/>
        <v>0</v>
      </c>
      <c r="V92" s="188">
        <f t="shared" si="100"/>
        <v>0</v>
      </c>
      <c r="W92" s="188">
        <f t="shared" si="100"/>
        <v>0</v>
      </c>
      <c r="X92" s="188">
        <f t="shared" si="100"/>
        <v>0</v>
      </c>
      <c r="Y92" s="188">
        <f t="shared" si="100"/>
        <v>0</v>
      </c>
      <c r="Z92" s="188">
        <f t="shared" si="100"/>
        <v>0</v>
      </c>
      <c r="AA92" s="188">
        <f t="shared" si="100"/>
        <v>0</v>
      </c>
      <c r="AB92" s="188">
        <f t="shared" si="100"/>
        <v>0</v>
      </c>
      <c r="AC92" s="188">
        <f t="shared" si="100"/>
        <v>0</v>
      </c>
      <c r="AD92" s="188">
        <f t="shared" si="100"/>
        <v>0</v>
      </c>
      <c r="AE92" s="188">
        <f t="shared" si="100"/>
        <v>0</v>
      </c>
      <c r="AF92" s="188">
        <f t="shared" si="100"/>
        <v>0</v>
      </c>
      <c r="AG92" s="188">
        <f t="shared" si="100"/>
        <v>0</v>
      </c>
      <c r="AH92" s="188">
        <f t="shared" si="100"/>
        <v>0</v>
      </c>
      <c r="AI92" s="188">
        <f t="shared" si="100"/>
        <v>0</v>
      </c>
      <c r="AJ92" s="188">
        <f t="shared" si="100"/>
        <v>0</v>
      </c>
      <c r="AK92" s="188">
        <f t="shared" si="100"/>
        <v>0</v>
      </c>
      <c r="AL92" s="188">
        <f t="shared" si="100"/>
        <v>0</v>
      </c>
      <c r="AM92" s="188">
        <f t="shared" si="100"/>
        <v>0</v>
      </c>
      <c r="AN92" s="188">
        <f t="shared" si="100"/>
        <v>0</v>
      </c>
      <c r="AO92" s="188">
        <f t="shared" si="100"/>
        <v>0</v>
      </c>
      <c r="AP92" s="188">
        <f t="shared" si="100"/>
        <v>0</v>
      </c>
      <c r="AQ92" s="188">
        <f t="shared" si="100"/>
        <v>0</v>
      </c>
      <c r="AR92" s="188">
        <f t="shared" si="100"/>
        <v>0</v>
      </c>
      <c r="AS92" s="188">
        <f t="shared" si="100"/>
        <v>0</v>
      </c>
      <c r="AT92" s="188">
        <f t="shared" si="100"/>
        <v>0</v>
      </c>
      <c r="AU92" s="188">
        <f t="shared" si="100"/>
        <v>0</v>
      </c>
      <c r="AV92" s="188">
        <f t="shared" si="100"/>
        <v>0</v>
      </c>
      <c r="AW92" s="188">
        <f t="shared" si="100"/>
        <v>0</v>
      </c>
      <c r="AX92" s="188">
        <f t="shared" si="100"/>
        <v>0</v>
      </c>
      <c r="AY92" s="188">
        <f t="shared" si="100"/>
        <v>0</v>
      </c>
      <c r="AZ92" s="188">
        <f t="shared" si="100"/>
        <v>0</v>
      </c>
      <c r="BA92" s="188">
        <f t="shared" si="100"/>
        <v>0</v>
      </c>
      <c r="BB92" s="188">
        <f t="shared" si="100"/>
        <v>0</v>
      </c>
      <c r="BC92" s="188">
        <f t="shared" si="100"/>
        <v>0</v>
      </c>
      <c r="BD92" s="188">
        <f t="shared" si="100"/>
        <v>0</v>
      </c>
      <c r="BE92" s="188">
        <f t="shared" si="100"/>
        <v>0</v>
      </c>
      <c r="BF92" s="188">
        <f t="shared" si="100"/>
        <v>0</v>
      </c>
      <c r="BG92" s="188">
        <f t="shared" si="100"/>
        <v>0</v>
      </c>
      <c r="BH92" s="188">
        <f t="shared" si="100"/>
        <v>0</v>
      </c>
      <c r="BI92" s="188">
        <f t="shared" si="100"/>
        <v>0</v>
      </c>
    </row>
    <row r="93" spans="1:61" ht="12.75" x14ac:dyDescent="0.2">
      <c r="B93" s="215" t="str">
        <f t="shared" si="99"/>
        <v>Engineering</v>
      </c>
      <c r="D93" s="214"/>
      <c r="E93" s="214"/>
      <c r="F93" s="214"/>
      <c r="G93" s="214"/>
      <c r="H93" s="214"/>
      <c r="I93" s="214"/>
      <c r="J93" s="214"/>
      <c r="K93" s="214"/>
      <c r="N93" s="188">
        <f t="shared" ref="N93:BI93" si="101">SUMIFS(N$4:N$64,$D$4:$D$64,$B93,$H$4:$H$64,"")</f>
        <v>0</v>
      </c>
      <c r="O93" s="188">
        <f t="shared" si="101"/>
        <v>0</v>
      </c>
      <c r="P93" s="188">
        <f t="shared" si="101"/>
        <v>0</v>
      </c>
      <c r="Q93" s="188">
        <f t="shared" si="101"/>
        <v>0</v>
      </c>
      <c r="R93" s="188">
        <f t="shared" si="101"/>
        <v>0</v>
      </c>
      <c r="S93" s="188">
        <f t="shared" si="101"/>
        <v>0</v>
      </c>
      <c r="T93" s="188">
        <f t="shared" si="101"/>
        <v>0</v>
      </c>
      <c r="U93" s="188">
        <f t="shared" si="101"/>
        <v>0</v>
      </c>
      <c r="V93" s="188">
        <f t="shared" si="101"/>
        <v>0</v>
      </c>
      <c r="W93" s="188">
        <f t="shared" si="101"/>
        <v>0</v>
      </c>
      <c r="X93" s="188">
        <f t="shared" si="101"/>
        <v>0</v>
      </c>
      <c r="Y93" s="188">
        <f t="shared" si="101"/>
        <v>0</v>
      </c>
      <c r="Z93" s="188">
        <f t="shared" si="101"/>
        <v>0</v>
      </c>
      <c r="AA93" s="188">
        <f t="shared" si="101"/>
        <v>0</v>
      </c>
      <c r="AB93" s="188">
        <f t="shared" si="101"/>
        <v>0</v>
      </c>
      <c r="AC93" s="188">
        <f t="shared" si="101"/>
        <v>0</v>
      </c>
      <c r="AD93" s="188">
        <f t="shared" si="101"/>
        <v>0</v>
      </c>
      <c r="AE93" s="188">
        <f t="shared" si="101"/>
        <v>0</v>
      </c>
      <c r="AF93" s="188">
        <f t="shared" si="101"/>
        <v>0</v>
      </c>
      <c r="AG93" s="188">
        <f t="shared" si="101"/>
        <v>0</v>
      </c>
      <c r="AH93" s="188">
        <f t="shared" si="101"/>
        <v>0</v>
      </c>
      <c r="AI93" s="188">
        <f t="shared" si="101"/>
        <v>0</v>
      </c>
      <c r="AJ93" s="188">
        <f t="shared" si="101"/>
        <v>0</v>
      </c>
      <c r="AK93" s="188">
        <f t="shared" si="101"/>
        <v>0</v>
      </c>
      <c r="AL93" s="188">
        <f t="shared" si="101"/>
        <v>0</v>
      </c>
      <c r="AM93" s="188">
        <f t="shared" si="101"/>
        <v>0</v>
      </c>
      <c r="AN93" s="188">
        <f t="shared" si="101"/>
        <v>0</v>
      </c>
      <c r="AO93" s="188">
        <f t="shared" si="101"/>
        <v>0</v>
      </c>
      <c r="AP93" s="188">
        <f t="shared" si="101"/>
        <v>0</v>
      </c>
      <c r="AQ93" s="188">
        <f t="shared" si="101"/>
        <v>0</v>
      </c>
      <c r="AR93" s="188">
        <f t="shared" si="101"/>
        <v>0</v>
      </c>
      <c r="AS93" s="188">
        <f t="shared" si="101"/>
        <v>0</v>
      </c>
      <c r="AT93" s="188">
        <f t="shared" si="101"/>
        <v>0</v>
      </c>
      <c r="AU93" s="188">
        <f t="shared" si="101"/>
        <v>0</v>
      </c>
      <c r="AV93" s="188">
        <f t="shared" si="101"/>
        <v>0</v>
      </c>
      <c r="AW93" s="188">
        <f t="shared" si="101"/>
        <v>0</v>
      </c>
      <c r="AX93" s="188">
        <f t="shared" si="101"/>
        <v>0</v>
      </c>
      <c r="AY93" s="188">
        <f t="shared" si="101"/>
        <v>0</v>
      </c>
      <c r="AZ93" s="188">
        <f t="shared" si="101"/>
        <v>0</v>
      </c>
      <c r="BA93" s="188">
        <f t="shared" si="101"/>
        <v>0</v>
      </c>
      <c r="BB93" s="188">
        <f t="shared" si="101"/>
        <v>0</v>
      </c>
      <c r="BC93" s="188">
        <f t="shared" si="101"/>
        <v>0</v>
      </c>
      <c r="BD93" s="188">
        <f t="shared" si="101"/>
        <v>0</v>
      </c>
      <c r="BE93" s="188">
        <f t="shared" si="101"/>
        <v>0</v>
      </c>
      <c r="BF93" s="188">
        <f t="shared" si="101"/>
        <v>0</v>
      </c>
      <c r="BG93" s="188">
        <f t="shared" si="101"/>
        <v>0</v>
      </c>
      <c r="BH93" s="188">
        <f t="shared" si="101"/>
        <v>0</v>
      </c>
      <c r="BI93" s="188">
        <f t="shared" si="101"/>
        <v>0</v>
      </c>
    </row>
    <row r="94" spans="1:61" ht="12.75" x14ac:dyDescent="0.2">
      <c r="B94" s="215" t="str">
        <f t="shared" si="99"/>
        <v>Marketing</v>
      </c>
      <c r="D94" s="214"/>
      <c r="E94" s="214"/>
      <c r="F94" s="214"/>
      <c r="G94" s="214"/>
      <c r="H94" s="214"/>
      <c r="I94" s="214"/>
      <c r="J94" s="214"/>
      <c r="K94" s="214"/>
      <c r="N94" s="188">
        <f t="shared" ref="N94:BI94" si="102">SUMIFS(N$4:N$64,$D$4:$D$64,$B94,$H$4:$H$64,"")</f>
        <v>0</v>
      </c>
      <c r="O94" s="188">
        <f t="shared" si="102"/>
        <v>0</v>
      </c>
      <c r="P94" s="188">
        <f t="shared" si="102"/>
        <v>0</v>
      </c>
      <c r="Q94" s="188">
        <f t="shared" si="102"/>
        <v>0</v>
      </c>
      <c r="R94" s="188">
        <f t="shared" si="102"/>
        <v>0</v>
      </c>
      <c r="S94" s="188">
        <f t="shared" si="102"/>
        <v>0</v>
      </c>
      <c r="T94" s="188">
        <f t="shared" si="102"/>
        <v>0</v>
      </c>
      <c r="U94" s="188">
        <f t="shared" si="102"/>
        <v>0</v>
      </c>
      <c r="V94" s="188">
        <f t="shared" si="102"/>
        <v>0</v>
      </c>
      <c r="W94" s="188">
        <f t="shared" si="102"/>
        <v>0</v>
      </c>
      <c r="X94" s="188">
        <f t="shared" si="102"/>
        <v>0</v>
      </c>
      <c r="Y94" s="188">
        <f t="shared" si="102"/>
        <v>0</v>
      </c>
      <c r="Z94" s="188">
        <f t="shared" si="102"/>
        <v>0</v>
      </c>
      <c r="AA94" s="188">
        <f t="shared" si="102"/>
        <v>0</v>
      </c>
      <c r="AB94" s="188">
        <f t="shared" si="102"/>
        <v>0</v>
      </c>
      <c r="AC94" s="188">
        <f t="shared" si="102"/>
        <v>0</v>
      </c>
      <c r="AD94" s="188">
        <f t="shared" si="102"/>
        <v>0</v>
      </c>
      <c r="AE94" s="188">
        <f t="shared" si="102"/>
        <v>0</v>
      </c>
      <c r="AF94" s="188">
        <f t="shared" si="102"/>
        <v>0</v>
      </c>
      <c r="AG94" s="188">
        <f t="shared" si="102"/>
        <v>0</v>
      </c>
      <c r="AH94" s="188">
        <f t="shared" si="102"/>
        <v>0</v>
      </c>
      <c r="AI94" s="188">
        <f t="shared" si="102"/>
        <v>0</v>
      </c>
      <c r="AJ94" s="188">
        <f t="shared" si="102"/>
        <v>0</v>
      </c>
      <c r="AK94" s="188">
        <f t="shared" si="102"/>
        <v>0</v>
      </c>
      <c r="AL94" s="188">
        <f t="shared" si="102"/>
        <v>0</v>
      </c>
      <c r="AM94" s="188">
        <f t="shared" si="102"/>
        <v>0</v>
      </c>
      <c r="AN94" s="188">
        <f t="shared" si="102"/>
        <v>0</v>
      </c>
      <c r="AO94" s="188">
        <f t="shared" si="102"/>
        <v>0</v>
      </c>
      <c r="AP94" s="188">
        <f t="shared" si="102"/>
        <v>0</v>
      </c>
      <c r="AQ94" s="188">
        <f t="shared" si="102"/>
        <v>0</v>
      </c>
      <c r="AR94" s="188">
        <f t="shared" si="102"/>
        <v>0</v>
      </c>
      <c r="AS94" s="188">
        <f t="shared" si="102"/>
        <v>0</v>
      </c>
      <c r="AT94" s="188">
        <f t="shared" si="102"/>
        <v>0</v>
      </c>
      <c r="AU94" s="188">
        <f t="shared" si="102"/>
        <v>0</v>
      </c>
      <c r="AV94" s="188">
        <f t="shared" si="102"/>
        <v>0</v>
      </c>
      <c r="AW94" s="188">
        <f t="shared" si="102"/>
        <v>0</v>
      </c>
      <c r="AX94" s="188">
        <f t="shared" si="102"/>
        <v>0</v>
      </c>
      <c r="AY94" s="188">
        <f t="shared" si="102"/>
        <v>0</v>
      </c>
      <c r="AZ94" s="188">
        <f t="shared" si="102"/>
        <v>0</v>
      </c>
      <c r="BA94" s="188">
        <f t="shared" si="102"/>
        <v>0</v>
      </c>
      <c r="BB94" s="188">
        <f t="shared" si="102"/>
        <v>0</v>
      </c>
      <c r="BC94" s="188">
        <f t="shared" si="102"/>
        <v>0</v>
      </c>
      <c r="BD94" s="188">
        <f t="shared" si="102"/>
        <v>0</v>
      </c>
      <c r="BE94" s="188">
        <f t="shared" si="102"/>
        <v>0</v>
      </c>
      <c r="BF94" s="188">
        <f t="shared" si="102"/>
        <v>0</v>
      </c>
      <c r="BG94" s="188">
        <f t="shared" si="102"/>
        <v>0</v>
      </c>
      <c r="BH94" s="188">
        <f t="shared" si="102"/>
        <v>0</v>
      </c>
      <c r="BI94" s="188">
        <f t="shared" si="102"/>
        <v>0</v>
      </c>
    </row>
    <row r="95" spans="1:61" ht="12.75" x14ac:dyDescent="0.2">
      <c r="B95" s="215" t="str">
        <f t="shared" si="99"/>
        <v>Sales</v>
      </c>
      <c r="D95" s="214"/>
      <c r="E95" s="214"/>
      <c r="F95" s="214"/>
      <c r="G95" s="214"/>
      <c r="H95" s="214"/>
      <c r="I95" s="214"/>
      <c r="J95" s="214"/>
      <c r="K95" s="214"/>
      <c r="N95" s="188">
        <f t="shared" ref="N95:BI95" si="103">SUMIFS(N$4:N$64,$D$4:$D$64,$B95,$H$4:$H$64,"")</f>
        <v>0</v>
      </c>
      <c r="O95" s="188">
        <f t="shared" si="103"/>
        <v>0</v>
      </c>
      <c r="P95" s="188">
        <f t="shared" si="103"/>
        <v>0</v>
      </c>
      <c r="Q95" s="188">
        <f t="shared" si="103"/>
        <v>0</v>
      </c>
      <c r="R95" s="188">
        <f t="shared" si="103"/>
        <v>0</v>
      </c>
      <c r="S95" s="188">
        <f t="shared" si="103"/>
        <v>0</v>
      </c>
      <c r="T95" s="188">
        <f t="shared" si="103"/>
        <v>0</v>
      </c>
      <c r="U95" s="188">
        <f t="shared" si="103"/>
        <v>0</v>
      </c>
      <c r="V95" s="188">
        <f t="shared" si="103"/>
        <v>0</v>
      </c>
      <c r="W95" s="188">
        <f t="shared" si="103"/>
        <v>0</v>
      </c>
      <c r="X95" s="188">
        <f t="shared" si="103"/>
        <v>0</v>
      </c>
      <c r="Y95" s="188">
        <f t="shared" si="103"/>
        <v>0</v>
      </c>
      <c r="Z95" s="188">
        <f t="shared" si="103"/>
        <v>0</v>
      </c>
      <c r="AA95" s="188">
        <f t="shared" si="103"/>
        <v>0</v>
      </c>
      <c r="AB95" s="188">
        <f t="shared" si="103"/>
        <v>0</v>
      </c>
      <c r="AC95" s="188">
        <f t="shared" si="103"/>
        <v>0</v>
      </c>
      <c r="AD95" s="188">
        <f t="shared" si="103"/>
        <v>0</v>
      </c>
      <c r="AE95" s="188">
        <f t="shared" si="103"/>
        <v>0</v>
      </c>
      <c r="AF95" s="188">
        <f t="shared" si="103"/>
        <v>0</v>
      </c>
      <c r="AG95" s="188">
        <f t="shared" si="103"/>
        <v>0</v>
      </c>
      <c r="AH95" s="188">
        <f t="shared" si="103"/>
        <v>0</v>
      </c>
      <c r="AI95" s="188">
        <f t="shared" si="103"/>
        <v>0</v>
      </c>
      <c r="AJ95" s="188">
        <f t="shared" si="103"/>
        <v>0</v>
      </c>
      <c r="AK95" s="188">
        <f t="shared" si="103"/>
        <v>0</v>
      </c>
      <c r="AL95" s="188">
        <f t="shared" si="103"/>
        <v>0</v>
      </c>
      <c r="AM95" s="188">
        <f t="shared" si="103"/>
        <v>0</v>
      </c>
      <c r="AN95" s="188">
        <f t="shared" si="103"/>
        <v>0</v>
      </c>
      <c r="AO95" s="188">
        <f t="shared" si="103"/>
        <v>0</v>
      </c>
      <c r="AP95" s="188">
        <f t="shared" si="103"/>
        <v>0</v>
      </c>
      <c r="AQ95" s="188">
        <f t="shared" si="103"/>
        <v>0</v>
      </c>
      <c r="AR95" s="188">
        <f t="shared" si="103"/>
        <v>0</v>
      </c>
      <c r="AS95" s="188">
        <f t="shared" si="103"/>
        <v>0</v>
      </c>
      <c r="AT95" s="188">
        <f t="shared" si="103"/>
        <v>0</v>
      </c>
      <c r="AU95" s="188">
        <f t="shared" si="103"/>
        <v>0</v>
      </c>
      <c r="AV95" s="188">
        <f t="shared" si="103"/>
        <v>0</v>
      </c>
      <c r="AW95" s="188">
        <f t="shared" si="103"/>
        <v>0</v>
      </c>
      <c r="AX95" s="188">
        <f t="shared" si="103"/>
        <v>0</v>
      </c>
      <c r="AY95" s="188">
        <f t="shared" si="103"/>
        <v>0</v>
      </c>
      <c r="AZ95" s="188">
        <f t="shared" si="103"/>
        <v>0</v>
      </c>
      <c r="BA95" s="188">
        <f t="shared" si="103"/>
        <v>0</v>
      </c>
      <c r="BB95" s="188">
        <f t="shared" si="103"/>
        <v>0</v>
      </c>
      <c r="BC95" s="188">
        <f t="shared" si="103"/>
        <v>0</v>
      </c>
      <c r="BD95" s="188">
        <f t="shared" si="103"/>
        <v>0</v>
      </c>
      <c r="BE95" s="188">
        <f t="shared" si="103"/>
        <v>0</v>
      </c>
      <c r="BF95" s="188">
        <f t="shared" si="103"/>
        <v>0</v>
      </c>
      <c r="BG95" s="188">
        <f t="shared" si="103"/>
        <v>0</v>
      </c>
      <c r="BH95" s="188">
        <f t="shared" si="103"/>
        <v>0</v>
      </c>
      <c r="BI95" s="188">
        <f t="shared" si="103"/>
        <v>0</v>
      </c>
    </row>
    <row r="96" spans="1:61" ht="12.75" x14ac:dyDescent="0.2">
      <c r="B96" s="215" t="str">
        <f t="shared" si="99"/>
        <v>Support</v>
      </c>
      <c r="D96" s="214"/>
      <c r="E96" s="214"/>
      <c r="F96" s="214"/>
      <c r="G96" s="214"/>
      <c r="H96" s="214"/>
      <c r="I96" s="214"/>
      <c r="J96" s="214"/>
      <c r="K96" s="214"/>
      <c r="N96" s="188">
        <f t="shared" ref="N96:BI96" si="104">SUMIFS(N$4:N$64,$D$4:$D$64,$B96,$H$4:$H$64,"")</f>
        <v>0</v>
      </c>
      <c r="O96" s="188">
        <f t="shared" si="104"/>
        <v>0</v>
      </c>
      <c r="P96" s="188">
        <f t="shared" si="104"/>
        <v>0</v>
      </c>
      <c r="Q96" s="188">
        <f t="shared" si="104"/>
        <v>0</v>
      </c>
      <c r="R96" s="188">
        <f t="shared" si="104"/>
        <v>0</v>
      </c>
      <c r="S96" s="188">
        <f t="shared" si="104"/>
        <v>0</v>
      </c>
      <c r="T96" s="188">
        <f t="shared" si="104"/>
        <v>0</v>
      </c>
      <c r="U96" s="188">
        <f t="shared" si="104"/>
        <v>0</v>
      </c>
      <c r="V96" s="188">
        <f t="shared" si="104"/>
        <v>0</v>
      </c>
      <c r="W96" s="188">
        <f t="shared" si="104"/>
        <v>0</v>
      </c>
      <c r="X96" s="188">
        <f t="shared" si="104"/>
        <v>0</v>
      </c>
      <c r="Y96" s="188">
        <f t="shared" si="104"/>
        <v>0</v>
      </c>
      <c r="Z96" s="188">
        <f t="shared" si="104"/>
        <v>0</v>
      </c>
      <c r="AA96" s="188">
        <f t="shared" si="104"/>
        <v>0</v>
      </c>
      <c r="AB96" s="188">
        <f t="shared" si="104"/>
        <v>0</v>
      </c>
      <c r="AC96" s="188">
        <f t="shared" si="104"/>
        <v>0</v>
      </c>
      <c r="AD96" s="188">
        <f t="shared" si="104"/>
        <v>0</v>
      </c>
      <c r="AE96" s="188">
        <f t="shared" si="104"/>
        <v>0</v>
      </c>
      <c r="AF96" s="188">
        <f t="shared" si="104"/>
        <v>0</v>
      </c>
      <c r="AG96" s="188">
        <f t="shared" si="104"/>
        <v>0</v>
      </c>
      <c r="AH96" s="188">
        <f t="shared" si="104"/>
        <v>0</v>
      </c>
      <c r="AI96" s="188">
        <f t="shared" si="104"/>
        <v>0</v>
      </c>
      <c r="AJ96" s="188">
        <f t="shared" si="104"/>
        <v>0</v>
      </c>
      <c r="AK96" s="188">
        <f t="shared" si="104"/>
        <v>0</v>
      </c>
      <c r="AL96" s="188">
        <f t="shared" si="104"/>
        <v>0</v>
      </c>
      <c r="AM96" s="188">
        <f t="shared" si="104"/>
        <v>0</v>
      </c>
      <c r="AN96" s="188">
        <f t="shared" si="104"/>
        <v>0</v>
      </c>
      <c r="AO96" s="188">
        <f t="shared" si="104"/>
        <v>0</v>
      </c>
      <c r="AP96" s="188">
        <f t="shared" si="104"/>
        <v>0</v>
      </c>
      <c r="AQ96" s="188">
        <f t="shared" si="104"/>
        <v>0</v>
      </c>
      <c r="AR96" s="188">
        <f t="shared" si="104"/>
        <v>0</v>
      </c>
      <c r="AS96" s="188">
        <f t="shared" si="104"/>
        <v>0</v>
      </c>
      <c r="AT96" s="188">
        <f t="shared" si="104"/>
        <v>0</v>
      </c>
      <c r="AU96" s="188">
        <f t="shared" si="104"/>
        <v>0</v>
      </c>
      <c r="AV96" s="188">
        <f t="shared" si="104"/>
        <v>0</v>
      </c>
      <c r="AW96" s="188">
        <f t="shared" si="104"/>
        <v>0</v>
      </c>
      <c r="AX96" s="188">
        <f t="shared" si="104"/>
        <v>0</v>
      </c>
      <c r="AY96" s="188">
        <f t="shared" si="104"/>
        <v>0</v>
      </c>
      <c r="AZ96" s="188">
        <f t="shared" si="104"/>
        <v>0</v>
      </c>
      <c r="BA96" s="188">
        <f t="shared" si="104"/>
        <v>0</v>
      </c>
      <c r="BB96" s="188">
        <f t="shared" si="104"/>
        <v>0</v>
      </c>
      <c r="BC96" s="188">
        <f t="shared" si="104"/>
        <v>0</v>
      </c>
      <c r="BD96" s="188">
        <f t="shared" si="104"/>
        <v>0</v>
      </c>
      <c r="BE96" s="188">
        <f t="shared" si="104"/>
        <v>0</v>
      </c>
      <c r="BF96" s="188">
        <f t="shared" si="104"/>
        <v>0</v>
      </c>
      <c r="BG96" s="188">
        <f t="shared" si="104"/>
        <v>0</v>
      </c>
      <c r="BH96" s="188">
        <f t="shared" si="104"/>
        <v>0</v>
      </c>
      <c r="BI96" s="188">
        <f t="shared" si="104"/>
        <v>0</v>
      </c>
    </row>
    <row r="97" spans="1:61" ht="12.75" x14ac:dyDescent="0.2">
      <c r="A97" s="21" t="s">
        <v>234</v>
      </c>
      <c r="B97" s="51"/>
      <c r="C97" s="51"/>
      <c r="D97" s="216"/>
      <c r="E97" s="216"/>
      <c r="F97" s="216"/>
      <c r="G97" s="216"/>
      <c r="H97" s="216"/>
      <c r="I97" s="216"/>
      <c r="J97" s="216"/>
      <c r="K97" s="216"/>
      <c r="L97" s="51"/>
      <c r="M97" s="51"/>
      <c r="N97" s="213">
        <f t="shared" ref="N97:BI97" si="105">SUM(N92:N96)</f>
        <v>0</v>
      </c>
      <c r="O97" s="213">
        <f t="shared" si="105"/>
        <v>0</v>
      </c>
      <c r="P97" s="213">
        <f t="shared" si="105"/>
        <v>0</v>
      </c>
      <c r="Q97" s="213">
        <f t="shared" si="105"/>
        <v>0</v>
      </c>
      <c r="R97" s="213">
        <f t="shared" si="105"/>
        <v>0</v>
      </c>
      <c r="S97" s="213">
        <f t="shared" si="105"/>
        <v>0</v>
      </c>
      <c r="T97" s="213">
        <f t="shared" si="105"/>
        <v>0</v>
      </c>
      <c r="U97" s="213">
        <f t="shared" si="105"/>
        <v>0</v>
      </c>
      <c r="V97" s="213">
        <f t="shared" si="105"/>
        <v>0</v>
      </c>
      <c r="W97" s="213">
        <f t="shared" si="105"/>
        <v>0</v>
      </c>
      <c r="X97" s="213">
        <f t="shared" si="105"/>
        <v>0</v>
      </c>
      <c r="Y97" s="213">
        <f t="shared" si="105"/>
        <v>0</v>
      </c>
      <c r="Z97" s="213">
        <f t="shared" si="105"/>
        <v>0</v>
      </c>
      <c r="AA97" s="213">
        <f t="shared" si="105"/>
        <v>0</v>
      </c>
      <c r="AB97" s="213">
        <f t="shared" si="105"/>
        <v>0</v>
      </c>
      <c r="AC97" s="213">
        <f t="shared" si="105"/>
        <v>0</v>
      </c>
      <c r="AD97" s="213">
        <f t="shared" si="105"/>
        <v>0</v>
      </c>
      <c r="AE97" s="213">
        <f t="shared" si="105"/>
        <v>0</v>
      </c>
      <c r="AF97" s="213">
        <f t="shared" si="105"/>
        <v>0</v>
      </c>
      <c r="AG97" s="213">
        <f t="shared" si="105"/>
        <v>0</v>
      </c>
      <c r="AH97" s="213">
        <f t="shared" si="105"/>
        <v>0</v>
      </c>
      <c r="AI97" s="213">
        <f t="shared" si="105"/>
        <v>0</v>
      </c>
      <c r="AJ97" s="213">
        <f t="shared" si="105"/>
        <v>0</v>
      </c>
      <c r="AK97" s="213">
        <f t="shared" si="105"/>
        <v>0</v>
      </c>
      <c r="AL97" s="213">
        <f t="shared" si="105"/>
        <v>0</v>
      </c>
      <c r="AM97" s="213">
        <f t="shared" si="105"/>
        <v>0</v>
      </c>
      <c r="AN97" s="213">
        <f t="shared" si="105"/>
        <v>0</v>
      </c>
      <c r="AO97" s="213">
        <f t="shared" si="105"/>
        <v>0</v>
      </c>
      <c r="AP97" s="213">
        <f t="shared" si="105"/>
        <v>0</v>
      </c>
      <c r="AQ97" s="213">
        <f t="shared" si="105"/>
        <v>0</v>
      </c>
      <c r="AR97" s="213">
        <f t="shared" si="105"/>
        <v>0</v>
      </c>
      <c r="AS97" s="213">
        <f t="shared" si="105"/>
        <v>0</v>
      </c>
      <c r="AT97" s="213">
        <f t="shared" si="105"/>
        <v>0</v>
      </c>
      <c r="AU97" s="213">
        <f t="shared" si="105"/>
        <v>0</v>
      </c>
      <c r="AV97" s="213">
        <f t="shared" si="105"/>
        <v>0</v>
      </c>
      <c r="AW97" s="213">
        <f t="shared" si="105"/>
        <v>0</v>
      </c>
      <c r="AX97" s="213">
        <f t="shared" si="105"/>
        <v>0</v>
      </c>
      <c r="AY97" s="213">
        <f t="shared" si="105"/>
        <v>0</v>
      </c>
      <c r="AZ97" s="213">
        <f t="shared" si="105"/>
        <v>0</v>
      </c>
      <c r="BA97" s="213">
        <f t="shared" si="105"/>
        <v>0</v>
      </c>
      <c r="BB97" s="213">
        <f t="shared" si="105"/>
        <v>0</v>
      </c>
      <c r="BC97" s="213">
        <f t="shared" si="105"/>
        <v>0</v>
      </c>
      <c r="BD97" s="213">
        <f t="shared" si="105"/>
        <v>0</v>
      </c>
      <c r="BE97" s="213">
        <f t="shared" si="105"/>
        <v>0</v>
      </c>
      <c r="BF97" s="213">
        <f t="shared" si="105"/>
        <v>0</v>
      </c>
      <c r="BG97" s="213">
        <f t="shared" si="105"/>
        <v>0</v>
      </c>
      <c r="BH97" s="213">
        <f t="shared" si="105"/>
        <v>0</v>
      </c>
      <c r="BI97" s="213">
        <f t="shared" si="105"/>
        <v>0</v>
      </c>
    </row>
    <row r="98" spans="1:61" ht="12.75" x14ac:dyDescent="0.2">
      <c r="A98" s="69" t="s">
        <v>229</v>
      </c>
      <c r="B98" s="217"/>
      <c r="C98" s="217"/>
      <c r="D98" s="218"/>
      <c r="E98" s="218"/>
      <c r="F98" s="218"/>
      <c r="G98" s="218"/>
      <c r="H98" s="218"/>
      <c r="I98" s="218"/>
      <c r="J98" s="218"/>
      <c r="K98" s="218"/>
      <c r="L98" s="217"/>
      <c r="M98" s="217"/>
      <c r="N98" s="219">
        <f t="shared" ref="N98:BI98" si="106">SUMIFS(N$4:N$64,$H$4:$H$64,"")-N97</f>
        <v>0</v>
      </c>
      <c r="O98" s="219">
        <f t="shared" si="106"/>
        <v>0</v>
      </c>
      <c r="P98" s="219">
        <f t="shared" si="106"/>
        <v>0</v>
      </c>
      <c r="Q98" s="219">
        <f t="shared" si="106"/>
        <v>0</v>
      </c>
      <c r="R98" s="219">
        <f t="shared" si="106"/>
        <v>0</v>
      </c>
      <c r="S98" s="219">
        <f t="shared" si="106"/>
        <v>0</v>
      </c>
      <c r="T98" s="219">
        <f t="shared" si="106"/>
        <v>0</v>
      </c>
      <c r="U98" s="219">
        <f t="shared" si="106"/>
        <v>0</v>
      </c>
      <c r="V98" s="219">
        <f t="shared" si="106"/>
        <v>0</v>
      </c>
      <c r="W98" s="219">
        <f t="shared" si="106"/>
        <v>0</v>
      </c>
      <c r="X98" s="219">
        <f t="shared" si="106"/>
        <v>0</v>
      </c>
      <c r="Y98" s="219">
        <f t="shared" si="106"/>
        <v>0</v>
      </c>
      <c r="Z98" s="219">
        <f t="shared" si="106"/>
        <v>0</v>
      </c>
      <c r="AA98" s="219">
        <f t="shared" si="106"/>
        <v>0</v>
      </c>
      <c r="AB98" s="219">
        <f t="shared" si="106"/>
        <v>0</v>
      </c>
      <c r="AC98" s="219">
        <f t="shared" si="106"/>
        <v>0</v>
      </c>
      <c r="AD98" s="219">
        <f t="shared" si="106"/>
        <v>0</v>
      </c>
      <c r="AE98" s="219">
        <f t="shared" si="106"/>
        <v>0</v>
      </c>
      <c r="AF98" s="219">
        <f t="shared" si="106"/>
        <v>0</v>
      </c>
      <c r="AG98" s="219">
        <f t="shared" si="106"/>
        <v>0</v>
      </c>
      <c r="AH98" s="219">
        <f t="shared" si="106"/>
        <v>0</v>
      </c>
      <c r="AI98" s="219">
        <f t="shared" si="106"/>
        <v>0</v>
      </c>
      <c r="AJ98" s="219">
        <f t="shared" si="106"/>
        <v>0</v>
      </c>
      <c r="AK98" s="219">
        <f t="shared" si="106"/>
        <v>0</v>
      </c>
      <c r="AL98" s="219">
        <f t="shared" si="106"/>
        <v>0</v>
      </c>
      <c r="AM98" s="219">
        <f t="shared" si="106"/>
        <v>0</v>
      </c>
      <c r="AN98" s="219">
        <f t="shared" si="106"/>
        <v>0</v>
      </c>
      <c r="AO98" s="219">
        <f t="shared" si="106"/>
        <v>0</v>
      </c>
      <c r="AP98" s="219">
        <f t="shared" si="106"/>
        <v>0</v>
      </c>
      <c r="AQ98" s="219">
        <f t="shared" si="106"/>
        <v>0</v>
      </c>
      <c r="AR98" s="219">
        <f t="shared" si="106"/>
        <v>0</v>
      </c>
      <c r="AS98" s="219">
        <f t="shared" si="106"/>
        <v>0</v>
      </c>
      <c r="AT98" s="219">
        <f t="shared" si="106"/>
        <v>0</v>
      </c>
      <c r="AU98" s="219">
        <f t="shared" si="106"/>
        <v>0</v>
      </c>
      <c r="AV98" s="219">
        <f t="shared" si="106"/>
        <v>0</v>
      </c>
      <c r="AW98" s="219">
        <f t="shared" si="106"/>
        <v>0</v>
      </c>
      <c r="AX98" s="219">
        <f t="shared" si="106"/>
        <v>0</v>
      </c>
      <c r="AY98" s="219">
        <f t="shared" si="106"/>
        <v>0</v>
      </c>
      <c r="AZ98" s="219">
        <f t="shared" si="106"/>
        <v>0</v>
      </c>
      <c r="BA98" s="219">
        <f t="shared" si="106"/>
        <v>0</v>
      </c>
      <c r="BB98" s="219">
        <f t="shared" si="106"/>
        <v>0</v>
      </c>
      <c r="BC98" s="219">
        <f t="shared" si="106"/>
        <v>0</v>
      </c>
      <c r="BD98" s="219">
        <f t="shared" si="106"/>
        <v>0</v>
      </c>
      <c r="BE98" s="219">
        <f t="shared" si="106"/>
        <v>0</v>
      </c>
      <c r="BF98" s="219">
        <f t="shared" si="106"/>
        <v>0</v>
      </c>
      <c r="BG98" s="219">
        <f t="shared" si="106"/>
        <v>0</v>
      </c>
      <c r="BH98" s="219">
        <f t="shared" si="106"/>
        <v>0</v>
      </c>
      <c r="BI98" s="219">
        <f t="shared" si="106"/>
        <v>0</v>
      </c>
    </row>
    <row r="99" spans="1:61" ht="12.75" x14ac:dyDescent="0.2">
      <c r="D99" s="214"/>
      <c r="E99" s="214"/>
      <c r="F99" s="214"/>
      <c r="G99" s="214"/>
      <c r="H99" s="214"/>
      <c r="I99" s="214"/>
      <c r="J99" s="214"/>
      <c r="K99" s="214"/>
    </row>
    <row r="100" spans="1:61" ht="12.75" x14ac:dyDescent="0.2">
      <c r="D100" s="214"/>
      <c r="E100" s="214"/>
      <c r="F100" s="214"/>
      <c r="G100" s="214"/>
      <c r="H100" s="214"/>
      <c r="I100" s="214"/>
      <c r="J100" s="214"/>
      <c r="K100" s="214"/>
    </row>
    <row r="101" spans="1:61" ht="12.75" x14ac:dyDescent="0.2">
      <c r="D101" s="214"/>
      <c r="E101" s="214"/>
      <c r="F101" s="214"/>
      <c r="G101" s="214"/>
      <c r="H101" s="214"/>
      <c r="I101" s="214"/>
      <c r="J101" s="214"/>
      <c r="K101" s="214"/>
    </row>
    <row r="102" spans="1:61" ht="12.75" x14ac:dyDescent="0.2">
      <c r="D102" s="214"/>
      <c r="E102" s="214"/>
      <c r="F102" s="214"/>
      <c r="G102" s="214"/>
      <c r="H102" s="214"/>
      <c r="I102" s="214"/>
      <c r="J102" s="214"/>
      <c r="K102" s="214"/>
    </row>
    <row r="103" spans="1:61" ht="12.75" x14ac:dyDescent="0.2">
      <c r="D103" s="214"/>
      <c r="E103" s="214"/>
      <c r="F103" s="214"/>
      <c r="G103" s="214"/>
      <c r="H103" s="214"/>
      <c r="I103" s="214"/>
      <c r="J103" s="214"/>
      <c r="K103" s="214"/>
    </row>
    <row r="104" spans="1:61" ht="12.75" x14ac:dyDescent="0.2">
      <c r="D104" s="214"/>
      <c r="E104" s="214"/>
      <c r="F104" s="214"/>
      <c r="G104" s="214"/>
      <c r="H104" s="214"/>
      <c r="I104" s="214"/>
      <c r="J104" s="214"/>
      <c r="K104" s="214"/>
    </row>
    <row r="105" spans="1:61" ht="12.75" x14ac:dyDescent="0.2">
      <c r="D105" s="214"/>
      <c r="E105" s="214"/>
      <c r="F105" s="214"/>
      <c r="G105" s="214"/>
      <c r="H105" s="214"/>
      <c r="I105" s="214"/>
      <c r="J105" s="214"/>
      <c r="K105" s="214"/>
    </row>
    <row r="106" spans="1:61" ht="12.75" x14ac:dyDescent="0.2">
      <c r="D106" s="214"/>
      <c r="E106" s="214"/>
      <c r="F106" s="214"/>
      <c r="G106" s="214"/>
      <c r="H106" s="214"/>
      <c r="I106" s="214"/>
      <c r="J106" s="214"/>
      <c r="K106" s="214"/>
    </row>
    <row r="107" spans="1:61" ht="12.75" x14ac:dyDescent="0.2">
      <c r="D107" s="214"/>
      <c r="E107" s="214"/>
      <c r="F107" s="214"/>
      <c r="G107" s="214"/>
      <c r="H107" s="214"/>
      <c r="I107" s="214"/>
      <c r="J107" s="214"/>
      <c r="K107" s="214"/>
    </row>
    <row r="108" spans="1:61" ht="12.75" x14ac:dyDescent="0.2">
      <c r="D108" s="214"/>
      <c r="E108" s="214"/>
      <c r="F108" s="214"/>
      <c r="G108" s="214"/>
      <c r="H108" s="214"/>
      <c r="I108" s="214"/>
      <c r="J108" s="214"/>
      <c r="K108" s="214"/>
    </row>
    <row r="109" spans="1:61" ht="12.75" x14ac:dyDescent="0.2">
      <c r="D109" s="214"/>
      <c r="E109" s="214"/>
      <c r="F109" s="214"/>
      <c r="G109" s="214"/>
      <c r="H109" s="214"/>
      <c r="I109" s="214"/>
      <c r="J109" s="214"/>
      <c r="K109" s="214"/>
    </row>
    <row r="110" spans="1:61" ht="12.75" x14ac:dyDescent="0.2">
      <c r="D110" s="214"/>
      <c r="E110" s="214"/>
      <c r="F110" s="214"/>
      <c r="G110" s="214"/>
      <c r="H110" s="214"/>
      <c r="I110" s="214"/>
      <c r="J110" s="214"/>
      <c r="K110" s="214"/>
    </row>
    <row r="111" spans="1:61" ht="12.75" x14ac:dyDescent="0.2">
      <c r="D111" s="214"/>
      <c r="E111" s="214"/>
      <c r="F111" s="214"/>
      <c r="G111" s="214"/>
      <c r="H111" s="214"/>
      <c r="I111" s="214"/>
      <c r="J111" s="214"/>
      <c r="K111" s="214"/>
    </row>
    <row r="112" spans="1:61" ht="12.75" x14ac:dyDescent="0.2">
      <c r="D112" s="214"/>
      <c r="E112" s="214"/>
      <c r="F112" s="214"/>
      <c r="G112" s="214"/>
      <c r="H112" s="214"/>
      <c r="I112" s="214"/>
      <c r="J112" s="214"/>
      <c r="K112" s="214"/>
    </row>
    <row r="113" spans="4:11" ht="12.75" x14ac:dyDescent="0.2">
      <c r="D113" s="214"/>
      <c r="E113" s="214"/>
      <c r="F113" s="214"/>
      <c r="G113" s="214"/>
      <c r="H113" s="214"/>
      <c r="I113" s="214"/>
      <c r="J113" s="214"/>
      <c r="K113" s="214"/>
    </row>
    <row r="114" spans="4:11" ht="12.75" x14ac:dyDescent="0.2">
      <c r="D114" s="214"/>
      <c r="E114" s="214"/>
      <c r="F114" s="214"/>
      <c r="G114" s="214"/>
      <c r="H114" s="214"/>
      <c r="I114" s="214"/>
      <c r="J114" s="214"/>
      <c r="K114" s="214"/>
    </row>
    <row r="115" spans="4:11" ht="12.75" x14ac:dyDescent="0.2">
      <c r="D115" s="214"/>
      <c r="E115" s="214"/>
      <c r="F115" s="214"/>
      <c r="G115" s="214"/>
      <c r="H115" s="214"/>
      <c r="I115" s="214"/>
      <c r="J115" s="214"/>
      <c r="K115" s="214"/>
    </row>
    <row r="116" spans="4:11" ht="12.75" x14ac:dyDescent="0.2">
      <c r="D116" s="214"/>
      <c r="E116" s="214"/>
      <c r="F116" s="214"/>
      <c r="G116" s="214"/>
      <c r="H116" s="214"/>
      <c r="I116" s="214"/>
      <c r="J116" s="214"/>
      <c r="K116" s="214"/>
    </row>
    <row r="117" spans="4:11" ht="12.75" x14ac:dyDescent="0.2">
      <c r="D117" s="214"/>
      <c r="E117" s="214"/>
      <c r="F117" s="214"/>
      <c r="G117" s="214"/>
      <c r="H117" s="214"/>
      <c r="I117" s="214"/>
      <c r="J117" s="214"/>
      <c r="K117" s="214"/>
    </row>
    <row r="118" spans="4:11" ht="12.75" x14ac:dyDescent="0.2">
      <c r="D118" s="214"/>
      <c r="E118" s="214"/>
      <c r="F118" s="214"/>
      <c r="G118" s="214"/>
      <c r="H118" s="214"/>
      <c r="I118" s="214"/>
      <c r="J118" s="214"/>
      <c r="K118" s="214"/>
    </row>
    <row r="119" spans="4:11" ht="12.75" x14ac:dyDescent="0.2">
      <c r="D119" s="214"/>
      <c r="E119" s="214"/>
      <c r="F119" s="214"/>
      <c r="G119" s="214"/>
      <c r="H119" s="214"/>
      <c r="I119" s="214"/>
      <c r="J119" s="214"/>
      <c r="K119" s="214"/>
    </row>
    <row r="120" spans="4:11" ht="12.75" x14ac:dyDescent="0.2">
      <c r="D120" s="214"/>
      <c r="E120" s="214"/>
      <c r="F120" s="214"/>
      <c r="G120" s="214"/>
      <c r="H120" s="214"/>
      <c r="I120" s="214"/>
      <c r="J120" s="214"/>
      <c r="K120" s="214"/>
    </row>
    <row r="121" spans="4:11" ht="12.75" x14ac:dyDescent="0.2">
      <c r="D121" s="214"/>
      <c r="E121" s="214"/>
      <c r="F121" s="214"/>
      <c r="G121" s="214"/>
      <c r="H121" s="214"/>
      <c r="I121" s="214"/>
      <c r="J121" s="214"/>
      <c r="K121" s="214"/>
    </row>
    <row r="122" spans="4:11" ht="12.75" x14ac:dyDescent="0.2">
      <c r="D122" s="214"/>
      <c r="E122" s="214"/>
      <c r="F122" s="214"/>
      <c r="G122" s="214"/>
      <c r="H122" s="214"/>
      <c r="I122" s="214"/>
      <c r="J122" s="214"/>
      <c r="K122" s="214"/>
    </row>
    <row r="123" spans="4:11" ht="12.75" x14ac:dyDescent="0.2">
      <c r="D123" s="214"/>
      <c r="E123" s="214"/>
      <c r="F123" s="214"/>
      <c r="G123" s="214"/>
      <c r="H123" s="214"/>
      <c r="I123" s="214"/>
      <c r="J123" s="214"/>
      <c r="K123" s="214"/>
    </row>
    <row r="124" spans="4:11" ht="12.75" x14ac:dyDescent="0.2">
      <c r="D124" s="214"/>
      <c r="E124" s="214"/>
      <c r="F124" s="214"/>
      <c r="G124" s="214"/>
      <c r="H124" s="214"/>
      <c r="I124" s="214"/>
      <c r="J124" s="214"/>
      <c r="K124" s="214"/>
    </row>
    <row r="125" spans="4:11" ht="12.75" x14ac:dyDescent="0.2">
      <c r="D125" s="214"/>
      <c r="E125" s="214"/>
      <c r="F125" s="214"/>
      <c r="G125" s="214"/>
      <c r="H125" s="214"/>
      <c r="I125" s="214"/>
      <c r="J125" s="214"/>
      <c r="K125" s="214"/>
    </row>
    <row r="126" spans="4:11" ht="12.75" x14ac:dyDescent="0.2">
      <c r="D126" s="214"/>
      <c r="E126" s="214"/>
      <c r="F126" s="214"/>
      <c r="G126" s="214"/>
      <c r="H126" s="214"/>
      <c r="I126" s="214"/>
      <c r="J126" s="214"/>
      <c r="K126" s="214"/>
    </row>
    <row r="127" spans="4:11" ht="12.75" x14ac:dyDescent="0.2">
      <c r="D127" s="214"/>
      <c r="E127" s="214"/>
      <c r="F127" s="214"/>
      <c r="G127" s="214"/>
      <c r="H127" s="214"/>
      <c r="I127" s="214"/>
      <c r="J127" s="214"/>
      <c r="K127" s="214"/>
    </row>
    <row r="128" spans="4:11" ht="12.75" x14ac:dyDescent="0.2">
      <c r="D128" s="214"/>
      <c r="E128" s="214"/>
      <c r="F128" s="214"/>
      <c r="G128" s="214"/>
      <c r="H128" s="214"/>
      <c r="I128" s="214"/>
      <c r="J128" s="214"/>
      <c r="K128" s="214"/>
    </row>
    <row r="129" spans="4:11" ht="12.75" x14ac:dyDescent="0.2">
      <c r="D129" s="214"/>
      <c r="E129" s="214"/>
      <c r="F129" s="214"/>
      <c r="G129" s="214"/>
      <c r="H129" s="214"/>
      <c r="I129" s="214"/>
      <c r="J129" s="214"/>
      <c r="K129" s="214"/>
    </row>
    <row r="130" spans="4:11" ht="12.75" x14ac:dyDescent="0.2">
      <c r="D130" s="214"/>
      <c r="E130" s="214"/>
      <c r="F130" s="214"/>
      <c r="G130" s="214"/>
      <c r="H130" s="214"/>
      <c r="I130" s="214"/>
      <c r="J130" s="214"/>
      <c r="K130" s="214"/>
    </row>
    <row r="131" spans="4:11" ht="12.75" x14ac:dyDescent="0.2">
      <c r="D131" s="214"/>
      <c r="E131" s="214"/>
      <c r="F131" s="214"/>
      <c r="G131" s="214"/>
      <c r="H131" s="214"/>
      <c r="I131" s="214"/>
      <c r="J131" s="214"/>
      <c r="K131" s="214"/>
    </row>
    <row r="132" spans="4:11" ht="12.75" x14ac:dyDescent="0.2">
      <c r="D132" s="214"/>
      <c r="E132" s="214"/>
      <c r="F132" s="214"/>
      <c r="G132" s="214"/>
      <c r="H132" s="214"/>
      <c r="I132" s="214"/>
      <c r="J132" s="214"/>
      <c r="K132" s="214"/>
    </row>
    <row r="133" spans="4:11" ht="12.75" x14ac:dyDescent="0.2">
      <c r="D133" s="214"/>
      <c r="E133" s="214"/>
      <c r="F133" s="214"/>
      <c r="G133" s="214"/>
      <c r="H133" s="214"/>
      <c r="I133" s="214"/>
      <c r="J133" s="214"/>
      <c r="K133" s="214"/>
    </row>
    <row r="134" spans="4:11" ht="12.75" x14ac:dyDescent="0.2">
      <c r="D134" s="214"/>
      <c r="E134" s="214"/>
      <c r="F134" s="214"/>
      <c r="G134" s="214"/>
      <c r="H134" s="214"/>
      <c r="I134" s="214"/>
      <c r="J134" s="214"/>
      <c r="K134" s="214"/>
    </row>
    <row r="135" spans="4:11" ht="12.75" x14ac:dyDescent="0.2">
      <c r="D135" s="214"/>
      <c r="E135" s="214"/>
      <c r="F135" s="214"/>
      <c r="G135" s="214"/>
      <c r="H135" s="214"/>
      <c r="I135" s="214"/>
      <c r="J135" s="214"/>
      <c r="K135" s="214"/>
    </row>
    <row r="136" spans="4:11" ht="12.75" x14ac:dyDescent="0.2">
      <c r="D136" s="214"/>
      <c r="E136" s="214"/>
      <c r="F136" s="214"/>
      <c r="G136" s="214"/>
      <c r="H136" s="214"/>
      <c r="I136" s="214"/>
      <c r="J136" s="214"/>
      <c r="K136" s="214"/>
    </row>
    <row r="137" spans="4:11" ht="12.75" x14ac:dyDescent="0.2">
      <c r="D137" s="214"/>
      <c r="E137" s="214"/>
      <c r="F137" s="214"/>
      <c r="G137" s="214"/>
      <c r="H137" s="214"/>
      <c r="I137" s="214"/>
      <c r="J137" s="214"/>
      <c r="K137" s="214"/>
    </row>
    <row r="138" spans="4:11" ht="12.75" x14ac:dyDescent="0.2">
      <c r="D138" s="214"/>
      <c r="E138" s="214"/>
      <c r="F138" s="214"/>
      <c r="G138" s="214"/>
      <c r="H138" s="214"/>
      <c r="I138" s="214"/>
      <c r="J138" s="214"/>
      <c r="K138" s="214"/>
    </row>
    <row r="139" spans="4:11" ht="12.75" x14ac:dyDescent="0.2">
      <c r="D139" s="214"/>
      <c r="E139" s="214"/>
      <c r="F139" s="214"/>
      <c r="G139" s="214"/>
      <c r="H139" s="214"/>
      <c r="I139" s="214"/>
      <c r="J139" s="214"/>
      <c r="K139" s="214"/>
    </row>
    <row r="140" spans="4:11" ht="12.75" x14ac:dyDescent="0.2">
      <c r="D140" s="214"/>
      <c r="E140" s="214"/>
      <c r="F140" s="214"/>
      <c r="G140" s="214"/>
      <c r="H140" s="214"/>
      <c r="I140" s="214"/>
      <c r="J140" s="214"/>
      <c r="K140" s="214"/>
    </row>
    <row r="141" spans="4:11" ht="12.75" x14ac:dyDescent="0.2">
      <c r="D141" s="214"/>
      <c r="E141" s="214"/>
      <c r="F141" s="214"/>
      <c r="G141" s="214"/>
      <c r="H141" s="214"/>
      <c r="I141" s="214"/>
      <c r="J141" s="214"/>
      <c r="K141" s="214"/>
    </row>
    <row r="142" spans="4:11" ht="12.75" x14ac:dyDescent="0.2">
      <c r="D142" s="214"/>
      <c r="E142" s="214"/>
      <c r="F142" s="214"/>
      <c r="G142" s="214"/>
      <c r="H142" s="214"/>
      <c r="I142" s="214"/>
      <c r="J142" s="214"/>
      <c r="K142" s="214"/>
    </row>
    <row r="143" spans="4:11" ht="12.75" x14ac:dyDescent="0.2">
      <c r="D143" s="214"/>
      <c r="E143" s="214"/>
      <c r="F143" s="214"/>
      <c r="G143" s="214"/>
      <c r="H143" s="214"/>
      <c r="I143" s="214"/>
      <c r="J143" s="214"/>
      <c r="K143" s="214"/>
    </row>
    <row r="144" spans="4:11" ht="12.75" x14ac:dyDescent="0.2">
      <c r="D144" s="214"/>
      <c r="E144" s="214"/>
      <c r="F144" s="214"/>
      <c r="G144" s="214"/>
      <c r="H144" s="214"/>
      <c r="I144" s="214"/>
      <c r="J144" s="214"/>
      <c r="K144" s="214"/>
    </row>
    <row r="145" spans="4:11" ht="12.75" x14ac:dyDescent="0.2">
      <c r="D145" s="214"/>
      <c r="E145" s="214"/>
      <c r="F145" s="214"/>
      <c r="G145" s="214"/>
      <c r="H145" s="214"/>
      <c r="I145" s="214"/>
      <c r="J145" s="214"/>
      <c r="K145" s="214"/>
    </row>
    <row r="146" spans="4:11" ht="12.75" x14ac:dyDescent="0.2">
      <c r="D146" s="214"/>
      <c r="E146" s="214"/>
      <c r="F146" s="214"/>
      <c r="G146" s="214"/>
      <c r="H146" s="214"/>
      <c r="I146" s="214"/>
      <c r="J146" s="214"/>
      <c r="K146" s="214"/>
    </row>
    <row r="147" spans="4:11" ht="12.75" x14ac:dyDescent="0.2">
      <c r="D147" s="214"/>
      <c r="E147" s="214"/>
      <c r="F147" s="214"/>
      <c r="G147" s="214"/>
      <c r="H147" s="214"/>
      <c r="I147" s="214"/>
      <c r="J147" s="214"/>
      <c r="K147" s="214"/>
    </row>
    <row r="148" spans="4:11" ht="12.75" x14ac:dyDescent="0.2">
      <c r="D148" s="214"/>
      <c r="E148" s="214"/>
      <c r="F148" s="214"/>
      <c r="G148" s="214"/>
      <c r="H148" s="214"/>
      <c r="I148" s="214"/>
      <c r="J148" s="214"/>
      <c r="K148" s="214"/>
    </row>
    <row r="149" spans="4:11" ht="12.75" x14ac:dyDescent="0.2">
      <c r="D149" s="214"/>
      <c r="E149" s="214"/>
      <c r="F149" s="214"/>
      <c r="G149" s="214"/>
      <c r="H149" s="214"/>
      <c r="I149" s="214"/>
      <c r="J149" s="214"/>
      <c r="K149" s="214"/>
    </row>
    <row r="150" spans="4:11" ht="12.75" x14ac:dyDescent="0.2">
      <c r="D150" s="214"/>
      <c r="E150" s="214"/>
      <c r="F150" s="214"/>
      <c r="G150" s="214"/>
      <c r="H150" s="214"/>
      <c r="I150" s="214"/>
      <c r="J150" s="214"/>
      <c r="K150" s="214"/>
    </row>
    <row r="151" spans="4:11" ht="12.75" x14ac:dyDescent="0.2">
      <c r="D151" s="214"/>
      <c r="E151" s="214"/>
      <c r="F151" s="214"/>
      <c r="G151" s="214"/>
      <c r="H151" s="214"/>
      <c r="I151" s="214"/>
      <c r="J151" s="214"/>
      <c r="K151" s="214"/>
    </row>
    <row r="152" spans="4:11" ht="12.75" x14ac:dyDescent="0.2">
      <c r="D152" s="214"/>
      <c r="E152" s="214"/>
      <c r="F152" s="214"/>
      <c r="G152" s="214"/>
      <c r="H152" s="214"/>
      <c r="I152" s="214"/>
      <c r="J152" s="214"/>
      <c r="K152" s="214"/>
    </row>
    <row r="153" spans="4:11" ht="12.75" x14ac:dyDescent="0.2">
      <c r="D153" s="214"/>
      <c r="E153" s="214"/>
      <c r="F153" s="214"/>
      <c r="G153" s="214"/>
      <c r="H153" s="214"/>
      <c r="I153" s="214"/>
      <c r="J153" s="214"/>
      <c r="K153" s="214"/>
    </row>
    <row r="154" spans="4:11" ht="12.75" x14ac:dyDescent="0.2">
      <c r="D154" s="214"/>
      <c r="E154" s="214"/>
      <c r="F154" s="214"/>
      <c r="G154" s="214"/>
      <c r="H154" s="214"/>
      <c r="I154" s="214"/>
      <c r="J154" s="214"/>
      <c r="K154" s="214"/>
    </row>
    <row r="155" spans="4:11" ht="12.75" x14ac:dyDescent="0.2">
      <c r="D155" s="214"/>
      <c r="E155" s="214"/>
      <c r="F155" s="214"/>
      <c r="G155" s="214"/>
      <c r="H155" s="214"/>
      <c r="I155" s="214"/>
      <c r="J155" s="214"/>
      <c r="K155" s="214"/>
    </row>
    <row r="156" spans="4:11" ht="12.75" x14ac:dyDescent="0.2">
      <c r="D156" s="214"/>
      <c r="E156" s="214"/>
      <c r="F156" s="214"/>
      <c r="G156" s="214"/>
      <c r="H156" s="214"/>
      <c r="I156" s="214"/>
      <c r="J156" s="214"/>
      <c r="K156" s="214"/>
    </row>
    <row r="157" spans="4:11" ht="12.75" x14ac:dyDescent="0.2">
      <c r="D157" s="214"/>
      <c r="E157" s="214"/>
      <c r="F157" s="214"/>
      <c r="G157" s="214"/>
      <c r="H157" s="214"/>
      <c r="I157" s="214"/>
      <c r="J157" s="214"/>
      <c r="K157" s="214"/>
    </row>
    <row r="158" spans="4:11" ht="12.75" x14ac:dyDescent="0.2">
      <c r="D158" s="214"/>
      <c r="E158" s="214"/>
      <c r="F158" s="214"/>
      <c r="G158" s="214"/>
      <c r="H158" s="214"/>
      <c r="I158" s="214"/>
      <c r="J158" s="214"/>
      <c r="K158" s="214"/>
    </row>
    <row r="159" spans="4:11" ht="12.75" x14ac:dyDescent="0.2">
      <c r="D159" s="214"/>
      <c r="E159" s="214"/>
      <c r="F159" s="214"/>
      <c r="G159" s="214"/>
      <c r="H159" s="214"/>
      <c r="I159" s="214"/>
      <c r="J159" s="214"/>
      <c r="K159" s="214"/>
    </row>
    <row r="160" spans="4:11" ht="12.75" x14ac:dyDescent="0.2">
      <c r="D160" s="214"/>
      <c r="E160" s="214"/>
      <c r="F160" s="214"/>
      <c r="G160" s="214"/>
      <c r="H160" s="214"/>
      <c r="I160" s="214"/>
      <c r="J160" s="214"/>
      <c r="K160" s="214"/>
    </row>
    <row r="161" spans="4:11" ht="12.75" x14ac:dyDescent="0.2">
      <c r="D161" s="214"/>
      <c r="E161" s="214"/>
      <c r="F161" s="214"/>
      <c r="G161" s="214"/>
      <c r="H161" s="214"/>
      <c r="I161" s="214"/>
      <c r="J161" s="214"/>
      <c r="K161" s="214"/>
    </row>
    <row r="162" spans="4:11" ht="12.75" x14ac:dyDescent="0.2">
      <c r="D162" s="214"/>
      <c r="E162" s="214"/>
      <c r="F162" s="214"/>
      <c r="G162" s="214"/>
      <c r="H162" s="214"/>
      <c r="I162" s="214"/>
      <c r="J162" s="214"/>
      <c r="K162" s="214"/>
    </row>
    <row r="163" spans="4:11" ht="12.75" x14ac:dyDescent="0.2">
      <c r="D163" s="214"/>
      <c r="E163" s="214"/>
      <c r="F163" s="214"/>
      <c r="G163" s="214"/>
      <c r="H163" s="214"/>
      <c r="I163" s="214"/>
      <c r="J163" s="214"/>
      <c r="K163" s="214"/>
    </row>
    <row r="164" spans="4:11" ht="12.75" x14ac:dyDescent="0.2">
      <c r="D164" s="214"/>
      <c r="E164" s="214"/>
      <c r="F164" s="214"/>
      <c r="G164" s="214"/>
      <c r="H164" s="214"/>
      <c r="I164" s="214"/>
      <c r="J164" s="214"/>
      <c r="K164" s="214"/>
    </row>
    <row r="165" spans="4:11" ht="12.75" x14ac:dyDescent="0.2">
      <c r="D165" s="214"/>
      <c r="E165" s="214"/>
      <c r="F165" s="214"/>
      <c r="G165" s="214"/>
      <c r="H165" s="214"/>
      <c r="I165" s="214"/>
      <c r="J165" s="214"/>
      <c r="K165" s="214"/>
    </row>
    <row r="166" spans="4:11" ht="12.75" x14ac:dyDescent="0.2">
      <c r="D166" s="214"/>
      <c r="E166" s="214"/>
      <c r="F166" s="214"/>
      <c r="G166" s="214"/>
      <c r="H166" s="214"/>
      <c r="I166" s="214"/>
      <c r="J166" s="214"/>
      <c r="K166" s="214"/>
    </row>
    <row r="167" spans="4:11" ht="12.75" x14ac:dyDescent="0.2">
      <c r="D167" s="214"/>
      <c r="E167" s="214"/>
      <c r="F167" s="214"/>
      <c r="G167" s="214"/>
      <c r="H167" s="214"/>
      <c r="I167" s="214"/>
      <c r="J167" s="214"/>
      <c r="K167" s="214"/>
    </row>
    <row r="168" spans="4:11" ht="12.75" x14ac:dyDescent="0.2">
      <c r="D168" s="214"/>
      <c r="E168" s="214"/>
      <c r="F168" s="214"/>
      <c r="G168" s="214"/>
      <c r="H168" s="214"/>
      <c r="I168" s="214"/>
      <c r="J168" s="214"/>
      <c r="K168" s="214"/>
    </row>
    <row r="169" spans="4:11" ht="12.75" x14ac:dyDescent="0.2">
      <c r="D169" s="214"/>
      <c r="E169" s="214"/>
      <c r="F169" s="214"/>
      <c r="G169" s="214"/>
      <c r="H169" s="214"/>
      <c r="I169" s="214"/>
      <c r="J169" s="214"/>
      <c r="K169" s="214"/>
    </row>
    <row r="170" spans="4:11" ht="12.75" x14ac:dyDescent="0.2">
      <c r="D170" s="214"/>
      <c r="E170" s="214"/>
      <c r="F170" s="214"/>
      <c r="G170" s="214"/>
      <c r="H170" s="214"/>
      <c r="I170" s="214"/>
      <c r="J170" s="214"/>
      <c r="K170" s="214"/>
    </row>
    <row r="171" spans="4:11" ht="12.75" x14ac:dyDescent="0.2">
      <c r="D171" s="214"/>
      <c r="E171" s="214"/>
      <c r="F171" s="214"/>
      <c r="G171" s="214"/>
      <c r="H171" s="214"/>
      <c r="I171" s="214"/>
      <c r="J171" s="214"/>
      <c r="K171" s="214"/>
    </row>
    <row r="172" spans="4:11" ht="12.75" x14ac:dyDescent="0.2">
      <c r="D172" s="214"/>
      <c r="E172" s="214"/>
      <c r="F172" s="214"/>
      <c r="G172" s="214"/>
      <c r="H172" s="214"/>
      <c r="I172" s="214"/>
      <c r="J172" s="214"/>
      <c r="K172" s="214"/>
    </row>
    <row r="173" spans="4:11" ht="12.75" x14ac:dyDescent="0.2">
      <c r="D173" s="214"/>
      <c r="E173" s="214"/>
      <c r="F173" s="214"/>
      <c r="G173" s="214"/>
      <c r="H173" s="214"/>
      <c r="I173" s="214"/>
      <c r="J173" s="214"/>
      <c r="K173" s="214"/>
    </row>
    <row r="174" spans="4:11" ht="12.75" x14ac:dyDescent="0.2">
      <c r="D174" s="214"/>
      <c r="E174" s="214"/>
      <c r="F174" s="214"/>
      <c r="G174" s="214"/>
      <c r="H174" s="214"/>
      <c r="I174" s="214"/>
      <c r="J174" s="214"/>
      <c r="K174" s="214"/>
    </row>
    <row r="175" spans="4:11" ht="12.75" x14ac:dyDescent="0.2">
      <c r="D175" s="214"/>
      <c r="E175" s="214"/>
      <c r="F175" s="214"/>
      <c r="G175" s="214"/>
      <c r="H175" s="214"/>
      <c r="I175" s="214"/>
      <c r="J175" s="214"/>
      <c r="K175" s="214"/>
    </row>
    <row r="176" spans="4:11" ht="12.75" x14ac:dyDescent="0.2">
      <c r="D176" s="214"/>
      <c r="E176" s="214"/>
      <c r="F176" s="214"/>
      <c r="G176" s="214"/>
      <c r="H176" s="214"/>
      <c r="I176" s="214"/>
      <c r="J176" s="214"/>
      <c r="K176" s="214"/>
    </row>
    <row r="177" spans="4:11" ht="12.75" x14ac:dyDescent="0.2">
      <c r="D177" s="214"/>
      <c r="E177" s="214"/>
      <c r="F177" s="214"/>
      <c r="G177" s="214"/>
      <c r="H177" s="214"/>
      <c r="I177" s="214"/>
      <c r="J177" s="214"/>
      <c r="K177" s="214"/>
    </row>
    <row r="178" spans="4:11" ht="12.75" x14ac:dyDescent="0.2">
      <c r="D178" s="214"/>
      <c r="E178" s="214"/>
      <c r="F178" s="214"/>
      <c r="G178" s="214"/>
      <c r="H178" s="214"/>
      <c r="I178" s="214"/>
      <c r="J178" s="214"/>
      <c r="K178" s="214"/>
    </row>
    <row r="179" spans="4:11" ht="12.75" x14ac:dyDescent="0.2">
      <c r="D179" s="214"/>
      <c r="E179" s="214"/>
      <c r="F179" s="214"/>
      <c r="G179" s="214"/>
      <c r="H179" s="214"/>
      <c r="I179" s="214"/>
      <c r="J179" s="214"/>
      <c r="K179" s="214"/>
    </row>
    <row r="180" spans="4:11" ht="12.75" x14ac:dyDescent="0.2">
      <c r="D180" s="214"/>
      <c r="E180" s="214"/>
      <c r="F180" s="214"/>
      <c r="G180" s="214"/>
      <c r="H180" s="214"/>
      <c r="I180" s="214"/>
      <c r="J180" s="214"/>
      <c r="K180" s="214"/>
    </row>
    <row r="181" spans="4:11" ht="12.75" x14ac:dyDescent="0.2">
      <c r="D181" s="214"/>
      <c r="E181" s="214"/>
      <c r="F181" s="214"/>
      <c r="G181" s="214"/>
      <c r="H181" s="214"/>
      <c r="I181" s="214"/>
      <c r="J181" s="214"/>
      <c r="K181" s="214"/>
    </row>
    <row r="182" spans="4:11" ht="12.75" x14ac:dyDescent="0.2">
      <c r="D182" s="214"/>
      <c r="E182" s="214"/>
      <c r="F182" s="214"/>
      <c r="G182" s="214"/>
      <c r="H182" s="214"/>
      <c r="I182" s="214"/>
      <c r="J182" s="214"/>
      <c r="K182" s="214"/>
    </row>
    <row r="183" spans="4:11" ht="12.75" x14ac:dyDescent="0.2">
      <c r="D183" s="214"/>
      <c r="E183" s="214"/>
      <c r="F183" s="214"/>
      <c r="G183" s="214"/>
      <c r="H183" s="214"/>
      <c r="I183" s="214"/>
      <c r="J183" s="214"/>
      <c r="K183" s="214"/>
    </row>
    <row r="184" spans="4:11" ht="12.75" x14ac:dyDescent="0.2">
      <c r="D184" s="214"/>
      <c r="E184" s="214"/>
      <c r="F184" s="214"/>
      <c r="G184" s="214"/>
      <c r="H184" s="214"/>
      <c r="I184" s="214"/>
      <c r="J184" s="214"/>
      <c r="K184" s="214"/>
    </row>
    <row r="185" spans="4:11" ht="12.75" x14ac:dyDescent="0.2">
      <c r="D185" s="214"/>
      <c r="E185" s="214"/>
      <c r="F185" s="214"/>
      <c r="G185" s="214"/>
      <c r="H185" s="214"/>
      <c r="I185" s="214"/>
      <c r="J185" s="214"/>
      <c r="K185" s="214"/>
    </row>
    <row r="186" spans="4:11" ht="12.75" x14ac:dyDescent="0.2">
      <c r="D186" s="214"/>
      <c r="E186" s="214"/>
      <c r="F186" s="214"/>
      <c r="G186" s="214"/>
      <c r="H186" s="214"/>
      <c r="I186" s="214"/>
      <c r="J186" s="214"/>
      <c r="K186" s="214"/>
    </row>
    <row r="187" spans="4:11" ht="12.75" x14ac:dyDescent="0.2">
      <c r="D187" s="214"/>
      <c r="E187" s="214"/>
      <c r="F187" s="214"/>
      <c r="G187" s="214"/>
      <c r="H187" s="214"/>
      <c r="I187" s="214"/>
      <c r="J187" s="214"/>
      <c r="K187" s="214"/>
    </row>
    <row r="188" spans="4:11" ht="12.75" x14ac:dyDescent="0.2">
      <c r="D188" s="214"/>
      <c r="E188" s="214"/>
      <c r="F188" s="214"/>
      <c r="G188" s="214"/>
      <c r="H188" s="214"/>
      <c r="I188" s="214"/>
      <c r="J188" s="214"/>
      <c r="K188" s="214"/>
    </row>
    <row r="189" spans="4:11" ht="12.75" x14ac:dyDescent="0.2">
      <c r="D189" s="214"/>
      <c r="E189" s="214"/>
      <c r="F189" s="214"/>
      <c r="G189" s="214"/>
      <c r="H189" s="214"/>
      <c r="I189" s="214"/>
      <c r="J189" s="214"/>
      <c r="K189" s="214"/>
    </row>
    <row r="190" spans="4:11" ht="12.75" x14ac:dyDescent="0.2">
      <c r="D190" s="214"/>
      <c r="E190" s="214"/>
      <c r="F190" s="214"/>
      <c r="G190" s="214"/>
      <c r="H190" s="214"/>
      <c r="I190" s="214"/>
      <c r="J190" s="214"/>
      <c r="K190" s="214"/>
    </row>
    <row r="191" spans="4:11" ht="12.75" x14ac:dyDescent="0.2">
      <c r="D191" s="214"/>
      <c r="E191" s="214"/>
      <c r="F191" s="214"/>
      <c r="G191" s="214"/>
      <c r="H191" s="214"/>
      <c r="I191" s="214"/>
      <c r="J191" s="214"/>
      <c r="K191" s="214"/>
    </row>
    <row r="192" spans="4:11" ht="12.75" x14ac:dyDescent="0.2">
      <c r="D192" s="214"/>
      <c r="E192" s="214"/>
      <c r="F192" s="214"/>
      <c r="G192" s="214"/>
      <c r="H192" s="214"/>
      <c r="I192" s="214"/>
      <c r="J192" s="214"/>
      <c r="K192" s="214"/>
    </row>
    <row r="193" spans="4:11" ht="12.75" x14ac:dyDescent="0.2">
      <c r="D193" s="214"/>
      <c r="E193" s="214"/>
      <c r="F193" s="214"/>
      <c r="G193" s="214"/>
      <c r="H193" s="214"/>
      <c r="I193" s="214"/>
      <c r="J193" s="214"/>
      <c r="K193" s="214"/>
    </row>
    <row r="194" spans="4:11" ht="12.75" x14ac:dyDescent="0.2">
      <c r="D194" s="214"/>
      <c r="E194" s="214"/>
      <c r="F194" s="214"/>
      <c r="G194" s="214"/>
      <c r="H194" s="214"/>
      <c r="I194" s="214"/>
      <c r="J194" s="214"/>
      <c r="K194" s="214"/>
    </row>
    <row r="195" spans="4:11" ht="12.75" x14ac:dyDescent="0.2">
      <c r="D195" s="214"/>
      <c r="E195" s="214"/>
      <c r="F195" s="214"/>
      <c r="G195" s="214"/>
      <c r="H195" s="214"/>
      <c r="I195" s="214"/>
      <c r="J195" s="214"/>
      <c r="K195" s="214"/>
    </row>
    <row r="196" spans="4:11" ht="12.75" x14ac:dyDescent="0.2">
      <c r="D196" s="214"/>
      <c r="E196" s="214"/>
      <c r="F196" s="214"/>
      <c r="G196" s="214"/>
      <c r="H196" s="214"/>
      <c r="I196" s="214"/>
      <c r="J196" s="214"/>
      <c r="K196" s="214"/>
    </row>
    <row r="197" spans="4:11" ht="12.75" x14ac:dyDescent="0.2">
      <c r="D197" s="214"/>
      <c r="E197" s="214"/>
      <c r="F197" s="214"/>
      <c r="G197" s="214"/>
      <c r="H197" s="214"/>
      <c r="I197" s="214"/>
      <c r="J197" s="214"/>
      <c r="K197" s="214"/>
    </row>
    <row r="198" spans="4:11" ht="12.75" x14ac:dyDescent="0.2">
      <c r="D198" s="214"/>
      <c r="E198" s="214"/>
      <c r="F198" s="214"/>
      <c r="G198" s="214"/>
      <c r="H198" s="214"/>
      <c r="I198" s="214"/>
      <c r="J198" s="214"/>
      <c r="K198" s="214"/>
    </row>
    <row r="199" spans="4:11" ht="12.75" x14ac:dyDescent="0.2">
      <c r="D199" s="214"/>
      <c r="E199" s="214"/>
      <c r="F199" s="214"/>
      <c r="G199" s="214"/>
      <c r="H199" s="214"/>
      <c r="I199" s="214"/>
      <c r="J199" s="214"/>
      <c r="K199" s="214"/>
    </row>
    <row r="200" spans="4:11" ht="12.75" x14ac:dyDescent="0.2">
      <c r="D200" s="214"/>
      <c r="E200" s="214"/>
      <c r="F200" s="214"/>
      <c r="G200" s="214"/>
      <c r="H200" s="214"/>
      <c r="I200" s="214"/>
      <c r="J200" s="214"/>
      <c r="K200" s="214"/>
    </row>
    <row r="201" spans="4:11" ht="12.75" x14ac:dyDescent="0.2">
      <c r="D201" s="214"/>
      <c r="E201" s="214"/>
      <c r="F201" s="214"/>
      <c r="G201" s="214"/>
      <c r="H201" s="214"/>
      <c r="I201" s="214"/>
      <c r="J201" s="214"/>
      <c r="K201" s="214"/>
    </row>
    <row r="202" spans="4:11" ht="12.75" x14ac:dyDescent="0.2">
      <c r="D202" s="214"/>
      <c r="E202" s="214"/>
      <c r="F202" s="214"/>
      <c r="G202" s="214"/>
      <c r="H202" s="214"/>
      <c r="I202" s="214"/>
      <c r="J202" s="214"/>
      <c r="K202" s="214"/>
    </row>
    <row r="203" spans="4:11" ht="12.75" x14ac:dyDescent="0.2">
      <c r="D203" s="214"/>
      <c r="E203" s="214"/>
      <c r="F203" s="214"/>
      <c r="G203" s="214"/>
      <c r="H203" s="214"/>
      <c r="I203" s="214"/>
      <c r="J203" s="214"/>
      <c r="K203" s="214"/>
    </row>
    <row r="204" spans="4:11" ht="12.75" x14ac:dyDescent="0.2">
      <c r="D204" s="214"/>
      <c r="E204" s="214"/>
      <c r="F204" s="214"/>
      <c r="G204" s="214"/>
      <c r="H204" s="214"/>
      <c r="I204" s="214"/>
      <c r="J204" s="214"/>
      <c r="K204" s="214"/>
    </row>
    <row r="205" spans="4:11" ht="12.75" x14ac:dyDescent="0.2">
      <c r="D205" s="214"/>
      <c r="E205" s="214"/>
      <c r="F205" s="214"/>
      <c r="G205" s="214"/>
      <c r="H205" s="214"/>
      <c r="I205" s="214"/>
      <c r="J205" s="214"/>
      <c r="K205" s="214"/>
    </row>
    <row r="206" spans="4:11" ht="12.75" x14ac:dyDescent="0.2">
      <c r="D206" s="214"/>
      <c r="E206" s="214"/>
      <c r="F206" s="214"/>
      <c r="G206" s="214"/>
      <c r="H206" s="214"/>
      <c r="I206" s="214"/>
      <c r="J206" s="214"/>
      <c r="K206" s="214"/>
    </row>
    <row r="207" spans="4:11" ht="12.75" x14ac:dyDescent="0.2">
      <c r="D207" s="214"/>
      <c r="E207" s="214"/>
      <c r="F207" s="214"/>
      <c r="G207" s="214"/>
      <c r="H207" s="214"/>
      <c r="I207" s="214"/>
      <c r="J207" s="214"/>
      <c r="K207" s="214"/>
    </row>
    <row r="208" spans="4:11" ht="12.75" x14ac:dyDescent="0.2">
      <c r="D208" s="214"/>
      <c r="E208" s="214"/>
      <c r="F208" s="214"/>
      <c r="G208" s="214"/>
      <c r="H208" s="214"/>
      <c r="I208" s="214"/>
      <c r="J208" s="214"/>
      <c r="K208" s="214"/>
    </row>
    <row r="209" spans="4:11" ht="12.75" x14ac:dyDescent="0.2">
      <c r="D209" s="214"/>
      <c r="E209" s="214"/>
      <c r="F209" s="214"/>
      <c r="G209" s="214"/>
      <c r="H209" s="214"/>
      <c r="I209" s="214"/>
      <c r="J209" s="214"/>
      <c r="K209" s="214"/>
    </row>
    <row r="210" spans="4:11" ht="12.75" x14ac:dyDescent="0.2">
      <c r="D210" s="214"/>
      <c r="E210" s="214"/>
      <c r="F210" s="214"/>
      <c r="G210" s="214"/>
      <c r="H210" s="214"/>
      <c r="I210" s="214"/>
      <c r="J210" s="214"/>
      <c r="K210" s="214"/>
    </row>
    <row r="211" spans="4:11" ht="12.75" x14ac:dyDescent="0.2">
      <c r="D211" s="214"/>
      <c r="E211" s="214"/>
      <c r="F211" s="214"/>
      <c r="G211" s="214"/>
      <c r="H211" s="214"/>
      <c r="I211" s="214"/>
      <c r="J211" s="214"/>
      <c r="K211" s="214"/>
    </row>
    <row r="212" spans="4:11" ht="12.75" x14ac:dyDescent="0.2">
      <c r="D212" s="214"/>
      <c r="E212" s="214"/>
      <c r="F212" s="214"/>
      <c r="G212" s="214"/>
      <c r="H212" s="214"/>
      <c r="I212" s="214"/>
      <c r="J212" s="214"/>
      <c r="K212" s="214"/>
    </row>
    <row r="213" spans="4:11" ht="12.75" x14ac:dyDescent="0.2">
      <c r="D213" s="214"/>
      <c r="E213" s="214"/>
      <c r="F213" s="214"/>
      <c r="G213" s="214"/>
      <c r="H213" s="214"/>
      <c r="I213" s="214"/>
      <c r="J213" s="214"/>
      <c r="K213" s="214"/>
    </row>
    <row r="214" spans="4:11" ht="12.75" x14ac:dyDescent="0.2">
      <c r="D214" s="214"/>
      <c r="E214" s="214"/>
      <c r="F214" s="214"/>
      <c r="G214" s="214"/>
      <c r="H214" s="214"/>
      <c r="I214" s="214"/>
      <c r="J214" s="214"/>
      <c r="K214" s="214"/>
    </row>
    <row r="215" spans="4:11" ht="12.75" x14ac:dyDescent="0.2">
      <c r="D215" s="214"/>
      <c r="E215" s="214"/>
      <c r="F215" s="214"/>
      <c r="G215" s="214"/>
      <c r="H215" s="214"/>
      <c r="I215" s="214"/>
      <c r="J215" s="214"/>
      <c r="K215" s="214"/>
    </row>
    <row r="216" spans="4:11" ht="12.75" x14ac:dyDescent="0.2">
      <c r="D216" s="214"/>
      <c r="E216" s="214"/>
      <c r="F216" s="214"/>
      <c r="G216" s="214"/>
      <c r="H216" s="214"/>
      <c r="I216" s="214"/>
      <c r="J216" s="214"/>
      <c r="K216" s="214"/>
    </row>
    <row r="217" spans="4:11" ht="12.75" x14ac:dyDescent="0.2">
      <c r="D217" s="214"/>
      <c r="E217" s="214"/>
      <c r="F217" s="214"/>
      <c r="G217" s="214"/>
      <c r="H217" s="214"/>
      <c r="I217" s="214"/>
      <c r="J217" s="214"/>
      <c r="K217" s="214"/>
    </row>
    <row r="218" spans="4:11" ht="12.75" x14ac:dyDescent="0.2">
      <c r="D218" s="214"/>
      <c r="E218" s="214"/>
      <c r="F218" s="214"/>
      <c r="G218" s="214"/>
      <c r="H218" s="214"/>
      <c r="I218" s="214"/>
      <c r="J218" s="214"/>
      <c r="K218" s="214"/>
    </row>
    <row r="219" spans="4:11" ht="12.75" x14ac:dyDescent="0.2">
      <c r="D219" s="214"/>
      <c r="E219" s="214"/>
      <c r="F219" s="214"/>
      <c r="G219" s="214"/>
      <c r="H219" s="214"/>
      <c r="I219" s="214"/>
      <c r="J219" s="214"/>
      <c r="K219" s="214"/>
    </row>
    <row r="220" spans="4:11" ht="12.75" x14ac:dyDescent="0.2">
      <c r="D220" s="214"/>
      <c r="E220" s="214"/>
      <c r="F220" s="214"/>
      <c r="G220" s="214"/>
      <c r="H220" s="214"/>
      <c r="I220" s="214"/>
      <c r="J220" s="214"/>
      <c r="K220" s="214"/>
    </row>
    <row r="221" spans="4:11" ht="12.75" x14ac:dyDescent="0.2">
      <c r="D221" s="214"/>
      <c r="E221" s="214"/>
      <c r="F221" s="214"/>
      <c r="G221" s="214"/>
      <c r="H221" s="214"/>
      <c r="I221" s="214"/>
      <c r="J221" s="214"/>
      <c r="K221" s="214"/>
    </row>
    <row r="222" spans="4:11" ht="12.75" x14ac:dyDescent="0.2">
      <c r="D222" s="214"/>
      <c r="E222" s="214"/>
      <c r="F222" s="214"/>
      <c r="G222" s="214"/>
      <c r="H222" s="214"/>
      <c r="I222" s="214"/>
      <c r="J222" s="214"/>
      <c r="K222" s="214"/>
    </row>
    <row r="223" spans="4:11" ht="12.75" x14ac:dyDescent="0.2">
      <c r="D223" s="214"/>
      <c r="E223" s="214"/>
      <c r="F223" s="214"/>
      <c r="G223" s="214"/>
      <c r="H223" s="214"/>
      <c r="I223" s="214"/>
      <c r="J223" s="214"/>
      <c r="K223" s="214"/>
    </row>
    <row r="224" spans="4:11" ht="12.75" x14ac:dyDescent="0.2">
      <c r="D224" s="214"/>
      <c r="E224" s="214"/>
      <c r="F224" s="214"/>
      <c r="G224" s="214"/>
      <c r="H224" s="214"/>
      <c r="I224" s="214"/>
      <c r="J224" s="214"/>
      <c r="K224" s="214"/>
    </row>
    <row r="225" spans="4:11" ht="12.75" x14ac:dyDescent="0.2">
      <c r="D225" s="214"/>
      <c r="E225" s="214"/>
      <c r="F225" s="214"/>
      <c r="G225" s="214"/>
      <c r="H225" s="214"/>
      <c r="I225" s="214"/>
      <c r="J225" s="214"/>
      <c r="K225" s="214"/>
    </row>
    <row r="226" spans="4:11" ht="12.75" x14ac:dyDescent="0.2">
      <c r="D226" s="214"/>
      <c r="E226" s="214"/>
      <c r="F226" s="214"/>
      <c r="G226" s="214"/>
      <c r="H226" s="214"/>
      <c r="I226" s="214"/>
      <c r="J226" s="214"/>
      <c r="K226" s="214"/>
    </row>
    <row r="227" spans="4:11" ht="12.75" x14ac:dyDescent="0.2">
      <c r="D227" s="214"/>
      <c r="E227" s="214"/>
      <c r="F227" s="214"/>
      <c r="G227" s="214"/>
      <c r="H227" s="214"/>
      <c r="I227" s="214"/>
      <c r="J227" s="214"/>
      <c r="K227" s="214"/>
    </row>
    <row r="228" spans="4:11" ht="12.75" x14ac:dyDescent="0.2">
      <c r="D228" s="214"/>
      <c r="E228" s="214"/>
      <c r="F228" s="214"/>
      <c r="G228" s="214"/>
      <c r="H228" s="214"/>
      <c r="I228" s="214"/>
      <c r="J228" s="214"/>
      <c r="K228" s="214"/>
    </row>
    <row r="229" spans="4:11" ht="12.75" x14ac:dyDescent="0.2">
      <c r="D229" s="214"/>
      <c r="E229" s="214"/>
      <c r="F229" s="214"/>
      <c r="G229" s="214"/>
      <c r="H229" s="214"/>
      <c r="I229" s="214"/>
      <c r="J229" s="214"/>
      <c r="K229" s="214"/>
    </row>
    <row r="230" spans="4:11" ht="12.75" x14ac:dyDescent="0.2">
      <c r="D230" s="214"/>
      <c r="E230" s="214"/>
      <c r="F230" s="214"/>
      <c r="G230" s="214"/>
      <c r="H230" s="214"/>
      <c r="I230" s="214"/>
      <c r="J230" s="214"/>
      <c r="K230" s="214"/>
    </row>
    <row r="231" spans="4:11" ht="12.75" x14ac:dyDescent="0.2">
      <c r="D231" s="214"/>
      <c r="E231" s="214"/>
      <c r="F231" s="214"/>
      <c r="G231" s="214"/>
      <c r="H231" s="214"/>
      <c r="I231" s="214"/>
      <c r="J231" s="214"/>
      <c r="K231" s="214"/>
    </row>
    <row r="232" spans="4:11" ht="12.75" x14ac:dyDescent="0.2">
      <c r="D232" s="214"/>
      <c r="E232" s="214"/>
      <c r="F232" s="214"/>
      <c r="G232" s="214"/>
      <c r="H232" s="214"/>
      <c r="I232" s="214"/>
      <c r="J232" s="214"/>
      <c r="K232" s="214"/>
    </row>
    <row r="233" spans="4:11" ht="12.75" x14ac:dyDescent="0.2">
      <c r="D233" s="214"/>
      <c r="E233" s="214"/>
      <c r="F233" s="214"/>
      <c r="G233" s="214"/>
      <c r="H233" s="214"/>
      <c r="I233" s="214"/>
      <c r="J233" s="214"/>
      <c r="K233" s="214"/>
    </row>
    <row r="234" spans="4:11" ht="12.75" x14ac:dyDescent="0.2">
      <c r="D234" s="214"/>
      <c r="E234" s="214"/>
      <c r="F234" s="214"/>
      <c r="G234" s="214"/>
      <c r="H234" s="214"/>
      <c r="I234" s="214"/>
      <c r="J234" s="214"/>
      <c r="K234" s="214"/>
    </row>
    <row r="235" spans="4:11" ht="12.75" x14ac:dyDescent="0.2">
      <c r="D235" s="214"/>
      <c r="E235" s="214"/>
      <c r="F235" s="214"/>
      <c r="G235" s="214"/>
      <c r="H235" s="214"/>
      <c r="I235" s="214"/>
      <c r="J235" s="214"/>
      <c r="K235" s="214"/>
    </row>
    <row r="236" spans="4:11" ht="12.75" x14ac:dyDescent="0.2">
      <c r="D236" s="214"/>
      <c r="E236" s="214"/>
      <c r="F236" s="214"/>
      <c r="G236" s="214"/>
      <c r="H236" s="214"/>
      <c r="I236" s="214"/>
      <c r="J236" s="214"/>
      <c r="K236" s="214"/>
    </row>
    <row r="237" spans="4:11" ht="12.75" x14ac:dyDescent="0.2">
      <c r="D237" s="214"/>
      <c r="E237" s="214"/>
      <c r="F237" s="214"/>
      <c r="G237" s="214"/>
      <c r="H237" s="214"/>
      <c r="I237" s="214"/>
      <c r="J237" s="214"/>
      <c r="K237" s="214"/>
    </row>
    <row r="238" spans="4:11" ht="12.75" x14ac:dyDescent="0.2">
      <c r="D238" s="214"/>
      <c r="E238" s="214"/>
      <c r="F238" s="214"/>
      <c r="G238" s="214"/>
      <c r="H238" s="214"/>
      <c r="I238" s="214"/>
      <c r="J238" s="214"/>
      <c r="K238" s="214"/>
    </row>
    <row r="239" spans="4:11" ht="12.75" x14ac:dyDescent="0.2">
      <c r="D239" s="214"/>
      <c r="E239" s="214"/>
      <c r="F239" s="214"/>
      <c r="G239" s="214"/>
      <c r="H239" s="214"/>
      <c r="I239" s="214"/>
      <c r="J239" s="214"/>
      <c r="K239" s="214"/>
    </row>
    <row r="240" spans="4:11" ht="12.75" x14ac:dyDescent="0.2">
      <c r="D240" s="214"/>
      <c r="E240" s="214"/>
      <c r="F240" s="214"/>
      <c r="G240" s="214"/>
      <c r="H240" s="214"/>
      <c r="I240" s="214"/>
      <c r="J240" s="214"/>
      <c r="K240" s="214"/>
    </row>
    <row r="241" spans="4:11" ht="12.75" x14ac:dyDescent="0.2">
      <c r="D241" s="214"/>
      <c r="E241" s="214"/>
      <c r="F241" s="214"/>
      <c r="G241" s="214"/>
      <c r="H241" s="214"/>
      <c r="I241" s="214"/>
      <c r="J241" s="214"/>
      <c r="K241" s="214"/>
    </row>
    <row r="242" spans="4:11" ht="12.75" x14ac:dyDescent="0.2">
      <c r="D242" s="214"/>
      <c r="E242" s="214"/>
      <c r="F242" s="214"/>
      <c r="G242" s="214"/>
      <c r="H242" s="214"/>
      <c r="I242" s="214"/>
      <c r="J242" s="214"/>
      <c r="K242" s="214"/>
    </row>
    <row r="243" spans="4:11" ht="12.75" x14ac:dyDescent="0.2">
      <c r="D243" s="214"/>
      <c r="E243" s="214"/>
      <c r="F243" s="214"/>
      <c r="G243" s="214"/>
      <c r="H243" s="214"/>
      <c r="I243" s="214"/>
      <c r="J243" s="214"/>
      <c r="K243" s="214"/>
    </row>
    <row r="244" spans="4:11" ht="12.75" x14ac:dyDescent="0.2">
      <c r="D244" s="214"/>
      <c r="E244" s="214"/>
      <c r="F244" s="214"/>
      <c r="G244" s="214"/>
      <c r="H244" s="214"/>
      <c r="I244" s="214"/>
      <c r="J244" s="214"/>
      <c r="K244" s="214"/>
    </row>
    <row r="245" spans="4:11" ht="12.75" x14ac:dyDescent="0.2">
      <c r="D245" s="214"/>
      <c r="E245" s="214"/>
      <c r="F245" s="214"/>
      <c r="G245" s="214"/>
      <c r="H245" s="214"/>
      <c r="I245" s="214"/>
      <c r="J245" s="214"/>
      <c r="K245" s="214"/>
    </row>
    <row r="246" spans="4:11" ht="12.75" x14ac:dyDescent="0.2">
      <c r="D246" s="214"/>
      <c r="E246" s="214"/>
      <c r="F246" s="214"/>
      <c r="G246" s="214"/>
      <c r="H246" s="214"/>
      <c r="I246" s="214"/>
      <c r="J246" s="214"/>
      <c r="K246" s="214"/>
    </row>
    <row r="247" spans="4:11" ht="12.75" x14ac:dyDescent="0.2">
      <c r="D247" s="214"/>
      <c r="E247" s="214"/>
      <c r="F247" s="214"/>
      <c r="G247" s="214"/>
      <c r="H247" s="214"/>
      <c r="I247" s="214"/>
      <c r="J247" s="214"/>
      <c r="K247" s="214"/>
    </row>
    <row r="248" spans="4:11" ht="12.75" x14ac:dyDescent="0.2">
      <c r="D248" s="214"/>
      <c r="E248" s="214"/>
      <c r="F248" s="214"/>
      <c r="G248" s="214"/>
      <c r="H248" s="214"/>
      <c r="I248" s="214"/>
      <c r="J248" s="214"/>
      <c r="K248" s="214"/>
    </row>
    <row r="249" spans="4:11" ht="12.75" x14ac:dyDescent="0.2">
      <c r="D249" s="214"/>
      <c r="E249" s="214"/>
      <c r="F249" s="214"/>
      <c r="G249" s="214"/>
      <c r="H249" s="214"/>
      <c r="I249" s="214"/>
      <c r="J249" s="214"/>
      <c r="K249" s="214"/>
    </row>
    <row r="250" spans="4:11" ht="12.75" x14ac:dyDescent="0.2">
      <c r="D250" s="214"/>
      <c r="E250" s="214"/>
      <c r="F250" s="214"/>
      <c r="G250" s="214"/>
      <c r="H250" s="214"/>
      <c r="I250" s="214"/>
      <c r="J250" s="214"/>
      <c r="K250" s="214"/>
    </row>
    <row r="251" spans="4:11" ht="12.75" x14ac:dyDescent="0.2">
      <c r="D251" s="214"/>
      <c r="E251" s="214"/>
      <c r="F251" s="214"/>
      <c r="G251" s="214"/>
      <c r="H251" s="214"/>
      <c r="I251" s="214"/>
      <c r="J251" s="214"/>
      <c r="K251" s="214"/>
    </row>
    <row r="252" spans="4:11" ht="12.75" x14ac:dyDescent="0.2">
      <c r="D252" s="214"/>
      <c r="E252" s="214"/>
      <c r="F252" s="214"/>
      <c r="G252" s="214"/>
      <c r="H252" s="214"/>
      <c r="I252" s="214"/>
      <c r="J252" s="214"/>
      <c r="K252" s="214"/>
    </row>
    <row r="253" spans="4:11" ht="12.75" x14ac:dyDescent="0.2">
      <c r="D253" s="214"/>
      <c r="E253" s="214"/>
      <c r="F253" s="214"/>
      <c r="G253" s="214"/>
      <c r="H253" s="214"/>
      <c r="I253" s="214"/>
      <c r="J253" s="214"/>
      <c r="K253" s="214"/>
    </row>
    <row r="254" spans="4:11" ht="12.75" x14ac:dyDescent="0.2">
      <c r="D254" s="214"/>
      <c r="E254" s="214"/>
      <c r="F254" s="214"/>
      <c r="G254" s="214"/>
      <c r="H254" s="214"/>
      <c r="I254" s="214"/>
      <c r="J254" s="214"/>
      <c r="K254" s="214"/>
    </row>
    <row r="255" spans="4:11" ht="12.75" x14ac:dyDescent="0.2">
      <c r="D255" s="214"/>
      <c r="E255" s="214"/>
      <c r="F255" s="214"/>
      <c r="G255" s="214"/>
      <c r="H255" s="214"/>
      <c r="I255" s="214"/>
      <c r="J255" s="214"/>
      <c r="K255" s="214"/>
    </row>
    <row r="256" spans="4:11" ht="12.75" x14ac:dyDescent="0.2">
      <c r="D256" s="214"/>
      <c r="E256" s="214"/>
      <c r="F256" s="214"/>
      <c r="G256" s="214"/>
      <c r="H256" s="214"/>
      <c r="I256" s="214"/>
      <c r="J256" s="214"/>
      <c r="K256" s="214"/>
    </row>
    <row r="257" spans="4:11" ht="12.75" x14ac:dyDescent="0.2">
      <c r="D257" s="214"/>
      <c r="E257" s="214"/>
      <c r="F257" s="214"/>
      <c r="G257" s="214"/>
      <c r="H257" s="214"/>
      <c r="I257" s="214"/>
      <c r="J257" s="214"/>
      <c r="K257" s="214"/>
    </row>
    <row r="258" spans="4:11" ht="12.75" x14ac:dyDescent="0.2">
      <c r="D258" s="214"/>
      <c r="E258" s="214"/>
      <c r="F258" s="214"/>
      <c r="G258" s="214"/>
      <c r="H258" s="214"/>
      <c r="I258" s="214"/>
      <c r="J258" s="214"/>
      <c r="K258" s="214"/>
    </row>
    <row r="259" spans="4:11" ht="12.75" x14ac:dyDescent="0.2">
      <c r="D259" s="214"/>
      <c r="E259" s="214"/>
      <c r="F259" s="214"/>
      <c r="G259" s="214"/>
      <c r="H259" s="214"/>
      <c r="I259" s="214"/>
      <c r="J259" s="214"/>
      <c r="K259" s="214"/>
    </row>
    <row r="260" spans="4:11" ht="12.75" x14ac:dyDescent="0.2">
      <c r="D260" s="214"/>
      <c r="E260" s="214"/>
      <c r="F260" s="214"/>
      <c r="G260" s="214"/>
      <c r="H260" s="214"/>
      <c r="I260" s="214"/>
      <c r="J260" s="214"/>
      <c r="K260" s="214"/>
    </row>
    <row r="261" spans="4:11" ht="12.75" x14ac:dyDescent="0.2">
      <c r="D261" s="214"/>
      <c r="E261" s="214"/>
      <c r="F261" s="214"/>
      <c r="G261" s="214"/>
      <c r="H261" s="214"/>
      <c r="I261" s="214"/>
      <c r="J261" s="214"/>
      <c r="K261" s="214"/>
    </row>
    <row r="262" spans="4:11" ht="12.75" x14ac:dyDescent="0.2">
      <c r="D262" s="214"/>
      <c r="E262" s="214"/>
      <c r="F262" s="214"/>
      <c r="G262" s="214"/>
      <c r="H262" s="214"/>
      <c r="I262" s="214"/>
      <c r="J262" s="214"/>
      <c r="K262" s="214"/>
    </row>
    <row r="263" spans="4:11" ht="12.75" x14ac:dyDescent="0.2">
      <c r="D263" s="214"/>
      <c r="E263" s="214"/>
      <c r="F263" s="214"/>
      <c r="G263" s="214"/>
      <c r="H263" s="214"/>
      <c r="I263" s="214"/>
      <c r="J263" s="214"/>
      <c r="K263" s="214"/>
    </row>
    <row r="264" spans="4:11" ht="12.75" x14ac:dyDescent="0.2">
      <c r="D264" s="214"/>
      <c r="E264" s="214"/>
      <c r="F264" s="214"/>
      <c r="G264" s="214"/>
      <c r="H264" s="214"/>
      <c r="I264" s="214"/>
      <c r="J264" s="214"/>
      <c r="K264" s="214"/>
    </row>
    <row r="265" spans="4:11" ht="12.75" x14ac:dyDescent="0.2">
      <c r="D265" s="214"/>
      <c r="E265" s="214"/>
      <c r="F265" s="214"/>
      <c r="G265" s="214"/>
      <c r="H265" s="214"/>
      <c r="I265" s="214"/>
      <c r="J265" s="214"/>
      <c r="K265" s="214"/>
    </row>
    <row r="266" spans="4:11" ht="12.75" x14ac:dyDescent="0.2">
      <c r="D266" s="214"/>
      <c r="E266" s="214"/>
      <c r="F266" s="214"/>
      <c r="G266" s="214"/>
      <c r="H266" s="214"/>
      <c r="I266" s="214"/>
      <c r="J266" s="214"/>
      <c r="K266" s="214"/>
    </row>
    <row r="267" spans="4:11" ht="12.75" x14ac:dyDescent="0.2">
      <c r="D267" s="214"/>
      <c r="E267" s="214"/>
      <c r="F267" s="214"/>
      <c r="G267" s="214"/>
      <c r="H267" s="214"/>
      <c r="I267" s="214"/>
      <c r="J267" s="214"/>
      <c r="K267" s="214"/>
    </row>
    <row r="268" spans="4:11" ht="12.75" x14ac:dyDescent="0.2">
      <c r="D268" s="214"/>
      <c r="E268" s="214"/>
      <c r="F268" s="214"/>
      <c r="G268" s="214"/>
      <c r="H268" s="214"/>
      <c r="I268" s="214"/>
      <c r="J268" s="214"/>
      <c r="K268" s="214"/>
    </row>
    <row r="269" spans="4:11" ht="12.75" x14ac:dyDescent="0.2">
      <c r="D269" s="214"/>
      <c r="E269" s="214"/>
      <c r="F269" s="214"/>
      <c r="G269" s="214"/>
      <c r="H269" s="214"/>
      <c r="I269" s="214"/>
      <c r="J269" s="214"/>
      <c r="K269" s="214"/>
    </row>
    <row r="270" spans="4:11" ht="12.75" x14ac:dyDescent="0.2">
      <c r="D270" s="214"/>
      <c r="E270" s="214"/>
      <c r="F270" s="214"/>
      <c r="G270" s="214"/>
      <c r="H270" s="214"/>
      <c r="I270" s="214"/>
      <c r="J270" s="214"/>
      <c r="K270" s="214"/>
    </row>
    <row r="271" spans="4:11" ht="12.75" x14ac:dyDescent="0.2">
      <c r="D271" s="214"/>
      <c r="E271" s="214"/>
      <c r="F271" s="214"/>
      <c r="G271" s="214"/>
      <c r="H271" s="214"/>
      <c r="I271" s="214"/>
      <c r="J271" s="214"/>
      <c r="K271" s="214"/>
    </row>
    <row r="272" spans="4:11" ht="12.75" x14ac:dyDescent="0.2">
      <c r="D272" s="214"/>
      <c r="E272" s="214"/>
      <c r="F272" s="214"/>
      <c r="G272" s="214"/>
      <c r="H272" s="214"/>
      <c r="I272" s="214"/>
      <c r="J272" s="214"/>
      <c r="K272" s="214"/>
    </row>
    <row r="273" spans="4:11" ht="12.75" x14ac:dyDescent="0.2">
      <c r="D273" s="214"/>
      <c r="E273" s="214"/>
      <c r="F273" s="214"/>
      <c r="G273" s="214"/>
      <c r="H273" s="214"/>
      <c r="I273" s="214"/>
      <c r="J273" s="214"/>
      <c r="K273" s="214"/>
    </row>
    <row r="274" spans="4:11" ht="12.75" x14ac:dyDescent="0.2">
      <c r="D274" s="214"/>
      <c r="E274" s="214"/>
      <c r="F274" s="214"/>
      <c r="G274" s="214"/>
      <c r="H274" s="214"/>
      <c r="I274" s="214"/>
      <c r="J274" s="214"/>
      <c r="K274" s="214"/>
    </row>
    <row r="275" spans="4:11" ht="12.75" x14ac:dyDescent="0.2">
      <c r="D275" s="214"/>
      <c r="E275" s="214"/>
      <c r="F275" s="214"/>
      <c r="G275" s="214"/>
      <c r="H275" s="214"/>
      <c r="I275" s="214"/>
      <c r="J275" s="214"/>
      <c r="K275" s="214"/>
    </row>
    <row r="276" spans="4:11" ht="12.75" x14ac:dyDescent="0.2">
      <c r="D276" s="214"/>
      <c r="E276" s="214"/>
      <c r="F276" s="214"/>
      <c r="G276" s="214"/>
      <c r="H276" s="214"/>
      <c r="I276" s="214"/>
      <c r="J276" s="214"/>
      <c r="K276" s="214"/>
    </row>
    <row r="277" spans="4:11" ht="12.75" x14ac:dyDescent="0.2">
      <c r="D277" s="214"/>
      <c r="E277" s="214"/>
      <c r="F277" s="214"/>
      <c r="G277" s="214"/>
      <c r="H277" s="214"/>
      <c r="I277" s="214"/>
      <c r="J277" s="214"/>
      <c r="K277" s="214"/>
    </row>
    <row r="278" spans="4:11" ht="12.75" x14ac:dyDescent="0.2">
      <c r="D278" s="214"/>
      <c r="E278" s="214"/>
      <c r="F278" s="214"/>
      <c r="G278" s="214"/>
      <c r="H278" s="214"/>
      <c r="I278" s="214"/>
      <c r="J278" s="214"/>
      <c r="K278" s="214"/>
    </row>
    <row r="279" spans="4:11" ht="12.75" x14ac:dyDescent="0.2">
      <c r="D279" s="214"/>
      <c r="E279" s="214"/>
      <c r="F279" s="214"/>
      <c r="G279" s="214"/>
      <c r="H279" s="214"/>
      <c r="I279" s="214"/>
      <c r="J279" s="214"/>
      <c r="K279" s="214"/>
    </row>
    <row r="280" spans="4:11" ht="12.75" x14ac:dyDescent="0.2">
      <c r="D280" s="214"/>
      <c r="E280" s="214"/>
      <c r="F280" s="214"/>
      <c r="G280" s="214"/>
      <c r="H280" s="214"/>
      <c r="I280" s="214"/>
      <c r="J280" s="214"/>
      <c r="K280" s="214"/>
    </row>
    <row r="281" spans="4:11" ht="12.75" x14ac:dyDescent="0.2">
      <c r="D281" s="214"/>
      <c r="E281" s="214"/>
      <c r="F281" s="214"/>
      <c r="G281" s="214"/>
      <c r="H281" s="214"/>
      <c r="I281" s="214"/>
      <c r="J281" s="214"/>
      <c r="K281" s="214"/>
    </row>
    <row r="282" spans="4:11" ht="12.75" x14ac:dyDescent="0.2">
      <c r="D282" s="214"/>
      <c r="E282" s="214"/>
      <c r="F282" s="214"/>
      <c r="G282" s="214"/>
      <c r="H282" s="214"/>
      <c r="I282" s="214"/>
      <c r="J282" s="214"/>
      <c r="K282" s="214"/>
    </row>
    <row r="283" spans="4:11" ht="12.75" x14ac:dyDescent="0.2">
      <c r="D283" s="214"/>
      <c r="E283" s="214"/>
      <c r="F283" s="214"/>
      <c r="G283" s="214"/>
      <c r="H283" s="214"/>
      <c r="I283" s="214"/>
      <c r="J283" s="214"/>
      <c r="K283" s="214"/>
    </row>
    <row r="284" spans="4:11" ht="12.75" x14ac:dyDescent="0.2">
      <c r="D284" s="214"/>
      <c r="E284" s="214"/>
      <c r="F284" s="214"/>
      <c r="G284" s="214"/>
      <c r="H284" s="214"/>
      <c r="I284" s="214"/>
      <c r="J284" s="214"/>
      <c r="K284" s="214"/>
    </row>
    <row r="285" spans="4:11" ht="12.75" x14ac:dyDescent="0.2">
      <c r="D285" s="214"/>
      <c r="E285" s="214"/>
      <c r="F285" s="214"/>
      <c r="G285" s="214"/>
      <c r="H285" s="214"/>
      <c r="I285" s="214"/>
      <c r="J285" s="214"/>
      <c r="K285" s="214"/>
    </row>
    <row r="286" spans="4:11" ht="12.75" x14ac:dyDescent="0.2">
      <c r="D286" s="214"/>
      <c r="E286" s="214"/>
      <c r="F286" s="214"/>
      <c r="G286" s="214"/>
      <c r="H286" s="214"/>
      <c r="I286" s="214"/>
      <c r="J286" s="214"/>
      <c r="K286" s="214"/>
    </row>
    <row r="287" spans="4:11" ht="12.75" x14ac:dyDescent="0.2">
      <c r="D287" s="214"/>
      <c r="E287" s="214"/>
      <c r="F287" s="214"/>
      <c r="G287" s="214"/>
      <c r="H287" s="214"/>
      <c r="I287" s="214"/>
      <c r="J287" s="214"/>
      <c r="K287" s="214"/>
    </row>
    <row r="288" spans="4:11" ht="12.75" x14ac:dyDescent="0.2">
      <c r="D288" s="214"/>
      <c r="E288" s="214"/>
      <c r="F288" s="214"/>
      <c r="G288" s="214"/>
      <c r="H288" s="214"/>
      <c r="I288" s="214"/>
      <c r="J288" s="214"/>
      <c r="K288" s="214"/>
    </row>
    <row r="289" spans="4:11" ht="12.75" x14ac:dyDescent="0.2">
      <c r="D289" s="214"/>
      <c r="E289" s="214"/>
      <c r="F289" s="214"/>
      <c r="G289" s="214"/>
      <c r="H289" s="214"/>
      <c r="I289" s="214"/>
      <c r="J289" s="214"/>
      <c r="K289" s="214"/>
    </row>
    <row r="290" spans="4:11" ht="12.75" x14ac:dyDescent="0.2">
      <c r="D290" s="214"/>
      <c r="E290" s="214"/>
      <c r="F290" s="214"/>
      <c r="G290" s="214"/>
      <c r="H290" s="214"/>
      <c r="I290" s="214"/>
      <c r="J290" s="214"/>
      <c r="K290" s="214"/>
    </row>
    <row r="291" spans="4:11" ht="12.75" x14ac:dyDescent="0.2">
      <c r="D291" s="214"/>
      <c r="E291" s="214"/>
      <c r="F291" s="214"/>
      <c r="G291" s="214"/>
      <c r="H291" s="214"/>
      <c r="I291" s="214"/>
      <c r="J291" s="214"/>
      <c r="K291" s="214"/>
    </row>
    <row r="292" spans="4:11" ht="12.75" x14ac:dyDescent="0.2">
      <c r="D292" s="214"/>
      <c r="E292" s="214"/>
      <c r="F292" s="214"/>
      <c r="G292" s="214"/>
      <c r="H292" s="214"/>
      <c r="I292" s="214"/>
      <c r="J292" s="214"/>
      <c r="K292" s="214"/>
    </row>
    <row r="293" spans="4:11" ht="12.75" x14ac:dyDescent="0.2">
      <c r="D293" s="214"/>
      <c r="E293" s="214"/>
      <c r="F293" s="214"/>
      <c r="G293" s="214"/>
      <c r="H293" s="214"/>
      <c r="I293" s="214"/>
      <c r="J293" s="214"/>
      <c r="K293" s="214"/>
    </row>
    <row r="294" spans="4:11" ht="12.75" x14ac:dyDescent="0.2">
      <c r="D294" s="214"/>
      <c r="E294" s="214"/>
      <c r="F294" s="214"/>
      <c r="G294" s="214"/>
      <c r="H294" s="214"/>
      <c r="I294" s="214"/>
      <c r="J294" s="214"/>
      <c r="K294" s="214"/>
    </row>
    <row r="295" spans="4:11" ht="12.75" x14ac:dyDescent="0.2">
      <c r="D295" s="214"/>
      <c r="E295" s="214"/>
      <c r="F295" s="214"/>
      <c r="G295" s="214"/>
      <c r="H295" s="214"/>
      <c r="I295" s="214"/>
      <c r="J295" s="214"/>
      <c r="K295" s="214"/>
    </row>
    <row r="296" spans="4:11" ht="12.75" x14ac:dyDescent="0.2">
      <c r="D296" s="214"/>
      <c r="E296" s="214"/>
      <c r="F296" s="214"/>
      <c r="G296" s="214"/>
      <c r="H296" s="214"/>
      <c r="I296" s="214"/>
      <c r="J296" s="214"/>
      <c r="K296" s="214"/>
    </row>
    <row r="297" spans="4:11" ht="12.75" x14ac:dyDescent="0.2">
      <c r="D297" s="214"/>
      <c r="E297" s="214"/>
      <c r="F297" s="214"/>
      <c r="G297" s="214"/>
      <c r="H297" s="214"/>
      <c r="I297" s="214"/>
      <c r="J297" s="214"/>
      <c r="K297" s="214"/>
    </row>
    <row r="298" spans="4:11" ht="12.75" x14ac:dyDescent="0.2">
      <c r="D298" s="214"/>
      <c r="E298" s="214"/>
      <c r="F298" s="214"/>
      <c r="G298" s="214"/>
      <c r="H298" s="214"/>
      <c r="I298" s="214"/>
      <c r="J298" s="214"/>
      <c r="K298" s="214"/>
    </row>
    <row r="299" spans="4:11" ht="12.75" x14ac:dyDescent="0.2">
      <c r="D299" s="214"/>
      <c r="E299" s="214"/>
      <c r="F299" s="214"/>
      <c r="G299" s="214"/>
      <c r="H299" s="214"/>
      <c r="I299" s="214"/>
      <c r="J299" s="214"/>
      <c r="K299" s="214"/>
    </row>
    <row r="300" spans="4:11" ht="12.75" x14ac:dyDescent="0.2">
      <c r="D300" s="214"/>
      <c r="E300" s="214"/>
      <c r="F300" s="214"/>
      <c r="G300" s="214"/>
      <c r="H300" s="214"/>
      <c r="I300" s="214"/>
      <c r="J300" s="214"/>
      <c r="K300" s="214"/>
    </row>
    <row r="301" spans="4:11" ht="12.75" x14ac:dyDescent="0.2">
      <c r="D301" s="214"/>
      <c r="E301" s="214"/>
      <c r="F301" s="214"/>
      <c r="G301" s="214"/>
      <c r="H301" s="214"/>
      <c r="I301" s="214"/>
      <c r="J301" s="214"/>
      <c r="K301" s="214"/>
    </row>
    <row r="302" spans="4:11" ht="12.75" x14ac:dyDescent="0.2">
      <c r="D302" s="214"/>
      <c r="E302" s="214"/>
      <c r="F302" s="214"/>
      <c r="G302" s="214"/>
      <c r="H302" s="214"/>
      <c r="I302" s="214"/>
      <c r="J302" s="214"/>
      <c r="K302" s="214"/>
    </row>
    <row r="303" spans="4:11" ht="12.75" x14ac:dyDescent="0.2">
      <c r="D303" s="214"/>
      <c r="E303" s="214"/>
      <c r="F303" s="214"/>
      <c r="G303" s="214"/>
      <c r="H303" s="214"/>
      <c r="I303" s="214"/>
      <c r="J303" s="214"/>
      <c r="K303" s="214"/>
    </row>
    <row r="304" spans="4:11" ht="12.75" x14ac:dyDescent="0.2">
      <c r="D304" s="214"/>
      <c r="E304" s="214"/>
      <c r="F304" s="214"/>
      <c r="G304" s="214"/>
      <c r="H304" s="214"/>
      <c r="I304" s="214"/>
      <c r="J304" s="214"/>
      <c r="K304" s="214"/>
    </row>
    <row r="305" spans="4:11" ht="12.75" x14ac:dyDescent="0.2">
      <c r="D305" s="214"/>
      <c r="E305" s="214"/>
      <c r="F305" s="214"/>
      <c r="G305" s="214"/>
      <c r="H305" s="214"/>
      <c r="I305" s="214"/>
      <c r="J305" s="214"/>
      <c r="K305" s="214"/>
    </row>
    <row r="306" spans="4:11" ht="12.75" x14ac:dyDescent="0.2">
      <c r="D306" s="214"/>
      <c r="E306" s="214"/>
      <c r="F306" s="214"/>
      <c r="G306" s="214"/>
      <c r="H306" s="214"/>
      <c r="I306" s="214"/>
      <c r="J306" s="214"/>
      <c r="K306" s="214"/>
    </row>
    <row r="307" spans="4:11" ht="12.75" x14ac:dyDescent="0.2">
      <c r="D307" s="214"/>
      <c r="E307" s="214"/>
      <c r="F307" s="214"/>
      <c r="G307" s="214"/>
      <c r="H307" s="214"/>
      <c r="I307" s="214"/>
      <c r="J307" s="214"/>
      <c r="K307" s="214"/>
    </row>
    <row r="308" spans="4:11" ht="12.75" x14ac:dyDescent="0.2">
      <c r="D308" s="214"/>
      <c r="E308" s="214"/>
      <c r="F308" s="214"/>
      <c r="G308" s="214"/>
      <c r="H308" s="214"/>
      <c r="I308" s="214"/>
      <c r="J308" s="214"/>
      <c r="K308" s="214"/>
    </row>
    <row r="309" spans="4:11" ht="12.75" x14ac:dyDescent="0.2">
      <c r="D309" s="214"/>
      <c r="E309" s="214"/>
      <c r="F309" s="214"/>
      <c r="G309" s="214"/>
      <c r="H309" s="214"/>
      <c r="I309" s="214"/>
      <c r="J309" s="214"/>
      <c r="K309" s="214"/>
    </row>
    <row r="310" spans="4:11" ht="12.75" x14ac:dyDescent="0.2">
      <c r="D310" s="214"/>
      <c r="E310" s="214"/>
      <c r="F310" s="214"/>
      <c r="G310" s="214"/>
      <c r="H310" s="214"/>
      <c r="I310" s="214"/>
      <c r="J310" s="214"/>
      <c r="K310" s="214"/>
    </row>
    <row r="311" spans="4:11" ht="12.75" x14ac:dyDescent="0.2">
      <c r="D311" s="214"/>
      <c r="E311" s="214"/>
      <c r="F311" s="214"/>
      <c r="G311" s="214"/>
      <c r="H311" s="214"/>
      <c r="I311" s="214"/>
      <c r="J311" s="214"/>
      <c r="K311" s="214"/>
    </row>
    <row r="312" spans="4:11" ht="12.75" x14ac:dyDescent="0.2">
      <c r="D312" s="214"/>
      <c r="E312" s="214"/>
      <c r="F312" s="214"/>
      <c r="G312" s="214"/>
      <c r="H312" s="214"/>
      <c r="I312" s="214"/>
      <c r="J312" s="214"/>
      <c r="K312" s="214"/>
    </row>
    <row r="313" spans="4:11" ht="12.75" x14ac:dyDescent="0.2">
      <c r="D313" s="214"/>
      <c r="E313" s="214"/>
      <c r="F313" s="214"/>
      <c r="G313" s="214"/>
      <c r="H313" s="214"/>
      <c r="I313" s="214"/>
      <c r="J313" s="214"/>
      <c r="K313" s="214"/>
    </row>
    <row r="314" spans="4:11" ht="12.75" x14ac:dyDescent="0.2">
      <c r="D314" s="214"/>
      <c r="E314" s="214"/>
      <c r="F314" s="214"/>
      <c r="G314" s="214"/>
      <c r="H314" s="214"/>
      <c r="I314" s="214"/>
      <c r="J314" s="214"/>
      <c r="K314" s="214"/>
    </row>
    <row r="315" spans="4:11" ht="12.75" x14ac:dyDescent="0.2">
      <c r="D315" s="214"/>
      <c r="E315" s="214"/>
      <c r="F315" s="214"/>
      <c r="G315" s="214"/>
      <c r="H315" s="214"/>
      <c r="I315" s="214"/>
      <c r="J315" s="214"/>
      <c r="K315" s="214"/>
    </row>
    <row r="316" spans="4:11" ht="12.75" x14ac:dyDescent="0.2">
      <c r="D316" s="214"/>
      <c r="E316" s="214"/>
      <c r="F316" s="214"/>
      <c r="G316" s="214"/>
      <c r="H316" s="214"/>
      <c r="I316" s="214"/>
      <c r="J316" s="214"/>
      <c r="K316" s="214"/>
    </row>
    <row r="317" spans="4:11" ht="12.75" x14ac:dyDescent="0.2">
      <c r="D317" s="214"/>
      <c r="E317" s="214"/>
      <c r="F317" s="214"/>
      <c r="G317" s="214"/>
      <c r="H317" s="214"/>
      <c r="I317" s="214"/>
      <c r="J317" s="214"/>
      <c r="K317" s="214"/>
    </row>
    <row r="318" spans="4:11" ht="12.75" x14ac:dyDescent="0.2">
      <c r="D318" s="214"/>
      <c r="E318" s="214"/>
      <c r="F318" s="214"/>
      <c r="G318" s="214"/>
      <c r="H318" s="214"/>
      <c r="I318" s="214"/>
      <c r="J318" s="214"/>
      <c r="K318" s="214"/>
    </row>
    <row r="319" spans="4:11" ht="12.75" x14ac:dyDescent="0.2">
      <c r="D319" s="214"/>
      <c r="E319" s="214"/>
      <c r="F319" s="214"/>
      <c r="G319" s="214"/>
      <c r="H319" s="214"/>
      <c r="I319" s="214"/>
      <c r="J319" s="214"/>
      <c r="K319" s="214"/>
    </row>
    <row r="320" spans="4:11" ht="12.75" x14ac:dyDescent="0.2">
      <c r="D320" s="214"/>
      <c r="E320" s="214"/>
      <c r="F320" s="214"/>
      <c r="G320" s="214"/>
      <c r="H320" s="214"/>
      <c r="I320" s="214"/>
      <c r="J320" s="214"/>
      <c r="K320" s="214"/>
    </row>
    <row r="321" spans="4:11" ht="12.75" x14ac:dyDescent="0.2">
      <c r="D321" s="214"/>
      <c r="E321" s="214"/>
      <c r="F321" s="214"/>
      <c r="G321" s="214"/>
      <c r="H321" s="214"/>
      <c r="I321" s="214"/>
      <c r="J321" s="214"/>
      <c r="K321" s="214"/>
    </row>
    <row r="322" spans="4:11" ht="12.75" x14ac:dyDescent="0.2">
      <c r="D322" s="214"/>
      <c r="E322" s="214"/>
      <c r="F322" s="214"/>
      <c r="G322" s="214"/>
      <c r="H322" s="214"/>
      <c r="I322" s="214"/>
      <c r="J322" s="214"/>
      <c r="K322" s="214"/>
    </row>
    <row r="323" spans="4:11" ht="12.75" x14ac:dyDescent="0.2">
      <c r="D323" s="214"/>
      <c r="E323" s="214"/>
      <c r="F323" s="214"/>
      <c r="G323" s="214"/>
      <c r="H323" s="214"/>
      <c r="I323" s="214"/>
      <c r="J323" s="214"/>
      <c r="K323" s="214"/>
    </row>
    <row r="324" spans="4:11" ht="12.75" x14ac:dyDescent="0.2">
      <c r="D324" s="214"/>
      <c r="E324" s="214"/>
      <c r="F324" s="214"/>
      <c r="G324" s="214"/>
      <c r="H324" s="214"/>
      <c r="I324" s="214"/>
      <c r="J324" s="214"/>
      <c r="K324" s="214"/>
    </row>
    <row r="325" spans="4:11" ht="12.75" x14ac:dyDescent="0.2">
      <c r="D325" s="214"/>
      <c r="E325" s="214"/>
      <c r="F325" s="214"/>
      <c r="G325" s="214"/>
      <c r="H325" s="214"/>
      <c r="I325" s="214"/>
      <c r="J325" s="214"/>
      <c r="K325" s="214"/>
    </row>
    <row r="326" spans="4:11" ht="12.75" x14ac:dyDescent="0.2">
      <c r="D326" s="214"/>
      <c r="E326" s="214"/>
      <c r="F326" s="214"/>
      <c r="G326" s="214"/>
      <c r="H326" s="214"/>
      <c r="I326" s="214"/>
      <c r="J326" s="214"/>
      <c r="K326" s="214"/>
    </row>
    <row r="327" spans="4:11" ht="12.75" x14ac:dyDescent="0.2">
      <c r="D327" s="214"/>
      <c r="E327" s="214"/>
      <c r="F327" s="214"/>
      <c r="G327" s="214"/>
      <c r="H327" s="214"/>
      <c r="I327" s="214"/>
      <c r="J327" s="214"/>
      <c r="K327" s="214"/>
    </row>
    <row r="328" spans="4:11" ht="12.75" x14ac:dyDescent="0.2">
      <c r="D328" s="214"/>
      <c r="E328" s="214"/>
      <c r="F328" s="214"/>
      <c r="G328" s="214"/>
      <c r="H328" s="214"/>
      <c r="I328" s="214"/>
      <c r="J328" s="214"/>
      <c r="K328" s="214"/>
    </row>
    <row r="329" spans="4:11" ht="12.75" x14ac:dyDescent="0.2">
      <c r="D329" s="214"/>
      <c r="E329" s="214"/>
      <c r="F329" s="214"/>
      <c r="G329" s="214"/>
      <c r="H329" s="214"/>
      <c r="I329" s="214"/>
      <c r="J329" s="214"/>
      <c r="K329" s="214"/>
    </row>
    <row r="330" spans="4:11" ht="12.75" x14ac:dyDescent="0.2">
      <c r="D330" s="214"/>
      <c r="E330" s="214"/>
      <c r="F330" s="214"/>
      <c r="G330" s="214"/>
      <c r="H330" s="214"/>
      <c r="I330" s="214"/>
      <c r="J330" s="214"/>
      <c r="K330" s="214"/>
    </row>
    <row r="331" spans="4:11" ht="12.75" x14ac:dyDescent="0.2">
      <c r="D331" s="214"/>
      <c r="E331" s="214"/>
      <c r="F331" s="214"/>
      <c r="G331" s="214"/>
      <c r="H331" s="214"/>
      <c r="I331" s="214"/>
      <c r="J331" s="214"/>
      <c r="K331" s="214"/>
    </row>
    <row r="332" spans="4:11" ht="12.75" x14ac:dyDescent="0.2">
      <c r="D332" s="214"/>
      <c r="E332" s="214"/>
      <c r="F332" s="214"/>
      <c r="G332" s="214"/>
      <c r="H332" s="214"/>
      <c r="I332" s="214"/>
      <c r="J332" s="214"/>
      <c r="K332" s="214"/>
    </row>
    <row r="333" spans="4:11" ht="12.75" x14ac:dyDescent="0.2">
      <c r="D333" s="214"/>
      <c r="E333" s="214"/>
      <c r="F333" s="214"/>
      <c r="G333" s="214"/>
      <c r="H333" s="214"/>
      <c r="I333" s="214"/>
      <c r="J333" s="214"/>
      <c r="K333" s="214"/>
    </row>
    <row r="334" spans="4:11" ht="12.75" x14ac:dyDescent="0.2">
      <c r="D334" s="214"/>
      <c r="E334" s="214"/>
      <c r="F334" s="214"/>
      <c r="G334" s="214"/>
      <c r="H334" s="214"/>
      <c r="I334" s="214"/>
      <c r="J334" s="214"/>
      <c r="K334" s="214"/>
    </row>
    <row r="335" spans="4:11" ht="12.75" x14ac:dyDescent="0.2">
      <c r="D335" s="214"/>
      <c r="E335" s="214"/>
      <c r="F335" s="214"/>
      <c r="G335" s="214"/>
      <c r="H335" s="214"/>
      <c r="I335" s="214"/>
      <c r="J335" s="214"/>
      <c r="K335" s="214"/>
    </row>
    <row r="336" spans="4:11" ht="12.75" x14ac:dyDescent="0.2">
      <c r="D336" s="214"/>
      <c r="E336" s="214"/>
      <c r="F336" s="214"/>
      <c r="G336" s="214"/>
      <c r="H336" s="214"/>
      <c r="I336" s="214"/>
      <c r="J336" s="214"/>
      <c r="K336" s="214"/>
    </row>
    <row r="337" spans="4:11" ht="12.75" x14ac:dyDescent="0.2">
      <c r="D337" s="214"/>
      <c r="E337" s="214"/>
      <c r="F337" s="214"/>
      <c r="G337" s="214"/>
      <c r="H337" s="214"/>
      <c r="I337" s="214"/>
      <c r="J337" s="214"/>
      <c r="K337" s="214"/>
    </row>
    <row r="338" spans="4:11" ht="12.75" x14ac:dyDescent="0.2">
      <c r="D338" s="214"/>
      <c r="E338" s="214"/>
      <c r="F338" s="214"/>
      <c r="G338" s="214"/>
      <c r="H338" s="214"/>
      <c r="I338" s="214"/>
      <c r="J338" s="214"/>
      <c r="K338" s="214"/>
    </row>
    <row r="339" spans="4:11" ht="12.75" x14ac:dyDescent="0.2">
      <c r="D339" s="214"/>
      <c r="E339" s="214"/>
      <c r="F339" s="214"/>
      <c r="G339" s="214"/>
      <c r="H339" s="214"/>
      <c r="I339" s="214"/>
      <c r="J339" s="214"/>
      <c r="K339" s="214"/>
    </row>
    <row r="340" spans="4:11" ht="12.75" x14ac:dyDescent="0.2">
      <c r="D340" s="214"/>
      <c r="E340" s="214"/>
      <c r="F340" s="214"/>
      <c r="G340" s="214"/>
      <c r="H340" s="214"/>
      <c r="I340" s="214"/>
      <c r="J340" s="214"/>
      <c r="K340" s="214"/>
    </row>
    <row r="341" spans="4:11" ht="12.75" x14ac:dyDescent="0.2">
      <c r="D341" s="214"/>
      <c r="E341" s="214"/>
      <c r="F341" s="214"/>
      <c r="G341" s="214"/>
      <c r="H341" s="214"/>
      <c r="I341" s="214"/>
      <c r="J341" s="214"/>
      <c r="K341" s="214"/>
    </row>
    <row r="342" spans="4:11" ht="12.75" x14ac:dyDescent="0.2">
      <c r="D342" s="214"/>
      <c r="E342" s="214"/>
      <c r="F342" s="214"/>
      <c r="G342" s="214"/>
      <c r="H342" s="214"/>
      <c r="I342" s="214"/>
      <c r="J342" s="214"/>
      <c r="K342" s="214"/>
    </row>
    <row r="343" spans="4:11" ht="12.75" x14ac:dyDescent="0.2">
      <c r="D343" s="214"/>
      <c r="E343" s="214"/>
      <c r="F343" s="214"/>
      <c r="G343" s="214"/>
      <c r="H343" s="214"/>
      <c r="I343" s="214"/>
      <c r="J343" s="214"/>
      <c r="K343" s="214"/>
    </row>
    <row r="344" spans="4:11" ht="12.75" x14ac:dyDescent="0.2">
      <c r="D344" s="214"/>
      <c r="E344" s="214"/>
      <c r="F344" s="214"/>
      <c r="G344" s="214"/>
      <c r="H344" s="214"/>
      <c r="I344" s="214"/>
      <c r="J344" s="214"/>
      <c r="K344" s="214"/>
    </row>
    <row r="345" spans="4:11" ht="12.75" x14ac:dyDescent="0.2">
      <c r="D345" s="214"/>
      <c r="E345" s="214"/>
      <c r="F345" s="214"/>
      <c r="G345" s="214"/>
      <c r="H345" s="214"/>
      <c r="I345" s="214"/>
      <c r="J345" s="214"/>
      <c r="K345" s="214"/>
    </row>
    <row r="346" spans="4:11" ht="12.75" x14ac:dyDescent="0.2">
      <c r="D346" s="214"/>
      <c r="E346" s="214"/>
      <c r="F346" s="214"/>
      <c r="G346" s="214"/>
      <c r="H346" s="214"/>
      <c r="I346" s="214"/>
      <c r="J346" s="214"/>
      <c r="K346" s="214"/>
    </row>
    <row r="347" spans="4:11" ht="12.75" x14ac:dyDescent="0.2">
      <c r="D347" s="214"/>
      <c r="E347" s="214"/>
      <c r="F347" s="214"/>
      <c r="G347" s="214"/>
      <c r="H347" s="214"/>
      <c r="I347" s="214"/>
      <c r="J347" s="214"/>
      <c r="K347" s="214"/>
    </row>
    <row r="348" spans="4:11" ht="12.75" x14ac:dyDescent="0.2">
      <c r="D348" s="214"/>
      <c r="E348" s="214"/>
      <c r="F348" s="214"/>
      <c r="G348" s="214"/>
      <c r="H348" s="214"/>
      <c r="I348" s="214"/>
      <c r="J348" s="214"/>
      <c r="K348" s="214"/>
    </row>
    <row r="349" spans="4:11" ht="12.75" x14ac:dyDescent="0.2">
      <c r="D349" s="214"/>
      <c r="E349" s="214"/>
      <c r="F349" s="214"/>
      <c r="G349" s="214"/>
      <c r="H349" s="214"/>
      <c r="I349" s="214"/>
      <c r="J349" s="214"/>
      <c r="K349" s="214"/>
    </row>
    <row r="350" spans="4:11" ht="12.75" x14ac:dyDescent="0.2">
      <c r="D350" s="214"/>
      <c r="E350" s="214"/>
      <c r="F350" s="214"/>
      <c r="G350" s="214"/>
      <c r="H350" s="214"/>
      <c r="I350" s="214"/>
      <c r="J350" s="214"/>
      <c r="K350" s="214"/>
    </row>
    <row r="351" spans="4:11" ht="12.75" x14ac:dyDescent="0.2">
      <c r="D351" s="214"/>
      <c r="E351" s="214"/>
      <c r="F351" s="214"/>
      <c r="G351" s="214"/>
      <c r="H351" s="214"/>
      <c r="I351" s="214"/>
      <c r="J351" s="214"/>
      <c r="K351" s="214"/>
    </row>
    <row r="352" spans="4:11" ht="12.75" x14ac:dyDescent="0.2">
      <c r="D352" s="214"/>
      <c r="E352" s="214"/>
      <c r="F352" s="214"/>
      <c r="G352" s="214"/>
      <c r="H352" s="214"/>
      <c r="I352" s="214"/>
      <c r="J352" s="214"/>
      <c r="K352" s="214"/>
    </row>
    <row r="353" spans="4:11" ht="12.75" x14ac:dyDescent="0.2">
      <c r="D353" s="214"/>
      <c r="E353" s="214"/>
      <c r="F353" s="214"/>
      <c r="G353" s="214"/>
      <c r="H353" s="214"/>
      <c r="I353" s="214"/>
      <c r="J353" s="214"/>
      <c r="K353" s="214"/>
    </row>
    <row r="354" spans="4:11" ht="12.75" x14ac:dyDescent="0.2">
      <c r="D354" s="214"/>
      <c r="E354" s="214"/>
      <c r="F354" s="214"/>
      <c r="G354" s="214"/>
      <c r="H354" s="214"/>
      <c r="I354" s="214"/>
      <c r="J354" s="214"/>
      <c r="K354" s="214"/>
    </row>
    <row r="355" spans="4:11" ht="12.75" x14ac:dyDescent="0.2">
      <c r="D355" s="214"/>
      <c r="E355" s="214"/>
      <c r="F355" s="214"/>
      <c r="G355" s="214"/>
      <c r="H355" s="214"/>
      <c r="I355" s="214"/>
      <c r="J355" s="214"/>
      <c r="K355" s="214"/>
    </row>
    <row r="356" spans="4:11" ht="12.75" x14ac:dyDescent="0.2">
      <c r="D356" s="214"/>
      <c r="E356" s="214"/>
      <c r="F356" s="214"/>
      <c r="G356" s="214"/>
      <c r="H356" s="214"/>
      <c r="I356" s="214"/>
      <c r="J356" s="214"/>
      <c r="K356" s="214"/>
    </row>
    <row r="357" spans="4:11" ht="12.75" x14ac:dyDescent="0.2">
      <c r="D357" s="214"/>
      <c r="E357" s="214"/>
      <c r="F357" s="214"/>
      <c r="G357" s="214"/>
      <c r="H357" s="214"/>
      <c r="I357" s="214"/>
      <c r="J357" s="214"/>
      <c r="K357" s="214"/>
    </row>
    <row r="358" spans="4:11" ht="12.75" x14ac:dyDescent="0.2">
      <c r="D358" s="214"/>
      <c r="E358" s="214"/>
      <c r="F358" s="214"/>
      <c r="G358" s="214"/>
      <c r="H358" s="214"/>
      <c r="I358" s="214"/>
      <c r="J358" s="214"/>
      <c r="K358" s="214"/>
    </row>
    <row r="359" spans="4:11" ht="12.75" x14ac:dyDescent="0.2">
      <c r="D359" s="214"/>
      <c r="E359" s="214"/>
      <c r="F359" s="214"/>
      <c r="G359" s="214"/>
      <c r="H359" s="214"/>
      <c r="I359" s="214"/>
      <c r="J359" s="214"/>
      <c r="K359" s="214"/>
    </row>
    <row r="360" spans="4:11" ht="12.75" x14ac:dyDescent="0.2">
      <c r="D360" s="214"/>
      <c r="E360" s="214"/>
      <c r="F360" s="214"/>
      <c r="G360" s="214"/>
      <c r="H360" s="214"/>
      <c r="I360" s="214"/>
      <c r="J360" s="214"/>
      <c r="K360" s="214"/>
    </row>
    <row r="361" spans="4:11" ht="12.75" x14ac:dyDescent="0.2">
      <c r="D361" s="214"/>
      <c r="E361" s="214"/>
      <c r="F361" s="214"/>
      <c r="G361" s="214"/>
      <c r="H361" s="214"/>
      <c r="I361" s="214"/>
      <c r="J361" s="214"/>
      <c r="K361" s="214"/>
    </row>
    <row r="362" spans="4:11" ht="12.75" x14ac:dyDescent="0.2">
      <c r="D362" s="214"/>
      <c r="E362" s="214"/>
      <c r="F362" s="214"/>
      <c r="G362" s="214"/>
      <c r="H362" s="214"/>
      <c r="I362" s="214"/>
      <c r="J362" s="214"/>
      <c r="K362" s="214"/>
    </row>
    <row r="363" spans="4:11" ht="12.75" x14ac:dyDescent="0.2">
      <c r="D363" s="214"/>
      <c r="E363" s="214"/>
      <c r="F363" s="214"/>
      <c r="G363" s="214"/>
      <c r="H363" s="214"/>
      <c r="I363" s="214"/>
      <c r="J363" s="214"/>
      <c r="K363" s="214"/>
    </row>
    <row r="364" spans="4:11" ht="12.75" x14ac:dyDescent="0.2">
      <c r="D364" s="214"/>
      <c r="E364" s="214"/>
      <c r="F364" s="214"/>
      <c r="G364" s="214"/>
      <c r="H364" s="214"/>
      <c r="I364" s="214"/>
      <c r="J364" s="214"/>
      <c r="K364" s="214"/>
    </row>
    <row r="365" spans="4:11" ht="12.75" x14ac:dyDescent="0.2">
      <c r="D365" s="214"/>
      <c r="E365" s="214"/>
      <c r="F365" s="214"/>
      <c r="G365" s="214"/>
      <c r="H365" s="214"/>
      <c r="I365" s="214"/>
      <c r="J365" s="214"/>
      <c r="K365" s="214"/>
    </row>
    <row r="366" spans="4:11" ht="12.75" x14ac:dyDescent="0.2">
      <c r="D366" s="214"/>
      <c r="E366" s="214"/>
      <c r="F366" s="214"/>
      <c r="G366" s="214"/>
      <c r="H366" s="214"/>
      <c r="I366" s="214"/>
      <c r="J366" s="214"/>
      <c r="K366" s="214"/>
    </row>
    <row r="367" spans="4:11" ht="12.75" x14ac:dyDescent="0.2">
      <c r="D367" s="214"/>
      <c r="E367" s="214"/>
      <c r="F367" s="214"/>
      <c r="G367" s="214"/>
      <c r="H367" s="214"/>
      <c r="I367" s="214"/>
      <c r="J367" s="214"/>
      <c r="K367" s="214"/>
    </row>
    <row r="368" spans="4:11" ht="12.75" x14ac:dyDescent="0.2">
      <c r="D368" s="214"/>
      <c r="E368" s="214"/>
      <c r="F368" s="214"/>
      <c r="G368" s="214"/>
      <c r="H368" s="214"/>
      <c r="I368" s="214"/>
      <c r="J368" s="214"/>
      <c r="K368" s="214"/>
    </row>
    <row r="369" spans="4:11" ht="12.75" x14ac:dyDescent="0.2">
      <c r="D369" s="214"/>
      <c r="E369" s="214"/>
      <c r="F369" s="214"/>
      <c r="G369" s="214"/>
      <c r="H369" s="214"/>
      <c r="I369" s="214"/>
      <c r="J369" s="214"/>
      <c r="K369" s="214"/>
    </row>
    <row r="370" spans="4:11" ht="12.75" x14ac:dyDescent="0.2">
      <c r="D370" s="214"/>
      <c r="E370" s="214"/>
      <c r="F370" s="214"/>
      <c r="G370" s="214"/>
      <c r="H370" s="214"/>
      <c r="I370" s="214"/>
      <c r="J370" s="214"/>
      <c r="K370" s="214"/>
    </row>
    <row r="371" spans="4:11" ht="12.75" x14ac:dyDescent="0.2">
      <c r="D371" s="214"/>
      <c r="E371" s="214"/>
      <c r="F371" s="214"/>
      <c r="G371" s="214"/>
      <c r="H371" s="214"/>
      <c r="I371" s="214"/>
      <c r="J371" s="214"/>
      <c r="K371" s="214"/>
    </row>
    <row r="372" spans="4:11" ht="12.75" x14ac:dyDescent="0.2">
      <c r="D372" s="214"/>
      <c r="E372" s="214"/>
      <c r="F372" s="214"/>
      <c r="G372" s="214"/>
      <c r="H372" s="214"/>
      <c r="I372" s="214"/>
      <c r="J372" s="214"/>
      <c r="K372" s="214"/>
    </row>
    <row r="373" spans="4:11" ht="12.75" x14ac:dyDescent="0.2">
      <c r="D373" s="214"/>
      <c r="E373" s="214"/>
      <c r="F373" s="214"/>
      <c r="G373" s="214"/>
      <c r="H373" s="214"/>
      <c r="I373" s="214"/>
      <c r="J373" s="214"/>
      <c r="K373" s="214"/>
    </row>
    <row r="374" spans="4:11" ht="12.75" x14ac:dyDescent="0.2">
      <c r="D374" s="214"/>
      <c r="E374" s="214"/>
      <c r="F374" s="214"/>
      <c r="G374" s="214"/>
      <c r="H374" s="214"/>
      <c r="I374" s="214"/>
      <c r="J374" s="214"/>
      <c r="K374" s="214"/>
    </row>
    <row r="375" spans="4:11" ht="12.75" x14ac:dyDescent="0.2">
      <c r="D375" s="214"/>
      <c r="E375" s="214"/>
      <c r="F375" s="214"/>
      <c r="G375" s="214"/>
      <c r="H375" s="214"/>
      <c r="I375" s="214"/>
      <c r="J375" s="214"/>
      <c r="K375" s="214"/>
    </row>
    <row r="376" spans="4:11" ht="12.75" x14ac:dyDescent="0.2">
      <c r="D376" s="214"/>
      <c r="E376" s="214"/>
      <c r="F376" s="214"/>
      <c r="G376" s="214"/>
      <c r="H376" s="214"/>
      <c r="I376" s="214"/>
      <c r="J376" s="214"/>
      <c r="K376" s="214"/>
    </row>
    <row r="377" spans="4:11" ht="12.75" x14ac:dyDescent="0.2">
      <c r="D377" s="214"/>
      <c r="E377" s="214"/>
      <c r="F377" s="214"/>
      <c r="G377" s="214"/>
      <c r="H377" s="214"/>
      <c r="I377" s="214"/>
      <c r="J377" s="214"/>
      <c r="K377" s="214"/>
    </row>
    <row r="378" spans="4:11" ht="12.75" x14ac:dyDescent="0.2">
      <c r="D378" s="214"/>
      <c r="E378" s="214"/>
      <c r="F378" s="214"/>
      <c r="G378" s="214"/>
      <c r="H378" s="214"/>
      <c r="I378" s="214"/>
      <c r="J378" s="214"/>
      <c r="K378" s="214"/>
    </row>
    <row r="379" spans="4:11" ht="12.75" x14ac:dyDescent="0.2">
      <c r="D379" s="214"/>
      <c r="E379" s="214"/>
      <c r="F379" s="214"/>
      <c r="G379" s="214"/>
      <c r="H379" s="214"/>
      <c r="I379" s="214"/>
      <c r="J379" s="214"/>
      <c r="K379" s="214"/>
    </row>
    <row r="380" spans="4:11" ht="12.75" x14ac:dyDescent="0.2">
      <c r="D380" s="214"/>
      <c r="E380" s="214"/>
      <c r="F380" s="214"/>
      <c r="G380" s="214"/>
      <c r="H380" s="214"/>
      <c r="I380" s="214"/>
      <c r="J380" s="214"/>
      <c r="K380" s="214"/>
    </row>
    <row r="381" spans="4:11" ht="12.75" x14ac:dyDescent="0.2">
      <c r="D381" s="214"/>
      <c r="E381" s="214"/>
      <c r="F381" s="214"/>
      <c r="G381" s="214"/>
      <c r="H381" s="214"/>
      <c r="I381" s="214"/>
      <c r="J381" s="214"/>
      <c r="K381" s="214"/>
    </row>
    <row r="382" spans="4:11" ht="12.75" x14ac:dyDescent="0.2">
      <c r="D382" s="214"/>
      <c r="E382" s="214"/>
      <c r="F382" s="214"/>
      <c r="G382" s="214"/>
      <c r="H382" s="214"/>
      <c r="I382" s="214"/>
      <c r="J382" s="214"/>
      <c r="K382" s="214"/>
    </row>
    <row r="383" spans="4:11" ht="12.75" x14ac:dyDescent="0.2">
      <c r="D383" s="214"/>
      <c r="E383" s="214"/>
      <c r="F383" s="214"/>
      <c r="G383" s="214"/>
      <c r="H383" s="214"/>
      <c r="I383" s="214"/>
      <c r="J383" s="214"/>
      <c r="K383" s="214"/>
    </row>
    <row r="384" spans="4:11" ht="12.75" x14ac:dyDescent="0.2">
      <c r="D384" s="214"/>
      <c r="E384" s="214"/>
      <c r="F384" s="214"/>
      <c r="G384" s="214"/>
      <c r="H384" s="214"/>
      <c r="I384" s="214"/>
      <c r="J384" s="214"/>
      <c r="K384" s="214"/>
    </row>
    <row r="385" spans="4:11" ht="12.75" x14ac:dyDescent="0.2">
      <c r="D385" s="214"/>
      <c r="E385" s="214"/>
      <c r="F385" s="214"/>
      <c r="G385" s="214"/>
      <c r="H385" s="214"/>
      <c r="I385" s="214"/>
      <c r="J385" s="214"/>
      <c r="K385" s="214"/>
    </row>
    <row r="386" spans="4:11" ht="12.75" x14ac:dyDescent="0.2">
      <c r="D386" s="214"/>
      <c r="E386" s="214"/>
      <c r="F386" s="214"/>
      <c r="G386" s="214"/>
      <c r="H386" s="214"/>
      <c r="I386" s="214"/>
      <c r="J386" s="214"/>
      <c r="K386" s="214"/>
    </row>
    <row r="387" spans="4:11" ht="12.75" x14ac:dyDescent="0.2">
      <c r="D387" s="214"/>
      <c r="E387" s="214"/>
      <c r="F387" s="214"/>
      <c r="G387" s="214"/>
      <c r="H387" s="214"/>
      <c r="I387" s="214"/>
      <c r="J387" s="214"/>
      <c r="K387" s="214"/>
    </row>
    <row r="388" spans="4:11" ht="12.75" x14ac:dyDescent="0.2">
      <c r="D388" s="214"/>
      <c r="E388" s="214"/>
      <c r="F388" s="214"/>
      <c r="G388" s="214"/>
      <c r="H388" s="214"/>
      <c r="I388" s="214"/>
      <c r="J388" s="214"/>
      <c r="K388" s="214"/>
    </row>
    <row r="389" spans="4:11" ht="12.75" x14ac:dyDescent="0.2">
      <c r="D389" s="214"/>
      <c r="E389" s="214"/>
      <c r="F389" s="214"/>
      <c r="G389" s="214"/>
      <c r="H389" s="214"/>
      <c r="I389" s="214"/>
      <c r="J389" s="214"/>
      <c r="K389" s="214"/>
    </row>
    <row r="390" spans="4:11" ht="12.75" x14ac:dyDescent="0.2">
      <c r="D390" s="214"/>
      <c r="E390" s="214"/>
      <c r="F390" s="214"/>
      <c r="G390" s="214"/>
      <c r="H390" s="214"/>
      <c r="I390" s="214"/>
      <c r="J390" s="214"/>
      <c r="K390" s="214"/>
    </row>
    <row r="391" spans="4:11" ht="12.75" x14ac:dyDescent="0.2">
      <c r="D391" s="214"/>
      <c r="E391" s="214"/>
      <c r="F391" s="214"/>
      <c r="G391" s="214"/>
      <c r="H391" s="214"/>
      <c r="I391" s="214"/>
      <c r="J391" s="214"/>
      <c r="K391" s="214"/>
    </row>
    <row r="392" spans="4:11" ht="12.75" x14ac:dyDescent="0.2">
      <c r="D392" s="214"/>
      <c r="E392" s="214"/>
      <c r="F392" s="214"/>
      <c r="G392" s="214"/>
      <c r="H392" s="214"/>
      <c r="I392" s="214"/>
      <c r="J392" s="214"/>
      <c r="K392" s="214"/>
    </row>
    <row r="393" spans="4:11" ht="12.75" x14ac:dyDescent="0.2">
      <c r="D393" s="214"/>
      <c r="E393" s="214"/>
      <c r="F393" s="214"/>
      <c r="G393" s="214"/>
      <c r="H393" s="214"/>
      <c r="I393" s="214"/>
      <c r="J393" s="214"/>
      <c r="K393" s="214"/>
    </row>
    <row r="394" spans="4:11" ht="12.75" x14ac:dyDescent="0.2">
      <c r="D394" s="214"/>
      <c r="E394" s="214"/>
      <c r="F394" s="214"/>
      <c r="G394" s="214"/>
      <c r="H394" s="214"/>
      <c r="I394" s="214"/>
      <c r="J394" s="214"/>
      <c r="K394" s="214"/>
    </row>
    <row r="395" spans="4:11" ht="12.75" x14ac:dyDescent="0.2">
      <c r="D395" s="214"/>
      <c r="E395" s="214"/>
      <c r="F395" s="214"/>
      <c r="G395" s="214"/>
      <c r="H395" s="214"/>
      <c r="I395" s="214"/>
      <c r="J395" s="214"/>
      <c r="K395" s="214"/>
    </row>
    <row r="396" spans="4:11" ht="12.75" x14ac:dyDescent="0.2">
      <c r="D396" s="214"/>
      <c r="E396" s="214"/>
      <c r="F396" s="214"/>
      <c r="G396" s="214"/>
      <c r="H396" s="214"/>
      <c r="I396" s="214"/>
      <c r="J396" s="214"/>
      <c r="K396" s="214"/>
    </row>
    <row r="397" spans="4:11" ht="12.75" x14ac:dyDescent="0.2">
      <c r="D397" s="214"/>
      <c r="E397" s="214"/>
      <c r="F397" s="214"/>
      <c r="G397" s="214"/>
      <c r="H397" s="214"/>
      <c r="I397" s="214"/>
      <c r="J397" s="214"/>
      <c r="K397" s="214"/>
    </row>
    <row r="398" spans="4:11" ht="12.75" x14ac:dyDescent="0.2">
      <c r="D398" s="214"/>
      <c r="E398" s="214"/>
      <c r="F398" s="214"/>
      <c r="G398" s="214"/>
      <c r="H398" s="214"/>
      <c r="I398" s="214"/>
      <c r="J398" s="214"/>
      <c r="K398" s="214"/>
    </row>
    <row r="399" spans="4:11" ht="12.75" x14ac:dyDescent="0.2">
      <c r="D399" s="214"/>
      <c r="E399" s="214"/>
      <c r="F399" s="214"/>
      <c r="G399" s="214"/>
      <c r="H399" s="214"/>
      <c r="I399" s="214"/>
      <c r="J399" s="214"/>
      <c r="K399" s="214"/>
    </row>
    <row r="400" spans="4:11" ht="12.75" x14ac:dyDescent="0.2">
      <c r="D400" s="214"/>
      <c r="E400" s="214"/>
      <c r="F400" s="214"/>
      <c r="G400" s="214"/>
      <c r="H400" s="214"/>
      <c r="I400" s="214"/>
      <c r="J400" s="214"/>
      <c r="K400" s="214"/>
    </row>
    <row r="401" spans="4:11" ht="12.75" x14ac:dyDescent="0.2">
      <c r="D401" s="214"/>
      <c r="E401" s="214"/>
      <c r="F401" s="214"/>
      <c r="G401" s="214"/>
      <c r="H401" s="214"/>
      <c r="I401" s="214"/>
      <c r="J401" s="214"/>
      <c r="K401" s="214"/>
    </row>
    <row r="402" spans="4:11" ht="12.75" x14ac:dyDescent="0.2">
      <c r="D402" s="214"/>
      <c r="E402" s="214"/>
      <c r="F402" s="214"/>
      <c r="G402" s="214"/>
      <c r="H402" s="214"/>
      <c r="I402" s="214"/>
      <c r="J402" s="214"/>
      <c r="K402" s="214"/>
    </row>
    <row r="403" spans="4:11" ht="12.75" x14ac:dyDescent="0.2">
      <c r="D403" s="214"/>
      <c r="E403" s="214"/>
      <c r="F403" s="214"/>
      <c r="G403" s="214"/>
      <c r="H403" s="214"/>
      <c r="I403" s="214"/>
      <c r="J403" s="214"/>
      <c r="K403" s="214"/>
    </row>
    <row r="404" spans="4:11" ht="12.75" x14ac:dyDescent="0.2">
      <c r="D404" s="214"/>
      <c r="E404" s="214"/>
      <c r="F404" s="214"/>
      <c r="G404" s="214"/>
      <c r="H404" s="214"/>
      <c r="I404" s="214"/>
      <c r="J404" s="214"/>
      <c r="K404" s="214"/>
    </row>
    <row r="405" spans="4:11" ht="12.75" x14ac:dyDescent="0.2">
      <c r="D405" s="214"/>
      <c r="E405" s="214"/>
      <c r="F405" s="214"/>
      <c r="G405" s="214"/>
      <c r="H405" s="214"/>
      <c r="I405" s="214"/>
      <c r="J405" s="214"/>
      <c r="K405" s="214"/>
    </row>
    <row r="406" spans="4:11" ht="12.75" x14ac:dyDescent="0.2">
      <c r="D406" s="214"/>
      <c r="E406" s="214"/>
      <c r="F406" s="214"/>
      <c r="G406" s="214"/>
      <c r="H406" s="214"/>
      <c r="I406" s="214"/>
      <c r="J406" s="214"/>
      <c r="K406" s="214"/>
    </row>
    <row r="407" spans="4:11" ht="12.75" x14ac:dyDescent="0.2">
      <c r="D407" s="214"/>
      <c r="E407" s="214"/>
      <c r="F407" s="214"/>
      <c r="G407" s="214"/>
      <c r="H407" s="214"/>
      <c r="I407" s="214"/>
      <c r="J407" s="214"/>
      <c r="K407" s="214"/>
    </row>
    <row r="408" spans="4:11" ht="12.75" x14ac:dyDescent="0.2">
      <c r="D408" s="214"/>
      <c r="E408" s="214"/>
      <c r="F408" s="214"/>
      <c r="G408" s="214"/>
      <c r="H408" s="214"/>
      <c r="I408" s="214"/>
      <c r="J408" s="214"/>
      <c r="K408" s="214"/>
    </row>
    <row r="409" spans="4:11" ht="12.75" x14ac:dyDescent="0.2">
      <c r="D409" s="214"/>
      <c r="E409" s="214"/>
      <c r="F409" s="214"/>
      <c r="G409" s="214"/>
      <c r="H409" s="214"/>
      <c r="I409" s="214"/>
      <c r="J409" s="214"/>
      <c r="K409" s="214"/>
    </row>
    <row r="410" spans="4:11" ht="12.75" x14ac:dyDescent="0.2">
      <c r="D410" s="214"/>
      <c r="E410" s="214"/>
      <c r="F410" s="214"/>
      <c r="G410" s="214"/>
      <c r="H410" s="214"/>
      <c r="I410" s="214"/>
      <c r="J410" s="214"/>
      <c r="K410" s="214"/>
    </row>
    <row r="411" spans="4:11" ht="12.75" x14ac:dyDescent="0.2">
      <c r="D411" s="214"/>
      <c r="E411" s="214"/>
      <c r="F411" s="214"/>
      <c r="G411" s="214"/>
      <c r="H411" s="214"/>
      <c r="I411" s="214"/>
      <c r="J411" s="214"/>
      <c r="K411" s="214"/>
    </row>
    <row r="412" spans="4:11" ht="12.75" x14ac:dyDescent="0.2">
      <c r="D412" s="214"/>
      <c r="E412" s="214"/>
      <c r="F412" s="214"/>
      <c r="G412" s="214"/>
      <c r="H412" s="214"/>
      <c r="I412" s="214"/>
      <c r="J412" s="214"/>
      <c r="K412" s="214"/>
    </row>
    <row r="413" spans="4:11" ht="12.75" x14ac:dyDescent="0.2">
      <c r="D413" s="214"/>
      <c r="E413" s="214"/>
      <c r="F413" s="214"/>
      <c r="G413" s="214"/>
      <c r="H413" s="214"/>
      <c r="I413" s="214"/>
      <c r="J413" s="214"/>
      <c r="K413" s="214"/>
    </row>
    <row r="414" spans="4:11" ht="12.75" x14ac:dyDescent="0.2">
      <c r="D414" s="214"/>
      <c r="E414" s="214"/>
      <c r="F414" s="214"/>
      <c r="G414" s="214"/>
      <c r="H414" s="214"/>
      <c r="I414" s="214"/>
      <c r="J414" s="214"/>
      <c r="K414" s="214"/>
    </row>
    <row r="415" spans="4:11" ht="12.75" x14ac:dyDescent="0.2">
      <c r="D415" s="214"/>
      <c r="E415" s="214"/>
      <c r="F415" s="214"/>
      <c r="G415" s="214"/>
      <c r="H415" s="214"/>
      <c r="I415" s="214"/>
      <c r="J415" s="214"/>
      <c r="K415" s="214"/>
    </row>
    <row r="416" spans="4:11" ht="12.75" x14ac:dyDescent="0.2">
      <c r="D416" s="214"/>
      <c r="E416" s="214"/>
      <c r="F416" s="214"/>
      <c r="G416" s="214"/>
      <c r="H416" s="214"/>
      <c r="I416" s="214"/>
      <c r="J416" s="214"/>
      <c r="K416" s="214"/>
    </row>
    <row r="417" spans="4:11" ht="12.75" x14ac:dyDescent="0.2">
      <c r="D417" s="214"/>
      <c r="E417" s="214"/>
      <c r="F417" s="214"/>
      <c r="G417" s="214"/>
      <c r="H417" s="214"/>
      <c r="I417" s="214"/>
      <c r="J417" s="214"/>
      <c r="K417" s="214"/>
    </row>
    <row r="418" spans="4:11" ht="12.75" x14ac:dyDescent="0.2">
      <c r="D418" s="214"/>
      <c r="E418" s="214"/>
      <c r="F418" s="214"/>
      <c r="G418" s="214"/>
      <c r="H418" s="214"/>
      <c r="I418" s="214"/>
      <c r="J418" s="214"/>
      <c r="K418" s="214"/>
    </row>
    <row r="419" spans="4:11" ht="12.75" x14ac:dyDescent="0.2">
      <c r="D419" s="214"/>
      <c r="E419" s="214"/>
      <c r="F419" s="214"/>
      <c r="G419" s="214"/>
      <c r="H419" s="214"/>
      <c r="I419" s="214"/>
      <c r="J419" s="214"/>
      <c r="K419" s="214"/>
    </row>
    <row r="420" spans="4:11" ht="12.75" x14ac:dyDescent="0.2">
      <c r="D420" s="214"/>
      <c r="E420" s="214"/>
      <c r="F420" s="214"/>
      <c r="G420" s="214"/>
      <c r="H420" s="214"/>
      <c r="I420" s="214"/>
      <c r="J420" s="214"/>
      <c r="K420" s="214"/>
    </row>
    <row r="421" spans="4:11" ht="12.75" x14ac:dyDescent="0.2">
      <c r="D421" s="214"/>
      <c r="E421" s="214"/>
      <c r="F421" s="214"/>
      <c r="G421" s="214"/>
      <c r="H421" s="214"/>
      <c r="I421" s="214"/>
      <c r="J421" s="214"/>
      <c r="K421" s="214"/>
    </row>
    <row r="422" spans="4:11" ht="12.75" x14ac:dyDescent="0.2">
      <c r="D422" s="214"/>
      <c r="E422" s="214"/>
      <c r="F422" s="214"/>
      <c r="G422" s="214"/>
      <c r="H422" s="214"/>
      <c r="I422" s="214"/>
      <c r="J422" s="214"/>
      <c r="K422" s="214"/>
    </row>
    <row r="423" spans="4:11" ht="12.75" x14ac:dyDescent="0.2">
      <c r="D423" s="214"/>
      <c r="E423" s="214"/>
      <c r="F423" s="214"/>
      <c r="G423" s="214"/>
      <c r="H423" s="214"/>
      <c r="I423" s="214"/>
      <c r="J423" s="214"/>
      <c r="K423" s="214"/>
    </row>
    <row r="424" spans="4:11" ht="12.75" x14ac:dyDescent="0.2">
      <c r="D424" s="214"/>
      <c r="E424" s="214"/>
      <c r="F424" s="214"/>
      <c r="G424" s="214"/>
      <c r="H424" s="214"/>
      <c r="I424" s="214"/>
      <c r="J424" s="214"/>
      <c r="K424" s="214"/>
    </row>
    <row r="425" spans="4:11" ht="12.75" x14ac:dyDescent="0.2">
      <c r="D425" s="214"/>
      <c r="E425" s="214"/>
      <c r="F425" s="214"/>
      <c r="G425" s="214"/>
      <c r="H425" s="214"/>
      <c r="I425" s="214"/>
      <c r="J425" s="214"/>
      <c r="K425" s="214"/>
    </row>
    <row r="426" spans="4:11" ht="12.75" x14ac:dyDescent="0.2">
      <c r="D426" s="214"/>
      <c r="E426" s="214"/>
      <c r="F426" s="214"/>
      <c r="G426" s="214"/>
      <c r="H426" s="214"/>
      <c r="I426" s="214"/>
      <c r="J426" s="214"/>
      <c r="K426" s="214"/>
    </row>
    <row r="427" spans="4:11" ht="12.75" x14ac:dyDescent="0.2">
      <c r="D427" s="214"/>
      <c r="E427" s="214"/>
      <c r="F427" s="214"/>
      <c r="G427" s="214"/>
      <c r="H427" s="214"/>
      <c r="I427" s="214"/>
      <c r="J427" s="214"/>
      <c r="K427" s="214"/>
    </row>
    <row r="428" spans="4:11" ht="12.75" x14ac:dyDescent="0.2">
      <c r="D428" s="214"/>
      <c r="E428" s="214"/>
      <c r="F428" s="214"/>
      <c r="G428" s="214"/>
      <c r="H428" s="214"/>
      <c r="I428" s="214"/>
      <c r="J428" s="214"/>
      <c r="K428" s="214"/>
    </row>
    <row r="429" spans="4:11" ht="12.75" x14ac:dyDescent="0.2">
      <c r="D429" s="214"/>
      <c r="E429" s="214"/>
      <c r="F429" s="214"/>
      <c r="G429" s="214"/>
      <c r="H429" s="214"/>
      <c r="I429" s="214"/>
      <c r="J429" s="214"/>
      <c r="K429" s="214"/>
    </row>
    <row r="430" spans="4:11" ht="12.75" x14ac:dyDescent="0.2">
      <c r="D430" s="214"/>
      <c r="E430" s="214"/>
      <c r="F430" s="214"/>
      <c r="G430" s="214"/>
      <c r="H430" s="214"/>
      <c r="I430" s="214"/>
      <c r="J430" s="214"/>
      <c r="K430" s="214"/>
    </row>
    <row r="431" spans="4:11" ht="12.75" x14ac:dyDescent="0.2">
      <c r="D431" s="214"/>
      <c r="E431" s="214"/>
      <c r="F431" s="214"/>
      <c r="G431" s="214"/>
      <c r="H431" s="214"/>
      <c r="I431" s="214"/>
      <c r="J431" s="214"/>
      <c r="K431" s="214"/>
    </row>
    <row r="432" spans="4:11" ht="12.75" x14ac:dyDescent="0.2">
      <c r="D432" s="214"/>
      <c r="E432" s="214"/>
      <c r="F432" s="214"/>
      <c r="G432" s="214"/>
      <c r="H432" s="214"/>
      <c r="I432" s="214"/>
      <c r="J432" s="214"/>
      <c r="K432" s="214"/>
    </row>
    <row r="433" spans="4:11" ht="12.75" x14ac:dyDescent="0.2">
      <c r="D433" s="214"/>
      <c r="E433" s="214"/>
      <c r="F433" s="214"/>
      <c r="G433" s="214"/>
      <c r="H433" s="214"/>
      <c r="I433" s="214"/>
      <c r="J433" s="214"/>
      <c r="K433" s="214"/>
    </row>
    <row r="434" spans="4:11" ht="12.75" x14ac:dyDescent="0.2">
      <c r="D434" s="214"/>
      <c r="E434" s="214"/>
      <c r="F434" s="214"/>
      <c r="G434" s="214"/>
      <c r="H434" s="214"/>
      <c r="I434" s="214"/>
      <c r="J434" s="214"/>
      <c r="K434" s="214"/>
    </row>
    <row r="435" spans="4:11" ht="12.75" x14ac:dyDescent="0.2">
      <c r="D435" s="214"/>
      <c r="E435" s="214"/>
      <c r="F435" s="214"/>
      <c r="G435" s="214"/>
      <c r="H435" s="214"/>
      <c r="I435" s="214"/>
      <c r="J435" s="214"/>
      <c r="K435" s="214"/>
    </row>
    <row r="436" spans="4:11" ht="12.75" x14ac:dyDescent="0.2">
      <c r="D436" s="214"/>
      <c r="E436" s="214"/>
      <c r="F436" s="214"/>
      <c r="G436" s="214"/>
      <c r="H436" s="214"/>
      <c r="I436" s="214"/>
      <c r="J436" s="214"/>
      <c r="K436" s="214"/>
    </row>
    <row r="437" spans="4:11" ht="12.75" x14ac:dyDescent="0.2">
      <c r="D437" s="214"/>
      <c r="E437" s="214"/>
      <c r="F437" s="214"/>
      <c r="G437" s="214"/>
      <c r="H437" s="214"/>
      <c r="I437" s="214"/>
      <c r="J437" s="214"/>
      <c r="K437" s="214"/>
    </row>
    <row r="438" spans="4:11" ht="12.75" x14ac:dyDescent="0.2">
      <c r="D438" s="214"/>
      <c r="E438" s="214"/>
      <c r="F438" s="214"/>
      <c r="G438" s="214"/>
      <c r="H438" s="214"/>
      <c r="I438" s="214"/>
      <c r="J438" s="214"/>
      <c r="K438" s="214"/>
    </row>
    <row r="439" spans="4:11" ht="12.75" x14ac:dyDescent="0.2">
      <c r="D439" s="214"/>
      <c r="E439" s="214"/>
      <c r="F439" s="214"/>
      <c r="G439" s="214"/>
      <c r="H439" s="214"/>
      <c r="I439" s="214"/>
      <c r="J439" s="214"/>
      <c r="K439" s="214"/>
    </row>
    <row r="440" spans="4:11" ht="12.75" x14ac:dyDescent="0.2">
      <c r="D440" s="214"/>
      <c r="E440" s="214"/>
      <c r="F440" s="214"/>
      <c r="G440" s="214"/>
      <c r="H440" s="214"/>
      <c r="I440" s="214"/>
      <c r="J440" s="214"/>
      <c r="K440" s="214"/>
    </row>
    <row r="441" spans="4:11" ht="12.75" x14ac:dyDescent="0.2">
      <c r="D441" s="214"/>
      <c r="E441" s="214"/>
      <c r="F441" s="214"/>
      <c r="G441" s="214"/>
      <c r="H441" s="214"/>
      <c r="I441" s="214"/>
      <c r="J441" s="214"/>
      <c r="K441" s="214"/>
    </row>
    <row r="442" spans="4:11" ht="12.75" x14ac:dyDescent="0.2">
      <c r="D442" s="214"/>
      <c r="E442" s="214"/>
      <c r="F442" s="214"/>
      <c r="G442" s="214"/>
      <c r="H442" s="214"/>
      <c r="I442" s="214"/>
      <c r="J442" s="214"/>
      <c r="K442" s="214"/>
    </row>
    <row r="443" spans="4:11" ht="12.75" x14ac:dyDescent="0.2">
      <c r="D443" s="214"/>
      <c r="E443" s="214"/>
      <c r="F443" s="214"/>
      <c r="G443" s="214"/>
      <c r="H443" s="214"/>
      <c r="I443" s="214"/>
      <c r="J443" s="214"/>
      <c r="K443" s="214"/>
    </row>
    <row r="444" spans="4:11" ht="12.75" x14ac:dyDescent="0.2">
      <c r="D444" s="214"/>
      <c r="E444" s="214"/>
      <c r="F444" s="214"/>
      <c r="G444" s="214"/>
      <c r="H444" s="214"/>
      <c r="I444" s="214"/>
      <c r="J444" s="214"/>
      <c r="K444" s="214"/>
    </row>
    <row r="445" spans="4:11" ht="12.75" x14ac:dyDescent="0.2">
      <c r="D445" s="214"/>
      <c r="E445" s="214"/>
      <c r="F445" s="214"/>
      <c r="G445" s="214"/>
      <c r="H445" s="214"/>
      <c r="I445" s="214"/>
      <c r="J445" s="214"/>
      <c r="K445" s="214"/>
    </row>
    <row r="446" spans="4:11" ht="12.75" x14ac:dyDescent="0.2">
      <c r="D446" s="214"/>
      <c r="E446" s="214"/>
      <c r="F446" s="214"/>
      <c r="G446" s="214"/>
      <c r="H446" s="214"/>
      <c r="I446" s="214"/>
      <c r="J446" s="214"/>
      <c r="K446" s="214"/>
    </row>
    <row r="447" spans="4:11" ht="12.75" x14ac:dyDescent="0.2">
      <c r="D447" s="214"/>
      <c r="E447" s="214"/>
      <c r="F447" s="214"/>
      <c r="G447" s="214"/>
      <c r="H447" s="214"/>
      <c r="I447" s="214"/>
      <c r="J447" s="214"/>
      <c r="K447" s="214"/>
    </row>
    <row r="448" spans="4:11" ht="12.75" x14ac:dyDescent="0.2">
      <c r="D448" s="214"/>
      <c r="E448" s="214"/>
      <c r="F448" s="214"/>
      <c r="G448" s="214"/>
      <c r="H448" s="214"/>
      <c r="I448" s="214"/>
      <c r="J448" s="214"/>
      <c r="K448" s="214"/>
    </row>
    <row r="449" spans="4:11" ht="12.75" x14ac:dyDescent="0.2">
      <c r="D449" s="214"/>
      <c r="E449" s="214"/>
      <c r="F449" s="214"/>
      <c r="G449" s="214"/>
      <c r="H449" s="214"/>
      <c r="I449" s="214"/>
      <c r="J449" s="214"/>
      <c r="K449" s="214"/>
    </row>
    <row r="450" spans="4:11" ht="12.75" x14ac:dyDescent="0.2">
      <c r="D450" s="214"/>
      <c r="E450" s="214"/>
      <c r="F450" s="214"/>
      <c r="G450" s="214"/>
      <c r="H450" s="214"/>
      <c r="I450" s="214"/>
      <c r="J450" s="214"/>
      <c r="K450" s="214"/>
    </row>
    <row r="451" spans="4:11" ht="12.75" x14ac:dyDescent="0.2">
      <c r="D451" s="214"/>
      <c r="E451" s="214"/>
      <c r="F451" s="214"/>
      <c r="G451" s="214"/>
      <c r="H451" s="214"/>
      <c r="I451" s="214"/>
      <c r="J451" s="214"/>
      <c r="K451" s="214"/>
    </row>
    <row r="452" spans="4:11" ht="12.75" x14ac:dyDescent="0.2">
      <c r="D452" s="214"/>
      <c r="E452" s="214"/>
      <c r="F452" s="214"/>
      <c r="G452" s="214"/>
      <c r="H452" s="214"/>
      <c r="I452" s="214"/>
      <c r="J452" s="214"/>
      <c r="K452" s="214"/>
    </row>
    <row r="453" spans="4:11" ht="12.75" x14ac:dyDescent="0.2">
      <c r="D453" s="214"/>
      <c r="E453" s="214"/>
      <c r="F453" s="214"/>
      <c r="G453" s="214"/>
      <c r="H453" s="214"/>
      <c r="I453" s="214"/>
      <c r="J453" s="214"/>
      <c r="K453" s="214"/>
    </row>
    <row r="454" spans="4:11" ht="12.75" x14ac:dyDescent="0.2">
      <c r="D454" s="214"/>
      <c r="E454" s="214"/>
      <c r="F454" s="214"/>
      <c r="G454" s="214"/>
      <c r="H454" s="214"/>
      <c r="I454" s="214"/>
      <c r="J454" s="214"/>
      <c r="K454" s="214"/>
    </row>
    <row r="455" spans="4:11" ht="12.75" x14ac:dyDescent="0.2">
      <c r="D455" s="214"/>
      <c r="E455" s="214"/>
      <c r="F455" s="214"/>
      <c r="G455" s="214"/>
      <c r="H455" s="214"/>
      <c r="I455" s="214"/>
      <c r="J455" s="214"/>
      <c r="K455" s="214"/>
    </row>
    <row r="456" spans="4:11" ht="12.75" x14ac:dyDescent="0.2">
      <c r="D456" s="214"/>
      <c r="E456" s="214"/>
      <c r="F456" s="214"/>
      <c r="G456" s="214"/>
      <c r="H456" s="214"/>
      <c r="I456" s="214"/>
      <c r="J456" s="214"/>
      <c r="K456" s="214"/>
    </row>
    <row r="457" spans="4:11" ht="12.75" x14ac:dyDescent="0.2">
      <c r="D457" s="214"/>
      <c r="E457" s="214"/>
      <c r="F457" s="214"/>
      <c r="G457" s="214"/>
      <c r="H457" s="214"/>
      <c r="I457" s="214"/>
      <c r="J457" s="214"/>
      <c r="K457" s="214"/>
    </row>
    <row r="458" spans="4:11" ht="12.75" x14ac:dyDescent="0.2">
      <c r="D458" s="214"/>
      <c r="E458" s="214"/>
      <c r="F458" s="214"/>
      <c r="G458" s="214"/>
      <c r="H458" s="214"/>
      <c r="I458" s="214"/>
      <c r="J458" s="214"/>
      <c r="K458" s="214"/>
    </row>
    <row r="459" spans="4:11" ht="12.75" x14ac:dyDescent="0.2">
      <c r="D459" s="214"/>
      <c r="E459" s="214"/>
      <c r="F459" s="214"/>
      <c r="G459" s="214"/>
      <c r="H459" s="214"/>
      <c r="I459" s="214"/>
      <c r="J459" s="214"/>
      <c r="K459" s="214"/>
    </row>
    <row r="460" spans="4:11" ht="12.75" x14ac:dyDescent="0.2">
      <c r="D460" s="214"/>
      <c r="E460" s="214"/>
      <c r="F460" s="214"/>
      <c r="G460" s="214"/>
      <c r="H460" s="214"/>
      <c r="I460" s="214"/>
      <c r="J460" s="214"/>
      <c r="K460" s="214"/>
    </row>
    <row r="461" spans="4:11" ht="12.75" x14ac:dyDescent="0.2">
      <c r="D461" s="214"/>
      <c r="E461" s="214"/>
      <c r="F461" s="214"/>
      <c r="G461" s="214"/>
      <c r="H461" s="214"/>
      <c r="I461" s="214"/>
      <c r="J461" s="214"/>
      <c r="K461" s="214"/>
    </row>
    <row r="462" spans="4:11" ht="12.75" x14ac:dyDescent="0.2">
      <c r="D462" s="214"/>
      <c r="E462" s="214"/>
      <c r="F462" s="214"/>
      <c r="G462" s="214"/>
      <c r="H462" s="214"/>
      <c r="I462" s="214"/>
      <c r="J462" s="214"/>
      <c r="K462" s="214"/>
    </row>
    <row r="463" spans="4:11" ht="12.75" x14ac:dyDescent="0.2">
      <c r="D463" s="214"/>
      <c r="E463" s="214"/>
      <c r="F463" s="214"/>
      <c r="G463" s="214"/>
      <c r="H463" s="214"/>
      <c r="I463" s="214"/>
      <c r="J463" s="214"/>
      <c r="K463" s="214"/>
    </row>
    <row r="464" spans="4:11" ht="12.75" x14ac:dyDescent="0.2">
      <c r="D464" s="214"/>
      <c r="E464" s="214"/>
      <c r="F464" s="214"/>
      <c r="G464" s="214"/>
      <c r="H464" s="214"/>
      <c r="I464" s="214"/>
      <c r="J464" s="214"/>
      <c r="K464" s="214"/>
    </row>
    <row r="465" spans="4:11" ht="12.75" x14ac:dyDescent="0.2">
      <c r="D465" s="214"/>
      <c r="E465" s="214"/>
      <c r="F465" s="214"/>
      <c r="G465" s="214"/>
      <c r="H465" s="214"/>
      <c r="I465" s="214"/>
      <c r="J465" s="214"/>
      <c r="K465" s="214"/>
    </row>
    <row r="466" spans="4:11" ht="12.75" x14ac:dyDescent="0.2">
      <c r="D466" s="214"/>
      <c r="E466" s="214"/>
      <c r="F466" s="214"/>
      <c r="G466" s="214"/>
      <c r="H466" s="214"/>
      <c r="I466" s="214"/>
      <c r="J466" s="214"/>
      <c r="K466" s="214"/>
    </row>
    <row r="467" spans="4:11" ht="12.75" x14ac:dyDescent="0.2">
      <c r="D467" s="214"/>
      <c r="E467" s="214"/>
      <c r="F467" s="214"/>
      <c r="G467" s="214"/>
      <c r="H467" s="214"/>
      <c r="I467" s="214"/>
      <c r="J467" s="214"/>
      <c r="K467" s="214"/>
    </row>
    <row r="468" spans="4:11" ht="12.75" x14ac:dyDescent="0.2">
      <c r="D468" s="214"/>
      <c r="E468" s="214"/>
      <c r="F468" s="214"/>
      <c r="G468" s="214"/>
      <c r="H468" s="214"/>
      <c r="I468" s="214"/>
      <c r="J468" s="214"/>
      <c r="K468" s="214"/>
    </row>
    <row r="469" spans="4:11" ht="12.75" x14ac:dyDescent="0.2">
      <c r="D469" s="214"/>
      <c r="E469" s="214"/>
      <c r="F469" s="214"/>
      <c r="G469" s="214"/>
      <c r="H469" s="214"/>
      <c r="I469" s="214"/>
      <c r="J469" s="214"/>
      <c r="K469" s="214"/>
    </row>
    <row r="470" spans="4:11" ht="12.75" x14ac:dyDescent="0.2">
      <c r="D470" s="214"/>
      <c r="E470" s="214"/>
      <c r="F470" s="214"/>
      <c r="G470" s="214"/>
      <c r="H470" s="214"/>
      <c r="I470" s="214"/>
      <c r="J470" s="214"/>
      <c r="K470" s="214"/>
    </row>
    <row r="471" spans="4:11" ht="12.75" x14ac:dyDescent="0.2">
      <c r="D471" s="214"/>
      <c r="E471" s="214"/>
      <c r="F471" s="214"/>
      <c r="G471" s="214"/>
      <c r="H471" s="214"/>
      <c r="I471" s="214"/>
      <c r="J471" s="214"/>
      <c r="K471" s="214"/>
    </row>
    <row r="472" spans="4:11" ht="12.75" x14ac:dyDescent="0.2">
      <c r="D472" s="214"/>
      <c r="E472" s="214"/>
      <c r="F472" s="214"/>
      <c r="G472" s="214"/>
      <c r="H472" s="214"/>
      <c r="I472" s="214"/>
      <c r="J472" s="214"/>
      <c r="K472" s="214"/>
    </row>
    <row r="473" spans="4:11" ht="12.75" x14ac:dyDescent="0.2">
      <c r="D473" s="214"/>
      <c r="E473" s="214"/>
      <c r="F473" s="214"/>
      <c r="G473" s="214"/>
      <c r="H473" s="214"/>
      <c r="I473" s="214"/>
      <c r="J473" s="214"/>
      <c r="K473" s="214"/>
    </row>
    <row r="474" spans="4:11" ht="12.75" x14ac:dyDescent="0.2">
      <c r="D474" s="214"/>
      <c r="E474" s="214"/>
      <c r="F474" s="214"/>
      <c r="G474" s="214"/>
      <c r="H474" s="214"/>
      <c r="I474" s="214"/>
      <c r="J474" s="214"/>
      <c r="K474" s="214"/>
    </row>
    <row r="475" spans="4:11" ht="12.75" x14ac:dyDescent="0.2">
      <c r="D475" s="214"/>
      <c r="E475" s="214"/>
      <c r="F475" s="214"/>
      <c r="G475" s="214"/>
      <c r="H475" s="214"/>
      <c r="I475" s="214"/>
      <c r="J475" s="214"/>
      <c r="K475" s="214"/>
    </row>
    <row r="476" spans="4:11" ht="12.75" x14ac:dyDescent="0.2">
      <c r="D476" s="214"/>
      <c r="E476" s="214"/>
      <c r="F476" s="214"/>
      <c r="G476" s="214"/>
      <c r="H476" s="214"/>
      <c r="I476" s="214"/>
      <c r="J476" s="214"/>
      <c r="K476" s="214"/>
    </row>
    <row r="477" spans="4:11" ht="12.75" x14ac:dyDescent="0.2">
      <c r="D477" s="214"/>
      <c r="E477" s="214"/>
      <c r="F477" s="214"/>
      <c r="G477" s="214"/>
      <c r="H477" s="214"/>
      <c r="I477" s="214"/>
      <c r="J477" s="214"/>
      <c r="K477" s="214"/>
    </row>
    <row r="478" spans="4:11" ht="12.75" x14ac:dyDescent="0.2">
      <c r="D478" s="214"/>
      <c r="E478" s="214"/>
      <c r="F478" s="214"/>
      <c r="G478" s="214"/>
      <c r="H478" s="214"/>
      <c r="I478" s="214"/>
      <c r="J478" s="214"/>
      <c r="K478" s="214"/>
    </row>
    <row r="479" spans="4:11" ht="12.75" x14ac:dyDescent="0.2">
      <c r="D479" s="214"/>
      <c r="E479" s="214"/>
      <c r="F479" s="214"/>
      <c r="G479" s="214"/>
      <c r="H479" s="214"/>
      <c r="I479" s="214"/>
      <c r="J479" s="214"/>
      <c r="K479" s="214"/>
    </row>
    <row r="480" spans="4:11" ht="12.75" x14ac:dyDescent="0.2">
      <c r="D480" s="214"/>
      <c r="E480" s="214"/>
      <c r="F480" s="214"/>
      <c r="G480" s="214"/>
      <c r="H480" s="214"/>
      <c r="I480" s="214"/>
      <c r="J480" s="214"/>
      <c r="K480" s="214"/>
    </row>
    <row r="481" spans="4:11" ht="12.75" x14ac:dyDescent="0.2">
      <c r="D481" s="214"/>
      <c r="E481" s="214"/>
      <c r="F481" s="214"/>
      <c r="G481" s="214"/>
      <c r="H481" s="214"/>
      <c r="I481" s="214"/>
      <c r="J481" s="214"/>
      <c r="K481" s="214"/>
    </row>
    <row r="482" spans="4:11" ht="12.75" x14ac:dyDescent="0.2">
      <c r="D482" s="214"/>
      <c r="E482" s="214"/>
      <c r="F482" s="214"/>
      <c r="G482" s="214"/>
      <c r="H482" s="214"/>
      <c r="I482" s="214"/>
      <c r="J482" s="214"/>
      <c r="K482" s="214"/>
    </row>
    <row r="483" spans="4:11" ht="12.75" x14ac:dyDescent="0.2">
      <c r="D483" s="214"/>
      <c r="E483" s="214"/>
      <c r="F483" s="214"/>
      <c r="G483" s="214"/>
      <c r="H483" s="214"/>
      <c r="I483" s="214"/>
      <c r="J483" s="214"/>
      <c r="K483" s="214"/>
    </row>
    <row r="484" spans="4:11" ht="12.75" x14ac:dyDescent="0.2">
      <c r="D484" s="214"/>
      <c r="E484" s="214"/>
      <c r="F484" s="214"/>
      <c r="G484" s="214"/>
      <c r="H484" s="214"/>
      <c r="I484" s="214"/>
      <c r="J484" s="214"/>
      <c r="K484" s="214"/>
    </row>
    <row r="485" spans="4:11" ht="12.75" x14ac:dyDescent="0.2">
      <c r="D485" s="214"/>
      <c r="E485" s="214"/>
      <c r="F485" s="214"/>
      <c r="G485" s="214"/>
      <c r="H485" s="214"/>
      <c r="I485" s="214"/>
      <c r="J485" s="214"/>
      <c r="K485" s="214"/>
    </row>
    <row r="486" spans="4:11" ht="12.75" x14ac:dyDescent="0.2">
      <c r="D486" s="214"/>
      <c r="E486" s="214"/>
      <c r="F486" s="214"/>
      <c r="G486" s="214"/>
      <c r="H486" s="214"/>
      <c r="I486" s="214"/>
      <c r="J486" s="214"/>
      <c r="K486" s="214"/>
    </row>
    <row r="487" spans="4:11" ht="12.75" x14ac:dyDescent="0.2">
      <c r="D487" s="214"/>
      <c r="E487" s="214"/>
      <c r="F487" s="214"/>
      <c r="G487" s="214"/>
      <c r="H487" s="214"/>
      <c r="I487" s="214"/>
      <c r="J487" s="214"/>
      <c r="K487" s="214"/>
    </row>
    <row r="488" spans="4:11" ht="12.75" x14ac:dyDescent="0.2">
      <c r="D488" s="214"/>
      <c r="E488" s="214"/>
      <c r="F488" s="214"/>
      <c r="G488" s="214"/>
      <c r="H488" s="214"/>
      <c r="I488" s="214"/>
      <c r="J488" s="214"/>
      <c r="K488" s="214"/>
    </row>
    <row r="489" spans="4:11" ht="12.75" x14ac:dyDescent="0.2">
      <c r="D489" s="214"/>
      <c r="E489" s="214"/>
      <c r="F489" s="214"/>
      <c r="G489" s="214"/>
      <c r="H489" s="214"/>
      <c r="I489" s="214"/>
      <c r="J489" s="214"/>
      <c r="K489" s="214"/>
    </row>
    <row r="490" spans="4:11" ht="12.75" x14ac:dyDescent="0.2">
      <c r="D490" s="214"/>
      <c r="E490" s="214"/>
      <c r="F490" s="214"/>
      <c r="G490" s="214"/>
      <c r="H490" s="214"/>
      <c r="I490" s="214"/>
      <c r="J490" s="214"/>
      <c r="K490" s="214"/>
    </row>
    <row r="491" spans="4:11" ht="12.75" x14ac:dyDescent="0.2">
      <c r="D491" s="214"/>
      <c r="E491" s="214"/>
      <c r="F491" s="214"/>
      <c r="G491" s="214"/>
      <c r="H491" s="214"/>
      <c r="I491" s="214"/>
      <c r="J491" s="214"/>
      <c r="K491" s="214"/>
    </row>
    <row r="492" spans="4:11" ht="12.75" x14ac:dyDescent="0.2">
      <c r="D492" s="214"/>
      <c r="E492" s="214"/>
      <c r="F492" s="214"/>
      <c r="G492" s="214"/>
      <c r="H492" s="214"/>
      <c r="I492" s="214"/>
      <c r="J492" s="214"/>
      <c r="K492" s="214"/>
    </row>
    <row r="493" spans="4:11" ht="12.75" x14ac:dyDescent="0.2">
      <c r="D493" s="214"/>
      <c r="E493" s="214"/>
      <c r="F493" s="214"/>
      <c r="G493" s="214"/>
      <c r="H493" s="214"/>
      <c r="I493" s="214"/>
      <c r="J493" s="214"/>
      <c r="K493" s="214"/>
    </row>
    <row r="494" spans="4:11" ht="12.75" x14ac:dyDescent="0.2">
      <c r="D494" s="214"/>
      <c r="E494" s="214"/>
      <c r="F494" s="214"/>
      <c r="G494" s="214"/>
      <c r="H494" s="214"/>
      <c r="I494" s="214"/>
      <c r="J494" s="214"/>
      <c r="K494" s="214"/>
    </row>
    <row r="495" spans="4:11" ht="12.75" x14ac:dyDescent="0.2">
      <c r="D495" s="214"/>
      <c r="E495" s="214"/>
      <c r="F495" s="214"/>
      <c r="G495" s="214"/>
      <c r="H495" s="214"/>
      <c r="I495" s="214"/>
      <c r="J495" s="214"/>
      <c r="K495" s="214"/>
    </row>
    <row r="496" spans="4:11" ht="12.75" x14ac:dyDescent="0.2">
      <c r="D496" s="214"/>
      <c r="E496" s="214"/>
      <c r="F496" s="214"/>
      <c r="G496" s="214"/>
      <c r="H496" s="214"/>
      <c r="I496" s="214"/>
      <c r="J496" s="214"/>
      <c r="K496" s="214"/>
    </row>
    <row r="497" spans="4:11" ht="12.75" x14ac:dyDescent="0.2">
      <c r="D497" s="214"/>
      <c r="E497" s="214"/>
      <c r="F497" s="214"/>
      <c r="G497" s="214"/>
      <c r="H497" s="214"/>
      <c r="I497" s="214"/>
      <c r="J497" s="214"/>
      <c r="K497" s="214"/>
    </row>
    <row r="498" spans="4:11" ht="12.75" x14ac:dyDescent="0.2">
      <c r="D498" s="214"/>
      <c r="E498" s="214"/>
      <c r="F498" s="214"/>
      <c r="G498" s="214"/>
      <c r="H498" s="214"/>
      <c r="I498" s="214"/>
      <c r="J498" s="214"/>
      <c r="K498" s="214"/>
    </row>
    <row r="499" spans="4:11" ht="12.75" x14ac:dyDescent="0.2">
      <c r="D499" s="214"/>
      <c r="E499" s="214"/>
      <c r="F499" s="214"/>
      <c r="G499" s="214"/>
      <c r="H499" s="214"/>
      <c r="I499" s="214"/>
      <c r="J499" s="214"/>
      <c r="K499" s="214"/>
    </row>
    <row r="500" spans="4:11" ht="12.75" x14ac:dyDescent="0.2">
      <c r="D500" s="214"/>
      <c r="E500" s="214"/>
      <c r="F500" s="214"/>
      <c r="G500" s="214"/>
      <c r="H500" s="214"/>
      <c r="I500" s="214"/>
      <c r="J500" s="214"/>
      <c r="K500" s="214"/>
    </row>
    <row r="501" spans="4:11" ht="12.75" x14ac:dyDescent="0.2">
      <c r="D501" s="214"/>
      <c r="E501" s="214"/>
      <c r="F501" s="214"/>
      <c r="G501" s="214"/>
      <c r="H501" s="214"/>
      <c r="I501" s="214"/>
      <c r="J501" s="214"/>
      <c r="K501" s="214"/>
    </row>
    <row r="502" spans="4:11" ht="12.75" x14ac:dyDescent="0.2">
      <c r="D502" s="214"/>
      <c r="E502" s="214"/>
      <c r="F502" s="214"/>
      <c r="G502" s="214"/>
      <c r="H502" s="214"/>
      <c r="I502" s="214"/>
      <c r="J502" s="214"/>
      <c r="K502" s="214"/>
    </row>
    <row r="503" spans="4:11" ht="12.75" x14ac:dyDescent="0.2">
      <c r="D503" s="214"/>
      <c r="E503" s="214"/>
      <c r="F503" s="214"/>
      <c r="G503" s="214"/>
      <c r="H503" s="214"/>
      <c r="I503" s="214"/>
      <c r="J503" s="214"/>
      <c r="K503" s="214"/>
    </row>
    <row r="504" spans="4:11" ht="12.75" x14ac:dyDescent="0.2">
      <c r="D504" s="214"/>
      <c r="E504" s="214"/>
      <c r="F504" s="214"/>
      <c r="G504" s="214"/>
      <c r="H504" s="214"/>
      <c r="I504" s="214"/>
      <c r="J504" s="214"/>
      <c r="K504" s="214"/>
    </row>
    <row r="505" spans="4:11" ht="12.75" x14ac:dyDescent="0.2">
      <c r="D505" s="214"/>
      <c r="E505" s="214"/>
      <c r="F505" s="214"/>
      <c r="G505" s="214"/>
      <c r="H505" s="214"/>
      <c r="I505" s="214"/>
      <c r="J505" s="214"/>
      <c r="K505" s="214"/>
    </row>
    <row r="506" spans="4:11" ht="12.75" x14ac:dyDescent="0.2">
      <c r="D506" s="214"/>
      <c r="E506" s="214"/>
      <c r="F506" s="214"/>
      <c r="G506" s="214"/>
      <c r="H506" s="214"/>
      <c r="I506" s="214"/>
      <c r="J506" s="214"/>
      <c r="K506" s="214"/>
    </row>
    <row r="507" spans="4:11" ht="12.75" x14ac:dyDescent="0.2">
      <c r="D507" s="214"/>
      <c r="E507" s="214"/>
      <c r="F507" s="214"/>
      <c r="G507" s="214"/>
      <c r="H507" s="214"/>
      <c r="I507" s="214"/>
      <c r="J507" s="214"/>
      <c r="K507" s="214"/>
    </row>
    <row r="508" spans="4:11" ht="12.75" x14ac:dyDescent="0.2">
      <c r="D508" s="214"/>
      <c r="E508" s="214"/>
      <c r="F508" s="214"/>
      <c r="G508" s="214"/>
      <c r="H508" s="214"/>
      <c r="I508" s="214"/>
      <c r="J508" s="214"/>
      <c r="K508" s="214"/>
    </row>
    <row r="509" spans="4:11" ht="12.75" x14ac:dyDescent="0.2">
      <c r="D509" s="214"/>
      <c r="E509" s="214"/>
      <c r="F509" s="214"/>
      <c r="G509" s="214"/>
      <c r="H509" s="214"/>
      <c r="I509" s="214"/>
      <c r="J509" s="214"/>
      <c r="K509" s="214"/>
    </row>
    <row r="510" spans="4:11" ht="12.75" x14ac:dyDescent="0.2">
      <c r="D510" s="214"/>
      <c r="E510" s="214"/>
      <c r="F510" s="214"/>
      <c r="G510" s="214"/>
      <c r="H510" s="214"/>
      <c r="I510" s="214"/>
      <c r="J510" s="214"/>
      <c r="K510" s="214"/>
    </row>
    <row r="511" spans="4:11" ht="12.75" x14ac:dyDescent="0.2">
      <c r="D511" s="214"/>
      <c r="E511" s="214"/>
      <c r="F511" s="214"/>
      <c r="G511" s="214"/>
      <c r="H511" s="214"/>
      <c r="I511" s="214"/>
      <c r="J511" s="214"/>
      <c r="K511" s="214"/>
    </row>
    <row r="512" spans="4:11" ht="12.75" x14ac:dyDescent="0.2">
      <c r="D512" s="214"/>
      <c r="E512" s="214"/>
      <c r="F512" s="214"/>
      <c r="G512" s="214"/>
      <c r="H512" s="214"/>
      <c r="I512" s="214"/>
      <c r="J512" s="214"/>
      <c r="K512" s="214"/>
    </row>
    <row r="513" spans="4:11" ht="12.75" x14ac:dyDescent="0.2">
      <c r="D513" s="214"/>
      <c r="E513" s="214"/>
      <c r="F513" s="214"/>
      <c r="G513" s="214"/>
      <c r="H513" s="214"/>
      <c r="I513" s="214"/>
      <c r="J513" s="214"/>
      <c r="K513" s="214"/>
    </row>
    <row r="514" spans="4:11" ht="12.75" x14ac:dyDescent="0.2">
      <c r="D514" s="214"/>
      <c r="E514" s="214"/>
      <c r="F514" s="214"/>
      <c r="G514" s="214"/>
      <c r="H514" s="214"/>
      <c r="I514" s="214"/>
      <c r="J514" s="214"/>
      <c r="K514" s="214"/>
    </row>
    <row r="515" spans="4:11" ht="12.75" x14ac:dyDescent="0.2">
      <c r="D515" s="214"/>
      <c r="E515" s="214"/>
      <c r="F515" s="214"/>
      <c r="G515" s="214"/>
      <c r="H515" s="214"/>
      <c r="I515" s="214"/>
      <c r="J515" s="214"/>
      <c r="K515" s="214"/>
    </row>
    <row r="516" spans="4:11" ht="12.75" x14ac:dyDescent="0.2">
      <c r="D516" s="214"/>
      <c r="E516" s="214"/>
      <c r="F516" s="214"/>
      <c r="G516" s="214"/>
      <c r="H516" s="214"/>
      <c r="I516" s="214"/>
      <c r="J516" s="214"/>
      <c r="K516" s="214"/>
    </row>
    <row r="517" spans="4:11" ht="12.75" x14ac:dyDescent="0.2">
      <c r="D517" s="214"/>
      <c r="E517" s="214"/>
      <c r="F517" s="214"/>
      <c r="G517" s="214"/>
      <c r="H517" s="214"/>
      <c r="I517" s="214"/>
      <c r="J517" s="214"/>
      <c r="K517" s="214"/>
    </row>
    <row r="518" spans="4:11" ht="12.75" x14ac:dyDescent="0.2">
      <c r="D518" s="214"/>
      <c r="E518" s="214"/>
      <c r="F518" s="214"/>
      <c r="G518" s="214"/>
      <c r="H518" s="214"/>
      <c r="I518" s="214"/>
      <c r="J518" s="214"/>
      <c r="K518" s="214"/>
    </row>
    <row r="519" spans="4:11" ht="12.75" x14ac:dyDescent="0.2">
      <c r="D519" s="214"/>
      <c r="E519" s="214"/>
      <c r="F519" s="214"/>
      <c r="G519" s="214"/>
      <c r="H519" s="214"/>
      <c r="I519" s="214"/>
      <c r="J519" s="214"/>
      <c r="K519" s="214"/>
    </row>
    <row r="520" spans="4:11" ht="12.75" x14ac:dyDescent="0.2">
      <c r="D520" s="214"/>
      <c r="E520" s="214"/>
      <c r="F520" s="214"/>
      <c r="G520" s="214"/>
      <c r="H520" s="214"/>
      <c r="I520" s="214"/>
      <c r="J520" s="214"/>
      <c r="K520" s="214"/>
    </row>
    <row r="521" spans="4:11" ht="12.75" x14ac:dyDescent="0.2">
      <c r="D521" s="214"/>
      <c r="E521" s="214"/>
      <c r="F521" s="214"/>
      <c r="G521" s="214"/>
      <c r="H521" s="214"/>
      <c r="I521" s="214"/>
      <c r="J521" s="214"/>
      <c r="K521" s="214"/>
    </row>
    <row r="522" spans="4:11" ht="12.75" x14ac:dyDescent="0.2">
      <c r="D522" s="214"/>
      <c r="E522" s="214"/>
      <c r="F522" s="214"/>
      <c r="G522" s="214"/>
      <c r="H522" s="214"/>
      <c r="I522" s="214"/>
      <c r="J522" s="214"/>
      <c r="K522" s="214"/>
    </row>
    <row r="523" spans="4:11" ht="12.75" x14ac:dyDescent="0.2">
      <c r="D523" s="214"/>
      <c r="E523" s="214"/>
      <c r="F523" s="214"/>
      <c r="G523" s="214"/>
      <c r="H523" s="214"/>
      <c r="I523" s="214"/>
      <c r="J523" s="214"/>
      <c r="K523" s="214"/>
    </row>
    <row r="524" spans="4:11" ht="12.75" x14ac:dyDescent="0.2">
      <c r="D524" s="214"/>
      <c r="E524" s="214"/>
      <c r="F524" s="214"/>
      <c r="G524" s="214"/>
      <c r="H524" s="214"/>
      <c r="I524" s="214"/>
      <c r="J524" s="214"/>
      <c r="K524" s="214"/>
    </row>
    <row r="525" spans="4:11" ht="12.75" x14ac:dyDescent="0.2">
      <c r="D525" s="214"/>
      <c r="E525" s="214"/>
      <c r="F525" s="214"/>
      <c r="G525" s="214"/>
      <c r="H525" s="214"/>
      <c r="I525" s="214"/>
      <c r="J525" s="214"/>
      <c r="K525" s="214"/>
    </row>
    <row r="526" spans="4:11" ht="12.75" x14ac:dyDescent="0.2">
      <c r="D526" s="214"/>
      <c r="E526" s="214"/>
      <c r="F526" s="214"/>
      <c r="G526" s="214"/>
      <c r="H526" s="214"/>
      <c r="I526" s="214"/>
      <c r="J526" s="214"/>
      <c r="K526" s="214"/>
    </row>
    <row r="527" spans="4:11" ht="12.75" x14ac:dyDescent="0.2">
      <c r="D527" s="214"/>
      <c r="E527" s="214"/>
      <c r="F527" s="214"/>
      <c r="G527" s="214"/>
      <c r="H527" s="214"/>
      <c r="I527" s="214"/>
      <c r="J527" s="214"/>
      <c r="K527" s="214"/>
    </row>
    <row r="528" spans="4:11" ht="12.75" x14ac:dyDescent="0.2">
      <c r="D528" s="214"/>
      <c r="E528" s="214"/>
      <c r="F528" s="214"/>
      <c r="G528" s="214"/>
      <c r="H528" s="214"/>
      <c r="I528" s="214"/>
      <c r="J528" s="214"/>
      <c r="K528" s="214"/>
    </row>
    <row r="529" spans="4:11" ht="12.75" x14ac:dyDescent="0.2">
      <c r="D529" s="214"/>
      <c r="E529" s="214"/>
      <c r="F529" s="214"/>
      <c r="G529" s="214"/>
      <c r="H529" s="214"/>
      <c r="I529" s="214"/>
      <c r="J529" s="214"/>
      <c r="K529" s="214"/>
    </row>
    <row r="530" spans="4:11" ht="12.75" x14ac:dyDescent="0.2">
      <c r="D530" s="214"/>
      <c r="E530" s="214"/>
      <c r="F530" s="214"/>
      <c r="G530" s="214"/>
      <c r="H530" s="214"/>
      <c r="I530" s="214"/>
      <c r="J530" s="214"/>
      <c r="K530" s="214"/>
    </row>
    <row r="531" spans="4:11" ht="12.75" x14ac:dyDescent="0.2">
      <c r="D531" s="214"/>
      <c r="E531" s="214"/>
      <c r="F531" s="214"/>
      <c r="G531" s="214"/>
      <c r="H531" s="214"/>
      <c r="I531" s="214"/>
      <c r="J531" s="214"/>
      <c r="K531" s="214"/>
    </row>
    <row r="532" spans="4:11" ht="12.75" x14ac:dyDescent="0.2">
      <c r="D532" s="214"/>
      <c r="E532" s="214"/>
      <c r="F532" s="214"/>
      <c r="G532" s="214"/>
      <c r="H532" s="214"/>
      <c r="I532" s="214"/>
      <c r="J532" s="214"/>
      <c r="K532" s="214"/>
    </row>
    <row r="533" spans="4:11" ht="12.75" x14ac:dyDescent="0.2">
      <c r="D533" s="214"/>
      <c r="E533" s="214"/>
      <c r="F533" s="214"/>
      <c r="G533" s="214"/>
      <c r="H533" s="214"/>
      <c r="I533" s="214"/>
      <c r="J533" s="214"/>
      <c r="K533" s="214"/>
    </row>
    <row r="534" spans="4:11" ht="12.75" x14ac:dyDescent="0.2">
      <c r="D534" s="214"/>
      <c r="E534" s="214"/>
      <c r="F534" s="214"/>
      <c r="G534" s="214"/>
      <c r="H534" s="214"/>
      <c r="I534" s="214"/>
      <c r="J534" s="214"/>
      <c r="K534" s="214"/>
    </row>
    <row r="535" spans="4:11" ht="12.75" x14ac:dyDescent="0.2">
      <c r="D535" s="214"/>
      <c r="E535" s="214"/>
      <c r="F535" s="214"/>
      <c r="G535" s="214"/>
      <c r="H535" s="214"/>
      <c r="I535" s="214"/>
      <c r="J535" s="214"/>
      <c r="K535" s="214"/>
    </row>
    <row r="536" spans="4:11" ht="12.75" x14ac:dyDescent="0.2">
      <c r="D536" s="214"/>
      <c r="E536" s="214"/>
      <c r="F536" s="214"/>
      <c r="G536" s="214"/>
      <c r="H536" s="214"/>
      <c r="I536" s="214"/>
      <c r="J536" s="214"/>
      <c r="K536" s="214"/>
    </row>
    <row r="537" spans="4:11" ht="12.75" x14ac:dyDescent="0.2">
      <c r="D537" s="214"/>
      <c r="E537" s="214"/>
      <c r="F537" s="214"/>
      <c r="G537" s="214"/>
      <c r="H537" s="214"/>
      <c r="I537" s="214"/>
      <c r="J537" s="214"/>
      <c r="K537" s="214"/>
    </row>
    <row r="538" spans="4:11" ht="12.75" x14ac:dyDescent="0.2">
      <c r="D538" s="214"/>
      <c r="E538" s="214"/>
      <c r="F538" s="214"/>
      <c r="G538" s="214"/>
      <c r="H538" s="214"/>
      <c r="I538" s="214"/>
      <c r="J538" s="214"/>
      <c r="K538" s="214"/>
    </row>
    <row r="539" spans="4:11" ht="12.75" x14ac:dyDescent="0.2">
      <c r="D539" s="214"/>
      <c r="E539" s="214"/>
      <c r="F539" s="214"/>
      <c r="G539" s="214"/>
      <c r="H539" s="214"/>
      <c r="I539" s="214"/>
      <c r="J539" s="214"/>
      <c r="K539" s="214"/>
    </row>
    <row r="540" spans="4:11" ht="12.75" x14ac:dyDescent="0.2">
      <c r="D540" s="214"/>
      <c r="E540" s="214"/>
      <c r="F540" s="214"/>
      <c r="G540" s="214"/>
      <c r="H540" s="214"/>
      <c r="I540" s="214"/>
      <c r="J540" s="214"/>
      <c r="K540" s="214"/>
    </row>
    <row r="541" spans="4:11" ht="12.75" x14ac:dyDescent="0.2">
      <c r="D541" s="214"/>
      <c r="E541" s="214"/>
      <c r="F541" s="214"/>
      <c r="G541" s="214"/>
      <c r="H541" s="214"/>
      <c r="I541" s="214"/>
      <c r="J541" s="214"/>
      <c r="K541" s="214"/>
    </row>
    <row r="542" spans="4:11" ht="12.75" x14ac:dyDescent="0.2">
      <c r="D542" s="214"/>
      <c r="E542" s="214"/>
      <c r="F542" s="214"/>
      <c r="G542" s="214"/>
      <c r="H542" s="214"/>
      <c r="I542" s="214"/>
      <c r="J542" s="214"/>
      <c r="K542" s="214"/>
    </row>
    <row r="543" spans="4:11" ht="12.75" x14ac:dyDescent="0.2">
      <c r="D543" s="214"/>
      <c r="E543" s="214"/>
      <c r="F543" s="214"/>
      <c r="G543" s="214"/>
      <c r="H543" s="214"/>
      <c r="I543" s="214"/>
      <c r="J543" s="214"/>
      <c r="K543" s="214"/>
    </row>
    <row r="544" spans="4:11" ht="12.75" x14ac:dyDescent="0.2">
      <c r="D544" s="214"/>
      <c r="E544" s="214"/>
      <c r="F544" s="214"/>
      <c r="G544" s="214"/>
      <c r="H544" s="214"/>
      <c r="I544" s="214"/>
      <c r="J544" s="214"/>
      <c r="K544" s="214"/>
    </row>
    <row r="545" spans="4:11" ht="12.75" x14ac:dyDescent="0.2">
      <c r="D545" s="214"/>
      <c r="E545" s="214"/>
      <c r="F545" s="214"/>
      <c r="G545" s="214"/>
      <c r="H545" s="214"/>
      <c r="I545" s="214"/>
      <c r="J545" s="214"/>
      <c r="K545" s="214"/>
    </row>
    <row r="546" spans="4:11" ht="12.75" x14ac:dyDescent="0.2">
      <c r="D546" s="214"/>
      <c r="E546" s="214"/>
      <c r="F546" s="214"/>
      <c r="G546" s="214"/>
      <c r="H546" s="214"/>
      <c r="I546" s="214"/>
      <c r="J546" s="214"/>
      <c r="K546" s="214"/>
    </row>
    <row r="547" spans="4:11" ht="12.75" x14ac:dyDescent="0.2">
      <c r="D547" s="214"/>
      <c r="E547" s="214"/>
      <c r="F547" s="214"/>
      <c r="G547" s="214"/>
      <c r="H547" s="214"/>
      <c r="I547" s="214"/>
      <c r="J547" s="214"/>
      <c r="K547" s="214"/>
    </row>
    <row r="548" spans="4:11" ht="12.75" x14ac:dyDescent="0.2">
      <c r="D548" s="214"/>
      <c r="E548" s="214"/>
      <c r="F548" s="214"/>
      <c r="G548" s="214"/>
      <c r="H548" s="214"/>
      <c r="I548" s="214"/>
      <c r="J548" s="214"/>
      <c r="K548" s="214"/>
    </row>
    <row r="549" spans="4:11" ht="12.75" x14ac:dyDescent="0.2">
      <c r="D549" s="214"/>
      <c r="E549" s="214"/>
      <c r="F549" s="214"/>
      <c r="G549" s="214"/>
      <c r="H549" s="214"/>
      <c r="I549" s="214"/>
      <c r="J549" s="214"/>
      <c r="K549" s="214"/>
    </row>
    <row r="550" spans="4:11" ht="12.75" x14ac:dyDescent="0.2">
      <c r="D550" s="214"/>
      <c r="E550" s="214"/>
      <c r="F550" s="214"/>
      <c r="G550" s="214"/>
      <c r="H550" s="214"/>
      <c r="I550" s="214"/>
      <c r="J550" s="214"/>
      <c r="K550" s="214"/>
    </row>
    <row r="551" spans="4:11" ht="12.75" x14ac:dyDescent="0.2">
      <c r="D551" s="214"/>
      <c r="E551" s="214"/>
      <c r="F551" s="214"/>
      <c r="G551" s="214"/>
      <c r="H551" s="214"/>
      <c r="I551" s="214"/>
      <c r="J551" s="214"/>
      <c r="K551" s="214"/>
    </row>
    <row r="552" spans="4:11" ht="12.75" x14ac:dyDescent="0.2">
      <c r="D552" s="214"/>
      <c r="E552" s="214"/>
      <c r="F552" s="214"/>
      <c r="G552" s="214"/>
      <c r="H552" s="214"/>
      <c r="I552" s="214"/>
      <c r="J552" s="214"/>
      <c r="K552" s="214"/>
    </row>
    <row r="553" spans="4:11" ht="12.75" x14ac:dyDescent="0.2">
      <c r="D553" s="214"/>
      <c r="E553" s="214"/>
      <c r="F553" s="214"/>
      <c r="G553" s="214"/>
      <c r="H553" s="214"/>
      <c r="I553" s="214"/>
      <c r="J553" s="214"/>
      <c r="K553" s="214"/>
    </row>
    <row r="554" spans="4:11" ht="12.75" x14ac:dyDescent="0.2">
      <c r="D554" s="214"/>
      <c r="E554" s="214"/>
      <c r="F554" s="214"/>
      <c r="G554" s="214"/>
      <c r="H554" s="214"/>
      <c r="I554" s="214"/>
      <c r="J554" s="214"/>
      <c r="K554" s="214"/>
    </row>
    <row r="555" spans="4:11" ht="12.75" x14ac:dyDescent="0.2">
      <c r="D555" s="214"/>
      <c r="E555" s="214"/>
      <c r="F555" s="214"/>
      <c r="G555" s="214"/>
      <c r="H555" s="214"/>
      <c r="I555" s="214"/>
      <c r="J555" s="214"/>
      <c r="K555" s="214"/>
    </row>
    <row r="556" spans="4:11" ht="12.75" x14ac:dyDescent="0.2">
      <c r="D556" s="214"/>
      <c r="E556" s="214"/>
      <c r="F556" s="214"/>
      <c r="G556" s="214"/>
      <c r="H556" s="214"/>
      <c r="I556" s="214"/>
      <c r="J556" s="214"/>
      <c r="K556" s="214"/>
    </row>
    <row r="557" spans="4:11" ht="12.75" x14ac:dyDescent="0.2">
      <c r="D557" s="214"/>
      <c r="E557" s="214"/>
      <c r="F557" s="214"/>
      <c r="G557" s="214"/>
      <c r="H557" s="214"/>
      <c r="I557" s="214"/>
      <c r="J557" s="214"/>
      <c r="K557" s="214"/>
    </row>
    <row r="558" spans="4:11" ht="12.75" x14ac:dyDescent="0.2">
      <c r="D558" s="214"/>
      <c r="E558" s="214"/>
      <c r="F558" s="214"/>
      <c r="G558" s="214"/>
      <c r="H558" s="214"/>
      <c r="I558" s="214"/>
      <c r="J558" s="214"/>
      <c r="K558" s="214"/>
    </row>
    <row r="559" spans="4:11" ht="12.75" x14ac:dyDescent="0.2">
      <c r="D559" s="214"/>
      <c r="E559" s="214"/>
      <c r="F559" s="214"/>
      <c r="G559" s="214"/>
      <c r="H559" s="214"/>
      <c r="I559" s="214"/>
      <c r="J559" s="214"/>
      <c r="K559" s="214"/>
    </row>
    <row r="560" spans="4:11" ht="12.75" x14ac:dyDescent="0.2">
      <c r="D560" s="214"/>
      <c r="E560" s="214"/>
      <c r="F560" s="214"/>
      <c r="G560" s="214"/>
      <c r="H560" s="214"/>
      <c r="I560" s="214"/>
      <c r="J560" s="214"/>
      <c r="K560" s="214"/>
    </row>
    <row r="561" spans="4:11" ht="12.75" x14ac:dyDescent="0.2">
      <c r="D561" s="214"/>
      <c r="E561" s="214"/>
      <c r="F561" s="214"/>
      <c r="G561" s="214"/>
      <c r="H561" s="214"/>
      <c r="I561" s="214"/>
      <c r="J561" s="214"/>
      <c r="K561" s="214"/>
    </row>
    <row r="562" spans="4:11" ht="12.75" x14ac:dyDescent="0.2">
      <c r="D562" s="214"/>
      <c r="E562" s="214"/>
      <c r="F562" s="214"/>
      <c r="G562" s="214"/>
      <c r="H562" s="214"/>
      <c r="I562" s="214"/>
      <c r="J562" s="214"/>
      <c r="K562" s="214"/>
    </row>
    <row r="563" spans="4:11" ht="12.75" x14ac:dyDescent="0.2">
      <c r="D563" s="214"/>
      <c r="E563" s="214"/>
      <c r="F563" s="214"/>
      <c r="G563" s="214"/>
      <c r="H563" s="214"/>
      <c r="I563" s="214"/>
      <c r="J563" s="214"/>
      <c r="K563" s="214"/>
    </row>
    <row r="564" spans="4:11" ht="12.75" x14ac:dyDescent="0.2">
      <c r="D564" s="214"/>
      <c r="E564" s="214"/>
      <c r="F564" s="214"/>
      <c r="G564" s="214"/>
      <c r="H564" s="214"/>
      <c r="I564" s="214"/>
      <c r="J564" s="214"/>
      <c r="K564" s="214"/>
    </row>
    <row r="565" spans="4:11" ht="12.75" x14ac:dyDescent="0.2">
      <c r="D565" s="214"/>
      <c r="E565" s="214"/>
      <c r="F565" s="214"/>
      <c r="G565" s="214"/>
      <c r="H565" s="214"/>
      <c r="I565" s="214"/>
      <c r="J565" s="214"/>
      <c r="K565" s="214"/>
    </row>
    <row r="566" spans="4:11" ht="12.75" x14ac:dyDescent="0.2">
      <c r="D566" s="214"/>
      <c r="E566" s="214"/>
      <c r="F566" s="214"/>
      <c r="G566" s="214"/>
      <c r="H566" s="214"/>
      <c r="I566" s="214"/>
      <c r="J566" s="214"/>
      <c r="K566" s="214"/>
    </row>
    <row r="567" spans="4:11" ht="12.75" x14ac:dyDescent="0.2">
      <c r="D567" s="214"/>
      <c r="E567" s="214"/>
      <c r="F567" s="214"/>
      <c r="G567" s="214"/>
      <c r="H567" s="214"/>
      <c r="I567" s="214"/>
      <c r="J567" s="214"/>
      <c r="K567" s="214"/>
    </row>
    <row r="568" spans="4:11" ht="12.75" x14ac:dyDescent="0.2">
      <c r="D568" s="214"/>
      <c r="E568" s="214"/>
      <c r="F568" s="214"/>
      <c r="G568" s="214"/>
      <c r="H568" s="214"/>
      <c r="I568" s="214"/>
      <c r="J568" s="214"/>
      <c r="K568" s="214"/>
    </row>
    <row r="569" spans="4:11" ht="12.75" x14ac:dyDescent="0.2">
      <c r="D569" s="214"/>
      <c r="E569" s="214"/>
      <c r="F569" s="214"/>
      <c r="G569" s="214"/>
      <c r="H569" s="214"/>
      <c r="I569" s="214"/>
      <c r="J569" s="214"/>
      <c r="K569" s="214"/>
    </row>
    <row r="570" spans="4:11" ht="12.75" x14ac:dyDescent="0.2">
      <c r="D570" s="214"/>
      <c r="E570" s="214"/>
      <c r="F570" s="214"/>
      <c r="G570" s="214"/>
      <c r="H570" s="214"/>
      <c r="I570" s="214"/>
      <c r="J570" s="214"/>
      <c r="K570" s="214"/>
    </row>
    <row r="571" spans="4:11" ht="12.75" x14ac:dyDescent="0.2">
      <c r="D571" s="214"/>
      <c r="E571" s="214"/>
      <c r="F571" s="214"/>
      <c r="G571" s="214"/>
      <c r="H571" s="214"/>
      <c r="I571" s="214"/>
      <c r="J571" s="214"/>
      <c r="K571" s="214"/>
    </row>
    <row r="572" spans="4:11" ht="12.75" x14ac:dyDescent="0.2">
      <c r="D572" s="214"/>
      <c r="E572" s="214"/>
      <c r="F572" s="214"/>
      <c r="G572" s="214"/>
      <c r="H572" s="214"/>
      <c r="I572" s="214"/>
      <c r="J572" s="214"/>
      <c r="K572" s="214"/>
    </row>
    <row r="573" spans="4:11" ht="12.75" x14ac:dyDescent="0.2">
      <c r="D573" s="214"/>
      <c r="E573" s="214"/>
      <c r="F573" s="214"/>
      <c r="G573" s="214"/>
      <c r="H573" s="214"/>
      <c r="I573" s="214"/>
      <c r="J573" s="214"/>
      <c r="K573" s="214"/>
    </row>
    <row r="574" spans="4:11" ht="12.75" x14ac:dyDescent="0.2">
      <c r="D574" s="214"/>
      <c r="E574" s="214"/>
      <c r="F574" s="214"/>
      <c r="G574" s="214"/>
      <c r="H574" s="214"/>
      <c r="I574" s="214"/>
      <c r="J574" s="214"/>
      <c r="K574" s="214"/>
    </row>
    <row r="575" spans="4:11" ht="12.75" x14ac:dyDescent="0.2">
      <c r="D575" s="214"/>
      <c r="E575" s="214"/>
      <c r="F575" s="214"/>
      <c r="G575" s="214"/>
      <c r="H575" s="214"/>
      <c r="I575" s="214"/>
      <c r="J575" s="214"/>
      <c r="K575" s="214"/>
    </row>
    <row r="576" spans="4:11" ht="12.75" x14ac:dyDescent="0.2">
      <c r="D576" s="214"/>
      <c r="E576" s="214"/>
      <c r="F576" s="214"/>
      <c r="G576" s="214"/>
      <c r="H576" s="214"/>
      <c r="I576" s="214"/>
      <c r="J576" s="214"/>
      <c r="K576" s="214"/>
    </row>
    <row r="577" spans="4:11" ht="12.75" x14ac:dyDescent="0.2">
      <c r="D577" s="214"/>
      <c r="E577" s="214"/>
      <c r="F577" s="214"/>
      <c r="G577" s="214"/>
      <c r="H577" s="214"/>
      <c r="I577" s="214"/>
      <c r="J577" s="214"/>
      <c r="K577" s="214"/>
    </row>
    <row r="578" spans="4:11" ht="12.75" x14ac:dyDescent="0.2">
      <c r="D578" s="214"/>
      <c r="E578" s="214"/>
      <c r="F578" s="214"/>
      <c r="G578" s="214"/>
      <c r="H578" s="214"/>
      <c r="I578" s="214"/>
      <c r="J578" s="214"/>
      <c r="K578" s="214"/>
    </row>
    <row r="579" spans="4:11" ht="12.75" x14ac:dyDescent="0.2">
      <c r="D579" s="214"/>
      <c r="E579" s="214"/>
      <c r="F579" s="214"/>
      <c r="G579" s="214"/>
      <c r="H579" s="214"/>
      <c r="I579" s="214"/>
      <c r="J579" s="214"/>
      <c r="K579" s="214"/>
    </row>
    <row r="580" spans="4:11" ht="12.75" x14ac:dyDescent="0.2">
      <c r="D580" s="214"/>
      <c r="E580" s="214"/>
      <c r="F580" s="214"/>
      <c r="G580" s="214"/>
      <c r="H580" s="214"/>
      <c r="I580" s="214"/>
      <c r="J580" s="214"/>
      <c r="K580" s="214"/>
    </row>
    <row r="581" spans="4:11" ht="12.75" x14ac:dyDescent="0.2">
      <c r="D581" s="214"/>
      <c r="E581" s="214"/>
      <c r="F581" s="214"/>
      <c r="G581" s="214"/>
      <c r="H581" s="214"/>
      <c r="I581" s="214"/>
      <c r="J581" s="214"/>
      <c r="K581" s="214"/>
    </row>
    <row r="582" spans="4:11" ht="12.75" x14ac:dyDescent="0.2">
      <c r="D582" s="214"/>
      <c r="E582" s="214"/>
      <c r="F582" s="214"/>
      <c r="G582" s="214"/>
      <c r="H582" s="214"/>
      <c r="I582" s="214"/>
      <c r="J582" s="214"/>
      <c r="K582" s="214"/>
    </row>
    <row r="583" spans="4:11" ht="12.75" x14ac:dyDescent="0.2">
      <c r="D583" s="214"/>
      <c r="E583" s="214"/>
      <c r="F583" s="214"/>
      <c r="G583" s="214"/>
      <c r="H583" s="214"/>
      <c r="I583" s="214"/>
      <c r="J583" s="214"/>
      <c r="K583" s="214"/>
    </row>
    <row r="584" spans="4:11" ht="12.75" x14ac:dyDescent="0.2">
      <c r="D584" s="214"/>
      <c r="E584" s="214"/>
      <c r="F584" s="214"/>
      <c r="G584" s="214"/>
      <c r="H584" s="214"/>
      <c r="I584" s="214"/>
      <c r="J584" s="214"/>
      <c r="K584" s="214"/>
    </row>
    <row r="585" spans="4:11" ht="12.75" x14ac:dyDescent="0.2">
      <c r="D585" s="214"/>
      <c r="E585" s="214"/>
      <c r="F585" s="214"/>
      <c r="G585" s="214"/>
      <c r="H585" s="214"/>
      <c r="I585" s="214"/>
      <c r="J585" s="214"/>
      <c r="K585" s="214"/>
    </row>
    <row r="586" spans="4:11" ht="12.75" x14ac:dyDescent="0.2">
      <c r="D586" s="214"/>
      <c r="E586" s="214"/>
      <c r="F586" s="214"/>
      <c r="G586" s="214"/>
      <c r="H586" s="214"/>
      <c r="I586" s="214"/>
      <c r="J586" s="214"/>
      <c r="K586" s="214"/>
    </row>
    <row r="587" spans="4:11" ht="12.75" x14ac:dyDescent="0.2">
      <c r="D587" s="214"/>
      <c r="E587" s="214"/>
      <c r="F587" s="214"/>
      <c r="G587" s="214"/>
      <c r="H587" s="214"/>
      <c r="I587" s="214"/>
      <c r="J587" s="214"/>
      <c r="K587" s="214"/>
    </row>
    <row r="588" spans="4:11" ht="12.75" x14ac:dyDescent="0.2">
      <c r="D588" s="214"/>
      <c r="E588" s="214"/>
      <c r="F588" s="214"/>
      <c r="G588" s="214"/>
      <c r="H588" s="214"/>
      <c r="I588" s="214"/>
      <c r="J588" s="214"/>
      <c r="K588" s="214"/>
    </row>
    <row r="589" spans="4:11" ht="12.75" x14ac:dyDescent="0.2">
      <c r="D589" s="214"/>
      <c r="E589" s="214"/>
      <c r="F589" s="214"/>
      <c r="G589" s="214"/>
      <c r="H589" s="214"/>
      <c r="I589" s="214"/>
      <c r="J589" s="214"/>
      <c r="K589" s="214"/>
    </row>
    <row r="590" spans="4:11" ht="12.75" x14ac:dyDescent="0.2">
      <c r="D590" s="214"/>
      <c r="E590" s="214"/>
      <c r="F590" s="214"/>
      <c r="G590" s="214"/>
      <c r="H590" s="214"/>
      <c r="I590" s="214"/>
      <c r="J590" s="214"/>
      <c r="K590" s="214"/>
    </row>
    <row r="591" spans="4:11" ht="12.75" x14ac:dyDescent="0.2">
      <c r="D591" s="214"/>
      <c r="E591" s="214"/>
      <c r="F591" s="214"/>
      <c r="G591" s="214"/>
      <c r="H591" s="214"/>
      <c r="I591" s="214"/>
      <c r="J591" s="214"/>
      <c r="K591" s="214"/>
    </row>
    <row r="592" spans="4:11" ht="12.75" x14ac:dyDescent="0.2">
      <c r="D592" s="214"/>
      <c r="E592" s="214"/>
      <c r="F592" s="214"/>
      <c r="G592" s="214"/>
      <c r="H592" s="214"/>
      <c r="I592" s="214"/>
      <c r="J592" s="214"/>
      <c r="K592" s="214"/>
    </row>
    <row r="593" spans="4:11" ht="12.75" x14ac:dyDescent="0.2">
      <c r="D593" s="214"/>
      <c r="E593" s="214"/>
      <c r="F593" s="214"/>
      <c r="G593" s="214"/>
      <c r="H593" s="214"/>
      <c r="I593" s="214"/>
      <c r="J593" s="214"/>
      <c r="K593" s="214"/>
    </row>
    <row r="594" spans="4:11" ht="12.75" x14ac:dyDescent="0.2">
      <c r="D594" s="214"/>
      <c r="E594" s="214"/>
      <c r="F594" s="214"/>
      <c r="G594" s="214"/>
      <c r="H594" s="214"/>
      <c r="I594" s="214"/>
      <c r="J594" s="214"/>
      <c r="K594" s="214"/>
    </row>
    <row r="595" spans="4:11" ht="12.75" x14ac:dyDescent="0.2">
      <c r="D595" s="214"/>
      <c r="E595" s="214"/>
      <c r="F595" s="214"/>
      <c r="G595" s="214"/>
      <c r="H595" s="214"/>
      <c r="I595" s="214"/>
      <c r="J595" s="214"/>
      <c r="K595" s="214"/>
    </row>
    <row r="596" spans="4:11" ht="12.75" x14ac:dyDescent="0.2">
      <c r="D596" s="214"/>
      <c r="E596" s="214"/>
      <c r="F596" s="214"/>
      <c r="G596" s="214"/>
      <c r="H596" s="214"/>
      <c r="I596" s="214"/>
      <c r="J596" s="214"/>
      <c r="K596" s="214"/>
    </row>
    <row r="597" spans="4:11" ht="12.75" x14ac:dyDescent="0.2">
      <c r="D597" s="214"/>
      <c r="E597" s="214"/>
      <c r="F597" s="214"/>
      <c r="G597" s="214"/>
      <c r="H597" s="214"/>
      <c r="I597" s="214"/>
      <c r="J597" s="214"/>
      <c r="K597" s="214"/>
    </row>
    <row r="598" spans="4:11" ht="12.75" x14ac:dyDescent="0.2">
      <c r="D598" s="214"/>
      <c r="E598" s="214"/>
      <c r="F598" s="214"/>
      <c r="G598" s="214"/>
      <c r="H598" s="214"/>
      <c r="I598" s="214"/>
      <c r="J598" s="214"/>
      <c r="K598" s="214"/>
    </row>
    <row r="599" spans="4:11" ht="12.75" x14ac:dyDescent="0.2">
      <c r="D599" s="214"/>
      <c r="E599" s="214"/>
      <c r="F599" s="214"/>
      <c r="G599" s="214"/>
      <c r="H599" s="214"/>
      <c r="I599" s="214"/>
      <c r="J599" s="214"/>
      <c r="K599" s="214"/>
    </row>
    <row r="600" spans="4:11" ht="12.75" x14ac:dyDescent="0.2">
      <c r="D600" s="214"/>
      <c r="E600" s="214"/>
      <c r="F600" s="214"/>
      <c r="G600" s="214"/>
      <c r="H600" s="214"/>
      <c r="I600" s="214"/>
      <c r="J600" s="214"/>
      <c r="K600" s="214"/>
    </row>
    <row r="601" spans="4:11" ht="12.75" x14ac:dyDescent="0.2">
      <c r="D601" s="214"/>
      <c r="E601" s="214"/>
      <c r="F601" s="214"/>
      <c r="G601" s="214"/>
      <c r="H601" s="214"/>
      <c r="I601" s="214"/>
      <c r="J601" s="214"/>
      <c r="K601" s="214"/>
    </row>
    <row r="602" spans="4:11" ht="12.75" x14ac:dyDescent="0.2">
      <c r="D602" s="214"/>
      <c r="E602" s="214"/>
      <c r="F602" s="214"/>
      <c r="G602" s="214"/>
      <c r="H602" s="214"/>
      <c r="I602" s="214"/>
      <c r="J602" s="214"/>
      <c r="K602" s="214"/>
    </row>
    <row r="603" spans="4:11" ht="12.75" x14ac:dyDescent="0.2">
      <c r="D603" s="214"/>
      <c r="E603" s="214"/>
      <c r="F603" s="214"/>
      <c r="G603" s="214"/>
      <c r="H603" s="214"/>
      <c r="I603" s="214"/>
      <c r="J603" s="214"/>
      <c r="K603" s="214"/>
    </row>
    <row r="604" spans="4:11" ht="12.75" x14ac:dyDescent="0.2">
      <c r="D604" s="214"/>
      <c r="E604" s="214"/>
      <c r="F604" s="214"/>
      <c r="G604" s="214"/>
      <c r="H604" s="214"/>
      <c r="I604" s="214"/>
      <c r="J604" s="214"/>
      <c r="K604" s="214"/>
    </row>
    <row r="605" spans="4:11" ht="12.75" x14ac:dyDescent="0.2">
      <c r="D605" s="214"/>
      <c r="E605" s="214"/>
      <c r="F605" s="214"/>
      <c r="G605" s="214"/>
      <c r="H605" s="214"/>
      <c r="I605" s="214"/>
      <c r="J605" s="214"/>
      <c r="K605" s="214"/>
    </row>
    <row r="606" spans="4:11" ht="12.75" x14ac:dyDescent="0.2">
      <c r="D606" s="214"/>
      <c r="E606" s="214"/>
      <c r="F606" s="214"/>
      <c r="G606" s="214"/>
      <c r="H606" s="214"/>
      <c r="I606" s="214"/>
      <c r="J606" s="214"/>
      <c r="K606" s="214"/>
    </row>
    <row r="607" spans="4:11" ht="12.75" x14ac:dyDescent="0.2">
      <c r="D607" s="214"/>
      <c r="E607" s="214"/>
      <c r="F607" s="214"/>
      <c r="G607" s="214"/>
      <c r="H607" s="214"/>
      <c r="I607" s="214"/>
      <c r="J607" s="214"/>
      <c r="K607" s="214"/>
    </row>
    <row r="608" spans="4:11" ht="12.75" x14ac:dyDescent="0.2">
      <c r="D608" s="214"/>
      <c r="E608" s="214"/>
      <c r="F608" s="214"/>
      <c r="G608" s="214"/>
      <c r="H608" s="214"/>
      <c r="I608" s="214"/>
      <c r="J608" s="214"/>
      <c r="K608" s="214"/>
    </row>
    <row r="609" spans="4:11" ht="12.75" x14ac:dyDescent="0.2">
      <c r="D609" s="214"/>
      <c r="E609" s="214"/>
      <c r="F609" s="214"/>
      <c r="G609" s="214"/>
      <c r="H609" s="214"/>
      <c r="I609" s="214"/>
      <c r="J609" s="214"/>
      <c r="K609" s="214"/>
    </row>
    <row r="610" spans="4:11" ht="12.75" x14ac:dyDescent="0.2">
      <c r="D610" s="214"/>
      <c r="E610" s="214"/>
      <c r="F610" s="214"/>
      <c r="G610" s="214"/>
      <c r="H610" s="214"/>
      <c r="I610" s="214"/>
      <c r="J610" s="214"/>
      <c r="K610" s="214"/>
    </row>
    <row r="611" spans="4:11" ht="12.75" x14ac:dyDescent="0.2">
      <c r="D611" s="214"/>
      <c r="E611" s="214"/>
      <c r="F611" s="214"/>
      <c r="G611" s="214"/>
      <c r="H611" s="214"/>
      <c r="I611" s="214"/>
      <c r="J611" s="214"/>
      <c r="K611" s="214"/>
    </row>
    <row r="612" spans="4:11" ht="12.75" x14ac:dyDescent="0.2">
      <c r="D612" s="214"/>
      <c r="E612" s="214"/>
      <c r="F612" s="214"/>
      <c r="G612" s="214"/>
      <c r="H612" s="214"/>
      <c r="I612" s="214"/>
      <c r="J612" s="214"/>
      <c r="K612" s="214"/>
    </row>
    <row r="613" spans="4:11" ht="12.75" x14ac:dyDescent="0.2">
      <c r="D613" s="214"/>
      <c r="E613" s="214"/>
      <c r="F613" s="214"/>
      <c r="G613" s="214"/>
      <c r="H613" s="214"/>
      <c r="I613" s="214"/>
      <c r="J613" s="214"/>
      <c r="K613" s="214"/>
    </row>
    <row r="614" spans="4:11" ht="12.75" x14ac:dyDescent="0.2">
      <c r="D614" s="214"/>
      <c r="E614" s="214"/>
      <c r="F614" s="214"/>
      <c r="G614" s="214"/>
      <c r="H614" s="214"/>
      <c r="I614" s="214"/>
      <c r="J614" s="214"/>
      <c r="K614" s="214"/>
    </row>
    <row r="615" spans="4:11" ht="12.75" x14ac:dyDescent="0.2">
      <c r="D615" s="214"/>
      <c r="E615" s="214"/>
      <c r="F615" s="214"/>
      <c r="G615" s="214"/>
      <c r="H615" s="214"/>
      <c r="I615" s="214"/>
      <c r="J615" s="214"/>
      <c r="K615" s="214"/>
    </row>
    <row r="616" spans="4:11" ht="12.75" x14ac:dyDescent="0.2">
      <c r="D616" s="214"/>
      <c r="E616" s="214"/>
      <c r="F616" s="214"/>
      <c r="G616" s="214"/>
      <c r="H616" s="214"/>
      <c r="I616" s="214"/>
      <c r="J616" s="214"/>
      <c r="K616" s="214"/>
    </row>
    <row r="617" spans="4:11" ht="12.75" x14ac:dyDescent="0.2">
      <c r="D617" s="214"/>
      <c r="E617" s="214"/>
      <c r="F617" s="214"/>
      <c r="G617" s="214"/>
      <c r="H617" s="214"/>
      <c r="I617" s="214"/>
      <c r="J617" s="214"/>
      <c r="K617" s="214"/>
    </row>
    <row r="618" spans="4:11" ht="12.75" x14ac:dyDescent="0.2">
      <c r="D618" s="214"/>
      <c r="E618" s="214"/>
      <c r="F618" s="214"/>
      <c r="G618" s="214"/>
      <c r="H618" s="214"/>
      <c r="I618" s="214"/>
      <c r="J618" s="214"/>
      <c r="K618" s="214"/>
    </row>
    <row r="619" spans="4:11" ht="12.75" x14ac:dyDescent="0.2">
      <c r="D619" s="214"/>
      <c r="E619" s="214"/>
      <c r="F619" s="214"/>
      <c r="G619" s="214"/>
      <c r="H619" s="214"/>
      <c r="I619" s="214"/>
      <c r="J619" s="214"/>
      <c r="K619" s="214"/>
    </row>
    <row r="620" spans="4:11" ht="12.75" x14ac:dyDescent="0.2">
      <c r="D620" s="214"/>
      <c r="E620" s="214"/>
      <c r="F620" s="214"/>
      <c r="G620" s="214"/>
      <c r="H620" s="214"/>
      <c r="I620" s="214"/>
      <c r="J620" s="214"/>
      <c r="K620" s="214"/>
    </row>
    <row r="621" spans="4:11" ht="12.75" x14ac:dyDescent="0.2">
      <c r="D621" s="214"/>
      <c r="E621" s="214"/>
      <c r="F621" s="214"/>
      <c r="G621" s="214"/>
      <c r="H621" s="214"/>
      <c r="I621" s="214"/>
      <c r="J621" s="214"/>
      <c r="K621" s="214"/>
    </row>
    <row r="622" spans="4:11" ht="12.75" x14ac:dyDescent="0.2">
      <c r="D622" s="214"/>
      <c r="E622" s="214"/>
      <c r="F622" s="214"/>
      <c r="G622" s="214"/>
      <c r="H622" s="214"/>
      <c r="I622" s="214"/>
      <c r="J622" s="214"/>
      <c r="K622" s="214"/>
    </row>
    <row r="623" spans="4:11" ht="12.75" x14ac:dyDescent="0.2">
      <c r="D623" s="214"/>
      <c r="E623" s="214"/>
      <c r="F623" s="214"/>
      <c r="G623" s="214"/>
      <c r="H623" s="214"/>
      <c r="I623" s="214"/>
      <c r="J623" s="214"/>
      <c r="K623" s="214"/>
    </row>
    <row r="624" spans="4:11" ht="12.75" x14ac:dyDescent="0.2">
      <c r="D624" s="214"/>
      <c r="E624" s="214"/>
      <c r="F624" s="214"/>
      <c r="G624" s="214"/>
      <c r="H624" s="214"/>
      <c r="I624" s="214"/>
      <c r="J624" s="214"/>
      <c r="K624" s="214"/>
    </row>
    <row r="625" spans="4:11" ht="12.75" x14ac:dyDescent="0.2">
      <c r="D625" s="214"/>
      <c r="E625" s="214"/>
      <c r="F625" s="214"/>
      <c r="G625" s="214"/>
      <c r="H625" s="214"/>
      <c r="I625" s="214"/>
      <c r="J625" s="214"/>
      <c r="K625" s="214"/>
    </row>
    <row r="626" spans="4:11" ht="12.75" x14ac:dyDescent="0.2">
      <c r="D626" s="214"/>
      <c r="E626" s="214"/>
      <c r="F626" s="214"/>
      <c r="G626" s="214"/>
      <c r="H626" s="214"/>
      <c r="I626" s="214"/>
      <c r="J626" s="214"/>
      <c r="K626" s="214"/>
    </row>
    <row r="627" spans="4:11" ht="12.75" x14ac:dyDescent="0.2">
      <c r="D627" s="214"/>
      <c r="E627" s="214"/>
      <c r="F627" s="214"/>
      <c r="G627" s="214"/>
      <c r="H627" s="214"/>
      <c r="I627" s="214"/>
      <c r="J627" s="214"/>
      <c r="K627" s="214"/>
    </row>
    <row r="628" spans="4:11" ht="12.75" x14ac:dyDescent="0.2">
      <c r="D628" s="214"/>
      <c r="E628" s="214"/>
      <c r="F628" s="214"/>
      <c r="G628" s="214"/>
      <c r="H628" s="214"/>
      <c r="I628" s="214"/>
      <c r="J628" s="214"/>
      <c r="K628" s="214"/>
    </row>
    <row r="629" spans="4:11" ht="12.75" x14ac:dyDescent="0.2">
      <c r="D629" s="214"/>
      <c r="E629" s="214"/>
      <c r="F629" s="214"/>
      <c r="G629" s="214"/>
      <c r="H629" s="214"/>
      <c r="I629" s="214"/>
      <c r="J629" s="214"/>
      <c r="K629" s="214"/>
    </row>
    <row r="630" spans="4:11" ht="12.75" x14ac:dyDescent="0.2">
      <c r="D630" s="214"/>
      <c r="E630" s="214"/>
      <c r="F630" s="214"/>
      <c r="G630" s="214"/>
      <c r="H630" s="214"/>
      <c r="I630" s="214"/>
      <c r="J630" s="214"/>
      <c r="K630" s="214"/>
    </row>
    <row r="631" spans="4:11" ht="12.75" x14ac:dyDescent="0.2">
      <c r="D631" s="214"/>
      <c r="E631" s="214"/>
      <c r="F631" s="214"/>
      <c r="G631" s="214"/>
      <c r="H631" s="214"/>
      <c r="I631" s="214"/>
      <c r="J631" s="214"/>
      <c r="K631" s="214"/>
    </row>
    <row r="632" spans="4:11" ht="12.75" x14ac:dyDescent="0.2">
      <c r="D632" s="214"/>
      <c r="E632" s="214"/>
      <c r="F632" s="214"/>
      <c r="G632" s="214"/>
      <c r="H632" s="214"/>
      <c r="I632" s="214"/>
      <c r="J632" s="214"/>
      <c r="K632" s="214"/>
    </row>
    <row r="633" spans="4:11" ht="12.75" x14ac:dyDescent="0.2">
      <c r="D633" s="214"/>
      <c r="E633" s="214"/>
      <c r="F633" s="214"/>
      <c r="G633" s="214"/>
      <c r="H633" s="214"/>
      <c r="I633" s="214"/>
      <c r="J633" s="214"/>
      <c r="K633" s="214"/>
    </row>
    <row r="634" spans="4:11" ht="12.75" x14ac:dyDescent="0.2">
      <c r="D634" s="214"/>
      <c r="E634" s="214"/>
      <c r="F634" s="214"/>
      <c r="G634" s="214"/>
      <c r="H634" s="214"/>
      <c r="I634" s="214"/>
      <c r="J634" s="214"/>
      <c r="K634" s="214"/>
    </row>
    <row r="635" spans="4:11" ht="12.75" x14ac:dyDescent="0.2">
      <c r="D635" s="214"/>
      <c r="E635" s="214"/>
      <c r="F635" s="214"/>
      <c r="G635" s="214"/>
      <c r="H635" s="214"/>
      <c r="I635" s="214"/>
      <c r="J635" s="214"/>
      <c r="K635" s="214"/>
    </row>
    <row r="636" spans="4:11" ht="12.75" x14ac:dyDescent="0.2">
      <c r="D636" s="214"/>
      <c r="E636" s="214"/>
      <c r="F636" s="214"/>
      <c r="G636" s="214"/>
      <c r="H636" s="214"/>
      <c r="I636" s="214"/>
      <c r="J636" s="214"/>
      <c r="K636" s="214"/>
    </row>
    <row r="637" spans="4:11" ht="12.75" x14ac:dyDescent="0.2">
      <c r="D637" s="214"/>
      <c r="E637" s="214"/>
      <c r="F637" s="214"/>
      <c r="G637" s="214"/>
      <c r="H637" s="214"/>
      <c r="I637" s="214"/>
      <c r="J637" s="214"/>
      <c r="K637" s="214"/>
    </row>
    <row r="638" spans="4:11" ht="12.75" x14ac:dyDescent="0.2">
      <c r="D638" s="214"/>
      <c r="E638" s="214"/>
      <c r="F638" s="214"/>
      <c r="G638" s="214"/>
      <c r="H638" s="214"/>
      <c r="I638" s="214"/>
      <c r="J638" s="214"/>
      <c r="K638" s="214"/>
    </row>
    <row r="639" spans="4:11" ht="12.75" x14ac:dyDescent="0.2">
      <c r="D639" s="214"/>
      <c r="E639" s="214"/>
      <c r="F639" s="214"/>
      <c r="G639" s="214"/>
      <c r="H639" s="214"/>
      <c r="I639" s="214"/>
      <c r="J639" s="214"/>
      <c r="K639" s="214"/>
    </row>
    <row r="640" spans="4:11" ht="12.75" x14ac:dyDescent="0.2">
      <c r="D640" s="214"/>
      <c r="E640" s="214"/>
      <c r="F640" s="214"/>
      <c r="G640" s="214"/>
      <c r="H640" s="214"/>
      <c r="I640" s="214"/>
      <c r="J640" s="214"/>
      <c r="K640" s="214"/>
    </row>
    <row r="641" spans="4:11" ht="12.75" x14ac:dyDescent="0.2">
      <c r="D641" s="214"/>
      <c r="E641" s="214"/>
      <c r="F641" s="214"/>
      <c r="G641" s="214"/>
      <c r="H641" s="214"/>
      <c r="I641" s="214"/>
      <c r="J641" s="214"/>
      <c r="K641" s="214"/>
    </row>
    <row r="642" spans="4:11" ht="12.75" x14ac:dyDescent="0.2">
      <c r="D642" s="214"/>
      <c r="E642" s="214"/>
      <c r="F642" s="214"/>
      <c r="G642" s="214"/>
      <c r="H642" s="214"/>
      <c r="I642" s="214"/>
      <c r="J642" s="214"/>
      <c r="K642" s="214"/>
    </row>
    <row r="643" spans="4:11" ht="12.75" x14ac:dyDescent="0.2">
      <c r="D643" s="214"/>
      <c r="E643" s="214"/>
      <c r="F643" s="214"/>
      <c r="G643" s="214"/>
      <c r="H643" s="214"/>
      <c r="I643" s="214"/>
      <c r="J643" s="214"/>
      <c r="K643" s="214"/>
    </row>
    <row r="644" spans="4:11" ht="12.75" x14ac:dyDescent="0.2">
      <c r="D644" s="214"/>
      <c r="E644" s="214"/>
      <c r="F644" s="214"/>
      <c r="G644" s="214"/>
      <c r="H644" s="214"/>
      <c r="I644" s="214"/>
      <c r="J644" s="214"/>
      <c r="K644" s="214"/>
    </row>
    <row r="645" spans="4:11" ht="12.75" x14ac:dyDescent="0.2">
      <c r="D645" s="214"/>
      <c r="E645" s="214"/>
      <c r="F645" s="214"/>
      <c r="G645" s="214"/>
      <c r="H645" s="214"/>
      <c r="I645" s="214"/>
      <c r="J645" s="214"/>
      <c r="K645" s="214"/>
    </row>
    <row r="646" spans="4:11" ht="12.75" x14ac:dyDescent="0.2">
      <c r="D646" s="214"/>
      <c r="E646" s="214"/>
      <c r="F646" s="214"/>
      <c r="G646" s="214"/>
      <c r="H646" s="214"/>
      <c r="I646" s="214"/>
      <c r="J646" s="214"/>
      <c r="K646" s="214"/>
    </row>
    <row r="647" spans="4:11" ht="12.75" x14ac:dyDescent="0.2">
      <c r="D647" s="214"/>
      <c r="E647" s="214"/>
      <c r="F647" s="214"/>
      <c r="G647" s="214"/>
      <c r="H647" s="214"/>
      <c r="I647" s="214"/>
      <c r="J647" s="214"/>
      <c r="K647" s="214"/>
    </row>
    <row r="648" spans="4:11" ht="12.75" x14ac:dyDescent="0.2">
      <c r="D648" s="214"/>
      <c r="E648" s="214"/>
      <c r="F648" s="214"/>
      <c r="G648" s="214"/>
      <c r="H648" s="214"/>
      <c r="I648" s="214"/>
      <c r="J648" s="214"/>
      <c r="K648" s="214"/>
    </row>
    <row r="649" spans="4:11" ht="12.75" x14ac:dyDescent="0.2">
      <c r="D649" s="214"/>
      <c r="E649" s="214"/>
      <c r="F649" s="214"/>
      <c r="G649" s="214"/>
      <c r="H649" s="214"/>
      <c r="I649" s="214"/>
      <c r="J649" s="214"/>
      <c r="K649" s="214"/>
    </row>
    <row r="650" spans="4:11" ht="12.75" x14ac:dyDescent="0.2">
      <c r="D650" s="214"/>
      <c r="E650" s="214"/>
      <c r="F650" s="214"/>
      <c r="G650" s="214"/>
      <c r="H650" s="214"/>
      <c r="I650" s="214"/>
      <c r="J650" s="214"/>
      <c r="K650" s="214"/>
    </row>
    <row r="651" spans="4:11" ht="12.75" x14ac:dyDescent="0.2">
      <c r="D651" s="214"/>
      <c r="E651" s="214"/>
      <c r="F651" s="214"/>
      <c r="G651" s="214"/>
      <c r="H651" s="214"/>
      <c r="I651" s="214"/>
      <c r="J651" s="214"/>
      <c r="K651" s="214"/>
    </row>
    <row r="652" spans="4:11" ht="12.75" x14ac:dyDescent="0.2">
      <c r="D652" s="214"/>
      <c r="E652" s="214"/>
      <c r="F652" s="214"/>
      <c r="G652" s="214"/>
      <c r="H652" s="214"/>
      <c r="I652" s="214"/>
      <c r="J652" s="214"/>
      <c r="K652" s="214"/>
    </row>
    <row r="653" spans="4:11" ht="12.75" x14ac:dyDescent="0.2">
      <c r="D653" s="214"/>
      <c r="E653" s="214"/>
      <c r="F653" s="214"/>
      <c r="G653" s="214"/>
      <c r="H653" s="214"/>
      <c r="I653" s="214"/>
      <c r="J653" s="214"/>
      <c r="K653" s="214"/>
    </row>
    <row r="654" spans="4:11" ht="12.75" x14ac:dyDescent="0.2">
      <c r="D654" s="214"/>
      <c r="E654" s="214"/>
      <c r="F654" s="214"/>
      <c r="G654" s="214"/>
      <c r="H654" s="214"/>
      <c r="I654" s="214"/>
      <c r="J654" s="214"/>
      <c r="K654" s="214"/>
    </row>
    <row r="655" spans="4:11" ht="12.75" x14ac:dyDescent="0.2">
      <c r="D655" s="214"/>
      <c r="E655" s="214"/>
      <c r="F655" s="214"/>
      <c r="G655" s="214"/>
      <c r="H655" s="214"/>
      <c r="I655" s="214"/>
      <c r="J655" s="214"/>
      <c r="K655" s="214"/>
    </row>
    <row r="656" spans="4:11" ht="12.75" x14ac:dyDescent="0.2">
      <c r="D656" s="214"/>
      <c r="E656" s="214"/>
      <c r="F656" s="214"/>
      <c r="G656" s="214"/>
      <c r="H656" s="214"/>
      <c r="I656" s="214"/>
      <c r="J656" s="214"/>
      <c r="K656" s="214"/>
    </row>
    <row r="657" spans="4:11" ht="12.75" x14ac:dyDescent="0.2">
      <c r="D657" s="214"/>
      <c r="E657" s="214"/>
      <c r="F657" s="214"/>
      <c r="G657" s="214"/>
      <c r="H657" s="214"/>
      <c r="I657" s="214"/>
      <c r="J657" s="214"/>
      <c r="K657" s="214"/>
    </row>
    <row r="658" spans="4:11" ht="12.75" x14ac:dyDescent="0.2">
      <c r="D658" s="214"/>
      <c r="E658" s="214"/>
      <c r="F658" s="214"/>
      <c r="G658" s="214"/>
      <c r="H658" s="214"/>
      <c r="I658" s="214"/>
      <c r="J658" s="214"/>
      <c r="K658" s="214"/>
    </row>
    <row r="659" spans="4:11" ht="12.75" x14ac:dyDescent="0.2">
      <c r="D659" s="214"/>
      <c r="E659" s="214"/>
      <c r="F659" s="214"/>
      <c r="G659" s="214"/>
      <c r="H659" s="214"/>
      <c r="I659" s="214"/>
      <c r="J659" s="214"/>
      <c r="K659" s="214"/>
    </row>
    <row r="660" spans="4:11" ht="12.75" x14ac:dyDescent="0.2">
      <c r="D660" s="214"/>
      <c r="E660" s="214"/>
      <c r="F660" s="214"/>
      <c r="G660" s="214"/>
      <c r="H660" s="214"/>
      <c r="I660" s="214"/>
      <c r="J660" s="214"/>
      <c r="K660" s="214"/>
    </row>
    <row r="661" spans="4:11" ht="12.75" x14ac:dyDescent="0.2">
      <c r="D661" s="214"/>
      <c r="E661" s="214"/>
      <c r="F661" s="214"/>
      <c r="G661" s="214"/>
      <c r="H661" s="214"/>
      <c r="I661" s="214"/>
      <c r="J661" s="214"/>
      <c r="K661" s="214"/>
    </row>
    <row r="662" spans="4:11" ht="12.75" x14ac:dyDescent="0.2">
      <c r="D662" s="214"/>
      <c r="E662" s="214"/>
      <c r="F662" s="214"/>
      <c r="G662" s="214"/>
      <c r="H662" s="214"/>
      <c r="I662" s="214"/>
      <c r="J662" s="214"/>
      <c r="K662" s="214"/>
    </row>
    <row r="663" spans="4:11" ht="12.75" x14ac:dyDescent="0.2">
      <c r="D663" s="214"/>
      <c r="E663" s="214"/>
      <c r="F663" s="214"/>
      <c r="G663" s="214"/>
      <c r="H663" s="214"/>
      <c r="I663" s="214"/>
      <c r="J663" s="214"/>
      <c r="K663" s="214"/>
    </row>
    <row r="664" spans="4:11" ht="12.75" x14ac:dyDescent="0.2">
      <c r="D664" s="214"/>
      <c r="E664" s="214"/>
      <c r="F664" s="214"/>
      <c r="G664" s="214"/>
      <c r="H664" s="214"/>
      <c r="I664" s="214"/>
      <c r="J664" s="214"/>
      <c r="K664" s="214"/>
    </row>
    <row r="665" spans="4:11" ht="12.75" x14ac:dyDescent="0.2">
      <c r="D665" s="214"/>
      <c r="E665" s="214"/>
      <c r="F665" s="214"/>
      <c r="G665" s="214"/>
      <c r="H665" s="214"/>
      <c r="I665" s="214"/>
      <c r="J665" s="214"/>
      <c r="K665" s="214"/>
    </row>
    <row r="666" spans="4:11" ht="12.75" x14ac:dyDescent="0.2">
      <c r="D666" s="214"/>
      <c r="E666" s="214"/>
      <c r="F666" s="214"/>
      <c r="G666" s="214"/>
      <c r="H666" s="214"/>
      <c r="I666" s="214"/>
      <c r="J666" s="214"/>
      <c r="K666" s="214"/>
    </row>
    <row r="667" spans="4:11" ht="12.75" x14ac:dyDescent="0.2">
      <c r="D667" s="214"/>
      <c r="E667" s="214"/>
      <c r="F667" s="214"/>
      <c r="G667" s="214"/>
      <c r="H667" s="214"/>
      <c r="I667" s="214"/>
      <c r="J667" s="214"/>
      <c r="K667" s="214"/>
    </row>
    <row r="668" spans="4:11" ht="12.75" x14ac:dyDescent="0.2">
      <c r="D668" s="214"/>
      <c r="E668" s="214"/>
      <c r="F668" s="214"/>
      <c r="G668" s="214"/>
      <c r="H668" s="214"/>
      <c r="I668" s="214"/>
      <c r="J668" s="214"/>
      <c r="K668" s="214"/>
    </row>
    <row r="669" spans="4:11" ht="12.75" x14ac:dyDescent="0.2">
      <c r="D669" s="214"/>
      <c r="E669" s="214"/>
      <c r="F669" s="214"/>
      <c r="G669" s="214"/>
      <c r="H669" s="214"/>
      <c r="I669" s="214"/>
      <c r="J669" s="214"/>
      <c r="K669" s="214"/>
    </row>
    <row r="670" spans="4:11" ht="12.75" x14ac:dyDescent="0.2">
      <c r="D670" s="214"/>
      <c r="E670" s="214"/>
      <c r="F670" s="214"/>
      <c r="G670" s="214"/>
      <c r="H670" s="214"/>
      <c r="I670" s="214"/>
      <c r="J670" s="214"/>
      <c r="K670" s="214"/>
    </row>
    <row r="671" spans="4:11" ht="12.75" x14ac:dyDescent="0.2">
      <c r="D671" s="214"/>
      <c r="E671" s="214"/>
      <c r="F671" s="214"/>
      <c r="G671" s="214"/>
      <c r="H671" s="214"/>
      <c r="I671" s="214"/>
      <c r="J671" s="214"/>
      <c r="K671" s="214"/>
    </row>
    <row r="672" spans="4:11" ht="12.75" x14ac:dyDescent="0.2">
      <c r="D672" s="214"/>
      <c r="E672" s="214"/>
      <c r="F672" s="214"/>
      <c r="G672" s="214"/>
      <c r="H672" s="214"/>
      <c r="I672" s="214"/>
      <c r="J672" s="214"/>
      <c r="K672" s="214"/>
    </row>
    <row r="673" spans="4:11" ht="12.75" x14ac:dyDescent="0.2">
      <c r="D673" s="214"/>
      <c r="E673" s="214"/>
      <c r="F673" s="214"/>
      <c r="G673" s="214"/>
      <c r="H673" s="214"/>
      <c r="I673" s="214"/>
      <c r="J673" s="214"/>
      <c r="K673" s="214"/>
    </row>
    <row r="674" spans="4:11" ht="12.75" x14ac:dyDescent="0.2">
      <c r="D674" s="214"/>
      <c r="E674" s="214"/>
      <c r="F674" s="214"/>
      <c r="G674" s="214"/>
      <c r="H674" s="214"/>
      <c r="I674" s="214"/>
      <c r="J674" s="214"/>
      <c r="K674" s="214"/>
    </row>
    <row r="675" spans="4:11" ht="12.75" x14ac:dyDescent="0.2">
      <c r="D675" s="214"/>
      <c r="E675" s="214"/>
      <c r="F675" s="214"/>
      <c r="G675" s="214"/>
      <c r="H675" s="214"/>
      <c r="I675" s="214"/>
      <c r="J675" s="214"/>
      <c r="K675" s="214"/>
    </row>
    <row r="676" spans="4:11" ht="12.75" x14ac:dyDescent="0.2">
      <c r="D676" s="214"/>
      <c r="E676" s="214"/>
      <c r="F676" s="214"/>
      <c r="G676" s="214"/>
      <c r="H676" s="214"/>
      <c r="I676" s="214"/>
      <c r="J676" s="214"/>
      <c r="K676" s="214"/>
    </row>
    <row r="677" spans="4:11" ht="12.75" x14ac:dyDescent="0.2">
      <c r="D677" s="214"/>
      <c r="E677" s="214"/>
      <c r="F677" s="214"/>
      <c r="G677" s="214"/>
      <c r="H677" s="214"/>
      <c r="I677" s="214"/>
      <c r="J677" s="214"/>
      <c r="K677" s="214"/>
    </row>
    <row r="678" spans="4:11" ht="12.75" x14ac:dyDescent="0.2">
      <c r="D678" s="214"/>
      <c r="E678" s="214"/>
      <c r="F678" s="214"/>
      <c r="G678" s="214"/>
      <c r="H678" s="214"/>
      <c r="I678" s="214"/>
      <c r="J678" s="214"/>
      <c r="K678" s="214"/>
    </row>
    <row r="679" spans="4:11" ht="12.75" x14ac:dyDescent="0.2">
      <c r="D679" s="214"/>
      <c r="E679" s="214"/>
      <c r="F679" s="214"/>
      <c r="G679" s="214"/>
      <c r="H679" s="214"/>
      <c r="I679" s="214"/>
      <c r="J679" s="214"/>
      <c r="K679" s="214"/>
    </row>
    <row r="680" spans="4:11" ht="12.75" x14ac:dyDescent="0.2">
      <c r="D680" s="214"/>
      <c r="E680" s="214"/>
      <c r="F680" s="214"/>
      <c r="G680" s="214"/>
      <c r="H680" s="214"/>
      <c r="I680" s="214"/>
      <c r="J680" s="214"/>
      <c r="K680" s="214"/>
    </row>
    <row r="681" spans="4:11" ht="12.75" x14ac:dyDescent="0.2">
      <c r="D681" s="214"/>
      <c r="E681" s="214"/>
      <c r="F681" s="214"/>
      <c r="G681" s="214"/>
      <c r="H681" s="214"/>
      <c r="I681" s="214"/>
      <c r="J681" s="214"/>
      <c r="K681" s="214"/>
    </row>
    <row r="682" spans="4:11" ht="12.75" x14ac:dyDescent="0.2">
      <c r="D682" s="214"/>
      <c r="E682" s="214"/>
      <c r="F682" s="214"/>
      <c r="G682" s="214"/>
      <c r="H682" s="214"/>
      <c r="I682" s="214"/>
      <c r="J682" s="214"/>
      <c r="K682" s="214"/>
    </row>
    <row r="683" spans="4:11" ht="12.75" x14ac:dyDescent="0.2">
      <c r="D683" s="214"/>
      <c r="E683" s="214"/>
      <c r="F683" s="214"/>
      <c r="G683" s="214"/>
      <c r="H683" s="214"/>
      <c r="I683" s="214"/>
      <c r="J683" s="214"/>
      <c r="K683" s="214"/>
    </row>
    <row r="684" spans="4:11" ht="12.75" x14ac:dyDescent="0.2">
      <c r="D684" s="214"/>
      <c r="E684" s="214"/>
      <c r="F684" s="214"/>
      <c r="G684" s="214"/>
      <c r="H684" s="214"/>
      <c r="I684" s="214"/>
      <c r="J684" s="214"/>
      <c r="K684" s="214"/>
    </row>
    <row r="685" spans="4:11" ht="12.75" x14ac:dyDescent="0.2">
      <c r="D685" s="214"/>
      <c r="E685" s="214"/>
      <c r="F685" s="214"/>
      <c r="G685" s="214"/>
      <c r="H685" s="214"/>
      <c r="I685" s="214"/>
      <c r="J685" s="214"/>
      <c r="K685" s="214"/>
    </row>
    <row r="686" spans="4:11" ht="12.75" x14ac:dyDescent="0.2">
      <c r="D686" s="214"/>
      <c r="E686" s="214"/>
      <c r="F686" s="214"/>
      <c r="G686" s="214"/>
      <c r="H686" s="214"/>
      <c r="I686" s="214"/>
      <c r="J686" s="214"/>
      <c r="K686" s="214"/>
    </row>
    <row r="687" spans="4:11" ht="12.75" x14ac:dyDescent="0.2">
      <c r="D687" s="214"/>
      <c r="E687" s="214"/>
      <c r="F687" s="214"/>
      <c r="G687" s="214"/>
      <c r="H687" s="214"/>
      <c r="I687" s="214"/>
      <c r="J687" s="214"/>
      <c r="K687" s="214"/>
    </row>
    <row r="688" spans="4:11" ht="12.75" x14ac:dyDescent="0.2">
      <c r="D688" s="214"/>
      <c r="E688" s="214"/>
      <c r="F688" s="214"/>
      <c r="G688" s="214"/>
      <c r="H688" s="214"/>
      <c r="I688" s="214"/>
      <c r="J688" s="214"/>
      <c r="K688" s="214"/>
    </row>
    <row r="689" spans="4:11" ht="12.75" x14ac:dyDescent="0.2">
      <c r="D689" s="214"/>
      <c r="E689" s="214"/>
      <c r="F689" s="214"/>
      <c r="G689" s="214"/>
      <c r="H689" s="214"/>
      <c r="I689" s="214"/>
      <c r="J689" s="214"/>
      <c r="K689" s="214"/>
    </row>
    <row r="690" spans="4:11" ht="12.75" x14ac:dyDescent="0.2">
      <c r="D690" s="214"/>
      <c r="E690" s="214"/>
      <c r="F690" s="214"/>
      <c r="G690" s="214"/>
      <c r="H690" s="214"/>
      <c r="I690" s="214"/>
      <c r="J690" s="214"/>
      <c r="K690" s="214"/>
    </row>
    <row r="691" spans="4:11" ht="12.75" x14ac:dyDescent="0.2">
      <c r="D691" s="214"/>
      <c r="E691" s="214"/>
      <c r="F691" s="214"/>
      <c r="G691" s="214"/>
      <c r="H691" s="214"/>
      <c r="I691" s="214"/>
      <c r="J691" s="214"/>
      <c r="K691" s="214"/>
    </row>
    <row r="692" spans="4:11" ht="12.75" x14ac:dyDescent="0.2">
      <c r="D692" s="214"/>
      <c r="E692" s="214"/>
      <c r="F692" s="214"/>
      <c r="G692" s="214"/>
      <c r="H692" s="214"/>
      <c r="I692" s="214"/>
      <c r="J692" s="214"/>
      <c r="K692" s="214"/>
    </row>
    <row r="693" spans="4:11" ht="12.75" x14ac:dyDescent="0.2">
      <c r="D693" s="214"/>
      <c r="E693" s="214"/>
      <c r="F693" s="214"/>
      <c r="G693" s="214"/>
      <c r="H693" s="214"/>
      <c r="I693" s="214"/>
      <c r="J693" s="214"/>
      <c r="K693" s="214"/>
    </row>
    <row r="694" spans="4:11" ht="12.75" x14ac:dyDescent="0.2">
      <c r="D694" s="214"/>
      <c r="E694" s="214"/>
      <c r="F694" s="214"/>
      <c r="G694" s="214"/>
      <c r="H694" s="214"/>
      <c r="I694" s="214"/>
      <c r="J694" s="214"/>
      <c r="K694" s="214"/>
    </row>
    <row r="695" spans="4:11" ht="12.75" x14ac:dyDescent="0.2">
      <c r="D695" s="214"/>
      <c r="E695" s="214"/>
      <c r="F695" s="214"/>
      <c r="G695" s="214"/>
      <c r="H695" s="214"/>
      <c r="I695" s="214"/>
      <c r="J695" s="214"/>
      <c r="K695" s="214"/>
    </row>
    <row r="696" spans="4:11" ht="12.75" x14ac:dyDescent="0.2">
      <c r="D696" s="214"/>
      <c r="E696" s="214"/>
      <c r="F696" s="214"/>
      <c r="G696" s="214"/>
      <c r="H696" s="214"/>
      <c r="I696" s="214"/>
      <c r="J696" s="214"/>
      <c r="K696" s="214"/>
    </row>
    <row r="697" spans="4:11" ht="12.75" x14ac:dyDescent="0.2">
      <c r="D697" s="214"/>
      <c r="E697" s="214"/>
      <c r="F697" s="214"/>
      <c r="G697" s="214"/>
      <c r="H697" s="214"/>
      <c r="I697" s="214"/>
      <c r="J697" s="214"/>
      <c r="K697" s="214"/>
    </row>
    <row r="698" spans="4:11" ht="12.75" x14ac:dyDescent="0.2">
      <c r="D698" s="214"/>
      <c r="E698" s="214"/>
      <c r="F698" s="214"/>
      <c r="G698" s="214"/>
      <c r="H698" s="214"/>
      <c r="I698" s="214"/>
      <c r="J698" s="214"/>
      <c r="K698" s="214"/>
    </row>
    <row r="699" spans="4:11" ht="12.75" x14ac:dyDescent="0.2">
      <c r="D699" s="214"/>
      <c r="E699" s="214"/>
      <c r="F699" s="214"/>
      <c r="G699" s="214"/>
      <c r="H699" s="214"/>
      <c r="I699" s="214"/>
      <c r="J699" s="214"/>
      <c r="K699" s="214"/>
    </row>
    <row r="700" spans="4:11" ht="12.75" x14ac:dyDescent="0.2">
      <c r="D700" s="214"/>
      <c r="E700" s="214"/>
      <c r="F700" s="214"/>
      <c r="G700" s="214"/>
      <c r="H700" s="214"/>
      <c r="I700" s="214"/>
      <c r="J700" s="214"/>
      <c r="K700" s="214"/>
    </row>
    <row r="701" spans="4:11" ht="12.75" x14ac:dyDescent="0.2">
      <c r="D701" s="214"/>
      <c r="E701" s="214"/>
      <c r="F701" s="214"/>
      <c r="G701" s="214"/>
      <c r="H701" s="214"/>
      <c r="I701" s="214"/>
      <c r="J701" s="214"/>
      <c r="K701" s="214"/>
    </row>
    <row r="702" spans="4:11" ht="12.75" x14ac:dyDescent="0.2">
      <c r="D702" s="214"/>
      <c r="E702" s="214"/>
      <c r="F702" s="214"/>
      <c r="G702" s="214"/>
      <c r="H702" s="214"/>
      <c r="I702" s="214"/>
      <c r="J702" s="214"/>
      <c r="K702" s="214"/>
    </row>
    <row r="703" spans="4:11" ht="12.75" x14ac:dyDescent="0.2">
      <c r="D703" s="214"/>
      <c r="E703" s="214"/>
      <c r="F703" s="214"/>
      <c r="G703" s="214"/>
      <c r="H703" s="214"/>
      <c r="I703" s="214"/>
      <c r="J703" s="214"/>
      <c r="K703" s="214"/>
    </row>
    <row r="704" spans="4:11" ht="12.75" x14ac:dyDescent="0.2">
      <c r="D704" s="214"/>
      <c r="E704" s="214"/>
      <c r="F704" s="214"/>
      <c r="G704" s="214"/>
      <c r="H704" s="214"/>
      <c r="I704" s="214"/>
      <c r="J704" s="214"/>
      <c r="K704" s="214"/>
    </row>
    <row r="705" spans="4:11" ht="12.75" x14ac:dyDescent="0.2">
      <c r="D705" s="214"/>
      <c r="E705" s="214"/>
      <c r="F705" s="214"/>
      <c r="G705" s="214"/>
      <c r="H705" s="214"/>
      <c r="I705" s="214"/>
      <c r="J705" s="214"/>
      <c r="K705" s="214"/>
    </row>
    <row r="706" spans="4:11" ht="12.75" x14ac:dyDescent="0.2">
      <c r="D706" s="214"/>
      <c r="E706" s="214"/>
      <c r="F706" s="214"/>
      <c r="G706" s="214"/>
      <c r="H706" s="214"/>
      <c r="I706" s="214"/>
      <c r="J706" s="214"/>
      <c r="K706" s="214"/>
    </row>
    <row r="707" spans="4:11" ht="12.75" x14ac:dyDescent="0.2">
      <c r="D707" s="214"/>
      <c r="E707" s="214"/>
      <c r="F707" s="214"/>
      <c r="G707" s="214"/>
      <c r="H707" s="214"/>
      <c r="I707" s="214"/>
      <c r="J707" s="214"/>
      <c r="K707" s="214"/>
    </row>
    <row r="708" spans="4:11" ht="12.75" x14ac:dyDescent="0.2">
      <c r="D708" s="214"/>
      <c r="E708" s="214"/>
      <c r="F708" s="214"/>
      <c r="G708" s="214"/>
      <c r="H708" s="214"/>
      <c r="I708" s="214"/>
      <c r="J708" s="214"/>
      <c r="K708" s="214"/>
    </row>
    <row r="709" spans="4:11" ht="12.75" x14ac:dyDescent="0.2">
      <c r="D709" s="214"/>
      <c r="E709" s="214"/>
      <c r="F709" s="214"/>
      <c r="G709" s="214"/>
      <c r="H709" s="214"/>
      <c r="I709" s="214"/>
      <c r="J709" s="214"/>
      <c r="K709" s="214"/>
    </row>
    <row r="710" spans="4:11" ht="12.75" x14ac:dyDescent="0.2">
      <c r="D710" s="214"/>
      <c r="E710" s="214"/>
      <c r="F710" s="214"/>
      <c r="G710" s="214"/>
      <c r="H710" s="214"/>
      <c r="I710" s="214"/>
      <c r="J710" s="214"/>
      <c r="K710" s="214"/>
    </row>
    <row r="711" spans="4:11" ht="12.75" x14ac:dyDescent="0.2">
      <c r="D711" s="214"/>
      <c r="E711" s="214"/>
      <c r="F711" s="214"/>
      <c r="G711" s="214"/>
      <c r="H711" s="214"/>
      <c r="I711" s="214"/>
      <c r="J711" s="214"/>
      <c r="K711" s="214"/>
    </row>
    <row r="712" spans="4:11" ht="12.75" x14ac:dyDescent="0.2">
      <c r="D712" s="214"/>
      <c r="E712" s="214"/>
      <c r="F712" s="214"/>
      <c r="G712" s="214"/>
      <c r="H712" s="214"/>
      <c r="I712" s="214"/>
      <c r="J712" s="214"/>
      <c r="K712" s="214"/>
    </row>
    <row r="713" spans="4:11" ht="12.75" x14ac:dyDescent="0.2">
      <c r="D713" s="214"/>
      <c r="E713" s="214"/>
      <c r="F713" s="214"/>
      <c r="G713" s="214"/>
      <c r="H713" s="214"/>
      <c r="I713" s="214"/>
      <c r="J713" s="214"/>
      <c r="K713" s="214"/>
    </row>
    <row r="714" spans="4:11" ht="12.75" x14ac:dyDescent="0.2">
      <c r="D714" s="214"/>
      <c r="E714" s="214"/>
      <c r="F714" s="214"/>
      <c r="G714" s="214"/>
      <c r="H714" s="214"/>
      <c r="I714" s="214"/>
      <c r="J714" s="214"/>
      <c r="K714" s="214"/>
    </row>
    <row r="715" spans="4:11" ht="12.75" x14ac:dyDescent="0.2">
      <c r="D715" s="214"/>
      <c r="E715" s="214"/>
      <c r="F715" s="214"/>
      <c r="G715" s="214"/>
      <c r="H715" s="214"/>
      <c r="I715" s="214"/>
      <c r="J715" s="214"/>
      <c r="K715" s="214"/>
    </row>
    <row r="716" spans="4:11" ht="12.75" x14ac:dyDescent="0.2">
      <c r="D716" s="214"/>
      <c r="E716" s="214"/>
      <c r="F716" s="214"/>
      <c r="G716" s="214"/>
      <c r="H716" s="214"/>
      <c r="I716" s="214"/>
      <c r="J716" s="214"/>
      <c r="K716" s="214"/>
    </row>
    <row r="717" spans="4:11" ht="12.75" x14ac:dyDescent="0.2">
      <c r="D717" s="214"/>
      <c r="E717" s="214"/>
      <c r="F717" s="214"/>
      <c r="G717" s="214"/>
      <c r="H717" s="214"/>
      <c r="I717" s="214"/>
      <c r="J717" s="214"/>
      <c r="K717" s="214"/>
    </row>
    <row r="718" spans="4:11" ht="12.75" x14ac:dyDescent="0.2">
      <c r="D718" s="214"/>
      <c r="E718" s="214"/>
      <c r="F718" s="214"/>
      <c r="G718" s="214"/>
      <c r="H718" s="214"/>
      <c r="I718" s="214"/>
      <c r="J718" s="214"/>
      <c r="K718" s="214"/>
    </row>
    <row r="719" spans="4:11" ht="12.75" x14ac:dyDescent="0.2">
      <c r="D719" s="214"/>
      <c r="E719" s="214"/>
      <c r="F719" s="214"/>
      <c r="G719" s="214"/>
      <c r="H719" s="214"/>
      <c r="I719" s="214"/>
      <c r="J719" s="214"/>
      <c r="K719" s="214"/>
    </row>
    <row r="720" spans="4:11" ht="12.75" x14ac:dyDescent="0.2">
      <c r="D720" s="214"/>
      <c r="E720" s="214"/>
      <c r="F720" s="214"/>
      <c r="G720" s="214"/>
      <c r="H720" s="214"/>
      <c r="I720" s="214"/>
      <c r="J720" s="214"/>
      <c r="K720" s="214"/>
    </row>
    <row r="721" spans="4:11" ht="12.75" x14ac:dyDescent="0.2">
      <c r="D721" s="214"/>
      <c r="E721" s="214"/>
      <c r="F721" s="214"/>
      <c r="G721" s="214"/>
      <c r="H721" s="214"/>
      <c r="I721" s="214"/>
      <c r="J721" s="214"/>
      <c r="K721" s="214"/>
    </row>
    <row r="722" spans="4:11" ht="12.75" x14ac:dyDescent="0.2">
      <c r="D722" s="214"/>
      <c r="E722" s="214"/>
      <c r="F722" s="214"/>
      <c r="G722" s="214"/>
      <c r="H722" s="214"/>
      <c r="I722" s="214"/>
      <c r="J722" s="214"/>
      <c r="K722" s="214"/>
    </row>
    <row r="723" spans="4:11" ht="12.75" x14ac:dyDescent="0.2">
      <c r="D723" s="214"/>
      <c r="E723" s="214"/>
      <c r="F723" s="214"/>
      <c r="G723" s="214"/>
      <c r="H723" s="214"/>
      <c r="I723" s="214"/>
      <c r="J723" s="214"/>
      <c r="K723" s="214"/>
    </row>
    <row r="724" spans="4:11" ht="12.75" x14ac:dyDescent="0.2">
      <c r="D724" s="214"/>
      <c r="E724" s="214"/>
      <c r="F724" s="214"/>
      <c r="G724" s="214"/>
      <c r="H724" s="214"/>
      <c r="I724" s="214"/>
      <c r="J724" s="214"/>
      <c r="K724" s="214"/>
    </row>
    <row r="725" spans="4:11" ht="12.75" x14ac:dyDescent="0.2">
      <c r="D725" s="214"/>
      <c r="E725" s="214"/>
      <c r="F725" s="214"/>
      <c r="G725" s="214"/>
      <c r="H725" s="214"/>
      <c r="I725" s="214"/>
      <c r="J725" s="214"/>
      <c r="K725" s="214"/>
    </row>
    <row r="726" spans="4:11" ht="12.75" x14ac:dyDescent="0.2">
      <c r="D726" s="214"/>
      <c r="E726" s="214"/>
      <c r="F726" s="214"/>
      <c r="G726" s="214"/>
      <c r="H726" s="214"/>
      <c r="I726" s="214"/>
      <c r="J726" s="214"/>
      <c r="K726" s="214"/>
    </row>
    <row r="727" spans="4:11" ht="12.75" x14ac:dyDescent="0.2">
      <c r="D727" s="214"/>
      <c r="E727" s="214"/>
      <c r="F727" s="214"/>
      <c r="G727" s="214"/>
      <c r="H727" s="214"/>
      <c r="I727" s="214"/>
      <c r="J727" s="214"/>
      <c r="K727" s="214"/>
    </row>
    <row r="728" spans="4:11" ht="12.75" x14ac:dyDescent="0.2">
      <c r="D728" s="214"/>
      <c r="E728" s="214"/>
      <c r="F728" s="214"/>
      <c r="G728" s="214"/>
      <c r="H728" s="214"/>
      <c r="I728" s="214"/>
      <c r="J728" s="214"/>
      <c r="K728" s="214"/>
    </row>
    <row r="729" spans="4:11" ht="12.75" x14ac:dyDescent="0.2">
      <c r="D729" s="214"/>
      <c r="E729" s="214"/>
      <c r="F729" s="214"/>
      <c r="G729" s="214"/>
      <c r="H729" s="214"/>
      <c r="I729" s="214"/>
      <c r="J729" s="214"/>
      <c r="K729" s="214"/>
    </row>
    <row r="730" spans="4:11" ht="12.75" x14ac:dyDescent="0.2">
      <c r="D730" s="214"/>
      <c r="E730" s="214"/>
      <c r="F730" s="214"/>
      <c r="G730" s="214"/>
      <c r="H730" s="214"/>
      <c r="I730" s="214"/>
      <c r="J730" s="214"/>
      <c r="K730" s="214"/>
    </row>
    <row r="731" spans="4:11" ht="12.75" x14ac:dyDescent="0.2">
      <c r="D731" s="214"/>
      <c r="E731" s="214"/>
      <c r="F731" s="214"/>
      <c r="G731" s="214"/>
      <c r="H731" s="214"/>
      <c r="I731" s="214"/>
      <c r="J731" s="214"/>
      <c r="K731" s="214"/>
    </row>
    <row r="732" spans="4:11" ht="12.75" x14ac:dyDescent="0.2">
      <c r="D732" s="214"/>
      <c r="E732" s="214"/>
      <c r="F732" s="214"/>
      <c r="G732" s="214"/>
      <c r="H732" s="214"/>
      <c r="I732" s="214"/>
      <c r="J732" s="214"/>
      <c r="K732" s="214"/>
    </row>
    <row r="733" spans="4:11" ht="12.75" x14ac:dyDescent="0.2">
      <c r="D733" s="214"/>
      <c r="E733" s="214"/>
      <c r="F733" s="214"/>
      <c r="G733" s="214"/>
      <c r="H733" s="214"/>
      <c r="I733" s="214"/>
      <c r="J733" s="214"/>
      <c r="K733" s="214"/>
    </row>
    <row r="734" spans="4:11" ht="12.75" x14ac:dyDescent="0.2">
      <c r="D734" s="214"/>
      <c r="E734" s="214"/>
      <c r="F734" s="214"/>
      <c r="G734" s="214"/>
      <c r="H734" s="214"/>
      <c r="I734" s="214"/>
      <c r="J734" s="214"/>
      <c r="K734" s="214"/>
    </row>
    <row r="735" spans="4:11" ht="12.75" x14ac:dyDescent="0.2">
      <c r="D735" s="214"/>
      <c r="E735" s="214"/>
      <c r="F735" s="214"/>
      <c r="G735" s="214"/>
      <c r="H735" s="214"/>
      <c r="I735" s="214"/>
      <c r="J735" s="214"/>
      <c r="K735" s="214"/>
    </row>
    <row r="736" spans="4:11" ht="12.75" x14ac:dyDescent="0.2">
      <c r="D736" s="214"/>
      <c r="E736" s="214"/>
      <c r="F736" s="214"/>
      <c r="G736" s="214"/>
      <c r="H736" s="214"/>
      <c r="I736" s="214"/>
      <c r="J736" s="214"/>
      <c r="K736" s="214"/>
    </row>
    <row r="737" spans="4:11" ht="12.75" x14ac:dyDescent="0.2">
      <c r="D737" s="214"/>
      <c r="E737" s="214"/>
      <c r="F737" s="214"/>
      <c r="G737" s="214"/>
      <c r="H737" s="214"/>
      <c r="I737" s="214"/>
      <c r="J737" s="214"/>
      <c r="K737" s="214"/>
    </row>
    <row r="738" spans="4:11" ht="12.75" x14ac:dyDescent="0.2">
      <c r="D738" s="214"/>
      <c r="E738" s="214"/>
      <c r="F738" s="214"/>
      <c r="G738" s="214"/>
      <c r="H738" s="214"/>
      <c r="I738" s="214"/>
      <c r="J738" s="214"/>
      <c r="K738" s="214"/>
    </row>
    <row r="739" spans="4:11" ht="12.75" x14ac:dyDescent="0.2">
      <c r="D739" s="214"/>
      <c r="E739" s="214"/>
      <c r="F739" s="214"/>
      <c r="G739" s="214"/>
      <c r="H739" s="214"/>
      <c r="I739" s="214"/>
      <c r="J739" s="214"/>
      <c r="K739" s="214"/>
    </row>
    <row r="740" spans="4:11" ht="12.75" x14ac:dyDescent="0.2">
      <c r="D740" s="214"/>
      <c r="E740" s="214"/>
      <c r="F740" s="214"/>
      <c r="G740" s="214"/>
      <c r="H740" s="214"/>
      <c r="I740" s="214"/>
      <c r="J740" s="214"/>
      <c r="K740" s="214"/>
    </row>
    <row r="741" spans="4:11" ht="12.75" x14ac:dyDescent="0.2">
      <c r="D741" s="214"/>
      <c r="E741" s="214"/>
      <c r="F741" s="214"/>
      <c r="G741" s="214"/>
      <c r="H741" s="214"/>
      <c r="I741" s="214"/>
      <c r="J741" s="214"/>
      <c r="K741" s="214"/>
    </row>
    <row r="742" spans="4:11" ht="12.75" x14ac:dyDescent="0.2">
      <c r="D742" s="214"/>
      <c r="E742" s="214"/>
      <c r="F742" s="214"/>
      <c r="G742" s="214"/>
      <c r="H742" s="214"/>
      <c r="I742" s="214"/>
      <c r="J742" s="214"/>
      <c r="K742" s="214"/>
    </row>
    <row r="743" spans="4:11" ht="12.75" x14ac:dyDescent="0.2">
      <c r="D743" s="214"/>
      <c r="E743" s="214"/>
      <c r="F743" s="214"/>
      <c r="G743" s="214"/>
      <c r="H743" s="214"/>
      <c r="I743" s="214"/>
      <c r="J743" s="214"/>
      <c r="K743" s="214"/>
    </row>
    <row r="744" spans="4:11" ht="12.75" x14ac:dyDescent="0.2">
      <c r="D744" s="214"/>
      <c r="E744" s="214"/>
      <c r="F744" s="214"/>
      <c r="G744" s="214"/>
      <c r="H744" s="214"/>
      <c r="I744" s="214"/>
      <c r="J744" s="214"/>
      <c r="K744" s="214"/>
    </row>
    <row r="745" spans="4:11" ht="12.75" x14ac:dyDescent="0.2">
      <c r="D745" s="214"/>
      <c r="E745" s="214"/>
      <c r="F745" s="214"/>
      <c r="G745" s="214"/>
      <c r="H745" s="214"/>
      <c r="I745" s="214"/>
      <c r="J745" s="214"/>
      <c r="K745" s="214"/>
    </row>
    <row r="746" spans="4:11" ht="12.75" x14ac:dyDescent="0.2">
      <c r="D746" s="214"/>
      <c r="E746" s="214"/>
      <c r="F746" s="214"/>
      <c r="G746" s="214"/>
      <c r="H746" s="214"/>
      <c r="I746" s="214"/>
      <c r="J746" s="214"/>
      <c r="K746" s="214"/>
    </row>
    <row r="747" spans="4:11" ht="12.75" x14ac:dyDescent="0.2">
      <c r="D747" s="214"/>
      <c r="E747" s="214"/>
      <c r="F747" s="214"/>
      <c r="G747" s="214"/>
      <c r="H747" s="214"/>
      <c r="I747" s="214"/>
      <c r="J747" s="214"/>
      <c r="K747" s="214"/>
    </row>
    <row r="748" spans="4:11" ht="12.75" x14ac:dyDescent="0.2">
      <c r="D748" s="214"/>
      <c r="E748" s="214"/>
      <c r="F748" s="214"/>
      <c r="G748" s="214"/>
      <c r="H748" s="214"/>
      <c r="I748" s="214"/>
      <c r="J748" s="214"/>
      <c r="K748" s="214"/>
    </row>
    <row r="749" spans="4:11" ht="12.75" x14ac:dyDescent="0.2">
      <c r="D749" s="214"/>
      <c r="E749" s="214"/>
      <c r="F749" s="214"/>
      <c r="G749" s="214"/>
      <c r="H749" s="214"/>
      <c r="I749" s="214"/>
      <c r="J749" s="214"/>
      <c r="K749" s="214"/>
    </row>
    <row r="750" spans="4:11" ht="12.75" x14ac:dyDescent="0.2">
      <c r="D750" s="214"/>
      <c r="E750" s="214"/>
      <c r="F750" s="214"/>
      <c r="G750" s="214"/>
      <c r="H750" s="214"/>
      <c r="I750" s="214"/>
      <c r="J750" s="214"/>
      <c r="K750" s="214"/>
    </row>
    <row r="751" spans="4:11" ht="12.75" x14ac:dyDescent="0.2">
      <c r="D751" s="214"/>
      <c r="E751" s="214"/>
      <c r="F751" s="214"/>
      <c r="G751" s="214"/>
      <c r="H751" s="214"/>
      <c r="I751" s="214"/>
      <c r="J751" s="214"/>
      <c r="K751" s="214"/>
    </row>
    <row r="752" spans="4:11" ht="12.75" x14ac:dyDescent="0.2">
      <c r="D752" s="214"/>
      <c r="E752" s="214"/>
      <c r="F752" s="214"/>
      <c r="G752" s="214"/>
      <c r="H752" s="214"/>
      <c r="I752" s="214"/>
      <c r="J752" s="214"/>
      <c r="K752" s="214"/>
    </row>
    <row r="753" spans="4:11" ht="12.75" x14ac:dyDescent="0.2">
      <c r="D753" s="214"/>
      <c r="E753" s="214"/>
      <c r="F753" s="214"/>
      <c r="G753" s="214"/>
      <c r="H753" s="214"/>
      <c r="I753" s="214"/>
      <c r="J753" s="214"/>
      <c r="K753" s="214"/>
    </row>
    <row r="754" spans="4:11" ht="12.75" x14ac:dyDescent="0.2">
      <c r="D754" s="214"/>
      <c r="E754" s="214"/>
      <c r="F754" s="214"/>
      <c r="G754" s="214"/>
      <c r="H754" s="214"/>
      <c r="I754" s="214"/>
      <c r="J754" s="214"/>
      <c r="K754" s="214"/>
    </row>
    <row r="755" spans="4:11" ht="12.75" x14ac:dyDescent="0.2">
      <c r="D755" s="214"/>
      <c r="E755" s="214"/>
      <c r="F755" s="214"/>
      <c r="G755" s="214"/>
      <c r="H755" s="214"/>
      <c r="I755" s="214"/>
      <c r="J755" s="214"/>
      <c r="K755" s="214"/>
    </row>
    <row r="756" spans="4:11" ht="12.75" x14ac:dyDescent="0.2">
      <c r="D756" s="214"/>
      <c r="E756" s="214"/>
      <c r="F756" s="214"/>
      <c r="G756" s="214"/>
      <c r="H756" s="214"/>
      <c r="I756" s="214"/>
      <c r="J756" s="214"/>
      <c r="K756" s="214"/>
    </row>
    <row r="757" spans="4:11" ht="12.75" x14ac:dyDescent="0.2">
      <c r="D757" s="214"/>
      <c r="E757" s="214"/>
      <c r="F757" s="214"/>
      <c r="G757" s="214"/>
      <c r="H757" s="214"/>
      <c r="I757" s="214"/>
      <c r="J757" s="214"/>
      <c r="K757" s="214"/>
    </row>
    <row r="758" spans="4:11" ht="12.75" x14ac:dyDescent="0.2">
      <c r="D758" s="214"/>
      <c r="E758" s="214"/>
      <c r="F758" s="214"/>
      <c r="G758" s="214"/>
      <c r="H758" s="214"/>
      <c r="I758" s="214"/>
      <c r="J758" s="214"/>
      <c r="K758" s="214"/>
    </row>
    <row r="759" spans="4:11" ht="12.75" x14ac:dyDescent="0.2">
      <c r="D759" s="214"/>
      <c r="E759" s="214"/>
      <c r="F759" s="214"/>
      <c r="G759" s="214"/>
      <c r="H759" s="214"/>
      <c r="I759" s="214"/>
      <c r="J759" s="214"/>
      <c r="K759" s="214"/>
    </row>
    <row r="760" spans="4:11" ht="12.75" x14ac:dyDescent="0.2">
      <c r="D760" s="214"/>
      <c r="E760" s="214"/>
      <c r="F760" s="214"/>
      <c r="G760" s="214"/>
      <c r="H760" s="214"/>
      <c r="I760" s="214"/>
      <c r="J760" s="214"/>
      <c r="K760" s="214"/>
    </row>
    <row r="761" spans="4:11" ht="12.75" x14ac:dyDescent="0.2">
      <c r="D761" s="214"/>
      <c r="E761" s="214"/>
      <c r="F761" s="214"/>
      <c r="G761" s="214"/>
      <c r="H761" s="214"/>
      <c r="I761" s="214"/>
      <c r="J761" s="214"/>
      <c r="K761" s="214"/>
    </row>
    <row r="762" spans="4:11" ht="12.75" x14ac:dyDescent="0.2">
      <c r="D762" s="214"/>
      <c r="E762" s="214"/>
      <c r="F762" s="214"/>
      <c r="G762" s="214"/>
      <c r="H762" s="214"/>
      <c r="I762" s="214"/>
      <c r="J762" s="214"/>
      <c r="K762" s="214"/>
    </row>
    <row r="763" spans="4:11" ht="12.75" x14ac:dyDescent="0.2">
      <c r="D763" s="214"/>
      <c r="E763" s="214"/>
      <c r="F763" s="214"/>
      <c r="G763" s="214"/>
      <c r="H763" s="214"/>
      <c r="I763" s="214"/>
      <c r="J763" s="214"/>
      <c r="K763" s="214"/>
    </row>
    <row r="764" spans="4:11" ht="12.75" x14ac:dyDescent="0.2">
      <c r="D764" s="214"/>
      <c r="E764" s="214"/>
      <c r="F764" s="214"/>
      <c r="G764" s="214"/>
      <c r="H764" s="214"/>
      <c r="I764" s="214"/>
      <c r="J764" s="214"/>
      <c r="K764" s="214"/>
    </row>
    <row r="765" spans="4:11" ht="12.75" x14ac:dyDescent="0.2">
      <c r="D765" s="214"/>
      <c r="E765" s="214"/>
      <c r="F765" s="214"/>
      <c r="G765" s="214"/>
      <c r="H765" s="214"/>
      <c r="I765" s="214"/>
      <c r="J765" s="214"/>
      <c r="K765" s="214"/>
    </row>
    <row r="766" spans="4:11" ht="12.75" x14ac:dyDescent="0.2">
      <c r="D766" s="214"/>
      <c r="E766" s="214"/>
      <c r="F766" s="214"/>
      <c r="G766" s="214"/>
      <c r="H766" s="214"/>
      <c r="I766" s="214"/>
      <c r="J766" s="214"/>
      <c r="K766" s="214"/>
    </row>
    <row r="767" spans="4:11" ht="12.75" x14ac:dyDescent="0.2">
      <c r="D767" s="214"/>
      <c r="E767" s="214"/>
      <c r="F767" s="214"/>
      <c r="G767" s="214"/>
      <c r="H767" s="214"/>
      <c r="I767" s="214"/>
      <c r="J767" s="214"/>
      <c r="K767" s="214"/>
    </row>
    <row r="768" spans="4:11" ht="12.75" x14ac:dyDescent="0.2">
      <c r="D768" s="214"/>
      <c r="E768" s="214"/>
      <c r="F768" s="214"/>
      <c r="G768" s="214"/>
      <c r="H768" s="214"/>
      <c r="I768" s="214"/>
      <c r="J768" s="214"/>
      <c r="K768" s="214"/>
    </row>
    <row r="769" spans="4:11" ht="12.75" x14ac:dyDescent="0.2">
      <c r="D769" s="214"/>
      <c r="E769" s="214"/>
      <c r="F769" s="214"/>
      <c r="G769" s="214"/>
      <c r="H769" s="214"/>
      <c r="I769" s="214"/>
      <c r="J769" s="214"/>
      <c r="K769" s="214"/>
    </row>
    <row r="770" spans="4:11" ht="12.75" x14ac:dyDescent="0.2">
      <c r="D770" s="214"/>
      <c r="E770" s="214"/>
      <c r="F770" s="214"/>
      <c r="G770" s="214"/>
      <c r="H770" s="214"/>
      <c r="I770" s="214"/>
      <c r="J770" s="214"/>
      <c r="K770" s="214"/>
    </row>
    <row r="771" spans="4:11" ht="12.75" x14ac:dyDescent="0.2">
      <c r="D771" s="214"/>
      <c r="E771" s="214"/>
      <c r="F771" s="214"/>
      <c r="G771" s="214"/>
      <c r="H771" s="214"/>
      <c r="I771" s="214"/>
      <c r="J771" s="214"/>
      <c r="K771" s="214"/>
    </row>
    <row r="772" spans="4:11" ht="12.75" x14ac:dyDescent="0.2">
      <c r="D772" s="214"/>
      <c r="E772" s="214"/>
      <c r="F772" s="214"/>
      <c r="G772" s="214"/>
      <c r="H772" s="214"/>
      <c r="I772" s="214"/>
      <c r="J772" s="214"/>
      <c r="K772" s="214"/>
    </row>
    <row r="773" spans="4:11" ht="12.75" x14ac:dyDescent="0.2">
      <c r="D773" s="214"/>
      <c r="E773" s="214"/>
      <c r="F773" s="214"/>
      <c r="G773" s="214"/>
      <c r="H773" s="214"/>
      <c r="I773" s="214"/>
      <c r="J773" s="214"/>
      <c r="K773" s="214"/>
    </row>
    <row r="774" spans="4:11" ht="12.75" x14ac:dyDescent="0.2">
      <c r="D774" s="214"/>
      <c r="E774" s="214"/>
      <c r="F774" s="214"/>
      <c r="G774" s="214"/>
      <c r="H774" s="214"/>
      <c r="I774" s="214"/>
      <c r="J774" s="214"/>
      <c r="K774" s="214"/>
    </row>
    <row r="775" spans="4:11" ht="12.75" x14ac:dyDescent="0.2">
      <c r="D775" s="214"/>
      <c r="E775" s="214"/>
      <c r="F775" s="214"/>
      <c r="G775" s="214"/>
      <c r="H775" s="214"/>
      <c r="I775" s="214"/>
      <c r="J775" s="214"/>
      <c r="K775" s="214"/>
    </row>
    <row r="776" spans="4:11" ht="12.75" x14ac:dyDescent="0.2">
      <c r="D776" s="214"/>
      <c r="E776" s="214"/>
      <c r="F776" s="214"/>
      <c r="G776" s="214"/>
      <c r="H776" s="214"/>
      <c r="I776" s="214"/>
      <c r="J776" s="214"/>
      <c r="K776" s="214"/>
    </row>
    <row r="777" spans="4:11" ht="12.75" x14ac:dyDescent="0.2">
      <c r="D777" s="214"/>
      <c r="E777" s="214"/>
      <c r="F777" s="214"/>
      <c r="G777" s="214"/>
      <c r="H777" s="214"/>
      <c r="I777" s="214"/>
      <c r="J777" s="214"/>
      <c r="K777" s="214"/>
    </row>
    <row r="778" spans="4:11" ht="12.75" x14ac:dyDescent="0.2">
      <c r="D778" s="214"/>
      <c r="E778" s="214"/>
      <c r="F778" s="214"/>
      <c r="G778" s="214"/>
      <c r="H778" s="214"/>
      <c r="I778" s="214"/>
      <c r="J778" s="214"/>
      <c r="K778" s="214"/>
    </row>
    <row r="779" spans="4:11" ht="12.75" x14ac:dyDescent="0.2">
      <c r="D779" s="214"/>
      <c r="E779" s="214"/>
      <c r="F779" s="214"/>
      <c r="G779" s="214"/>
      <c r="H779" s="214"/>
      <c r="I779" s="214"/>
      <c r="J779" s="214"/>
      <c r="K779" s="214"/>
    </row>
    <row r="780" spans="4:11" ht="12.75" x14ac:dyDescent="0.2">
      <c r="D780" s="214"/>
      <c r="E780" s="214"/>
      <c r="F780" s="214"/>
      <c r="G780" s="214"/>
      <c r="H780" s="214"/>
      <c r="I780" s="214"/>
      <c r="J780" s="214"/>
      <c r="K780" s="214"/>
    </row>
    <row r="781" spans="4:11" ht="12.75" x14ac:dyDescent="0.2">
      <c r="D781" s="214"/>
      <c r="E781" s="214"/>
      <c r="F781" s="214"/>
      <c r="G781" s="214"/>
      <c r="H781" s="214"/>
      <c r="I781" s="214"/>
      <c r="J781" s="214"/>
      <c r="K781" s="214"/>
    </row>
    <row r="782" spans="4:11" ht="12.75" x14ac:dyDescent="0.2">
      <c r="D782" s="214"/>
      <c r="E782" s="214"/>
      <c r="F782" s="214"/>
      <c r="G782" s="214"/>
      <c r="H782" s="214"/>
      <c r="I782" s="214"/>
      <c r="J782" s="214"/>
      <c r="K782" s="214"/>
    </row>
    <row r="783" spans="4:11" ht="12.75" x14ac:dyDescent="0.2">
      <c r="D783" s="214"/>
      <c r="E783" s="214"/>
      <c r="F783" s="214"/>
      <c r="G783" s="214"/>
      <c r="H783" s="214"/>
      <c r="I783" s="214"/>
      <c r="J783" s="214"/>
      <c r="K783" s="214"/>
    </row>
    <row r="784" spans="4:11" ht="12.75" x14ac:dyDescent="0.2">
      <c r="D784" s="214"/>
      <c r="E784" s="214"/>
      <c r="F784" s="214"/>
      <c r="G784" s="214"/>
      <c r="H784" s="214"/>
      <c r="I784" s="214"/>
      <c r="J784" s="214"/>
      <c r="K784" s="214"/>
    </row>
    <row r="785" spans="4:11" ht="12.75" x14ac:dyDescent="0.2">
      <c r="D785" s="214"/>
      <c r="E785" s="214"/>
      <c r="F785" s="214"/>
      <c r="G785" s="214"/>
      <c r="H785" s="214"/>
      <c r="I785" s="214"/>
      <c r="J785" s="214"/>
      <c r="K785" s="214"/>
    </row>
    <row r="786" spans="4:11" ht="12.75" x14ac:dyDescent="0.2">
      <c r="D786" s="214"/>
      <c r="E786" s="214"/>
      <c r="F786" s="214"/>
      <c r="G786" s="214"/>
      <c r="H786" s="214"/>
      <c r="I786" s="214"/>
      <c r="J786" s="214"/>
      <c r="K786" s="214"/>
    </row>
    <row r="787" spans="4:11" ht="12.75" x14ac:dyDescent="0.2">
      <c r="D787" s="214"/>
      <c r="E787" s="214"/>
      <c r="F787" s="214"/>
      <c r="G787" s="214"/>
      <c r="H787" s="214"/>
      <c r="I787" s="214"/>
      <c r="J787" s="214"/>
      <c r="K787" s="214"/>
    </row>
    <row r="788" spans="4:11" ht="12.75" x14ac:dyDescent="0.2">
      <c r="D788" s="214"/>
      <c r="E788" s="214"/>
      <c r="F788" s="214"/>
      <c r="G788" s="214"/>
      <c r="H788" s="214"/>
      <c r="I788" s="214"/>
      <c r="J788" s="214"/>
      <c r="K788" s="214"/>
    </row>
    <row r="789" spans="4:11" ht="12.75" x14ac:dyDescent="0.2">
      <c r="D789" s="214"/>
      <c r="E789" s="214"/>
      <c r="F789" s="214"/>
      <c r="G789" s="214"/>
      <c r="H789" s="214"/>
      <c r="I789" s="214"/>
      <c r="J789" s="214"/>
      <c r="K789" s="214"/>
    </row>
    <row r="790" spans="4:11" ht="12.75" x14ac:dyDescent="0.2">
      <c r="D790" s="214"/>
      <c r="E790" s="214"/>
      <c r="F790" s="214"/>
      <c r="G790" s="214"/>
      <c r="H790" s="214"/>
      <c r="I790" s="214"/>
      <c r="J790" s="214"/>
      <c r="K790" s="214"/>
    </row>
    <row r="791" spans="4:11" ht="12.75" x14ac:dyDescent="0.2">
      <c r="D791" s="214"/>
      <c r="E791" s="214"/>
      <c r="F791" s="214"/>
      <c r="G791" s="214"/>
      <c r="H791" s="214"/>
      <c r="I791" s="214"/>
      <c r="J791" s="214"/>
      <c r="K791" s="214"/>
    </row>
    <row r="792" spans="4:11" ht="12.75" x14ac:dyDescent="0.2">
      <c r="D792" s="214"/>
      <c r="E792" s="214"/>
      <c r="F792" s="214"/>
      <c r="G792" s="214"/>
      <c r="H792" s="214"/>
      <c r="I792" s="214"/>
      <c r="J792" s="214"/>
      <c r="K792" s="214"/>
    </row>
    <row r="793" spans="4:11" ht="12.75" x14ac:dyDescent="0.2">
      <c r="D793" s="214"/>
      <c r="E793" s="214"/>
      <c r="F793" s="214"/>
      <c r="G793" s="214"/>
      <c r="H793" s="214"/>
      <c r="I793" s="214"/>
      <c r="J793" s="214"/>
      <c r="K793" s="214"/>
    </row>
    <row r="794" spans="4:11" ht="12.75" x14ac:dyDescent="0.2">
      <c r="D794" s="214"/>
      <c r="E794" s="214"/>
      <c r="F794" s="214"/>
      <c r="G794" s="214"/>
      <c r="H794" s="214"/>
      <c r="I794" s="214"/>
      <c r="J794" s="214"/>
      <c r="K794" s="214"/>
    </row>
    <row r="795" spans="4:11" ht="12.75" x14ac:dyDescent="0.2">
      <c r="D795" s="214"/>
      <c r="E795" s="214"/>
      <c r="F795" s="214"/>
      <c r="G795" s="214"/>
      <c r="H795" s="214"/>
      <c r="I795" s="214"/>
      <c r="J795" s="214"/>
      <c r="K795" s="214"/>
    </row>
    <row r="796" spans="4:11" ht="12.75" x14ac:dyDescent="0.2">
      <c r="D796" s="214"/>
      <c r="E796" s="214"/>
      <c r="F796" s="214"/>
      <c r="G796" s="214"/>
      <c r="H796" s="214"/>
      <c r="I796" s="214"/>
      <c r="J796" s="214"/>
      <c r="K796" s="214"/>
    </row>
    <row r="797" spans="4:11" ht="12.75" x14ac:dyDescent="0.2">
      <c r="D797" s="214"/>
      <c r="E797" s="214"/>
      <c r="F797" s="214"/>
      <c r="G797" s="214"/>
      <c r="H797" s="214"/>
      <c r="I797" s="214"/>
      <c r="J797" s="214"/>
      <c r="K797" s="214"/>
    </row>
    <row r="798" spans="4:11" ht="12.75" x14ac:dyDescent="0.2">
      <c r="D798" s="214"/>
      <c r="E798" s="214"/>
      <c r="F798" s="214"/>
      <c r="G798" s="214"/>
      <c r="H798" s="214"/>
      <c r="I798" s="214"/>
      <c r="J798" s="214"/>
      <c r="K798" s="214"/>
    </row>
    <row r="799" spans="4:11" ht="12.75" x14ac:dyDescent="0.2">
      <c r="D799" s="214"/>
      <c r="E799" s="214"/>
      <c r="F799" s="214"/>
      <c r="G799" s="214"/>
      <c r="H799" s="214"/>
      <c r="I799" s="214"/>
      <c r="J799" s="214"/>
      <c r="K799" s="214"/>
    </row>
    <row r="800" spans="4:11" ht="12.75" x14ac:dyDescent="0.2">
      <c r="D800" s="214"/>
      <c r="E800" s="214"/>
      <c r="F800" s="214"/>
      <c r="G800" s="214"/>
      <c r="H800" s="214"/>
      <c r="I800" s="214"/>
      <c r="J800" s="214"/>
      <c r="K800" s="214"/>
    </row>
    <row r="801" spans="4:11" ht="12.75" x14ac:dyDescent="0.2">
      <c r="D801" s="214"/>
      <c r="E801" s="214"/>
      <c r="F801" s="214"/>
      <c r="G801" s="214"/>
      <c r="H801" s="214"/>
      <c r="I801" s="214"/>
      <c r="J801" s="214"/>
      <c r="K801" s="214"/>
    </row>
    <row r="802" spans="4:11" ht="12.75" x14ac:dyDescent="0.2">
      <c r="D802" s="214"/>
      <c r="E802" s="214"/>
      <c r="F802" s="214"/>
      <c r="G802" s="214"/>
      <c r="H802" s="214"/>
      <c r="I802" s="214"/>
      <c r="J802" s="214"/>
      <c r="K802" s="214"/>
    </row>
    <row r="803" spans="4:11" ht="12.75" x14ac:dyDescent="0.2">
      <c r="D803" s="214"/>
      <c r="E803" s="214"/>
      <c r="F803" s="214"/>
      <c r="G803" s="214"/>
      <c r="H803" s="214"/>
      <c r="I803" s="214"/>
      <c r="J803" s="214"/>
      <c r="K803" s="214"/>
    </row>
    <row r="804" spans="4:11" ht="12.75" x14ac:dyDescent="0.2">
      <c r="D804" s="214"/>
      <c r="E804" s="214"/>
      <c r="F804" s="214"/>
      <c r="G804" s="214"/>
      <c r="H804" s="214"/>
      <c r="I804" s="214"/>
      <c r="J804" s="214"/>
      <c r="K804" s="214"/>
    </row>
    <row r="805" spans="4:11" ht="12.75" x14ac:dyDescent="0.2">
      <c r="D805" s="214"/>
      <c r="E805" s="214"/>
      <c r="F805" s="214"/>
      <c r="G805" s="214"/>
      <c r="H805" s="214"/>
      <c r="I805" s="214"/>
      <c r="J805" s="214"/>
      <c r="K805" s="214"/>
    </row>
    <row r="806" spans="4:11" ht="12.75" x14ac:dyDescent="0.2">
      <c r="D806" s="214"/>
      <c r="E806" s="214"/>
      <c r="F806" s="214"/>
      <c r="G806" s="214"/>
      <c r="H806" s="214"/>
      <c r="I806" s="214"/>
      <c r="J806" s="214"/>
      <c r="K806" s="214"/>
    </row>
    <row r="807" spans="4:11" ht="12.75" x14ac:dyDescent="0.2">
      <c r="D807" s="214"/>
      <c r="E807" s="214"/>
      <c r="F807" s="214"/>
      <c r="G807" s="214"/>
      <c r="H807" s="214"/>
      <c r="I807" s="214"/>
      <c r="J807" s="214"/>
      <c r="K807" s="214"/>
    </row>
    <row r="808" spans="4:11" ht="12.75" x14ac:dyDescent="0.2">
      <c r="D808" s="214"/>
      <c r="E808" s="214"/>
      <c r="F808" s="214"/>
      <c r="G808" s="214"/>
      <c r="H808" s="214"/>
      <c r="I808" s="214"/>
      <c r="J808" s="214"/>
      <c r="K808" s="214"/>
    </row>
    <row r="809" spans="4:11" ht="12.75" x14ac:dyDescent="0.2">
      <c r="D809" s="214"/>
      <c r="E809" s="214"/>
      <c r="F809" s="214"/>
      <c r="G809" s="214"/>
      <c r="H809" s="214"/>
      <c r="I809" s="214"/>
      <c r="J809" s="214"/>
      <c r="K809" s="214"/>
    </row>
    <row r="810" spans="4:11" ht="12.75" x14ac:dyDescent="0.2">
      <c r="D810" s="214"/>
      <c r="E810" s="214"/>
      <c r="F810" s="214"/>
      <c r="G810" s="214"/>
      <c r="H810" s="214"/>
      <c r="I810" s="214"/>
      <c r="J810" s="214"/>
      <c r="K810" s="214"/>
    </row>
    <row r="811" spans="4:11" ht="12.75" x14ac:dyDescent="0.2">
      <c r="D811" s="214"/>
      <c r="E811" s="214"/>
      <c r="F811" s="214"/>
      <c r="G811" s="214"/>
      <c r="H811" s="214"/>
      <c r="I811" s="214"/>
      <c r="J811" s="214"/>
      <c r="K811" s="214"/>
    </row>
    <row r="812" spans="4:11" ht="12.75" x14ac:dyDescent="0.2">
      <c r="D812" s="214"/>
      <c r="E812" s="214"/>
      <c r="F812" s="214"/>
      <c r="G812" s="214"/>
      <c r="H812" s="214"/>
      <c r="I812" s="214"/>
      <c r="J812" s="214"/>
      <c r="K812" s="214"/>
    </row>
    <row r="813" spans="4:11" ht="12.75" x14ac:dyDescent="0.2">
      <c r="D813" s="214"/>
      <c r="E813" s="214"/>
      <c r="F813" s="214"/>
      <c r="G813" s="214"/>
      <c r="H813" s="214"/>
      <c r="I813" s="214"/>
      <c r="J813" s="214"/>
      <c r="K813" s="214"/>
    </row>
    <row r="814" spans="4:11" ht="12.75" x14ac:dyDescent="0.2">
      <c r="D814" s="214"/>
      <c r="E814" s="214"/>
      <c r="F814" s="214"/>
      <c r="G814" s="214"/>
      <c r="H814" s="214"/>
      <c r="I814" s="214"/>
      <c r="J814" s="214"/>
      <c r="K814" s="214"/>
    </row>
    <row r="815" spans="4:11" ht="12.75" x14ac:dyDescent="0.2">
      <c r="D815" s="214"/>
      <c r="E815" s="214"/>
      <c r="F815" s="214"/>
      <c r="G815" s="214"/>
      <c r="H815" s="214"/>
      <c r="I815" s="214"/>
      <c r="J815" s="214"/>
      <c r="K815" s="214"/>
    </row>
    <row r="816" spans="4:11" ht="12.75" x14ac:dyDescent="0.2">
      <c r="D816" s="214"/>
      <c r="E816" s="214"/>
      <c r="F816" s="214"/>
      <c r="G816" s="214"/>
      <c r="H816" s="214"/>
      <c r="I816" s="214"/>
      <c r="J816" s="214"/>
      <c r="K816" s="214"/>
    </row>
    <row r="817" spans="4:11" ht="12.75" x14ac:dyDescent="0.2">
      <c r="D817" s="214"/>
      <c r="E817" s="214"/>
      <c r="F817" s="214"/>
      <c r="G817" s="214"/>
      <c r="H817" s="214"/>
      <c r="I817" s="214"/>
      <c r="J817" s="214"/>
      <c r="K817" s="214"/>
    </row>
    <row r="818" spans="4:11" ht="12.75" x14ac:dyDescent="0.2">
      <c r="D818" s="214"/>
      <c r="E818" s="214"/>
      <c r="F818" s="214"/>
      <c r="G818" s="214"/>
      <c r="H818" s="214"/>
      <c r="I818" s="214"/>
      <c r="J818" s="214"/>
      <c r="K818" s="214"/>
    </row>
    <row r="819" spans="4:11" ht="12.75" x14ac:dyDescent="0.2">
      <c r="D819" s="214"/>
      <c r="E819" s="214"/>
      <c r="F819" s="214"/>
      <c r="G819" s="214"/>
      <c r="H819" s="214"/>
      <c r="I819" s="214"/>
      <c r="J819" s="214"/>
      <c r="K819" s="214"/>
    </row>
    <row r="820" spans="4:11" ht="12.75" x14ac:dyDescent="0.2">
      <c r="D820" s="214"/>
      <c r="E820" s="214"/>
      <c r="F820" s="214"/>
      <c r="G820" s="214"/>
      <c r="H820" s="214"/>
      <c r="I820" s="214"/>
      <c r="J820" s="214"/>
      <c r="K820" s="214"/>
    </row>
    <row r="821" spans="4:11" ht="12.75" x14ac:dyDescent="0.2">
      <c r="D821" s="214"/>
      <c r="E821" s="214"/>
      <c r="F821" s="214"/>
      <c r="G821" s="214"/>
      <c r="H821" s="214"/>
      <c r="I821" s="214"/>
      <c r="J821" s="214"/>
      <c r="K821" s="214"/>
    </row>
    <row r="822" spans="4:11" ht="12.75" x14ac:dyDescent="0.2">
      <c r="D822" s="214"/>
      <c r="E822" s="214"/>
      <c r="F822" s="214"/>
      <c r="G822" s="214"/>
      <c r="H822" s="214"/>
      <c r="I822" s="214"/>
      <c r="J822" s="214"/>
      <c r="K822" s="214"/>
    </row>
    <row r="823" spans="4:11" ht="12.75" x14ac:dyDescent="0.2">
      <c r="D823" s="214"/>
      <c r="E823" s="214"/>
      <c r="F823" s="214"/>
      <c r="G823" s="214"/>
      <c r="H823" s="214"/>
      <c r="I823" s="214"/>
      <c r="J823" s="214"/>
      <c r="K823" s="214"/>
    </row>
    <row r="824" spans="4:11" ht="12.75" x14ac:dyDescent="0.2">
      <c r="D824" s="214"/>
      <c r="E824" s="214"/>
      <c r="F824" s="214"/>
      <c r="G824" s="214"/>
      <c r="H824" s="214"/>
      <c r="I824" s="214"/>
      <c r="J824" s="214"/>
      <c r="K824" s="214"/>
    </row>
    <row r="825" spans="4:11" ht="12.75" x14ac:dyDescent="0.2">
      <c r="D825" s="214"/>
      <c r="E825" s="214"/>
      <c r="F825" s="214"/>
      <c r="G825" s="214"/>
      <c r="H825" s="214"/>
      <c r="I825" s="214"/>
      <c r="J825" s="214"/>
      <c r="K825" s="214"/>
    </row>
    <row r="826" spans="4:11" ht="12.75" x14ac:dyDescent="0.2">
      <c r="D826" s="214"/>
      <c r="E826" s="214"/>
      <c r="F826" s="214"/>
      <c r="G826" s="214"/>
      <c r="H826" s="214"/>
      <c r="I826" s="214"/>
      <c r="J826" s="214"/>
      <c r="K826" s="214"/>
    </row>
    <row r="827" spans="4:11" ht="12.75" x14ac:dyDescent="0.2">
      <c r="D827" s="214"/>
      <c r="E827" s="214"/>
      <c r="F827" s="214"/>
      <c r="G827" s="214"/>
      <c r="H827" s="214"/>
      <c r="I827" s="214"/>
      <c r="J827" s="214"/>
      <c r="K827" s="214"/>
    </row>
    <row r="828" spans="4:11" ht="12.75" x14ac:dyDescent="0.2">
      <c r="D828" s="214"/>
      <c r="E828" s="214"/>
      <c r="F828" s="214"/>
      <c r="G828" s="214"/>
      <c r="H828" s="214"/>
      <c r="I828" s="214"/>
      <c r="J828" s="214"/>
      <c r="K828" s="214"/>
    </row>
    <row r="829" spans="4:11" ht="12.75" x14ac:dyDescent="0.2">
      <c r="D829" s="214"/>
      <c r="E829" s="214"/>
      <c r="F829" s="214"/>
      <c r="G829" s="214"/>
      <c r="H829" s="214"/>
      <c r="I829" s="214"/>
      <c r="J829" s="214"/>
      <c r="K829" s="214"/>
    </row>
    <row r="830" spans="4:11" ht="12.75" x14ac:dyDescent="0.2">
      <c r="D830" s="214"/>
      <c r="E830" s="214"/>
      <c r="F830" s="214"/>
      <c r="G830" s="214"/>
      <c r="H830" s="214"/>
      <c r="I830" s="214"/>
      <c r="J830" s="214"/>
      <c r="K830" s="214"/>
    </row>
    <row r="831" spans="4:11" ht="12.75" x14ac:dyDescent="0.2">
      <c r="D831" s="214"/>
      <c r="E831" s="214"/>
      <c r="F831" s="214"/>
      <c r="G831" s="214"/>
      <c r="H831" s="214"/>
      <c r="I831" s="214"/>
      <c r="J831" s="214"/>
      <c r="K831" s="214"/>
    </row>
    <row r="832" spans="4:11" ht="12.75" x14ac:dyDescent="0.2">
      <c r="D832" s="214"/>
      <c r="E832" s="214"/>
      <c r="F832" s="214"/>
      <c r="G832" s="214"/>
      <c r="H832" s="214"/>
      <c r="I832" s="214"/>
      <c r="J832" s="214"/>
      <c r="K832" s="214"/>
    </row>
    <row r="833" spans="4:11" ht="12.75" x14ac:dyDescent="0.2">
      <c r="D833" s="214"/>
      <c r="E833" s="214"/>
      <c r="F833" s="214"/>
      <c r="G833" s="214"/>
      <c r="H833" s="214"/>
      <c r="I833" s="214"/>
      <c r="J833" s="214"/>
      <c r="K833" s="214"/>
    </row>
    <row r="834" spans="4:11" ht="12.75" x14ac:dyDescent="0.2">
      <c r="D834" s="214"/>
      <c r="E834" s="214"/>
      <c r="F834" s="214"/>
      <c r="G834" s="214"/>
      <c r="H834" s="214"/>
      <c r="I834" s="214"/>
      <c r="J834" s="214"/>
      <c r="K834" s="214"/>
    </row>
    <row r="835" spans="4:11" ht="12.75" x14ac:dyDescent="0.2">
      <c r="D835" s="214"/>
      <c r="E835" s="214"/>
      <c r="F835" s="214"/>
      <c r="G835" s="214"/>
      <c r="H835" s="214"/>
      <c r="I835" s="214"/>
      <c r="J835" s="214"/>
      <c r="K835" s="214"/>
    </row>
    <row r="836" spans="4:11" ht="12.75" x14ac:dyDescent="0.2">
      <c r="D836" s="214"/>
      <c r="E836" s="214"/>
      <c r="F836" s="214"/>
      <c r="G836" s="214"/>
      <c r="H836" s="214"/>
      <c r="I836" s="214"/>
      <c r="J836" s="214"/>
      <c r="K836" s="214"/>
    </row>
    <row r="837" spans="4:11" ht="12.75" x14ac:dyDescent="0.2">
      <c r="D837" s="214"/>
      <c r="E837" s="214"/>
      <c r="F837" s="214"/>
      <c r="G837" s="214"/>
      <c r="H837" s="214"/>
      <c r="I837" s="214"/>
      <c r="J837" s="214"/>
      <c r="K837" s="214"/>
    </row>
    <row r="838" spans="4:11" ht="12.75" x14ac:dyDescent="0.2">
      <c r="D838" s="214"/>
      <c r="E838" s="214"/>
      <c r="F838" s="214"/>
      <c r="G838" s="214"/>
      <c r="H838" s="214"/>
      <c r="I838" s="214"/>
      <c r="J838" s="214"/>
      <c r="K838" s="214"/>
    </row>
    <row r="839" spans="4:11" ht="12.75" x14ac:dyDescent="0.2">
      <c r="D839" s="214"/>
      <c r="E839" s="214"/>
      <c r="F839" s="214"/>
      <c r="G839" s="214"/>
      <c r="H839" s="214"/>
      <c r="I839" s="214"/>
      <c r="J839" s="214"/>
      <c r="K839" s="214"/>
    </row>
    <row r="840" spans="4:11" ht="12.75" x14ac:dyDescent="0.2">
      <c r="D840" s="214"/>
      <c r="E840" s="214"/>
      <c r="F840" s="214"/>
      <c r="G840" s="214"/>
      <c r="H840" s="214"/>
      <c r="I840" s="214"/>
      <c r="J840" s="214"/>
      <c r="K840" s="214"/>
    </row>
    <row r="841" spans="4:11" ht="12.75" x14ac:dyDescent="0.2">
      <c r="D841" s="214"/>
      <c r="E841" s="214"/>
      <c r="F841" s="214"/>
      <c r="G841" s="214"/>
      <c r="H841" s="214"/>
      <c r="I841" s="214"/>
      <c r="J841" s="214"/>
      <c r="K841" s="214"/>
    </row>
    <row r="842" spans="4:11" ht="12.75" x14ac:dyDescent="0.2">
      <c r="D842" s="214"/>
      <c r="E842" s="214"/>
      <c r="F842" s="214"/>
      <c r="G842" s="214"/>
      <c r="H842" s="214"/>
      <c r="I842" s="214"/>
      <c r="J842" s="214"/>
      <c r="K842" s="214"/>
    </row>
    <row r="843" spans="4:11" ht="12.75" x14ac:dyDescent="0.2">
      <c r="D843" s="214"/>
      <c r="E843" s="214"/>
      <c r="F843" s="214"/>
      <c r="G843" s="214"/>
      <c r="H843" s="214"/>
      <c r="I843" s="214"/>
      <c r="J843" s="214"/>
      <c r="K843" s="214"/>
    </row>
    <row r="844" spans="4:11" ht="12.75" x14ac:dyDescent="0.2">
      <c r="D844" s="214"/>
      <c r="E844" s="214"/>
      <c r="F844" s="214"/>
      <c r="G844" s="214"/>
      <c r="H844" s="214"/>
      <c r="I844" s="214"/>
      <c r="J844" s="214"/>
      <c r="K844" s="214"/>
    </row>
    <row r="845" spans="4:11" ht="12.75" x14ac:dyDescent="0.2">
      <c r="D845" s="214"/>
      <c r="E845" s="214"/>
      <c r="F845" s="214"/>
      <c r="G845" s="214"/>
      <c r="H845" s="214"/>
      <c r="I845" s="214"/>
      <c r="J845" s="214"/>
      <c r="K845" s="214"/>
    </row>
    <row r="846" spans="4:11" ht="12.75" x14ac:dyDescent="0.2">
      <c r="D846" s="214"/>
      <c r="E846" s="214"/>
      <c r="F846" s="214"/>
      <c r="G846" s="214"/>
      <c r="H846" s="214"/>
      <c r="I846" s="214"/>
      <c r="J846" s="214"/>
      <c r="K846" s="214"/>
    </row>
    <row r="847" spans="4:11" ht="12.75" x14ac:dyDescent="0.2">
      <c r="D847" s="214"/>
      <c r="E847" s="214"/>
      <c r="F847" s="214"/>
      <c r="G847" s="214"/>
      <c r="H847" s="214"/>
      <c r="I847" s="214"/>
      <c r="J847" s="214"/>
      <c r="K847" s="214"/>
    </row>
    <row r="848" spans="4:11" ht="12.75" x14ac:dyDescent="0.2">
      <c r="D848" s="214"/>
      <c r="E848" s="214"/>
      <c r="F848" s="214"/>
      <c r="G848" s="214"/>
      <c r="H848" s="214"/>
      <c r="I848" s="214"/>
      <c r="J848" s="214"/>
      <c r="K848" s="214"/>
    </row>
    <row r="849" spans="4:11" ht="12.75" x14ac:dyDescent="0.2">
      <c r="D849" s="214"/>
      <c r="E849" s="214"/>
      <c r="F849" s="214"/>
      <c r="G849" s="214"/>
      <c r="H849" s="214"/>
      <c r="I849" s="214"/>
      <c r="J849" s="214"/>
      <c r="K849" s="214"/>
    </row>
    <row r="850" spans="4:11" ht="12.75" x14ac:dyDescent="0.2">
      <c r="D850" s="214"/>
      <c r="E850" s="214"/>
      <c r="F850" s="214"/>
      <c r="G850" s="214"/>
      <c r="H850" s="214"/>
      <c r="I850" s="214"/>
      <c r="J850" s="214"/>
      <c r="K850" s="214"/>
    </row>
    <row r="851" spans="4:11" ht="12.75" x14ac:dyDescent="0.2">
      <c r="D851" s="214"/>
      <c r="E851" s="214"/>
      <c r="F851" s="214"/>
      <c r="G851" s="214"/>
      <c r="H851" s="214"/>
      <c r="I851" s="214"/>
      <c r="J851" s="214"/>
      <c r="K851" s="214"/>
    </row>
    <row r="852" spans="4:11" ht="12.75" x14ac:dyDescent="0.2">
      <c r="D852" s="214"/>
      <c r="E852" s="214"/>
      <c r="F852" s="214"/>
      <c r="G852" s="214"/>
      <c r="H852" s="214"/>
      <c r="I852" s="214"/>
      <c r="J852" s="214"/>
      <c r="K852" s="214"/>
    </row>
    <row r="853" spans="4:11" ht="12.75" x14ac:dyDescent="0.2">
      <c r="D853" s="214"/>
      <c r="E853" s="214"/>
      <c r="F853" s="214"/>
      <c r="G853" s="214"/>
      <c r="H853" s="214"/>
      <c r="I853" s="214"/>
      <c r="J853" s="214"/>
      <c r="K853" s="214"/>
    </row>
    <row r="854" spans="4:11" ht="12.75" x14ac:dyDescent="0.2">
      <c r="D854" s="214"/>
      <c r="E854" s="214"/>
      <c r="F854" s="214"/>
      <c r="G854" s="214"/>
      <c r="H854" s="214"/>
      <c r="I854" s="214"/>
      <c r="J854" s="214"/>
      <c r="K854" s="214"/>
    </row>
    <row r="855" spans="4:11" ht="12.75" x14ac:dyDescent="0.2">
      <c r="D855" s="214"/>
      <c r="E855" s="214"/>
      <c r="F855" s="214"/>
      <c r="G855" s="214"/>
      <c r="H855" s="214"/>
      <c r="I855" s="214"/>
      <c r="J855" s="214"/>
      <c r="K855" s="214"/>
    </row>
    <row r="856" spans="4:11" ht="12.75" x14ac:dyDescent="0.2">
      <c r="D856" s="214"/>
      <c r="E856" s="214"/>
      <c r="F856" s="214"/>
      <c r="G856" s="214"/>
      <c r="H856" s="214"/>
      <c r="I856" s="214"/>
      <c r="J856" s="214"/>
      <c r="K856" s="214"/>
    </row>
    <row r="857" spans="4:11" ht="12.75" x14ac:dyDescent="0.2">
      <c r="D857" s="214"/>
      <c r="E857" s="214"/>
      <c r="F857" s="214"/>
      <c r="G857" s="214"/>
      <c r="H857" s="214"/>
      <c r="I857" s="214"/>
      <c r="J857" s="214"/>
      <c r="K857" s="214"/>
    </row>
    <row r="858" spans="4:11" ht="12.75" x14ac:dyDescent="0.2">
      <c r="D858" s="214"/>
      <c r="E858" s="214"/>
      <c r="F858" s="214"/>
      <c r="G858" s="214"/>
      <c r="H858" s="214"/>
      <c r="I858" s="214"/>
      <c r="J858" s="214"/>
      <c r="K858" s="214"/>
    </row>
    <row r="859" spans="4:11" ht="12.75" x14ac:dyDescent="0.2">
      <c r="D859" s="214"/>
      <c r="E859" s="214"/>
      <c r="F859" s="214"/>
      <c r="G859" s="214"/>
      <c r="H859" s="214"/>
      <c r="I859" s="214"/>
      <c r="J859" s="214"/>
      <c r="K859" s="214"/>
    </row>
    <row r="860" spans="4:11" ht="12.75" x14ac:dyDescent="0.2">
      <c r="D860" s="214"/>
      <c r="E860" s="214"/>
      <c r="F860" s="214"/>
      <c r="G860" s="214"/>
      <c r="H860" s="214"/>
      <c r="I860" s="214"/>
      <c r="J860" s="214"/>
      <c r="K860" s="214"/>
    </row>
    <row r="861" spans="4:11" ht="12.75" x14ac:dyDescent="0.2">
      <c r="D861" s="214"/>
      <c r="E861" s="214"/>
      <c r="F861" s="214"/>
      <c r="G861" s="214"/>
      <c r="H861" s="214"/>
      <c r="I861" s="214"/>
      <c r="J861" s="214"/>
      <c r="K861" s="214"/>
    </row>
    <row r="862" spans="4:11" ht="12.75" x14ac:dyDescent="0.2">
      <c r="D862" s="214"/>
      <c r="E862" s="214"/>
      <c r="F862" s="214"/>
      <c r="G862" s="214"/>
      <c r="H862" s="214"/>
      <c r="I862" s="214"/>
      <c r="J862" s="214"/>
      <c r="K862" s="214"/>
    </row>
    <row r="863" spans="4:11" ht="12.75" x14ac:dyDescent="0.2">
      <c r="D863" s="214"/>
      <c r="E863" s="214"/>
      <c r="F863" s="214"/>
      <c r="G863" s="214"/>
      <c r="H863" s="214"/>
      <c r="I863" s="214"/>
      <c r="J863" s="214"/>
      <c r="K863" s="214"/>
    </row>
    <row r="864" spans="4:11" ht="12.75" x14ac:dyDescent="0.2">
      <c r="D864" s="214"/>
      <c r="E864" s="214"/>
      <c r="F864" s="214"/>
      <c r="G864" s="214"/>
      <c r="H864" s="214"/>
      <c r="I864" s="214"/>
      <c r="J864" s="214"/>
      <c r="K864" s="214"/>
    </row>
    <row r="865" spans="4:11" ht="12.75" x14ac:dyDescent="0.2">
      <c r="D865" s="214"/>
      <c r="E865" s="214"/>
      <c r="F865" s="214"/>
      <c r="G865" s="214"/>
      <c r="H865" s="214"/>
      <c r="I865" s="214"/>
      <c r="J865" s="214"/>
      <c r="K865" s="214"/>
    </row>
    <row r="866" spans="4:11" ht="12.75" x14ac:dyDescent="0.2">
      <c r="D866" s="214"/>
      <c r="E866" s="214"/>
      <c r="F866" s="214"/>
      <c r="G866" s="214"/>
      <c r="H866" s="214"/>
      <c r="I866" s="214"/>
      <c r="J866" s="214"/>
      <c r="K866" s="214"/>
    </row>
    <row r="867" spans="4:11" ht="12.75" x14ac:dyDescent="0.2">
      <c r="D867" s="214"/>
      <c r="E867" s="214"/>
      <c r="F867" s="214"/>
      <c r="G867" s="214"/>
      <c r="H867" s="214"/>
      <c r="I867" s="214"/>
      <c r="J867" s="214"/>
      <c r="K867" s="214"/>
    </row>
    <row r="868" spans="4:11" ht="12.75" x14ac:dyDescent="0.2">
      <c r="D868" s="214"/>
      <c r="E868" s="214"/>
      <c r="F868" s="214"/>
      <c r="G868" s="214"/>
      <c r="H868" s="214"/>
      <c r="I868" s="214"/>
      <c r="J868" s="214"/>
      <c r="K868" s="214"/>
    </row>
    <row r="869" spans="4:11" ht="12.75" x14ac:dyDescent="0.2">
      <c r="D869" s="214"/>
      <c r="E869" s="214"/>
      <c r="F869" s="214"/>
      <c r="G869" s="214"/>
      <c r="H869" s="214"/>
      <c r="I869" s="214"/>
      <c r="J869" s="214"/>
      <c r="K869" s="214"/>
    </row>
    <row r="870" spans="4:11" ht="12.75" x14ac:dyDescent="0.2">
      <c r="D870" s="214"/>
      <c r="E870" s="214"/>
      <c r="F870" s="214"/>
      <c r="G870" s="214"/>
      <c r="H870" s="214"/>
      <c r="I870" s="214"/>
      <c r="J870" s="214"/>
      <c r="K870" s="214"/>
    </row>
    <row r="871" spans="4:11" ht="12.75" x14ac:dyDescent="0.2">
      <c r="D871" s="214"/>
      <c r="E871" s="214"/>
      <c r="F871" s="214"/>
      <c r="G871" s="214"/>
      <c r="H871" s="214"/>
      <c r="I871" s="214"/>
      <c r="J871" s="214"/>
      <c r="K871" s="214"/>
    </row>
    <row r="872" spans="4:11" ht="12.75" x14ac:dyDescent="0.2">
      <c r="D872" s="214"/>
      <c r="E872" s="214"/>
      <c r="F872" s="214"/>
      <c r="G872" s="214"/>
      <c r="H872" s="214"/>
      <c r="I872" s="214"/>
      <c r="J872" s="214"/>
      <c r="K872" s="214"/>
    </row>
    <row r="873" spans="4:11" ht="12.75" x14ac:dyDescent="0.2">
      <c r="D873" s="214"/>
      <c r="E873" s="214"/>
      <c r="F873" s="214"/>
      <c r="G873" s="214"/>
      <c r="H873" s="214"/>
      <c r="I873" s="214"/>
      <c r="J873" s="214"/>
      <c r="K873" s="214"/>
    </row>
    <row r="874" spans="4:11" ht="12.75" x14ac:dyDescent="0.2">
      <c r="D874" s="214"/>
      <c r="E874" s="214"/>
      <c r="F874" s="214"/>
      <c r="G874" s="214"/>
      <c r="H874" s="214"/>
      <c r="I874" s="214"/>
      <c r="J874" s="214"/>
      <c r="K874" s="214"/>
    </row>
    <row r="875" spans="4:11" ht="12.75" x14ac:dyDescent="0.2">
      <c r="D875" s="214"/>
      <c r="E875" s="214"/>
      <c r="F875" s="214"/>
      <c r="G875" s="214"/>
      <c r="H875" s="214"/>
      <c r="I875" s="214"/>
      <c r="J875" s="214"/>
      <c r="K875" s="214"/>
    </row>
    <row r="876" spans="4:11" ht="12.75" x14ac:dyDescent="0.2">
      <c r="D876" s="214"/>
      <c r="E876" s="214"/>
      <c r="F876" s="214"/>
      <c r="G876" s="214"/>
      <c r="H876" s="214"/>
      <c r="I876" s="214"/>
      <c r="J876" s="214"/>
      <c r="K876" s="214"/>
    </row>
    <row r="877" spans="4:11" ht="12.75" x14ac:dyDescent="0.2">
      <c r="D877" s="214"/>
      <c r="E877" s="214"/>
      <c r="F877" s="214"/>
      <c r="G877" s="214"/>
      <c r="H877" s="214"/>
      <c r="I877" s="214"/>
      <c r="J877" s="214"/>
      <c r="K877" s="214"/>
    </row>
    <row r="878" spans="4:11" ht="12.75" x14ac:dyDescent="0.2">
      <c r="D878" s="214"/>
      <c r="E878" s="214"/>
      <c r="F878" s="214"/>
      <c r="G878" s="214"/>
      <c r="H878" s="214"/>
      <c r="I878" s="214"/>
      <c r="J878" s="214"/>
      <c r="K878" s="214"/>
    </row>
    <row r="879" spans="4:11" ht="12.75" x14ac:dyDescent="0.2">
      <c r="D879" s="214"/>
      <c r="E879" s="214"/>
      <c r="F879" s="214"/>
      <c r="G879" s="214"/>
      <c r="H879" s="214"/>
      <c r="I879" s="214"/>
      <c r="J879" s="214"/>
      <c r="K879" s="214"/>
    </row>
    <row r="880" spans="4:11" ht="12.75" x14ac:dyDescent="0.2">
      <c r="D880" s="214"/>
      <c r="E880" s="214"/>
      <c r="F880" s="214"/>
      <c r="G880" s="214"/>
      <c r="H880" s="214"/>
      <c r="I880" s="214"/>
      <c r="J880" s="214"/>
      <c r="K880" s="214"/>
    </row>
    <row r="881" spans="4:11" ht="12.75" x14ac:dyDescent="0.2">
      <c r="D881" s="214"/>
      <c r="E881" s="214"/>
      <c r="F881" s="214"/>
      <c r="G881" s="214"/>
      <c r="H881" s="214"/>
      <c r="I881" s="214"/>
      <c r="J881" s="214"/>
      <c r="K881" s="214"/>
    </row>
    <row r="882" spans="4:11" ht="12.75" x14ac:dyDescent="0.2">
      <c r="D882" s="214"/>
      <c r="E882" s="214"/>
      <c r="F882" s="214"/>
      <c r="G882" s="214"/>
      <c r="H882" s="214"/>
      <c r="I882" s="214"/>
      <c r="J882" s="214"/>
      <c r="K882" s="214"/>
    </row>
    <row r="883" spans="4:11" ht="12.75" x14ac:dyDescent="0.2">
      <c r="D883" s="214"/>
      <c r="E883" s="214"/>
      <c r="F883" s="214"/>
      <c r="G883" s="214"/>
      <c r="H883" s="214"/>
      <c r="I883" s="214"/>
      <c r="J883" s="214"/>
      <c r="K883" s="214"/>
    </row>
    <row r="884" spans="4:11" ht="12.75" x14ac:dyDescent="0.2">
      <c r="D884" s="214"/>
      <c r="E884" s="214"/>
      <c r="F884" s="214"/>
      <c r="G884" s="214"/>
      <c r="H884" s="214"/>
      <c r="I884" s="214"/>
      <c r="J884" s="214"/>
      <c r="K884" s="214"/>
    </row>
    <row r="885" spans="4:11" ht="12.75" x14ac:dyDescent="0.2">
      <c r="D885" s="214"/>
      <c r="E885" s="214"/>
      <c r="F885" s="214"/>
      <c r="G885" s="214"/>
      <c r="H885" s="214"/>
      <c r="I885" s="214"/>
      <c r="J885" s="214"/>
      <c r="K885" s="214"/>
    </row>
    <row r="886" spans="4:11" ht="12.75" x14ac:dyDescent="0.2">
      <c r="D886" s="214"/>
      <c r="E886" s="214"/>
      <c r="F886" s="214"/>
      <c r="G886" s="214"/>
      <c r="H886" s="214"/>
      <c r="I886" s="214"/>
      <c r="J886" s="214"/>
      <c r="K886" s="214"/>
    </row>
    <row r="887" spans="4:11" ht="12.75" x14ac:dyDescent="0.2">
      <c r="D887" s="214"/>
      <c r="E887" s="214"/>
      <c r="F887" s="214"/>
      <c r="G887" s="214"/>
      <c r="H887" s="214"/>
      <c r="I887" s="214"/>
      <c r="J887" s="214"/>
      <c r="K887" s="214"/>
    </row>
    <row r="888" spans="4:11" ht="12.75" x14ac:dyDescent="0.2">
      <c r="D888" s="214"/>
      <c r="E888" s="214"/>
      <c r="F888" s="214"/>
      <c r="G888" s="214"/>
      <c r="H888" s="214"/>
      <c r="I888" s="214"/>
      <c r="J888" s="214"/>
      <c r="K888" s="214"/>
    </row>
    <row r="889" spans="4:11" ht="12.75" x14ac:dyDescent="0.2">
      <c r="D889" s="214"/>
      <c r="E889" s="214"/>
      <c r="F889" s="214"/>
      <c r="G889" s="214"/>
      <c r="H889" s="214"/>
      <c r="I889" s="214"/>
      <c r="J889" s="214"/>
      <c r="K889" s="214"/>
    </row>
    <row r="890" spans="4:11" ht="12.75" x14ac:dyDescent="0.2">
      <c r="D890" s="214"/>
      <c r="E890" s="214"/>
      <c r="F890" s="214"/>
      <c r="G890" s="214"/>
      <c r="H890" s="214"/>
      <c r="I890" s="214"/>
      <c r="J890" s="214"/>
      <c r="K890" s="214"/>
    </row>
    <row r="891" spans="4:11" ht="12.75" x14ac:dyDescent="0.2">
      <c r="D891" s="214"/>
      <c r="E891" s="214"/>
      <c r="F891" s="214"/>
      <c r="G891" s="214"/>
      <c r="H891" s="214"/>
      <c r="I891" s="214"/>
      <c r="J891" s="214"/>
      <c r="K891" s="214"/>
    </row>
    <row r="892" spans="4:11" ht="12.75" x14ac:dyDescent="0.2">
      <c r="D892" s="214"/>
      <c r="E892" s="214"/>
      <c r="F892" s="214"/>
      <c r="G892" s="214"/>
      <c r="H892" s="214"/>
      <c r="I892" s="214"/>
      <c r="J892" s="214"/>
      <c r="K892" s="214"/>
    </row>
    <row r="893" spans="4:11" ht="12.75" x14ac:dyDescent="0.2">
      <c r="D893" s="214"/>
      <c r="E893" s="214"/>
      <c r="F893" s="214"/>
      <c r="G893" s="214"/>
      <c r="H893" s="214"/>
      <c r="I893" s="214"/>
      <c r="J893" s="214"/>
      <c r="K893" s="214"/>
    </row>
    <row r="894" spans="4:11" ht="12.75" x14ac:dyDescent="0.2">
      <c r="D894" s="214"/>
      <c r="E894" s="214"/>
      <c r="F894" s="214"/>
      <c r="G894" s="214"/>
      <c r="H894" s="214"/>
      <c r="I894" s="214"/>
      <c r="J894" s="214"/>
      <c r="K894" s="214"/>
    </row>
    <row r="895" spans="4:11" ht="12.75" x14ac:dyDescent="0.2">
      <c r="D895" s="214"/>
      <c r="E895" s="214"/>
      <c r="F895" s="214"/>
      <c r="G895" s="214"/>
      <c r="H895" s="214"/>
      <c r="I895" s="214"/>
      <c r="J895" s="214"/>
      <c r="K895" s="214"/>
    </row>
    <row r="896" spans="4:11" ht="12.75" x14ac:dyDescent="0.2">
      <c r="D896" s="214"/>
      <c r="E896" s="214"/>
      <c r="F896" s="214"/>
      <c r="G896" s="214"/>
      <c r="H896" s="214"/>
      <c r="I896" s="214"/>
      <c r="J896" s="214"/>
      <c r="K896" s="214"/>
    </row>
    <row r="897" spans="4:11" ht="12.75" x14ac:dyDescent="0.2">
      <c r="D897" s="214"/>
      <c r="E897" s="214"/>
      <c r="F897" s="214"/>
      <c r="G897" s="214"/>
      <c r="H897" s="214"/>
      <c r="I897" s="214"/>
      <c r="J897" s="214"/>
      <c r="K897" s="214"/>
    </row>
    <row r="898" spans="4:11" ht="12.75" x14ac:dyDescent="0.2">
      <c r="D898" s="214"/>
      <c r="E898" s="214"/>
      <c r="F898" s="214"/>
      <c r="G898" s="214"/>
      <c r="H898" s="214"/>
      <c r="I898" s="214"/>
      <c r="J898" s="214"/>
      <c r="K898" s="214"/>
    </row>
    <row r="899" spans="4:11" ht="12.75" x14ac:dyDescent="0.2">
      <c r="D899" s="214"/>
      <c r="E899" s="214"/>
      <c r="F899" s="214"/>
      <c r="G899" s="214"/>
      <c r="H899" s="214"/>
      <c r="I899" s="214"/>
      <c r="J899" s="214"/>
      <c r="K899" s="214"/>
    </row>
    <row r="900" spans="4:11" ht="12.75" x14ac:dyDescent="0.2">
      <c r="D900" s="214"/>
      <c r="E900" s="214"/>
      <c r="F900" s="214"/>
      <c r="G900" s="214"/>
      <c r="H900" s="214"/>
      <c r="I900" s="214"/>
      <c r="J900" s="214"/>
      <c r="K900" s="214"/>
    </row>
    <row r="901" spans="4:11" ht="12.75" x14ac:dyDescent="0.2">
      <c r="D901" s="214"/>
      <c r="E901" s="214"/>
      <c r="F901" s="214"/>
      <c r="G901" s="214"/>
      <c r="H901" s="214"/>
      <c r="I901" s="214"/>
      <c r="J901" s="214"/>
      <c r="K901" s="214"/>
    </row>
    <row r="902" spans="4:11" ht="12.75" x14ac:dyDescent="0.2">
      <c r="D902" s="214"/>
      <c r="E902" s="214"/>
      <c r="F902" s="214"/>
      <c r="G902" s="214"/>
      <c r="H902" s="214"/>
      <c r="I902" s="214"/>
      <c r="J902" s="214"/>
      <c r="K902" s="214"/>
    </row>
    <row r="903" spans="4:11" ht="12.75" x14ac:dyDescent="0.2">
      <c r="D903" s="214"/>
      <c r="E903" s="214"/>
      <c r="F903" s="214"/>
      <c r="G903" s="214"/>
      <c r="H903" s="214"/>
      <c r="I903" s="214"/>
      <c r="J903" s="214"/>
      <c r="K903" s="214"/>
    </row>
    <row r="904" spans="4:11" ht="12.75" x14ac:dyDescent="0.2">
      <c r="D904" s="214"/>
      <c r="E904" s="214"/>
      <c r="F904" s="214"/>
      <c r="G904" s="214"/>
      <c r="H904" s="214"/>
      <c r="I904" s="214"/>
      <c r="J904" s="214"/>
      <c r="K904" s="214"/>
    </row>
    <row r="905" spans="4:11" ht="12.75" x14ac:dyDescent="0.2">
      <c r="D905" s="214"/>
      <c r="E905" s="214"/>
      <c r="F905" s="214"/>
      <c r="G905" s="214"/>
      <c r="H905" s="214"/>
      <c r="I905" s="214"/>
      <c r="J905" s="214"/>
      <c r="K905" s="214"/>
    </row>
    <row r="906" spans="4:11" ht="12.75" x14ac:dyDescent="0.2">
      <c r="D906" s="214"/>
      <c r="E906" s="214"/>
      <c r="F906" s="214"/>
      <c r="G906" s="214"/>
      <c r="H906" s="214"/>
      <c r="I906" s="214"/>
      <c r="J906" s="214"/>
      <c r="K906" s="214"/>
    </row>
    <row r="907" spans="4:11" ht="12.75" x14ac:dyDescent="0.2">
      <c r="D907" s="214"/>
      <c r="E907" s="214"/>
      <c r="F907" s="214"/>
      <c r="G907" s="214"/>
      <c r="H907" s="214"/>
      <c r="I907" s="214"/>
      <c r="J907" s="214"/>
      <c r="K907" s="214"/>
    </row>
    <row r="908" spans="4:11" ht="12.75" x14ac:dyDescent="0.2">
      <c r="D908" s="214"/>
      <c r="E908" s="214"/>
      <c r="F908" s="214"/>
      <c r="G908" s="214"/>
      <c r="H908" s="214"/>
      <c r="I908" s="214"/>
      <c r="J908" s="214"/>
      <c r="K908" s="214"/>
    </row>
    <row r="909" spans="4:11" ht="12.75" x14ac:dyDescent="0.2">
      <c r="D909" s="214"/>
      <c r="E909" s="214"/>
      <c r="F909" s="214"/>
      <c r="G909" s="214"/>
      <c r="H909" s="214"/>
      <c r="I909" s="214"/>
      <c r="J909" s="214"/>
      <c r="K909" s="214"/>
    </row>
    <row r="910" spans="4:11" ht="12.75" x14ac:dyDescent="0.2">
      <c r="D910" s="214"/>
      <c r="E910" s="214"/>
      <c r="F910" s="214"/>
      <c r="G910" s="214"/>
      <c r="H910" s="214"/>
      <c r="I910" s="214"/>
      <c r="J910" s="214"/>
      <c r="K910" s="214"/>
    </row>
    <row r="911" spans="4:11" ht="12.75" x14ac:dyDescent="0.2">
      <c r="D911" s="214"/>
      <c r="E911" s="214"/>
      <c r="F911" s="214"/>
      <c r="G911" s="214"/>
      <c r="H911" s="214"/>
      <c r="I911" s="214"/>
      <c r="J911" s="214"/>
      <c r="K911" s="214"/>
    </row>
    <row r="912" spans="4:11" ht="12.75" x14ac:dyDescent="0.2">
      <c r="D912" s="214"/>
      <c r="E912" s="214"/>
      <c r="F912" s="214"/>
      <c r="G912" s="214"/>
      <c r="H912" s="214"/>
      <c r="I912" s="214"/>
      <c r="J912" s="214"/>
      <c r="K912" s="214"/>
    </row>
    <row r="913" spans="4:11" ht="12.75" x14ac:dyDescent="0.2">
      <c r="D913" s="214"/>
      <c r="E913" s="214"/>
      <c r="F913" s="214"/>
      <c r="G913" s="214"/>
      <c r="H913" s="214"/>
      <c r="I913" s="214"/>
      <c r="J913" s="214"/>
      <c r="K913" s="214"/>
    </row>
    <row r="914" spans="4:11" ht="12.75" x14ac:dyDescent="0.2">
      <c r="D914" s="214"/>
      <c r="E914" s="214"/>
      <c r="F914" s="214"/>
      <c r="G914" s="214"/>
      <c r="H914" s="214"/>
      <c r="I914" s="214"/>
      <c r="J914" s="214"/>
      <c r="K914" s="214"/>
    </row>
    <row r="915" spans="4:11" ht="12.75" x14ac:dyDescent="0.2">
      <c r="D915" s="214"/>
      <c r="E915" s="214"/>
      <c r="F915" s="214"/>
      <c r="G915" s="214"/>
      <c r="H915" s="214"/>
      <c r="I915" s="214"/>
      <c r="J915" s="214"/>
      <c r="K915" s="214"/>
    </row>
    <row r="916" spans="4:11" ht="12.75" x14ac:dyDescent="0.2">
      <c r="D916" s="214"/>
      <c r="E916" s="214"/>
      <c r="F916" s="214"/>
      <c r="G916" s="214"/>
      <c r="H916" s="214"/>
      <c r="I916" s="214"/>
      <c r="J916" s="214"/>
      <c r="K916" s="214"/>
    </row>
    <row r="917" spans="4:11" ht="12.75" x14ac:dyDescent="0.2">
      <c r="D917" s="214"/>
      <c r="E917" s="214"/>
      <c r="F917" s="214"/>
      <c r="G917" s="214"/>
      <c r="H917" s="214"/>
      <c r="I917" s="214"/>
      <c r="J917" s="214"/>
      <c r="K917" s="214"/>
    </row>
    <row r="918" spans="4:11" ht="12.75" x14ac:dyDescent="0.2">
      <c r="D918" s="214"/>
      <c r="E918" s="214"/>
      <c r="F918" s="214"/>
      <c r="G918" s="214"/>
      <c r="H918" s="214"/>
      <c r="I918" s="214"/>
      <c r="J918" s="214"/>
      <c r="K918" s="214"/>
    </row>
    <row r="919" spans="4:11" ht="12.75" x14ac:dyDescent="0.2">
      <c r="D919" s="214"/>
      <c r="E919" s="214"/>
      <c r="F919" s="214"/>
      <c r="G919" s="214"/>
      <c r="H919" s="214"/>
      <c r="I919" s="214"/>
      <c r="J919" s="214"/>
      <c r="K919" s="214"/>
    </row>
    <row r="920" spans="4:11" ht="12.75" x14ac:dyDescent="0.2">
      <c r="D920" s="214"/>
      <c r="E920" s="214"/>
      <c r="F920" s="214"/>
      <c r="G920" s="214"/>
      <c r="H920" s="214"/>
      <c r="I920" s="214"/>
      <c r="J920" s="214"/>
      <c r="K920" s="214"/>
    </row>
    <row r="921" spans="4:11" ht="12.75" x14ac:dyDescent="0.2">
      <c r="D921" s="214"/>
      <c r="E921" s="214"/>
      <c r="F921" s="214"/>
      <c r="G921" s="214"/>
      <c r="H921" s="214"/>
      <c r="I921" s="214"/>
      <c r="J921" s="214"/>
      <c r="K921" s="214"/>
    </row>
    <row r="922" spans="4:11" ht="12.75" x14ac:dyDescent="0.2">
      <c r="D922" s="214"/>
      <c r="E922" s="214"/>
      <c r="F922" s="214"/>
      <c r="G922" s="214"/>
      <c r="H922" s="214"/>
      <c r="I922" s="214"/>
      <c r="J922" s="214"/>
      <c r="K922" s="214"/>
    </row>
    <row r="923" spans="4:11" ht="12.75" x14ac:dyDescent="0.2">
      <c r="D923" s="214"/>
      <c r="E923" s="214"/>
      <c r="F923" s="214"/>
      <c r="G923" s="214"/>
      <c r="H923" s="214"/>
      <c r="I923" s="214"/>
      <c r="J923" s="214"/>
      <c r="K923" s="214"/>
    </row>
    <row r="924" spans="4:11" ht="12.75" x14ac:dyDescent="0.2">
      <c r="D924" s="214"/>
      <c r="E924" s="214"/>
      <c r="F924" s="214"/>
      <c r="G924" s="214"/>
      <c r="H924" s="214"/>
      <c r="I924" s="214"/>
      <c r="J924" s="214"/>
      <c r="K924" s="214"/>
    </row>
    <row r="925" spans="4:11" ht="12.75" x14ac:dyDescent="0.2">
      <c r="D925" s="214"/>
      <c r="E925" s="214"/>
      <c r="F925" s="214"/>
      <c r="G925" s="214"/>
      <c r="H925" s="214"/>
      <c r="I925" s="214"/>
      <c r="J925" s="214"/>
      <c r="K925" s="214"/>
    </row>
    <row r="926" spans="4:11" ht="12.75" x14ac:dyDescent="0.2">
      <c r="D926" s="214"/>
      <c r="E926" s="214"/>
      <c r="F926" s="214"/>
      <c r="G926" s="214"/>
      <c r="H926" s="214"/>
      <c r="I926" s="214"/>
      <c r="J926" s="214"/>
      <c r="K926" s="214"/>
    </row>
    <row r="927" spans="4:11" ht="12.75" x14ac:dyDescent="0.2">
      <c r="D927" s="214"/>
      <c r="E927" s="214"/>
      <c r="F927" s="214"/>
      <c r="G927" s="214"/>
      <c r="H927" s="214"/>
      <c r="I927" s="214"/>
      <c r="J927" s="214"/>
      <c r="K927" s="214"/>
    </row>
    <row r="928" spans="4:11" ht="12.75" x14ac:dyDescent="0.2">
      <c r="D928" s="214"/>
      <c r="E928" s="214"/>
      <c r="F928" s="214"/>
      <c r="G928" s="214"/>
      <c r="H928" s="214"/>
      <c r="I928" s="214"/>
      <c r="J928" s="214"/>
      <c r="K928" s="214"/>
    </row>
    <row r="929" spans="4:11" ht="12.75" x14ac:dyDescent="0.2">
      <c r="D929" s="214"/>
      <c r="E929" s="214"/>
      <c r="F929" s="214"/>
      <c r="G929" s="214"/>
      <c r="H929" s="214"/>
      <c r="I929" s="214"/>
      <c r="J929" s="214"/>
      <c r="K929" s="214"/>
    </row>
    <row r="930" spans="4:11" ht="12.75" x14ac:dyDescent="0.2">
      <c r="D930" s="214"/>
      <c r="E930" s="214"/>
      <c r="F930" s="214"/>
      <c r="G930" s="214"/>
      <c r="H930" s="214"/>
      <c r="I930" s="214"/>
      <c r="J930" s="214"/>
      <c r="K930" s="214"/>
    </row>
    <row r="931" spans="4:11" ht="12.75" x14ac:dyDescent="0.2">
      <c r="D931" s="214"/>
      <c r="E931" s="214"/>
      <c r="F931" s="214"/>
      <c r="G931" s="214"/>
      <c r="H931" s="214"/>
      <c r="I931" s="214"/>
      <c r="J931" s="214"/>
      <c r="K931" s="214"/>
    </row>
    <row r="932" spans="4:11" ht="12.75" x14ac:dyDescent="0.2">
      <c r="D932" s="214"/>
      <c r="E932" s="214"/>
      <c r="F932" s="214"/>
      <c r="G932" s="214"/>
      <c r="H932" s="214"/>
      <c r="I932" s="214"/>
      <c r="J932" s="214"/>
      <c r="K932" s="214"/>
    </row>
    <row r="933" spans="4:11" ht="12.75" x14ac:dyDescent="0.2">
      <c r="D933" s="214"/>
      <c r="E933" s="214"/>
      <c r="F933" s="214"/>
      <c r="G933" s="214"/>
      <c r="H933" s="214"/>
      <c r="I933" s="214"/>
      <c r="J933" s="214"/>
      <c r="K933" s="214"/>
    </row>
    <row r="934" spans="4:11" ht="12.75" x14ac:dyDescent="0.2">
      <c r="D934" s="214"/>
      <c r="E934" s="214"/>
      <c r="F934" s="214"/>
      <c r="G934" s="214"/>
      <c r="H934" s="214"/>
      <c r="I934" s="214"/>
      <c r="J934" s="214"/>
      <c r="K934" s="214"/>
    </row>
    <row r="935" spans="4:11" ht="12.75" x14ac:dyDescent="0.2">
      <c r="D935" s="214"/>
      <c r="E935" s="214"/>
      <c r="F935" s="214"/>
      <c r="G935" s="214"/>
      <c r="H935" s="214"/>
      <c r="I935" s="214"/>
      <c r="J935" s="214"/>
      <c r="K935" s="214"/>
    </row>
    <row r="936" spans="4:11" ht="12.75" x14ac:dyDescent="0.2">
      <c r="D936" s="214"/>
      <c r="E936" s="214"/>
      <c r="F936" s="214"/>
      <c r="G936" s="214"/>
      <c r="H936" s="214"/>
      <c r="I936" s="214"/>
      <c r="J936" s="214"/>
      <c r="K936" s="214"/>
    </row>
    <row r="937" spans="4:11" ht="12.75" x14ac:dyDescent="0.2">
      <c r="D937" s="214"/>
      <c r="E937" s="214"/>
      <c r="F937" s="214"/>
      <c r="G937" s="214"/>
      <c r="H937" s="214"/>
      <c r="I937" s="214"/>
      <c r="J937" s="214"/>
      <c r="K937" s="214"/>
    </row>
    <row r="938" spans="4:11" ht="12.75" x14ac:dyDescent="0.2">
      <c r="D938" s="214"/>
      <c r="E938" s="214"/>
      <c r="F938" s="214"/>
      <c r="G938" s="214"/>
      <c r="H938" s="214"/>
      <c r="I938" s="214"/>
      <c r="J938" s="214"/>
      <c r="K938" s="214"/>
    </row>
    <row r="939" spans="4:11" ht="12.75" x14ac:dyDescent="0.2">
      <c r="D939" s="214"/>
      <c r="E939" s="214"/>
      <c r="F939" s="214"/>
      <c r="G939" s="214"/>
      <c r="H939" s="214"/>
      <c r="I939" s="214"/>
      <c r="J939" s="214"/>
      <c r="K939" s="214"/>
    </row>
    <row r="940" spans="4:11" ht="12.75" x14ac:dyDescent="0.2">
      <c r="D940" s="214"/>
      <c r="E940" s="214"/>
      <c r="F940" s="214"/>
      <c r="G940" s="214"/>
      <c r="H940" s="214"/>
      <c r="I940" s="214"/>
      <c r="J940" s="214"/>
      <c r="K940" s="214"/>
    </row>
    <row r="941" spans="4:11" ht="12.75" x14ac:dyDescent="0.2">
      <c r="D941" s="214"/>
      <c r="E941" s="214"/>
      <c r="F941" s="214"/>
      <c r="G941" s="214"/>
      <c r="H941" s="214"/>
      <c r="I941" s="214"/>
      <c r="J941" s="214"/>
      <c r="K941" s="214"/>
    </row>
    <row r="942" spans="4:11" ht="12.75" x14ac:dyDescent="0.2">
      <c r="D942" s="214"/>
      <c r="E942" s="214"/>
      <c r="F942" s="214"/>
      <c r="G942" s="214"/>
      <c r="H942" s="214"/>
      <c r="I942" s="214"/>
      <c r="J942" s="214"/>
      <c r="K942" s="214"/>
    </row>
    <row r="943" spans="4:11" ht="12.75" x14ac:dyDescent="0.2">
      <c r="D943" s="214"/>
      <c r="E943" s="214"/>
      <c r="F943" s="214"/>
      <c r="G943" s="214"/>
      <c r="H943" s="214"/>
      <c r="I943" s="214"/>
      <c r="J943" s="214"/>
      <c r="K943" s="214"/>
    </row>
    <row r="944" spans="4:11" ht="12.75" x14ac:dyDescent="0.2">
      <c r="D944" s="214"/>
      <c r="E944" s="214"/>
      <c r="F944" s="214"/>
      <c r="G944" s="214"/>
      <c r="H944" s="214"/>
      <c r="I944" s="214"/>
      <c r="J944" s="214"/>
      <c r="K944" s="214"/>
    </row>
    <row r="945" spans="4:11" ht="12.75" x14ac:dyDescent="0.2">
      <c r="D945" s="214"/>
      <c r="E945" s="214"/>
      <c r="F945" s="214"/>
      <c r="G945" s="214"/>
      <c r="H945" s="214"/>
      <c r="I945" s="214"/>
      <c r="J945" s="214"/>
      <c r="K945" s="214"/>
    </row>
    <row r="946" spans="4:11" ht="12.75" x14ac:dyDescent="0.2">
      <c r="D946" s="214"/>
      <c r="E946" s="214"/>
      <c r="F946" s="214"/>
      <c r="G946" s="214"/>
      <c r="H946" s="214"/>
      <c r="I946" s="214"/>
      <c r="J946" s="214"/>
      <c r="K946" s="214"/>
    </row>
    <row r="947" spans="4:11" ht="12.75" x14ac:dyDescent="0.2">
      <c r="D947" s="214"/>
      <c r="E947" s="214"/>
      <c r="F947" s="214"/>
      <c r="G947" s="214"/>
      <c r="H947" s="214"/>
      <c r="I947" s="214"/>
      <c r="J947" s="214"/>
      <c r="K947" s="214"/>
    </row>
    <row r="948" spans="4:11" ht="12.75" x14ac:dyDescent="0.2">
      <c r="D948" s="214"/>
      <c r="E948" s="214"/>
      <c r="F948" s="214"/>
      <c r="G948" s="214"/>
      <c r="H948" s="214"/>
      <c r="I948" s="214"/>
      <c r="J948" s="214"/>
      <c r="K948" s="214"/>
    </row>
    <row r="949" spans="4:11" ht="12.75" x14ac:dyDescent="0.2">
      <c r="D949" s="214"/>
      <c r="E949" s="214"/>
      <c r="F949" s="214"/>
      <c r="G949" s="214"/>
      <c r="H949" s="214"/>
      <c r="I949" s="214"/>
      <c r="J949" s="214"/>
      <c r="K949" s="214"/>
    </row>
    <row r="950" spans="4:11" ht="12.75" x14ac:dyDescent="0.2">
      <c r="D950" s="214"/>
      <c r="E950" s="214"/>
      <c r="F950" s="214"/>
      <c r="G950" s="214"/>
      <c r="H950" s="214"/>
      <c r="I950" s="214"/>
      <c r="J950" s="214"/>
      <c r="K950" s="214"/>
    </row>
    <row r="951" spans="4:11" ht="12.75" x14ac:dyDescent="0.2">
      <c r="D951" s="214"/>
      <c r="E951" s="214"/>
      <c r="F951" s="214"/>
      <c r="G951" s="214"/>
      <c r="H951" s="214"/>
      <c r="I951" s="214"/>
      <c r="J951" s="214"/>
      <c r="K951" s="214"/>
    </row>
    <row r="952" spans="4:11" ht="12.75" x14ac:dyDescent="0.2">
      <c r="D952" s="214"/>
      <c r="E952" s="214"/>
      <c r="F952" s="214"/>
      <c r="G952" s="214"/>
      <c r="H952" s="214"/>
      <c r="I952" s="214"/>
      <c r="J952" s="214"/>
      <c r="K952" s="214"/>
    </row>
    <row r="953" spans="4:11" ht="12.75" x14ac:dyDescent="0.2">
      <c r="D953" s="214"/>
      <c r="E953" s="214"/>
      <c r="F953" s="214"/>
      <c r="G953" s="214"/>
      <c r="H953" s="214"/>
      <c r="I953" s="214"/>
      <c r="J953" s="214"/>
      <c r="K953" s="214"/>
    </row>
    <row r="954" spans="4:11" ht="12.75" x14ac:dyDescent="0.2">
      <c r="D954" s="214"/>
      <c r="E954" s="214"/>
      <c r="F954" s="214"/>
      <c r="G954" s="214"/>
      <c r="H954" s="214"/>
      <c r="I954" s="214"/>
      <c r="J954" s="214"/>
      <c r="K954" s="214"/>
    </row>
    <row r="955" spans="4:11" ht="12.75" x14ac:dyDescent="0.2">
      <c r="D955" s="214"/>
      <c r="E955" s="214"/>
      <c r="F955" s="214"/>
      <c r="G955" s="214"/>
      <c r="H955" s="214"/>
      <c r="I955" s="214"/>
      <c r="J955" s="214"/>
      <c r="K955" s="214"/>
    </row>
    <row r="956" spans="4:11" ht="12.75" x14ac:dyDescent="0.2">
      <c r="D956" s="214"/>
      <c r="E956" s="214"/>
      <c r="F956" s="214"/>
      <c r="G956" s="214"/>
      <c r="H956" s="214"/>
      <c r="I956" s="214"/>
      <c r="J956" s="214"/>
      <c r="K956" s="214"/>
    </row>
    <row r="957" spans="4:11" ht="12.75" x14ac:dyDescent="0.2">
      <c r="D957" s="214"/>
      <c r="E957" s="214"/>
      <c r="F957" s="214"/>
      <c r="G957" s="214"/>
      <c r="H957" s="214"/>
      <c r="I957" s="214"/>
      <c r="J957" s="214"/>
      <c r="K957" s="214"/>
    </row>
    <row r="958" spans="4:11" ht="12.75" x14ac:dyDescent="0.2">
      <c r="D958" s="214"/>
      <c r="E958" s="214"/>
      <c r="F958" s="214"/>
      <c r="G958" s="214"/>
      <c r="H958" s="214"/>
      <c r="I958" s="214"/>
      <c r="J958" s="214"/>
      <c r="K958" s="214"/>
    </row>
    <row r="959" spans="4:11" ht="12.75" x14ac:dyDescent="0.2">
      <c r="D959" s="214"/>
      <c r="E959" s="214"/>
      <c r="F959" s="214"/>
      <c r="G959" s="214"/>
      <c r="H959" s="214"/>
      <c r="I959" s="214"/>
      <c r="J959" s="214"/>
      <c r="K959" s="214"/>
    </row>
    <row r="960" spans="4:11" ht="12.75" x14ac:dyDescent="0.2">
      <c r="D960" s="214"/>
      <c r="E960" s="214"/>
      <c r="F960" s="214"/>
      <c r="G960" s="214"/>
      <c r="H960" s="214"/>
      <c r="I960" s="214"/>
      <c r="J960" s="214"/>
      <c r="K960" s="214"/>
    </row>
    <row r="961" spans="4:11" ht="12.75" x14ac:dyDescent="0.2">
      <c r="D961" s="214"/>
      <c r="E961" s="214"/>
      <c r="F961" s="214"/>
      <c r="G961" s="214"/>
      <c r="H961" s="214"/>
      <c r="I961" s="214"/>
      <c r="J961" s="214"/>
      <c r="K961" s="214"/>
    </row>
    <row r="962" spans="4:11" ht="12.75" x14ac:dyDescent="0.2">
      <c r="D962" s="214"/>
      <c r="E962" s="214"/>
      <c r="F962" s="214"/>
      <c r="G962" s="214"/>
      <c r="H962" s="214"/>
      <c r="I962" s="214"/>
      <c r="J962" s="214"/>
      <c r="K962" s="214"/>
    </row>
    <row r="963" spans="4:11" ht="12.75" x14ac:dyDescent="0.2">
      <c r="D963" s="214"/>
      <c r="E963" s="214"/>
      <c r="F963" s="214"/>
      <c r="G963" s="214"/>
      <c r="H963" s="214"/>
      <c r="I963" s="214"/>
      <c r="J963" s="214"/>
      <c r="K963" s="214"/>
    </row>
    <row r="964" spans="4:11" ht="12.75" x14ac:dyDescent="0.2">
      <c r="D964" s="214"/>
      <c r="E964" s="214"/>
      <c r="F964" s="214"/>
      <c r="G964" s="214"/>
      <c r="H964" s="214"/>
      <c r="I964" s="214"/>
      <c r="J964" s="214"/>
      <c r="K964" s="214"/>
    </row>
    <row r="965" spans="4:11" ht="12.75" x14ac:dyDescent="0.2">
      <c r="D965" s="214"/>
      <c r="E965" s="214"/>
      <c r="F965" s="214"/>
      <c r="G965" s="214"/>
      <c r="H965" s="214"/>
      <c r="I965" s="214"/>
      <c r="J965" s="214"/>
      <c r="K965" s="214"/>
    </row>
    <row r="966" spans="4:11" ht="12.75" x14ac:dyDescent="0.2">
      <c r="D966" s="214"/>
      <c r="E966" s="214"/>
      <c r="F966" s="214"/>
      <c r="G966" s="214"/>
      <c r="H966" s="214"/>
      <c r="I966" s="214"/>
      <c r="J966" s="214"/>
      <c r="K966" s="214"/>
    </row>
    <row r="967" spans="4:11" ht="12.75" x14ac:dyDescent="0.2">
      <c r="D967" s="214"/>
      <c r="E967" s="214"/>
      <c r="F967" s="214"/>
      <c r="G967" s="214"/>
      <c r="H967" s="214"/>
      <c r="I967" s="214"/>
      <c r="J967" s="214"/>
      <c r="K967" s="214"/>
    </row>
    <row r="968" spans="4:11" ht="12.75" x14ac:dyDescent="0.2">
      <c r="D968" s="214"/>
      <c r="E968" s="214"/>
      <c r="F968" s="214"/>
      <c r="G968" s="214"/>
      <c r="H968" s="214"/>
      <c r="I968" s="214"/>
      <c r="J968" s="214"/>
      <c r="K968" s="214"/>
    </row>
    <row r="969" spans="4:11" ht="12.75" x14ac:dyDescent="0.2">
      <c r="D969" s="214"/>
      <c r="E969" s="214"/>
      <c r="F969" s="214"/>
      <c r="G969" s="214"/>
      <c r="H969" s="214"/>
      <c r="I969" s="214"/>
      <c r="J969" s="214"/>
      <c r="K969" s="214"/>
    </row>
    <row r="970" spans="4:11" ht="12.75" x14ac:dyDescent="0.2">
      <c r="D970" s="214"/>
      <c r="E970" s="214"/>
      <c r="F970" s="214"/>
      <c r="G970" s="214"/>
      <c r="H970" s="214"/>
      <c r="I970" s="214"/>
      <c r="J970" s="214"/>
      <c r="K970" s="214"/>
    </row>
    <row r="971" spans="4:11" ht="12.75" x14ac:dyDescent="0.2">
      <c r="D971" s="214"/>
      <c r="E971" s="214"/>
      <c r="F971" s="214"/>
      <c r="G971" s="214"/>
      <c r="H971" s="214"/>
      <c r="I971" s="214"/>
      <c r="J971" s="214"/>
      <c r="K971" s="214"/>
    </row>
    <row r="972" spans="4:11" ht="12.75" x14ac:dyDescent="0.2">
      <c r="D972" s="214"/>
      <c r="E972" s="214"/>
      <c r="F972" s="214"/>
      <c r="G972" s="214"/>
      <c r="H972" s="214"/>
      <c r="I972" s="214"/>
      <c r="J972" s="214"/>
      <c r="K972" s="214"/>
    </row>
    <row r="973" spans="4:11" ht="12.75" x14ac:dyDescent="0.2">
      <c r="D973" s="214"/>
      <c r="E973" s="214"/>
      <c r="F973" s="214"/>
      <c r="G973" s="214"/>
      <c r="H973" s="214"/>
      <c r="I973" s="214"/>
      <c r="J973" s="214"/>
      <c r="K973" s="214"/>
    </row>
    <row r="974" spans="4:11" ht="12.75" x14ac:dyDescent="0.2">
      <c r="D974" s="214"/>
      <c r="E974" s="214"/>
      <c r="F974" s="214"/>
      <c r="G974" s="214"/>
      <c r="H974" s="214"/>
      <c r="I974" s="214"/>
      <c r="J974" s="214"/>
      <c r="K974" s="214"/>
    </row>
    <row r="975" spans="4:11" ht="12.75" x14ac:dyDescent="0.2">
      <c r="D975" s="214"/>
      <c r="E975" s="214"/>
      <c r="F975" s="214"/>
      <c r="G975" s="214"/>
      <c r="H975" s="214"/>
      <c r="I975" s="214"/>
      <c r="J975" s="214"/>
      <c r="K975" s="214"/>
    </row>
    <row r="976" spans="4:11" ht="12.75" x14ac:dyDescent="0.2">
      <c r="D976" s="214"/>
      <c r="E976" s="214"/>
      <c r="F976" s="214"/>
      <c r="G976" s="214"/>
      <c r="H976" s="214"/>
      <c r="I976" s="214"/>
      <c r="J976" s="214"/>
      <c r="K976" s="214"/>
    </row>
    <row r="977" spans="4:11" ht="12.75" x14ac:dyDescent="0.2">
      <c r="D977" s="214"/>
      <c r="E977" s="214"/>
      <c r="F977" s="214"/>
      <c r="G977" s="214"/>
      <c r="H977" s="214"/>
      <c r="I977" s="214"/>
      <c r="J977" s="214"/>
      <c r="K977" s="214"/>
    </row>
    <row r="978" spans="4:11" ht="12.75" x14ac:dyDescent="0.2">
      <c r="D978" s="214"/>
      <c r="E978" s="214"/>
      <c r="F978" s="214"/>
      <c r="G978" s="214"/>
      <c r="H978" s="214"/>
      <c r="I978" s="214"/>
      <c r="J978" s="214"/>
      <c r="K978" s="214"/>
    </row>
    <row r="979" spans="4:11" ht="12.75" x14ac:dyDescent="0.2">
      <c r="D979" s="214"/>
      <c r="E979" s="214"/>
      <c r="F979" s="214"/>
      <c r="G979" s="214"/>
      <c r="H979" s="214"/>
      <c r="I979" s="214"/>
      <c r="J979" s="214"/>
      <c r="K979" s="214"/>
    </row>
    <row r="980" spans="4:11" ht="12.75" x14ac:dyDescent="0.2">
      <c r="D980" s="214"/>
      <c r="E980" s="214"/>
      <c r="F980" s="214"/>
      <c r="G980" s="214"/>
      <c r="H980" s="214"/>
      <c r="I980" s="214"/>
      <c r="J980" s="214"/>
      <c r="K980" s="214"/>
    </row>
    <row r="981" spans="4:11" ht="12.75" x14ac:dyDescent="0.2">
      <c r="D981" s="214"/>
      <c r="E981" s="214"/>
      <c r="F981" s="214"/>
      <c r="G981" s="214"/>
      <c r="H981" s="214"/>
      <c r="I981" s="214"/>
      <c r="J981" s="214"/>
      <c r="K981" s="214"/>
    </row>
    <row r="982" spans="4:11" ht="12.75" x14ac:dyDescent="0.2">
      <c r="D982" s="214"/>
      <c r="E982" s="214"/>
      <c r="F982" s="214"/>
      <c r="G982" s="214"/>
      <c r="H982" s="214"/>
      <c r="I982" s="214"/>
      <c r="J982" s="214"/>
      <c r="K982" s="214"/>
    </row>
    <row r="983" spans="4:11" ht="12.75" x14ac:dyDescent="0.2">
      <c r="D983" s="214"/>
      <c r="E983" s="214"/>
      <c r="F983" s="214"/>
      <c r="G983" s="214"/>
      <c r="H983" s="214"/>
      <c r="I983" s="214"/>
      <c r="J983" s="214"/>
      <c r="K983" s="214"/>
    </row>
    <row r="984" spans="4:11" ht="12.75" x14ac:dyDescent="0.2">
      <c r="D984" s="214"/>
      <c r="E984" s="214"/>
      <c r="F984" s="214"/>
      <c r="G984" s="214"/>
      <c r="H984" s="214"/>
      <c r="I984" s="214"/>
      <c r="J984" s="214"/>
      <c r="K984" s="214"/>
    </row>
    <row r="985" spans="4:11" ht="12.75" x14ac:dyDescent="0.2">
      <c r="D985" s="214"/>
      <c r="E985" s="214"/>
      <c r="F985" s="214"/>
      <c r="G985" s="214"/>
      <c r="H985" s="214"/>
      <c r="I985" s="214"/>
      <c r="J985" s="214"/>
      <c r="K985" s="214"/>
    </row>
    <row r="986" spans="4:11" ht="12.75" x14ac:dyDescent="0.2">
      <c r="D986" s="214"/>
      <c r="E986" s="214"/>
      <c r="F986" s="214"/>
      <c r="G986" s="214"/>
      <c r="H986" s="214"/>
      <c r="I986" s="214"/>
      <c r="J986" s="214"/>
      <c r="K986" s="214"/>
    </row>
    <row r="987" spans="4:11" ht="12.75" x14ac:dyDescent="0.2">
      <c r="D987" s="214"/>
      <c r="E987" s="214"/>
      <c r="F987" s="214"/>
      <c r="G987" s="214"/>
      <c r="H987" s="214"/>
      <c r="I987" s="214"/>
      <c r="J987" s="214"/>
      <c r="K987" s="214"/>
    </row>
    <row r="988" spans="4:11" ht="12.75" x14ac:dyDescent="0.2">
      <c r="D988" s="214"/>
      <c r="E988" s="214"/>
      <c r="F988" s="214"/>
      <c r="G988" s="214"/>
      <c r="H988" s="214"/>
      <c r="I988" s="214"/>
      <c r="J988" s="214"/>
      <c r="K988" s="214"/>
    </row>
    <row r="989" spans="4:11" ht="12.75" x14ac:dyDescent="0.2">
      <c r="D989" s="214"/>
      <c r="E989" s="214"/>
      <c r="F989" s="214"/>
      <c r="G989" s="214"/>
      <c r="H989" s="214"/>
      <c r="I989" s="214"/>
      <c r="J989" s="214"/>
      <c r="K989" s="214"/>
    </row>
    <row r="990" spans="4:11" ht="12.75" x14ac:dyDescent="0.2">
      <c r="D990" s="214"/>
      <c r="E990" s="214"/>
      <c r="F990" s="214"/>
      <c r="G990" s="214"/>
      <c r="H990" s="214"/>
      <c r="I990" s="214"/>
      <c r="J990" s="214"/>
      <c r="K990" s="214"/>
    </row>
    <row r="991" spans="4:11" ht="12.75" x14ac:dyDescent="0.2">
      <c r="D991" s="214"/>
      <c r="E991" s="214"/>
      <c r="F991" s="214"/>
      <c r="G991" s="214"/>
      <c r="H991" s="214"/>
      <c r="I991" s="214"/>
      <c r="J991" s="214"/>
      <c r="K991" s="214"/>
    </row>
    <row r="992" spans="4:11" ht="12.75" x14ac:dyDescent="0.2">
      <c r="D992" s="214"/>
      <c r="E992" s="214"/>
      <c r="F992" s="214"/>
      <c r="G992" s="214"/>
      <c r="H992" s="214"/>
      <c r="I992" s="214"/>
      <c r="J992" s="214"/>
      <c r="K992" s="214"/>
    </row>
    <row r="993" spans="4:11" ht="12.75" x14ac:dyDescent="0.2">
      <c r="D993" s="214"/>
      <c r="E993" s="214"/>
      <c r="F993" s="214"/>
      <c r="G993" s="214"/>
      <c r="H993" s="214"/>
      <c r="I993" s="214"/>
      <c r="J993" s="214"/>
      <c r="K993" s="214"/>
    </row>
    <row r="994" spans="4:11" ht="12.75" x14ac:dyDescent="0.2">
      <c r="D994" s="214"/>
      <c r="E994" s="214"/>
      <c r="F994" s="214"/>
      <c r="G994" s="214"/>
      <c r="H994" s="214"/>
      <c r="I994" s="214"/>
      <c r="J994" s="214"/>
      <c r="K994" s="214"/>
    </row>
    <row r="995" spans="4:11" ht="12.75" x14ac:dyDescent="0.2">
      <c r="D995" s="214"/>
      <c r="E995" s="214"/>
      <c r="F995" s="214"/>
      <c r="G995" s="214"/>
      <c r="H995" s="214"/>
      <c r="I995" s="214"/>
      <c r="J995" s="214"/>
      <c r="K995" s="214"/>
    </row>
    <row r="996" spans="4:11" ht="12.75" x14ac:dyDescent="0.2">
      <c r="D996" s="214"/>
      <c r="E996" s="214"/>
      <c r="F996" s="214"/>
      <c r="G996" s="214"/>
      <c r="H996" s="214"/>
      <c r="I996" s="214"/>
      <c r="J996" s="214"/>
      <c r="K996" s="214"/>
    </row>
    <row r="997" spans="4:11" ht="12.75" x14ac:dyDescent="0.2">
      <c r="D997" s="214"/>
      <c r="E997" s="214"/>
      <c r="F997" s="214"/>
      <c r="G997" s="214"/>
      <c r="H997" s="214"/>
      <c r="I997" s="214"/>
      <c r="J997" s="214"/>
      <c r="K997" s="214"/>
    </row>
    <row r="998" spans="4:11" ht="12.75" x14ac:dyDescent="0.2">
      <c r="D998" s="214"/>
      <c r="E998" s="214"/>
      <c r="F998" s="214"/>
      <c r="G998" s="214"/>
      <c r="H998" s="214"/>
      <c r="I998" s="214"/>
      <c r="J998" s="214"/>
      <c r="K998" s="214"/>
    </row>
    <row r="999" spans="4:11" ht="12.75" x14ac:dyDescent="0.2">
      <c r="D999" s="214"/>
      <c r="E999" s="214"/>
      <c r="F999" s="214"/>
      <c r="G999" s="214"/>
      <c r="H999" s="214"/>
      <c r="I999" s="214"/>
      <c r="J999" s="214"/>
      <c r="K999" s="214"/>
    </row>
    <row r="1000" spans="4:11" ht="12.75" x14ac:dyDescent="0.2">
      <c r="D1000" s="214"/>
      <c r="E1000" s="214"/>
      <c r="F1000" s="214"/>
      <c r="G1000" s="214"/>
      <c r="H1000" s="214"/>
      <c r="I1000" s="214"/>
      <c r="J1000" s="214"/>
      <c r="K1000" s="214"/>
    </row>
    <row r="1001" spans="4:11" ht="12.75" x14ac:dyDescent="0.2">
      <c r="D1001" s="214"/>
      <c r="E1001" s="214"/>
      <c r="F1001" s="214"/>
      <c r="G1001" s="214"/>
      <c r="H1001" s="214"/>
      <c r="I1001" s="214"/>
      <c r="J1001" s="214"/>
      <c r="K1001" s="214"/>
    </row>
    <row r="1002" spans="4:11" ht="12.75" x14ac:dyDescent="0.2">
      <c r="D1002" s="214"/>
      <c r="E1002" s="214"/>
      <c r="F1002" s="214"/>
      <c r="G1002" s="214"/>
      <c r="H1002" s="214"/>
      <c r="I1002" s="214"/>
      <c r="J1002" s="214"/>
      <c r="K1002" s="214"/>
    </row>
    <row r="1003" spans="4:11" ht="12.75" x14ac:dyDescent="0.2">
      <c r="D1003" s="214"/>
      <c r="E1003" s="214"/>
      <c r="F1003" s="214"/>
      <c r="G1003" s="214"/>
      <c r="H1003" s="214"/>
      <c r="I1003" s="214"/>
      <c r="J1003" s="214"/>
      <c r="K1003" s="214"/>
    </row>
    <row r="1004" spans="4:11" ht="12.75" x14ac:dyDescent="0.2">
      <c r="D1004" s="214"/>
      <c r="E1004" s="214"/>
      <c r="F1004" s="214"/>
      <c r="G1004" s="214"/>
      <c r="H1004" s="214"/>
      <c r="I1004" s="214"/>
      <c r="J1004" s="214"/>
      <c r="K1004" s="214"/>
    </row>
    <row r="1005" spans="4:11" ht="12.75" x14ac:dyDescent="0.2">
      <c r="D1005" s="214"/>
      <c r="E1005" s="214"/>
      <c r="F1005" s="214"/>
      <c r="G1005" s="214"/>
      <c r="H1005" s="214"/>
      <c r="I1005" s="214"/>
      <c r="J1005" s="214"/>
      <c r="K1005" s="214"/>
    </row>
    <row r="1006" spans="4:11" ht="12.75" x14ac:dyDescent="0.2">
      <c r="D1006" s="214"/>
      <c r="E1006" s="214"/>
      <c r="F1006" s="214"/>
      <c r="G1006" s="214"/>
      <c r="H1006" s="214"/>
      <c r="I1006" s="214"/>
      <c r="J1006" s="214"/>
      <c r="K1006" s="214"/>
    </row>
    <row r="1007" spans="4:11" ht="12.75" x14ac:dyDescent="0.2">
      <c r="D1007" s="214"/>
      <c r="E1007" s="214"/>
      <c r="F1007" s="214"/>
      <c r="G1007" s="214"/>
      <c r="H1007" s="214"/>
      <c r="I1007" s="214"/>
      <c r="J1007" s="214"/>
      <c r="K1007" s="214"/>
    </row>
    <row r="1008" spans="4:11" ht="12.75" x14ac:dyDescent="0.2">
      <c r="D1008" s="214"/>
      <c r="E1008" s="214"/>
      <c r="F1008" s="214"/>
      <c r="G1008" s="214"/>
      <c r="H1008" s="214"/>
      <c r="I1008" s="214"/>
      <c r="J1008" s="214"/>
      <c r="K1008" s="214"/>
    </row>
    <row r="1009" spans="4:11" ht="12.75" x14ac:dyDescent="0.2">
      <c r="D1009" s="214"/>
      <c r="E1009" s="214"/>
      <c r="F1009" s="214"/>
      <c r="G1009" s="214"/>
      <c r="H1009" s="214"/>
      <c r="I1009" s="214"/>
      <c r="J1009" s="214"/>
      <c r="K1009" s="214"/>
    </row>
    <row r="1010" spans="4:11" ht="12.75" x14ac:dyDescent="0.2">
      <c r="D1010" s="214"/>
      <c r="E1010" s="214"/>
      <c r="F1010" s="214"/>
      <c r="G1010" s="214"/>
      <c r="H1010" s="214"/>
      <c r="I1010" s="214"/>
      <c r="J1010" s="214"/>
      <c r="K1010" s="214"/>
    </row>
    <row r="1011" spans="4:11" ht="12.75" x14ac:dyDescent="0.2">
      <c r="D1011" s="214"/>
      <c r="E1011" s="214"/>
      <c r="F1011" s="214"/>
      <c r="G1011" s="214"/>
      <c r="H1011" s="214"/>
      <c r="I1011" s="214"/>
      <c r="J1011" s="214"/>
      <c r="K1011" s="214"/>
    </row>
    <row r="1012" spans="4:11" ht="12.75" x14ac:dyDescent="0.2">
      <c r="D1012" s="214"/>
      <c r="E1012" s="214"/>
      <c r="F1012" s="214"/>
      <c r="G1012" s="214"/>
      <c r="H1012" s="214"/>
      <c r="I1012" s="214"/>
      <c r="J1012" s="214"/>
      <c r="K1012" s="214"/>
    </row>
    <row r="1013" spans="4:11" ht="12.75" x14ac:dyDescent="0.2">
      <c r="D1013" s="214"/>
      <c r="E1013" s="214"/>
      <c r="F1013" s="214"/>
      <c r="G1013" s="214"/>
      <c r="H1013" s="214"/>
      <c r="I1013" s="214"/>
      <c r="J1013" s="214"/>
      <c r="K1013" s="214"/>
    </row>
    <row r="1014" spans="4:11" ht="12.75" x14ac:dyDescent="0.2">
      <c r="D1014" s="214"/>
      <c r="E1014" s="214"/>
      <c r="F1014" s="214"/>
      <c r="G1014" s="214"/>
      <c r="H1014" s="214"/>
      <c r="I1014" s="214"/>
      <c r="J1014" s="214"/>
      <c r="K1014" s="214"/>
    </row>
    <row r="1015" spans="4:11" ht="12.75" x14ac:dyDescent="0.2">
      <c r="D1015" s="214"/>
      <c r="E1015" s="214"/>
      <c r="F1015" s="214"/>
      <c r="G1015" s="214"/>
      <c r="H1015" s="214"/>
      <c r="I1015" s="214"/>
      <c r="J1015" s="214"/>
      <c r="K1015" s="214"/>
    </row>
    <row r="1016" spans="4:11" ht="12.75" x14ac:dyDescent="0.2">
      <c r="D1016" s="214"/>
      <c r="E1016" s="214"/>
      <c r="F1016" s="214"/>
      <c r="G1016" s="214"/>
      <c r="H1016" s="214"/>
      <c r="I1016" s="214"/>
      <c r="J1016" s="214"/>
      <c r="K1016" s="214"/>
    </row>
    <row r="1017" spans="4:11" ht="12.75" x14ac:dyDescent="0.2">
      <c r="D1017" s="214"/>
      <c r="E1017" s="214"/>
      <c r="F1017" s="214"/>
      <c r="G1017" s="214"/>
      <c r="H1017" s="214"/>
      <c r="I1017" s="214"/>
      <c r="J1017" s="214"/>
      <c r="K1017" s="214"/>
    </row>
    <row r="1018" spans="4:11" ht="12.75" x14ac:dyDescent="0.2">
      <c r="D1018" s="214"/>
      <c r="E1018" s="214"/>
      <c r="F1018" s="214"/>
      <c r="G1018" s="214"/>
      <c r="H1018" s="214"/>
      <c r="I1018" s="214"/>
      <c r="J1018" s="214"/>
      <c r="K1018" s="214"/>
    </row>
    <row r="1019" spans="4:11" ht="12.75" x14ac:dyDescent="0.2">
      <c r="D1019" s="214"/>
      <c r="E1019" s="214"/>
      <c r="F1019" s="214"/>
      <c r="G1019" s="214"/>
      <c r="H1019" s="214"/>
      <c r="I1019" s="214"/>
      <c r="J1019" s="214"/>
      <c r="K1019" s="214"/>
    </row>
    <row r="1020" spans="4:11" ht="12.75" x14ac:dyDescent="0.2">
      <c r="D1020" s="214"/>
      <c r="E1020" s="214"/>
      <c r="F1020" s="214"/>
      <c r="G1020" s="214"/>
      <c r="H1020" s="214"/>
      <c r="I1020" s="214"/>
      <c r="J1020" s="214"/>
      <c r="K1020" s="214"/>
    </row>
    <row r="1021" spans="4:11" ht="12.75" x14ac:dyDescent="0.2">
      <c r="D1021" s="214"/>
      <c r="E1021" s="214"/>
      <c r="F1021" s="214"/>
      <c r="G1021" s="214"/>
      <c r="H1021" s="214"/>
      <c r="I1021" s="214"/>
      <c r="J1021" s="214"/>
      <c r="K1021" s="214"/>
    </row>
    <row r="1022" spans="4:11" ht="12.75" x14ac:dyDescent="0.2">
      <c r="D1022" s="214"/>
      <c r="E1022" s="214"/>
      <c r="F1022" s="214"/>
      <c r="G1022" s="214"/>
      <c r="H1022" s="214"/>
      <c r="I1022" s="214"/>
      <c r="J1022" s="214"/>
      <c r="K1022" s="214"/>
    </row>
    <row r="1023" spans="4:11" ht="12.75" x14ac:dyDescent="0.2">
      <c r="D1023" s="214"/>
      <c r="E1023" s="214"/>
      <c r="F1023" s="214"/>
      <c r="G1023" s="214"/>
      <c r="H1023" s="214"/>
      <c r="I1023" s="214"/>
      <c r="J1023" s="214"/>
      <c r="K1023" s="214"/>
    </row>
    <row r="1024" spans="4:11" ht="12.75" x14ac:dyDescent="0.2">
      <c r="D1024" s="214"/>
      <c r="E1024" s="214"/>
      <c r="F1024" s="214"/>
      <c r="G1024" s="214"/>
      <c r="H1024" s="214"/>
      <c r="I1024" s="214"/>
      <c r="J1024" s="214"/>
      <c r="K1024" s="214"/>
    </row>
    <row r="1025" spans="4:11" ht="12.75" x14ac:dyDescent="0.2">
      <c r="D1025" s="214"/>
      <c r="E1025" s="214"/>
      <c r="F1025" s="214"/>
      <c r="G1025" s="214"/>
      <c r="H1025" s="214"/>
      <c r="I1025" s="214"/>
      <c r="J1025" s="214"/>
      <c r="K1025" s="214"/>
    </row>
    <row r="1026" spans="4:11" ht="12.75" x14ac:dyDescent="0.2">
      <c r="D1026" s="214"/>
      <c r="E1026" s="214"/>
      <c r="F1026" s="214"/>
      <c r="G1026" s="214"/>
      <c r="H1026" s="214"/>
      <c r="I1026" s="214"/>
      <c r="J1026" s="214"/>
      <c r="K1026" s="214"/>
    </row>
    <row r="1027" spans="4:11" ht="12.75" x14ac:dyDescent="0.2">
      <c r="D1027" s="214"/>
      <c r="E1027" s="214"/>
      <c r="F1027" s="214"/>
      <c r="G1027" s="214"/>
      <c r="H1027" s="214"/>
      <c r="I1027" s="214"/>
      <c r="J1027" s="214"/>
      <c r="K1027" s="214"/>
    </row>
    <row r="1028" spans="4:11" ht="12.75" x14ac:dyDescent="0.2">
      <c r="D1028" s="214"/>
      <c r="E1028" s="214"/>
      <c r="F1028" s="214"/>
      <c r="G1028" s="214"/>
      <c r="H1028" s="214"/>
      <c r="I1028" s="214"/>
      <c r="J1028" s="214"/>
      <c r="K1028" s="214"/>
    </row>
    <row r="1029" spans="4:11" ht="12.75" x14ac:dyDescent="0.2">
      <c r="D1029" s="214"/>
      <c r="E1029" s="214"/>
      <c r="F1029" s="214"/>
      <c r="G1029" s="214"/>
      <c r="H1029" s="214"/>
      <c r="I1029" s="214"/>
      <c r="J1029" s="214"/>
      <c r="K1029" s="214"/>
    </row>
    <row r="1030" spans="4:11" ht="12.75" x14ac:dyDescent="0.2">
      <c r="D1030" s="214"/>
      <c r="E1030" s="214"/>
      <c r="F1030" s="214"/>
      <c r="G1030" s="214"/>
      <c r="H1030" s="214"/>
      <c r="I1030" s="214"/>
      <c r="J1030" s="214"/>
      <c r="K1030" s="214"/>
    </row>
    <row r="1031" spans="4:11" ht="12.75" x14ac:dyDescent="0.2">
      <c r="D1031" s="214"/>
      <c r="E1031" s="214"/>
      <c r="F1031" s="214"/>
      <c r="G1031" s="214"/>
      <c r="H1031" s="214"/>
      <c r="I1031" s="214"/>
      <c r="J1031" s="214"/>
      <c r="K1031" s="214"/>
    </row>
    <row r="1032" spans="4:11" ht="12.75" x14ac:dyDescent="0.2">
      <c r="D1032" s="214"/>
      <c r="E1032" s="214"/>
      <c r="F1032" s="214"/>
      <c r="G1032" s="214"/>
      <c r="H1032" s="214"/>
      <c r="I1032" s="214"/>
      <c r="J1032" s="214"/>
      <c r="K1032" s="214"/>
    </row>
    <row r="1033" spans="4:11" ht="12.75" x14ac:dyDescent="0.2">
      <c r="D1033" s="214"/>
      <c r="E1033" s="214"/>
      <c r="F1033" s="214"/>
      <c r="G1033" s="214"/>
      <c r="H1033" s="214"/>
      <c r="I1033" s="214"/>
      <c r="J1033" s="214"/>
      <c r="K1033" s="214"/>
    </row>
    <row r="1034" spans="4:11" ht="12.75" x14ac:dyDescent="0.2">
      <c r="D1034" s="214"/>
      <c r="E1034" s="214"/>
      <c r="F1034" s="214"/>
      <c r="G1034" s="214"/>
      <c r="H1034" s="214"/>
      <c r="I1034" s="214"/>
      <c r="J1034" s="214"/>
      <c r="K1034" s="214"/>
    </row>
    <row r="1035" spans="4:11" ht="12.75" x14ac:dyDescent="0.2">
      <c r="D1035" s="214"/>
      <c r="E1035" s="214"/>
      <c r="F1035" s="214"/>
      <c r="G1035" s="214"/>
      <c r="H1035" s="214"/>
      <c r="I1035" s="214"/>
      <c r="J1035" s="214"/>
      <c r="K1035" s="214"/>
    </row>
    <row r="1036" spans="4:11" ht="12.75" x14ac:dyDescent="0.2">
      <c r="D1036" s="214"/>
      <c r="E1036" s="214"/>
      <c r="F1036" s="214"/>
      <c r="G1036" s="214"/>
      <c r="H1036" s="214"/>
      <c r="I1036" s="214"/>
      <c r="J1036" s="214"/>
      <c r="K1036" s="214"/>
    </row>
    <row r="1037" spans="4:11" ht="12.75" x14ac:dyDescent="0.2">
      <c r="D1037" s="214"/>
      <c r="E1037" s="214"/>
      <c r="F1037" s="214"/>
      <c r="G1037" s="214"/>
      <c r="H1037" s="214"/>
      <c r="I1037" s="214"/>
      <c r="J1037" s="214"/>
      <c r="K1037" s="214"/>
    </row>
    <row r="1038" spans="4:11" ht="12.75" x14ac:dyDescent="0.2">
      <c r="D1038" s="214"/>
      <c r="E1038" s="214"/>
      <c r="F1038" s="214"/>
      <c r="G1038" s="214"/>
      <c r="H1038" s="214"/>
      <c r="I1038" s="214"/>
      <c r="J1038" s="214"/>
      <c r="K1038" s="214"/>
    </row>
    <row r="1039" spans="4:11" ht="12.75" x14ac:dyDescent="0.2">
      <c r="D1039" s="214"/>
      <c r="E1039" s="214"/>
      <c r="F1039" s="214"/>
      <c r="G1039" s="214"/>
      <c r="H1039" s="214"/>
      <c r="I1039" s="214"/>
      <c r="J1039" s="214"/>
      <c r="K1039" s="214"/>
    </row>
    <row r="1040" spans="4:11" ht="12.75" x14ac:dyDescent="0.2">
      <c r="D1040" s="214"/>
      <c r="E1040" s="214"/>
      <c r="F1040" s="214"/>
      <c r="G1040" s="214"/>
      <c r="H1040" s="214"/>
      <c r="I1040" s="214"/>
      <c r="J1040" s="214"/>
      <c r="K1040" s="214"/>
    </row>
    <row r="1041" spans="4:11" ht="12.75" x14ac:dyDescent="0.2">
      <c r="D1041" s="214"/>
      <c r="E1041" s="214"/>
      <c r="F1041" s="214"/>
      <c r="G1041" s="214"/>
      <c r="H1041" s="214"/>
      <c r="I1041" s="214"/>
      <c r="J1041" s="214"/>
      <c r="K1041" s="214"/>
    </row>
    <row r="1042" spans="4:11" ht="12.75" x14ac:dyDescent="0.2">
      <c r="D1042" s="214"/>
      <c r="E1042" s="214"/>
      <c r="F1042" s="214"/>
      <c r="G1042" s="214"/>
      <c r="H1042" s="214"/>
      <c r="I1042" s="214"/>
      <c r="J1042" s="214"/>
      <c r="K1042" s="214"/>
    </row>
    <row r="1043" spans="4:11" ht="12.75" x14ac:dyDescent="0.2">
      <c r="D1043" s="214"/>
      <c r="E1043" s="214"/>
      <c r="F1043" s="214"/>
      <c r="G1043" s="214"/>
      <c r="H1043" s="214"/>
      <c r="I1043" s="214"/>
      <c r="J1043" s="214"/>
      <c r="K1043" s="214"/>
    </row>
    <row r="1044" spans="4:11" ht="12.75" x14ac:dyDescent="0.2">
      <c r="D1044" s="214"/>
      <c r="E1044" s="214"/>
      <c r="F1044" s="214"/>
      <c r="G1044" s="214"/>
      <c r="H1044" s="214"/>
      <c r="I1044" s="214"/>
      <c r="J1044" s="214"/>
      <c r="K1044" s="214"/>
    </row>
    <row r="1045" spans="4:11" ht="12.75" x14ac:dyDescent="0.2">
      <c r="D1045" s="214"/>
      <c r="E1045" s="214"/>
      <c r="F1045" s="214"/>
      <c r="G1045" s="214"/>
      <c r="H1045" s="214"/>
      <c r="I1045" s="214"/>
      <c r="J1045" s="214"/>
      <c r="K1045" s="214"/>
    </row>
    <row r="1046" spans="4:11" ht="12.75" x14ac:dyDescent="0.2">
      <c r="D1046" s="214"/>
      <c r="E1046" s="214"/>
      <c r="F1046" s="214"/>
      <c r="G1046" s="214"/>
      <c r="H1046" s="214"/>
      <c r="I1046" s="214"/>
      <c r="J1046" s="214"/>
      <c r="K1046" s="214"/>
    </row>
    <row r="1047" spans="4:11" ht="12.75" x14ac:dyDescent="0.2">
      <c r="D1047" s="214"/>
      <c r="E1047" s="214"/>
      <c r="F1047" s="214"/>
      <c r="G1047" s="214"/>
      <c r="H1047" s="214"/>
      <c r="I1047" s="214"/>
      <c r="J1047" s="214"/>
      <c r="K1047" s="214"/>
    </row>
    <row r="1048" spans="4:11" ht="12.75" x14ac:dyDescent="0.2">
      <c r="D1048" s="214"/>
      <c r="E1048" s="214"/>
      <c r="F1048" s="214"/>
      <c r="G1048" s="214"/>
      <c r="H1048" s="214"/>
      <c r="I1048" s="214"/>
      <c r="J1048" s="214"/>
      <c r="K1048" s="214"/>
    </row>
    <row r="1049" spans="4:11" ht="12.75" x14ac:dyDescent="0.2">
      <c r="D1049" s="214"/>
      <c r="E1049" s="214"/>
      <c r="F1049" s="214"/>
      <c r="G1049" s="214"/>
      <c r="H1049" s="214"/>
      <c r="I1049" s="214"/>
      <c r="J1049" s="214"/>
      <c r="K1049" s="214"/>
    </row>
    <row r="1050" spans="4:11" ht="12.75" x14ac:dyDescent="0.2">
      <c r="D1050" s="214"/>
      <c r="E1050" s="214"/>
      <c r="F1050" s="214"/>
      <c r="G1050" s="214"/>
      <c r="H1050" s="214"/>
      <c r="I1050" s="214"/>
      <c r="J1050" s="214"/>
      <c r="K1050" s="214"/>
    </row>
    <row r="1051" spans="4:11" ht="12.75" x14ac:dyDescent="0.2">
      <c r="D1051" s="214"/>
      <c r="E1051" s="214"/>
      <c r="F1051" s="214"/>
      <c r="G1051" s="214"/>
      <c r="H1051" s="214"/>
      <c r="I1051" s="214"/>
      <c r="J1051" s="214"/>
      <c r="K1051" s="214"/>
    </row>
    <row r="1052" spans="4:11" ht="12.75" x14ac:dyDescent="0.2">
      <c r="D1052" s="214"/>
      <c r="E1052" s="214"/>
      <c r="F1052" s="214"/>
      <c r="G1052" s="214"/>
      <c r="H1052" s="214"/>
      <c r="I1052" s="214"/>
      <c r="J1052" s="214"/>
      <c r="K1052" s="214"/>
    </row>
    <row r="1053" spans="4:11" ht="12.75" x14ac:dyDescent="0.2">
      <c r="D1053" s="214"/>
      <c r="E1053" s="214"/>
      <c r="F1053" s="214"/>
      <c r="G1053" s="214"/>
      <c r="H1053" s="214"/>
      <c r="I1053" s="214"/>
      <c r="J1053" s="214"/>
      <c r="K1053" s="214"/>
    </row>
    <row r="1054" spans="4:11" ht="12.75" x14ac:dyDescent="0.2">
      <c r="D1054" s="214"/>
      <c r="E1054" s="214"/>
      <c r="F1054" s="214"/>
      <c r="G1054" s="214"/>
      <c r="H1054" s="214"/>
      <c r="I1054" s="214"/>
      <c r="J1054" s="214"/>
      <c r="K1054" s="214"/>
    </row>
  </sheetData>
  <conditionalFormatting sqref="N74:BI74 N82:BI82 N90:BI90 N98:BI98">
    <cfRule type="cellIs" dxfId="9" priority="1" operator="equal">
      <formula>0</formula>
    </cfRule>
  </conditionalFormatting>
  <conditionalFormatting sqref="N74:BI74 N82:BI82 N90:BI90 N98:BI98">
    <cfRule type="cellIs" dxfId="8" priority="2" operator="not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222</vt:i4>
      </vt:variant>
    </vt:vector>
  </HeadingPairs>
  <TitlesOfParts>
    <vt:vector size="242" baseType="lpstr">
      <vt:lpstr>Model Updates</vt:lpstr>
      <vt:lpstr>Dashboard</vt:lpstr>
      <vt:lpstr>Metrics</vt:lpstr>
      <vt:lpstr>Reports</vt:lpstr>
      <vt:lpstr>Chartbuilding</vt:lpstr>
      <vt:lpstr>Revenue Model, Base-Case</vt:lpstr>
      <vt:lpstr>Revenue Model, Worst-Case</vt:lpstr>
      <vt:lpstr>Marketing Funnel, Base-Case</vt:lpstr>
      <vt:lpstr>Hiring Plan, Base-Case</vt:lpstr>
      <vt:lpstr>Hiring Plan, Worst-Case</vt:lpstr>
      <vt:lpstr>Operating Model, Base-Case</vt:lpstr>
      <vt:lpstr>Operating Model, Worst-Case</vt:lpstr>
      <vt:lpstr>Loans, Both Scenarios</vt:lpstr>
      <vt:lpstr>Operating Model, 2020 Target</vt:lpstr>
      <vt:lpstr>Deferred Revenue</vt:lpstr>
      <vt:lpstr>Profit and Loss Export</vt:lpstr>
      <vt:lpstr>Balance Sheet Export</vt:lpstr>
      <vt:lpstr>Cash Flow Statement Export</vt:lpstr>
      <vt:lpstr>Baremetrics Export</vt:lpstr>
      <vt:lpstr>Renewals Export</vt:lpstr>
      <vt:lpstr>BS_Accounts</vt:lpstr>
      <vt:lpstr>BS_Apr_2018</vt:lpstr>
      <vt:lpstr>BS_Apr_2019</vt:lpstr>
      <vt:lpstr>BS_Apr_2020</vt:lpstr>
      <vt:lpstr>BS_Aug_2018</vt:lpstr>
      <vt:lpstr>BS_Aug_2019</vt:lpstr>
      <vt:lpstr>BS_Dec_2018</vt:lpstr>
      <vt:lpstr>BS_Dec_2019</vt:lpstr>
      <vt:lpstr>BS_Feb_2018</vt:lpstr>
      <vt:lpstr>BS_Feb_2019</vt:lpstr>
      <vt:lpstr>BS_Feb_2020</vt:lpstr>
      <vt:lpstr>BS_Jan_2018</vt:lpstr>
      <vt:lpstr>BS_Jan_2019</vt:lpstr>
      <vt:lpstr>BS_Jan_2020</vt:lpstr>
      <vt:lpstr>BS_Jul_2018</vt:lpstr>
      <vt:lpstr>BS_Jul_2019</vt:lpstr>
      <vt:lpstr>BS_Jun_2018</vt:lpstr>
      <vt:lpstr>BS_Jun_2019</vt:lpstr>
      <vt:lpstr>BS_Mar_2018</vt:lpstr>
      <vt:lpstr>BS_Mar_2019</vt:lpstr>
      <vt:lpstr>BS_Mar_2020</vt:lpstr>
      <vt:lpstr>BS_May_2018</vt:lpstr>
      <vt:lpstr>BS_May_2019</vt:lpstr>
      <vt:lpstr>BS_Nov_2018</vt:lpstr>
      <vt:lpstr>BS_Nov_2019</vt:lpstr>
      <vt:lpstr>BS_Oct_2018</vt:lpstr>
      <vt:lpstr>BS_Oct_2019</vt:lpstr>
      <vt:lpstr>BS_Sep_2018</vt:lpstr>
      <vt:lpstr>BS_Sep_2019</vt:lpstr>
      <vt:lpstr>CFS_Accounts</vt:lpstr>
      <vt:lpstr>CFS_Apr_2018</vt:lpstr>
      <vt:lpstr>CFS_Apr_2019</vt:lpstr>
      <vt:lpstr>CFS_Apr_2020</vt:lpstr>
      <vt:lpstr>CFS_Aug_2018</vt:lpstr>
      <vt:lpstr>CFS_Aug_2019</vt:lpstr>
      <vt:lpstr>CFS_Dec_2018</vt:lpstr>
      <vt:lpstr>CFS_Dec_2019</vt:lpstr>
      <vt:lpstr>CFS_Feb_2018</vt:lpstr>
      <vt:lpstr>CFS_Feb_2019</vt:lpstr>
      <vt:lpstr>CFS_Feb_2020</vt:lpstr>
      <vt:lpstr>CFS_Jan_2018</vt:lpstr>
      <vt:lpstr>CFS_Jan_2019</vt:lpstr>
      <vt:lpstr>CFS_Jan_2020</vt:lpstr>
      <vt:lpstr>CFS_Jul_2018</vt:lpstr>
      <vt:lpstr>CFS_Jul_2019</vt:lpstr>
      <vt:lpstr>CFS_Jun_2018</vt:lpstr>
      <vt:lpstr>CFS_Jun_2019</vt:lpstr>
      <vt:lpstr>CFS_Mar_2018</vt:lpstr>
      <vt:lpstr>CFS_Mar_2019</vt:lpstr>
      <vt:lpstr>CFS_Mar_2020</vt:lpstr>
      <vt:lpstr>CFS_May_2018</vt:lpstr>
      <vt:lpstr>CFS_May_2019</vt:lpstr>
      <vt:lpstr>CFS_Nov_2018</vt:lpstr>
      <vt:lpstr>CFS_Nov_2019</vt:lpstr>
      <vt:lpstr>CFS_Oct_2018</vt:lpstr>
      <vt:lpstr>CFS_Oct_2019</vt:lpstr>
      <vt:lpstr>CFS_Sep_2018</vt:lpstr>
      <vt:lpstr>CFS_Sep_2019</vt:lpstr>
      <vt:lpstr>Current_Month</vt:lpstr>
      <vt:lpstr>Deferred_Revenue_Balance</vt:lpstr>
      <vt:lpstr>Deferred_Revenue_Months</vt:lpstr>
      <vt:lpstr>Hiring_Plan_Benefits_Engineering</vt:lpstr>
      <vt:lpstr>Hiring_Plan_Benefits_Engineering_Worst_Case</vt:lpstr>
      <vt:lpstr>Hiring_Plan_Benefits_General</vt:lpstr>
      <vt:lpstr>Hiring_Plan_Benefits_General_Worst_Case</vt:lpstr>
      <vt:lpstr>Hiring_Plan_Benefits_Marketing</vt:lpstr>
      <vt:lpstr>Hiring_Plan_Benefits_Marketing_Worst_Case</vt:lpstr>
      <vt:lpstr>Hiring_Plan_Benefits_Sales</vt:lpstr>
      <vt:lpstr>Hiring_Plan_Benefits_Sales_Worst_Case</vt:lpstr>
      <vt:lpstr>Hiring_Plan_Benefits_Support</vt:lpstr>
      <vt:lpstr>Hiring_Plan_Benefits_Support_Worst_Case</vt:lpstr>
      <vt:lpstr>Hiring_Plan_Contractors_Engineering</vt:lpstr>
      <vt:lpstr>Hiring_Plan_Contractors_Engineering_Worst_Case</vt:lpstr>
      <vt:lpstr>Hiring_Plan_Contractors_General</vt:lpstr>
      <vt:lpstr>Hiring_Plan_Contractors_General_Worst_Case</vt:lpstr>
      <vt:lpstr>Hiring_Plan_Contractors_Marketing</vt:lpstr>
      <vt:lpstr>Hiring_Plan_Contractors_Marketing_Worst_Case</vt:lpstr>
      <vt:lpstr>Hiring_Plan_Contractors_Sales</vt:lpstr>
      <vt:lpstr>Hiring_Plan_Contractors_Sales_Worst_Case</vt:lpstr>
      <vt:lpstr>Hiring_Plan_Contractors_Support</vt:lpstr>
      <vt:lpstr>Hiring_Plan_Contractors_Support_Worst_Case</vt:lpstr>
      <vt:lpstr>Hiring_Plan_Months</vt:lpstr>
      <vt:lpstr>Hiring_Plan_Months_Worst_Case</vt:lpstr>
      <vt:lpstr>Hiring_Plan_Payroll_Taxes_Engineering</vt:lpstr>
      <vt:lpstr>Hiring_Plan_Payroll_Taxes_Engineering_Worst_Case</vt:lpstr>
      <vt:lpstr>Hiring_Plan_Payroll_Taxes_General</vt:lpstr>
      <vt:lpstr>Hiring_Plan_Payroll_Taxes_General_Worst_Case</vt:lpstr>
      <vt:lpstr>Hiring_Plan_Payroll_Taxes_Marketing</vt:lpstr>
      <vt:lpstr>Hiring_Plan_Payroll_Taxes_Marketing_Worst_Case</vt:lpstr>
      <vt:lpstr>Hiring_Plan_Payroll_Taxes_Sales</vt:lpstr>
      <vt:lpstr>Hiring_Plan_Payroll_Taxes_Sales_Worst_Case</vt:lpstr>
      <vt:lpstr>Hiring_Plan_Payroll_Taxes_Support</vt:lpstr>
      <vt:lpstr>Hiring_Plan_Payroll_Taxes_Support_Worst_Case</vt:lpstr>
      <vt:lpstr>Hiring_Plan_Salaries_Engineering</vt:lpstr>
      <vt:lpstr>Hiring_Plan_Salaries_Engineering_Worst_Case</vt:lpstr>
      <vt:lpstr>Hiring_Plan_Salaries_General</vt:lpstr>
      <vt:lpstr>Hiring_Plan_Salaries_General_Worst_Case</vt:lpstr>
      <vt:lpstr>Hiring_Plan_Salaries_Marketing</vt:lpstr>
      <vt:lpstr>Hiring_Plan_Salaries_Marketing_Worst_Case</vt:lpstr>
      <vt:lpstr>Hiring_Plan_Salaries_Sales</vt:lpstr>
      <vt:lpstr>Hiring_Plan_Salaries_Sales_Worst_Case</vt:lpstr>
      <vt:lpstr>Hiring_Plan_Salaries_Support</vt:lpstr>
      <vt:lpstr>Hiring_Plan_Salaries_Support_Worst_Case</vt:lpstr>
      <vt:lpstr>Loans_Forgivable_Loan_Forgivable_Income</vt:lpstr>
      <vt:lpstr>Loans_Forgivable_Loan_Interest_Owed</vt:lpstr>
      <vt:lpstr>Loans_Forgivable_Loan_Nonforgivable_Balance</vt:lpstr>
      <vt:lpstr>Loans_Months</vt:lpstr>
      <vt:lpstr>Loans_Standard_Loan_Balance</vt:lpstr>
      <vt:lpstr>Loans_Standard_Loan_Interest_Owed</vt:lpstr>
      <vt:lpstr>Marketing_Funnel_Months</vt:lpstr>
      <vt:lpstr>Marketing_Funnel_New_Customers_AdWords</vt:lpstr>
      <vt:lpstr>Marketing_Funnel_Total_New_Customers</vt:lpstr>
      <vt:lpstr>MRR_Export_Churn_Count</vt:lpstr>
      <vt:lpstr>MRR_Export_Churned_MRR</vt:lpstr>
      <vt:lpstr>MRR_Export_Contraction_Count</vt:lpstr>
      <vt:lpstr>MRR_Export_Contraction_MRR</vt:lpstr>
      <vt:lpstr>MRR_Export_Expansion_Count</vt:lpstr>
      <vt:lpstr>MRR_Export_Expansion_MRR</vt:lpstr>
      <vt:lpstr>MRR_Export_Months</vt:lpstr>
      <vt:lpstr>MRR_Export_MRR</vt:lpstr>
      <vt:lpstr>MRR_Export_New_Count</vt:lpstr>
      <vt:lpstr>MRR_Export_New_MRR</vt:lpstr>
      <vt:lpstr>MRR_Export_Reactivation_Count</vt:lpstr>
      <vt:lpstr>MRR_Export_Reactivation_MRR</vt:lpstr>
      <vt:lpstr>MRR_Export_Total_Customer_Count</vt:lpstr>
      <vt:lpstr>Oper_Model_Adjustments_to_Net_Income</vt:lpstr>
      <vt:lpstr>Oper_Model_Advertising</vt:lpstr>
      <vt:lpstr>Oper_Model_Bank_Accounts</vt:lpstr>
      <vt:lpstr>Oper_Model_Bank_Accounts_2020_Target</vt:lpstr>
      <vt:lpstr>Oper_Model_Bank_Accounts_Worst_Case</vt:lpstr>
      <vt:lpstr>Oper_Model_Cost_of_Revenue</vt:lpstr>
      <vt:lpstr>Oper_Model_Deferred_Revenue_CFS</vt:lpstr>
      <vt:lpstr>Oper_Model_Engineering</vt:lpstr>
      <vt:lpstr>Oper_Model_Engineering_2020_Target</vt:lpstr>
      <vt:lpstr>Oper_Model_Engineering_Worst_Case</vt:lpstr>
      <vt:lpstr>Oper_Model_Financing_Activities</vt:lpstr>
      <vt:lpstr>Oper_Model_Financing_Activities_2020_Target</vt:lpstr>
      <vt:lpstr>Oper_Model_General</vt:lpstr>
      <vt:lpstr>Oper_Model_General_2020_Target</vt:lpstr>
      <vt:lpstr>Oper_Model_General_Worst_Case</vt:lpstr>
      <vt:lpstr>Oper_Model_Gross_Profit</vt:lpstr>
      <vt:lpstr>Oper_Model_Investing_Activities</vt:lpstr>
      <vt:lpstr>Oper_Model_Investing_Activities_2020_Target</vt:lpstr>
      <vt:lpstr>Oper_Model_Marketing</vt:lpstr>
      <vt:lpstr>Oper_Model_Months</vt:lpstr>
      <vt:lpstr>Oper_Model_Months_2020_Target</vt:lpstr>
      <vt:lpstr>Oper_Model_Months_Worst_Case</vt:lpstr>
      <vt:lpstr>Oper_Model_Net_Cash_Increase</vt:lpstr>
      <vt:lpstr>Oper_Model_Net_Cash_Increase_2020_Target</vt:lpstr>
      <vt:lpstr>Oper_Model_Net_Income</vt:lpstr>
      <vt:lpstr>Oper_Model_Operating_Activities</vt:lpstr>
      <vt:lpstr>Oper_Model_Operating_Activities_2020_Target</vt:lpstr>
      <vt:lpstr>Oper_Model_Revenue</vt:lpstr>
      <vt:lpstr>Oper_Model_Revenue_2020_Target</vt:lpstr>
      <vt:lpstr>Oper_Model_Revenue_Worst_Case</vt:lpstr>
      <vt:lpstr>Oper_Model_Sales</vt:lpstr>
      <vt:lpstr>Oper_Model_Sales_and_Marketing</vt:lpstr>
      <vt:lpstr>Oper_Model_Sales_and_Marketing_2020_Target</vt:lpstr>
      <vt:lpstr>Oper_Model_Sales_and_Marketing_Worst_Case</vt:lpstr>
      <vt:lpstr>Oper_Model_Service_Delivery</vt:lpstr>
      <vt:lpstr>Oper_Model_Service_Delivery_2020_Target</vt:lpstr>
      <vt:lpstr>Oper_Model_Service_Delivery_Worst_Case</vt:lpstr>
      <vt:lpstr>Oper_Model_Support</vt:lpstr>
      <vt:lpstr>Oper_Model_Support_2020_Target</vt:lpstr>
      <vt:lpstr>Oper_Model_Support_Worst_Case</vt:lpstr>
      <vt:lpstr>Oper_Model_Total_Expenses</vt:lpstr>
      <vt:lpstr>PnL_Accounts</vt:lpstr>
      <vt:lpstr>PnL_Apr_2018</vt:lpstr>
      <vt:lpstr>PnL_Apr_2019</vt:lpstr>
      <vt:lpstr>PnL_Apr_2020</vt:lpstr>
      <vt:lpstr>PnL_Aug_2018</vt:lpstr>
      <vt:lpstr>PnL_Aug_2019</vt:lpstr>
      <vt:lpstr>PnL_Dec_2018</vt:lpstr>
      <vt:lpstr>PnL_Dec_2019</vt:lpstr>
      <vt:lpstr>PnL_Feb_2018</vt:lpstr>
      <vt:lpstr>PnL_Feb_2019</vt:lpstr>
      <vt:lpstr>PnL_Feb_2020</vt:lpstr>
      <vt:lpstr>PnL_Jan_2018</vt:lpstr>
      <vt:lpstr>PnL_Jan_2019</vt:lpstr>
      <vt:lpstr>PnL_Jan_2020</vt:lpstr>
      <vt:lpstr>PnL_Jul_2018</vt:lpstr>
      <vt:lpstr>PnL_Jul_2019</vt:lpstr>
      <vt:lpstr>PnL_Jun_2018</vt:lpstr>
      <vt:lpstr>PnL_Jun_2019</vt:lpstr>
      <vt:lpstr>PnL_Mar_2018</vt:lpstr>
      <vt:lpstr>PnL_Mar_2019</vt:lpstr>
      <vt:lpstr>PnL_Mar_2020</vt:lpstr>
      <vt:lpstr>PnL_May_2018</vt:lpstr>
      <vt:lpstr>PnL_May_2019</vt:lpstr>
      <vt:lpstr>PnL_Nov_2018</vt:lpstr>
      <vt:lpstr>PnL_Nov_2019</vt:lpstr>
      <vt:lpstr>PnL_Oct_2018</vt:lpstr>
      <vt:lpstr>PnL_Oct_2019</vt:lpstr>
      <vt:lpstr>PnL_Sep_2018</vt:lpstr>
      <vt:lpstr>PnL_Sep_2019</vt:lpstr>
      <vt:lpstr>Renewals_Amount</vt:lpstr>
      <vt:lpstr>Renewals_Date</vt:lpstr>
      <vt:lpstr>Renewals_Interval</vt:lpstr>
      <vt:lpstr>Revenue_Model_Churn_Count_12m</vt:lpstr>
      <vt:lpstr>Revenue_Model_Churn_Count_1m</vt:lpstr>
      <vt:lpstr>Revenue_Model_Churn_MRR_12m</vt:lpstr>
      <vt:lpstr>Revenue_Model_Churn_MRR_1m</vt:lpstr>
      <vt:lpstr>Revenue_Model_Contraction_Count_12m</vt:lpstr>
      <vt:lpstr>Revenue_Model_Contraction_Count_1m</vt:lpstr>
      <vt:lpstr>Revenue_Model_Contraction_MRR_12m</vt:lpstr>
      <vt:lpstr>Revenue_Model_Contraction_MRR_1m</vt:lpstr>
      <vt:lpstr>Revenue_Model_Expansion_Count_12m</vt:lpstr>
      <vt:lpstr>Revenue_Model_Expansion_Count_1m</vt:lpstr>
      <vt:lpstr>Revenue_Model_Expansion_MRR_12m</vt:lpstr>
      <vt:lpstr>Revenue_Model_Expansion_MRR_1m</vt:lpstr>
      <vt:lpstr>Revenue_Model_Months</vt:lpstr>
      <vt:lpstr>Revenue_Model_Months_Worst_Case</vt:lpstr>
      <vt:lpstr>Revenue_Model_MRR</vt:lpstr>
      <vt:lpstr>Revenue_Model_MRR_Worst_Case</vt:lpstr>
      <vt:lpstr>Revenue_Model_Net_New_MRR</vt:lpstr>
      <vt:lpstr>Revenue_Model_New_Count_12m</vt:lpstr>
      <vt:lpstr>Revenue_Model_New_Count_1m</vt:lpstr>
      <vt:lpstr>Revenue_Model_New_MRR_12m</vt:lpstr>
      <vt:lpstr>Revenue_Model_New_MRR_1m</vt:lpstr>
      <vt:lpstr>Revenue_Model_Reactivation_Count_1m</vt:lpstr>
      <vt:lpstr>Revenue_Model_Reactivation_MRR_1m</vt:lpstr>
      <vt:lpstr>Revenue_Model_Total_Customers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MD SHAJEDUL ISLAM</cp:lastModifiedBy>
  <cp:lastPrinted>2021-05-21T03:26:37Z</cp:lastPrinted>
  <dcterms:modified xsi:type="dcterms:W3CDTF">2021-05-22T18:43:13Z</dcterms:modified>
</cp:coreProperties>
</file>